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1.AzureAD\Downloads\"/>
    </mc:Choice>
  </mc:AlternateContent>
  <xr:revisionPtr revIDLastSave="0" documentId="13_ncr:1_{4E794D2F-104C-464E-A111-B61CE90B6032}" xr6:coauthVersionLast="47" xr6:coauthVersionMax="47" xr10:uidLastSave="{00000000-0000-0000-0000-000000000000}"/>
  <bookViews>
    <workbookView xWindow="-28920" yWindow="-120" windowWidth="29040" windowHeight="15840" firstSheet="25" activeTab="32" xr2:uid="{00000000-000D-0000-FFFF-FFFF00000000}"/>
  </bookViews>
  <sheets>
    <sheet name="Adj Highlights" sheetId="2" r:id="rId1"/>
    <sheet name="GAAP Highlights" sheetId="3" r:id="rId2"/>
    <sheet name="Earnings" sheetId="4" r:id="rId3"/>
    <sheet name="Enterprise Value" sheetId="5" r:id="rId4"/>
    <sheet name="Multiples" sheetId="6" r:id="rId5"/>
    <sheet name="Per Share" sheetId="7" r:id="rId6"/>
    <sheet name="Stock Value" sheetId="8" r:id="rId7"/>
    <sheet name="EV Ex Operating Leases" sheetId="9" r:id="rId8"/>
    <sheet name="Income - Adjusted" sheetId="10" r:id="rId9"/>
    <sheet name="Income - GAAP" sheetId="11" r:id="rId10"/>
    <sheet name="Income - As Reported" sheetId="12" r:id="rId11"/>
    <sheet name="Reconciliation" sheetId="13" r:id="rId12"/>
    <sheet name="SBC &amp; Amort" sheetId="14" r:id="rId13"/>
    <sheet name="Adj %" sheetId="15" r:id="rId14"/>
    <sheet name="GAAP %" sheetId="16" r:id="rId15"/>
    <sheet name="Bal Sheet - Standardized" sheetId="17" r:id="rId16"/>
    <sheet name="Bal Sheet - As Reported" sheetId="18" r:id="rId17"/>
    <sheet name="Bal Sheet - Common Size" sheetId="19" r:id="rId18"/>
    <sheet name="Fair Value Analysis" sheetId="20" r:id="rId19"/>
    <sheet name="Cash Flow - Standardized" sheetId="21" r:id="rId20"/>
    <sheet name="Cash Flow - As Reported" sheetId="22" r:id="rId21"/>
    <sheet name="Profitability" sheetId="23" r:id="rId22"/>
    <sheet name="Growth" sheetId="24" r:id="rId23"/>
    <sheet name="Credit" sheetId="25" r:id="rId24"/>
    <sheet name="Credit Ex Operating Leases" sheetId="26" r:id="rId25"/>
    <sheet name="Liquidity" sheetId="27" r:id="rId26"/>
    <sheet name="Working Capital" sheetId="28" r:id="rId27"/>
    <sheet name="Yield Analysis" sheetId="29" r:id="rId28"/>
    <sheet name="DuPont Analysis" sheetId="30" r:id="rId29"/>
    <sheet name="By Measure" sheetId="31" r:id="rId30"/>
    <sheet name="By Geography" sheetId="32" r:id="rId31"/>
    <sheet name="By Segment" sheetId="33" r:id="rId32"/>
    <sheet name="ESG Ratios" sheetId="34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4" l="1"/>
  <c r="D15" i="34"/>
  <c r="D33" i="34"/>
  <c r="V13" i="34"/>
  <c r="V28" i="34"/>
  <c r="L58" i="34"/>
  <c r="L65" i="34"/>
  <c r="L25" i="34"/>
  <c r="L51" i="34"/>
  <c r="L61" i="34"/>
  <c r="L7" i="34"/>
  <c r="L37" i="34"/>
  <c r="L69" i="34"/>
  <c r="L9" i="34"/>
  <c r="L48" i="34"/>
  <c r="L10" i="34"/>
  <c r="L66" i="34"/>
  <c r="L34" i="34"/>
  <c r="L47" i="34"/>
  <c r="L57" i="34"/>
  <c r="L19" i="34"/>
  <c r="L20" i="34"/>
  <c r="N28" i="34"/>
  <c r="K15" i="34"/>
  <c r="K33" i="34"/>
  <c r="K50" i="34"/>
  <c r="K14" i="34"/>
  <c r="K24" i="34"/>
  <c r="P24" i="34"/>
  <c r="P14" i="34"/>
  <c r="P13" i="34"/>
  <c r="P50" i="34"/>
  <c r="X42" i="34"/>
  <c r="X13" i="34"/>
  <c r="H42" i="34"/>
  <c r="H13" i="34"/>
  <c r="O13" i="34"/>
  <c r="O24" i="34"/>
  <c r="O50" i="34"/>
  <c r="O28" i="34"/>
  <c r="O14" i="34"/>
  <c r="L15" i="34"/>
  <c r="L33" i="34"/>
  <c r="Q33" i="34"/>
  <c r="Q50" i="34"/>
  <c r="Q24" i="34"/>
  <c r="Q14" i="34"/>
  <c r="Q13" i="34"/>
  <c r="F28" i="34"/>
  <c r="F13" i="34"/>
  <c r="T28" i="34"/>
  <c r="T15" i="34"/>
  <c r="T33" i="34"/>
  <c r="J42" i="34"/>
  <c r="J15" i="34"/>
  <c r="J14" i="34"/>
  <c r="J50" i="34"/>
  <c r="J24" i="34"/>
  <c r="H18" i="34"/>
  <c r="H41" i="34"/>
  <c r="H7" i="34"/>
  <c r="H21" i="34"/>
  <c r="H67" i="34"/>
  <c r="H49" i="34"/>
  <c r="H56" i="34"/>
  <c r="H63" i="34"/>
  <c r="H8" i="34"/>
  <c r="H35" i="34"/>
  <c r="H64" i="34"/>
  <c r="H30" i="34"/>
  <c r="H29" i="34"/>
  <c r="H17" i="34"/>
  <c r="H59" i="34"/>
  <c r="H55" i="34"/>
  <c r="S65" i="34"/>
  <c r="S19" i="34"/>
  <c r="S9" i="34"/>
  <c r="S16" i="34"/>
  <c r="S25" i="34"/>
  <c r="S37" i="34"/>
  <c r="S54" i="34"/>
  <c r="S36" i="34"/>
  <c r="S18" i="34"/>
  <c r="S30" i="34"/>
  <c r="S62" i="34"/>
  <c r="S40" i="34"/>
  <c r="S56" i="34"/>
  <c r="S57" i="34"/>
  <c r="S47" i="34"/>
  <c r="S64" i="34"/>
  <c r="S8" i="34"/>
  <c r="D16" i="34"/>
  <c r="D69" i="34"/>
  <c r="D62" i="34"/>
  <c r="D37" i="34"/>
  <c r="D9" i="34"/>
  <c r="D61" i="34"/>
  <c r="D47" i="34"/>
  <c r="D57" i="34"/>
  <c r="D51" i="34"/>
  <c r="D40" i="34"/>
  <c r="D65" i="34"/>
  <c r="D25" i="34"/>
  <c r="D19" i="34"/>
  <c r="D54" i="34"/>
  <c r="X35" i="34"/>
  <c r="X41" i="34"/>
  <c r="X67" i="34"/>
  <c r="X63" i="34"/>
  <c r="X30" i="34"/>
  <c r="X59" i="34"/>
  <c r="X17" i="34"/>
  <c r="X18" i="34"/>
  <c r="X55" i="34"/>
  <c r="X21" i="34"/>
  <c r="X8" i="34"/>
  <c r="X29" i="34"/>
  <c r="X64" i="34"/>
  <c r="X49" i="34"/>
  <c r="X56" i="34"/>
  <c r="X7" i="34"/>
  <c r="J8" i="34"/>
  <c r="J30" i="34"/>
  <c r="J37" i="34"/>
  <c r="J18" i="34"/>
  <c r="J51" i="34"/>
  <c r="J10" i="34"/>
  <c r="J64" i="34"/>
  <c r="J56" i="34"/>
  <c r="J25" i="34"/>
  <c r="J68" i="34"/>
  <c r="J61" i="34"/>
  <c r="J36" i="34"/>
  <c r="J60" i="34"/>
  <c r="J69" i="34"/>
  <c r="M58" i="34"/>
  <c r="M66" i="34"/>
  <c r="M17" i="34"/>
  <c r="M47" i="34"/>
  <c r="M7" i="34"/>
  <c r="M41" i="34"/>
  <c r="M10" i="34"/>
  <c r="M34" i="34"/>
  <c r="M55" i="34"/>
  <c r="M19" i="34"/>
  <c r="M57" i="34"/>
  <c r="M25" i="34"/>
  <c r="M9" i="34"/>
  <c r="M20" i="34"/>
  <c r="M48" i="34"/>
  <c r="M40" i="34"/>
  <c r="M63" i="34"/>
  <c r="M16" i="34"/>
  <c r="M65" i="34"/>
  <c r="M29" i="34"/>
  <c r="T65" i="34"/>
  <c r="T61" i="34"/>
  <c r="T47" i="34"/>
  <c r="T40" i="34"/>
  <c r="T62" i="34"/>
  <c r="T16" i="34"/>
  <c r="T25" i="34"/>
  <c r="T54" i="34"/>
  <c r="T37" i="34"/>
  <c r="T51" i="34"/>
  <c r="T9" i="34"/>
  <c r="T19" i="34"/>
  <c r="T57" i="34"/>
  <c r="U10" i="34"/>
  <c r="U51" i="34"/>
  <c r="U34" i="34"/>
  <c r="U40" i="34"/>
  <c r="U62" i="34"/>
  <c r="U61" i="34"/>
  <c r="U9" i="34"/>
  <c r="U21" i="34"/>
  <c r="U8" i="34"/>
  <c r="U16" i="34"/>
  <c r="U20" i="34"/>
  <c r="U37" i="34"/>
  <c r="U67" i="34"/>
  <c r="U59" i="34"/>
  <c r="U35" i="34"/>
  <c r="U19" i="34"/>
  <c r="U54" i="34"/>
  <c r="U7" i="34"/>
  <c r="U25" i="34"/>
  <c r="U49" i="34"/>
  <c r="E8" i="34"/>
  <c r="E59" i="34"/>
  <c r="E10" i="34"/>
  <c r="E25" i="34"/>
  <c r="E35" i="34"/>
  <c r="E67" i="34"/>
  <c r="E16" i="34"/>
  <c r="E40" i="34"/>
  <c r="E37" i="34"/>
  <c r="E54" i="34"/>
  <c r="E61" i="34"/>
  <c r="E7" i="34"/>
  <c r="E9" i="34"/>
  <c r="E21" i="34"/>
  <c r="E34" i="34"/>
  <c r="E19" i="34"/>
  <c r="E20" i="34"/>
  <c r="E49" i="34"/>
  <c r="E51" i="34"/>
  <c r="E62" i="34"/>
  <c r="R36" i="34"/>
  <c r="R60" i="34"/>
  <c r="R57" i="34"/>
  <c r="R18" i="34"/>
  <c r="R56" i="34"/>
  <c r="R19" i="34"/>
  <c r="R8" i="34"/>
  <c r="R9" i="34"/>
  <c r="R47" i="34"/>
  <c r="R65" i="34"/>
  <c r="R30" i="34"/>
  <c r="R68" i="34"/>
  <c r="R64" i="34"/>
  <c r="C9" i="34"/>
  <c r="C65" i="34"/>
  <c r="C47" i="34"/>
  <c r="C57" i="34"/>
  <c r="C16" i="34"/>
  <c r="C64" i="34"/>
  <c r="C30" i="34"/>
  <c r="C36" i="34"/>
  <c r="C62" i="34"/>
  <c r="C40" i="34"/>
  <c r="C18" i="34"/>
  <c r="C25" i="34"/>
  <c r="C19" i="34"/>
  <c r="C56" i="34"/>
  <c r="C8" i="34"/>
  <c r="C37" i="34"/>
  <c r="C54" i="34"/>
  <c r="G10" i="34"/>
  <c r="G30" i="34"/>
  <c r="G29" i="34"/>
  <c r="G7" i="34"/>
  <c r="G18" i="34"/>
  <c r="G34" i="34"/>
  <c r="G8" i="34"/>
  <c r="G59" i="34"/>
  <c r="G64" i="34"/>
  <c r="G67" i="34"/>
  <c r="G21" i="34"/>
  <c r="G16" i="34"/>
  <c r="G49" i="34"/>
  <c r="G56" i="34"/>
  <c r="G48" i="34"/>
  <c r="G35" i="34"/>
  <c r="G17" i="34"/>
  <c r="G58" i="34"/>
  <c r="G20" i="34"/>
  <c r="G41" i="34"/>
  <c r="K60" i="34"/>
  <c r="K69" i="34"/>
  <c r="K18" i="34"/>
  <c r="K25" i="34"/>
  <c r="K34" i="34"/>
  <c r="K8" i="34"/>
  <c r="K9" i="34"/>
  <c r="K30" i="34"/>
  <c r="K61" i="34"/>
  <c r="K37" i="34"/>
  <c r="K36" i="34"/>
  <c r="K51" i="34"/>
  <c r="K48" i="34"/>
  <c r="K20" i="34"/>
  <c r="K10" i="34"/>
  <c r="K58" i="34"/>
  <c r="K19" i="34"/>
  <c r="K7" i="34"/>
  <c r="K66" i="34"/>
  <c r="W17" i="34"/>
  <c r="W8" i="34"/>
  <c r="W48" i="34"/>
  <c r="W20" i="34"/>
  <c r="V54" i="34"/>
  <c r="W34" i="34"/>
  <c r="V58" i="34"/>
  <c r="W21" i="34"/>
  <c r="W30" i="34"/>
  <c r="V48" i="34"/>
  <c r="V10" i="34"/>
  <c r="V21" i="34"/>
  <c r="W58" i="34"/>
  <c r="W35" i="34"/>
  <c r="V35" i="34"/>
  <c r="W56" i="34"/>
  <c r="V34" i="34"/>
  <c r="W16" i="34"/>
  <c r="V62" i="34"/>
  <c r="V8" i="34"/>
  <c r="W10" i="34"/>
  <c r="V49" i="34"/>
  <c r="V40" i="34"/>
  <c r="V66" i="34"/>
  <c r="W49" i="34"/>
  <c r="V16" i="34"/>
  <c r="V20" i="34"/>
  <c r="V67" i="34"/>
  <c r="W67" i="34"/>
  <c r="V59" i="34"/>
  <c r="W29" i="34"/>
  <c r="W7" i="34"/>
  <c r="W41" i="34"/>
  <c r="W59" i="34"/>
  <c r="W64" i="34"/>
  <c r="W18" i="34"/>
  <c r="I36" i="34"/>
  <c r="I61" i="34"/>
  <c r="I18" i="34"/>
  <c r="I41" i="34"/>
  <c r="I25" i="34"/>
  <c r="I30" i="34"/>
  <c r="I69" i="34"/>
  <c r="I21" i="34"/>
  <c r="I63" i="34"/>
  <c r="I51" i="34"/>
  <c r="I8" i="34"/>
  <c r="I29" i="34"/>
  <c r="I56" i="34"/>
  <c r="I7" i="34"/>
  <c r="I35" i="34"/>
  <c r="I55" i="34"/>
  <c r="I64" i="34"/>
  <c r="I17" i="34"/>
  <c r="I37" i="34"/>
  <c r="N54" i="34"/>
  <c r="N10" i="34"/>
  <c r="N48" i="34"/>
  <c r="N40" i="34"/>
  <c r="N66" i="34"/>
  <c r="N29" i="34"/>
  <c r="N41" i="34"/>
  <c r="N58" i="34"/>
  <c r="N20" i="34"/>
  <c r="N16" i="34"/>
  <c r="N17" i="34"/>
  <c r="N7" i="34"/>
  <c r="N62" i="34"/>
  <c r="N34" i="34"/>
  <c r="N55" i="34"/>
  <c r="N63" i="34"/>
  <c r="C28" i="34"/>
  <c r="C14" i="34"/>
  <c r="C33" i="34"/>
  <c r="C42" i="34"/>
  <c r="C15" i="34"/>
  <c r="C24" i="34"/>
  <c r="P59" i="34"/>
  <c r="P9" i="34"/>
  <c r="P41" i="34"/>
  <c r="P7" i="34"/>
  <c r="P55" i="34"/>
  <c r="P63" i="34"/>
  <c r="P36" i="34"/>
  <c r="P17" i="34"/>
  <c r="P67" i="34"/>
  <c r="P49" i="34"/>
  <c r="P29" i="34"/>
  <c r="P35" i="34"/>
  <c r="P21" i="34"/>
  <c r="P68" i="34"/>
  <c r="P60" i="34"/>
  <c r="Q60" i="34"/>
  <c r="Q47" i="34"/>
  <c r="Q30" i="34"/>
  <c r="Q36" i="34"/>
  <c r="Q21" i="34"/>
  <c r="Q7" i="34"/>
  <c r="Q29" i="34"/>
  <c r="Q19" i="34"/>
  <c r="Q8" i="34"/>
  <c r="Q65" i="34"/>
  <c r="Q35" i="34"/>
  <c r="Q9" i="34"/>
  <c r="Q17" i="34"/>
  <c r="Q59" i="34"/>
  <c r="Q57" i="34"/>
  <c r="Q68" i="34"/>
  <c r="Q18" i="34"/>
  <c r="Q49" i="34"/>
  <c r="O68" i="34"/>
  <c r="O35" i="34"/>
  <c r="O34" i="34"/>
  <c r="O60" i="34"/>
  <c r="O17" i="34"/>
  <c r="O63" i="34"/>
  <c r="O40" i="34"/>
  <c r="O54" i="34"/>
  <c r="O16" i="34"/>
  <c r="O21" i="34"/>
  <c r="O55" i="34"/>
  <c r="O29" i="34"/>
  <c r="O36" i="34"/>
  <c r="O20" i="34"/>
  <c r="O7" i="34"/>
  <c r="O62" i="34"/>
  <c r="O10" i="34"/>
  <c r="O41" i="34"/>
  <c r="F62" i="34"/>
  <c r="F49" i="34"/>
  <c r="F48" i="34"/>
  <c r="F16" i="34"/>
  <c r="F59" i="34"/>
  <c r="F54" i="34"/>
  <c r="F21" i="34"/>
  <c r="F40" i="34"/>
  <c r="F8" i="34"/>
  <c r="F35" i="34"/>
  <c r="F58" i="34"/>
  <c r="F66" i="34"/>
  <c r="F67" i="34"/>
  <c r="F34" i="34"/>
  <c r="F10" i="34"/>
  <c r="F20" i="34"/>
  <c r="R24" i="34"/>
  <c r="R50" i="34"/>
  <c r="R14" i="34"/>
  <c r="R33" i="34"/>
  <c r="R42" i="34"/>
  <c r="U13" i="34"/>
  <c r="U33" i="34"/>
  <c r="U28" i="34"/>
  <c r="U15" i="34"/>
  <c r="I13" i="34"/>
  <c r="I15" i="34"/>
  <c r="I42" i="34"/>
  <c r="I14" i="34"/>
  <c r="I24" i="34"/>
  <c r="E28" i="34"/>
  <c r="E15" i="34"/>
  <c r="E13" i="34"/>
  <c r="E33" i="34"/>
  <c r="S42" i="34"/>
  <c r="S15" i="34"/>
  <c r="S24" i="34"/>
  <c r="S28" i="34"/>
  <c r="S33" i="34"/>
  <c r="S14" i="34"/>
  <c r="M15" i="34"/>
  <c r="M28" i="34"/>
  <c r="M33" i="34"/>
  <c r="W28" i="34"/>
  <c r="W42" i="34"/>
  <c r="W13" i="34"/>
  <c r="G13" i="34"/>
  <c r="G42" i="34"/>
  <c r="G28" i="34"/>
  <c r="D68" i="34"/>
  <c r="D36" i="34"/>
  <c r="D60" i="34"/>
  <c r="T7" i="34"/>
  <c r="T36" i="34"/>
  <c r="T60" i="34"/>
  <c r="T68" i="34"/>
  <c r="E42" i="34"/>
  <c r="E14" i="34"/>
  <c r="E24" i="34"/>
  <c r="E50" i="34"/>
  <c r="P20" i="34"/>
  <c r="P10" i="34"/>
  <c r="T41" i="34"/>
  <c r="T34" i="34"/>
  <c r="T35" i="34"/>
  <c r="T8" i="34"/>
  <c r="T48" i="34"/>
  <c r="T58" i="34"/>
  <c r="T17" i="34"/>
  <c r="T66" i="34"/>
  <c r="T63" i="34"/>
  <c r="T29" i="34"/>
  <c r="T18" i="34"/>
  <c r="T21" i="34"/>
  <c r="T49" i="34"/>
  <c r="T30" i="34"/>
  <c r="T56" i="34"/>
  <c r="T10" i="34"/>
  <c r="T69" i="34"/>
  <c r="T67" i="34"/>
  <c r="T20" i="34"/>
  <c r="T59" i="34"/>
  <c r="T64" i="34"/>
  <c r="T55" i="34"/>
  <c r="F9" i="34"/>
  <c r="V19" i="34"/>
  <c r="H16" i="34"/>
  <c r="N37" i="34"/>
  <c r="R7" i="34"/>
  <c r="R17" i="34"/>
  <c r="R29" i="34"/>
  <c r="R41" i="34"/>
  <c r="J21" i="34"/>
  <c r="J35" i="34"/>
  <c r="J49" i="34"/>
  <c r="L42" i="34"/>
  <c r="L13" i="34"/>
  <c r="L28" i="34"/>
  <c r="L14" i="34"/>
  <c r="L50" i="34"/>
  <c r="L24" i="34"/>
  <c r="X16" i="34"/>
  <c r="C13" i="34"/>
  <c r="C50" i="34"/>
  <c r="J33" i="34"/>
  <c r="J13" i="34"/>
  <c r="J28" i="34"/>
  <c r="K42" i="34"/>
  <c r="K28" i="34"/>
  <c r="K13" i="34"/>
  <c r="I28" i="34"/>
  <c r="I33" i="34"/>
  <c r="I50" i="34"/>
  <c r="W33" i="34"/>
  <c r="W14" i="34"/>
  <c r="W15" i="34"/>
  <c r="W50" i="34"/>
  <c r="W24" i="34"/>
  <c r="Q42" i="34"/>
  <c r="Q28" i="34"/>
  <c r="Q15" i="34"/>
  <c r="U14" i="34"/>
  <c r="U42" i="34"/>
  <c r="U24" i="34"/>
  <c r="U50" i="34"/>
  <c r="S50" i="34"/>
  <c r="S13" i="34"/>
  <c r="G50" i="34"/>
  <c r="G14" i="34"/>
  <c r="G24" i="34"/>
  <c r="G33" i="34"/>
  <c r="G15" i="34"/>
  <c r="O42" i="34"/>
  <c r="O15" i="34"/>
  <c r="O33" i="34"/>
  <c r="G66" i="34"/>
  <c r="G25" i="34"/>
  <c r="G51" i="34"/>
  <c r="G61" i="34"/>
  <c r="G37" i="34"/>
  <c r="G63" i="34"/>
  <c r="G55" i="34"/>
  <c r="G69" i="34"/>
  <c r="G62" i="34"/>
  <c r="G54" i="34"/>
  <c r="G65" i="34"/>
  <c r="G68" i="34"/>
  <c r="G19" i="34"/>
  <c r="G40" i="34"/>
  <c r="G9" i="34"/>
  <c r="G36" i="34"/>
  <c r="G60" i="34"/>
  <c r="G57" i="34"/>
  <c r="G47" i="34"/>
  <c r="R61" i="34"/>
  <c r="R51" i="34"/>
  <c r="R55" i="34"/>
  <c r="R49" i="34"/>
  <c r="R69" i="34"/>
  <c r="R48" i="34"/>
  <c r="R62" i="34"/>
  <c r="R63" i="34"/>
  <c r="R40" i="34"/>
  <c r="R16" i="34"/>
  <c r="R37" i="34"/>
  <c r="R25" i="34"/>
  <c r="R20" i="34"/>
  <c r="R34" i="34"/>
  <c r="R58" i="34"/>
  <c r="R10" i="34"/>
  <c r="R67" i="34"/>
  <c r="R66" i="34"/>
  <c r="R35" i="34"/>
  <c r="R21" i="34"/>
  <c r="R59" i="34"/>
  <c r="R54" i="34"/>
  <c r="D30" i="34"/>
  <c r="D20" i="34"/>
  <c r="D56" i="34"/>
  <c r="D58" i="34"/>
  <c r="D59" i="34"/>
  <c r="D7" i="34"/>
  <c r="D67" i="34"/>
  <c r="D29" i="34"/>
  <c r="D8" i="34"/>
  <c r="D41" i="34"/>
  <c r="D21" i="34"/>
  <c r="D55" i="34"/>
  <c r="D48" i="34"/>
  <c r="D66" i="34"/>
  <c r="D10" i="34"/>
  <c r="D17" i="34"/>
  <c r="D34" i="34"/>
  <c r="D63" i="34"/>
  <c r="D49" i="34"/>
  <c r="D35" i="34"/>
  <c r="D18" i="34"/>
  <c r="D64" i="34"/>
  <c r="S63" i="34"/>
  <c r="S69" i="34"/>
  <c r="S59" i="34"/>
  <c r="S58" i="34"/>
  <c r="S17" i="34"/>
  <c r="S61" i="34"/>
  <c r="S60" i="34"/>
  <c r="S55" i="34"/>
  <c r="S67" i="34"/>
  <c r="S34" i="34"/>
  <c r="S7" i="34"/>
  <c r="S35" i="34"/>
  <c r="S29" i="34"/>
  <c r="S20" i="34"/>
  <c r="S49" i="34"/>
  <c r="S51" i="34"/>
  <c r="S66" i="34"/>
  <c r="S48" i="34"/>
  <c r="S10" i="34"/>
  <c r="S21" i="34"/>
  <c r="S41" i="34"/>
  <c r="S68" i="34"/>
  <c r="N64" i="34"/>
  <c r="N69" i="34"/>
  <c r="N25" i="34"/>
  <c r="N9" i="34"/>
  <c r="N57" i="34"/>
  <c r="N30" i="34"/>
  <c r="N18" i="34"/>
  <c r="N65" i="34"/>
  <c r="N67" i="34"/>
  <c r="N19" i="34"/>
  <c r="N36" i="34"/>
  <c r="N49" i="34"/>
  <c r="N56" i="34"/>
  <c r="N68" i="34"/>
  <c r="N47" i="34"/>
  <c r="N35" i="34"/>
  <c r="N59" i="34"/>
  <c r="N51" i="34"/>
  <c r="N21" i="34"/>
  <c r="N8" i="34"/>
  <c r="N61" i="34"/>
  <c r="N60" i="34"/>
  <c r="O18" i="34"/>
  <c r="O67" i="34"/>
  <c r="O49" i="34"/>
  <c r="O25" i="34"/>
  <c r="O47" i="34"/>
  <c r="O69" i="34"/>
  <c r="O58" i="34"/>
  <c r="O64" i="34"/>
  <c r="O19" i="34"/>
  <c r="O57" i="34"/>
  <c r="O65" i="34"/>
  <c r="O48" i="34"/>
  <c r="O9" i="34"/>
  <c r="O30" i="34"/>
  <c r="O8" i="34"/>
  <c r="O61" i="34"/>
  <c r="O37" i="34"/>
  <c r="O56" i="34"/>
  <c r="O51" i="34"/>
  <c r="O66" i="34"/>
  <c r="O59" i="34"/>
  <c r="J40" i="34"/>
  <c r="J34" i="34"/>
  <c r="J41" i="34"/>
  <c r="J47" i="34"/>
  <c r="J48" i="34"/>
  <c r="J16" i="34"/>
  <c r="J57" i="34"/>
  <c r="J55" i="34"/>
  <c r="J19" i="34"/>
  <c r="J9" i="34"/>
  <c r="J58" i="34"/>
  <c r="J67" i="34"/>
  <c r="J66" i="34"/>
  <c r="J63" i="34"/>
  <c r="J7" i="34"/>
  <c r="J54" i="34"/>
  <c r="J59" i="34"/>
  <c r="J65" i="34"/>
  <c r="J62" i="34"/>
  <c r="J20" i="34"/>
  <c r="J17" i="34"/>
  <c r="J29" i="34"/>
  <c r="M18" i="34"/>
  <c r="M21" i="34"/>
  <c r="M59" i="34"/>
  <c r="M37" i="34"/>
  <c r="M36" i="34"/>
  <c r="M54" i="34"/>
  <c r="M60" i="34"/>
  <c r="M61" i="34"/>
  <c r="M8" i="34"/>
  <c r="M64" i="34"/>
  <c r="M51" i="34"/>
  <c r="M56" i="34"/>
  <c r="M69" i="34"/>
  <c r="M35" i="34"/>
  <c r="M49" i="34"/>
  <c r="M68" i="34"/>
  <c r="M62" i="34"/>
  <c r="M67" i="34"/>
  <c r="M30" i="34"/>
  <c r="I57" i="34"/>
  <c r="I48" i="34"/>
  <c r="I60" i="34"/>
  <c r="I67" i="34"/>
  <c r="I58" i="34"/>
  <c r="I54" i="34"/>
  <c r="I68" i="34"/>
  <c r="I66" i="34"/>
  <c r="I59" i="34"/>
  <c r="I40" i="34"/>
  <c r="I34" i="34"/>
  <c r="I16" i="34"/>
  <c r="I9" i="34"/>
  <c r="I49" i="34"/>
  <c r="I19" i="34"/>
  <c r="I62" i="34"/>
  <c r="I10" i="34"/>
  <c r="I47" i="34"/>
  <c r="I20" i="34"/>
  <c r="I65" i="34"/>
  <c r="E36" i="34"/>
  <c r="E66" i="34"/>
  <c r="E18" i="34"/>
  <c r="E30" i="34"/>
  <c r="E57" i="34"/>
  <c r="E55" i="34"/>
  <c r="E41" i="34"/>
  <c r="F17" i="34"/>
  <c r="E29" i="34"/>
  <c r="F57" i="34"/>
  <c r="F51" i="34"/>
  <c r="F47" i="34"/>
  <c r="F56" i="34"/>
  <c r="E56" i="34"/>
  <c r="F18" i="34"/>
  <c r="E48" i="34"/>
  <c r="E64" i="34"/>
  <c r="E63" i="34"/>
  <c r="F60" i="34"/>
  <c r="F65" i="34"/>
  <c r="F25" i="34"/>
  <c r="E65" i="34"/>
  <c r="E69" i="34"/>
  <c r="F37" i="34"/>
  <c r="F41" i="34"/>
  <c r="E47" i="34"/>
  <c r="F69" i="34"/>
  <c r="E17" i="34"/>
  <c r="F19" i="34"/>
  <c r="E60" i="34"/>
  <c r="F68" i="34"/>
  <c r="F63" i="34"/>
  <c r="E58" i="34"/>
  <c r="F7" i="34"/>
  <c r="E68" i="34"/>
  <c r="F36" i="34"/>
  <c r="F61" i="34"/>
  <c r="F64" i="34"/>
  <c r="F29" i="34"/>
  <c r="F30" i="34"/>
  <c r="F55" i="34"/>
  <c r="Q41" i="34"/>
  <c r="P57" i="34"/>
  <c r="P58" i="34"/>
  <c r="Q51" i="34"/>
  <c r="Q61" i="34"/>
  <c r="P62" i="34"/>
  <c r="P48" i="34"/>
  <c r="Q16" i="34"/>
  <c r="Q66" i="34"/>
  <c r="P66" i="34"/>
  <c r="P54" i="34"/>
  <c r="Q63" i="34"/>
  <c r="Q69" i="34"/>
  <c r="P16" i="34"/>
  <c r="P61" i="34"/>
  <c r="Q55" i="34"/>
  <c r="Q20" i="34"/>
  <c r="Q64" i="34"/>
  <c r="P56" i="34"/>
  <c r="Q34" i="34"/>
  <c r="P8" i="34"/>
  <c r="P37" i="34"/>
  <c r="P34" i="34"/>
  <c r="Q10" i="34"/>
  <c r="Q40" i="34"/>
  <c r="P18" i="34"/>
  <c r="Q54" i="34"/>
  <c r="Q58" i="34"/>
  <c r="P30" i="34"/>
  <c r="P65" i="34"/>
  <c r="Q37" i="34"/>
  <c r="Q62" i="34"/>
  <c r="P64" i="34"/>
  <c r="P19" i="34"/>
  <c r="Q56" i="34"/>
  <c r="Q67" i="34"/>
  <c r="P40" i="34"/>
  <c r="P25" i="34"/>
  <c r="P47" i="34"/>
  <c r="Q25" i="34"/>
  <c r="P51" i="34"/>
  <c r="Q48" i="34"/>
  <c r="P69" i="34"/>
  <c r="V61" i="34"/>
  <c r="V7" i="34"/>
  <c r="V65" i="34"/>
  <c r="V41" i="34"/>
  <c r="V17" i="34"/>
  <c r="V30" i="34"/>
  <c r="V25" i="34"/>
  <c r="V47" i="34"/>
  <c r="V64" i="34"/>
  <c r="V55" i="34"/>
  <c r="V68" i="34"/>
  <c r="V51" i="34"/>
  <c r="V63" i="34"/>
  <c r="V60" i="34"/>
  <c r="V9" i="34"/>
  <c r="V36" i="34"/>
  <c r="V37" i="34"/>
  <c r="V57" i="34"/>
  <c r="V18" i="34"/>
  <c r="V69" i="34"/>
  <c r="V56" i="34"/>
  <c r="V29" i="34"/>
  <c r="H47" i="34"/>
  <c r="H51" i="34"/>
  <c r="H40" i="34"/>
  <c r="H57" i="34"/>
  <c r="H9" i="34"/>
  <c r="H25" i="34"/>
  <c r="H10" i="34"/>
  <c r="H69" i="34"/>
  <c r="H54" i="34"/>
  <c r="H19" i="34"/>
  <c r="H48" i="34"/>
  <c r="H60" i="34"/>
  <c r="H37" i="34"/>
  <c r="H58" i="34"/>
  <c r="H34" i="34"/>
  <c r="H62" i="34"/>
  <c r="H66" i="34"/>
  <c r="H36" i="34"/>
  <c r="H65" i="34"/>
  <c r="H61" i="34"/>
  <c r="H20" i="34"/>
  <c r="H68" i="34"/>
  <c r="L17" i="34"/>
  <c r="L36" i="34"/>
  <c r="L21" i="34"/>
  <c r="L56" i="34"/>
  <c r="L49" i="34"/>
  <c r="L62" i="34"/>
  <c r="L63" i="34"/>
  <c r="L40" i="34"/>
  <c r="L8" i="34"/>
  <c r="L55" i="34"/>
  <c r="L60" i="34"/>
  <c r="L67" i="34"/>
  <c r="L29" i="34"/>
  <c r="L64" i="34"/>
  <c r="L35" i="34"/>
  <c r="L59" i="34"/>
  <c r="L18" i="34"/>
  <c r="L30" i="34"/>
  <c r="L68" i="34"/>
  <c r="L41" i="34"/>
  <c r="L54" i="34"/>
  <c r="L16" i="34"/>
  <c r="U65" i="34"/>
  <c r="U17" i="34"/>
  <c r="U64" i="34"/>
  <c r="U55" i="34"/>
  <c r="U41" i="34"/>
  <c r="U30" i="34"/>
  <c r="U29" i="34"/>
  <c r="U48" i="34"/>
  <c r="U36" i="34"/>
  <c r="U58" i="34"/>
  <c r="U69" i="34"/>
  <c r="U60" i="34"/>
  <c r="U57" i="34"/>
  <c r="U18" i="34"/>
  <c r="U66" i="34"/>
  <c r="U68" i="34"/>
  <c r="U63" i="34"/>
  <c r="U56" i="34"/>
  <c r="U47" i="34"/>
  <c r="K16" i="34"/>
  <c r="K64" i="34"/>
  <c r="K35" i="34"/>
  <c r="K49" i="34"/>
  <c r="K62" i="34"/>
  <c r="K57" i="34"/>
  <c r="K54" i="34"/>
  <c r="K17" i="34"/>
  <c r="K68" i="34"/>
  <c r="K41" i="34"/>
  <c r="K47" i="34"/>
  <c r="K21" i="34"/>
  <c r="K59" i="34"/>
  <c r="K65" i="34"/>
  <c r="K63" i="34"/>
  <c r="K67" i="34"/>
  <c r="K55" i="34"/>
  <c r="K29" i="34"/>
  <c r="K56" i="34"/>
  <c r="K40" i="34"/>
  <c r="X10" i="34"/>
  <c r="X36" i="34"/>
  <c r="X66" i="34"/>
  <c r="X57" i="34"/>
  <c r="X9" i="34"/>
  <c r="X40" i="34"/>
  <c r="X60" i="34"/>
  <c r="X62" i="34"/>
  <c r="X47" i="34"/>
  <c r="X34" i="34"/>
  <c r="X48" i="34"/>
  <c r="X69" i="34"/>
  <c r="X37" i="34"/>
  <c r="X61" i="34"/>
  <c r="X65" i="34"/>
  <c r="X54" i="34"/>
  <c r="X58" i="34"/>
  <c r="X51" i="34"/>
  <c r="X68" i="34"/>
  <c r="X25" i="34"/>
  <c r="X20" i="34"/>
  <c r="X19" i="34"/>
  <c r="W51" i="34"/>
  <c r="W55" i="34"/>
  <c r="W60" i="34"/>
  <c r="W47" i="34"/>
  <c r="W36" i="34"/>
  <c r="W68" i="34"/>
  <c r="W19" i="34"/>
  <c r="W37" i="34"/>
  <c r="W40" i="34"/>
  <c r="W61" i="34"/>
  <c r="W69" i="34"/>
  <c r="W54" i="34"/>
  <c r="W25" i="34"/>
  <c r="W66" i="34"/>
  <c r="W9" i="34"/>
  <c r="W57" i="34"/>
  <c r="W62" i="34"/>
  <c r="W63" i="34"/>
  <c r="W65" i="34"/>
  <c r="C17" i="34"/>
  <c r="C10" i="34"/>
  <c r="C49" i="34"/>
  <c r="C34" i="34"/>
  <c r="C61" i="34"/>
  <c r="C58" i="34"/>
  <c r="C48" i="34"/>
  <c r="C35" i="34"/>
  <c r="C7" i="34"/>
  <c r="C67" i="34"/>
  <c r="C20" i="34"/>
  <c r="C55" i="34"/>
  <c r="C51" i="34"/>
  <c r="C59" i="34"/>
  <c r="C69" i="34"/>
  <c r="C66" i="34"/>
  <c r="C21" i="34"/>
  <c r="C60" i="34"/>
  <c r="C68" i="34"/>
  <c r="C41" i="34"/>
  <c r="C63" i="34"/>
  <c r="C29" i="34"/>
  <c r="M42" i="34"/>
  <c r="M14" i="34"/>
  <c r="M13" i="34"/>
  <c r="M50" i="34"/>
  <c r="M24" i="34"/>
  <c r="H50" i="34"/>
  <c r="H14" i="34"/>
  <c r="H28" i="34"/>
  <c r="H24" i="34"/>
  <c r="H15" i="34"/>
  <c r="H33" i="34"/>
  <c r="D42" i="34"/>
  <c r="D13" i="34"/>
  <c r="D24" i="34"/>
  <c r="D50" i="34"/>
  <c r="D14" i="34"/>
  <c r="N13" i="34"/>
  <c r="N50" i="34"/>
  <c r="N33" i="34"/>
  <c r="N15" i="34"/>
  <c r="N24" i="34"/>
  <c r="N42" i="34"/>
  <c r="N14" i="34"/>
  <c r="T42" i="34"/>
  <c r="T24" i="34"/>
  <c r="T14" i="34"/>
  <c r="T50" i="34"/>
  <c r="T13" i="34"/>
  <c r="F50" i="34"/>
  <c r="F42" i="34"/>
  <c r="F24" i="34"/>
  <c r="F33" i="34"/>
  <c r="F15" i="34"/>
  <c r="F14" i="34"/>
  <c r="P33" i="34"/>
  <c r="P28" i="34"/>
  <c r="P15" i="34"/>
  <c r="P42" i="34"/>
  <c r="V42" i="34"/>
  <c r="V50" i="34"/>
  <c r="V14" i="34"/>
  <c r="V15" i="34"/>
  <c r="V33" i="34"/>
  <c r="V24" i="34"/>
  <c r="X24" i="34"/>
  <c r="X15" i="34"/>
  <c r="X28" i="34"/>
  <c r="X33" i="34"/>
  <c r="X50" i="34"/>
  <c r="X14" i="34"/>
  <c r="R13" i="34"/>
  <c r="R15" i="34"/>
  <c r="R28" i="34"/>
  <c r="S21" i="30"/>
  <c r="C21" i="30"/>
  <c r="L20" i="30"/>
  <c r="U18" i="30"/>
  <c r="E18" i="30"/>
  <c r="N16" i="30"/>
  <c r="W14" i="30"/>
  <c r="G14" i="30"/>
  <c r="P12" i="30"/>
  <c r="O21" i="30"/>
  <c r="X20" i="30"/>
  <c r="H20" i="30"/>
  <c r="Q18" i="30"/>
  <c r="Z16" i="30"/>
  <c r="J16" i="30"/>
  <c r="S14" i="30"/>
  <c r="C14" i="30"/>
  <c r="L12" i="30"/>
  <c r="U10" i="30"/>
  <c r="E10" i="30"/>
  <c r="N7" i="30"/>
  <c r="U40" i="29"/>
  <c r="E40" i="29"/>
  <c r="L39" i="29"/>
  <c r="S38" i="29"/>
  <c r="C38" i="29"/>
  <c r="J37" i="29"/>
  <c r="Q36" i="29"/>
  <c r="X35" i="29"/>
  <c r="H35" i="29"/>
  <c r="O34" i="29"/>
  <c r="V33" i="29"/>
  <c r="F33" i="29"/>
  <c r="M31" i="29"/>
  <c r="T30" i="29"/>
  <c r="D30" i="29"/>
  <c r="K29" i="29"/>
  <c r="R26" i="29"/>
  <c r="Y25" i="29"/>
  <c r="I25" i="29"/>
  <c r="P24" i="29"/>
  <c r="W23" i="29"/>
  <c r="G23" i="29"/>
  <c r="N22" i="29"/>
  <c r="U20" i="29"/>
  <c r="E20" i="29"/>
  <c r="L19" i="29"/>
  <c r="S18" i="29"/>
  <c r="C18" i="29"/>
  <c r="J17" i="29"/>
  <c r="Q16" i="29"/>
  <c r="X15" i="29"/>
  <c r="H15" i="29"/>
  <c r="O14" i="29"/>
  <c r="V13" i="29"/>
  <c r="F13" i="29"/>
  <c r="M11" i="29"/>
  <c r="T10" i="29"/>
  <c r="D10" i="29"/>
  <c r="K9" i="29"/>
  <c r="R8" i="29"/>
  <c r="Y7" i="29"/>
  <c r="I7" i="29"/>
  <c r="R20" i="28"/>
  <c r="AA19" i="28"/>
  <c r="K19" i="28"/>
  <c r="T18" i="28"/>
  <c r="D18" i="28"/>
  <c r="M17" i="28"/>
  <c r="V16" i="28"/>
  <c r="M21" i="30"/>
  <c r="V20" i="30"/>
  <c r="F20" i="30"/>
  <c r="O18" i="30"/>
  <c r="X16" i="30"/>
  <c r="H16" i="30"/>
  <c r="Q14" i="30"/>
  <c r="Z12" i="30"/>
  <c r="J12" i="30"/>
  <c r="S10" i="30"/>
  <c r="C10" i="30"/>
  <c r="L7" i="30"/>
  <c r="S40" i="29"/>
  <c r="C40" i="29"/>
  <c r="J39" i="29"/>
  <c r="Q38" i="29"/>
  <c r="L21" i="30"/>
  <c r="U20" i="30"/>
  <c r="E20" i="30"/>
  <c r="N18" i="30"/>
  <c r="W16" i="30"/>
  <c r="G16" i="30"/>
  <c r="P14" i="30"/>
  <c r="Y12" i="30"/>
  <c r="I12" i="30"/>
  <c r="R10" i="30"/>
  <c r="AA7" i="30"/>
  <c r="K7" i="30"/>
  <c r="R40" i="29"/>
  <c r="Y39" i="29"/>
  <c r="I39" i="29"/>
  <c r="P38" i="29"/>
  <c r="W37" i="29"/>
  <c r="G37" i="29"/>
  <c r="N36" i="29"/>
  <c r="U35" i="29"/>
  <c r="E35" i="29"/>
  <c r="L34" i="29"/>
  <c r="AA21" i="30"/>
  <c r="K21" i="30"/>
  <c r="T20" i="30"/>
  <c r="D20" i="30"/>
  <c r="M18" i="30"/>
  <c r="V16" i="30"/>
  <c r="F16" i="30"/>
  <c r="O14" i="30"/>
  <c r="X12" i="30"/>
  <c r="H12" i="30"/>
  <c r="Q10" i="30"/>
  <c r="Z7" i="30"/>
  <c r="J7" i="30"/>
  <c r="Q40" i="29"/>
  <c r="X39" i="29"/>
  <c r="H39" i="29"/>
  <c r="O38" i="29"/>
  <c r="V37" i="29"/>
  <c r="F37" i="29"/>
  <c r="M36" i="29"/>
  <c r="T35" i="29"/>
  <c r="D35" i="29"/>
  <c r="K34" i="29"/>
  <c r="R33" i="29"/>
  <c r="Y31" i="29"/>
  <c r="I31" i="29"/>
  <c r="P30" i="29"/>
  <c r="W29" i="29"/>
  <c r="G29" i="29"/>
  <c r="N26" i="29"/>
  <c r="U25" i="29"/>
  <c r="E25" i="29"/>
  <c r="L24" i="29"/>
  <c r="S23" i="29"/>
  <c r="C23" i="29"/>
  <c r="J22" i="29"/>
  <c r="Q20" i="29"/>
  <c r="X19" i="29"/>
  <c r="H19" i="29"/>
  <c r="O18" i="29"/>
  <c r="V17" i="29"/>
  <c r="F17" i="29"/>
  <c r="M16" i="29"/>
  <c r="T15" i="29"/>
  <c r="D15" i="29"/>
  <c r="K14" i="29"/>
  <c r="R13" i="29"/>
  <c r="Y11" i="29"/>
  <c r="I11" i="29"/>
  <c r="P10" i="29"/>
  <c r="W9" i="29"/>
  <c r="G9" i="29"/>
  <c r="N8" i="29"/>
  <c r="U7" i="29"/>
  <c r="E7" i="29"/>
  <c r="N20" i="28"/>
  <c r="W19" i="28"/>
  <c r="G19" i="28"/>
  <c r="P18" i="28"/>
  <c r="Y17" i="28"/>
  <c r="I17" i="28"/>
  <c r="R16" i="28"/>
  <c r="AA14" i="28"/>
  <c r="Z21" i="30"/>
  <c r="J21" i="30"/>
  <c r="S20" i="30"/>
  <c r="C20" i="30"/>
  <c r="L18" i="30"/>
  <c r="U16" i="30"/>
  <c r="E16" i="30"/>
  <c r="N14" i="30"/>
  <c r="W12" i="30"/>
  <c r="G12" i="30"/>
  <c r="P10" i="30"/>
  <c r="Y7" i="30"/>
  <c r="I7" i="30"/>
  <c r="P40" i="29"/>
  <c r="W39" i="29"/>
  <c r="G39" i="29"/>
  <c r="N38" i="29"/>
  <c r="U37" i="29"/>
  <c r="E37" i="29"/>
  <c r="L36" i="29"/>
  <c r="S35" i="29"/>
  <c r="C35" i="29"/>
  <c r="J34" i="29"/>
  <c r="Q33" i="29"/>
  <c r="Y21" i="30"/>
  <c r="I21" i="30"/>
  <c r="R20" i="30"/>
  <c r="AA18" i="30"/>
  <c r="K18" i="30"/>
  <c r="T16" i="30"/>
  <c r="D16" i="30"/>
  <c r="M14" i="30"/>
  <c r="V12" i="30"/>
  <c r="F12" i="30"/>
  <c r="O10" i="30"/>
  <c r="X7" i="30"/>
  <c r="H7" i="30"/>
  <c r="O40" i="29"/>
  <c r="V39" i="29"/>
  <c r="F39" i="29"/>
  <c r="M38" i="29"/>
  <c r="T37" i="29"/>
  <c r="D37" i="29"/>
  <c r="K36" i="29"/>
  <c r="R35" i="29"/>
  <c r="Y34" i="29"/>
  <c r="I34" i="29"/>
  <c r="P33" i="29"/>
  <c r="W31" i="29"/>
  <c r="G31" i="29"/>
  <c r="N30" i="29"/>
  <c r="U29" i="29"/>
  <c r="V21" i="30"/>
  <c r="F21" i="30"/>
  <c r="O20" i="30"/>
  <c r="X18" i="30"/>
  <c r="H18" i="30"/>
  <c r="Q16" i="30"/>
  <c r="Z14" i="30"/>
  <c r="J14" i="30"/>
  <c r="S12" i="30"/>
  <c r="C12" i="30"/>
  <c r="L10" i="30"/>
  <c r="U7" i="30"/>
  <c r="E7" i="30"/>
  <c r="L40" i="29"/>
  <c r="S39" i="29"/>
  <c r="C39" i="29"/>
  <c r="J38" i="29"/>
  <c r="Q37" i="29"/>
  <c r="X36" i="29"/>
  <c r="H36" i="29"/>
  <c r="O35" i="29"/>
  <c r="V34" i="29"/>
  <c r="F34" i="29"/>
  <c r="M33" i="29"/>
  <c r="T31" i="29"/>
  <c r="D31" i="29"/>
  <c r="K30" i="29"/>
  <c r="AA20" i="30"/>
  <c r="T18" i="30"/>
  <c r="M16" i="30"/>
  <c r="F14" i="30"/>
  <c r="Y10" i="30"/>
  <c r="T7" i="30"/>
  <c r="N40" i="29"/>
  <c r="M39" i="29"/>
  <c r="F38" i="29"/>
  <c r="Y36" i="29"/>
  <c r="Y35" i="29"/>
  <c r="T34" i="29"/>
  <c r="T33" i="29"/>
  <c r="S31" i="29"/>
  <c r="V30" i="29"/>
  <c r="X29" i="29"/>
  <c r="D29" i="29"/>
  <c r="I26" i="29"/>
  <c r="N25" i="29"/>
  <c r="S24" i="29"/>
  <c r="X23" i="29"/>
  <c r="E23" i="29"/>
  <c r="I22" i="29"/>
  <c r="N20" i="29"/>
  <c r="S19" i="29"/>
  <c r="X18" i="29"/>
  <c r="F18" i="29"/>
  <c r="K17" i="29"/>
  <c r="O16" i="29"/>
  <c r="S15" i="29"/>
  <c r="X14" i="29"/>
  <c r="F14" i="29"/>
  <c r="K13" i="29"/>
  <c r="P11" i="29"/>
  <c r="U10" i="29"/>
  <c r="Y9" i="29"/>
  <c r="F9" i="29"/>
  <c r="K8" i="29"/>
  <c r="P7" i="29"/>
  <c r="W20" i="28"/>
  <c r="E20" i="28"/>
  <c r="L19" i="28"/>
  <c r="R18" i="28"/>
  <c r="X17" i="28"/>
  <c r="F17" i="28"/>
  <c r="M16" i="28"/>
  <c r="U14" i="28"/>
  <c r="E14" i="28"/>
  <c r="N13" i="28"/>
  <c r="W11" i="28"/>
  <c r="G11" i="28"/>
  <c r="P10" i="28"/>
  <c r="Y9" i="28"/>
  <c r="I9" i="28"/>
  <c r="R8" i="28"/>
  <c r="AA7" i="28"/>
  <c r="K7" i="28"/>
  <c r="T6" i="28"/>
  <c r="D6" i="28"/>
  <c r="M25" i="27"/>
  <c r="V22" i="27"/>
  <c r="F22" i="27"/>
  <c r="O21" i="27"/>
  <c r="X20" i="27"/>
  <c r="H20" i="27"/>
  <c r="Q18" i="27"/>
  <c r="Z17" i="27"/>
  <c r="J17" i="27"/>
  <c r="S16" i="27"/>
  <c r="C16" i="27"/>
  <c r="L14" i="27"/>
  <c r="U13" i="27"/>
  <c r="E13" i="27"/>
  <c r="N12" i="27"/>
  <c r="W10" i="27"/>
  <c r="G10" i="27"/>
  <c r="P9" i="27"/>
  <c r="Y8" i="27"/>
  <c r="I8" i="27"/>
  <c r="R7" i="27"/>
  <c r="AA6" i="27"/>
  <c r="Z20" i="30"/>
  <c r="S18" i="30"/>
  <c r="L16" i="30"/>
  <c r="E14" i="30"/>
  <c r="X10" i="30"/>
  <c r="S7" i="30"/>
  <c r="M40" i="29"/>
  <c r="K39" i="29"/>
  <c r="E38" i="29"/>
  <c r="W36" i="29"/>
  <c r="W35" i="29"/>
  <c r="S34" i="29"/>
  <c r="S33" i="29"/>
  <c r="R31" i="29"/>
  <c r="U30" i="29"/>
  <c r="V29" i="29"/>
  <c r="C29" i="29"/>
  <c r="H26" i="29"/>
  <c r="M25" i="29"/>
  <c r="R24" i="29"/>
  <c r="V23" i="29"/>
  <c r="D23" i="29"/>
  <c r="H22" i="29"/>
  <c r="M20" i="29"/>
  <c r="R19" i="29"/>
  <c r="W18" i="29"/>
  <c r="E18" i="29"/>
  <c r="I17" i="29"/>
  <c r="N16" i="29"/>
  <c r="R15" i="29"/>
  <c r="W14" i="29"/>
  <c r="E14" i="29"/>
  <c r="J13" i="29"/>
  <c r="O11" i="29"/>
  <c r="S10" i="29"/>
  <c r="X9" i="29"/>
  <c r="E9" i="29"/>
  <c r="J8" i="29"/>
  <c r="O7" i="29"/>
  <c r="V20" i="28"/>
  <c r="D20" i="28"/>
  <c r="J19" i="28"/>
  <c r="Q18" i="28"/>
  <c r="W17" i="28"/>
  <c r="E17" i="28"/>
  <c r="Y20" i="30"/>
  <c r="R18" i="30"/>
  <c r="K16" i="30"/>
  <c r="D14" i="30"/>
  <c r="W10" i="30"/>
  <c r="R7" i="30"/>
  <c r="K40" i="29"/>
  <c r="E39" i="29"/>
  <c r="D38" i="29"/>
  <c r="V36" i="29"/>
  <c r="V35" i="29"/>
  <c r="R34" i="29"/>
  <c r="O33" i="29"/>
  <c r="Q31" i="29"/>
  <c r="S30" i="29"/>
  <c r="T29" i="29"/>
  <c r="Y26" i="29"/>
  <c r="G26" i="29"/>
  <c r="L25" i="29"/>
  <c r="Q24" i="29"/>
  <c r="U23" i="29"/>
  <c r="Y22" i="29"/>
  <c r="G22" i="29"/>
  <c r="L20" i="29"/>
  <c r="Q19" i="29"/>
  <c r="V18" i="29"/>
  <c r="D18" i="29"/>
  <c r="H17" i="29"/>
  <c r="L16" i="29"/>
  <c r="Q15" i="29"/>
  <c r="V14" i="29"/>
  <c r="D14" i="29"/>
  <c r="I13" i="29"/>
  <c r="N11" i="29"/>
  <c r="R10" i="29"/>
  <c r="V9" i="29"/>
  <c r="D9" i="29"/>
  <c r="I8" i="29"/>
  <c r="N7" i="29"/>
  <c r="U20" i="28"/>
  <c r="C20" i="28"/>
  <c r="I19" i="28"/>
  <c r="O18" i="28"/>
  <c r="V17" i="28"/>
  <c r="D17" i="28"/>
  <c r="K16" i="28"/>
  <c r="S14" i="28"/>
  <c r="C14" i="28"/>
  <c r="L13" i="28"/>
  <c r="U11" i="28"/>
  <c r="E11" i="28"/>
  <c r="N10" i="28"/>
  <c r="W9" i="28"/>
  <c r="G9" i="28"/>
  <c r="P8" i="28"/>
  <c r="Y7" i="28"/>
  <c r="I7" i="28"/>
  <c r="R6" i="28"/>
  <c r="AA25" i="27"/>
  <c r="K25" i="27"/>
  <c r="T22" i="27"/>
  <c r="D22" i="27"/>
  <c r="M21" i="27"/>
  <c r="V20" i="27"/>
  <c r="F20" i="27"/>
  <c r="O18" i="27"/>
  <c r="X17" i="27"/>
  <c r="H17" i="27"/>
  <c r="Q16" i="27"/>
  <c r="Z14" i="27"/>
  <c r="J14" i="27"/>
  <c r="S13" i="27"/>
  <c r="C13" i="27"/>
  <c r="L12" i="27"/>
  <c r="U10" i="27"/>
  <c r="E10" i="27"/>
  <c r="N9" i="27"/>
  <c r="W8" i="27"/>
  <c r="G8" i="27"/>
  <c r="W20" i="30"/>
  <c r="P18" i="30"/>
  <c r="I16" i="30"/>
  <c r="AA12" i="30"/>
  <c r="V10" i="30"/>
  <c r="Q7" i="30"/>
  <c r="J40" i="29"/>
  <c r="D39" i="29"/>
  <c r="Y37" i="29"/>
  <c r="U36" i="29"/>
  <c r="Q35" i="29"/>
  <c r="Q34" i="29"/>
  <c r="N33" i="29"/>
  <c r="P31" i="29"/>
  <c r="R30" i="29"/>
  <c r="S29" i="29"/>
  <c r="X26" i="29"/>
  <c r="F26" i="29"/>
  <c r="K25" i="29"/>
  <c r="O24" i="29"/>
  <c r="T23" i="29"/>
  <c r="X22" i="29"/>
  <c r="F22" i="29"/>
  <c r="K20" i="29"/>
  <c r="P19" i="29"/>
  <c r="U18" i="29"/>
  <c r="Y17" i="29"/>
  <c r="G17" i="29"/>
  <c r="K16" i="29"/>
  <c r="P15" i="29"/>
  <c r="U14" i="29"/>
  <c r="C14" i="29"/>
  <c r="H13" i="29"/>
  <c r="L11" i="29"/>
  <c r="Q10" i="29"/>
  <c r="U9" i="29"/>
  <c r="C9" i="29"/>
  <c r="H8" i="29"/>
  <c r="M7" i="29"/>
  <c r="T20" i="28"/>
  <c r="Z19" i="28"/>
  <c r="H19" i="28"/>
  <c r="N18" i="28"/>
  <c r="U17" i="28"/>
  <c r="C17" i="28"/>
  <c r="J16" i="28"/>
  <c r="R14" i="28"/>
  <c r="AA13" i="28"/>
  <c r="K13" i="28"/>
  <c r="T11" i="28"/>
  <c r="D11" i="28"/>
  <c r="M10" i="28"/>
  <c r="V9" i="28"/>
  <c r="F9" i="28"/>
  <c r="O8" i="28"/>
  <c r="X7" i="28"/>
  <c r="H7" i="28"/>
  <c r="Q6" i="28"/>
  <c r="Z25" i="27"/>
  <c r="J25" i="27"/>
  <c r="S22" i="27"/>
  <c r="C22" i="27"/>
  <c r="L21" i="27"/>
  <c r="U20" i="27"/>
  <c r="E20" i="27"/>
  <c r="N18" i="27"/>
  <c r="W17" i="27"/>
  <c r="G17" i="27"/>
  <c r="P16" i="27"/>
  <c r="Y14" i="27"/>
  <c r="I14" i="27"/>
  <c r="R13" i="27"/>
  <c r="AA12" i="27"/>
  <c r="K12" i="27"/>
  <c r="T10" i="27"/>
  <c r="D10" i="27"/>
  <c r="M9" i="27"/>
  <c r="V8" i="27"/>
  <c r="F8" i="27"/>
  <c r="X21" i="30"/>
  <c r="Q20" i="30"/>
  <c r="J18" i="30"/>
  <c r="C16" i="30"/>
  <c r="U12" i="30"/>
  <c r="T10" i="30"/>
  <c r="P7" i="30"/>
  <c r="I40" i="29"/>
  <c r="Y38" i="29"/>
  <c r="X37" i="29"/>
  <c r="T36" i="29"/>
  <c r="P35" i="29"/>
  <c r="P34" i="29"/>
  <c r="L33" i="29"/>
  <c r="O31" i="29"/>
  <c r="Q30" i="29"/>
  <c r="R29" i="29"/>
  <c r="W26" i="29"/>
  <c r="E26" i="29"/>
  <c r="J25" i="29"/>
  <c r="N24" i="29"/>
  <c r="R23" i="29"/>
  <c r="W22" i="29"/>
  <c r="E22" i="29"/>
  <c r="J20" i="29"/>
  <c r="O19" i="29"/>
  <c r="T18" i="29"/>
  <c r="X17" i="29"/>
  <c r="E17" i="29"/>
  <c r="J16" i="29"/>
  <c r="O15" i="29"/>
  <c r="T14" i="29"/>
  <c r="Y13" i="29"/>
  <c r="G13" i="29"/>
  <c r="K11" i="29"/>
  <c r="O10" i="29"/>
  <c r="T9" i="29"/>
  <c r="Y8" i="29"/>
  <c r="G8" i="29"/>
  <c r="L7" i="29"/>
  <c r="S20" i="28"/>
  <c r="Y19" i="28"/>
  <c r="F19" i="28"/>
  <c r="M18" i="28"/>
  <c r="T17" i="28"/>
  <c r="AA16" i="28"/>
  <c r="I16" i="28"/>
  <c r="Q14" i="28"/>
  <c r="Z13" i="28"/>
  <c r="J13" i="28"/>
  <c r="S11" i="28"/>
  <c r="C11" i="28"/>
  <c r="L10" i="28"/>
  <c r="U9" i="28"/>
  <c r="E9" i="28"/>
  <c r="N8" i="28"/>
  <c r="W7" i="28"/>
  <c r="G7" i="28"/>
  <c r="P6" i="28"/>
  <c r="Y25" i="27"/>
  <c r="I25" i="27"/>
  <c r="R22" i="27"/>
  <c r="AA21" i="27"/>
  <c r="K21" i="27"/>
  <c r="T20" i="27"/>
  <c r="D20" i="27"/>
  <c r="M18" i="27"/>
  <c r="V17" i="27"/>
  <c r="F17" i="27"/>
  <c r="O16" i="27"/>
  <c r="X14" i="27"/>
  <c r="H14" i="27"/>
  <c r="Q13" i="27"/>
  <c r="Z12" i="27"/>
  <c r="J12" i="27"/>
  <c r="S10" i="27"/>
  <c r="C10" i="27"/>
  <c r="L9" i="27"/>
  <c r="U8" i="27"/>
  <c r="E8" i="27"/>
  <c r="N7" i="27"/>
  <c r="W6" i="27"/>
  <c r="G6" i="27"/>
  <c r="P39" i="26"/>
  <c r="Y38" i="26"/>
  <c r="I38" i="26"/>
  <c r="R37" i="26"/>
  <c r="AA35" i="26"/>
  <c r="K35" i="26"/>
  <c r="T34" i="26"/>
  <c r="D34" i="26"/>
  <c r="M32" i="26"/>
  <c r="V31" i="26"/>
  <c r="F31" i="26"/>
  <c r="O30" i="26"/>
  <c r="X28" i="26"/>
  <c r="H28" i="26"/>
  <c r="W21" i="30"/>
  <c r="P20" i="30"/>
  <c r="I18" i="30"/>
  <c r="AA14" i="30"/>
  <c r="T12" i="30"/>
  <c r="N10" i="30"/>
  <c r="O7" i="30"/>
  <c r="H40" i="29"/>
  <c r="X38" i="29"/>
  <c r="S37" i="29"/>
  <c r="S36" i="29"/>
  <c r="N35" i="29"/>
  <c r="N34" i="29"/>
  <c r="K33" i="29"/>
  <c r="N31" i="29"/>
  <c r="O30" i="29"/>
  <c r="Q29" i="29"/>
  <c r="V26" i="29"/>
  <c r="D26" i="29"/>
  <c r="H25" i="29"/>
  <c r="M24" i="29"/>
  <c r="Q23" i="29"/>
  <c r="V22" i="29"/>
  <c r="D22" i="29"/>
  <c r="I20" i="29"/>
  <c r="N19" i="29"/>
  <c r="R18" i="29"/>
  <c r="W17" i="29"/>
  <c r="D17" i="29"/>
  <c r="I16" i="29"/>
  <c r="N15" i="29"/>
  <c r="S14" i="29"/>
  <c r="X13" i="29"/>
  <c r="E13" i="29"/>
  <c r="J11" i="29"/>
  <c r="N10" i="29"/>
  <c r="S9" i="29"/>
  <c r="X8" i="29"/>
  <c r="F8" i="29"/>
  <c r="K7" i="29"/>
  <c r="Q20" i="28"/>
  <c r="X19" i="28"/>
  <c r="E19" i="28"/>
  <c r="L18" i="28"/>
  <c r="S17" i="28"/>
  <c r="Z16" i="28"/>
  <c r="H16" i="28"/>
  <c r="P14" i="28"/>
  <c r="Y13" i="28"/>
  <c r="I13" i="28"/>
  <c r="R11" i="28"/>
  <c r="AA10" i="28"/>
  <c r="K10" i="28"/>
  <c r="T9" i="28"/>
  <c r="D9" i="28"/>
  <c r="M8" i="28"/>
  <c r="V7" i="28"/>
  <c r="U21" i="30"/>
  <c r="N20" i="30"/>
  <c r="G18" i="30"/>
  <c r="Y14" i="30"/>
  <c r="R12" i="30"/>
  <c r="M10" i="30"/>
  <c r="M7" i="30"/>
  <c r="G40" i="29"/>
  <c r="W38" i="29"/>
  <c r="R37" i="29"/>
  <c r="R36" i="29"/>
  <c r="M35" i="29"/>
  <c r="M34" i="29"/>
  <c r="J33" i="29"/>
  <c r="L31" i="29"/>
  <c r="M30" i="29"/>
  <c r="P29" i="29"/>
  <c r="U26" i="29"/>
  <c r="C26" i="29"/>
  <c r="G25" i="29"/>
  <c r="K24" i="29"/>
  <c r="P23" i="29"/>
  <c r="U22" i="29"/>
  <c r="C22" i="29"/>
  <c r="H20" i="29"/>
  <c r="M19" i="29"/>
  <c r="Q18" i="29"/>
  <c r="U17" i="29"/>
  <c r="C17" i="29"/>
  <c r="H16" i="29"/>
  <c r="M15" i="29"/>
  <c r="R14" i="29"/>
  <c r="W13" i="29"/>
  <c r="D13" i="29"/>
  <c r="H11" i="29"/>
  <c r="M10" i="29"/>
  <c r="R9" i="29"/>
  <c r="W8" i="29"/>
  <c r="E8" i="29"/>
  <c r="J7" i="29"/>
  <c r="P20" i="28"/>
  <c r="V19" i="28"/>
  <c r="D19" i="28"/>
  <c r="K18" i="28"/>
  <c r="R17" i="28"/>
  <c r="Y16" i="28"/>
  <c r="G16" i="28"/>
  <c r="O14" i="28"/>
  <c r="X13" i="28"/>
  <c r="H13" i="28"/>
  <c r="Q11" i="28"/>
  <c r="Z10" i="28"/>
  <c r="J10" i="28"/>
  <c r="S9" i="28"/>
  <c r="C9" i="28"/>
  <c r="L8" i="28"/>
  <c r="U7" i="28"/>
  <c r="E7" i="28"/>
  <c r="N6" i="28"/>
  <c r="W25" i="27"/>
  <c r="G25" i="27"/>
  <c r="P22" i="27"/>
  <c r="Y21" i="27"/>
  <c r="I21" i="27"/>
  <c r="R20" i="27"/>
  <c r="AA18" i="27"/>
  <c r="K18" i="27"/>
  <c r="T17" i="27"/>
  <c r="D17" i="27"/>
  <c r="M16" i="27"/>
  <c r="V14" i="27"/>
  <c r="F14" i="27"/>
  <c r="T21" i="30"/>
  <c r="M20" i="30"/>
  <c r="F18" i="30"/>
  <c r="X14" i="30"/>
  <c r="R21" i="30"/>
  <c r="K20" i="30"/>
  <c r="D18" i="30"/>
  <c r="V14" i="30"/>
  <c r="O12" i="30"/>
  <c r="J10" i="30"/>
  <c r="F7" i="30"/>
  <c r="D40" i="29"/>
  <c r="U38" i="29"/>
  <c r="O37" i="29"/>
  <c r="O36" i="29"/>
  <c r="K35" i="29"/>
  <c r="G34" i="29"/>
  <c r="H33" i="29"/>
  <c r="J31" i="29"/>
  <c r="J30" i="29"/>
  <c r="N29" i="29"/>
  <c r="S26" i="29"/>
  <c r="W25" i="29"/>
  <c r="D25" i="29"/>
  <c r="I24" i="29"/>
  <c r="N23" i="29"/>
  <c r="S22" i="29"/>
  <c r="X20" i="29"/>
  <c r="F20" i="29"/>
  <c r="J19" i="29"/>
  <c r="N18" i="29"/>
  <c r="S17" i="29"/>
  <c r="X16" i="29"/>
  <c r="F16" i="29"/>
  <c r="K15" i="29"/>
  <c r="P14" i="29"/>
  <c r="T13" i="29"/>
  <c r="X11" i="29"/>
  <c r="F11" i="29"/>
  <c r="K10" i="29"/>
  <c r="P9" i="29"/>
  <c r="U8" i="29"/>
  <c r="C8" i="29"/>
  <c r="G7" i="29"/>
  <c r="M20" i="28"/>
  <c r="T19" i="28"/>
  <c r="AA18" i="28"/>
  <c r="I18" i="28"/>
  <c r="P17" i="28"/>
  <c r="W16" i="28"/>
  <c r="E16" i="28"/>
  <c r="M14" i="28"/>
  <c r="V13" i="28"/>
  <c r="F13" i="28"/>
  <c r="O11" i="28"/>
  <c r="X10" i="28"/>
  <c r="H10" i="28"/>
  <c r="Q9" i="28"/>
  <c r="Z8" i="28"/>
  <c r="J8" i="28"/>
  <c r="S7" i="28"/>
  <c r="C7" i="28"/>
  <c r="L6" i="28"/>
  <c r="U25" i="27"/>
  <c r="E25" i="27"/>
  <c r="N22" i="27"/>
  <c r="W21" i="27"/>
  <c r="G21" i="27"/>
  <c r="P20" i="27"/>
  <c r="Y18" i="27"/>
  <c r="I18" i="27"/>
  <c r="R17" i="27"/>
  <c r="AA16" i="27"/>
  <c r="K16" i="27"/>
  <c r="T14" i="27"/>
  <c r="D14" i="27"/>
  <c r="M13" i="27"/>
  <c r="V12" i="27"/>
  <c r="F12" i="27"/>
  <c r="O10" i="27"/>
  <c r="X9" i="27"/>
  <c r="H9" i="27"/>
  <c r="Q8" i="27"/>
  <c r="Z7" i="27"/>
  <c r="J7" i="27"/>
  <c r="S6" i="27"/>
  <c r="C6" i="27"/>
  <c r="L39" i="26"/>
  <c r="U38" i="26"/>
  <c r="E38" i="26"/>
  <c r="N37" i="26"/>
  <c r="W35" i="26"/>
  <c r="G35" i="26"/>
  <c r="P34" i="26"/>
  <c r="Y32" i="26"/>
  <c r="I32" i="26"/>
  <c r="R31" i="26"/>
  <c r="AA30" i="26"/>
  <c r="K30" i="26"/>
  <c r="T28" i="26"/>
  <c r="D28" i="26"/>
  <c r="M27" i="26"/>
  <c r="V26" i="26"/>
  <c r="F26" i="26"/>
  <c r="O25" i="26"/>
  <c r="X23" i="26"/>
  <c r="H23" i="26"/>
  <c r="Q20" i="26"/>
  <c r="Z19" i="26"/>
  <c r="J19" i="26"/>
  <c r="S18" i="26"/>
  <c r="C18" i="26"/>
  <c r="L16" i="26"/>
  <c r="U15" i="26"/>
  <c r="E15" i="26"/>
  <c r="Q21" i="30"/>
  <c r="J20" i="30"/>
  <c r="C18" i="30"/>
  <c r="U14" i="30"/>
  <c r="N12" i="30"/>
  <c r="I10" i="30"/>
  <c r="D7" i="30"/>
  <c r="U39" i="29"/>
  <c r="T38" i="29"/>
  <c r="N37" i="29"/>
  <c r="J36" i="29"/>
  <c r="J35" i="29"/>
  <c r="E34" i="29"/>
  <c r="G33" i="29"/>
  <c r="H31" i="29"/>
  <c r="I30" i="29"/>
  <c r="M29" i="29"/>
  <c r="Q26" i="29"/>
  <c r="V25" i="29"/>
  <c r="C25" i="29"/>
  <c r="H24" i="29"/>
  <c r="M23" i="29"/>
  <c r="R22" i="29"/>
  <c r="W20" i="29"/>
  <c r="D20" i="29"/>
  <c r="I19" i="29"/>
  <c r="M18" i="29"/>
  <c r="R17" i="29"/>
  <c r="W16" i="29"/>
  <c r="E16" i="29"/>
  <c r="J15" i="29"/>
  <c r="N14" i="29"/>
  <c r="S13" i="29"/>
  <c r="W11" i="29"/>
  <c r="E11" i="29"/>
  <c r="J10" i="29"/>
  <c r="O9" i="29"/>
  <c r="T8" i="29"/>
  <c r="X7" i="29"/>
  <c r="F7" i="29"/>
  <c r="P21" i="30"/>
  <c r="I20" i="30"/>
  <c r="AA16" i="30"/>
  <c r="T14" i="30"/>
  <c r="M12" i="30"/>
  <c r="H10" i="30"/>
  <c r="C7" i="30"/>
  <c r="T39" i="29"/>
  <c r="R38" i="29"/>
  <c r="M37" i="29"/>
  <c r="I36" i="29"/>
  <c r="I35" i="29"/>
  <c r="D34" i="29"/>
  <c r="E33" i="29"/>
  <c r="F31" i="29"/>
  <c r="H30" i="29"/>
  <c r="L29" i="29"/>
  <c r="P26" i="29"/>
  <c r="T25" i="29"/>
  <c r="Y24" i="29"/>
  <c r="G24" i="29"/>
  <c r="L23" i="29"/>
  <c r="Q22" i="29"/>
  <c r="V20" i="29"/>
  <c r="C20" i="29"/>
  <c r="G19" i="29"/>
  <c r="L18" i="29"/>
  <c r="Q17" i="29"/>
  <c r="V16" i="29"/>
  <c r="D16" i="29"/>
  <c r="I15" i="29"/>
  <c r="M14" i="29"/>
  <c r="Q13" i="29"/>
  <c r="V11" i="29"/>
  <c r="D11" i="29"/>
  <c r="I10" i="29"/>
  <c r="N9" i="29"/>
  <c r="S8" i="29"/>
  <c r="W7" i="29"/>
  <c r="D7" i="29"/>
  <c r="K20" i="28"/>
  <c r="R19" i="28"/>
  <c r="Y18" i="28"/>
  <c r="G18" i="28"/>
  <c r="N17" i="28"/>
  <c r="T16" i="28"/>
  <c r="C16" i="28"/>
  <c r="K14" i="28"/>
  <c r="T13" i="28"/>
  <c r="D13" i="28"/>
  <c r="M11" i="28"/>
  <c r="N21" i="30"/>
  <c r="G20" i="30"/>
  <c r="Y16" i="30"/>
  <c r="R14" i="30"/>
  <c r="K12" i="30"/>
  <c r="G10" i="30"/>
  <c r="Y40" i="29"/>
  <c r="R39" i="29"/>
  <c r="L38" i="29"/>
  <c r="L37" i="29"/>
  <c r="G36" i="29"/>
  <c r="G35" i="29"/>
  <c r="C34" i="29"/>
  <c r="D33" i="29"/>
  <c r="E31" i="29"/>
  <c r="G30" i="29"/>
  <c r="J29" i="29"/>
  <c r="O26" i="29"/>
  <c r="S25" i="29"/>
  <c r="X24" i="29"/>
  <c r="F24" i="29"/>
  <c r="K23" i="29"/>
  <c r="P22" i="29"/>
  <c r="T20" i="29"/>
  <c r="Y19" i="29"/>
  <c r="F19" i="29"/>
  <c r="K18" i="29"/>
  <c r="P17" i="29"/>
  <c r="U16" i="29"/>
  <c r="C16" i="29"/>
  <c r="G15" i="29"/>
  <c r="L14" i="29"/>
  <c r="P13" i="29"/>
  <c r="U11" i="29"/>
  <c r="C11" i="29"/>
  <c r="H10" i="29"/>
  <c r="M9" i="29"/>
  <c r="Q8" i="29"/>
  <c r="V7" i="29"/>
  <c r="C7" i="29"/>
  <c r="J20" i="28"/>
  <c r="Q19" i="28"/>
  <c r="X18" i="28"/>
  <c r="F18" i="28"/>
  <c r="L17" i="28"/>
  <c r="S16" i="28"/>
  <c r="Z14" i="28"/>
  <c r="J14" i="28"/>
  <c r="S13" i="28"/>
  <c r="C13" i="28"/>
  <c r="L11" i="28"/>
  <c r="U10" i="28"/>
  <c r="E10" i="28"/>
  <c r="N9" i="28"/>
  <c r="W8" i="28"/>
  <c r="G8" i="28"/>
  <c r="P7" i="28"/>
  <c r="Y6" i="28"/>
  <c r="I6" i="28"/>
  <c r="R25" i="27"/>
  <c r="AA22" i="27"/>
  <c r="K22" i="27"/>
  <c r="T21" i="27"/>
  <c r="D21" i="27"/>
  <c r="M20" i="27"/>
  <c r="V18" i="27"/>
  <c r="F18" i="27"/>
  <c r="O17" i="27"/>
  <c r="X16" i="27"/>
  <c r="H16" i="27"/>
  <c r="Q14" i="27"/>
  <c r="Z13" i="27"/>
  <c r="J13" i="27"/>
  <c r="S12" i="27"/>
  <c r="C12" i="27"/>
  <c r="L10" i="27"/>
  <c r="U9" i="27"/>
  <c r="E9" i="27"/>
  <c r="N8" i="27"/>
  <c r="W7" i="27"/>
  <c r="G7" i="27"/>
  <c r="P6" i="27"/>
  <c r="Y39" i="26"/>
  <c r="G21" i="30"/>
  <c r="Y18" i="30"/>
  <c r="R16" i="30"/>
  <c r="K14" i="30"/>
  <c r="D12" i="30"/>
  <c r="D10" i="30"/>
  <c r="W40" i="29"/>
  <c r="P39" i="29"/>
  <c r="I38" i="29"/>
  <c r="I37" i="29"/>
  <c r="E36" i="29"/>
  <c r="X34" i="29"/>
  <c r="X33" i="29"/>
  <c r="X31" i="29"/>
  <c r="Y30" i="29"/>
  <c r="E30" i="29"/>
  <c r="H29" i="29"/>
  <c r="L26" i="29"/>
  <c r="Q25" i="29"/>
  <c r="V24" i="29"/>
  <c r="E21" i="30"/>
  <c r="W18" i="30"/>
  <c r="P16" i="30"/>
  <c r="I14" i="30"/>
  <c r="AA10" i="30"/>
  <c r="Q12" i="30"/>
  <c r="K38" i="29"/>
  <c r="Y33" i="29"/>
  <c r="I29" i="29"/>
  <c r="E24" i="29"/>
  <c r="R20" i="29"/>
  <c r="H18" i="29"/>
  <c r="U15" i="29"/>
  <c r="C13" i="29"/>
  <c r="L9" i="29"/>
  <c r="Z20" i="28"/>
  <c r="Z18" i="28"/>
  <c r="G17" i="28"/>
  <c r="L14" i="28"/>
  <c r="Z11" i="28"/>
  <c r="R10" i="28"/>
  <c r="K9" i="28"/>
  <c r="D8" i="28"/>
  <c r="W6" i="28"/>
  <c r="S25" i="27"/>
  <c r="O22" i="27"/>
  <c r="N21" i="27"/>
  <c r="J20" i="27"/>
  <c r="E18" i="27"/>
  <c r="Z16" i="27"/>
  <c r="W14" i="27"/>
  <c r="V13" i="27"/>
  <c r="T12" i="27"/>
  <c r="R10" i="27"/>
  <c r="S9" i="27"/>
  <c r="R8" i="27"/>
  <c r="S7" i="27"/>
  <c r="V6" i="27"/>
  <c r="AA39" i="26"/>
  <c r="H39" i="26"/>
  <c r="O38" i="26"/>
  <c r="V37" i="26"/>
  <c r="D37" i="26"/>
  <c r="J35" i="26"/>
  <c r="Q34" i="26"/>
  <c r="W32" i="26"/>
  <c r="E32" i="26"/>
  <c r="L31" i="26"/>
  <c r="S30" i="26"/>
  <c r="Z28" i="26"/>
  <c r="G28" i="26"/>
  <c r="O27" i="26"/>
  <c r="W26" i="26"/>
  <c r="E26" i="26"/>
  <c r="M25" i="26"/>
  <c r="U23" i="26"/>
  <c r="D23" i="26"/>
  <c r="L20" i="26"/>
  <c r="T19" i="26"/>
  <c r="C19" i="26"/>
  <c r="K18" i="26"/>
  <c r="S16" i="26"/>
  <c r="AA15" i="26"/>
  <c r="J15" i="26"/>
  <c r="R13" i="26"/>
  <c r="AA12" i="26"/>
  <c r="K12" i="26"/>
  <c r="T10" i="26"/>
  <c r="D10" i="26"/>
  <c r="M9" i="26"/>
  <c r="V8" i="26"/>
  <c r="F8" i="26"/>
  <c r="O39" i="25"/>
  <c r="X38" i="25"/>
  <c r="H38" i="25"/>
  <c r="Q37" i="25"/>
  <c r="Z35" i="25"/>
  <c r="J35" i="25"/>
  <c r="S34" i="25"/>
  <c r="C34" i="25"/>
  <c r="L32" i="25"/>
  <c r="U31" i="25"/>
  <c r="E31" i="25"/>
  <c r="N30" i="25"/>
  <c r="W28" i="25"/>
  <c r="G28" i="25"/>
  <c r="P27" i="25"/>
  <c r="Y26" i="25"/>
  <c r="I26" i="25"/>
  <c r="R25" i="25"/>
  <c r="AA23" i="25"/>
  <c r="K23" i="25"/>
  <c r="T20" i="25"/>
  <c r="D20" i="25"/>
  <c r="M19" i="25"/>
  <c r="V18" i="25"/>
  <c r="F18" i="25"/>
  <c r="O16" i="25"/>
  <c r="X15" i="25"/>
  <c r="H15" i="25"/>
  <c r="Q13" i="25"/>
  <c r="Z12" i="25"/>
  <c r="J12" i="25"/>
  <c r="S10" i="25"/>
  <c r="C10" i="25"/>
  <c r="E12" i="30"/>
  <c r="H38" i="29"/>
  <c r="W33" i="29"/>
  <c r="F29" i="29"/>
  <c r="D24" i="29"/>
  <c r="P20" i="29"/>
  <c r="G18" i="29"/>
  <c r="L15" i="29"/>
  <c r="T11" i="29"/>
  <c r="J9" i="29"/>
  <c r="Y20" i="28"/>
  <c r="W18" i="28"/>
  <c r="X16" i="28"/>
  <c r="I14" i="28"/>
  <c r="Y11" i="28"/>
  <c r="Q10" i="28"/>
  <c r="J9" i="28"/>
  <c r="C8" i="28"/>
  <c r="V6" i="28"/>
  <c r="Q25" i="27"/>
  <c r="M22" i="27"/>
  <c r="J21" i="27"/>
  <c r="I20" i="27"/>
  <c r="D18" i="27"/>
  <c r="Y16" i="27"/>
  <c r="U14" i="27"/>
  <c r="T13" i="27"/>
  <c r="R12" i="27"/>
  <c r="Q10" i="27"/>
  <c r="R9" i="27"/>
  <c r="P8" i="27"/>
  <c r="Q7" i="27"/>
  <c r="U6" i="27"/>
  <c r="Z39" i="26"/>
  <c r="G39" i="26"/>
  <c r="N38" i="26"/>
  <c r="U37" i="26"/>
  <c r="C37" i="26"/>
  <c r="I35" i="26"/>
  <c r="O34" i="26"/>
  <c r="V32" i="26"/>
  <c r="D32" i="26"/>
  <c r="K31" i="26"/>
  <c r="R30" i="26"/>
  <c r="Y28" i="26"/>
  <c r="F28" i="26"/>
  <c r="N27" i="26"/>
  <c r="U26" i="26"/>
  <c r="D26" i="26"/>
  <c r="L25" i="26"/>
  <c r="T23" i="26"/>
  <c r="C23" i="26"/>
  <c r="K20" i="26"/>
  <c r="S19" i="26"/>
  <c r="AA18" i="26"/>
  <c r="J18" i="26"/>
  <c r="R16" i="26"/>
  <c r="Z15" i="26"/>
  <c r="I15" i="26"/>
  <c r="Q13" i="26"/>
  <c r="Z12" i="26"/>
  <c r="J12" i="26"/>
  <c r="S10" i="26"/>
  <c r="C10" i="26"/>
  <c r="L9" i="26"/>
  <c r="U8" i="26"/>
  <c r="E8" i="26"/>
  <c r="N39" i="25"/>
  <c r="W38" i="25"/>
  <c r="G38" i="25"/>
  <c r="P37" i="25"/>
  <c r="Y35" i="25"/>
  <c r="I35" i="25"/>
  <c r="R34" i="25"/>
  <c r="AA32" i="25"/>
  <c r="K32" i="25"/>
  <c r="T31" i="25"/>
  <c r="D31" i="25"/>
  <c r="M30" i="25"/>
  <c r="V28" i="25"/>
  <c r="F28" i="25"/>
  <c r="O27" i="25"/>
  <c r="Z10" i="30"/>
  <c r="G38" i="29"/>
  <c r="U33" i="29"/>
  <c r="E29" i="29"/>
  <c r="C24" i="29"/>
  <c r="O20" i="29"/>
  <c r="T17" i="29"/>
  <c r="F15" i="29"/>
  <c r="S11" i="29"/>
  <c r="I9" i="29"/>
  <c r="X20" i="28"/>
  <c r="V18" i="28"/>
  <c r="U16" i="28"/>
  <c r="H14" i="28"/>
  <c r="X11" i="28"/>
  <c r="O10" i="28"/>
  <c r="H9" i="28"/>
  <c r="Z7" i="28"/>
  <c r="U6" i="28"/>
  <c r="P25" i="27"/>
  <c r="L22" i="27"/>
  <c r="K10" i="30"/>
  <c r="P37" i="29"/>
  <c r="I33" i="29"/>
  <c r="T26" i="29"/>
  <c r="Y23" i="29"/>
  <c r="G20" i="29"/>
  <c r="O17" i="29"/>
  <c r="E15" i="29"/>
  <c r="R11" i="29"/>
  <c r="H9" i="29"/>
  <c r="O20" i="28"/>
  <c r="U18" i="28"/>
  <c r="Q16" i="28"/>
  <c r="G14" i="28"/>
  <c r="V11" i="28"/>
  <c r="I10" i="28"/>
  <c r="AA8" i="28"/>
  <c r="T7" i="28"/>
  <c r="S6" i="28"/>
  <c r="O25" i="27"/>
  <c r="J22" i="27"/>
  <c r="F21" i="27"/>
  <c r="C20" i="27"/>
  <c r="F10" i="30"/>
  <c r="K37" i="29"/>
  <c r="C33" i="29"/>
  <c r="M26" i="29"/>
  <c r="O23" i="29"/>
  <c r="W19" i="29"/>
  <c r="N17" i="29"/>
  <c r="C15" i="29"/>
  <c r="Q11" i="29"/>
  <c r="V8" i="29"/>
  <c r="L20" i="28"/>
  <c r="S18" i="28"/>
  <c r="P16" i="28"/>
  <c r="F14" i="28"/>
  <c r="P11" i="28"/>
  <c r="G10" i="28"/>
  <c r="Y8" i="28"/>
  <c r="R7" i="28"/>
  <c r="O6" i="28"/>
  <c r="N25" i="27"/>
  <c r="I22" i="27"/>
  <c r="E21" i="27"/>
  <c r="Z18" i="27"/>
  <c r="Y17" i="27"/>
  <c r="U16" i="27"/>
  <c r="P14" i="27"/>
  <c r="N13" i="27"/>
  <c r="O12" i="27"/>
  <c r="M10" i="27"/>
  <c r="K9" i="27"/>
  <c r="L8" i="27"/>
  <c r="M7" i="27"/>
  <c r="Q6" i="27"/>
  <c r="V39" i="26"/>
  <c r="D39" i="26"/>
  <c r="K38" i="26"/>
  <c r="Q37" i="26"/>
  <c r="X35" i="26"/>
  <c r="E35" i="26"/>
  <c r="L34" i="26"/>
  <c r="S32" i="26"/>
  <c r="Z31" i="26"/>
  <c r="H31" i="26"/>
  <c r="N30" i="26"/>
  <c r="U28" i="26"/>
  <c r="AA27" i="26"/>
  <c r="J27" i="26"/>
  <c r="R26" i="26"/>
  <c r="Z25" i="26"/>
  <c r="I25" i="26"/>
  <c r="Q23" i="26"/>
  <c r="Y20" i="26"/>
  <c r="H20" i="26"/>
  <c r="P19" i="26"/>
  <c r="W7" i="30"/>
  <c r="H37" i="29"/>
  <c r="V31" i="29"/>
  <c r="K26" i="29"/>
  <c r="J23" i="29"/>
  <c r="V19" i="29"/>
  <c r="M17" i="29"/>
  <c r="Y14" i="29"/>
  <c r="G11" i="29"/>
  <c r="P8" i="29"/>
  <c r="I20" i="28"/>
  <c r="J18" i="28"/>
  <c r="O16" i="28"/>
  <c r="D14" i="28"/>
  <c r="N11" i="28"/>
  <c r="F10" i="28"/>
  <c r="X8" i="28"/>
  <c r="Q7" i="28"/>
  <c r="M6" i="28"/>
  <c r="L25" i="27"/>
  <c r="H22" i="27"/>
  <c r="V7" i="30"/>
  <c r="C37" i="29"/>
  <c r="U31" i="29"/>
  <c r="J26" i="29"/>
  <c r="I23" i="29"/>
  <c r="U19" i="29"/>
  <c r="L17" i="29"/>
  <c r="Q14" i="29"/>
  <c r="Y10" i="29"/>
  <c r="O8" i="29"/>
  <c r="H20" i="28"/>
  <c r="H18" i="28"/>
  <c r="N16" i="28"/>
  <c r="W13" i="28"/>
  <c r="K11" i="28"/>
  <c r="D10" i="28"/>
  <c r="V8" i="28"/>
  <c r="O7" i="28"/>
  <c r="K6" i="28"/>
  <c r="H25" i="27"/>
  <c r="G22" i="27"/>
  <c r="AA20" i="27"/>
  <c r="W18" i="27"/>
  <c r="S17" i="27"/>
  <c r="R16" i="27"/>
  <c r="N14" i="27"/>
  <c r="K13" i="27"/>
  <c r="I12" i="27"/>
  <c r="J10" i="27"/>
  <c r="I9" i="27"/>
  <c r="J8" i="27"/>
  <c r="K7" i="27"/>
  <c r="N6" i="27"/>
  <c r="T39" i="26"/>
  <c r="AA38" i="26"/>
  <c r="H38" i="26"/>
  <c r="O37" i="26"/>
  <c r="U35" i="26"/>
  <c r="C35" i="26"/>
  <c r="J34" i="26"/>
  <c r="Q32" i="26"/>
  <c r="X31" i="26"/>
  <c r="E31" i="26"/>
  <c r="L30" i="26"/>
  <c r="R28" i="26"/>
  <c r="Y27" i="26"/>
  <c r="H27" i="26"/>
  <c r="P26" i="26"/>
  <c r="X25" i="26"/>
  <c r="G25" i="26"/>
  <c r="O23" i="26"/>
  <c r="W20" i="26"/>
  <c r="F20" i="26"/>
  <c r="N19" i="26"/>
  <c r="V18" i="26"/>
  <c r="E18" i="26"/>
  <c r="M16" i="26"/>
  <c r="T15" i="26"/>
  <c r="C15" i="26"/>
  <c r="L13" i="26"/>
  <c r="U12" i="26"/>
  <c r="E12" i="26"/>
  <c r="N10" i="26"/>
  <c r="W9" i="26"/>
  <c r="G9" i="26"/>
  <c r="P8" i="26"/>
  <c r="Y39" i="25"/>
  <c r="G7" i="30"/>
  <c r="P36" i="29"/>
  <c r="K31" i="29"/>
  <c r="X25" i="29"/>
  <c r="H23" i="29"/>
  <c r="T19" i="29"/>
  <c r="Y16" i="29"/>
  <c r="J14" i="29"/>
  <c r="X10" i="29"/>
  <c r="M8" i="29"/>
  <c r="G20" i="28"/>
  <c r="E18" i="28"/>
  <c r="L16" i="28"/>
  <c r="U13" i="28"/>
  <c r="J11" i="28"/>
  <c r="C10" i="28"/>
  <c r="U8" i="28"/>
  <c r="N7" i="28"/>
  <c r="J6" i="28"/>
  <c r="F25" i="27"/>
  <c r="E22" i="27"/>
  <c r="Z20" i="27"/>
  <c r="U18" i="27"/>
  <c r="Q17" i="27"/>
  <c r="N16" i="27"/>
  <c r="M14" i="27"/>
  <c r="I13" i="27"/>
  <c r="H12" i="27"/>
  <c r="I10" i="27"/>
  <c r="G9" i="27"/>
  <c r="H8" i="27"/>
  <c r="I7" i="27"/>
  <c r="M6" i="27"/>
  <c r="S39" i="26"/>
  <c r="Z38" i="26"/>
  <c r="G38" i="26"/>
  <c r="M37" i="26"/>
  <c r="T35" i="26"/>
  <c r="AA34" i="26"/>
  <c r="I34" i="26"/>
  <c r="P32" i="26"/>
  <c r="W31" i="26"/>
  <c r="D31" i="26"/>
  <c r="J30" i="26"/>
  <c r="Q28" i="26"/>
  <c r="X27" i="26"/>
  <c r="G27" i="26"/>
  <c r="O26" i="26"/>
  <c r="W25" i="26"/>
  <c r="F25" i="26"/>
  <c r="N23" i="26"/>
  <c r="V20" i="26"/>
  <c r="E20" i="26"/>
  <c r="M19" i="26"/>
  <c r="U18" i="26"/>
  <c r="D18" i="26"/>
  <c r="K16" i="26"/>
  <c r="S15" i="26"/>
  <c r="AA13" i="26"/>
  <c r="K13" i="26"/>
  <c r="T12" i="26"/>
  <c r="D12" i="26"/>
  <c r="M10" i="26"/>
  <c r="V9" i="26"/>
  <c r="F9" i="26"/>
  <c r="O8" i="26"/>
  <c r="X39" i="25"/>
  <c r="H21" i="30"/>
  <c r="X40" i="29"/>
  <c r="F36" i="29"/>
  <c r="C31" i="29"/>
  <c r="R25" i="29"/>
  <c r="F23" i="29"/>
  <c r="K19" i="29"/>
  <c r="T16" i="29"/>
  <c r="I14" i="29"/>
  <c r="W10" i="29"/>
  <c r="L8" i="29"/>
  <c r="F20" i="28"/>
  <c r="C18" i="28"/>
  <c r="F16" i="28"/>
  <c r="R13" i="28"/>
  <c r="I11" i="28"/>
  <c r="AA9" i="28"/>
  <c r="T8" i="28"/>
  <c r="M7" i="28"/>
  <c r="H6" i="28"/>
  <c r="D25" i="27"/>
  <c r="Z21" i="27"/>
  <c r="Y20" i="27"/>
  <c r="T18" i="27"/>
  <c r="P17" i="27"/>
  <c r="L16" i="27"/>
  <c r="K14" i="27"/>
  <c r="H13" i="27"/>
  <c r="G12" i="27"/>
  <c r="H10" i="27"/>
  <c r="F9" i="27"/>
  <c r="D8" i="27"/>
  <c r="H7" i="27"/>
  <c r="L6" i="27"/>
  <c r="R39" i="26"/>
  <c r="X38" i="26"/>
  <c r="F38" i="26"/>
  <c r="L37" i="26"/>
  <c r="S35" i="26"/>
  <c r="Z34" i="26"/>
  <c r="H34" i="26"/>
  <c r="O32" i="26"/>
  <c r="U31" i="26"/>
  <c r="C31" i="26"/>
  <c r="I30" i="26"/>
  <c r="P28" i="26"/>
  <c r="W27" i="26"/>
  <c r="F27" i="26"/>
  <c r="N26" i="26"/>
  <c r="V25" i="26"/>
  <c r="E25" i="26"/>
  <c r="M23" i="26"/>
  <c r="U20" i="26"/>
  <c r="D20" i="26"/>
  <c r="L19" i="26"/>
  <c r="T18" i="26"/>
  <c r="AA16" i="26"/>
  <c r="J16" i="26"/>
  <c r="R15" i="26"/>
  <c r="Z13" i="26"/>
  <c r="J13" i="26"/>
  <c r="S12" i="26"/>
  <c r="C12" i="26"/>
  <c r="L10" i="26"/>
  <c r="U9" i="26"/>
  <c r="E9" i="26"/>
  <c r="N8" i="26"/>
  <c r="W39" i="25"/>
  <c r="G39" i="25"/>
  <c r="P38" i="25"/>
  <c r="Y37" i="25"/>
  <c r="I37" i="25"/>
  <c r="R35" i="25"/>
  <c r="AA34" i="25"/>
  <c r="K34" i="25"/>
  <c r="T32" i="25"/>
  <c r="D32" i="25"/>
  <c r="M31" i="25"/>
  <c r="V30" i="25"/>
  <c r="F30" i="25"/>
  <c r="O28" i="25"/>
  <c r="X27" i="25"/>
  <c r="H27" i="25"/>
  <c r="Q26" i="25"/>
  <c r="Z25" i="25"/>
  <c r="J25" i="25"/>
  <c r="S23" i="25"/>
  <c r="C23" i="25"/>
  <c r="L20" i="25"/>
  <c r="U19" i="25"/>
  <c r="E19" i="25"/>
  <c r="N18" i="25"/>
  <c r="W16" i="25"/>
  <c r="D21" i="30"/>
  <c r="V40" i="29"/>
  <c r="D36" i="29"/>
  <c r="X30" i="29"/>
  <c r="P25" i="29"/>
  <c r="T22" i="29"/>
  <c r="E19" i="29"/>
  <c r="S16" i="29"/>
  <c r="H14" i="29"/>
  <c r="V10" i="29"/>
  <c r="D8" i="29"/>
  <c r="U19" i="28"/>
  <c r="AA17" i="28"/>
  <c r="D16" i="28"/>
  <c r="Q13" i="28"/>
  <c r="H11" i="28"/>
  <c r="Z9" i="28"/>
  <c r="S8" i="28"/>
  <c r="L7" i="28"/>
  <c r="G6" i="28"/>
  <c r="C25" i="27"/>
  <c r="X21" i="27"/>
  <c r="W20" i="27"/>
  <c r="S18" i="27"/>
  <c r="N17" i="27"/>
  <c r="J16" i="27"/>
  <c r="G14" i="27"/>
  <c r="G13" i="27"/>
  <c r="E12" i="27"/>
  <c r="F10" i="27"/>
  <c r="D9" i="27"/>
  <c r="C8" i="27"/>
  <c r="F7" i="27"/>
  <c r="K6" i="27"/>
  <c r="Q39" i="26"/>
  <c r="W38" i="26"/>
  <c r="D38" i="26"/>
  <c r="K37" i="26"/>
  <c r="R35" i="26"/>
  <c r="Y34" i="26"/>
  <c r="G34" i="26"/>
  <c r="N32" i="26"/>
  <c r="T31" i="26"/>
  <c r="Z30" i="26"/>
  <c r="H30" i="26"/>
  <c r="O28" i="26"/>
  <c r="V27" i="26"/>
  <c r="E27" i="26"/>
  <c r="M26" i="26"/>
  <c r="U25" i="26"/>
  <c r="D25" i="26"/>
  <c r="L23" i="26"/>
  <c r="T20" i="26"/>
  <c r="C20" i="26"/>
  <c r="K19" i="26"/>
  <c r="R18" i="26"/>
  <c r="Z16" i="26"/>
  <c r="I16" i="26"/>
  <c r="Q15" i="26"/>
  <c r="Y13" i="26"/>
  <c r="I13" i="26"/>
  <c r="R12" i="26"/>
  <c r="AA10" i="26"/>
  <c r="K10" i="26"/>
  <c r="T9" i="26"/>
  <c r="D9" i="26"/>
  <c r="M8" i="26"/>
  <c r="V39" i="25"/>
  <c r="F39" i="25"/>
  <c r="O38" i="25"/>
  <c r="X37" i="25"/>
  <c r="H37" i="25"/>
  <c r="Q35" i="25"/>
  <c r="Z34" i="25"/>
  <c r="J34" i="25"/>
  <c r="S32" i="25"/>
  <c r="C32" i="25"/>
  <c r="L31" i="25"/>
  <c r="U30" i="25"/>
  <c r="E30" i="25"/>
  <c r="N28" i="25"/>
  <c r="W27" i="25"/>
  <c r="G27" i="25"/>
  <c r="P26" i="25"/>
  <c r="Y25" i="25"/>
  <c r="I25" i="25"/>
  <c r="R23" i="25"/>
  <c r="AA20" i="25"/>
  <c r="K20" i="25"/>
  <c r="T19" i="25"/>
  <c r="D19" i="25"/>
  <c r="M18" i="25"/>
  <c r="V16" i="25"/>
  <c r="F16" i="25"/>
  <c r="O15" i="25"/>
  <c r="X13" i="25"/>
  <c r="H13" i="25"/>
  <c r="Q12" i="25"/>
  <c r="Z10" i="25"/>
  <c r="J10" i="25"/>
  <c r="S9" i="25"/>
  <c r="C9" i="25"/>
  <c r="L8" i="25"/>
  <c r="U78" i="24"/>
  <c r="Z18" i="30"/>
  <c r="T40" i="29"/>
  <c r="C36" i="29"/>
  <c r="W30" i="29"/>
  <c r="O25" i="29"/>
  <c r="O22" i="29"/>
  <c r="D19" i="29"/>
  <c r="R16" i="29"/>
  <c r="G14" i="29"/>
  <c r="L10" i="29"/>
  <c r="T7" i="29"/>
  <c r="S19" i="28"/>
  <c r="Z17" i="28"/>
  <c r="Y14" i="28"/>
  <c r="P13" i="28"/>
  <c r="F11" i="28"/>
  <c r="X9" i="28"/>
  <c r="Q8" i="28"/>
  <c r="J7" i="28"/>
  <c r="F6" i="28"/>
  <c r="Z22" i="27"/>
  <c r="V21" i="27"/>
  <c r="S20" i="27"/>
  <c r="R18" i="27"/>
  <c r="M17" i="27"/>
  <c r="I16" i="27"/>
  <c r="E14" i="27"/>
  <c r="F13" i="27"/>
  <c r="D12" i="27"/>
  <c r="AA9" i="27"/>
  <c r="C9" i="27"/>
  <c r="AA7" i="27"/>
  <c r="E7" i="27"/>
  <c r="J6" i="27"/>
  <c r="O39" i="26"/>
  <c r="V38" i="26"/>
  <c r="C38" i="26"/>
  <c r="J37" i="26"/>
  <c r="Q35" i="26"/>
  <c r="X34" i="26"/>
  <c r="F34" i="26"/>
  <c r="L32" i="26"/>
  <c r="S31" i="26"/>
  <c r="Y30" i="26"/>
  <c r="G30" i="26"/>
  <c r="N28" i="26"/>
  <c r="U27" i="26"/>
  <c r="D27" i="26"/>
  <c r="L26" i="26"/>
  <c r="T25" i="26"/>
  <c r="C25" i="26"/>
  <c r="K23" i="26"/>
  <c r="S20" i="26"/>
  <c r="AA19" i="26"/>
  <c r="I19" i="26"/>
  <c r="Q18" i="26"/>
  <c r="Y16" i="26"/>
  <c r="H16" i="26"/>
  <c r="P15" i="26"/>
  <c r="X13" i="26"/>
  <c r="H13" i="26"/>
  <c r="Q12" i="26"/>
  <c r="Z10" i="26"/>
  <c r="J10" i="26"/>
  <c r="S9" i="26"/>
  <c r="C9" i="26"/>
  <c r="L8" i="26"/>
  <c r="U39" i="25"/>
  <c r="E39" i="25"/>
  <c r="N38" i="25"/>
  <c r="W37" i="25"/>
  <c r="G37" i="25"/>
  <c r="V18" i="30"/>
  <c r="F40" i="29"/>
  <c r="L35" i="29"/>
  <c r="L30" i="29"/>
  <c r="F25" i="29"/>
  <c r="M22" i="29"/>
  <c r="C19" i="29"/>
  <c r="P16" i="29"/>
  <c r="U13" i="29"/>
  <c r="G10" i="29"/>
  <c r="S7" i="29"/>
  <c r="P19" i="28"/>
  <c r="Q17" i="28"/>
  <c r="X14" i="28"/>
  <c r="O13" i="28"/>
  <c r="Y10" i="28"/>
  <c r="R9" i="28"/>
  <c r="K8" i="28"/>
  <c r="S16" i="30"/>
  <c r="Q39" i="29"/>
  <c r="F35" i="29"/>
  <c r="F30" i="29"/>
  <c r="W24" i="29"/>
  <c r="L22" i="29"/>
  <c r="Y18" i="29"/>
  <c r="G16" i="29"/>
  <c r="O13" i="29"/>
  <c r="F10" i="29"/>
  <c r="R7" i="29"/>
  <c r="O19" i="28"/>
  <c r="O17" i="28"/>
  <c r="W14" i="28"/>
  <c r="M13" i="28"/>
  <c r="W10" i="28"/>
  <c r="P9" i="28"/>
  <c r="I8" i="28"/>
  <c r="D7" i="28"/>
  <c r="C6" i="28"/>
  <c r="X22" i="27"/>
  <c r="S21" i="27"/>
  <c r="O20" i="27"/>
  <c r="L18" i="27"/>
  <c r="K17" i="27"/>
  <c r="F16" i="27"/>
  <c r="AA13" i="27"/>
  <c r="Y12" i="27"/>
  <c r="Z10" i="27"/>
  <c r="Y9" i="27"/>
  <c r="Z8" i="27"/>
  <c r="X7" i="27"/>
  <c r="C7" i="27"/>
  <c r="H6" i="27"/>
  <c r="M39" i="26"/>
  <c r="S38" i="26"/>
  <c r="Z37" i="26"/>
  <c r="H37" i="26"/>
  <c r="O35" i="26"/>
  <c r="V34" i="26"/>
  <c r="C34" i="26"/>
  <c r="J32" i="26"/>
  <c r="P31" i="26"/>
  <c r="W30" i="26"/>
  <c r="E30" i="26"/>
  <c r="L28" i="26"/>
  <c r="S27" i="26"/>
  <c r="AA26" i="26"/>
  <c r="J26" i="26"/>
  <c r="R25" i="26"/>
  <c r="Z23" i="26"/>
  <c r="I23" i="26"/>
  <c r="P20" i="26"/>
  <c r="X19" i="26"/>
  <c r="G19" i="26"/>
  <c r="O18" i="26"/>
  <c r="W16" i="26"/>
  <c r="F16" i="26"/>
  <c r="N15" i="26"/>
  <c r="V13" i="26"/>
  <c r="F13" i="26"/>
  <c r="O12" i="26"/>
  <c r="X10" i="26"/>
  <c r="H10" i="26"/>
  <c r="Q9" i="26"/>
  <c r="Z8" i="26"/>
  <c r="J8" i="26"/>
  <c r="S39" i="25"/>
  <c r="C39" i="25"/>
  <c r="L38" i="25"/>
  <c r="H14" i="30"/>
  <c r="V38" i="29"/>
  <c r="H34" i="29"/>
  <c r="O29" i="29"/>
  <c r="J24" i="29"/>
  <c r="S20" i="29"/>
  <c r="I18" i="29"/>
  <c r="V15" i="29"/>
  <c r="L13" i="29"/>
  <c r="Q9" i="29"/>
  <c r="AA20" i="28"/>
  <c r="C19" i="28"/>
  <c r="H17" i="28"/>
  <c r="N14" i="28"/>
  <c r="AA11" i="28"/>
  <c r="S10" i="28"/>
  <c r="L9" i="28"/>
  <c r="E8" i="28"/>
  <c r="X6" i="28"/>
  <c r="T25" i="27"/>
  <c r="Q22" i="27"/>
  <c r="P21" i="27"/>
  <c r="K20" i="27"/>
  <c r="G18" i="27"/>
  <c r="C17" i="27"/>
  <c r="AA14" i="27"/>
  <c r="W13" i="27"/>
  <c r="U12" i="27"/>
  <c r="V10" i="27"/>
  <c r="T9" i="27"/>
  <c r="S8" i="27"/>
  <c r="T7" i="27"/>
  <c r="X6" i="27"/>
  <c r="D6" i="27"/>
  <c r="I39" i="26"/>
  <c r="P38" i="26"/>
  <c r="W37" i="26"/>
  <c r="E37" i="26"/>
  <c r="L35" i="26"/>
  <c r="R34" i="26"/>
  <c r="X32" i="26"/>
  <c r="F32" i="26"/>
  <c r="M31" i="26"/>
  <c r="T30" i="26"/>
  <c r="AA28" i="26"/>
  <c r="I28" i="26"/>
  <c r="P27" i="26"/>
  <c r="X26" i="26"/>
  <c r="G26" i="26"/>
  <c r="N25" i="26"/>
  <c r="V23" i="26"/>
  <c r="E23" i="26"/>
  <c r="M20" i="26"/>
  <c r="U19" i="26"/>
  <c r="D19" i="26"/>
  <c r="L18" i="26"/>
  <c r="T16" i="26"/>
  <c r="C16" i="26"/>
  <c r="K15" i="26"/>
  <c r="S13" i="26"/>
  <c r="C13" i="26"/>
  <c r="L12" i="26"/>
  <c r="U10" i="26"/>
  <c r="E10" i="26"/>
  <c r="N9" i="26"/>
  <c r="W8" i="26"/>
  <c r="G8" i="26"/>
  <c r="P39" i="25"/>
  <c r="Y38" i="25"/>
  <c r="I38" i="25"/>
  <c r="R37" i="25"/>
  <c r="AA35" i="25"/>
  <c r="K35" i="25"/>
  <c r="T34" i="25"/>
  <c r="D34" i="25"/>
  <c r="M32" i="25"/>
  <c r="V31" i="25"/>
  <c r="F31" i="25"/>
  <c r="O30" i="25"/>
  <c r="X28" i="25"/>
  <c r="H28" i="25"/>
  <c r="Q27" i="25"/>
  <c r="Z26" i="25"/>
  <c r="J26" i="25"/>
  <c r="S25" i="25"/>
  <c r="C25" i="25"/>
  <c r="L23" i="25"/>
  <c r="U20" i="25"/>
  <c r="E20" i="25"/>
  <c r="N19" i="25"/>
  <c r="W18" i="25"/>
  <c r="G18" i="25"/>
  <c r="P16" i="25"/>
  <c r="Y15" i="25"/>
  <c r="I15" i="25"/>
  <c r="R13" i="25"/>
  <c r="AA12" i="25"/>
  <c r="K12" i="25"/>
  <c r="T10" i="25"/>
  <c r="D10" i="25"/>
  <c r="M9" i="25"/>
  <c r="V8" i="25"/>
  <c r="F8" i="25"/>
  <c r="O78" i="24"/>
  <c r="X77" i="24"/>
  <c r="H77" i="24"/>
  <c r="Q76" i="24"/>
  <c r="Z75" i="24"/>
  <c r="J75" i="24"/>
  <c r="S73" i="24"/>
  <c r="C73" i="24"/>
  <c r="L72" i="24"/>
  <c r="U71" i="24"/>
  <c r="E71" i="24"/>
  <c r="N70" i="24"/>
  <c r="W69" i="24"/>
  <c r="G69" i="24"/>
  <c r="P68" i="24"/>
  <c r="Y67" i="24"/>
  <c r="I67" i="24"/>
  <c r="R66" i="24"/>
  <c r="AA65" i="24"/>
  <c r="K65" i="24"/>
  <c r="T64" i="24"/>
  <c r="D64" i="24"/>
  <c r="M63" i="24"/>
  <c r="Y15" i="29"/>
  <c r="V10" i="28"/>
  <c r="R21" i="27"/>
  <c r="I17" i="27"/>
  <c r="L13" i="27"/>
  <c r="Q9" i="27"/>
  <c r="Z6" i="27"/>
  <c r="C39" i="26"/>
  <c r="Z35" i="26"/>
  <c r="AA32" i="26"/>
  <c r="G31" i="26"/>
  <c r="E28" i="26"/>
  <c r="I26" i="26"/>
  <c r="P23" i="26"/>
  <c r="R19" i="26"/>
  <c r="F18" i="26"/>
  <c r="M15" i="26"/>
  <c r="Y12" i="26"/>
  <c r="P10" i="26"/>
  <c r="AA8" i="26"/>
  <c r="Q39" i="25"/>
  <c r="M38" i="25"/>
  <c r="L37" i="25"/>
  <c r="M35" i="25"/>
  <c r="N34" i="25"/>
  <c r="P32" i="25"/>
  <c r="Q31" i="25"/>
  <c r="S30" i="25"/>
  <c r="T28" i="25"/>
  <c r="V27" i="25"/>
  <c r="X26" i="25"/>
  <c r="D26" i="25"/>
  <c r="G25" i="25"/>
  <c r="J23" i="25"/>
  <c r="O20" i="25"/>
  <c r="R19" i="25"/>
  <c r="U18" i="25"/>
  <c r="Z16" i="25"/>
  <c r="E16" i="25"/>
  <c r="K15" i="25"/>
  <c r="O13" i="25"/>
  <c r="U12" i="25"/>
  <c r="AA10" i="25"/>
  <c r="G10" i="25"/>
  <c r="L9" i="25"/>
  <c r="S8" i="25"/>
  <c r="Z78" i="24"/>
  <c r="H78" i="24"/>
  <c r="P77" i="24"/>
  <c r="X76" i="24"/>
  <c r="G76" i="24"/>
  <c r="O75" i="24"/>
  <c r="W73" i="24"/>
  <c r="F73" i="24"/>
  <c r="N72" i="24"/>
  <c r="V71" i="24"/>
  <c r="D71" i="24"/>
  <c r="L70" i="24"/>
  <c r="T69" i="24"/>
  <c r="C69" i="24"/>
  <c r="K68" i="24"/>
  <c r="S67" i="24"/>
  <c r="AA66" i="24"/>
  <c r="J66" i="24"/>
  <c r="R65" i="24"/>
  <c r="Z64" i="24"/>
  <c r="I64" i="24"/>
  <c r="Q63" i="24"/>
  <c r="Y62" i="24"/>
  <c r="I62" i="24"/>
  <c r="R60" i="24"/>
  <c r="AA59" i="24"/>
  <c r="K59" i="24"/>
  <c r="T58" i="24"/>
  <c r="D58" i="24"/>
  <c r="M57" i="24"/>
  <c r="V56" i="24"/>
  <c r="F56" i="24"/>
  <c r="O55" i="24"/>
  <c r="X54" i="24"/>
  <c r="H54" i="24"/>
  <c r="Q51" i="24"/>
  <c r="Z49" i="24"/>
  <c r="J49" i="24"/>
  <c r="S48" i="24"/>
  <c r="C48" i="24"/>
  <c r="L47" i="24"/>
  <c r="U46" i="24"/>
  <c r="E46" i="24"/>
  <c r="N45" i="24"/>
  <c r="W44" i="24"/>
  <c r="G44" i="24"/>
  <c r="P43" i="24"/>
  <c r="Y42" i="24"/>
  <c r="I42" i="24"/>
  <c r="R41" i="24"/>
  <c r="AA40" i="24"/>
  <c r="K40" i="24"/>
  <c r="T39" i="24"/>
  <c r="D39" i="24"/>
  <c r="M38" i="24"/>
  <c r="V37" i="24"/>
  <c r="F37" i="24"/>
  <c r="O35" i="24"/>
  <c r="X32" i="24"/>
  <c r="H32" i="24"/>
  <c r="Q31" i="24"/>
  <c r="Z30" i="24"/>
  <c r="J30" i="24"/>
  <c r="S29" i="24"/>
  <c r="C29" i="24"/>
  <c r="L27" i="24"/>
  <c r="U26" i="24"/>
  <c r="E26" i="24"/>
  <c r="N25" i="24"/>
  <c r="W24" i="24"/>
  <c r="G24" i="24"/>
  <c r="P23" i="24"/>
  <c r="Y22" i="24"/>
  <c r="I22" i="24"/>
  <c r="R21" i="24"/>
  <c r="AA20" i="24"/>
  <c r="K20" i="24"/>
  <c r="T19" i="24"/>
  <c r="D19" i="24"/>
  <c r="M18" i="24"/>
  <c r="V17" i="24"/>
  <c r="F17" i="24"/>
  <c r="O16" i="24"/>
  <c r="X15" i="24"/>
  <c r="H15" i="24"/>
  <c r="Q13" i="24"/>
  <c r="Z12" i="24"/>
  <c r="J12" i="24"/>
  <c r="S11" i="24"/>
  <c r="C11" i="24"/>
  <c r="L10" i="24"/>
  <c r="U9" i="24"/>
  <c r="E9" i="24"/>
  <c r="N8" i="24"/>
  <c r="W15" i="29"/>
  <c r="T10" i="28"/>
  <c r="Q21" i="27"/>
  <c r="E17" i="27"/>
  <c r="D13" i="27"/>
  <c r="O9" i="27"/>
  <c r="Y6" i="27"/>
  <c r="T38" i="26"/>
  <c r="Y35" i="26"/>
  <c r="Z32" i="26"/>
  <c r="X30" i="26"/>
  <c r="C28" i="26"/>
  <c r="H26" i="26"/>
  <c r="J23" i="26"/>
  <c r="Q19" i="26"/>
  <c r="X16" i="26"/>
  <c r="L15" i="26"/>
  <c r="X12" i="26"/>
  <c r="O10" i="26"/>
  <c r="Y8" i="26"/>
  <c r="M39" i="25"/>
  <c r="K38" i="25"/>
  <c r="K37" i="25"/>
  <c r="L35" i="25"/>
  <c r="M34" i="25"/>
  <c r="O32" i="25"/>
  <c r="P31" i="25"/>
  <c r="R30" i="25"/>
  <c r="S28" i="25"/>
  <c r="U27" i="25"/>
  <c r="W26" i="25"/>
  <c r="C26" i="25"/>
  <c r="F25" i="25"/>
  <c r="I23" i="25"/>
  <c r="N20" i="25"/>
  <c r="Q19" i="25"/>
  <c r="T18" i="25"/>
  <c r="Y16" i="25"/>
  <c r="D16" i="25"/>
  <c r="J15" i="25"/>
  <c r="N13" i="25"/>
  <c r="T12" i="25"/>
  <c r="Y10" i="25"/>
  <c r="F10" i="25"/>
  <c r="K9" i="25"/>
  <c r="R8" i="25"/>
  <c r="Y78" i="24"/>
  <c r="G78" i="24"/>
  <c r="O77" i="24"/>
  <c r="W76" i="24"/>
  <c r="F76" i="24"/>
  <c r="N75" i="24"/>
  <c r="V73" i="24"/>
  <c r="E73" i="24"/>
  <c r="M72" i="24"/>
  <c r="T71" i="24"/>
  <c r="C71" i="24"/>
  <c r="K70" i="24"/>
  <c r="S69" i="24"/>
  <c r="AA68" i="24"/>
  <c r="J68" i="24"/>
  <c r="R67" i="24"/>
  <c r="Z66" i="24"/>
  <c r="I66" i="24"/>
  <c r="Q65" i="24"/>
  <c r="Y64" i="24"/>
  <c r="H64" i="24"/>
  <c r="P63" i="24"/>
  <c r="X62" i="24"/>
  <c r="H62" i="24"/>
  <c r="Q60" i="24"/>
  <c r="Z59" i="24"/>
  <c r="J59" i="24"/>
  <c r="S58" i="24"/>
  <c r="C58" i="24"/>
  <c r="L57" i="24"/>
  <c r="U56" i="24"/>
  <c r="E56" i="24"/>
  <c r="N55" i="24"/>
  <c r="W54" i="24"/>
  <c r="G54" i="24"/>
  <c r="P51" i="24"/>
  <c r="Y49" i="24"/>
  <c r="I49" i="24"/>
  <c r="R48" i="24"/>
  <c r="AA47" i="24"/>
  <c r="K47" i="24"/>
  <c r="T46" i="24"/>
  <c r="D46" i="24"/>
  <c r="M45" i="24"/>
  <c r="V44" i="24"/>
  <c r="F44" i="24"/>
  <c r="O43" i="24"/>
  <c r="X42" i="24"/>
  <c r="H42" i="24"/>
  <c r="Q41" i="24"/>
  <c r="Z40" i="24"/>
  <c r="J40" i="24"/>
  <c r="S39" i="24"/>
  <c r="C39" i="24"/>
  <c r="L38" i="24"/>
  <c r="U37" i="24"/>
  <c r="E37" i="24"/>
  <c r="N35" i="24"/>
  <c r="W32" i="24"/>
  <c r="G32" i="24"/>
  <c r="P31" i="24"/>
  <c r="Y30" i="24"/>
  <c r="I30" i="24"/>
  <c r="R29" i="24"/>
  <c r="O16" i="30"/>
  <c r="N13" i="29"/>
  <c r="O9" i="28"/>
  <c r="H21" i="27"/>
  <c r="W16" i="27"/>
  <c r="X12" i="27"/>
  <c r="J9" i="27"/>
  <c r="T6" i="27"/>
  <c r="R38" i="26"/>
  <c r="V35" i="26"/>
  <c r="U32" i="26"/>
  <c r="V30" i="26"/>
  <c r="Z27" i="26"/>
  <c r="C26" i="26"/>
  <c r="G23" i="26"/>
  <c r="O19" i="26"/>
  <c r="V16" i="26"/>
  <c r="H15" i="26"/>
  <c r="W12" i="26"/>
  <c r="I10" i="26"/>
  <c r="X8" i="26"/>
  <c r="L39" i="25"/>
  <c r="J38" i="25"/>
  <c r="J37" i="25"/>
  <c r="H35" i="25"/>
  <c r="L34" i="25"/>
  <c r="N32" i="25"/>
  <c r="O31" i="25"/>
  <c r="Q30" i="25"/>
  <c r="R28" i="25"/>
  <c r="T27" i="25"/>
  <c r="V26" i="25"/>
  <c r="AA25" i="25"/>
  <c r="E25" i="25"/>
  <c r="H23" i="25"/>
  <c r="M20" i="25"/>
  <c r="P19" i="25"/>
  <c r="S18" i="25"/>
  <c r="X16" i="25"/>
  <c r="C16" i="25"/>
  <c r="G15" i="25"/>
  <c r="L14" i="30"/>
  <c r="M13" i="29"/>
  <c r="M9" i="28"/>
  <c r="C21" i="27"/>
  <c r="V16" i="27"/>
  <c r="W12" i="27"/>
  <c r="AA8" i="27"/>
  <c r="R6" i="27"/>
  <c r="Q38" i="26"/>
  <c r="P35" i="26"/>
  <c r="T32" i="26"/>
  <c r="U30" i="26"/>
  <c r="T27" i="26"/>
  <c r="AA25" i="26"/>
  <c r="F23" i="26"/>
  <c r="H19" i="26"/>
  <c r="U16" i="26"/>
  <c r="G15" i="26"/>
  <c r="V12" i="26"/>
  <c r="G10" i="26"/>
  <c r="T8" i="26"/>
  <c r="K39" i="25"/>
  <c r="F38" i="25"/>
  <c r="F37" i="25"/>
  <c r="G35" i="25"/>
  <c r="I34" i="25"/>
  <c r="J32" i="25"/>
  <c r="N31" i="25"/>
  <c r="P30" i="25"/>
  <c r="Q28" i="25"/>
  <c r="S27" i="25"/>
  <c r="U26" i="25"/>
  <c r="X25" i="25"/>
  <c r="D25" i="25"/>
  <c r="G23" i="25"/>
  <c r="J20" i="25"/>
  <c r="O19" i="25"/>
  <c r="R18" i="25"/>
  <c r="U16" i="25"/>
  <c r="AA15" i="25"/>
  <c r="F15" i="25"/>
  <c r="L13" i="25"/>
  <c r="R12" i="25"/>
  <c r="W10" i="25"/>
  <c r="AA9" i="25"/>
  <c r="I9" i="25"/>
  <c r="P8" i="25"/>
  <c r="W78" i="24"/>
  <c r="E78" i="24"/>
  <c r="M77" i="24"/>
  <c r="U76" i="24"/>
  <c r="D76" i="24"/>
  <c r="L75" i="24"/>
  <c r="T73" i="24"/>
  <c r="AA72" i="24"/>
  <c r="J72" i="24"/>
  <c r="R71" i="24"/>
  <c r="Z70" i="24"/>
  <c r="I70" i="24"/>
  <c r="Q69" i="24"/>
  <c r="Y68" i="24"/>
  <c r="H68" i="24"/>
  <c r="P67" i="24"/>
  <c r="X66" i="24"/>
  <c r="G66" i="24"/>
  <c r="O65" i="24"/>
  <c r="W64" i="24"/>
  <c r="F64" i="24"/>
  <c r="N63" i="24"/>
  <c r="V62" i="24"/>
  <c r="F62" i="24"/>
  <c r="O60" i="24"/>
  <c r="X59" i="24"/>
  <c r="H59" i="24"/>
  <c r="Q58" i="24"/>
  <c r="Z57" i="24"/>
  <c r="J57" i="24"/>
  <c r="S56" i="24"/>
  <c r="C56" i="24"/>
  <c r="L55" i="24"/>
  <c r="U54" i="24"/>
  <c r="E54" i="24"/>
  <c r="N51" i="24"/>
  <c r="W49" i="24"/>
  <c r="G49" i="24"/>
  <c r="P48" i="24"/>
  <c r="Y47" i="24"/>
  <c r="I47" i="24"/>
  <c r="R46" i="24"/>
  <c r="AA45" i="24"/>
  <c r="K45" i="24"/>
  <c r="T44" i="24"/>
  <c r="D44" i="24"/>
  <c r="M43" i="24"/>
  <c r="V42" i="24"/>
  <c r="F42" i="24"/>
  <c r="O41" i="24"/>
  <c r="X40" i="24"/>
  <c r="H40" i="24"/>
  <c r="Q39" i="24"/>
  <c r="Z38" i="24"/>
  <c r="J38" i="24"/>
  <c r="S37" i="24"/>
  <c r="C37" i="24"/>
  <c r="L35" i="24"/>
  <c r="O39" i="29"/>
  <c r="E10" i="29"/>
  <c r="H8" i="28"/>
  <c r="Q20" i="27"/>
  <c r="T16" i="27"/>
  <c r="Q12" i="27"/>
  <c r="X8" i="27"/>
  <c r="O6" i="27"/>
  <c r="M38" i="26"/>
  <c r="N35" i="26"/>
  <c r="R32" i="26"/>
  <c r="Q30" i="26"/>
  <c r="R27" i="26"/>
  <c r="Y25" i="26"/>
  <c r="AA20" i="26"/>
  <c r="F19" i="26"/>
  <c r="Q16" i="26"/>
  <c r="F15" i="26"/>
  <c r="P12" i="26"/>
  <c r="F10" i="26"/>
  <c r="S8" i="26"/>
  <c r="J39" i="25"/>
  <c r="E38" i="25"/>
  <c r="E37" i="25"/>
  <c r="F35" i="25"/>
  <c r="H34" i="25"/>
  <c r="I32" i="25"/>
  <c r="K31" i="25"/>
  <c r="L30" i="25"/>
  <c r="P28" i="25"/>
  <c r="R27" i="25"/>
  <c r="T26" i="25"/>
  <c r="W25" i="25"/>
  <c r="Z23" i="25"/>
  <c r="F23" i="25"/>
  <c r="I20" i="25"/>
  <c r="L19" i="25"/>
  <c r="Q18" i="25"/>
  <c r="T16" i="25"/>
  <c r="Z15" i="25"/>
  <c r="E15" i="25"/>
  <c r="K13" i="25"/>
  <c r="P12" i="25"/>
  <c r="V10" i="25"/>
  <c r="Z9" i="25"/>
  <c r="H9" i="25"/>
  <c r="O8" i="25"/>
  <c r="V78" i="24"/>
  <c r="D78" i="24"/>
  <c r="L77" i="24"/>
  <c r="T76" i="24"/>
  <c r="C76" i="24"/>
  <c r="K75" i="24"/>
  <c r="R73" i="24"/>
  <c r="Z72" i="24"/>
  <c r="I72" i="24"/>
  <c r="Q71" i="24"/>
  <c r="Y70" i="24"/>
  <c r="H70" i="24"/>
  <c r="P69" i="24"/>
  <c r="X68" i="24"/>
  <c r="G68" i="24"/>
  <c r="O67" i="24"/>
  <c r="W66" i="24"/>
  <c r="F66" i="24"/>
  <c r="N65" i="24"/>
  <c r="V64" i="24"/>
  <c r="E64" i="24"/>
  <c r="L63" i="24"/>
  <c r="U62" i="24"/>
  <c r="E62" i="24"/>
  <c r="N60" i="24"/>
  <c r="W59" i="24"/>
  <c r="G59" i="24"/>
  <c r="P58" i="24"/>
  <c r="Y57" i="24"/>
  <c r="I57" i="24"/>
  <c r="R56" i="24"/>
  <c r="AA55" i="24"/>
  <c r="K55" i="24"/>
  <c r="T54" i="24"/>
  <c r="D54" i="24"/>
  <c r="M51" i="24"/>
  <c r="V49" i="24"/>
  <c r="F49" i="24"/>
  <c r="O48" i="24"/>
  <c r="X47" i="24"/>
  <c r="H47" i="24"/>
  <c r="Q46" i="24"/>
  <c r="Z45" i="24"/>
  <c r="J45" i="24"/>
  <c r="S44" i="24"/>
  <c r="C44" i="24"/>
  <c r="L43" i="24"/>
  <c r="U42" i="24"/>
  <c r="E42" i="24"/>
  <c r="N41" i="24"/>
  <c r="N39" i="29"/>
  <c r="C10" i="29"/>
  <c r="F8" i="28"/>
  <c r="N20" i="27"/>
  <c r="G16" i="27"/>
  <c r="P12" i="27"/>
  <c r="T8" i="27"/>
  <c r="I6" i="27"/>
  <c r="L38" i="26"/>
  <c r="M35" i="26"/>
  <c r="K32" i="26"/>
  <c r="P30" i="26"/>
  <c r="Q27" i="26"/>
  <c r="S25" i="26"/>
  <c r="Z20" i="26"/>
  <c r="E19" i="26"/>
  <c r="P16" i="26"/>
  <c r="D15" i="26"/>
  <c r="N12" i="26"/>
  <c r="AA9" i="26"/>
  <c r="R8" i="26"/>
  <c r="I39" i="25"/>
  <c r="D38" i="25"/>
  <c r="D37" i="25"/>
  <c r="E35" i="25"/>
  <c r="G34" i="25"/>
  <c r="H32" i="25"/>
  <c r="J31" i="25"/>
  <c r="K30" i="25"/>
  <c r="M28" i="25"/>
  <c r="N27" i="25"/>
  <c r="S26" i="25"/>
  <c r="V25" i="25"/>
  <c r="Y23" i="25"/>
  <c r="E23" i="25"/>
  <c r="H20" i="25"/>
  <c r="K19" i="25"/>
  <c r="P18" i="25"/>
  <c r="S16" i="25"/>
  <c r="W15" i="25"/>
  <c r="D15" i="25"/>
  <c r="J13" i="25"/>
  <c r="O12" i="25"/>
  <c r="U10" i="25"/>
  <c r="Y9" i="25"/>
  <c r="G9" i="25"/>
  <c r="N8" i="25"/>
  <c r="T78" i="24"/>
  <c r="C78" i="24"/>
  <c r="K77" i="24"/>
  <c r="S76" i="24"/>
  <c r="AA75" i="24"/>
  <c r="I75" i="24"/>
  <c r="Q73" i="24"/>
  <c r="Y72" i="24"/>
  <c r="H72" i="24"/>
  <c r="P71" i="24"/>
  <c r="X70" i="24"/>
  <c r="G70" i="24"/>
  <c r="O69" i="24"/>
  <c r="W68" i="24"/>
  <c r="F68" i="24"/>
  <c r="N67" i="24"/>
  <c r="V66" i="24"/>
  <c r="E66" i="24"/>
  <c r="M65" i="24"/>
  <c r="U64" i="24"/>
  <c r="C64" i="24"/>
  <c r="K63" i="24"/>
  <c r="T62" i="24"/>
  <c r="D62" i="24"/>
  <c r="M60" i="24"/>
  <c r="V59" i="24"/>
  <c r="F59" i="24"/>
  <c r="O58" i="24"/>
  <c r="X57" i="24"/>
  <c r="H57" i="24"/>
  <c r="Q56" i="24"/>
  <c r="Z55" i="24"/>
  <c r="J55" i="24"/>
  <c r="S54" i="24"/>
  <c r="C54" i="24"/>
  <c r="L51" i="24"/>
  <c r="U49" i="24"/>
  <c r="E49" i="24"/>
  <c r="N48" i="24"/>
  <c r="W47" i="24"/>
  <c r="G47" i="24"/>
  <c r="P46" i="24"/>
  <c r="Y45" i="24"/>
  <c r="I45" i="24"/>
  <c r="R44" i="24"/>
  <c r="AA43" i="24"/>
  <c r="K43" i="24"/>
  <c r="T42" i="24"/>
  <c r="D42" i="24"/>
  <c r="M41" i="24"/>
  <c r="V40" i="24"/>
  <c r="F40" i="24"/>
  <c r="O39" i="24"/>
  <c r="X38" i="24"/>
  <c r="H38" i="24"/>
  <c r="Q37" i="24"/>
  <c r="Z35" i="24"/>
  <c r="J35" i="24"/>
  <c r="S32" i="24"/>
  <c r="C32" i="24"/>
  <c r="L31" i="24"/>
  <c r="U30" i="24"/>
  <c r="E30" i="24"/>
  <c r="N29" i="24"/>
  <c r="W27" i="24"/>
  <c r="G27" i="24"/>
  <c r="P26" i="24"/>
  <c r="Y25" i="24"/>
  <c r="I25" i="24"/>
  <c r="R24" i="24"/>
  <c r="AA23" i="24"/>
  <c r="K23" i="24"/>
  <c r="T22" i="24"/>
  <c r="D22" i="24"/>
  <c r="M21" i="24"/>
  <c r="V20" i="24"/>
  <c r="F20" i="24"/>
  <c r="O19" i="24"/>
  <c r="X18" i="24"/>
  <c r="H18" i="24"/>
  <c r="W34" i="29"/>
  <c r="Q7" i="29"/>
  <c r="F7" i="28"/>
  <c r="L20" i="27"/>
  <c r="E16" i="27"/>
  <c r="M12" i="27"/>
  <c r="O8" i="27"/>
  <c r="F6" i="27"/>
  <c r="J38" i="26"/>
  <c r="H35" i="26"/>
  <c r="H32" i="26"/>
  <c r="M30" i="26"/>
  <c r="L27" i="26"/>
  <c r="Q25" i="26"/>
  <c r="X20" i="26"/>
  <c r="Z18" i="26"/>
  <c r="O16" i="26"/>
  <c r="W13" i="26"/>
  <c r="M12" i="26"/>
  <c r="Z9" i="26"/>
  <c r="Q8" i="26"/>
  <c r="H39" i="25"/>
  <c r="C38" i="25"/>
  <c r="C37" i="25"/>
  <c r="D35" i="25"/>
  <c r="F34" i="25"/>
  <c r="G32" i="25"/>
  <c r="I31" i="25"/>
  <c r="J30" i="25"/>
  <c r="L28" i="25"/>
  <c r="M27" i="25"/>
  <c r="R26" i="25"/>
  <c r="U25" i="25"/>
  <c r="X23" i="25"/>
  <c r="D23" i="25"/>
  <c r="G20" i="25"/>
  <c r="J19" i="25"/>
  <c r="O18" i="25"/>
  <c r="R16" i="25"/>
  <c r="V15" i="25"/>
  <c r="C15" i="25"/>
  <c r="I13" i="25"/>
  <c r="N12" i="25"/>
  <c r="R10" i="25"/>
  <c r="X9" i="25"/>
  <c r="F9" i="25"/>
  <c r="M8" i="25"/>
  <c r="S78" i="24"/>
  <c r="AA77" i="24"/>
  <c r="J77" i="24"/>
  <c r="R76" i="24"/>
  <c r="Y75" i="24"/>
  <c r="H75" i="24"/>
  <c r="P73" i="24"/>
  <c r="X72" i="24"/>
  <c r="G72" i="24"/>
  <c r="O71" i="24"/>
  <c r="W70" i="24"/>
  <c r="F70" i="24"/>
  <c r="N69" i="24"/>
  <c r="V68" i="24"/>
  <c r="E68" i="24"/>
  <c r="M67" i="24"/>
  <c r="U66" i="24"/>
  <c r="D66" i="24"/>
  <c r="L65" i="24"/>
  <c r="S64" i="24"/>
  <c r="AA63" i="24"/>
  <c r="J63" i="24"/>
  <c r="S62" i="24"/>
  <c r="C62" i="24"/>
  <c r="L60" i="24"/>
  <c r="U59" i="24"/>
  <c r="E59" i="24"/>
  <c r="N58" i="24"/>
  <c r="W57" i="24"/>
  <c r="G57" i="24"/>
  <c r="P56" i="24"/>
  <c r="Y55" i="24"/>
  <c r="I55" i="24"/>
  <c r="R54" i="24"/>
  <c r="AA51" i="24"/>
  <c r="K51" i="24"/>
  <c r="T49" i="24"/>
  <c r="D49" i="24"/>
  <c r="M48" i="24"/>
  <c r="V47" i="24"/>
  <c r="F47" i="24"/>
  <c r="O46" i="24"/>
  <c r="X45" i="24"/>
  <c r="H45" i="24"/>
  <c r="Q44" i="24"/>
  <c r="Z43" i="24"/>
  <c r="J43" i="24"/>
  <c r="S42" i="24"/>
  <c r="C42" i="24"/>
  <c r="L41" i="24"/>
  <c r="U40" i="24"/>
  <c r="E40" i="24"/>
  <c r="N39" i="24"/>
  <c r="W38" i="24"/>
  <c r="G38" i="24"/>
  <c r="P37" i="24"/>
  <c r="U34" i="29"/>
  <c r="H7" i="29"/>
  <c r="AA6" i="28"/>
  <c r="G20" i="27"/>
  <c r="D16" i="27"/>
  <c r="AA10" i="27"/>
  <c r="M8" i="27"/>
  <c r="E6" i="27"/>
  <c r="AA37" i="26"/>
  <c r="F35" i="26"/>
  <c r="G32" i="26"/>
  <c r="F30" i="26"/>
  <c r="K27" i="26"/>
  <c r="P25" i="26"/>
  <c r="R20" i="26"/>
  <c r="Y18" i="26"/>
  <c r="N16" i="26"/>
  <c r="U13" i="26"/>
  <c r="I12" i="26"/>
  <c r="Y9" i="26"/>
  <c r="K8" i="26"/>
  <c r="D39" i="25"/>
  <c r="AA37" i="25"/>
  <c r="X35" i="25"/>
  <c r="C35" i="25"/>
  <c r="E34" i="25"/>
  <c r="F32" i="25"/>
  <c r="H31" i="25"/>
  <c r="I30" i="25"/>
  <c r="K28" i="25"/>
  <c r="L27" i="25"/>
  <c r="O26" i="25"/>
  <c r="T25" i="25"/>
  <c r="W23" i="25"/>
  <c r="Z20" i="25"/>
  <c r="F20" i="25"/>
  <c r="I19" i="25"/>
  <c r="L18" i="25"/>
  <c r="Q16" i="25"/>
  <c r="U15" i="25"/>
  <c r="AA13" i="25"/>
  <c r="G13" i="25"/>
  <c r="M12" i="25"/>
  <c r="Q10" i="25"/>
  <c r="W9" i="25"/>
  <c r="E9" i="25"/>
  <c r="K8" i="25"/>
  <c r="R78" i="24"/>
  <c r="Z77" i="24"/>
  <c r="I77" i="24"/>
  <c r="P76" i="24"/>
  <c r="X75" i="24"/>
  <c r="G75" i="24"/>
  <c r="O73" i="24"/>
  <c r="W72" i="24"/>
  <c r="F72" i="24"/>
  <c r="N71" i="24"/>
  <c r="V70" i="24"/>
  <c r="E70" i="24"/>
  <c r="M69" i="24"/>
  <c r="U68" i="24"/>
  <c r="D68" i="24"/>
  <c r="L67" i="24"/>
  <c r="T66" i="24"/>
  <c r="C66" i="24"/>
  <c r="J65" i="24"/>
  <c r="R64" i="24"/>
  <c r="Z63" i="24"/>
  <c r="I63" i="24"/>
  <c r="R62" i="24"/>
  <c r="AA60" i="24"/>
  <c r="K60" i="24"/>
  <c r="T59" i="24"/>
  <c r="D59" i="24"/>
  <c r="M58" i="24"/>
  <c r="V57" i="24"/>
  <c r="F57" i="24"/>
  <c r="O56" i="24"/>
  <c r="X55" i="24"/>
  <c r="H55" i="24"/>
  <c r="Q54" i="24"/>
  <c r="Z51" i="24"/>
  <c r="J51" i="24"/>
  <c r="S49" i="24"/>
  <c r="C49" i="24"/>
  <c r="L48" i="24"/>
  <c r="U47" i="24"/>
  <c r="E47" i="24"/>
  <c r="N46" i="24"/>
  <c r="W45" i="24"/>
  <c r="G45" i="24"/>
  <c r="P44" i="24"/>
  <c r="Y43" i="24"/>
  <c r="I43" i="24"/>
  <c r="R42" i="24"/>
  <c r="AA41" i="24"/>
  <c r="K41" i="24"/>
  <c r="C30" i="29"/>
  <c r="N19" i="28"/>
  <c r="Z6" i="28"/>
  <c r="X18" i="27"/>
  <c r="S14" i="27"/>
  <c r="Y10" i="27"/>
  <c r="K8" i="27"/>
  <c r="X39" i="26"/>
  <c r="Y37" i="26"/>
  <c r="D35" i="26"/>
  <c r="C32" i="26"/>
  <c r="D30" i="26"/>
  <c r="I27" i="26"/>
  <c r="K25" i="26"/>
  <c r="O20" i="26"/>
  <c r="X18" i="26"/>
  <c r="G16" i="26"/>
  <c r="T13" i="26"/>
  <c r="H12" i="26"/>
  <c r="X9" i="26"/>
  <c r="I8" i="26"/>
  <c r="AA38" i="25"/>
  <c r="Z37" i="25"/>
  <c r="W35" i="25"/>
  <c r="Y34" i="25"/>
  <c r="Z32" i="25"/>
  <c r="E32" i="25"/>
  <c r="G31" i="25"/>
  <c r="H30" i="25"/>
  <c r="J28" i="25"/>
  <c r="K27" i="25"/>
  <c r="N26" i="25"/>
  <c r="Q25" i="25"/>
  <c r="V23" i="25"/>
  <c r="Y20" i="25"/>
  <c r="C20" i="25"/>
  <c r="H19" i="25"/>
  <c r="K18" i="25"/>
  <c r="N16" i="25"/>
  <c r="T15" i="25"/>
  <c r="Z13" i="25"/>
  <c r="F13" i="25"/>
  <c r="L12" i="25"/>
  <c r="P10" i="25"/>
  <c r="V9" i="25"/>
  <c r="D9" i="25"/>
  <c r="J8" i="25"/>
  <c r="Q78" i="24"/>
  <c r="Y77" i="24"/>
  <c r="G77" i="24"/>
  <c r="O76" i="24"/>
  <c r="W75" i="24"/>
  <c r="F75" i="24"/>
  <c r="N73" i="24"/>
  <c r="V72" i="24"/>
  <c r="E72" i="24"/>
  <c r="M71" i="24"/>
  <c r="U70" i="24"/>
  <c r="D70" i="24"/>
  <c r="L69" i="24"/>
  <c r="T68" i="24"/>
  <c r="C68" i="24"/>
  <c r="K67" i="24"/>
  <c r="S66" i="24"/>
  <c r="Z65" i="24"/>
  <c r="I65" i="24"/>
  <c r="Q64" i="24"/>
  <c r="Y63" i="24"/>
  <c r="H63" i="24"/>
  <c r="Q62" i="24"/>
  <c r="Z60" i="24"/>
  <c r="J60" i="24"/>
  <c r="S59" i="24"/>
  <c r="C59" i="24"/>
  <c r="L58" i="24"/>
  <c r="U57" i="24"/>
  <c r="E57" i="24"/>
  <c r="N56" i="24"/>
  <c r="W55" i="24"/>
  <c r="G55" i="24"/>
  <c r="P54" i="24"/>
  <c r="Y51" i="24"/>
  <c r="I51" i="24"/>
  <c r="R49" i="24"/>
  <c r="AA48" i="24"/>
  <c r="K48" i="24"/>
  <c r="T47" i="24"/>
  <c r="D47" i="24"/>
  <c r="M46" i="24"/>
  <c r="V45" i="24"/>
  <c r="F45" i="24"/>
  <c r="O44" i="24"/>
  <c r="X43" i="24"/>
  <c r="H43" i="24"/>
  <c r="Q42" i="24"/>
  <c r="Z41" i="24"/>
  <c r="J41" i="24"/>
  <c r="S40" i="24"/>
  <c r="C40" i="24"/>
  <c r="L39" i="24"/>
  <c r="U38" i="24"/>
  <c r="E38" i="24"/>
  <c r="N37" i="24"/>
  <c r="W35" i="24"/>
  <c r="G35" i="24"/>
  <c r="P32" i="24"/>
  <c r="Y31" i="24"/>
  <c r="I31" i="24"/>
  <c r="R30" i="24"/>
  <c r="AA29" i="24"/>
  <c r="K29" i="24"/>
  <c r="T27" i="24"/>
  <c r="D27" i="24"/>
  <c r="M26" i="24"/>
  <c r="V25" i="24"/>
  <c r="F25" i="24"/>
  <c r="O24" i="24"/>
  <c r="X23" i="24"/>
  <c r="H23" i="24"/>
  <c r="Q22" i="24"/>
  <c r="Z21" i="24"/>
  <c r="J21" i="24"/>
  <c r="S20" i="24"/>
  <c r="C20" i="24"/>
  <c r="L19" i="24"/>
  <c r="U18" i="24"/>
  <c r="E18" i="24"/>
  <c r="N17" i="24"/>
  <c r="W16" i="24"/>
  <c r="G16" i="24"/>
  <c r="P15" i="24"/>
  <c r="Y13" i="24"/>
  <c r="I13" i="24"/>
  <c r="R12" i="24"/>
  <c r="AA11" i="24"/>
  <c r="K11" i="24"/>
  <c r="T10" i="24"/>
  <c r="D10" i="24"/>
  <c r="M9" i="24"/>
  <c r="V8" i="24"/>
  <c r="F8" i="24"/>
  <c r="O7" i="24"/>
  <c r="Y29" i="29"/>
  <c r="M19" i="28"/>
  <c r="E6" i="28"/>
  <c r="P18" i="27"/>
  <c r="R14" i="27"/>
  <c r="X10" i="27"/>
  <c r="Y7" i="27"/>
  <c r="W39" i="26"/>
  <c r="X37" i="26"/>
  <c r="W34" i="26"/>
  <c r="AA31" i="26"/>
  <c r="C30" i="26"/>
  <c r="C27" i="26"/>
  <c r="J25" i="26"/>
  <c r="N20" i="26"/>
  <c r="W18" i="26"/>
  <c r="E16" i="26"/>
  <c r="P13" i="26"/>
  <c r="G12" i="26"/>
  <c r="R9" i="26"/>
  <c r="H8" i="26"/>
  <c r="Z38" i="25"/>
  <c r="V37" i="25"/>
  <c r="V35" i="25"/>
  <c r="X34" i="25"/>
  <c r="Y32" i="25"/>
  <c r="AA31" i="25"/>
  <c r="C31" i="25"/>
  <c r="G30" i="25"/>
  <c r="I28" i="25"/>
  <c r="J27" i="25"/>
  <c r="M26" i="25"/>
  <c r="P25" i="25"/>
  <c r="U23" i="25"/>
  <c r="X20" i="25"/>
  <c r="AA19" i="25"/>
  <c r="G19" i="25"/>
  <c r="J18" i="25"/>
  <c r="M16" i="25"/>
  <c r="S15" i="25"/>
  <c r="Y13" i="25"/>
  <c r="E13" i="25"/>
  <c r="I12" i="25"/>
  <c r="O10" i="25"/>
  <c r="U9" i="25"/>
  <c r="AA8" i="25"/>
  <c r="I8" i="25"/>
  <c r="P78" i="24"/>
  <c r="W77" i="24"/>
  <c r="F77" i="24"/>
  <c r="N76" i="24"/>
  <c r="V75" i="24"/>
  <c r="E75" i="24"/>
  <c r="M73" i="24"/>
  <c r="U72" i="24"/>
  <c r="D72" i="24"/>
  <c r="L71" i="24"/>
  <c r="T70" i="24"/>
  <c r="C70" i="24"/>
  <c r="K69" i="24"/>
  <c r="S68" i="24"/>
  <c r="AA67" i="24"/>
  <c r="J67" i="24"/>
  <c r="Q66" i="24"/>
  <c r="Y65" i="24"/>
  <c r="H65" i="24"/>
  <c r="P64" i="24"/>
  <c r="X63" i="24"/>
  <c r="G63" i="24"/>
  <c r="P62" i="24"/>
  <c r="Y60" i="24"/>
  <c r="I60" i="24"/>
  <c r="R59" i="24"/>
  <c r="AA58" i="24"/>
  <c r="K58" i="24"/>
  <c r="T57" i="24"/>
  <c r="D57" i="24"/>
  <c r="M56" i="24"/>
  <c r="V55" i="24"/>
  <c r="F55" i="24"/>
  <c r="O54" i="24"/>
  <c r="X51" i="24"/>
  <c r="H51" i="24"/>
  <c r="Q49" i="24"/>
  <c r="Z48" i="24"/>
  <c r="J48" i="24"/>
  <c r="S47" i="24"/>
  <c r="C47" i="24"/>
  <c r="L46" i="24"/>
  <c r="U45" i="24"/>
  <c r="E45" i="24"/>
  <c r="N44" i="24"/>
  <c r="W43" i="24"/>
  <c r="G43" i="24"/>
  <c r="P42" i="24"/>
  <c r="Y41" i="24"/>
  <c r="I41" i="24"/>
  <c r="R40" i="24"/>
  <c r="AA39" i="24"/>
  <c r="K39" i="24"/>
  <c r="T38" i="24"/>
  <c r="D38" i="24"/>
  <c r="M37" i="24"/>
  <c r="V35" i="24"/>
  <c r="F35" i="24"/>
  <c r="O32" i="24"/>
  <c r="X31" i="24"/>
  <c r="H31" i="24"/>
  <c r="Q30" i="24"/>
  <c r="Z29" i="24"/>
  <c r="U24" i="29"/>
  <c r="K17" i="28"/>
  <c r="X25" i="27"/>
  <c r="J18" i="27"/>
  <c r="O14" i="27"/>
  <c r="P10" i="27"/>
  <c r="V7" i="27"/>
  <c r="U39" i="26"/>
  <c r="T37" i="26"/>
  <c r="U34" i="26"/>
  <c r="Y31" i="26"/>
  <c r="W28" i="26"/>
  <c r="Z26" i="26"/>
  <c r="H25" i="26"/>
  <c r="J20" i="26"/>
  <c r="P18" i="26"/>
  <c r="D16" i="26"/>
  <c r="O13" i="26"/>
  <c r="F12" i="26"/>
  <c r="P9" i="26"/>
  <c r="D8" i="26"/>
  <c r="V38" i="25"/>
  <c r="U37" i="25"/>
  <c r="U35" i="25"/>
  <c r="W34" i="25"/>
  <c r="X32" i="25"/>
  <c r="Z31" i="25"/>
  <c r="AA30" i="25"/>
  <c r="D30" i="25"/>
  <c r="E28" i="25"/>
  <c r="I27" i="25"/>
  <c r="L26" i="25"/>
  <c r="O25" i="25"/>
  <c r="T23" i="25"/>
  <c r="W20" i="25"/>
  <c r="Z19" i="25"/>
  <c r="F19" i="25"/>
  <c r="I18" i="25"/>
  <c r="L16" i="25"/>
  <c r="R15" i="25"/>
  <c r="W13" i="25"/>
  <c r="D13" i="25"/>
  <c r="H12" i="25"/>
  <c r="N10" i="25"/>
  <c r="T9" i="25"/>
  <c r="Z8" i="25"/>
  <c r="H8" i="25"/>
  <c r="N78" i="24"/>
  <c r="V77" i="24"/>
  <c r="E77" i="24"/>
  <c r="M76" i="24"/>
  <c r="U75" i="24"/>
  <c r="D75" i="24"/>
  <c r="L73" i="24"/>
  <c r="T72" i="24"/>
  <c r="C72" i="24"/>
  <c r="K71" i="24"/>
  <c r="S70" i="24"/>
  <c r="AA69" i="24"/>
  <c r="J69" i="24"/>
  <c r="R68" i="24"/>
  <c r="Z67" i="24"/>
  <c r="T24" i="29"/>
  <c r="J17" i="28"/>
  <c r="V25" i="27"/>
  <c r="H18" i="27"/>
  <c r="C14" i="27"/>
  <c r="N10" i="27"/>
  <c r="U7" i="27"/>
  <c r="N39" i="26"/>
  <c r="S37" i="26"/>
  <c r="S34" i="26"/>
  <c r="Q31" i="26"/>
  <c r="V28" i="26"/>
  <c r="Y26" i="26"/>
  <c r="AA23" i="26"/>
  <c r="I20" i="26"/>
  <c r="N18" i="26"/>
  <c r="Y15" i="26"/>
  <c r="N13" i="26"/>
  <c r="Y10" i="26"/>
  <c r="O9" i="26"/>
  <c r="C8" i="26"/>
  <c r="U38" i="25"/>
  <c r="T37" i="25"/>
  <c r="T35" i="25"/>
  <c r="V34" i="25"/>
  <c r="W32" i="25"/>
  <c r="Y31" i="25"/>
  <c r="Z30" i="25"/>
  <c r="C30" i="25"/>
  <c r="D28" i="25"/>
  <c r="F27" i="25"/>
  <c r="K26" i="25"/>
  <c r="N25" i="25"/>
  <c r="Q23" i="25"/>
  <c r="V20" i="25"/>
  <c r="Y19" i="25"/>
  <c r="C19" i="25"/>
  <c r="H18" i="25"/>
  <c r="K16" i="25"/>
  <c r="Q15" i="25"/>
  <c r="V13" i="25"/>
  <c r="C13" i="25"/>
  <c r="G12" i="25"/>
  <c r="M10" i="25"/>
  <c r="R9" i="25"/>
  <c r="Y8" i="25"/>
  <c r="G8" i="25"/>
  <c r="M78" i="24"/>
  <c r="U77" i="24"/>
  <c r="D77" i="24"/>
  <c r="L76" i="24"/>
  <c r="T75" i="24"/>
  <c r="C75" i="24"/>
  <c r="K73" i="24"/>
  <c r="S72" i="24"/>
  <c r="AA71" i="24"/>
  <c r="J71" i="24"/>
  <c r="R70" i="24"/>
  <c r="Z69" i="24"/>
  <c r="I69" i="24"/>
  <c r="Q68" i="24"/>
  <c r="X67" i="24"/>
  <c r="G67" i="24"/>
  <c r="O66" i="24"/>
  <c r="W65" i="24"/>
  <c r="F65" i="24"/>
  <c r="N64" i="24"/>
  <c r="V63" i="24"/>
  <c r="E63" i="24"/>
  <c r="N62" i="24"/>
  <c r="W60" i="24"/>
  <c r="G60" i="24"/>
  <c r="P59" i="24"/>
  <c r="Y58" i="24"/>
  <c r="I58" i="24"/>
  <c r="R57" i="24"/>
  <c r="AA56" i="24"/>
  <c r="K56" i="24"/>
  <c r="T55" i="24"/>
  <c r="D55" i="24"/>
  <c r="M54" i="24"/>
  <c r="V51" i="24"/>
  <c r="F51" i="24"/>
  <c r="O49" i="24"/>
  <c r="X48" i="24"/>
  <c r="H48" i="24"/>
  <c r="K22" i="29"/>
  <c r="V14" i="28"/>
  <c r="Y22" i="27"/>
  <c r="C18" i="27"/>
  <c r="Y13" i="27"/>
  <c r="K10" i="27"/>
  <c r="P7" i="27"/>
  <c r="K39" i="26"/>
  <c r="P37" i="26"/>
  <c r="N34" i="26"/>
  <c r="O31" i="26"/>
  <c r="S28" i="26"/>
  <c r="T26" i="26"/>
  <c r="Y23" i="26"/>
  <c r="G20" i="26"/>
  <c r="M18" i="26"/>
  <c r="X15" i="26"/>
  <c r="M13" i="26"/>
  <c r="W10" i="26"/>
  <c r="K9" i="26"/>
  <c r="AA39" i="25"/>
  <c r="T38" i="25"/>
  <c r="S37" i="25"/>
  <c r="S35" i="25"/>
  <c r="U34" i="25"/>
  <c r="V32" i="25"/>
  <c r="X31" i="25"/>
  <c r="Y30" i="25"/>
  <c r="AA28" i="25"/>
  <c r="C28" i="25"/>
  <c r="E27" i="25"/>
  <c r="H26" i="25"/>
  <c r="M25" i="25"/>
  <c r="P23" i="25"/>
  <c r="S20" i="25"/>
  <c r="X19" i="25"/>
  <c r="AA18" i="25"/>
  <c r="J18" i="29"/>
  <c r="E13" i="28"/>
  <c r="U21" i="27"/>
  <c r="L17" i="27"/>
  <c r="O13" i="27"/>
  <c r="V9" i="27"/>
  <c r="D7" i="27"/>
  <c r="E39" i="26"/>
  <c r="F37" i="26"/>
  <c r="E34" i="26"/>
  <c r="I31" i="26"/>
  <c r="J28" i="26"/>
  <c r="K26" i="26"/>
  <c r="R23" i="26"/>
  <c r="V19" i="26"/>
  <c r="G18" i="26"/>
  <c r="O15" i="26"/>
  <c r="D13" i="26"/>
  <c r="Q10" i="26"/>
  <c r="H9" i="26"/>
  <c r="R39" i="25"/>
  <c r="Q38" i="25"/>
  <c r="M37" i="25"/>
  <c r="N35" i="25"/>
  <c r="O34" i="25"/>
  <c r="Q32" i="25"/>
  <c r="R31" i="25"/>
  <c r="T30" i="25"/>
  <c r="U28" i="25"/>
  <c r="Y27" i="25"/>
  <c r="AA26" i="25"/>
  <c r="E26" i="25"/>
  <c r="H25" i="25"/>
  <c r="M23" i="25"/>
  <c r="P20" i="25"/>
  <c r="S19" i="25"/>
  <c r="X18" i="25"/>
  <c r="AA16" i="25"/>
  <c r="G16" i="25"/>
  <c r="L15" i="25"/>
  <c r="P13" i="25"/>
  <c r="V12" i="25"/>
  <c r="C12" i="25"/>
  <c r="H10" i="25"/>
  <c r="N9" i="25"/>
  <c r="T8" i="25"/>
  <c r="AA78" i="24"/>
  <c r="I78" i="24"/>
  <c r="Q77" i="24"/>
  <c r="Y76" i="24"/>
  <c r="H76" i="24"/>
  <c r="P75" i="24"/>
  <c r="X73" i="24"/>
  <c r="G73" i="24"/>
  <c r="O72" i="24"/>
  <c r="W71" i="24"/>
  <c r="F71" i="24"/>
  <c r="M70" i="24"/>
  <c r="U69" i="24"/>
  <c r="D69" i="24"/>
  <c r="L68" i="24"/>
  <c r="T67" i="24"/>
  <c r="C67" i="24"/>
  <c r="Y20" i="29"/>
  <c r="I37" i="26"/>
  <c r="W15" i="26"/>
  <c r="Q34" i="25"/>
  <c r="L25" i="25"/>
  <c r="P15" i="25"/>
  <c r="K10" i="25"/>
  <c r="K78" i="24"/>
  <c r="R75" i="24"/>
  <c r="Y71" i="24"/>
  <c r="F69" i="24"/>
  <c r="P66" i="24"/>
  <c r="AA64" i="24"/>
  <c r="C63" i="24"/>
  <c r="H60" i="24"/>
  <c r="U58" i="24"/>
  <c r="Y56" i="24"/>
  <c r="E55" i="24"/>
  <c r="R51" i="24"/>
  <c r="V48" i="24"/>
  <c r="J47" i="24"/>
  <c r="S45" i="24"/>
  <c r="J44" i="24"/>
  <c r="Z42" i="24"/>
  <c r="H41" i="24"/>
  <c r="G40" i="24"/>
  <c r="E39" i="24"/>
  <c r="Y37" i="24"/>
  <c r="U35" i="24"/>
  <c r="V32" i="24"/>
  <c r="W31" i="24"/>
  <c r="AA30" i="24"/>
  <c r="C30" i="24"/>
  <c r="F29" i="24"/>
  <c r="K27" i="24"/>
  <c r="Q26" i="24"/>
  <c r="U25" i="24"/>
  <c r="AA24" i="24"/>
  <c r="H24" i="24"/>
  <c r="M23" i="24"/>
  <c r="R22" i="24"/>
  <c r="W21" i="24"/>
  <c r="D21" i="24"/>
  <c r="I20" i="24"/>
  <c r="N19" i="24"/>
  <c r="S18" i="24"/>
  <c r="Y17" i="24"/>
  <c r="G17" i="24"/>
  <c r="M16" i="24"/>
  <c r="T15" i="24"/>
  <c r="AA13" i="24"/>
  <c r="H13" i="24"/>
  <c r="O12" i="24"/>
  <c r="V11" i="24"/>
  <c r="D11" i="24"/>
  <c r="J10" i="24"/>
  <c r="Q9" i="24"/>
  <c r="X8" i="24"/>
  <c r="E8" i="24"/>
  <c r="M7" i="24"/>
  <c r="P18" i="29"/>
  <c r="G37" i="26"/>
  <c r="V15" i="26"/>
  <c r="P34" i="25"/>
  <c r="K25" i="25"/>
  <c r="N15" i="25"/>
  <c r="I10" i="25"/>
  <c r="J78" i="24"/>
  <c r="Q75" i="24"/>
  <c r="X71" i="24"/>
  <c r="E69" i="24"/>
  <c r="N66" i="24"/>
  <c r="X64" i="24"/>
  <c r="AA62" i="24"/>
  <c r="F60" i="24"/>
  <c r="R58" i="24"/>
  <c r="X56" i="24"/>
  <c r="C55" i="24"/>
  <c r="O51" i="24"/>
  <c r="U48" i="24"/>
  <c r="AA46" i="24"/>
  <c r="R45" i="24"/>
  <c r="I44" i="24"/>
  <c r="W42" i="24"/>
  <c r="G41" i="24"/>
  <c r="D40" i="24"/>
  <c r="AA38" i="24"/>
  <c r="X37" i="24"/>
  <c r="T35" i="24"/>
  <c r="U32" i="24"/>
  <c r="V31" i="24"/>
  <c r="X30" i="24"/>
  <c r="Y29" i="24"/>
  <c r="E29" i="24"/>
  <c r="J27" i="24"/>
  <c r="O26" i="24"/>
  <c r="T25" i="24"/>
  <c r="Z24" i="24"/>
  <c r="F24" i="24"/>
  <c r="L23" i="24"/>
  <c r="P22" i="24"/>
  <c r="V21" i="24"/>
  <c r="C21" i="24"/>
  <c r="H20" i="24"/>
  <c r="M19" i="24"/>
  <c r="R18" i="24"/>
  <c r="X17" i="24"/>
  <c r="E17" i="24"/>
  <c r="L16" i="24"/>
  <c r="S15" i="24"/>
  <c r="Z13" i="24"/>
  <c r="G13" i="24"/>
  <c r="N12" i="24"/>
  <c r="U11" i="24"/>
  <c r="AA10" i="24"/>
  <c r="I10" i="24"/>
  <c r="P9" i="24"/>
  <c r="W8" i="24"/>
  <c r="D8" i="24"/>
  <c r="L7" i="24"/>
  <c r="T14" i="28"/>
  <c r="M34" i="26"/>
  <c r="G13" i="26"/>
  <c r="U32" i="25"/>
  <c r="O23" i="25"/>
  <c r="M15" i="25"/>
  <c r="E10" i="25"/>
  <c r="F78" i="24"/>
  <c r="M75" i="24"/>
  <c r="S71" i="24"/>
  <c r="Z68" i="24"/>
  <c r="M66" i="24"/>
  <c r="O64" i="24"/>
  <c r="Z62" i="24"/>
  <c r="E60" i="24"/>
  <c r="J58" i="24"/>
  <c r="W56" i="24"/>
  <c r="AA54" i="24"/>
  <c r="G51" i="24"/>
  <c r="T48" i="24"/>
  <c r="Z46" i="24"/>
  <c r="Q45" i="24"/>
  <c r="H44" i="24"/>
  <c r="O42" i="24"/>
  <c r="F41" i="24"/>
  <c r="Z39" i="24"/>
  <c r="Y38" i="24"/>
  <c r="W37" i="24"/>
  <c r="S35" i="24"/>
  <c r="T32" i="24"/>
  <c r="U31" i="24"/>
  <c r="W30" i="24"/>
  <c r="X29" i="24"/>
  <c r="D29" i="24"/>
  <c r="I27" i="24"/>
  <c r="N26" i="24"/>
  <c r="S25" i="24"/>
  <c r="Y24" i="24"/>
  <c r="E24" i="24"/>
  <c r="J23" i="24"/>
  <c r="O22" i="24"/>
  <c r="U21" i="24"/>
  <c r="Z20" i="24"/>
  <c r="G20" i="24"/>
  <c r="K19" i="24"/>
  <c r="Q18" i="24"/>
  <c r="W17" i="24"/>
  <c r="D17" i="24"/>
  <c r="K16" i="24"/>
  <c r="R15" i="24"/>
  <c r="X13" i="24"/>
  <c r="F13" i="24"/>
  <c r="M12" i="24"/>
  <c r="T11" i="24"/>
  <c r="Z10" i="24"/>
  <c r="H10" i="24"/>
  <c r="O9" i="24"/>
  <c r="U8" i="24"/>
  <c r="C8" i="24"/>
  <c r="K7" i="24"/>
  <c r="G13" i="28"/>
  <c r="K34" i="26"/>
  <c r="E13" i="26"/>
  <c r="R32" i="25"/>
  <c r="N23" i="25"/>
  <c r="U13" i="25"/>
  <c r="Q9" i="25"/>
  <c r="T77" i="24"/>
  <c r="AA73" i="24"/>
  <c r="I71" i="24"/>
  <c r="O68" i="24"/>
  <c r="L66" i="24"/>
  <c r="M64" i="24"/>
  <c r="W62" i="24"/>
  <c r="D60" i="24"/>
  <c r="H58" i="24"/>
  <c r="T56" i="24"/>
  <c r="Z54" i="24"/>
  <c r="E51" i="24"/>
  <c r="Q48" i="24"/>
  <c r="Y46" i="24"/>
  <c r="P45" i="24"/>
  <c r="E44" i="24"/>
  <c r="N42" i="24"/>
  <c r="E41" i="24"/>
  <c r="Y39" i="24"/>
  <c r="V38" i="24"/>
  <c r="T37" i="24"/>
  <c r="R35" i="24"/>
  <c r="R32" i="24"/>
  <c r="T31" i="24"/>
  <c r="V30" i="24"/>
  <c r="W29" i="24"/>
  <c r="AA27" i="24"/>
  <c r="H27" i="24"/>
  <c r="L26" i="24"/>
  <c r="R25" i="24"/>
  <c r="X24" i="24"/>
  <c r="D24" i="24"/>
  <c r="I23" i="24"/>
  <c r="N22" i="24"/>
  <c r="T21" i="24"/>
  <c r="Y20" i="24"/>
  <c r="E20" i="24"/>
  <c r="J19" i="24"/>
  <c r="P18" i="24"/>
  <c r="U17" i="24"/>
  <c r="C17" i="24"/>
  <c r="J16" i="24"/>
  <c r="Q15" i="24"/>
  <c r="W13" i="24"/>
  <c r="E13" i="24"/>
  <c r="L12" i="24"/>
  <c r="R11" i="24"/>
  <c r="Y10" i="24"/>
  <c r="G10" i="24"/>
  <c r="N9" i="24"/>
  <c r="T8" i="24"/>
  <c r="AA7" i="24"/>
  <c r="J7" i="24"/>
  <c r="W22" i="27"/>
  <c r="N31" i="26"/>
  <c r="V10" i="26"/>
  <c r="W31" i="25"/>
  <c r="R20" i="25"/>
  <c r="T13" i="25"/>
  <c r="P9" i="25"/>
  <c r="S77" i="24"/>
  <c r="Z73" i="24"/>
  <c r="H71" i="24"/>
  <c r="N68" i="24"/>
  <c r="K66" i="24"/>
  <c r="L64" i="24"/>
  <c r="O62" i="24"/>
  <c r="C60" i="24"/>
  <c r="G58" i="24"/>
  <c r="L56" i="24"/>
  <c r="Y54" i="24"/>
  <c r="D51" i="24"/>
  <c r="I48" i="24"/>
  <c r="X46" i="24"/>
  <c r="O45" i="24"/>
  <c r="V43" i="24"/>
  <c r="M42" i="24"/>
  <c r="D41" i="24"/>
  <c r="X39" i="24"/>
  <c r="S38" i="24"/>
  <c r="R37" i="24"/>
  <c r="Q35" i="24"/>
  <c r="Q32" i="24"/>
  <c r="S31" i="24"/>
  <c r="T30" i="24"/>
  <c r="V29" i="24"/>
  <c r="Z27" i="24"/>
  <c r="F27" i="24"/>
  <c r="K26" i="24"/>
  <c r="Q25" i="24"/>
  <c r="V24" i="24"/>
  <c r="C24" i="24"/>
  <c r="G23" i="24"/>
  <c r="M22" i="24"/>
  <c r="S21" i="24"/>
  <c r="X20" i="24"/>
  <c r="D20" i="24"/>
  <c r="I19" i="24"/>
  <c r="O18" i="24"/>
  <c r="T17" i="24"/>
  <c r="AA16" i="24"/>
  <c r="I16" i="24"/>
  <c r="O15" i="24"/>
  <c r="V13" i="24"/>
  <c r="D13" i="24"/>
  <c r="K12" i="24"/>
  <c r="Q11" i="24"/>
  <c r="X10" i="24"/>
  <c r="F10" i="24"/>
  <c r="L9" i="24"/>
  <c r="S8" i="24"/>
  <c r="Z7" i="24"/>
  <c r="I7" i="24"/>
  <c r="U22" i="27"/>
  <c r="J31" i="26"/>
  <c r="R10" i="26"/>
  <c r="S31" i="25"/>
  <c r="Q20" i="25"/>
  <c r="S13" i="25"/>
  <c r="O9" i="25"/>
  <c r="R77" i="24"/>
  <c r="Y73" i="24"/>
  <c r="G71" i="24"/>
  <c r="M68" i="24"/>
  <c r="H66" i="24"/>
  <c r="K64" i="24"/>
  <c r="M62" i="24"/>
  <c r="Y59" i="24"/>
  <c r="F58" i="24"/>
  <c r="J56" i="24"/>
  <c r="V54" i="24"/>
  <c r="C51" i="24"/>
  <c r="G48" i="24"/>
  <c r="W46" i="24"/>
  <c r="L45" i="24"/>
  <c r="U43" i="24"/>
  <c r="L42" i="24"/>
  <c r="C41" i="24"/>
  <c r="W39" i="24"/>
  <c r="R38" i="24"/>
  <c r="O37" i="24"/>
  <c r="P35" i="24"/>
  <c r="N32" i="24"/>
  <c r="R31" i="24"/>
  <c r="S30" i="24"/>
  <c r="U29" i="24"/>
  <c r="Y27" i="24"/>
  <c r="E27" i="24"/>
  <c r="J26" i="24"/>
  <c r="P25" i="24"/>
  <c r="U24" i="24"/>
  <c r="Z23" i="24"/>
  <c r="F23" i="24"/>
  <c r="L22" i="24"/>
  <c r="Q21" i="24"/>
  <c r="W20" i="24"/>
  <c r="AA19" i="24"/>
  <c r="H19" i="24"/>
  <c r="N18" i="24"/>
  <c r="S17" i="24"/>
  <c r="Z16" i="24"/>
  <c r="H16" i="24"/>
  <c r="N15" i="24"/>
  <c r="U13" i="24"/>
  <c r="C13" i="24"/>
  <c r="I12" i="24"/>
  <c r="P11" i="24"/>
  <c r="W10" i="24"/>
  <c r="E10" i="24"/>
  <c r="K9" i="24"/>
  <c r="R8" i="24"/>
  <c r="Y7" i="24"/>
  <c r="H7" i="24"/>
  <c r="AA17" i="27"/>
  <c r="M28" i="26"/>
  <c r="J9" i="26"/>
  <c r="X30" i="25"/>
  <c r="W19" i="25"/>
  <c r="M13" i="25"/>
  <c r="J9" i="25"/>
  <c r="N77" i="24"/>
  <c r="U73" i="24"/>
  <c r="AA70" i="24"/>
  <c r="I68" i="24"/>
  <c r="X65" i="24"/>
  <c r="J64" i="24"/>
  <c r="L62" i="24"/>
  <c r="Q59" i="24"/>
  <c r="E58" i="24"/>
  <c r="I56" i="24"/>
  <c r="N54" i="24"/>
  <c r="AA49" i="24"/>
  <c r="F48" i="24"/>
  <c r="V46" i="24"/>
  <c r="D45" i="24"/>
  <c r="T43" i="24"/>
  <c r="K42" i="24"/>
  <c r="Y40" i="24"/>
  <c r="V39" i="24"/>
  <c r="Q38" i="24"/>
  <c r="L37" i="24"/>
  <c r="M35" i="24"/>
  <c r="M32" i="24"/>
  <c r="O31" i="24"/>
  <c r="P30" i="24"/>
  <c r="T29" i="24"/>
  <c r="X27" i="24"/>
  <c r="C27" i="24"/>
  <c r="I26" i="24"/>
  <c r="O25" i="24"/>
  <c r="T24" i="24"/>
  <c r="Y23" i="24"/>
  <c r="E23" i="24"/>
  <c r="K22" i="24"/>
  <c r="P21" i="24"/>
  <c r="U20" i="24"/>
  <c r="Z19" i="24"/>
  <c r="G19" i="24"/>
  <c r="L18" i="24"/>
  <c r="R17" i="24"/>
  <c r="Y16" i="24"/>
  <c r="F16" i="24"/>
  <c r="M15" i="24"/>
  <c r="T13" i="24"/>
  <c r="AA12" i="24"/>
  <c r="H12" i="24"/>
  <c r="O11" i="24"/>
  <c r="V10" i="24"/>
  <c r="C10" i="24"/>
  <c r="J9" i="24"/>
  <c r="Q8" i="24"/>
  <c r="X7" i="24"/>
  <c r="G7" i="24"/>
  <c r="U17" i="27"/>
  <c r="K28" i="26"/>
  <c r="I9" i="26"/>
  <c r="X13" i="27"/>
  <c r="S26" i="26"/>
  <c r="Z39" i="25"/>
  <c r="Z28" i="25"/>
  <c r="Z18" i="25"/>
  <c r="X12" i="25"/>
  <c r="W8" i="25"/>
  <c r="AA76" i="24"/>
  <c r="I73" i="24"/>
  <c r="P70" i="24"/>
  <c r="V67" i="24"/>
  <c r="U65" i="24"/>
  <c r="W63" i="24"/>
  <c r="J62" i="24"/>
  <c r="N59" i="24"/>
  <c r="S57" i="24"/>
  <c r="G56" i="24"/>
  <c r="K54" i="24"/>
  <c r="P49" i="24"/>
  <c r="D48" i="24"/>
  <c r="K46" i="24"/>
  <c r="AA44" i="24"/>
  <c r="R43" i="24"/>
  <c r="G42" i="24"/>
  <c r="T40" i="24"/>
  <c r="R39" i="24"/>
  <c r="O38" i="24"/>
  <c r="J37" i="24"/>
  <c r="I35" i="24"/>
  <c r="K32" i="24"/>
  <c r="M31" i="24"/>
  <c r="N30" i="24"/>
  <c r="P29" i="24"/>
  <c r="U27" i="24"/>
  <c r="Z26" i="24"/>
  <c r="G26" i="24"/>
  <c r="L25" i="24"/>
  <c r="Q24" i="24"/>
  <c r="V23" i="24"/>
  <c r="C23" i="24"/>
  <c r="H22" i="24"/>
  <c r="N21" i="24"/>
  <c r="R20" i="24"/>
  <c r="X19" i="24"/>
  <c r="E19" i="24"/>
  <c r="J18" i="24"/>
  <c r="P17" i="24"/>
  <c r="V16" i="24"/>
  <c r="D16" i="24"/>
  <c r="K15" i="24"/>
  <c r="R13" i="24"/>
  <c r="X12" i="24"/>
  <c r="F12" i="24"/>
  <c r="M11" i="24"/>
  <c r="S10" i="24"/>
  <c r="Z9" i="24"/>
  <c r="H9" i="24"/>
  <c r="O8" i="24"/>
  <c r="V7" i="24"/>
  <c r="E7" i="24"/>
  <c r="P13" i="27"/>
  <c r="Q26" i="26"/>
  <c r="T39" i="25"/>
  <c r="Y28" i="25"/>
  <c r="Y18" i="25"/>
  <c r="W12" i="25"/>
  <c r="U8" i="25"/>
  <c r="Z76" i="24"/>
  <c r="H73" i="24"/>
  <c r="O70" i="24"/>
  <c r="U67" i="24"/>
  <c r="T65" i="24"/>
  <c r="U63" i="24"/>
  <c r="G62" i="24"/>
  <c r="M59" i="24"/>
  <c r="Q57" i="24"/>
  <c r="D56" i="24"/>
  <c r="J54" i="24"/>
  <c r="N49" i="24"/>
  <c r="Z47" i="24"/>
  <c r="J46" i="24"/>
  <c r="Z44" i="24"/>
  <c r="Q43" i="24"/>
  <c r="X41" i="24"/>
  <c r="Q40" i="24"/>
  <c r="P39" i="24"/>
  <c r="N38" i="24"/>
  <c r="I37" i="24"/>
  <c r="H35" i="24"/>
  <c r="J32" i="24"/>
  <c r="K31" i="24"/>
  <c r="M30" i="24"/>
  <c r="O29" i="24"/>
  <c r="S27" i="24"/>
  <c r="Y26" i="24"/>
  <c r="F26" i="24"/>
  <c r="K25" i="24"/>
  <c r="P24" i="24"/>
  <c r="U23" i="24"/>
  <c r="AA22" i="24"/>
  <c r="G22" i="24"/>
  <c r="L21" i="24"/>
  <c r="Q20" i="24"/>
  <c r="W19" i="24"/>
  <c r="C19" i="24"/>
  <c r="I18" i="24"/>
  <c r="O17" i="24"/>
  <c r="U16" i="24"/>
  <c r="C16" i="24"/>
  <c r="J15" i="24"/>
  <c r="P13" i="24"/>
  <c r="W12" i="24"/>
  <c r="E12" i="24"/>
  <c r="L11" i="24"/>
  <c r="R10" i="24"/>
  <c r="Y9" i="24"/>
  <c r="G9" i="24"/>
  <c r="M8" i="24"/>
  <c r="U7" i="24"/>
  <c r="D7" i="24"/>
  <c r="Z9" i="27"/>
  <c r="W23" i="26"/>
  <c r="S38" i="25"/>
  <c r="AA27" i="25"/>
  <c r="E18" i="25"/>
  <c r="S12" i="25"/>
  <c r="Q8" i="25"/>
  <c r="V76" i="24"/>
  <c r="D73" i="24"/>
  <c r="J70" i="24"/>
  <c r="Q67" i="24"/>
  <c r="S65" i="24"/>
  <c r="T63" i="24"/>
  <c r="X60" i="24"/>
  <c r="L59" i="24"/>
  <c r="P57" i="24"/>
  <c r="U55" i="24"/>
  <c r="I54" i="24"/>
  <c r="M49" i="24"/>
  <c r="R47" i="24"/>
  <c r="I46" i="24"/>
  <c r="Y44" i="24"/>
  <c r="N43" i="24"/>
  <c r="W41" i="24"/>
  <c r="P40" i="24"/>
  <c r="M39" i="24"/>
  <c r="K38" i="24"/>
  <c r="H37" i="24"/>
  <c r="E35" i="24"/>
  <c r="I32" i="24"/>
  <c r="J31" i="24"/>
  <c r="L30" i="24"/>
  <c r="M29" i="24"/>
  <c r="R27" i="24"/>
  <c r="X26" i="24"/>
  <c r="D26" i="24"/>
  <c r="J25" i="24"/>
  <c r="N24" i="24"/>
  <c r="T23" i="24"/>
  <c r="Z22" i="24"/>
  <c r="F22" i="24"/>
  <c r="K21" i="24"/>
  <c r="P20" i="24"/>
  <c r="V19" i="24"/>
  <c r="AA18" i="24"/>
  <c r="G18" i="24"/>
  <c r="M17" i="24"/>
  <c r="T16" i="24"/>
  <c r="AA15" i="24"/>
  <c r="I15" i="24"/>
  <c r="O13" i="24"/>
  <c r="V12" i="24"/>
  <c r="D12" i="24"/>
  <c r="J11" i="24"/>
  <c r="Q10" i="24"/>
  <c r="X9" i="24"/>
  <c r="F9" i="24"/>
  <c r="L8" i="24"/>
  <c r="T7" i="24"/>
  <c r="C7" i="24"/>
  <c r="W9" i="27"/>
  <c r="S23" i="26"/>
  <c r="R38" i="25"/>
  <c r="Z27" i="25"/>
  <c r="D18" i="25"/>
  <c r="F12" i="25"/>
  <c r="E8" i="25"/>
  <c r="K76" i="24"/>
  <c r="R72" i="24"/>
  <c r="Y69" i="24"/>
  <c r="H67" i="24"/>
  <c r="P65" i="24"/>
  <c r="S63" i="24"/>
  <c r="V60" i="24"/>
  <c r="I59" i="24"/>
  <c r="O57" i="24"/>
  <c r="S55" i="24"/>
  <c r="F54" i="24"/>
  <c r="L49" i="24"/>
  <c r="Q47" i="24"/>
  <c r="H46" i="24"/>
  <c r="X44" i="24"/>
  <c r="F43" i="24"/>
  <c r="V41" i="24"/>
  <c r="O40" i="24"/>
  <c r="J39" i="24"/>
  <c r="I38" i="24"/>
  <c r="G37" i="24"/>
  <c r="D35" i="24"/>
  <c r="F32" i="24"/>
  <c r="G31" i="24"/>
  <c r="K30" i="24"/>
  <c r="L29" i="24"/>
  <c r="Q27" i="24"/>
  <c r="W26" i="24"/>
  <c r="C26" i="24"/>
  <c r="H25" i="24"/>
  <c r="M24" i="24"/>
  <c r="S23" i="24"/>
  <c r="X22" i="24"/>
  <c r="E22" i="24"/>
  <c r="I21" i="24"/>
  <c r="O20" i="24"/>
  <c r="U19" i="24"/>
  <c r="Z18" i="24"/>
  <c r="F18" i="24"/>
  <c r="L17" i="24"/>
  <c r="S16" i="24"/>
  <c r="Z15" i="24"/>
  <c r="G15" i="24"/>
  <c r="N13" i="24"/>
  <c r="U12" i="24"/>
  <c r="C12" i="24"/>
  <c r="I11" i="24"/>
  <c r="P10" i="24"/>
  <c r="W9" i="24"/>
  <c r="D9" i="24"/>
  <c r="K8" i="24"/>
  <c r="S7" i="24"/>
  <c r="O7" i="27"/>
  <c r="Y19" i="26"/>
  <c r="O37" i="25"/>
  <c r="D27" i="25"/>
  <c r="C18" i="25"/>
  <c r="E12" i="25"/>
  <c r="D8" i="25"/>
  <c r="J76" i="24"/>
  <c r="Q72" i="24"/>
  <c r="X69" i="24"/>
  <c r="F67" i="24"/>
  <c r="G65" i="24"/>
  <c r="R63" i="24"/>
  <c r="U60" i="24"/>
  <c r="Z58" i="24"/>
  <c r="N57" i="24"/>
  <c r="R55" i="24"/>
  <c r="W51" i="24"/>
  <c r="K49" i="24"/>
  <c r="P47" i="24"/>
  <c r="G46" i="24"/>
  <c r="U44" i="24"/>
  <c r="E43" i="24"/>
  <c r="U41" i="24"/>
  <c r="N40" i="24"/>
  <c r="I39" i="24"/>
  <c r="F38" i="24"/>
  <c r="D37" i="24"/>
  <c r="C35" i="24"/>
  <c r="E32" i="24"/>
  <c r="F31" i="24"/>
  <c r="H30" i="24"/>
  <c r="J29" i="24"/>
  <c r="P27" i="24"/>
  <c r="V26" i="24"/>
  <c r="AA25" i="24"/>
  <c r="G25" i="24"/>
  <c r="L24" i="24"/>
  <c r="R23" i="24"/>
  <c r="W22" i="24"/>
  <c r="C22" i="24"/>
  <c r="H21" i="24"/>
  <c r="N20" i="24"/>
  <c r="S19" i="24"/>
  <c r="Y18" i="24"/>
  <c r="D18" i="24"/>
  <c r="K17" i="24"/>
  <c r="R16" i="24"/>
  <c r="Y15" i="24"/>
  <c r="F15" i="24"/>
  <c r="M13" i="24"/>
  <c r="T12" i="24"/>
  <c r="Z11" i="24"/>
  <c r="H11" i="24"/>
  <c r="O10" i="24"/>
  <c r="V9" i="24"/>
  <c r="C9" i="24"/>
  <c r="J8" i="24"/>
  <c r="R7" i="24"/>
  <c r="L7" i="27"/>
  <c r="W19" i="26"/>
  <c r="N37" i="25"/>
  <c r="C27" i="25"/>
  <c r="J16" i="25"/>
  <c r="D12" i="25"/>
  <c r="C8" i="25"/>
  <c r="I76" i="24"/>
  <c r="P72" i="24"/>
  <c r="V69" i="24"/>
  <c r="E67" i="24"/>
  <c r="E65" i="24"/>
  <c r="O63" i="24"/>
  <c r="T60" i="24"/>
  <c r="X58" i="24"/>
  <c r="K57" i="24"/>
  <c r="Q55" i="24"/>
  <c r="U51" i="24"/>
  <c r="H49" i="24"/>
  <c r="O47" i="24"/>
  <c r="F46" i="24"/>
  <c r="M44" i="24"/>
  <c r="D43" i="24"/>
  <c r="T41" i="24"/>
  <c r="M40" i="24"/>
  <c r="H39" i="24"/>
  <c r="C38" i="24"/>
  <c r="AA35" i="24"/>
  <c r="AA32" i="24"/>
  <c r="D32" i="24"/>
  <c r="E31" i="24"/>
  <c r="G30" i="24"/>
  <c r="I29" i="24"/>
  <c r="O27" i="24"/>
  <c r="T26" i="24"/>
  <c r="Z25" i="24"/>
  <c r="E25" i="24"/>
  <c r="K24" i="24"/>
  <c r="Q23" i="24"/>
  <c r="V22" i="24"/>
  <c r="AA21" i="24"/>
  <c r="G21" i="24"/>
  <c r="M20" i="24"/>
  <c r="R19" i="24"/>
  <c r="W18" i="24"/>
  <c r="C18" i="24"/>
  <c r="J17" i="24"/>
  <c r="Q16" i="24"/>
  <c r="W15" i="24"/>
  <c r="E15" i="24"/>
  <c r="L13" i="24"/>
  <c r="S12" i="24"/>
  <c r="Y11" i="24"/>
  <c r="G11" i="24"/>
  <c r="N10" i="24"/>
  <c r="T9" i="24"/>
  <c r="AA8" i="24"/>
  <c r="I8" i="24"/>
  <c r="Q7" i="24"/>
  <c r="J39" i="26"/>
  <c r="I18" i="26"/>
  <c r="P35" i="25"/>
  <c r="G26" i="25"/>
  <c r="I16" i="25"/>
  <c r="X10" i="25"/>
  <c r="X78" i="24"/>
  <c r="E76" i="24"/>
  <c r="K72" i="24"/>
  <c r="R69" i="24"/>
  <c r="D67" i="24"/>
  <c r="D65" i="24"/>
  <c r="F63" i="24"/>
  <c r="S60" i="24"/>
  <c r="W58" i="24"/>
  <c r="C57" i="24"/>
  <c r="P55" i="24"/>
  <c r="T51" i="24"/>
  <c r="Y48" i="24"/>
  <c r="N47" i="24"/>
  <c r="C46" i="24"/>
  <c r="L44" i="24"/>
  <c r="C43" i="24"/>
  <c r="S41" i="24"/>
  <c r="L40" i="24"/>
  <c r="G39" i="24"/>
  <c r="AA37" i="24"/>
  <c r="Y35" i="24"/>
  <c r="Z32" i="24"/>
  <c r="AA31" i="24"/>
  <c r="D31" i="24"/>
  <c r="F30" i="24"/>
  <c r="H29" i="24"/>
  <c r="N27" i="24"/>
  <c r="S26" i="24"/>
  <c r="X25" i="24"/>
  <c r="D25" i="24"/>
  <c r="J24" i="24"/>
  <c r="O23" i="24"/>
  <c r="U22" i="24"/>
  <c r="Y21" i="24"/>
  <c r="F21" i="24"/>
  <c r="L20" i="24"/>
  <c r="Q19" i="24"/>
  <c r="V18" i="24"/>
  <c r="AA17" i="24"/>
  <c r="I17" i="24"/>
  <c r="P16" i="24"/>
  <c r="V15" i="24"/>
  <c r="D15" i="24"/>
  <c r="K13" i="24"/>
  <c r="Q12" i="24"/>
  <c r="X11" i="24"/>
  <c r="F11" i="24"/>
  <c r="M10" i="24"/>
  <c r="S9" i="24"/>
  <c r="Z8" i="24"/>
  <c r="F39" i="26"/>
  <c r="H18" i="26"/>
  <c r="W67" i="24"/>
  <c r="X49" i="24"/>
  <c r="P38" i="24"/>
  <c r="AA26" i="24"/>
  <c r="T20" i="24"/>
  <c r="S13" i="24"/>
  <c r="G8" i="24"/>
  <c r="O35" i="25"/>
  <c r="Y66" i="24"/>
  <c r="W48" i="24"/>
  <c r="Z37" i="24"/>
  <c r="R26" i="24"/>
  <c r="J20" i="24"/>
  <c r="J13" i="24"/>
  <c r="W7" i="24"/>
  <c r="W30" i="25"/>
  <c r="V65" i="24"/>
  <c r="E48" i="24"/>
  <c r="K37" i="24"/>
  <c r="H26" i="24"/>
  <c r="Y19" i="24"/>
  <c r="Y12" i="24"/>
  <c r="P7" i="24"/>
  <c r="F26" i="25"/>
  <c r="C65" i="24"/>
  <c r="M47" i="24"/>
  <c r="X35" i="24"/>
  <c r="W25" i="24"/>
  <c r="P19" i="24"/>
  <c r="P12" i="24"/>
  <c r="N7" i="24"/>
  <c r="V19" i="25"/>
  <c r="G64" i="24"/>
  <c r="S46" i="24"/>
  <c r="K35" i="24"/>
  <c r="M25" i="24"/>
  <c r="F19" i="24"/>
  <c r="G12" i="24"/>
  <c r="F7" i="24"/>
  <c r="H16" i="25"/>
  <c r="D63" i="24"/>
  <c r="T45" i="24"/>
  <c r="Y32" i="24"/>
  <c r="C25" i="24"/>
  <c r="T18" i="24"/>
  <c r="W11" i="24"/>
  <c r="Y12" i="25"/>
  <c r="K62" i="24"/>
  <c r="C45" i="24"/>
  <c r="L32" i="24"/>
  <c r="S24" i="24"/>
  <c r="K18" i="24"/>
  <c r="N11" i="24"/>
  <c r="L10" i="25"/>
  <c r="P60" i="24"/>
  <c r="K44" i="24"/>
  <c r="Z31" i="24"/>
  <c r="I24" i="24"/>
  <c r="Z17" i="24"/>
  <c r="E11" i="24"/>
  <c r="X8" i="25"/>
  <c r="O59" i="24"/>
  <c r="S43" i="24"/>
  <c r="N31" i="24"/>
  <c r="W23" i="24"/>
  <c r="Q17" i="24"/>
  <c r="U10" i="24"/>
  <c r="L78" i="24"/>
  <c r="V58" i="24"/>
  <c r="AA42" i="24"/>
  <c r="C31" i="24"/>
  <c r="N23" i="24"/>
  <c r="H17" i="24"/>
  <c r="K10" i="24"/>
  <c r="C77" i="24"/>
  <c r="AA57" i="24"/>
  <c r="J42" i="24"/>
  <c r="O30" i="24"/>
  <c r="D23" i="24"/>
  <c r="X16" i="24"/>
  <c r="AA9" i="24"/>
  <c r="S75" i="24"/>
  <c r="Z56" i="24"/>
  <c r="P41" i="24"/>
  <c r="D30" i="24"/>
  <c r="S22" i="24"/>
  <c r="N16" i="24"/>
  <c r="R9" i="24"/>
  <c r="Z71" i="24"/>
  <c r="M55" i="24"/>
  <c r="I40" i="24"/>
  <c r="G29" i="24"/>
  <c r="X21" i="24"/>
  <c r="U15" i="24"/>
  <c r="Y8" i="24"/>
  <c r="H69" i="24"/>
  <c r="S51" i="24"/>
  <c r="F39" i="24"/>
  <c r="M27" i="24"/>
  <c r="E21" i="24"/>
  <c r="C15" i="24"/>
  <c r="H8" i="24"/>
  <c r="J73" i="24"/>
  <c r="Q70" i="24"/>
  <c r="H56" i="24"/>
  <c r="L54" i="24"/>
  <c r="W40" i="24"/>
  <c r="U39" i="24"/>
  <c r="V27" i="24"/>
  <c r="J22" i="24"/>
  <c r="O21" i="24"/>
  <c r="E16" i="24"/>
  <c r="L15" i="24"/>
  <c r="I9" i="24"/>
  <c r="P8" i="24"/>
  <c r="Q29" i="24"/>
  <c r="M6" i="16"/>
  <c r="T6" i="15"/>
  <c r="D6" i="15"/>
  <c r="M19" i="14"/>
  <c r="V18" i="14"/>
  <c r="F18" i="14"/>
  <c r="J6" i="16"/>
  <c r="Q6" i="15"/>
  <c r="H6" i="16"/>
  <c r="M6" i="15"/>
  <c r="U19" i="14"/>
  <c r="D19" i="14"/>
  <c r="L18" i="14"/>
  <c r="T17" i="14"/>
  <c r="D17" i="14"/>
  <c r="M16" i="14"/>
  <c r="V14" i="14"/>
  <c r="F14" i="14"/>
  <c r="O13" i="14"/>
  <c r="X12" i="14"/>
  <c r="H12" i="14"/>
  <c r="Q11" i="14"/>
  <c r="Z8" i="14"/>
  <c r="J8" i="14"/>
  <c r="S7" i="14"/>
  <c r="C7" i="14"/>
  <c r="L62" i="13"/>
  <c r="U61" i="13"/>
  <c r="E61" i="13"/>
  <c r="N60" i="13"/>
  <c r="W59" i="13"/>
  <c r="G59" i="13"/>
  <c r="P58" i="13"/>
  <c r="Y57" i="13"/>
  <c r="I57" i="13"/>
  <c r="R56" i="13"/>
  <c r="AA55" i="13"/>
  <c r="K55" i="13"/>
  <c r="T54" i="13"/>
  <c r="D54" i="13"/>
  <c r="M53" i="13"/>
  <c r="V52" i="13"/>
  <c r="F52" i="13"/>
  <c r="O49" i="13"/>
  <c r="X48" i="13"/>
  <c r="H48" i="13"/>
  <c r="Q47" i="13"/>
  <c r="Z46" i="13"/>
  <c r="J46" i="13"/>
  <c r="S45" i="13"/>
  <c r="C45" i="13"/>
  <c r="L44" i="13"/>
  <c r="U43" i="13"/>
  <c r="E43" i="13"/>
  <c r="N42" i="13"/>
  <c r="W41" i="13"/>
  <c r="G41" i="13"/>
  <c r="P40" i="13"/>
  <c r="Y39" i="13"/>
  <c r="I39" i="13"/>
  <c r="R36" i="13"/>
  <c r="AA35" i="13"/>
  <c r="K35" i="13"/>
  <c r="T34" i="13"/>
  <c r="D34" i="13"/>
  <c r="M33" i="13"/>
  <c r="V32" i="13"/>
  <c r="F32" i="13"/>
  <c r="O31" i="13"/>
  <c r="X30" i="13"/>
  <c r="H30" i="13"/>
  <c r="Q29" i="13"/>
  <c r="Z26" i="13"/>
  <c r="J26" i="13"/>
  <c r="S25" i="13"/>
  <c r="C25" i="13"/>
  <c r="L24" i="13"/>
  <c r="U23" i="13"/>
  <c r="E23" i="13"/>
  <c r="N22" i="13"/>
  <c r="W19" i="13"/>
  <c r="G19" i="13"/>
  <c r="P18" i="13"/>
  <c r="Y17" i="13"/>
  <c r="I17" i="13"/>
  <c r="R16" i="13"/>
  <c r="AA15" i="13"/>
  <c r="K15" i="13"/>
  <c r="T14" i="13"/>
  <c r="D14" i="13"/>
  <c r="M13" i="13"/>
  <c r="V12" i="13"/>
  <c r="F12" i="13"/>
  <c r="O11" i="13"/>
  <c r="X10" i="13"/>
  <c r="H10" i="13"/>
  <c r="Q9" i="13"/>
  <c r="Z8" i="13"/>
  <c r="J8" i="13"/>
  <c r="S7" i="13"/>
  <c r="C7" i="13"/>
  <c r="L112" i="12"/>
  <c r="U111" i="12"/>
  <c r="E111" i="12"/>
  <c r="N110" i="12"/>
  <c r="W109" i="12"/>
  <c r="G109" i="12"/>
  <c r="P108" i="12"/>
  <c r="Y107" i="12"/>
  <c r="I107" i="12"/>
  <c r="R106" i="12"/>
  <c r="AA105" i="12"/>
  <c r="K105" i="12"/>
  <c r="T104" i="12"/>
  <c r="D104" i="12"/>
  <c r="M103" i="12"/>
  <c r="V102" i="12"/>
  <c r="F102" i="12"/>
  <c r="O101" i="12"/>
  <c r="X100" i="12"/>
  <c r="H100" i="12"/>
  <c r="Q99" i="12"/>
  <c r="Z98" i="12"/>
  <c r="J98" i="12"/>
  <c r="S97" i="12"/>
  <c r="C97" i="12"/>
  <c r="L96" i="12"/>
  <c r="U95" i="12"/>
  <c r="E95" i="12"/>
  <c r="N94" i="12"/>
  <c r="W93" i="12"/>
  <c r="G93" i="12"/>
  <c r="P92" i="12"/>
  <c r="Y91" i="12"/>
  <c r="I91" i="12"/>
  <c r="R90" i="12"/>
  <c r="AA89" i="12"/>
  <c r="K89" i="12"/>
  <c r="T88" i="12"/>
  <c r="D88" i="12"/>
  <c r="M87" i="12"/>
  <c r="V86" i="12"/>
  <c r="F86" i="12"/>
  <c r="O85" i="12"/>
  <c r="X84" i="12"/>
  <c r="H84" i="12"/>
  <c r="Q83" i="12"/>
  <c r="Z82" i="12"/>
  <c r="J82" i="12"/>
  <c r="S81" i="12"/>
  <c r="C81" i="12"/>
  <c r="L80" i="12"/>
  <c r="U79" i="12"/>
  <c r="E79" i="12"/>
  <c r="N78" i="12"/>
  <c r="W77" i="12"/>
  <c r="G77" i="12"/>
  <c r="P76" i="12"/>
  <c r="Y75" i="12"/>
  <c r="I75" i="12"/>
  <c r="R74" i="12"/>
  <c r="AA73" i="12"/>
  <c r="K73" i="12"/>
  <c r="T72" i="12"/>
  <c r="D72" i="12"/>
  <c r="M71" i="12"/>
  <c r="V70" i="12"/>
  <c r="F70" i="12"/>
  <c r="O69" i="12"/>
  <c r="X68" i="12"/>
  <c r="H68" i="12"/>
  <c r="Q67" i="12"/>
  <c r="Z66" i="12"/>
  <c r="J66" i="12"/>
  <c r="S65" i="12"/>
  <c r="C65" i="12"/>
  <c r="L64" i="12"/>
  <c r="U63" i="12"/>
  <c r="E63" i="12"/>
  <c r="N62" i="12"/>
  <c r="W61" i="12"/>
  <c r="G61" i="12"/>
  <c r="P60" i="12"/>
  <c r="Y59" i="12"/>
  <c r="G6" i="16"/>
  <c r="L6" i="15"/>
  <c r="T19" i="14"/>
  <c r="C19" i="14"/>
  <c r="K18" i="14"/>
  <c r="S17" i="14"/>
  <c r="C17" i="14"/>
  <c r="L16" i="14"/>
  <c r="U14" i="14"/>
  <c r="E14" i="14"/>
  <c r="N13" i="14"/>
  <c r="W12" i="14"/>
  <c r="G12" i="14"/>
  <c r="P11" i="14"/>
  <c r="Y8" i="14"/>
  <c r="I8" i="14"/>
  <c r="R7" i="14"/>
  <c r="AA62" i="13"/>
  <c r="K62" i="13"/>
  <c r="T61" i="13"/>
  <c r="D61" i="13"/>
  <c r="M60" i="13"/>
  <c r="V59" i="13"/>
  <c r="F59" i="13"/>
  <c r="O58" i="13"/>
  <c r="X57" i="13"/>
  <c r="H57" i="13"/>
  <c r="Q56" i="13"/>
  <c r="Z55" i="13"/>
  <c r="J55" i="13"/>
  <c r="S54" i="13"/>
  <c r="C54" i="13"/>
  <c r="L53" i="13"/>
  <c r="U52" i="13"/>
  <c r="E52" i="13"/>
  <c r="N49" i="13"/>
  <c r="W48" i="13"/>
  <c r="G48" i="13"/>
  <c r="P47" i="13"/>
  <c r="Y46" i="13"/>
  <c r="I46" i="13"/>
  <c r="R45" i="13"/>
  <c r="AA44" i="13"/>
  <c r="K44" i="13"/>
  <c r="T43" i="13"/>
  <c r="D43" i="13"/>
  <c r="M42" i="13"/>
  <c r="X6" i="16"/>
  <c r="F6" i="16"/>
  <c r="K6" i="15"/>
  <c r="S19" i="14"/>
  <c r="AA18" i="14"/>
  <c r="J18" i="14"/>
  <c r="R17" i="14"/>
  <c r="AA16" i="14"/>
  <c r="K16" i="14"/>
  <c r="T14" i="14"/>
  <c r="D14" i="14"/>
  <c r="M13" i="14"/>
  <c r="V12" i="14"/>
  <c r="F12" i="14"/>
  <c r="O11" i="14"/>
  <c r="X8" i="14"/>
  <c r="W6" i="16"/>
  <c r="E6" i="16"/>
  <c r="J6" i="15"/>
  <c r="R19" i="14"/>
  <c r="Z18" i="14"/>
  <c r="I18" i="14"/>
  <c r="Q17" i="14"/>
  <c r="Z16" i="14"/>
  <c r="J16" i="14"/>
  <c r="S14" i="14"/>
  <c r="C14" i="14"/>
  <c r="L13" i="14"/>
  <c r="U12" i="14"/>
  <c r="E12" i="14"/>
  <c r="N11" i="14"/>
  <c r="W8" i="14"/>
  <c r="G8" i="14"/>
  <c r="P7" i="14"/>
  <c r="Y62" i="13"/>
  <c r="I62" i="13"/>
  <c r="R61" i="13"/>
  <c r="AA60" i="13"/>
  <c r="K60" i="13"/>
  <c r="T59" i="13"/>
  <c r="D59" i="13"/>
  <c r="M58" i="13"/>
  <c r="V57" i="13"/>
  <c r="F57" i="13"/>
  <c r="O56" i="13"/>
  <c r="X55" i="13"/>
  <c r="H55" i="13"/>
  <c r="Q54" i="13"/>
  <c r="Z53" i="13"/>
  <c r="J53" i="13"/>
  <c r="S52" i="13"/>
  <c r="C52" i="13"/>
  <c r="L49" i="13"/>
  <c r="U48" i="13"/>
  <c r="E48" i="13"/>
  <c r="N47" i="13"/>
  <c r="W46" i="13"/>
  <c r="G46" i="13"/>
  <c r="P45" i="13"/>
  <c r="Y44" i="13"/>
  <c r="I44" i="13"/>
  <c r="R43" i="13"/>
  <c r="AA42" i="13"/>
  <c r="V6" i="16"/>
  <c r="D6" i="16"/>
  <c r="I6" i="15"/>
  <c r="Q19" i="14"/>
  <c r="Y18" i="14"/>
  <c r="H18" i="14"/>
  <c r="P17" i="14"/>
  <c r="Y16" i="14"/>
  <c r="I16" i="14"/>
  <c r="R14" i="14"/>
  <c r="AA13" i="14"/>
  <c r="K13" i="14"/>
  <c r="T12" i="14"/>
  <c r="D12" i="14"/>
  <c r="M11" i="14"/>
  <c r="V8" i="14"/>
  <c r="F8" i="14"/>
  <c r="O7" i="14"/>
  <c r="X62" i="13"/>
  <c r="H62" i="13"/>
  <c r="Q61" i="13"/>
  <c r="Z60" i="13"/>
  <c r="J60" i="13"/>
  <c r="S59" i="13"/>
  <c r="C59" i="13"/>
  <c r="L58" i="13"/>
  <c r="U57" i="13"/>
  <c r="E57" i="13"/>
  <c r="N56" i="13"/>
  <c r="W55" i="13"/>
  <c r="G55" i="13"/>
  <c r="P54" i="13"/>
  <c r="Y53" i="13"/>
  <c r="I53" i="13"/>
  <c r="R52" i="13"/>
  <c r="AA49" i="13"/>
  <c r="K49" i="13"/>
  <c r="T48" i="13"/>
  <c r="D48" i="13"/>
  <c r="M47" i="13"/>
  <c r="V46" i="13"/>
  <c r="F46" i="13"/>
  <c r="O45" i="13"/>
  <c r="X44" i="13"/>
  <c r="H44" i="13"/>
  <c r="Q43" i="13"/>
  <c r="Z42" i="13"/>
  <c r="J42" i="13"/>
  <c r="S41" i="13"/>
  <c r="C41" i="13"/>
  <c r="L40" i="13"/>
  <c r="U39" i="13"/>
  <c r="E39" i="13"/>
  <c r="N36" i="13"/>
  <c r="W35" i="13"/>
  <c r="G35" i="13"/>
  <c r="P34" i="13"/>
  <c r="Y33" i="13"/>
  <c r="I33" i="13"/>
  <c r="R32" i="13"/>
  <c r="AA31" i="13"/>
  <c r="K31" i="13"/>
  <c r="T30" i="13"/>
  <c r="D30" i="13"/>
  <c r="M29" i="13"/>
  <c r="V26" i="13"/>
  <c r="F26" i="13"/>
  <c r="O25" i="13"/>
  <c r="U6" i="16"/>
  <c r="C6" i="16"/>
  <c r="H6" i="15"/>
  <c r="P19" i="14"/>
  <c r="X18" i="14"/>
  <c r="G18" i="14"/>
  <c r="O17" i="14"/>
  <c r="X16" i="14"/>
  <c r="H16" i="14"/>
  <c r="Q14" i="14"/>
  <c r="Z13" i="14"/>
  <c r="J13" i="14"/>
  <c r="S12" i="14"/>
  <c r="C12" i="14"/>
  <c r="L11" i="14"/>
  <c r="U8" i="14"/>
  <c r="E8" i="14"/>
  <c r="N7" i="14"/>
  <c r="W62" i="13"/>
  <c r="G62" i="13"/>
  <c r="P61" i="13"/>
  <c r="Y60" i="13"/>
  <c r="I60" i="13"/>
  <c r="R59" i="13"/>
  <c r="AA58" i="13"/>
  <c r="K58" i="13"/>
  <c r="T57" i="13"/>
  <c r="D57" i="13"/>
  <c r="M56" i="13"/>
  <c r="V55" i="13"/>
  <c r="F55" i="13"/>
  <c r="O54" i="13"/>
  <c r="X53" i="13"/>
  <c r="H53" i="13"/>
  <c r="Q52" i="13"/>
  <c r="Z49" i="13"/>
  <c r="J49" i="13"/>
  <c r="S48" i="13"/>
  <c r="C48" i="13"/>
  <c r="L47" i="13"/>
  <c r="U46" i="13"/>
  <c r="E46" i="13"/>
  <c r="N45" i="13"/>
  <c r="W44" i="13"/>
  <c r="G44" i="13"/>
  <c r="P43" i="13"/>
  <c r="Y42" i="13"/>
  <c r="I42" i="13"/>
  <c r="R41" i="13"/>
  <c r="AA40" i="13"/>
  <c r="K40" i="13"/>
  <c r="T39" i="13"/>
  <c r="D39" i="13"/>
  <c r="M36" i="13"/>
  <c r="V35" i="13"/>
  <c r="F35" i="13"/>
  <c r="O34" i="13"/>
  <c r="X33" i="13"/>
  <c r="H33" i="13"/>
  <c r="Q32" i="13"/>
  <c r="Z31" i="13"/>
  <c r="J31" i="13"/>
  <c r="S30" i="13"/>
  <c r="C30" i="13"/>
  <c r="L29" i="13"/>
  <c r="U26" i="13"/>
  <c r="E26" i="13"/>
  <c r="N25" i="13"/>
  <c r="W24" i="13"/>
  <c r="G24" i="13"/>
  <c r="P23" i="13"/>
  <c r="Y22" i="13"/>
  <c r="I22" i="13"/>
  <c r="R19" i="13"/>
  <c r="AA18" i="13"/>
  <c r="K18" i="13"/>
  <c r="T17" i="13"/>
  <c r="D17" i="13"/>
  <c r="M16" i="13"/>
  <c r="V15" i="13"/>
  <c r="F15" i="13"/>
  <c r="O14" i="13"/>
  <c r="X13" i="13"/>
  <c r="H13" i="13"/>
  <c r="Q12" i="13"/>
  <c r="Z11" i="13"/>
  <c r="J11" i="13"/>
  <c r="S10" i="13"/>
  <c r="C10" i="13"/>
  <c r="L9" i="13"/>
  <c r="U8" i="13"/>
  <c r="E8" i="13"/>
  <c r="N7" i="13"/>
  <c r="W112" i="12"/>
  <c r="G112" i="12"/>
  <c r="P111" i="12"/>
  <c r="Y110" i="12"/>
  <c r="I110" i="12"/>
  <c r="R109" i="12"/>
  <c r="AA108" i="12"/>
  <c r="K108" i="12"/>
  <c r="T107" i="12"/>
  <c r="D107" i="12"/>
  <c r="M106" i="12"/>
  <c r="V105" i="12"/>
  <c r="F105" i="12"/>
  <c r="O104" i="12"/>
  <c r="X103" i="12"/>
  <c r="H103" i="12"/>
  <c r="Q102" i="12"/>
  <c r="Z101" i="12"/>
  <c r="J101" i="12"/>
  <c r="S100" i="12"/>
  <c r="C100" i="12"/>
  <c r="L99" i="12"/>
  <c r="U98" i="12"/>
  <c r="E98" i="12"/>
  <c r="N97" i="12"/>
  <c r="W96" i="12"/>
  <c r="G96" i="12"/>
  <c r="P95" i="12"/>
  <c r="Y94" i="12"/>
  <c r="I94" i="12"/>
  <c r="R93" i="12"/>
  <c r="AA92" i="12"/>
  <c r="K92" i="12"/>
  <c r="T91" i="12"/>
  <c r="D91" i="12"/>
  <c r="M90" i="12"/>
  <c r="V89" i="12"/>
  <c r="F89" i="12"/>
  <c r="O88" i="12"/>
  <c r="X87" i="12"/>
  <c r="H87" i="12"/>
  <c r="Q86" i="12"/>
  <c r="Z85" i="12"/>
  <c r="J85" i="12"/>
  <c r="S84" i="12"/>
  <c r="C84" i="12"/>
  <c r="L83" i="12"/>
  <c r="U82" i="12"/>
  <c r="E82" i="12"/>
  <c r="N81" i="12"/>
  <c r="W80" i="12"/>
  <c r="G80" i="12"/>
  <c r="P79" i="12"/>
  <c r="Y78" i="12"/>
  <c r="I78" i="12"/>
  <c r="R77" i="12"/>
  <c r="AA76" i="12"/>
  <c r="K76" i="12"/>
  <c r="T75" i="12"/>
  <c r="D75" i="12"/>
  <c r="M74" i="12"/>
  <c r="V73" i="12"/>
  <c r="F73" i="12"/>
  <c r="O72" i="12"/>
  <c r="X71" i="12"/>
  <c r="H71" i="12"/>
  <c r="Q70" i="12"/>
  <c r="Z69" i="12"/>
  <c r="J69" i="12"/>
  <c r="S68" i="12"/>
  <c r="C68" i="12"/>
  <c r="L67" i="12"/>
  <c r="U66" i="12"/>
  <c r="E66" i="12"/>
  <c r="N65" i="12"/>
  <c r="W64" i="12"/>
  <c r="G64" i="12"/>
  <c r="P63" i="12"/>
  <c r="Y62" i="12"/>
  <c r="T6" i="16"/>
  <c r="Y6" i="15"/>
  <c r="G6" i="15"/>
  <c r="O19" i="14"/>
  <c r="W18" i="14"/>
  <c r="E18" i="14"/>
  <c r="N17" i="14"/>
  <c r="W16" i="14"/>
  <c r="G16" i="14"/>
  <c r="P14" i="14"/>
  <c r="Y13" i="14"/>
  <c r="I13" i="14"/>
  <c r="R12" i="14"/>
  <c r="AA11" i="14"/>
  <c r="K11" i="14"/>
  <c r="T8" i="14"/>
  <c r="D8" i="14"/>
  <c r="M7" i="14"/>
  <c r="V62" i="13"/>
  <c r="F62" i="13"/>
  <c r="O61" i="13"/>
  <c r="X60" i="13"/>
  <c r="H60" i="13"/>
  <c r="Q59" i="13"/>
  <c r="Z58" i="13"/>
  <c r="J58" i="13"/>
  <c r="S57" i="13"/>
  <c r="C57" i="13"/>
  <c r="L56" i="13"/>
  <c r="U55" i="13"/>
  <c r="E55" i="13"/>
  <c r="N54" i="13"/>
  <c r="W53" i="13"/>
  <c r="G53" i="13"/>
  <c r="P52" i="13"/>
  <c r="Y49" i="13"/>
  <c r="I49" i="13"/>
  <c r="R48" i="13"/>
  <c r="AA47" i="13"/>
  <c r="K47" i="13"/>
  <c r="T46" i="13"/>
  <c r="D46" i="13"/>
  <c r="M45" i="13"/>
  <c r="V44" i="13"/>
  <c r="F44" i="13"/>
  <c r="O43" i="13"/>
  <c r="X42" i="13"/>
  <c r="H42" i="13"/>
  <c r="Q41" i="13"/>
  <c r="Z40" i="13"/>
  <c r="J40" i="13"/>
  <c r="S39" i="13"/>
  <c r="C39" i="13"/>
  <c r="L36" i="13"/>
  <c r="U35" i="13"/>
  <c r="E35" i="13"/>
  <c r="N34" i="13"/>
  <c r="W33" i="13"/>
  <c r="G33" i="13"/>
  <c r="P32" i="13"/>
  <c r="Y31" i="13"/>
  <c r="I31" i="13"/>
  <c r="R30" i="13"/>
  <c r="AA29" i="13"/>
  <c r="K29" i="13"/>
  <c r="T26" i="13"/>
  <c r="D26" i="13"/>
  <c r="M25" i="13"/>
  <c r="V24" i="13"/>
  <c r="F24" i="13"/>
  <c r="O23" i="13"/>
  <c r="X22" i="13"/>
  <c r="H22" i="13"/>
  <c r="Q19" i="13"/>
  <c r="Z18" i="13"/>
  <c r="J18" i="13"/>
  <c r="S17" i="13"/>
  <c r="C17" i="13"/>
  <c r="L16" i="13"/>
  <c r="U15" i="13"/>
  <c r="E15" i="13"/>
  <c r="N14" i="13"/>
  <c r="W13" i="13"/>
  <c r="G13" i="13"/>
  <c r="P12" i="13"/>
  <c r="Y11" i="13"/>
  <c r="I11" i="13"/>
  <c r="R10" i="13"/>
  <c r="AA9" i="13"/>
  <c r="K9" i="13"/>
  <c r="T8" i="13"/>
  <c r="D8" i="13"/>
  <c r="M7" i="13"/>
  <c r="V112" i="12"/>
  <c r="F112" i="12"/>
  <c r="O111" i="12"/>
  <c r="X110" i="12"/>
  <c r="H110" i="12"/>
  <c r="Q109" i="12"/>
  <c r="Z108" i="12"/>
  <c r="J108" i="12"/>
  <c r="S107" i="12"/>
  <c r="C107" i="12"/>
  <c r="S6" i="16"/>
  <c r="X6" i="15"/>
  <c r="F6" i="15"/>
  <c r="N19" i="14"/>
  <c r="U18" i="14"/>
  <c r="D18" i="14"/>
  <c r="M17" i="14"/>
  <c r="V16" i="14"/>
  <c r="F16" i="14"/>
  <c r="O14" i="14"/>
  <c r="X13" i="14"/>
  <c r="H13" i="14"/>
  <c r="Q12" i="14"/>
  <c r="Z11" i="14"/>
  <c r="J11" i="14"/>
  <c r="S8" i="14"/>
  <c r="C8" i="14"/>
  <c r="L7" i="14"/>
  <c r="U62" i="13"/>
  <c r="E62" i="13"/>
  <c r="N61" i="13"/>
  <c r="W60" i="13"/>
  <c r="G60" i="13"/>
  <c r="P59" i="13"/>
  <c r="Y58" i="13"/>
  <c r="I58" i="13"/>
  <c r="R57" i="13"/>
  <c r="AA56" i="13"/>
  <c r="K56" i="13"/>
  <c r="T55" i="13"/>
  <c r="D55" i="13"/>
  <c r="M54" i="13"/>
  <c r="V53" i="13"/>
  <c r="F53" i="13"/>
  <c r="O52" i="13"/>
  <c r="X49" i="13"/>
  <c r="H49" i="13"/>
  <c r="Q48" i="13"/>
  <c r="Z47" i="13"/>
  <c r="J47" i="13"/>
  <c r="S46" i="13"/>
  <c r="C46" i="13"/>
  <c r="L45" i="13"/>
  <c r="U44" i="13"/>
  <c r="E44" i="13"/>
  <c r="N43" i="13"/>
  <c r="W42" i="13"/>
  <c r="G42" i="13"/>
  <c r="P41" i="13"/>
  <c r="Y40" i="13"/>
  <c r="I40" i="13"/>
  <c r="R39" i="13"/>
  <c r="AA36" i="13"/>
  <c r="K36" i="13"/>
  <c r="T35" i="13"/>
  <c r="D35" i="13"/>
  <c r="M34" i="13"/>
  <c r="V33" i="13"/>
  <c r="F33" i="13"/>
  <c r="O32" i="13"/>
  <c r="X31" i="13"/>
  <c r="H31" i="13"/>
  <c r="Q30" i="13"/>
  <c r="Z29" i="13"/>
  <c r="J29" i="13"/>
  <c r="S26" i="13"/>
  <c r="C26" i="13"/>
  <c r="L25" i="13"/>
  <c r="U24" i="13"/>
  <c r="E24" i="13"/>
  <c r="N23" i="13"/>
  <c r="W22" i="13"/>
  <c r="G22" i="13"/>
  <c r="P19" i="13"/>
  <c r="Y18" i="13"/>
  <c r="I18" i="13"/>
  <c r="R17" i="13"/>
  <c r="AA16" i="13"/>
  <c r="K16" i="13"/>
  <c r="T15" i="13"/>
  <c r="D15" i="13"/>
  <c r="M14" i="13"/>
  <c r="V13" i="13"/>
  <c r="F13" i="13"/>
  <c r="O12" i="13"/>
  <c r="X11" i="13"/>
  <c r="H11" i="13"/>
  <c r="Q10" i="13"/>
  <c r="Z9" i="13"/>
  <c r="J9" i="13"/>
  <c r="S8" i="13"/>
  <c r="C8" i="13"/>
  <c r="L7" i="13"/>
  <c r="U112" i="12"/>
  <c r="E112" i="12"/>
  <c r="N111" i="12"/>
  <c r="W110" i="12"/>
  <c r="G110" i="12"/>
  <c r="P109" i="12"/>
  <c r="Y108" i="12"/>
  <c r="I108" i="12"/>
  <c r="R107" i="12"/>
  <c r="AA106" i="12"/>
  <c r="K106" i="12"/>
  <c r="R6" i="16"/>
  <c r="W6" i="15"/>
  <c r="E6" i="15"/>
  <c r="L19" i="14"/>
  <c r="T18" i="14"/>
  <c r="C18" i="14"/>
  <c r="L17" i="14"/>
  <c r="U16" i="14"/>
  <c r="E16" i="14"/>
  <c r="N14" i="14"/>
  <c r="W13" i="14"/>
  <c r="G13" i="14"/>
  <c r="P12" i="14"/>
  <c r="Y11" i="14"/>
  <c r="I11" i="14"/>
  <c r="R8" i="14"/>
  <c r="AA7" i="14"/>
  <c r="K7" i="14"/>
  <c r="T62" i="13"/>
  <c r="D62" i="13"/>
  <c r="M61" i="13"/>
  <c r="V60" i="13"/>
  <c r="F60" i="13"/>
  <c r="O59" i="13"/>
  <c r="X58" i="13"/>
  <c r="H58" i="13"/>
  <c r="Q57" i="13"/>
  <c r="Z56" i="13"/>
  <c r="J56" i="13"/>
  <c r="S55" i="13"/>
  <c r="C55" i="13"/>
  <c r="L54" i="13"/>
  <c r="U53" i="13"/>
  <c r="E53" i="13"/>
  <c r="N52" i="13"/>
  <c r="W49" i="13"/>
  <c r="G49" i="13"/>
  <c r="P48" i="13"/>
  <c r="Y47" i="13"/>
  <c r="I47" i="13"/>
  <c r="R46" i="13"/>
  <c r="AA45" i="13"/>
  <c r="K45" i="13"/>
  <c r="T44" i="13"/>
  <c r="D44" i="13"/>
  <c r="M43" i="13"/>
  <c r="V42" i="13"/>
  <c r="F42" i="13"/>
  <c r="O41" i="13"/>
  <c r="X40" i="13"/>
  <c r="H40" i="13"/>
  <c r="Q39" i="13"/>
  <c r="Z36" i="13"/>
  <c r="J36" i="13"/>
  <c r="S35" i="13"/>
  <c r="C35" i="13"/>
  <c r="L34" i="13"/>
  <c r="U33" i="13"/>
  <c r="Q6" i="16"/>
  <c r="V6" i="15"/>
  <c r="C6" i="15"/>
  <c r="K19" i="14"/>
  <c r="S18" i="14"/>
  <c r="AA17" i="14"/>
  <c r="K17" i="14"/>
  <c r="T16" i="14"/>
  <c r="D16" i="14"/>
  <c r="M14" i="14"/>
  <c r="V13" i="14"/>
  <c r="F13" i="14"/>
  <c r="O12" i="14"/>
  <c r="X11" i="14"/>
  <c r="H11" i="14"/>
  <c r="Q8" i="14"/>
  <c r="Z7" i="14"/>
  <c r="J7" i="14"/>
  <c r="S62" i="13"/>
  <c r="C62" i="13"/>
  <c r="L61" i="13"/>
  <c r="U60" i="13"/>
  <c r="E60" i="13"/>
  <c r="N59" i="13"/>
  <c r="W58" i="13"/>
  <c r="G58" i="13"/>
  <c r="P57" i="13"/>
  <c r="Y56" i="13"/>
  <c r="I56" i="13"/>
  <c r="R55" i="13"/>
  <c r="AA54" i="13"/>
  <c r="K54" i="13"/>
  <c r="T53" i="13"/>
  <c r="D53" i="13"/>
  <c r="M52" i="13"/>
  <c r="V49" i="13"/>
  <c r="F49" i="13"/>
  <c r="O48" i="13"/>
  <c r="X47" i="13"/>
  <c r="H47" i="13"/>
  <c r="Q46" i="13"/>
  <c r="Z45" i="13"/>
  <c r="J45" i="13"/>
  <c r="S44" i="13"/>
  <c r="C44" i="13"/>
  <c r="L43" i="13"/>
  <c r="U42" i="13"/>
  <c r="E42" i="13"/>
  <c r="N41" i="13"/>
  <c r="W40" i="13"/>
  <c r="G40" i="13"/>
  <c r="P39" i="13"/>
  <c r="Y36" i="13"/>
  <c r="I36" i="13"/>
  <c r="R35" i="13"/>
  <c r="AA34" i="13"/>
  <c r="K34" i="13"/>
  <c r="T33" i="13"/>
  <c r="D33" i="13"/>
  <c r="M32" i="13"/>
  <c r="V31" i="13"/>
  <c r="F31" i="13"/>
  <c r="O30" i="13"/>
  <c r="X29" i="13"/>
  <c r="H29" i="13"/>
  <c r="Q26" i="13"/>
  <c r="Z25" i="13"/>
  <c r="J25" i="13"/>
  <c r="S24" i="13"/>
  <c r="C24" i="13"/>
  <c r="L23" i="13"/>
  <c r="U22" i="13"/>
  <c r="E22" i="13"/>
  <c r="N19" i="13"/>
  <c r="W18" i="13"/>
  <c r="G18" i="13"/>
  <c r="P17" i="13"/>
  <c r="Y16" i="13"/>
  <c r="I16" i="13"/>
  <c r="R15" i="13"/>
  <c r="AA14" i="13"/>
  <c r="K14" i="13"/>
  <c r="T13" i="13"/>
  <c r="D13" i="13"/>
  <c r="M12" i="13"/>
  <c r="V11" i="13"/>
  <c r="F11" i="13"/>
  <c r="O10" i="13"/>
  <c r="X9" i="13"/>
  <c r="H9" i="13"/>
  <c r="Q8" i="13"/>
  <c r="Z7" i="13"/>
  <c r="J7" i="13"/>
  <c r="S112" i="12"/>
  <c r="C112" i="12"/>
  <c r="L111" i="12"/>
  <c r="U110" i="12"/>
  <c r="E110" i="12"/>
  <c r="N109" i="12"/>
  <c r="W108" i="12"/>
  <c r="G108" i="12"/>
  <c r="P107" i="12"/>
  <c r="Y106" i="12"/>
  <c r="I106" i="12"/>
  <c r="R105" i="12"/>
  <c r="AA104" i="12"/>
  <c r="K104" i="12"/>
  <c r="P6" i="16"/>
  <c r="U6" i="15"/>
  <c r="AA19" i="14"/>
  <c r="J19" i="14"/>
  <c r="R18" i="14"/>
  <c r="Z17" i="14"/>
  <c r="J17" i="14"/>
  <c r="S16" i="14"/>
  <c r="C16" i="14"/>
  <c r="L14" i="14"/>
  <c r="U13" i="14"/>
  <c r="E13" i="14"/>
  <c r="N12" i="14"/>
  <c r="W11" i="14"/>
  <c r="G11" i="14"/>
  <c r="P8" i="14"/>
  <c r="Y7" i="14"/>
  <c r="I7" i="14"/>
  <c r="R62" i="13"/>
  <c r="AA61" i="13"/>
  <c r="K61" i="13"/>
  <c r="T60" i="13"/>
  <c r="D60" i="13"/>
  <c r="M59" i="13"/>
  <c r="V58" i="13"/>
  <c r="F58" i="13"/>
  <c r="O57" i="13"/>
  <c r="X56" i="13"/>
  <c r="H56" i="13"/>
  <c r="Q55" i="13"/>
  <c r="Z54" i="13"/>
  <c r="J54" i="13"/>
  <c r="S53" i="13"/>
  <c r="C53" i="13"/>
  <c r="L52" i="13"/>
  <c r="U49" i="13"/>
  <c r="E49" i="13"/>
  <c r="N48" i="13"/>
  <c r="W47" i="13"/>
  <c r="G47" i="13"/>
  <c r="P46" i="13"/>
  <c r="Y45" i="13"/>
  <c r="I45" i="13"/>
  <c r="R44" i="13"/>
  <c r="AA43" i="13"/>
  <c r="K43" i="13"/>
  <c r="T42" i="13"/>
  <c r="D42" i="13"/>
  <c r="M41" i="13"/>
  <c r="V40" i="13"/>
  <c r="F40" i="13"/>
  <c r="O39" i="13"/>
  <c r="X36" i="13"/>
  <c r="H36" i="13"/>
  <c r="Q35" i="13"/>
  <c r="Z34" i="13"/>
  <c r="J34" i="13"/>
  <c r="S33" i="13"/>
  <c r="C33" i="13"/>
  <c r="L32" i="13"/>
  <c r="U31" i="13"/>
  <c r="E31" i="13"/>
  <c r="N30" i="13"/>
  <c r="W29" i="13"/>
  <c r="G29" i="13"/>
  <c r="P26" i="13"/>
  <c r="Y25" i="13"/>
  <c r="I25" i="13"/>
  <c r="R24" i="13"/>
  <c r="AA23" i="13"/>
  <c r="K23" i="13"/>
  <c r="T22" i="13"/>
  <c r="D22" i="13"/>
  <c r="M19" i="13"/>
  <c r="V18" i="13"/>
  <c r="F18" i="13"/>
  <c r="O17" i="13"/>
  <c r="X16" i="13"/>
  <c r="H16" i="13"/>
  <c r="Q15" i="13"/>
  <c r="Z14" i="13"/>
  <c r="J14" i="13"/>
  <c r="S13" i="13"/>
  <c r="C13" i="13"/>
  <c r="L12" i="13"/>
  <c r="U11" i="13"/>
  <c r="E11" i="13"/>
  <c r="N10" i="13"/>
  <c r="W9" i="13"/>
  <c r="G9" i="13"/>
  <c r="P8" i="13"/>
  <c r="Y7" i="13"/>
  <c r="I7" i="13"/>
  <c r="R112" i="12"/>
  <c r="AA111" i="12"/>
  <c r="K111" i="12"/>
  <c r="T110" i="12"/>
  <c r="D110" i="12"/>
  <c r="M109" i="12"/>
  <c r="V108" i="12"/>
  <c r="F108" i="12"/>
  <c r="O107" i="12"/>
  <c r="X106" i="12"/>
  <c r="H106" i="12"/>
  <c r="Q105" i="12"/>
  <c r="Z104" i="12"/>
  <c r="J104" i="12"/>
  <c r="S103" i="12"/>
  <c r="C103" i="12"/>
  <c r="L102" i="12"/>
  <c r="U101" i="12"/>
  <c r="E101" i="12"/>
  <c r="N100" i="12"/>
  <c r="W99" i="12"/>
  <c r="G99" i="12"/>
  <c r="P98" i="12"/>
  <c r="Y97" i="12"/>
  <c r="I97" i="12"/>
  <c r="R96" i="12"/>
  <c r="AA95" i="12"/>
  <c r="K95" i="12"/>
  <c r="T94" i="12"/>
  <c r="D94" i="12"/>
  <c r="O6" i="16"/>
  <c r="S6" i="15"/>
  <c r="Z19" i="14"/>
  <c r="I19" i="14"/>
  <c r="Q18" i="14"/>
  <c r="Y17" i="14"/>
  <c r="I17" i="14"/>
  <c r="R16" i="14"/>
  <c r="AA14" i="14"/>
  <c r="K14" i="14"/>
  <c r="T13" i="14"/>
  <c r="D13" i="14"/>
  <c r="M12" i="14"/>
  <c r="V11" i="14"/>
  <c r="F11" i="14"/>
  <c r="O8" i="14"/>
  <c r="X7" i="14"/>
  <c r="H7" i="14"/>
  <c r="Q62" i="13"/>
  <c r="Z61" i="13"/>
  <c r="J61" i="13"/>
  <c r="S60" i="13"/>
  <c r="C60" i="13"/>
  <c r="L59" i="13"/>
  <c r="U58" i="13"/>
  <c r="E58" i="13"/>
  <c r="N57" i="13"/>
  <c r="W56" i="13"/>
  <c r="G56" i="13"/>
  <c r="P55" i="13"/>
  <c r="Y54" i="13"/>
  <c r="I54" i="13"/>
  <c r="R53" i="13"/>
  <c r="AA52" i="13"/>
  <c r="K52" i="13"/>
  <c r="T49" i="13"/>
  <c r="D49" i="13"/>
  <c r="M48" i="13"/>
  <c r="V47" i="13"/>
  <c r="F47" i="13"/>
  <c r="O46" i="13"/>
  <c r="X45" i="13"/>
  <c r="H45" i="13"/>
  <c r="Q44" i="13"/>
  <c r="Z43" i="13"/>
  <c r="N6" i="16"/>
  <c r="R6" i="15"/>
  <c r="I6" i="16"/>
  <c r="N6" i="15"/>
  <c r="V19" i="14"/>
  <c r="E19" i="14"/>
  <c r="M18" i="14"/>
  <c r="U17" i="14"/>
  <c r="E17" i="14"/>
  <c r="N16" i="14"/>
  <c r="W14" i="14"/>
  <c r="G14" i="14"/>
  <c r="P13" i="14"/>
  <c r="Y12" i="14"/>
  <c r="I12" i="14"/>
  <c r="R11" i="14"/>
  <c r="AA8" i="14"/>
  <c r="K8" i="14"/>
  <c r="T7" i="14"/>
  <c r="D7" i="14"/>
  <c r="M62" i="13"/>
  <c r="V61" i="13"/>
  <c r="F61" i="13"/>
  <c r="O60" i="13"/>
  <c r="X59" i="13"/>
  <c r="H59" i="13"/>
  <c r="Q58" i="13"/>
  <c r="Z57" i="13"/>
  <c r="J57" i="13"/>
  <c r="S56" i="13"/>
  <c r="C56" i="13"/>
  <c r="L55" i="13"/>
  <c r="U54" i="13"/>
  <c r="E54" i="13"/>
  <c r="N53" i="13"/>
  <c r="W52" i="13"/>
  <c r="G52" i="13"/>
  <c r="P49" i="13"/>
  <c r="Y48" i="13"/>
  <c r="I48" i="13"/>
  <c r="R47" i="13"/>
  <c r="AA46" i="13"/>
  <c r="K46" i="13"/>
  <c r="T45" i="13"/>
  <c r="D45" i="13"/>
  <c r="M44" i="13"/>
  <c r="V43" i="13"/>
  <c r="F43" i="13"/>
  <c r="O42" i="13"/>
  <c r="X41" i="13"/>
  <c r="H41" i="13"/>
  <c r="Q40" i="13"/>
  <c r="Z39" i="13"/>
  <c r="J39" i="13"/>
  <c r="S36" i="13"/>
  <c r="C36" i="13"/>
  <c r="L35" i="13"/>
  <c r="U34" i="13"/>
  <c r="E34" i="13"/>
  <c r="N33" i="13"/>
  <c r="W32" i="13"/>
  <c r="G32" i="13"/>
  <c r="P31" i="13"/>
  <c r="Y30" i="13"/>
  <c r="I30" i="13"/>
  <c r="R29" i="13"/>
  <c r="AA26" i="13"/>
  <c r="K26" i="13"/>
  <c r="T25" i="13"/>
  <c r="D25" i="13"/>
  <c r="M24" i="13"/>
  <c r="V23" i="13"/>
  <c r="F23" i="13"/>
  <c r="O22" i="13"/>
  <c r="X19" i="13"/>
  <c r="H19" i="13"/>
  <c r="Q18" i="13"/>
  <c r="Z17" i="13"/>
  <c r="J17" i="13"/>
  <c r="S16" i="13"/>
  <c r="C16" i="13"/>
  <c r="L15" i="13"/>
  <c r="U14" i="13"/>
  <c r="E14" i="13"/>
  <c r="N13" i="13"/>
  <c r="W12" i="13"/>
  <c r="G12" i="13"/>
  <c r="P11" i="13"/>
  <c r="Y10" i="13"/>
  <c r="I10" i="13"/>
  <c r="R9" i="13"/>
  <c r="AA8" i="13"/>
  <c r="K8" i="13"/>
  <c r="T7" i="13"/>
  <c r="D7" i="13"/>
  <c r="M112" i="12"/>
  <c r="V111" i="12"/>
  <c r="F111" i="12"/>
  <c r="O110" i="12"/>
  <c r="X109" i="12"/>
  <c r="H109" i="12"/>
  <c r="Q108" i="12"/>
  <c r="Z107" i="12"/>
  <c r="J107" i="12"/>
  <c r="S106" i="12"/>
  <c r="C106" i="12"/>
  <c r="L105" i="12"/>
  <c r="U104" i="12"/>
  <c r="E104" i="12"/>
  <c r="N103" i="12"/>
  <c r="W102" i="12"/>
  <c r="G102" i="12"/>
  <c r="P101" i="12"/>
  <c r="Y100" i="12"/>
  <c r="I100" i="12"/>
  <c r="R99" i="12"/>
  <c r="AA98" i="12"/>
  <c r="K98" i="12"/>
  <c r="T97" i="12"/>
  <c r="D97" i="12"/>
  <c r="M96" i="12"/>
  <c r="V95" i="12"/>
  <c r="F95" i="12"/>
  <c r="O94" i="12"/>
  <c r="X93" i="12"/>
  <c r="H93" i="12"/>
  <c r="Q92" i="12"/>
  <c r="Z91" i="12"/>
  <c r="J91" i="12"/>
  <c r="S90" i="12"/>
  <c r="C90" i="12"/>
  <c r="L89" i="12"/>
  <c r="U88" i="12"/>
  <c r="E88" i="12"/>
  <c r="N87" i="12"/>
  <c r="W86" i="12"/>
  <c r="G86" i="12"/>
  <c r="P85" i="12"/>
  <c r="P18" i="14"/>
  <c r="I14" i="14"/>
  <c r="C11" i="14"/>
  <c r="J62" i="13"/>
  <c r="U59" i="13"/>
  <c r="G57" i="13"/>
  <c r="R54" i="13"/>
  <c r="D52" i="13"/>
  <c r="O47" i="13"/>
  <c r="Z44" i="13"/>
  <c r="Q42" i="13"/>
  <c r="E41" i="13"/>
  <c r="N39" i="13"/>
  <c r="E36" i="13"/>
  <c r="S34" i="13"/>
  <c r="J33" i="13"/>
  <c r="C32" i="13"/>
  <c r="U30" i="13"/>
  <c r="N29" i="13"/>
  <c r="G26" i="13"/>
  <c r="Y24" i="13"/>
  <c r="T23" i="13"/>
  <c r="Q22" i="13"/>
  <c r="L19" i="13"/>
  <c r="L18" i="13"/>
  <c r="G17" i="13"/>
  <c r="D16" i="13"/>
  <c r="X14" i="13"/>
  <c r="U13" i="13"/>
  <c r="S12" i="13"/>
  <c r="N11" i="13"/>
  <c r="K10" i="13"/>
  <c r="F9" i="13"/>
  <c r="F8" i="13"/>
  <c r="Z112" i="12"/>
  <c r="W111" i="12"/>
  <c r="R110" i="12"/>
  <c r="O109" i="12"/>
  <c r="M108" i="12"/>
  <c r="H107" i="12"/>
  <c r="F106" i="12"/>
  <c r="H105" i="12"/>
  <c r="I104" i="12"/>
  <c r="L103" i="12"/>
  <c r="P102" i="12"/>
  <c r="T101" i="12"/>
  <c r="W100" i="12"/>
  <c r="AA99" i="12"/>
  <c r="F99" i="12"/>
  <c r="I98" i="12"/>
  <c r="M97" i="12"/>
  <c r="Q96" i="12"/>
  <c r="T95" i="12"/>
  <c r="X94" i="12"/>
  <c r="C94" i="12"/>
  <c r="I93" i="12"/>
  <c r="M92" i="12"/>
  <c r="R91" i="12"/>
  <c r="X90" i="12"/>
  <c r="E90" i="12"/>
  <c r="I89" i="12"/>
  <c r="N88" i="12"/>
  <c r="T87" i="12"/>
  <c r="Z86" i="12"/>
  <c r="E86" i="12"/>
  <c r="K85" i="12"/>
  <c r="Q84" i="12"/>
  <c r="X83" i="12"/>
  <c r="F83" i="12"/>
  <c r="M82" i="12"/>
  <c r="T81" i="12"/>
  <c r="Z80" i="12"/>
  <c r="H80" i="12"/>
  <c r="N79" i="12"/>
  <c r="U78" i="12"/>
  <c r="C78" i="12"/>
  <c r="J77" i="12"/>
  <c r="Q76" i="12"/>
  <c r="W75" i="12"/>
  <c r="E75" i="12"/>
  <c r="K74" i="12"/>
  <c r="R73" i="12"/>
  <c r="Y72" i="12"/>
  <c r="G72" i="12"/>
  <c r="N71" i="12"/>
  <c r="T70" i="12"/>
  <c r="AA69" i="12"/>
  <c r="H69" i="12"/>
  <c r="O68" i="12"/>
  <c r="V67" i="12"/>
  <c r="D67" i="12"/>
  <c r="K66" i="12"/>
  <c r="Q65" i="12"/>
  <c r="X64" i="12"/>
  <c r="E64" i="12"/>
  <c r="L63" i="12"/>
  <c r="S62" i="12"/>
  <c r="AA61" i="12"/>
  <c r="J61" i="12"/>
  <c r="R60" i="12"/>
  <c r="Z59" i="12"/>
  <c r="I59" i="12"/>
  <c r="R58" i="12"/>
  <c r="AA57" i="12"/>
  <c r="K57" i="12"/>
  <c r="T56" i="12"/>
  <c r="D56" i="12"/>
  <c r="M53" i="12"/>
  <c r="V52" i="12"/>
  <c r="F52" i="12"/>
  <c r="O51" i="12"/>
  <c r="X50" i="12"/>
  <c r="H50" i="12"/>
  <c r="Q49" i="12"/>
  <c r="O18" i="14"/>
  <c r="H14" i="14"/>
  <c r="N8" i="14"/>
  <c r="Y61" i="13"/>
  <c r="K59" i="13"/>
  <c r="V56" i="13"/>
  <c r="H54" i="13"/>
  <c r="S49" i="13"/>
  <c r="E47" i="13"/>
  <c r="P44" i="13"/>
  <c r="P42" i="13"/>
  <c r="D41" i="13"/>
  <c r="M39" i="13"/>
  <c r="D36" i="13"/>
  <c r="R34" i="13"/>
  <c r="E33" i="13"/>
  <c r="W31" i="13"/>
  <c r="P30" i="13"/>
  <c r="I29" i="13"/>
  <c r="AA25" i="13"/>
  <c r="X24" i="13"/>
  <c r="S23" i="13"/>
  <c r="P22" i="13"/>
  <c r="K19" i="13"/>
  <c r="H18" i="13"/>
  <c r="F17" i="13"/>
  <c r="Z15" i="13"/>
  <c r="W14" i="13"/>
  <c r="R13" i="13"/>
  <c r="R12" i="13"/>
  <c r="M11" i="13"/>
  <c r="J10" i="13"/>
  <c r="E9" i="13"/>
  <c r="AA7" i="13"/>
  <c r="Y112" i="12"/>
  <c r="T111" i="12"/>
  <c r="Q110" i="12"/>
  <c r="L109" i="12"/>
  <c r="L108" i="12"/>
  <c r="G107" i="12"/>
  <c r="E106" i="12"/>
  <c r="G105" i="12"/>
  <c r="H104" i="12"/>
  <c r="K103" i="12"/>
  <c r="O102" i="12"/>
  <c r="S101" i="12"/>
  <c r="V100" i="12"/>
  <c r="Z99" i="12"/>
  <c r="E99" i="12"/>
  <c r="H98" i="12"/>
  <c r="L97" i="12"/>
  <c r="P96" i="12"/>
  <c r="S95" i="12"/>
  <c r="W94" i="12"/>
  <c r="AA93" i="12"/>
  <c r="F93" i="12"/>
  <c r="L92" i="12"/>
  <c r="Q91" i="12"/>
  <c r="W90" i="12"/>
  <c r="D90" i="12"/>
  <c r="H89" i="12"/>
  <c r="M88" i="12"/>
  <c r="S87" i="12"/>
  <c r="Y86" i="12"/>
  <c r="D86" i="12"/>
  <c r="I85" i="12"/>
  <c r="P84" i="12"/>
  <c r="W83" i="12"/>
  <c r="E83" i="12"/>
  <c r="L82" i="12"/>
  <c r="R81" i="12"/>
  <c r="Y80" i="12"/>
  <c r="F80" i="12"/>
  <c r="M79" i="12"/>
  <c r="T78" i="12"/>
  <c r="AA77" i="12"/>
  <c r="I77" i="12"/>
  <c r="O76" i="12"/>
  <c r="V75" i="12"/>
  <c r="C75" i="12"/>
  <c r="J74" i="12"/>
  <c r="Q73" i="12"/>
  <c r="X72" i="12"/>
  <c r="F72" i="12"/>
  <c r="L71" i="12"/>
  <c r="S70" i="12"/>
  <c r="Y69" i="12"/>
  <c r="G69" i="12"/>
  <c r="N68" i="12"/>
  <c r="U67" i="12"/>
  <c r="N18" i="14"/>
  <c r="S13" i="14"/>
  <c r="M8" i="14"/>
  <c r="X61" i="13"/>
  <c r="J59" i="13"/>
  <c r="U56" i="13"/>
  <c r="G54" i="13"/>
  <c r="R49" i="13"/>
  <c r="D47" i="13"/>
  <c r="O44" i="13"/>
  <c r="L42" i="13"/>
  <c r="U40" i="13"/>
  <c r="L39" i="13"/>
  <c r="Z35" i="13"/>
  <c r="Q34" i="13"/>
  <c r="AA32" i="13"/>
  <c r="T31" i="13"/>
  <c r="M30" i="13"/>
  <c r="F29" i="13"/>
  <c r="X25" i="13"/>
  <c r="T24" i="13"/>
  <c r="R23" i="13"/>
  <c r="M22" i="13"/>
  <c r="J19" i="13"/>
  <c r="E18" i="13"/>
  <c r="E17" i="13"/>
  <c r="Y15" i="13"/>
  <c r="V14" i="13"/>
  <c r="Q13" i="13"/>
  <c r="N12" i="13"/>
  <c r="L11" i="13"/>
  <c r="G10" i="13"/>
  <c r="D9" i="13"/>
  <c r="X7" i="13"/>
  <c r="X112" i="12"/>
  <c r="S111" i="12"/>
  <c r="P110" i="12"/>
  <c r="K109" i="12"/>
  <c r="H108" i="12"/>
  <c r="F107" i="12"/>
  <c r="D106" i="12"/>
  <c r="E105" i="12"/>
  <c r="G104" i="12"/>
  <c r="J103" i="12"/>
  <c r="N102" i="12"/>
  <c r="R101" i="12"/>
  <c r="U100" i="12"/>
  <c r="Y99" i="12"/>
  <c r="D99" i="12"/>
  <c r="G98" i="12"/>
  <c r="K97" i="12"/>
  <c r="O96" i="12"/>
  <c r="R95" i="12"/>
  <c r="V94" i="12"/>
  <c r="Z93" i="12"/>
  <c r="E93" i="12"/>
  <c r="J92" i="12"/>
  <c r="P91" i="12"/>
  <c r="V90" i="12"/>
  <c r="Z89" i="12"/>
  <c r="G89" i="12"/>
  <c r="L88" i="12"/>
  <c r="R87" i="12"/>
  <c r="X86" i="12"/>
  <c r="C86" i="12"/>
  <c r="H85" i="12"/>
  <c r="O84" i="12"/>
  <c r="V83" i="12"/>
  <c r="D83" i="12"/>
  <c r="K82" i="12"/>
  <c r="Q81" i="12"/>
  <c r="X80" i="12"/>
  <c r="E80" i="12"/>
  <c r="L79" i="12"/>
  <c r="S78" i="12"/>
  <c r="Z77" i="12"/>
  <c r="H77" i="12"/>
  <c r="N76" i="12"/>
  <c r="U75" i="12"/>
  <c r="AA74" i="12"/>
  <c r="I74" i="12"/>
  <c r="P73" i="12"/>
  <c r="W72" i="12"/>
  <c r="E72" i="12"/>
  <c r="K71" i="12"/>
  <c r="R70" i="12"/>
  <c r="X69" i="12"/>
  <c r="F69" i="12"/>
  <c r="M68" i="12"/>
  <c r="T67" i="12"/>
  <c r="AA66" i="12"/>
  <c r="H66" i="12"/>
  <c r="O65" i="12"/>
  <c r="U64" i="12"/>
  <c r="C64" i="12"/>
  <c r="J63" i="12"/>
  <c r="Q62" i="12"/>
  <c r="Y61" i="12"/>
  <c r="H61" i="12"/>
  <c r="O60" i="12"/>
  <c r="W59" i="12"/>
  <c r="G59" i="12"/>
  <c r="P58" i="12"/>
  <c r="Y57" i="12"/>
  <c r="I57" i="12"/>
  <c r="R56" i="12"/>
  <c r="AA53" i="12"/>
  <c r="K53" i="12"/>
  <c r="T52" i="12"/>
  <c r="D52" i="12"/>
  <c r="M51" i="12"/>
  <c r="V50" i="12"/>
  <c r="F50" i="12"/>
  <c r="O49" i="12"/>
  <c r="X48" i="12"/>
  <c r="H48" i="12"/>
  <c r="Q47" i="12"/>
  <c r="Z45" i="12"/>
  <c r="J45" i="12"/>
  <c r="S44" i="12"/>
  <c r="C44" i="12"/>
  <c r="L43" i="12"/>
  <c r="U42" i="12"/>
  <c r="E42" i="12"/>
  <c r="N41" i="12"/>
  <c r="W40" i="12"/>
  <c r="G40" i="12"/>
  <c r="P39" i="12"/>
  <c r="Y38" i="12"/>
  <c r="I38" i="12"/>
  <c r="R37" i="12"/>
  <c r="AA36" i="12"/>
  <c r="K36" i="12"/>
  <c r="T34" i="12"/>
  <c r="D34" i="12"/>
  <c r="M33" i="12"/>
  <c r="V32" i="12"/>
  <c r="F32" i="12"/>
  <c r="O31" i="12"/>
  <c r="X30" i="12"/>
  <c r="H30" i="12"/>
  <c r="Q29" i="12"/>
  <c r="Z28" i="12"/>
  <c r="J28" i="12"/>
  <c r="S27" i="12"/>
  <c r="C27" i="12"/>
  <c r="L26" i="12"/>
  <c r="U25" i="12"/>
  <c r="E25" i="12"/>
  <c r="N24" i="12"/>
  <c r="W22" i="12"/>
  <c r="G22" i="12"/>
  <c r="P21" i="12"/>
  <c r="Y20" i="12"/>
  <c r="I20" i="12"/>
  <c r="R19" i="12"/>
  <c r="AA18" i="12"/>
  <c r="K18" i="12"/>
  <c r="T17" i="12"/>
  <c r="D17" i="12"/>
  <c r="M16" i="12"/>
  <c r="V15" i="12"/>
  <c r="F15" i="12"/>
  <c r="O13" i="12"/>
  <c r="X12" i="12"/>
  <c r="H12" i="12"/>
  <c r="Q11" i="12"/>
  <c r="Z10" i="12"/>
  <c r="J10" i="12"/>
  <c r="S9" i="12"/>
  <c r="C9" i="12"/>
  <c r="L8" i="12"/>
  <c r="S64" i="11"/>
  <c r="C64" i="11"/>
  <c r="J63" i="11"/>
  <c r="X17" i="14"/>
  <c r="R13" i="14"/>
  <c r="L8" i="14"/>
  <c r="W61" i="13"/>
  <c r="I59" i="13"/>
  <c r="T56" i="13"/>
  <c r="F54" i="13"/>
  <c r="Q49" i="13"/>
  <c r="C47" i="13"/>
  <c r="N44" i="13"/>
  <c r="K42" i="13"/>
  <c r="T40" i="13"/>
  <c r="K39" i="13"/>
  <c r="Y35" i="13"/>
  <c r="I34" i="13"/>
  <c r="Z32" i="13"/>
  <c r="S31" i="13"/>
  <c r="L30" i="13"/>
  <c r="E29" i="13"/>
  <c r="W25" i="13"/>
  <c r="Q24" i="13"/>
  <c r="Q23" i="13"/>
  <c r="L22" i="13"/>
  <c r="I19" i="13"/>
  <c r="D18" i="13"/>
  <c r="Z16" i="13"/>
  <c r="X15" i="13"/>
  <c r="S14" i="13"/>
  <c r="P13" i="13"/>
  <c r="K12" i="13"/>
  <c r="K11" i="13"/>
  <c r="F10" i="13"/>
  <c r="C9" i="13"/>
  <c r="W7" i="13"/>
  <c r="T112" i="12"/>
  <c r="R111" i="12"/>
  <c r="M110" i="12"/>
  <c r="J109" i="12"/>
  <c r="E108" i="12"/>
  <c r="E107" i="12"/>
  <c r="Z105" i="12"/>
  <c r="D105" i="12"/>
  <c r="F104" i="12"/>
  <c r="I103" i="12"/>
  <c r="M102" i="12"/>
  <c r="Q101" i="12"/>
  <c r="T100" i="12"/>
  <c r="X99" i="12"/>
  <c r="C99" i="12"/>
  <c r="F98" i="12"/>
  <c r="J97" i="12"/>
  <c r="N96" i="12"/>
  <c r="Q95" i="12"/>
  <c r="U94" i="12"/>
  <c r="Y93" i="12"/>
  <c r="D93" i="12"/>
  <c r="I92" i="12"/>
  <c r="O91" i="12"/>
  <c r="U90" i="12"/>
  <c r="Y89" i="12"/>
  <c r="E89" i="12"/>
  <c r="K88" i="12"/>
  <c r="Q87" i="12"/>
  <c r="U86" i="12"/>
  <c r="AA85" i="12"/>
  <c r="G85" i="12"/>
  <c r="N84" i="12"/>
  <c r="U83" i="12"/>
  <c r="C83" i="12"/>
  <c r="I82" i="12"/>
  <c r="P81" i="12"/>
  <c r="V80" i="12"/>
  <c r="D80" i="12"/>
  <c r="K79" i="12"/>
  <c r="R78" i="12"/>
  <c r="Y77" i="12"/>
  <c r="F77" i="12"/>
  <c r="M76" i="12"/>
  <c r="S75" i="12"/>
  <c r="Z74" i="12"/>
  <c r="H74" i="12"/>
  <c r="O73" i="12"/>
  <c r="V72" i="12"/>
  <c r="C72" i="12"/>
  <c r="J71" i="12"/>
  <c r="P70" i="12"/>
  <c r="W69" i="12"/>
  <c r="E69" i="12"/>
  <c r="L68" i="12"/>
  <c r="S67" i="12"/>
  <c r="Y66" i="12"/>
  <c r="G66" i="12"/>
  <c r="M65" i="12"/>
  <c r="T64" i="12"/>
  <c r="AA63" i="12"/>
  <c r="I63" i="12"/>
  <c r="P62" i="12"/>
  <c r="X61" i="12"/>
  <c r="F61" i="12"/>
  <c r="N60" i="12"/>
  <c r="V59" i="12"/>
  <c r="F59" i="12"/>
  <c r="O58" i="12"/>
  <c r="X57" i="12"/>
  <c r="H57" i="12"/>
  <c r="Q56" i="12"/>
  <c r="Z53" i="12"/>
  <c r="J53" i="12"/>
  <c r="S52" i="12"/>
  <c r="C52" i="12"/>
  <c r="L51" i="12"/>
  <c r="U50" i="12"/>
  <c r="E50" i="12"/>
  <c r="N49" i="12"/>
  <c r="W48" i="12"/>
  <c r="G48" i="12"/>
  <c r="P47" i="12"/>
  <c r="Y45" i="12"/>
  <c r="I45" i="12"/>
  <c r="R44" i="12"/>
  <c r="AA43" i="12"/>
  <c r="K43" i="12"/>
  <c r="T42" i="12"/>
  <c r="D42" i="12"/>
  <c r="M41" i="12"/>
  <c r="V40" i="12"/>
  <c r="F40" i="12"/>
  <c r="O39" i="12"/>
  <c r="X38" i="12"/>
  <c r="H38" i="12"/>
  <c r="Q37" i="12"/>
  <c r="Z36" i="12"/>
  <c r="J36" i="12"/>
  <c r="S34" i="12"/>
  <c r="C34" i="12"/>
  <c r="L33" i="12"/>
  <c r="U32" i="12"/>
  <c r="E32" i="12"/>
  <c r="N31" i="12"/>
  <c r="W30" i="12"/>
  <c r="G30" i="12"/>
  <c r="P29" i="12"/>
  <c r="Y28" i="12"/>
  <c r="I28" i="12"/>
  <c r="R27" i="12"/>
  <c r="AA26" i="12"/>
  <c r="K26" i="12"/>
  <c r="T25" i="12"/>
  <c r="D25" i="12"/>
  <c r="M24" i="12"/>
  <c r="V22" i="12"/>
  <c r="F22" i="12"/>
  <c r="O21" i="12"/>
  <c r="X20" i="12"/>
  <c r="H20" i="12"/>
  <c r="Q19" i="12"/>
  <c r="Z18" i="12"/>
  <c r="J18" i="12"/>
  <c r="S17" i="12"/>
  <c r="C17" i="12"/>
  <c r="L16" i="12"/>
  <c r="W17" i="14"/>
  <c r="Q13" i="14"/>
  <c r="H8" i="14"/>
  <c r="S61" i="13"/>
  <c r="E59" i="13"/>
  <c r="P56" i="13"/>
  <c r="AA53" i="13"/>
  <c r="M49" i="13"/>
  <c r="X46" i="13"/>
  <c r="J44" i="13"/>
  <c r="C42" i="13"/>
  <c r="S40" i="13"/>
  <c r="H39" i="13"/>
  <c r="X35" i="13"/>
  <c r="H34" i="13"/>
  <c r="Y32" i="13"/>
  <c r="R31" i="13"/>
  <c r="K30" i="13"/>
  <c r="D29" i="13"/>
  <c r="V25" i="13"/>
  <c r="P24" i="13"/>
  <c r="M23" i="13"/>
  <c r="K22" i="13"/>
  <c r="F19" i="13"/>
  <c r="C18" i="13"/>
  <c r="W16" i="13"/>
  <c r="W15" i="13"/>
  <c r="R14" i="13"/>
  <c r="O13" i="13"/>
  <c r="J12" i="13"/>
  <c r="G11" i="13"/>
  <c r="E10" i="13"/>
  <c r="Y8" i="13"/>
  <c r="V7" i="13"/>
  <c r="Q112" i="12"/>
  <c r="Q111" i="12"/>
  <c r="L110" i="12"/>
  <c r="I109" i="12"/>
  <c r="D108" i="12"/>
  <c r="Z106" i="12"/>
  <c r="Y105" i="12"/>
  <c r="C105" i="12"/>
  <c r="C104" i="12"/>
  <c r="G103" i="12"/>
  <c r="K102" i="12"/>
  <c r="N101" i="12"/>
  <c r="R100" i="12"/>
  <c r="V99" i="12"/>
  <c r="Y98" i="12"/>
  <c r="D98" i="12"/>
  <c r="H97" i="12"/>
  <c r="K96" i="12"/>
  <c r="O95" i="12"/>
  <c r="S94" i="12"/>
  <c r="V93" i="12"/>
  <c r="C93" i="12"/>
  <c r="H92" i="12"/>
  <c r="N91" i="12"/>
  <c r="T90" i="12"/>
  <c r="X89" i="12"/>
  <c r="D89" i="12"/>
  <c r="J88" i="12"/>
  <c r="P87" i="12"/>
  <c r="T86" i="12"/>
  <c r="Y85" i="12"/>
  <c r="F85" i="12"/>
  <c r="M84" i="12"/>
  <c r="T83" i="12"/>
  <c r="AA82" i="12"/>
  <c r="H82" i="12"/>
  <c r="O81" i="12"/>
  <c r="U80" i="12"/>
  <c r="C80" i="12"/>
  <c r="J79" i="12"/>
  <c r="Q78" i="12"/>
  <c r="X77" i="12"/>
  <c r="E77" i="12"/>
  <c r="L76" i="12"/>
  <c r="R75" i="12"/>
  <c r="Y74" i="12"/>
  <c r="G74" i="12"/>
  <c r="N73" i="12"/>
  <c r="U72" i="12"/>
  <c r="AA71" i="12"/>
  <c r="I71" i="12"/>
  <c r="O70" i="12"/>
  <c r="V69" i="12"/>
  <c r="D69" i="12"/>
  <c r="K68" i="12"/>
  <c r="R67" i="12"/>
  <c r="X66" i="12"/>
  <c r="F66" i="12"/>
  <c r="L65" i="12"/>
  <c r="S64" i="12"/>
  <c r="Z63" i="12"/>
  <c r="H63" i="12"/>
  <c r="O62" i="12"/>
  <c r="V61" i="12"/>
  <c r="E61" i="12"/>
  <c r="M60" i="12"/>
  <c r="U59" i="12"/>
  <c r="E59" i="12"/>
  <c r="N58" i="12"/>
  <c r="W57" i="12"/>
  <c r="G57" i="12"/>
  <c r="P56" i="12"/>
  <c r="Y53" i="12"/>
  <c r="I53" i="12"/>
  <c r="R52" i="12"/>
  <c r="AA51" i="12"/>
  <c r="K51" i="12"/>
  <c r="T50" i="12"/>
  <c r="D50" i="12"/>
  <c r="M49" i="12"/>
  <c r="V48" i="12"/>
  <c r="F48" i="12"/>
  <c r="O47" i="12"/>
  <c r="X45" i="12"/>
  <c r="H45" i="12"/>
  <c r="Q44" i="12"/>
  <c r="Z43" i="12"/>
  <c r="J43" i="12"/>
  <c r="S42" i="12"/>
  <c r="C42" i="12"/>
  <c r="L41" i="12"/>
  <c r="U40" i="12"/>
  <c r="E40" i="12"/>
  <c r="N39" i="12"/>
  <c r="W38" i="12"/>
  <c r="G38" i="12"/>
  <c r="P37" i="12"/>
  <c r="Y36" i="12"/>
  <c r="I36" i="12"/>
  <c r="R34" i="12"/>
  <c r="AA33" i="12"/>
  <c r="K33" i="12"/>
  <c r="T32" i="12"/>
  <c r="D32" i="12"/>
  <c r="M31" i="12"/>
  <c r="V30" i="12"/>
  <c r="F30" i="12"/>
  <c r="O29" i="12"/>
  <c r="X28" i="12"/>
  <c r="H28" i="12"/>
  <c r="Q27" i="12"/>
  <c r="Z26" i="12"/>
  <c r="J26" i="12"/>
  <c r="S25" i="12"/>
  <c r="C25" i="12"/>
  <c r="L24" i="12"/>
  <c r="U22" i="12"/>
  <c r="E22" i="12"/>
  <c r="N21" i="12"/>
  <c r="W20" i="12"/>
  <c r="G20" i="12"/>
  <c r="P19" i="12"/>
  <c r="Y18" i="12"/>
  <c r="I18" i="12"/>
  <c r="R17" i="12"/>
  <c r="AA16" i="12"/>
  <c r="K16" i="12"/>
  <c r="T15" i="12"/>
  <c r="D15" i="12"/>
  <c r="M13" i="12"/>
  <c r="V12" i="12"/>
  <c r="F12" i="12"/>
  <c r="O11" i="12"/>
  <c r="X10" i="12"/>
  <c r="H10" i="12"/>
  <c r="Q9" i="12"/>
  <c r="Z8" i="12"/>
  <c r="J8" i="12"/>
  <c r="Q64" i="11"/>
  <c r="X63" i="11"/>
  <c r="V17" i="14"/>
  <c r="C13" i="14"/>
  <c r="W7" i="14"/>
  <c r="I61" i="13"/>
  <c r="T58" i="13"/>
  <c r="F56" i="13"/>
  <c r="Q53" i="13"/>
  <c r="C49" i="13"/>
  <c r="N46" i="13"/>
  <c r="Y43" i="13"/>
  <c r="AA41" i="13"/>
  <c r="R40" i="13"/>
  <c r="G39" i="13"/>
  <c r="P35" i="13"/>
  <c r="G34" i="13"/>
  <c r="X32" i="13"/>
  <c r="Q31" i="13"/>
  <c r="J30" i="13"/>
  <c r="C29" i="13"/>
  <c r="U25" i="13"/>
  <c r="O24" i="13"/>
  <c r="J23" i="13"/>
  <c r="J22" i="13"/>
  <c r="E19" i="13"/>
  <c r="AA17" i="13"/>
  <c r="V16" i="13"/>
  <c r="S15" i="13"/>
  <c r="Q14" i="13"/>
  <c r="L13" i="13"/>
  <c r="I12" i="13"/>
  <c r="D11" i="13"/>
  <c r="D10" i="13"/>
  <c r="X8" i="13"/>
  <c r="U7" i="13"/>
  <c r="P112" i="12"/>
  <c r="M111" i="12"/>
  <c r="K110" i="12"/>
  <c r="F109" i="12"/>
  <c r="C108" i="12"/>
  <c r="W106" i="12"/>
  <c r="X105" i="12"/>
  <c r="Y104" i="12"/>
  <c r="AA103" i="12"/>
  <c r="F103" i="12"/>
  <c r="J102" i="12"/>
  <c r="M101" i="12"/>
  <c r="Q100" i="12"/>
  <c r="U99" i="12"/>
  <c r="X98" i="12"/>
  <c r="C98" i="12"/>
  <c r="G97" i="12"/>
  <c r="J96" i="12"/>
  <c r="N95" i="12"/>
  <c r="R94" i="12"/>
  <c r="U93" i="12"/>
  <c r="Z92" i="12"/>
  <c r="G92" i="12"/>
  <c r="M91" i="12"/>
  <c r="Q90" i="12"/>
  <c r="W89" i="12"/>
  <c r="C89" i="12"/>
  <c r="I88" i="12"/>
  <c r="O87" i="12"/>
  <c r="S86" i="12"/>
  <c r="X85" i="12"/>
  <c r="E85" i="12"/>
  <c r="L84" i="12"/>
  <c r="S83" i="12"/>
  <c r="Y82" i="12"/>
  <c r="G82" i="12"/>
  <c r="M81" i="12"/>
  <c r="T80" i="12"/>
  <c r="AA79" i="12"/>
  <c r="I79" i="12"/>
  <c r="P78" i="12"/>
  <c r="V77" i="12"/>
  <c r="D77" i="12"/>
  <c r="J76" i="12"/>
  <c r="Q75" i="12"/>
  <c r="X74" i="12"/>
  <c r="F74" i="12"/>
  <c r="M73" i="12"/>
  <c r="S72" i="12"/>
  <c r="Z71" i="12"/>
  <c r="G71" i="12"/>
  <c r="N70" i="12"/>
  <c r="U69" i="12"/>
  <c r="C69" i="12"/>
  <c r="J68" i="12"/>
  <c r="P67" i="12"/>
  <c r="W66" i="12"/>
  <c r="D66" i="12"/>
  <c r="K65" i="12"/>
  <c r="R64" i="12"/>
  <c r="Y63" i="12"/>
  <c r="G63" i="12"/>
  <c r="M62" i="12"/>
  <c r="U61" i="12"/>
  <c r="D61" i="12"/>
  <c r="L60" i="12"/>
  <c r="T59" i="12"/>
  <c r="D59" i="12"/>
  <c r="M58" i="12"/>
  <c r="V57" i="12"/>
  <c r="F57" i="12"/>
  <c r="O56" i="12"/>
  <c r="X53" i="12"/>
  <c r="H53" i="12"/>
  <c r="Q52" i="12"/>
  <c r="Z51" i="12"/>
  <c r="J51" i="12"/>
  <c r="S50" i="12"/>
  <c r="C50" i="12"/>
  <c r="L49" i="12"/>
  <c r="U48" i="12"/>
  <c r="E48" i="12"/>
  <c r="N47" i="12"/>
  <c r="W45" i="12"/>
  <c r="G45" i="12"/>
  <c r="P44" i="12"/>
  <c r="Y43" i="12"/>
  <c r="I43" i="12"/>
  <c r="L6" i="16"/>
  <c r="H17" i="14"/>
  <c r="AA12" i="14"/>
  <c r="V7" i="14"/>
  <c r="H61" i="13"/>
  <c r="S58" i="13"/>
  <c r="E56" i="13"/>
  <c r="P53" i="13"/>
  <c r="AA48" i="13"/>
  <c r="M46" i="13"/>
  <c r="X43" i="13"/>
  <c r="Z41" i="13"/>
  <c r="O40" i="13"/>
  <c r="F39" i="13"/>
  <c r="O35" i="13"/>
  <c r="F34" i="13"/>
  <c r="U32" i="13"/>
  <c r="N31" i="13"/>
  <c r="G30" i="13"/>
  <c r="Y26" i="13"/>
  <c r="R25" i="13"/>
  <c r="N24" i="13"/>
  <c r="I23" i="13"/>
  <c r="F22" i="13"/>
  <c r="D19" i="13"/>
  <c r="X17" i="13"/>
  <c r="U16" i="13"/>
  <c r="P15" i="13"/>
  <c r="P14" i="13"/>
  <c r="K13" i="13"/>
  <c r="H12" i="13"/>
  <c r="C11" i="13"/>
  <c r="Y9" i="13"/>
  <c r="W8" i="13"/>
  <c r="R7" i="13"/>
  <c r="O112" i="12"/>
  <c r="J111" i="12"/>
  <c r="J110" i="12"/>
  <c r="E109" i="12"/>
  <c r="AA107" i="12"/>
  <c r="V106" i="12"/>
  <c r="W105" i="12"/>
  <c r="X104" i="12"/>
  <c r="Z103" i="12"/>
  <c r="E103" i="12"/>
  <c r="I102" i="12"/>
  <c r="L101" i="12"/>
  <c r="P100" i="12"/>
  <c r="T99" i="12"/>
  <c r="W98" i="12"/>
  <c r="AA97" i="12"/>
  <c r="F97" i="12"/>
  <c r="I96" i="12"/>
  <c r="M95" i="12"/>
  <c r="Q94" i="12"/>
  <c r="T93" i="12"/>
  <c r="Y92" i="12"/>
  <c r="F92" i="12"/>
  <c r="L91" i="12"/>
  <c r="P90" i="12"/>
  <c r="U89" i="12"/>
  <c r="AA88" i="12"/>
  <c r="H88" i="12"/>
  <c r="L87" i="12"/>
  <c r="R86" i="12"/>
  <c r="W85" i="12"/>
  <c r="D85" i="12"/>
  <c r="K84" i="12"/>
  <c r="R83" i="12"/>
  <c r="X82" i="12"/>
  <c r="F82" i="12"/>
  <c r="L81" i="12"/>
  <c r="S80" i="12"/>
  <c r="Z79" i="12"/>
  <c r="H79" i="12"/>
  <c r="O78" i="12"/>
  <c r="U77" i="12"/>
  <c r="C77" i="12"/>
  <c r="I76" i="12"/>
  <c r="P75" i="12"/>
  <c r="W74" i="12"/>
  <c r="E74" i="12"/>
  <c r="L73" i="12"/>
  <c r="R72" i="12"/>
  <c r="Y71" i="12"/>
  <c r="F71" i="12"/>
  <c r="M70" i="12"/>
  <c r="T69" i="12"/>
  <c r="AA68" i="12"/>
  <c r="I68" i="12"/>
  <c r="O67" i="12"/>
  <c r="V66" i="12"/>
  <c r="C66" i="12"/>
  <c r="J65" i="12"/>
  <c r="Q64" i="12"/>
  <c r="X63" i="12"/>
  <c r="F63" i="12"/>
  <c r="L62" i="12"/>
  <c r="T61" i="12"/>
  <c r="C61" i="12"/>
  <c r="K60" i="12"/>
  <c r="S59" i="12"/>
  <c r="C59" i="12"/>
  <c r="L58" i="12"/>
  <c r="U57" i="12"/>
  <c r="E57" i="12"/>
  <c r="N56" i="12"/>
  <c r="W53" i="12"/>
  <c r="G53" i="12"/>
  <c r="P52" i="12"/>
  <c r="Y51" i="12"/>
  <c r="I51" i="12"/>
  <c r="R50" i="12"/>
  <c r="K6" i="16"/>
  <c r="G17" i="14"/>
  <c r="Z12" i="14"/>
  <c r="U7" i="14"/>
  <c r="G61" i="13"/>
  <c r="R58" i="13"/>
  <c r="D56" i="13"/>
  <c r="O53" i="13"/>
  <c r="Z48" i="13"/>
  <c r="L46" i="13"/>
  <c r="W43" i="13"/>
  <c r="Y41" i="13"/>
  <c r="N40" i="13"/>
  <c r="W36" i="13"/>
  <c r="N35" i="13"/>
  <c r="C34" i="13"/>
  <c r="T32" i="13"/>
  <c r="M31" i="13"/>
  <c r="F30" i="13"/>
  <c r="X26" i="13"/>
  <c r="Q25" i="13"/>
  <c r="K24" i="13"/>
  <c r="H23" i="13"/>
  <c r="C22" i="13"/>
  <c r="C19" i="13"/>
  <c r="W17" i="13"/>
  <c r="T16" i="13"/>
  <c r="O15" i="13"/>
  <c r="L14" i="13"/>
  <c r="J13" i="13"/>
  <c r="E12" i="13"/>
  <c r="AA10" i="13"/>
  <c r="V9" i="13"/>
  <c r="V8" i="13"/>
  <c r="Q7" i="13"/>
  <c r="N112" i="12"/>
  <c r="I111" i="12"/>
  <c r="F110" i="12"/>
  <c r="D109" i="12"/>
  <c r="X107" i="12"/>
  <c r="U106" i="12"/>
  <c r="U105" i="12"/>
  <c r="W104" i="12"/>
  <c r="Y103" i="12"/>
  <c r="D103" i="12"/>
  <c r="H102" i="12"/>
  <c r="K101" i="12"/>
  <c r="O100" i="12"/>
  <c r="S99" i="12"/>
  <c r="V98" i="12"/>
  <c r="Z97" i="12"/>
  <c r="E97" i="12"/>
  <c r="H96" i="12"/>
  <c r="L95" i="12"/>
  <c r="P94" i="12"/>
  <c r="S93" i="12"/>
  <c r="X92" i="12"/>
  <c r="E92" i="12"/>
  <c r="K91" i="12"/>
  <c r="O90" i="12"/>
  <c r="T89" i="12"/>
  <c r="Z88" i="12"/>
  <c r="G88" i="12"/>
  <c r="K87" i="12"/>
  <c r="P86" i="12"/>
  <c r="V85" i="12"/>
  <c r="C85" i="12"/>
  <c r="J84" i="12"/>
  <c r="P83" i="12"/>
  <c r="W82" i="12"/>
  <c r="D82" i="12"/>
  <c r="K81" i="12"/>
  <c r="R80" i="12"/>
  <c r="Y79" i="12"/>
  <c r="G79" i="12"/>
  <c r="M78" i="12"/>
  <c r="T77" i="12"/>
  <c r="Z76" i="12"/>
  <c r="H76" i="12"/>
  <c r="O75" i="12"/>
  <c r="V74" i="12"/>
  <c r="D74" i="12"/>
  <c r="J73" i="12"/>
  <c r="Q72" i="12"/>
  <c r="W71" i="12"/>
  <c r="E71" i="12"/>
  <c r="L70" i="12"/>
  <c r="S69" i="12"/>
  <c r="Z68" i="12"/>
  <c r="G68" i="12"/>
  <c r="N67" i="12"/>
  <c r="T66" i="12"/>
  <c r="AA65" i="12"/>
  <c r="I65" i="12"/>
  <c r="P64" i="12"/>
  <c r="W63" i="12"/>
  <c r="D63" i="12"/>
  <c r="K62" i="12"/>
  <c r="S61" i="12"/>
  <c r="AA60" i="12"/>
  <c r="J60" i="12"/>
  <c r="R59" i="12"/>
  <c r="AA58" i="12"/>
  <c r="K58" i="12"/>
  <c r="T57" i="12"/>
  <c r="D57" i="12"/>
  <c r="M56" i="12"/>
  <c r="V53" i="12"/>
  <c r="F53" i="12"/>
  <c r="O52" i="12"/>
  <c r="X51" i="12"/>
  <c r="H51" i="12"/>
  <c r="Q50" i="12"/>
  <c r="Z49" i="12"/>
  <c r="J49" i="12"/>
  <c r="S48" i="12"/>
  <c r="C48" i="12"/>
  <c r="L47" i="12"/>
  <c r="U45" i="12"/>
  <c r="E45" i="12"/>
  <c r="N44" i="12"/>
  <c r="W43" i="12"/>
  <c r="G43" i="12"/>
  <c r="P42" i="12"/>
  <c r="Y41" i="12"/>
  <c r="I41" i="12"/>
  <c r="R40" i="12"/>
  <c r="AA39" i="12"/>
  <c r="K39" i="12"/>
  <c r="T38" i="12"/>
  <c r="D38" i="12"/>
  <c r="M37" i="12"/>
  <c r="V36" i="12"/>
  <c r="F36" i="12"/>
  <c r="O34" i="12"/>
  <c r="P6" i="15"/>
  <c r="F17" i="14"/>
  <c r="L12" i="14"/>
  <c r="Q7" i="14"/>
  <c r="C61" i="13"/>
  <c r="N58" i="13"/>
  <c r="Y55" i="13"/>
  <c r="K53" i="13"/>
  <c r="V48" i="13"/>
  <c r="H46" i="13"/>
  <c r="S43" i="13"/>
  <c r="V41" i="13"/>
  <c r="M40" i="13"/>
  <c r="V36" i="13"/>
  <c r="M35" i="13"/>
  <c r="AA33" i="13"/>
  <c r="S32" i="13"/>
  <c r="L31" i="13"/>
  <c r="E30" i="13"/>
  <c r="W26" i="13"/>
  <c r="P25" i="13"/>
  <c r="J24" i="13"/>
  <c r="G23" i="13"/>
  <c r="AA19" i="13"/>
  <c r="X18" i="13"/>
  <c r="V17" i="13"/>
  <c r="Q16" i="13"/>
  <c r="N15" i="13"/>
  <c r="I14" i="13"/>
  <c r="I13" i="13"/>
  <c r="D12" i="13"/>
  <c r="Z10" i="13"/>
  <c r="U9" i="13"/>
  <c r="R8" i="13"/>
  <c r="P7" i="13"/>
  <c r="K112" i="12"/>
  <c r="H111" i="12"/>
  <c r="C110" i="12"/>
  <c r="C109" i="12"/>
  <c r="W107" i="12"/>
  <c r="T106" i="12"/>
  <c r="T105" i="12"/>
  <c r="V104" i="12"/>
  <c r="W103" i="12"/>
  <c r="AA102" i="12"/>
  <c r="E102" i="12"/>
  <c r="I101" i="12"/>
  <c r="M100" i="12"/>
  <c r="P99" i="12"/>
  <c r="T98" i="12"/>
  <c r="X97" i="12"/>
  <c r="AA96" i="12"/>
  <c r="F96" i="12"/>
  <c r="J95" i="12"/>
  <c r="M94" i="12"/>
  <c r="Q93" i="12"/>
  <c r="W92" i="12"/>
  <c r="D92" i="12"/>
  <c r="H91" i="12"/>
  <c r="N90" i="12"/>
  <c r="S89" i="12"/>
  <c r="Y88" i="12"/>
  <c r="F88" i="12"/>
  <c r="J87" i="12"/>
  <c r="O86" i="12"/>
  <c r="U85" i="12"/>
  <c r="AA84" i="12"/>
  <c r="I84" i="12"/>
  <c r="O83" i="12"/>
  <c r="V82" i="12"/>
  <c r="O6" i="15"/>
  <c r="Q16" i="14"/>
  <c r="K12" i="14"/>
  <c r="G7" i="14"/>
  <c r="R60" i="13"/>
  <c r="D58" i="13"/>
  <c r="O55" i="13"/>
  <c r="Z52" i="13"/>
  <c r="L48" i="13"/>
  <c r="W45" i="13"/>
  <c r="J43" i="13"/>
  <c r="U41" i="13"/>
  <c r="E40" i="13"/>
  <c r="U36" i="13"/>
  <c r="J35" i="13"/>
  <c r="Z33" i="13"/>
  <c r="N32" i="13"/>
  <c r="G31" i="13"/>
  <c r="Y29" i="13"/>
  <c r="R26" i="13"/>
  <c r="K25" i="13"/>
  <c r="I24" i="13"/>
  <c r="D23" i="13"/>
  <c r="Z19" i="13"/>
  <c r="U18" i="13"/>
  <c r="U17" i="13"/>
  <c r="P16" i="13"/>
  <c r="M15" i="13"/>
  <c r="H14" i="13"/>
  <c r="E13" i="13"/>
  <c r="C12" i="13"/>
  <c r="W10" i="13"/>
  <c r="T9" i="13"/>
  <c r="O8" i="13"/>
  <c r="O7" i="13"/>
  <c r="J112" i="12"/>
  <c r="G111" i="12"/>
  <c r="AA109" i="12"/>
  <c r="X108" i="12"/>
  <c r="V107" i="12"/>
  <c r="Q106" i="12"/>
  <c r="S105" i="12"/>
  <c r="S104" i="12"/>
  <c r="V103" i="12"/>
  <c r="Z102" i="12"/>
  <c r="D102" i="12"/>
  <c r="H101" i="12"/>
  <c r="L100" i="12"/>
  <c r="O99" i="12"/>
  <c r="S98" i="12"/>
  <c r="W97" i="12"/>
  <c r="Z96" i="12"/>
  <c r="E96" i="12"/>
  <c r="I95" i="12"/>
  <c r="L94" i="12"/>
  <c r="P93" i="12"/>
  <c r="V92" i="12"/>
  <c r="C92" i="12"/>
  <c r="G91" i="12"/>
  <c r="L90" i="12"/>
  <c r="R89" i="12"/>
  <c r="X88" i="12"/>
  <c r="C88" i="12"/>
  <c r="I87" i="12"/>
  <c r="N86" i="12"/>
  <c r="T85" i="12"/>
  <c r="Z84" i="12"/>
  <c r="G84" i="12"/>
  <c r="N83" i="12"/>
  <c r="T82" i="12"/>
  <c r="AA81" i="12"/>
  <c r="I81" i="12"/>
  <c r="P80" i="12"/>
  <c r="W79" i="12"/>
  <c r="D79" i="12"/>
  <c r="K78" i="12"/>
  <c r="Q77" i="12"/>
  <c r="X76" i="12"/>
  <c r="F76" i="12"/>
  <c r="M75" i="12"/>
  <c r="T74" i="12"/>
  <c r="Z73" i="12"/>
  <c r="H73" i="12"/>
  <c r="N72" i="12"/>
  <c r="U71" i="12"/>
  <c r="C71" i="12"/>
  <c r="J70" i="12"/>
  <c r="Q69" i="12"/>
  <c r="W68" i="12"/>
  <c r="E68" i="12"/>
  <c r="K67" i="12"/>
  <c r="R66" i="12"/>
  <c r="Y65" i="12"/>
  <c r="G65" i="12"/>
  <c r="N64" i="12"/>
  <c r="T63" i="12"/>
  <c r="AA62" i="12"/>
  <c r="I62" i="12"/>
  <c r="Q61" i="12"/>
  <c r="Y60" i="12"/>
  <c r="H60" i="12"/>
  <c r="P59" i="12"/>
  <c r="Y58" i="12"/>
  <c r="Y19" i="14"/>
  <c r="P16" i="14"/>
  <c r="J12" i="14"/>
  <c r="F7" i="14"/>
  <c r="Q60" i="13"/>
  <c r="C58" i="13"/>
  <c r="N55" i="13"/>
  <c r="Y52" i="13"/>
  <c r="K48" i="13"/>
  <c r="V45" i="13"/>
  <c r="I43" i="13"/>
  <c r="T41" i="13"/>
  <c r="D40" i="13"/>
  <c r="T36" i="13"/>
  <c r="I35" i="13"/>
  <c r="R33" i="13"/>
  <c r="K32" i="13"/>
  <c r="D31" i="13"/>
  <c r="V29" i="13"/>
  <c r="O26" i="13"/>
  <c r="H25" i="13"/>
  <c r="H24" i="13"/>
  <c r="C23" i="13"/>
  <c r="Y19" i="13"/>
  <c r="T18" i="13"/>
  <c r="Q17" i="13"/>
  <c r="O16" i="13"/>
  <c r="J15" i="13"/>
  <c r="G14" i="13"/>
  <c r="AA12" i="13"/>
  <c r="AA11" i="13"/>
  <c r="V10" i="13"/>
  <c r="S9" i="13"/>
  <c r="N8" i="13"/>
  <c r="K7" i="13"/>
  <c r="I112" i="12"/>
  <c r="D111" i="12"/>
  <c r="Z109" i="12"/>
  <c r="U108" i="12"/>
  <c r="U107" i="12"/>
  <c r="P106" i="12"/>
  <c r="P105" i="12"/>
  <c r="R104" i="12"/>
  <c r="U103" i="12"/>
  <c r="Y102" i="12"/>
  <c r="C102" i="12"/>
  <c r="G101" i="12"/>
  <c r="K100" i="12"/>
  <c r="N99" i="12"/>
  <c r="R98" i="12"/>
  <c r="V97" i="12"/>
  <c r="Y96" i="12"/>
  <c r="D96" i="12"/>
  <c r="H95" i="12"/>
  <c r="K94" i="12"/>
  <c r="O93" i="12"/>
  <c r="U92" i="12"/>
  <c r="AA91" i="12"/>
  <c r="F91" i="12"/>
  <c r="K90" i="12"/>
  <c r="Q89" i="12"/>
  <c r="W88" i="12"/>
  <c r="AA87" i="12"/>
  <c r="G87" i="12"/>
  <c r="M86" i="12"/>
  <c r="S85" i="12"/>
  <c r="Y84" i="12"/>
  <c r="F84" i="12"/>
  <c r="M83" i="12"/>
  <c r="S82" i="12"/>
  <c r="Z81" i="12"/>
  <c r="H81" i="12"/>
  <c r="O80" i="12"/>
  <c r="V79" i="12"/>
  <c r="C79" i="12"/>
  <c r="J78" i="12"/>
  <c r="P77" i="12"/>
  <c r="W76" i="12"/>
  <c r="E76" i="12"/>
  <c r="L75" i="12"/>
  <c r="S74" i="12"/>
  <c r="Y73" i="12"/>
  <c r="G73" i="12"/>
  <c r="M72" i="12"/>
  <c r="T71" i="12"/>
  <c r="AA70" i="12"/>
  <c r="I70" i="12"/>
  <c r="P69" i="12"/>
  <c r="V68" i="12"/>
  <c r="D68" i="12"/>
  <c r="J67" i="12"/>
  <c r="Q66" i="12"/>
  <c r="X65" i="12"/>
  <c r="H19" i="14"/>
  <c r="Y14" i="14"/>
  <c r="S11" i="14"/>
  <c r="P62" i="13"/>
  <c r="AA59" i="13"/>
  <c r="M57" i="13"/>
  <c r="X54" i="13"/>
  <c r="J52" i="13"/>
  <c r="U47" i="13"/>
  <c r="G45" i="13"/>
  <c r="C43" i="13"/>
  <c r="J41" i="13"/>
  <c r="X39" i="13"/>
  <c r="O36" i="13"/>
  <c r="X34" i="13"/>
  <c r="O33" i="13"/>
  <c r="H32" i="13"/>
  <c r="Z30" i="13"/>
  <c r="S29" i="13"/>
  <c r="L26" i="13"/>
  <c r="E25" i="13"/>
  <c r="Y23" i="13"/>
  <c r="V22" i="13"/>
  <c r="T19" i="13"/>
  <c r="O18" i="13"/>
  <c r="L17" i="13"/>
  <c r="G16" i="13"/>
  <c r="G15" i="13"/>
  <c r="AA13" i="13"/>
  <c r="X12" i="13"/>
  <c r="S11" i="13"/>
  <c r="P10" i="13"/>
  <c r="N9" i="13"/>
  <c r="I8" i="13"/>
  <c r="F7" i="13"/>
  <c r="Z111" i="12"/>
  <c r="Z110" i="12"/>
  <c r="U109" i="12"/>
  <c r="R108" i="12"/>
  <c r="M107" i="12"/>
  <c r="L106" i="12"/>
  <c r="M105" i="12"/>
  <c r="N104" i="12"/>
  <c r="Q103" i="12"/>
  <c r="T102" i="12"/>
  <c r="X101" i="12"/>
  <c r="C101" i="12"/>
  <c r="F100" i="12"/>
  <c r="J99" i="12"/>
  <c r="N98" i="12"/>
  <c r="Q97" i="12"/>
  <c r="U96" i="12"/>
  <c r="Y95" i="12"/>
  <c r="C95" i="12"/>
  <c r="G94" i="12"/>
  <c r="L93" i="12"/>
  <c r="R92" i="12"/>
  <c r="V91" i="12"/>
  <c r="AA90" i="12"/>
  <c r="H90" i="12"/>
  <c r="N89" i="12"/>
  <c r="R88" i="12"/>
  <c r="W87" i="12"/>
  <c r="D87" i="12"/>
  <c r="J86" i="12"/>
  <c r="N85" i="12"/>
  <c r="U84" i="12"/>
  <c r="AA83" i="12"/>
  <c r="I83" i="12"/>
  <c r="P82" i="12"/>
  <c r="W81" i="12"/>
  <c r="E81" i="12"/>
  <c r="K80" i="12"/>
  <c r="R79" i="12"/>
  <c r="X78" i="12"/>
  <c r="F78" i="12"/>
  <c r="M77" i="12"/>
  <c r="T76" i="12"/>
  <c r="AA75" i="12"/>
  <c r="H75" i="12"/>
  <c r="O74" i="12"/>
  <c r="U73" i="12"/>
  <c r="C73" i="12"/>
  <c r="J72" i="12"/>
  <c r="Q71" i="12"/>
  <c r="X70" i="12"/>
  <c r="E70" i="12"/>
  <c r="L69" i="12"/>
  <c r="R68" i="12"/>
  <c r="Y67" i="12"/>
  <c r="G67" i="12"/>
  <c r="N66" i="12"/>
  <c r="U65" i="12"/>
  <c r="AA64" i="12"/>
  <c r="I64" i="12"/>
  <c r="O63" i="12"/>
  <c r="V62" i="12"/>
  <c r="E62" i="12"/>
  <c r="M61" i="12"/>
  <c r="U60" i="12"/>
  <c r="D60" i="12"/>
  <c r="L59" i="12"/>
  <c r="U58" i="12"/>
  <c r="E58" i="12"/>
  <c r="N57" i="12"/>
  <c r="W56" i="12"/>
  <c r="G56" i="12"/>
  <c r="P53" i="12"/>
  <c r="Y52" i="12"/>
  <c r="I52" i="12"/>
  <c r="F19" i="14"/>
  <c r="J14" i="14"/>
  <c r="D11" i="14"/>
  <c r="N62" i="13"/>
  <c r="Y59" i="13"/>
  <c r="K57" i="13"/>
  <c r="V54" i="13"/>
  <c r="H52" i="13"/>
  <c r="S47" i="13"/>
  <c r="E45" i="13"/>
  <c r="R42" i="13"/>
  <c r="F41" i="13"/>
  <c r="V39" i="13"/>
  <c r="F36" i="13"/>
  <c r="V34" i="13"/>
  <c r="K33" i="13"/>
  <c r="D32" i="13"/>
  <c r="V30" i="13"/>
  <c r="O29" i="13"/>
  <c r="H26" i="13"/>
  <c r="Z24" i="13"/>
  <c r="W23" i="13"/>
  <c r="R22" i="13"/>
  <c r="O19" i="13"/>
  <c r="M18" i="13"/>
  <c r="H17" i="13"/>
  <c r="E16" i="13"/>
  <c r="Y14" i="13"/>
  <c r="Y13" i="13"/>
  <c r="T12" i="13"/>
  <c r="Q11" i="13"/>
  <c r="L10" i="13"/>
  <c r="I9" i="13"/>
  <c r="G8" i="13"/>
  <c r="AA112" i="12"/>
  <c r="X111" i="12"/>
  <c r="S110" i="12"/>
  <c r="S109" i="12"/>
  <c r="N108" i="12"/>
  <c r="K107" i="12"/>
  <c r="G106" i="12"/>
  <c r="I105" i="12"/>
  <c r="L104" i="12"/>
  <c r="O103" i="12"/>
  <c r="R102" i="12"/>
  <c r="V101" i="12"/>
  <c r="Z100" i="12"/>
  <c r="D100" i="12"/>
  <c r="H99" i="12"/>
  <c r="L98" i="12"/>
  <c r="O97" i="12"/>
  <c r="S96" i="12"/>
  <c r="W95" i="12"/>
  <c r="Z94" i="12"/>
  <c r="E94" i="12"/>
  <c r="J93" i="12"/>
  <c r="N92" i="12"/>
  <c r="S91" i="12"/>
  <c r="Y90" i="12"/>
  <c r="F90" i="12"/>
  <c r="J89" i="12"/>
  <c r="P88" i="12"/>
  <c r="U87" i="12"/>
  <c r="AA86" i="12"/>
  <c r="H86" i="12"/>
  <c r="L85" i="12"/>
  <c r="R84" i="12"/>
  <c r="Y83" i="12"/>
  <c r="G83" i="12"/>
  <c r="N82" i="12"/>
  <c r="U81" i="12"/>
  <c r="AA80" i="12"/>
  <c r="I80" i="12"/>
  <c r="O79" i="12"/>
  <c r="V78" i="12"/>
  <c r="D78" i="12"/>
  <c r="K77" i="12"/>
  <c r="R76" i="12"/>
  <c r="X75" i="12"/>
  <c r="F75" i="12"/>
  <c r="L74" i="12"/>
  <c r="S73" i="12"/>
  <c r="Z72" i="12"/>
  <c r="H72" i="12"/>
  <c r="O71" i="12"/>
  <c r="U70" i="12"/>
  <c r="C70" i="12"/>
  <c r="I69" i="12"/>
  <c r="P68" i="12"/>
  <c r="W67" i="12"/>
  <c r="E67" i="12"/>
  <c r="L66" i="12"/>
  <c r="R65" i="12"/>
  <c r="Y64" i="12"/>
  <c r="F64" i="12"/>
  <c r="M63" i="12"/>
  <c r="T62" i="12"/>
  <c r="C62" i="12"/>
  <c r="K61" i="12"/>
  <c r="S60" i="12"/>
  <c r="AA59" i="12"/>
  <c r="J59" i="12"/>
  <c r="S58" i="12"/>
  <c r="C58" i="12"/>
  <c r="L57" i="12"/>
  <c r="U56" i="12"/>
  <c r="E56" i="12"/>
  <c r="N53" i="12"/>
  <c r="W52" i="12"/>
  <c r="G52" i="12"/>
  <c r="P51" i="12"/>
  <c r="Y50" i="12"/>
  <c r="I50" i="12"/>
  <c r="R49" i="12"/>
  <c r="AA48" i="12"/>
  <c r="K48" i="12"/>
  <c r="T47" i="12"/>
  <c r="D47" i="12"/>
  <c r="M45" i="12"/>
  <c r="V44" i="12"/>
  <c r="F44" i="12"/>
  <c r="O43" i="12"/>
  <c r="X42" i="12"/>
  <c r="H42" i="12"/>
  <c r="Q41" i="12"/>
  <c r="Z40" i="12"/>
  <c r="J40" i="12"/>
  <c r="S39" i="12"/>
  <c r="C39" i="12"/>
  <c r="L38" i="12"/>
  <c r="U37" i="12"/>
  <c r="E37" i="12"/>
  <c r="N36" i="12"/>
  <c r="W34" i="12"/>
  <c r="G34" i="12"/>
  <c r="P33" i="12"/>
  <c r="Y32" i="12"/>
  <c r="I32" i="12"/>
  <c r="R31" i="12"/>
  <c r="AA30" i="12"/>
  <c r="K30" i="12"/>
  <c r="T29" i="12"/>
  <c r="D29" i="12"/>
  <c r="M28" i="12"/>
  <c r="V27" i="12"/>
  <c r="F27" i="12"/>
  <c r="O26" i="12"/>
  <c r="X25" i="12"/>
  <c r="H25" i="12"/>
  <c r="Q24" i="12"/>
  <c r="Z22" i="12"/>
  <c r="J22" i="12"/>
  <c r="S21" i="12"/>
  <c r="C21" i="12"/>
  <c r="L20" i="12"/>
  <c r="U19" i="12"/>
  <c r="E19" i="12"/>
  <c r="N18" i="12"/>
  <c r="W17" i="12"/>
  <c r="G17" i="12"/>
  <c r="P16" i="12"/>
  <c r="Y15" i="12"/>
  <c r="I15" i="12"/>
  <c r="R13" i="12"/>
  <c r="AA12" i="12"/>
  <c r="K12" i="12"/>
  <c r="T11" i="12"/>
  <c r="D11" i="12"/>
  <c r="M10" i="12"/>
  <c r="V9" i="12"/>
  <c r="F9" i="12"/>
  <c r="O8" i="12"/>
  <c r="V64" i="11"/>
  <c r="F64" i="11"/>
  <c r="M63" i="11"/>
  <c r="T62" i="11"/>
  <c r="D62" i="11"/>
  <c r="K61" i="11"/>
  <c r="R60" i="11"/>
  <c r="Y59" i="11"/>
  <c r="I59" i="11"/>
  <c r="P58" i="11"/>
  <c r="W57" i="11"/>
  <c r="G57" i="11"/>
  <c r="N56" i="11"/>
  <c r="U55" i="11"/>
  <c r="E55" i="11"/>
  <c r="L54" i="11"/>
  <c r="S53" i="11"/>
  <c r="C53" i="11"/>
  <c r="J49" i="11"/>
  <c r="Q48" i="11"/>
  <c r="X47" i="11"/>
  <c r="H47" i="11"/>
  <c r="O46" i="11"/>
  <c r="V44" i="11"/>
  <c r="F44" i="11"/>
  <c r="M43" i="11"/>
  <c r="T42" i="11"/>
  <c r="D42" i="11"/>
  <c r="K41" i="11"/>
  <c r="R39" i="11"/>
  <c r="Y38" i="11"/>
  <c r="I38" i="11"/>
  <c r="P37" i="11"/>
  <c r="W35" i="11"/>
  <c r="G35" i="11"/>
  <c r="N34" i="11"/>
  <c r="U33" i="11"/>
  <c r="E33" i="11"/>
  <c r="L32" i="11"/>
  <c r="S31" i="11"/>
  <c r="C31" i="11"/>
  <c r="J30" i="11"/>
  <c r="Q29" i="11"/>
  <c r="X28" i="11"/>
  <c r="H28" i="11"/>
  <c r="O27" i="11"/>
  <c r="V26" i="11"/>
  <c r="F26" i="11"/>
  <c r="M25" i="11"/>
  <c r="T24" i="11"/>
  <c r="D24" i="11"/>
  <c r="K23" i="11"/>
  <c r="R22" i="11"/>
  <c r="Y21" i="11"/>
  <c r="I21" i="11"/>
  <c r="P20" i="11"/>
  <c r="W19" i="11"/>
  <c r="G19" i="11"/>
  <c r="N18" i="11"/>
  <c r="U17" i="11"/>
  <c r="E17" i="11"/>
  <c r="L16" i="11"/>
  <c r="S15" i="11"/>
  <c r="C15" i="11"/>
  <c r="J14" i="11"/>
  <c r="Q13" i="11"/>
  <c r="X12" i="11"/>
  <c r="H12" i="11"/>
  <c r="O11" i="11"/>
  <c r="V10" i="11"/>
  <c r="F10" i="11"/>
  <c r="M9" i="11"/>
  <c r="T8" i="11"/>
  <c r="D8" i="11"/>
  <c r="K7" i="11"/>
  <c r="R6" i="11"/>
  <c r="O62" i="13"/>
  <c r="U45" i="13"/>
  <c r="Y34" i="13"/>
  <c r="I26" i="13"/>
  <c r="N17" i="13"/>
  <c r="T11" i="13"/>
  <c r="Y111" i="12"/>
  <c r="O105" i="12"/>
  <c r="D101" i="12"/>
  <c r="T96" i="12"/>
  <c r="X91" i="12"/>
  <c r="Y87" i="12"/>
  <c r="Z83" i="12"/>
  <c r="N80" i="12"/>
  <c r="O77" i="12"/>
  <c r="Q74" i="12"/>
  <c r="S71" i="12"/>
  <c r="U68" i="12"/>
  <c r="I66" i="12"/>
  <c r="H64" i="12"/>
  <c r="G62" i="12"/>
  <c r="I60" i="12"/>
  <c r="T58" i="12"/>
  <c r="C57" i="12"/>
  <c r="S53" i="12"/>
  <c r="J52" i="12"/>
  <c r="AA50" i="12"/>
  <c r="U49" i="12"/>
  <c r="Q48" i="12"/>
  <c r="S47" i="12"/>
  <c r="Q45" i="12"/>
  <c r="O44" i="12"/>
  <c r="Q43" i="12"/>
  <c r="O42" i="12"/>
  <c r="S41" i="12"/>
  <c r="S40" i="12"/>
  <c r="V39" i="12"/>
  <c r="V38" i="12"/>
  <c r="Y37" i="12"/>
  <c r="C37" i="12"/>
  <c r="C36" i="12"/>
  <c r="F34" i="12"/>
  <c r="H33" i="12"/>
  <c r="M32" i="12"/>
  <c r="Q31" i="12"/>
  <c r="S30" i="12"/>
  <c r="X29" i="12"/>
  <c r="C29" i="12"/>
  <c r="E28" i="12"/>
  <c r="J27" i="12"/>
  <c r="N26" i="12"/>
  <c r="P25" i="12"/>
  <c r="U24" i="12"/>
  <c r="Y22" i="12"/>
  <c r="AA21" i="12"/>
  <c r="G21" i="12"/>
  <c r="K20" i="12"/>
  <c r="M19" i="12"/>
  <c r="R18" i="12"/>
  <c r="V17" i="12"/>
  <c r="X16" i="12"/>
  <c r="D16" i="12"/>
  <c r="J15" i="12"/>
  <c r="N13" i="12"/>
  <c r="S12" i="12"/>
  <c r="Y11" i="12"/>
  <c r="F11" i="12"/>
  <c r="K10" i="12"/>
  <c r="O9" i="12"/>
  <c r="U8" i="12"/>
  <c r="Y64" i="11"/>
  <c r="E64" i="11"/>
  <c r="H63" i="11"/>
  <c r="N62" i="11"/>
  <c r="T61" i="11"/>
  <c r="C61" i="11"/>
  <c r="I60" i="11"/>
  <c r="O59" i="11"/>
  <c r="U58" i="11"/>
  <c r="D58" i="11"/>
  <c r="J57" i="11"/>
  <c r="P56" i="11"/>
  <c r="V55" i="11"/>
  <c r="D55" i="11"/>
  <c r="J54" i="11"/>
  <c r="P53" i="11"/>
  <c r="V49" i="11"/>
  <c r="E49" i="11"/>
  <c r="K48" i="11"/>
  <c r="Q47" i="11"/>
  <c r="W46" i="11"/>
  <c r="F46" i="11"/>
  <c r="L44" i="11"/>
  <c r="R43" i="11"/>
  <c r="X42" i="11"/>
  <c r="G42" i="11"/>
  <c r="M41" i="11"/>
  <c r="S39" i="11"/>
  <c r="X38" i="11"/>
  <c r="G38" i="11"/>
  <c r="M37" i="11"/>
  <c r="S35" i="11"/>
  <c r="Y34" i="11"/>
  <c r="H34" i="11"/>
  <c r="N33" i="11"/>
  <c r="T32" i="11"/>
  <c r="C32" i="11"/>
  <c r="I31" i="11"/>
  <c r="O30" i="11"/>
  <c r="U29" i="11"/>
  <c r="D29" i="11"/>
  <c r="J28" i="11"/>
  <c r="P27" i="11"/>
  <c r="U26" i="11"/>
  <c r="D26" i="11"/>
  <c r="J25" i="11"/>
  <c r="P24" i="11"/>
  <c r="V23" i="11"/>
  <c r="E23" i="11"/>
  <c r="K22" i="11"/>
  <c r="Q21" i="11"/>
  <c r="W20" i="11"/>
  <c r="F20" i="11"/>
  <c r="L19" i="11"/>
  <c r="R18" i="11"/>
  <c r="X17" i="11"/>
  <c r="G17" i="11"/>
  <c r="M16" i="11"/>
  <c r="R15" i="11"/>
  <c r="X14" i="11"/>
  <c r="G14" i="11"/>
  <c r="M13" i="11"/>
  <c r="S12" i="11"/>
  <c r="Y11" i="11"/>
  <c r="H11" i="11"/>
  <c r="N10" i="11"/>
  <c r="T9" i="11"/>
  <c r="C9" i="11"/>
  <c r="I8" i="11"/>
  <c r="O7" i="11"/>
  <c r="U6" i="11"/>
  <c r="D6" i="11"/>
  <c r="P60" i="13"/>
  <c r="Q45" i="13"/>
  <c r="W34" i="13"/>
  <c r="G25" i="13"/>
  <c r="M17" i="13"/>
  <c r="R11" i="13"/>
  <c r="C111" i="12"/>
  <c r="N105" i="12"/>
  <c r="AA100" i="12"/>
  <c r="C96" i="12"/>
  <c r="W91" i="12"/>
  <c r="V87" i="12"/>
  <c r="K83" i="12"/>
  <c r="M80" i="12"/>
  <c r="N77" i="12"/>
  <c r="P74" i="12"/>
  <c r="R71" i="12"/>
  <c r="T68" i="12"/>
  <c r="Z65" i="12"/>
  <c r="D64" i="12"/>
  <c r="F62" i="12"/>
  <c r="G60" i="12"/>
  <c r="Q58" i="12"/>
  <c r="AA56" i="12"/>
  <c r="R53" i="12"/>
  <c r="H52" i="12"/>
  <c r="Z50" i="12"/>
  <c r="T49" i="12"/>
  <c r="P48" i="12"/>
  <c r="R47" i="12"/>
  <c r="P45" i="12"/>
  <c r="M44" i="12"/>
  <c r="P43" i="12"/>
  <c r="N42" i="12"/>
  <c r="R41" i="12"/>
  <c r="Q40" i="12"/>
  <c r="U39" i="12"/>
  <c r="U38" i="12"/>
  <c r="X37" i="12"/>
  <c r="X36" i="12"/>
  <c r="AA34" i="12"/>
  <c r="E34" i="12"/>
  <c r="G33" i="12"/>
  <c r="L32" i="12"/>
  <c r="P31" i="12"/>
  <c r="R30" i="12"/>
  <c r="W29" i="12"/>
  <c r="AA28" i="12"/>
  <c r="D28" i="12"/>
  <c r="I27" i="12"/>
  <c r="M26" i="12"/>
  <c r="O25" i="12"/>
  <c r="T24" i="12"/>
  <c r="X22" i="12"/>
  <c r="Z21" i="12"/>
  <c r="F21" i="12"/>
  <c r="J20" i="12"/>
  <c r="L19" i="12"/>
  <c r="Q18" i="12"/>
  <c r="U17" i="12"/>
  <c r="W16" i="12"/>
  <c r="C16" i="12"/>
  <c r="H15" i="12"/>
  <c r="L13" i="12"/>
  <c r="R12" i="12"/>
  <c r="X11" i="12"/>
  <c r="E11" i="12"/>
  <c r="I10" i="12"/>
  <c r="N9" i="12"/>
  <c r="T8" i="12"/>
  <c r="X64" i="11"/>
  <c r="D64" i="11"/>
  <c r="G63" i="11"/>
  <c r="M62" i="11"/>
  <c r="S61" i="11"/>
  <c r="Y60" i="11"/>
  <c r="H60" i="11"/>
  <c r="N59" i="11"/>
  <c r="T58" i="11"/>
  <c r="C58" i="11"/>
  <c r="I57" i="11"/>
  <c r="O56" i="11"/>
  <c r="T55" i="11"/>
  <c r="C55" i="11"/>
  <c r="I54" i="11"/>
  <c r="O53" i="11"/>
  <c r="U49" i="11"/>
  <c r="D49" i="11"/>
  <c r="J48" i="11"/>
  <c r="P47" i="11"/>
  <c r="V46" i="11"/>
  <c r="E46" i="11"/>
  <c r="K44" i="11"/>
  <c r="Q43" i="11"/>
  <c r="W42" i="11"/>
  <c r="F42" i="11"/>
  <c r="L41" i="11"/>
  <c r="Q39" i="11"/>
  <c r="W38" i="11"/>
  <c r="F38" i="11"/>
  <c r="L37" i="11"/>
  <c r="R35" i="11"/>
  <c r="X34" i="11"/>
  <c r="G34" i="11"/>
  <c r="M33" i="11"/>
  <c r="S32" i="11"/>
  <c r="Y31" i="11"/>
  <c r="H31" i="11"/>
  <c r="N30" i="11"/>
  <c r="T29" i="11"/>
  <c r="C29" i="11"/>
  <c r="I28" i="11"/>
  <c r="N27" i="11"/>
  <c r="T26" i="11"/>
  <c r="C26" i="11"/>
  <c r="I25" i="11"/>
  <c r="O24" i="11"/>
  <c r="U23" i="11"/>
  <c r="D23" i="11"/>
  <c r="J22" i="11"/>
  <c r="P21" i="11"/>
  <c r="V20" i="11"/>
  <c r="E20" i="11"/>
  <c r="K19" i="11"/>
  <c r="Q18" i="11"/>
  <c r="L60" i="13"/>
  <c r="F45" i="13"/>
  <c r="Q33" i="13"/>
  <c r="F25" i="13"/>
  <c r="K17" i="13"/>
  <c r="U10" i="13"/>
  <c r="AA110" i="12"/>
  <c r="J105" i="12"/>
  <c r="J100" i="12"/>
  <c r="Z95" i="12"/>
  <c r="U91" i="12"/>
  <c r="F87" i="12"/>
  <c r="J83" i="12"/>
  <c r="J80" i="12"/>
  <c r="L77" i="12"/>
  <c r="N74" i="12"/>
  <c r="P71" i="12"/>
  <c r="Q68" i="12"/>
  <c r="W65" i="12"/>
  <c r="V63" i="12"/>
  <c r="D62" i="12"/>
  <c r="F60" i="12"/>
  <c r="J58" i="12"/>
  <c r="Z56" i="12"/>
  <c r="Q53" i="12"/>
  <c r="E52" i="12"/>
  <c r="W50" i="12"/>
  <c r="S49" i="12"/>
  <c r="O48" i="12"/>
  <c r="M47" i="12"/>
  <c r="O45" i="12"/>
  <c r="L44" i="12"/>
  <c r="N43" i="12"/>
  <c r="M42" i="12"/>
  <c r="P41" i="12"/>
  <c r="P40" i="12"/>
  <c r="T39" i="12"/>
  <c r="S38" i="12"/>
  <c r="W37" i="12"/>
  <c r="W36" i="12"/>
  <c r="Z34" i="12"/>
  <c r="Z33" i="12"/>
  <c r="F33" i="12"/>
  <c r="K32" i="12"/>
  <c r="L31" i="12"/>
  <c r="Q30" i="12"/>
  <c r="V29" i="12"/>
  <c r="W28" i="12"/>
  <c r="C28" i="12"/>
  <c r="H27" i="12"/>
  <c r="I26" i="12"/>
  <c r="N25" i="12"/>
  <c r="S24" i="12"/>
  <c r="T22" i="12"/>
  <c r="Y21" i="12"/>
  <c r="E21" i="12"/>
  <c r="F20" i="12"/>
  <c r="K19" i="12"/>
  <c r="P18" i="12"/>
  <c r="Q17" i="12"/>
  <c r="V16" i="12"/>
  <c r="AA15" i="12"/>
  <c r="G15" i="12"/>
  <c r="K13" i="12"/>
  <c r="Q12" i="12"/>
  <c r="W11" i="12"/>
  <c r="C11" i="12"/>
  <c r="G10" i="12"/>
  <c r="M9" i="12"/>
  <c r="S8" i="12"/>
  <c r="W64" i="11"/>
  <c r="Y63" i="11"/>
  <c r="F63" i="11"/>
  <c r="L62" i="11"/>
  <c r="R61" i="11"/>
  <c r="X60" i="11"/>
  <c r="G60" i="11"/>
  <c r="M59" i="11"/>
  <c r="S58" i="11"/>
  <c r="Y57" i="11"/>
  <c r="H57" i="11"/>
  <c r="M56" i="11"/>
  <c r="S55" i="11"/>
  <c r="Y54" i="11"/>
  <c r="H54" i="11"/>
  <c r="N53" i="11"/>
  <c r="T49" i="11"/>
  <c r="C49" i="11"/>
  <c r="I48" i="11"/>
  <c r="O47" i="11"/>
  <c r="U46" i="11"/>
  <c r="D46" i="11"/>
  <c r="J44" i="11"/>
  <c r="P43" i="11"/>
  <c r="V42" i="11"/>
  <c r="E42" i="11"/>
  <c r="J41" i="11"/>
  <c r="P39" i="11"/>
  <c r="V38" i="11"/>
  <c r="E38" i="11"/>
  <c r="K37" i="11"/>
  <c r="Q35" i="11"/>
  <c r="W34" i="11"/>
  <c r="F34" i="11"/>
  <c r="L33" i="11"/>
  <c r="R32" i="11"/>
  <c r="X31" i="11"/>
  <c r="G31" i="11"/>
  <c r="M30" i="11"/>
  <c r="S29" i="11"/>
  <c r="Y28" i="11"/>
  <c r="G28" i="11"/>
  <c r="M27" i="11"/>
  <c r="S26" i="11"/>
  <c r="Y25" i="11"/>
  <c r="H25" i="11"/>
  <c r="N24" i="11"/>
  <c r="T23" i="11"/>
  <c r="C23" i="11"/>
  <c r="I22" i="11"/>
  <c r="O21" i="11"/>
  <c r="U20" i="11"/>
  <c r="D20" i="11"/>
  <c r="J19" i="11"/>
  <c r="P18" i="11"/>
  <c r="V17" i="11"/>
  <c r="D17" i="11"/>
  <c r="J16" i="11"/>
  <c r="P15" i="11"/>
  <c r="V14" i="11"/>
  <c r="E14" i="11"/>
  <c r="K13" i="11"/>
  <c r="Q12" i="11"/>
  <c r="W11" i="11"/>
  <c r="F11" i="11"/>
  <c r="L10" i="11"/>
  <c r="R9" i="11"/>
  <c r="X8" i="11"/>
  <c r="G8" i="11"/>
  <c r="M7" i="11"/>
  <c r="S6" i="11"/>
  <c r="Y72" i="10"/>
  <c r="I72" i="10"/>
  <c r="P71" i="10"/>
  <c r="W70" i="10"/>
  <c r="G70" i="10"/>
  <c r="N69" i="10"/>
  <c r="U68" i="10"/>
  <c r="E68" i="10"/>
  <c r="L67" i="10"/>
  <c r="S66" i="10"/>
  <c r="C66" i="10"/>
  <c r="J65" i="10"/>
  <c r="Q64" i="10"/>
  <c r="X63" i="10"/>
  <c r="H63" i="10"/>
  <c r="O62" i="10"/>
  <c r="V61" i="10"/>
  <c r="F61" i="10"/>
  <c r="M57" i="10"/>
  <c r="T56" i="10"/>
  <c r="D56" i="10"/>
  <c r="K55" i="10"/>
  <c r="R54" i="10"/>
  <c r="Y52" i="10"/>
  <c r="I52" i="10"/>
  <c r="P51" i="10"/>
  <c r="W50" i="10"/>
  <c r="G50" i="10"/>
  <c r="N49" i="10"/>
  <c r="U47" i="10"/>
  <c r="E47" i="10"/>
  <c r="L46" i="10"/>
  <c r="S45" i="10"/>
  <c r="C45" i="10"/>
  <c r="J43" i="10"/>
  <c r="Q42" i="10"/>
  <c r="X41" i="10"/>
  <c r="H41" i="10"/>
  <c r="O40" i="10"/>
  <c r="V39" i="10"/>
  <c r="F39" i="10"/>
  <c r="M38" i="10"/>
  <c r="T37" i="10"/>
  <c r="D37" i="10"/>
  <c r="K36" i="10"/>
  <c r="R35" i="10"/>
  <c r="Y34" i="10"/>
  <c r="I34" i="10"/>
  <c r="P33" i="10"/>
  <c r="W32" i="10"/>
  <c r="G32" i="10"/>
  <c r="N31" i="10"/>
  <c r="U30" i="10"/>
  <c r="E30" i="10"/>
  <c r="L29" i="10"/>
  <c r="S28" i="10"/>
  <c r="C28" i="10"/>
  <c r="J27" i="10"/>
  <c r="Q26" i="10"/>
  <c r="X25" i="10"/>
  <c r="H25" i="10"/>
  <c r="O24" i="10"/>
  <c r="V23" i="10"/>
  <c r="F23" i="10"/>
  <c r="M22" i="10"/>
  <c r="T21" i="10"/>
  <c r="D21" i="10"/>
  <c r="K20" i="10"/>
  <c r="R19" i="10"/>
  <c r="Y18" i="10"/>
  <c r="I18" i="10"/>
  <c r="P17" i="10"/>
  <c r="W16" i="10"/>
  <c r="G16" i="10"/>
  <c r="N15" i="10"/>
  <c r="U14" i="10"/>
  <c r="E14" i="10"/>
  <c r="L13" i="10"/>
  <c r="S12" i="10"/>
  <c r="C12" i="10"/>
  <c r="J11" i="10"/>
  <c r="Q10" i="10"/>
  <c r="X9" i="10"/>
  <c r="H9" i="10"/>
  <c r="O8" i="10"/>
  <c r="V7" i="10"/>
  <c r="F7" i="10"/>
  <c r="M6" i="10"/>
  <c r="S30" i="9"/>
  <c r="C30" i="9"/>
  <c r="I29" i="9"/>
  <c r="O28" i="9"/>
  <c r="U23" i="9"/>
  <c r="E23" i="9"/>
  <c r="K22" i="9"/>
  <c r="Q21" i="9"/>
  <c r="W19" i="9"/>
  <c r="G19" i="9"/>
  <c r="M18" i="9"/>
  <c r="Z59" i="13"/>
  <c r="H43" i="13"/>
  <c r="P33" i="13"/>
  <c r="AA24" i="13"/>
  <c r="N16" i="13"/>
  <c r="T10" i="13"/>
  <c r="V110" i="12"/>
  <c r="Q104" i="12"/>
  <c r="G100" i="12"/>
  <c r="X95" i="12"/>
  <c r="E91" i="12"/>
  <c r="E87" i="12"/>
  <c r="H83" i="12"/>
  <c r="X79" i="12"/>
  <c r="Y76" i="12"/>
  <c r="C74" i="12"/>
  <c r="D71" i="12"/>
  <c r="F68" i="12"/>
  <c r="V65" i="12"/>
  <c r="S63" i="12"/>
  <c r="Z61" i="12"/>
  <c r="E60" i="12"/>
  <c r="I58" i="12"/>
  <c r="Y56" i="12"/>
  <c r="O53" i="12"/>
  <c r="W51" i="12"/>
  <c r="P50" i="12"/>
  <c r="P49" i="12"/>
  <c r="N48" i="12"/>
  <c r="K47" i="12"/>
  <c r="N45" i="12"/>
  <c r="K44" i="12"/>
  <c r="M43" i="12"/>
  <c r="L42" i="12"/>
  <c r="O41" i="12"/>
  <c r="O40" i="12"/>
  <c r="R39" i="12"/>
  <c r="R38" i="12"/>
  <c r="V37" i="12"/>
  <c r="U36" i="12"/>
  <c r="Y34" i="12"/>
  <c r="Y33" i="12"/>
  <c r="E33" i="12"/>
  <c r="J32" i="12"/>
  <c r="K31" i="12"/>
  <c r="P30" i="12"/>
  <c r="U29" i="12"/>
  <c r="V28" i="12"/>
  <c r="AA27" i="12"/>
  <c r="G27" i="12"/>
  <c r="H26" i="12"/>
  <c r="M25" i="12"/>
  <c r="R24" i="12"/>
  <c r="S22" i="12"/>
  <c r="X21" i="12"/>
  <c r="D21" i="12"/>
  <c r="E20" i="12"/>
  <c r="J19" i="12"/>
  <c r="O18" i="12"/>
  <c r="P17" i="12"/>
  <c r="U16" i="12"/>
  <c r="Z15" i="12"/>
  <c r="E15" i="12"/>
  <c r="J13" i="12"/>
  <c r="P12" i="12"/>
  <c r="V11" i="12"/>
  <c r="AA10" i="12"/>
  <c r="F10" i="12"/>
  <c r="L9" i="12"/>
  <c r="R8" i="12"/>
  <c r="U64" i="11"/>
  <c r="W63" i="11"/>
  <c r="E63" i="11"/>
  <c r="K62" i="11"/>
  <c r="Q61" i="11"/>
  <c r="W60" i="11"/>
  <c r="F60" i="11"/>
  <c r="L59" i="11"/>
  <c r="R58" i="11"/>
  <c r="X57" i="11"/>
  <c r="F57" i="11"/>
  <c r="L56" i="11"/>
  <c r="R55" i="11"/>
  <c r="X54" i="11"/>
  <c r="G54" i="11"/>
  <c r="M53" i="11"/>
  <c r="S49" i="11"/>
  <c r="Y48" i="11"/>
  <c r="H48" i="11"/>
  <c r="N47" i="11"/>
  <c r="T46" i="11"/>
  <c r="C46" i="11"/>
  <c r="I44" i="11"/>
  <c r="O43" i="11"/>
  <c r="U42" i="11"/>
  <c r="C42" i="11"/>
  <c r="I41" i="11"/>
  <c r="O39" i="11"/>
  <c r="U38" i="11"/>
  <c r="D38" i="11"/>
  <c r="J37" i="11"/>
  <c r="P35" i="11"/>
  <c r="V34" i="11"/>
  <c r="E34" i="11"/>
  <c r="K33" i="11"/>
  <c r="AA57" i="13"/>
  <c r="G43" i="13"/>
  <c r="L33" i="13"/>
  <c r="D24" i="13"/>
  <c r="J16" i="13"/>
  <c r="M10" i="13"/>
  <c r="Y109" i="12"/>
  <c r="P104" i="12"/>
  <c r="E100" i="12"/>
  <c r="G95" i="12"/>
  <c r="C91" i="12"/>
  <c r="C87" i="12"/>
  <c r="R82" i="12"/>
  <c r="T79" i="12"/>
  <c r="V76" i="12"/>
  <c r="X73" i="12"/>
  <c r="Z70" i="12"/>
  <c r="AA67" i="12"/>
  <c r="T65" i="12"/>
  <c r="R63" i="12"/>
  <c r="R61" i="12"/>
  <c r="C60" i="12"/>
  <c r="H58" i="12"/>
  <c r="X56" i="12"/>
  <c r="L53" i="12"/>
  <c r="V51" i="12"/>
  <c r="O50" i="12"/>
  <c r="K49" i="12"/>
  <c r="M48" i="12"/>
  <c r="J47" i="12"/>
  <c r="L45" i="12"/>
  <c r="J44" i="12"/>
  <c r="H43" i="12"/>
  <c r="K42" i="12"/>
  <c r="K41" i="12"/>
  <c r="N40" i="12"/>
  <c r="Q39" i="12"/>
  <c r="Q38" i="12"/>
  <c r="T37" i="12"/>
  <c r="T36" i="12"/>
  <c r="X34" i="12"/>
  <c r="X33" i="12"/>
  <c r="D33" i="12"/>
  <c r="H32" i="12"/>
  <c r="J31" i="12"/>
  <c r="O30" i="12"/>
  <c r="S29" i="12"/>
  <c r="U28" i="12"/>
  <c r="Z27" i="12"/>
  <c r="E27" i="12"/>
  <c r="G26" i="12"/>
  <c r="L25" i="12"/>
  <c r="P24" i="12"/>
  <c r="R22" i="12"/>
  <c r="W21" i="12"/>
  <c r="AA20" i="12"/>
  <c r="D20" i="12"/>
  <c r="I19" i="12"/>
  <c r="M18" i="12"/>
  <c r="O17" i="12"/>
  <c r="T16" i="12"/>
  <c r="X15" i="12"/>
  <c r="C15" i="12"/>
  <c r="I13" i="12"/>
  <c r="O12" i="12"/>
  <c r="U11" i="12"/>
  <c r="Y10" i="12"/>
  <c r="E10" i="12"/>
  <c r="K9" i="12"/>
  <c r="Q8" i="12"/>
  <c r="T64" i="11"/>
  <c r="V63" i="11"/>
  <c r="D63" i="11"/>
  <c r="J62" i="11"/>
  <c r="P61" i="11"/>
  <c r="V60" i="11"/>
  <c r="E60" i="11"/>
  <c r="K59" i="11"/>
  <c r="Q58" i="11"/>
  <c r="V57" i="11"/>
  <c r="E57" i="11"/>
  <c r="K56" i="11"/>
  <c r="Q55" i="11"/>
  <c r="W54" i="11"/>
  <c r="F54" i="11"/>
  <c r="L53" i="11"/>
  <c r="R49" i="11"/>
  <c r="X19" i="14"/>
  <c r="W57" i="13"/>
  <c r="S42" i="13"/>
  <c r="J32" i="13"/>
  <c r="Z23" i="13"/>
  <c r="F16" i="13"/>
  <c r="P9" i="13"/>
  <c r="V109" i="12"/>
  <c r="M104" i="12"/>
  <c r="M99" i="12"/>
  <c r="D95" i="12"/>
  <c r="Z90" i="12"/>
  <c r="L86" i="12"/>
  <c r="Q82" i="12"/>
  <c r="S79" i="12"/>
  <c r="U76" i="12"/>
  <c r="W73" i="12"/>
  <c r="Y70" i="12"/>
  <c r="Z67" i="12"/>
  <c r="P65" i="12"/>
  <c r="Q63" i="12"/>
  <c r="P61" i="12"/>
  <c r="X59" i="12"/>
  <c r="G58" i="12"/>
  <c r="V56" i="12"/>
  <c r="E53" i="12"/>
  <c r="U51" i="12"/>
  <c r="N50" i="12"/>
  <c r="I49" i="12"/>
  <c r="L48" i="12"/>
  <c r="I47" i="12"/>
  <c r="K45" i="12"/>
  <c r="I44" i="12"/>
  <c r="F43" i="12"/>
  <c r="J42" i="12"/>
  <c r="J41" i="12"/>
  <c r="M40" i="12"/>
  <c r="M39" i="12"/>
  <c r="P38" i="12"/>
  <c r="S37" i="12"/>
  <c r="S36" i="12"/>
  <c r="V34" i="12"/>
  <c r="W33" i="12"/>
  <c r="C33" i="12"/>
  <c r="G32" i="12"/>
  <c r="I31" i="12"/>
  <c r="N30" i="12"/>
  <c r="R29" i="12"/>
  <c r="T28" i="12"/>
  <c r="Y27" i="12"/>
  <c r="D27" i="12"/>
  <c r="F26" i="12"/>
  <c r="K25" i="12"/>
  <c r="O24" i="12"/>
  <c r="Q22" i="12"/>
  <c r="V21" i="12"/>
  <c r="Z20" i="12"/>
  <c r="C20" i="12"/>
  <c r="H19" i="12"/>
  <c r="L18" i="12"/>
  <c r="N17" i="12"/>
  <c r="S16" i="12"/>
  <c r="W15" i="12"/>
  <c r="AA13" i="12"/>
  <c r="H13" i="12"/>
  <c r="N12" i="12"/>
  <c r="S11" i="12"/>
  <c r="W10" i="12"/>
  <c r="D10" i="12"/>
  <c r="J9" i="12"/>
  <c r="P8" i="12"/>
  <c r="R64" i="11"/>
  <c r="U63" i="11"/>
  <c r="C63" i="11"/>
  <c r="I62" i="11"/>
  <c r="O61" i="11"/>
  <c r="U60" i="11"/>
  <c r="D60" i="11"/>
  <c r="J59" i="11"/>
  <c r="O58" i="11"/>
  <c r="U57" i="11"/>
  <c r="D57" i="11"/>
  <c r="J56" i="11"/>
  <c r="P55" i="11"/>
  <c r="V54" i="11"/>
  <c r="E54" i="11"/>
  <c r="K53" i="11"/>
  <c r="Q49" i="11"/>
  <c r="W48" i="11"/>
  <c r="F48" i="11"/>
  <c r="L47" i="11"/>
  <c r="R46" i="11"/>
  <c r="X44" i="11"/>
  <c r="G44" i="11"/>
  <c r="L43" i="11"/>
  <c r="R42" i="11"/>
  <c r="X41" i="11"/>
  <c r="G41" i="11"/>
  <c r="M39" i="11"/>
  <c r="S38" i="11"/>
  <c r="Y37" i="11"/>
  <c r="H37" i="11"/>
  <c r="N35" i="11"/>
  <c r="T34" i="11"/>
  <c r="C34" i="11"/>
  <c r="I33" i="11"/>
  <c r="O32" i="11"/>
  <c r="U31" i="11"/>
  <c r="D31" i="11"/>
  <c r="I30" i="11"/>
  <c r="O29" i="11"/>
  <c r="U28" i="11"/>
  <c r="D28" i="11"/>
  <c r="J27" i="11"/>
  <c r="P26" i="11"/>
  <c r="V25" i="11"/>
  <c r="E25" i="11"/>
  <c r="K24" i="11"/>
  <c r="Q23" i="11"/>
  <c r="W22" i="11"/>
  <c r="F22" i="11"/>
  <c r="L21" i="11"/>
  <c r="R20" i="11"/>
  <c r="X19" i="11"/>
  <c r="F19" i="11"/>
  <c r="L18" i="11"/>
  <c r="R17" i="11"/>
  <c r="X16" i="11"/>
  <c r="G16" i="11"/>
  <c r="M15" i="11"/>
  <c r="S14" i="11"/>
  <c r="Y13" i="11"/>
  <c r="H13" i="11"/>
  <c r="N12" i="11"/>
  <c r="T11" i="11"/>
  <c r="C11" i="11"/>
  <c r="I10" i="11"/>
  <c r="O9" i="11"/>
  <c r="U8" i="11"/>
  <c r="C8" i="11"/>
  <c r="I7" i="11"/>
  <c r="O6" i="11"/>
  <c r="V72" i="10"/>
  <c r="F72" i="10"/>
  <c r="M71" i="10"/>
  <c r="T70" i="10"/>
  <c r="D70" i="10"/>
  <c r="K69" i="10"/>
  <c r="R68" i="10"/>
  <c r="Y67" i="10"/>
  <c r="I67" i="10"/>
  <c r="P66" i="10"/>
  <c r="W65" i="10"/>
  <c r="G65" i="10"/>
  <c r="N64" i="10"/>
  <c r="U63" i="10"/>
  <c r="E63" i="10"/>
  <c r="L62" i="10"/>
  <c r="S61" i="10"/>
  <c r="C61" i="10"/>
  <c r="J57" i="10"/>
  <c r="Q56" i="10"/>
  <c r="X55" i="10"/>
  <c r="H55" i="10"/>
  <c r="O54" i="10"/>
  <c r="V52" i="10"/>
  <c r="F52" i="10"/>
  <c r="M51" i="10"/>
  <c r="T50" i="10"/>
  <c r="D50" i="10"/>
  <c r="K49" i="10"/>
  <c r="R47" i="10"/>
  <c r="Y46" i="10"/>
  <c r="I46" i="10"/>
  <c r="P45" i="10"/>
  <c r="W43" i="10"/>
  <c r="G43" i="10"/>
  <c r="N42" i="10"/>
  <c r="U41" i="10"/>
  <c r="E41" i="10"/>
  <c r="L40" i="10"/>
  <c r="S39" i="10"/>
  <c r="C39" i="10"/>
  <c r="J38" i="10"/>
  <c r="Q37" i="10"/>
  <c r="X36" i="10"/>
  <c r="H36" i="10"/>
  <c r="O35" i="10"/>
  <c r="V34" i="10"/>
  <c r="F34" i="10"/>
  <c r="M33" i="10"/>
  <c r="T32" i="10"/>
  <c r="D32" i="10"/>
  <c r="K31" i="10"/>
  <c r="R30" i="10"/>
  <c r="Y29" i="10"/>
  <c r="I29" i="10"/>
  <c r="P28" i="10"/>
  <c r="W27" i="10"/>
  <c r="G27" i="10"/>
  <c r="N26" i="10"/>
  <c r="U25" i="10"/>
  <c r="E25" i="10"/>
  <c r="L24" i="10"/>
  <c r="S23" i="10"/>
  <c r="C23" i="10"/>
  <c r="J22" i="10"/>
  <c r="Q21" i="10"/>
  <c r="X20" i="10"/>
  <c r="H20" i="10"/>
  <c r="O19" i="10"/>
  <c r="V18" i="10"/>
  <c r="F18" i="10"/>
  <c r="M17" i="10"/>
  <c r="T16" i="10"/>
  <c r="D16" i="10"/>
  <c r="K15" i="10"/>
  <c r="R14" i="10"/>
  <c r="Y13" i="10"/>
  <c r="I13" i="10"/>
  <c r="P12" i="10"/>
  <c r="W11" i="10"/>
  <c r="G11" i="10"/>
  <c r="N10" i="10"/>
  <c r="U9" i="10"/>
  <c r="E9" i="10"/>
  <c r="L8" i="10"/>
  <c r="S7" i="10"/>
  <c r="C7" i="10"/>
  <c r="J6" i="10"/>
  <c r="P30" i="9"/>
  <c r="V29" i="9"/>
  <c r="F29" i="9"/>
  <c r="L28" i="9"/>
  <c r="R23" i="9"/>
  <c r="X22" i="9"/>
  <c r="H22" i="9"/>
  <c r="N21" i="9"/>
  <c r="T19" i="9"/>
  <c r="D19" i="9"/>
  <c r="J18" i="9"/>
  <c r="W19" i="14"/>
  <c r="L57" i="13"/>
  <c r="L41" i="13"/>
  <c r="I32" i="13"/>
  <c r="X23" i="13"/>
  <c r="I15" i="13"/>
  <c r="O9" i="13"/>
  <c r="T109" i="12"/>
  <c r="T103" i="12"/>
  <c r="K99" i="12"/>
  <c r="AA94" i="12"/>
  <c r="J90" i="12"/>
  <c r="K86" i="12"/>
  <c r="O82" i="12"/>
  <c r="Q79" i="12"/>
  <c r="S76" i="12"/>
  <c r="T73" i="12"/>
  <c r="W70" i="12"/>
  <c r="X67" i="12"/>
  <c r="H65" i="12"/>
  <c r="N63" i="12"/>
  <c r="O61" i="12"/>
  <c r="Q59" i="12"/>
  <c r="F58" i="12"/>
  <c r="S56" i="12"/>
  <c r="D53" i="12"/>
  <c r="T51" i="12"/>
  <c r="M50" i="12"/>
  <c r="H49" i="12"/>
  <c r="J48" i="12"/>
  <c r="H47" i="12"/>
  <c r="F45" i="12"/>
  <c r="H44" i="12"/>
  <c r="E43" i="12"/>
  <c r="I42" i="12"/>
  <c r="H41" i="12"/>
  <c r="L40" i="12"/>
  <c r="L39" i="12"/>
  <c r="O38" i="12"/>
  <c r="O37" i="12"/>
  <c r="R36" i="12"/>
  <c r="U34" i="12"/>
  <c r="V33" i="12"/>
  <c r="AA32" i="12"/>
  <c r="C32" i="12"/>
  <c r="H31" i="12"/>
  <c r="M30" i="12"/>
  <c r="N29" i="12"/>
  <c r="S28" i="12"/>
  <c r="X27" i="12"/>
  <c r="Y26" i="12"/>
  <c r="E26" i="12"/>
  <c r="J25" i="12"/>
  <c r="K24" i="12"/>
  <c r="P22" i="12"/>
  <c r="U21" i="12"/>
  <c r="V20" i="12"/>
  <c r="AA19" i="12"/>
  <c r="G19" i="12"/>
  <c r="H18" i="12"/>
  <c r="M17" i="12"/>
  <c r="R16" i="12"/>
  <c r="U15" i="12"/>
  <c r="Z13" i="12"/>
  <c r="G13" i="12"/>
  <c r="M12" i="12"/>
  <c r="R11" i="12"/>
  <c r="V10" i="12"/>
  <c r="C10" i="12"/>
  <c r="I9" i="12"/>
  <c r="N8" i="12"/>
  <c r="P64" i="11"/>
  <c r="T63" i="11"/>
  <c r="Y62" i="11"/>
  <c r="H62" i="11"/>
  <c r="N61" i="11"/>
  <c r="T60" i="11"/>
  <c r="C60" i="11"/>
  <c r="H59" i="11"/>
  <c r="N58" i="11"/>
  <c r="T57" i="11"/>
  <c r="C57" i="11"/>
  <c r="I56" i="11"/>
  <c r="O55" i="11"/>
  <c r="U54" i="11"/>
  <c r="D54" i="11"/>
  <c r="J53" i="11"/>
  <c r="P49" i="11"/>
  <c r="V48" i="11"/>
  <c r="E48" i="11"/>
  <c r="K47" i="11"/>
  <c r="Q46" i="11"/>
  <c r="W44" i="11"/>
  <c r="E44" i="11"/>
  <c r="K43" i="11"/>
  <c r="Q42" i="11"/>
  <c r="W41" i="11"/>
  <c r="F41" i="11"/>
  <c r="L39" i="11"/>
  <c r="R38" i="11"/>
  <c r="X37" i="11"/>
  <c r="G37" i="11"/>
  <c r="M35" i="11"/>
  <c r="G19" i="14"/>
  <c r="M55" i="13"/>
  <c r="K41" i="13"/>
  <c r="E32" i="13"/>
  <c r="AA22" i="13"/>
  <c r="H15" i="13"/>
  <c r="M9" i="13"/>
  <c r="T108" i="12"/>
  <c r="R103" i="12"/>
  <c r="I99" i="12"/>
  <c r="J94" i="12"/>
  <c r="I90" i="12"/>
  <c r="I86" i="12"/>
  <c r="C82" i="12"/>
  <c r="F79" i="12"/>
  <c r="G76" i="12"/>
  <c r="I73" i="12"/>
  <c r="K70" i="12"/>
  <c r="M67" i="12"/>
  <c r="F65" i="12"/>
  <c r="K63" i="12"/>
  <c r="N61" i="12"/>
  <c r="O59" i="12"/>
  <c r="D58" i="12"/>
  <c r="L56" i="12"/>
  <c r="C53" i="12"/>
  <c r="S51" i="12"/>
  <c r="L50" i="12"/>
  <c r="G49" i="12"/>
  <c r="I48" i="12"/>
  <c r="G47" i="12"/>
  <c r="D45" i="12"/>
  <c r="G44" i="12"/>
  <c r="D43" i="12"/>
  <c r="G42" i="12"/>
  <c r="G41" i="12"/>
  <c r="K40" i="12"/>
  <c r="J39" i="12"/>
  <c r="N38" i="12"/>
  <c r="N37" i="12"/>
  <c r="Q36" i="12"/>
  <c r="Q34" i="12"/>
  <c r="U33" i="12"/>
  <c r="Z32" i="12"/>
  <c r="AA31" i="12"/>
  <c r="G31" i="12"/>
  <c r="L30" i="12"/>
  <c r="M29" i="12"/>
  <c r="R28" i="12"/>
  <c r="W27" i="12"/>
  <c r="X26" i="12"/>
  <c r="D26" i="12"/>
  <c r="I25" i="12"/>
  <c r="J24" i="12"/>
  <c r="O22" i="12"/>
  <c r="T21" i="12"/>
  <c r="U20" i="12"/>
  <c r="Z19" i="12"/>
  <c r="F19" i="12"/>
  <c r="G18" i="12"/>
  <c r="L17" i="12"/>
  <c r="Q16" i="12"/>
  <c r="S15" i="12"/>
  <c r="Y13" i="12"/>
  <c r="F13" i="12"/>
  <c r="L12" i="12"/>
  <c r="P11" i="12"/>
  <c r="U10" i="12"/>
  <c r="AA9" i="12"/>
  <c r="H9" i="12"/>
  <c r="M8" i="12"/>
  <c r="O64" i="11"/>
  <c r="S63" i="11"/>
  <c r="X62" i="11"/>
  <c r="G62" i="11"/>
  <c r="M61" i="11"/>
  <c r="S60" i="11"/>
  <c r="X59" i="11"/>
  <c r="G59" i="11"/>
  <c r="M58" i="11"/>
  <c r="S57" i="11"/>
  <c r="Y56" i="11"/>
  <c r="H56" i="11"/>
  <c r="N55" i="11"/>
  <c r="T54" i="11"/>
  <c r="C54" i="11"/>
  <c r="I53" i="11"/>
  <c r="O49" i="11"/>
  <c r="U48" i="11"/>
  <c r="D48" i="11"/>
  <c r="J47" i="11"/>
  <c r="P46" i="11"/>
  <c r="U44" i="11"/>
  <c r="D44" i="11"/>
  <c r="J43" i="11"/>
  <c r="P42" i="11"/>
  <c r="V41" i="11"/>
  <c r="E41" i="11"/>
  <c r="K39" i="11"/>
  <c r="Q38" i="11"/>
  <c r="W37" i="11"/>
  <c r="F37" i="11"/>
  <c r="L35" i="11"/>
  <c r="R34" i="11"/>
  <c r="X33" i="11"/>
  <c r="G33" i="11"/>
  <c r="M32" i="11"/>
  <c r="R31" i="11"/>
  <c r="X30" i="11"/>
  <c r="G30" i="11"/>
  <c r="M29" i="11"/>
  <c r="S28" i="11"/>
  <c r="Y27" i="11"/>
  <c r="H27" i="11"/>
  <c r="N26" i="11"/>
  <c r="T25" i="11"/>
  <c r="C25" i="11"/>
  <c r="I24" i="11"/>
  <c r="O23" i="11"/>
  <c r="U22" i="11"/>
  <c r="D22" i="11"/>
  <c r="J21" i="11"/>
  <c r="O20" i="11"/>
  <c r="U19" i="11"/>
  <c r="D19" i="11"/>
  <c r="J18" i="11"/>
  <c r="P17" i="11"/>
  <c r="V16" i="11"/>
  <c r="E16" i="11"/>
  <c r="K15" i="11"/>
  <c r="Q14" i="11"/>
  <c r="W13" i="11"/>
  <c r="F13" i="11"/>
  <c r="L12" i="11"/>
  <c r="R11" i="11"/>
  <c r="X10" i="11"/>
  <c r="G10" i="11"/>
  <c r="L9" i="11"/>
  <c r="R8" i="11"/>
  <c r="X7" i="11"/>
  <c r="G7" i="11"/>
  <c r="M6" i="11"/>
  <c r="T72" i="10"/>
  <c r="D72" i="10"/>
  <c r="K71" i="10"/>
  <c r="R70" i="10"/>
  <c r="Y69" i="10"/>
  <c r="I69" i="10"/>
  <c r="P68" i="10"/>
  <c r="W67" i="10"/>
  <c r="G67" i="10"/>
  <c r="N66" i="10"/>
  <c r="U65" i="10"/>
  <c r="E65" i="10"/>
  <c r="L64" i="10"/>
  <c r="S63" i="10"/>
  <c r="C63" i="10"/>
  <c r="J62" i="10"/>
  <c r="Q61" i="10"/>
  <c r="X57" i="10"/>
  <c r="H57" i="10"/>
  <c r="O56" i="10"/>
  <c r="V55" i="10"/>
  <c r="F55" i="10"/>
  <c r="M54" i="10"/>
  <c r="T52" i="10"/>
  <c r="D52" i="10"/>
  <c r="K51" i="10"/>
  <c r="R50" i="10"/>
  <c r="Y49" i="10"/>
  <c r="I49" i="10"/>
  <c r="P47" i="10"/>
  <c r="W46" i="10"/>
  <c r="G46" i="10"/>
  <c r="N45" i="10"/>
  <c r="U43" i="10"/>
  <c r="E43" i="10"/>
  <c r="L42" i="10"/>
  <c r="S41" i="10"/>
  <c r="C41" i="10"/>
  <c r="J40" i="10"/>
  <c r="Q39" i="10"/>
  <c r="X38" i="10"/>
  <c r="H38" i="10"/>
  <c r="O37" i="10"/>
  <c r="V36" i="10"/>
  <c r="F36" i="10"/>
  <c r="M35" i="10"/>
  <c r="T34" i="10"/>
  <c r="D34" i="10"/>
  <c r="K33" i="10"/>
  <c r="R32" i="10"/>
  <c r="Y31" i="10"/>
  <c r="I31" i="10"/>
  <c r="P30" i="10"/>
  <c r="W29" i="10"/>
  <c r="G29" i="10"/>
  <c r="O16" i="14"/>
  <c r="I55" i="13"/>
  <c r="I41" i="13"/>
  <c r="C31" i="13"/>
  <c r="Z22" i="13"/>
  <c r="C15" i="13"/>
  <c r="M8" i="13"/>
  <c r="S108" i="12"/>
  <c r="P103" i="12"/>
  <c r="Q98" i="12"/>
  <c r="H94" i="12"/>
  <c r="G90" i="12"/>
  <c r="R85" i="12"/>
  <c r="Y81" i="12"/>
  <c r="AA78" i="12"/>
  <c r="D76" i="12"/>
  <c r="E73" i="12"/>
  <c r="H70" i="12"/>
  <c r="I67" i="12"/>
  <c r="E65" i="12"/>
  <c r="C63" i="12"/>
  <c r="L61" i="12"/>
  <c r="N59" i="12"/>
  <c r="Z57" i="12"/>
  <c r="K56" i="12"/>
  <c r="AA52" i="12"/>
  <c r="R51" i="12"/>
  <c r="K50" i="12"/>
  <c r="F49" i="12"/>
  <c r="D48" i="12"/>
  <c r="F47" i="12"/>
  <c r="C45" i="12"/>
  <c r="E44" i="12"/>
  <c r="C43" i="12"/>
  <c r="F42" i="12"/>
  <c r="F41" i="12"/>
  <c r="I40" i="12"/>
  <c r="I39" i="12"/>
  <c r="M38" i="12"/>
  <c r="L37" i="12"/>
  <c r="P36" i="12"/>
  <c r="P34" i="12"/>
  <c r="T33" i="12"/>
  <c r="X32" i="12"/>
  <c r="Z31" i="12"/>
  <c r="F31" i="12"/>
  <c r="J30" i="12"/>
  <c r="L29" i="12"/>
  <c r="Q28" i="12"/>
  <c r="U27" i="12"/>
  <c r="W26" i="12"/>
  <c r="C26" i="12"/>
  <c r="G25" i="12"/>
  <c r="I24" i="12"/>
  <c r="N22" i="12"/>
  <c r="R21" i="12"/>
  <c r="T20" i="12"/>
  <c r="Y19" i="12"/>
  <c r="D19" i="12"/>
  <c r="F18" i="12"/>
  <c r="K17" i="12"/>
  <c r="O16" i="12"/>
  <c r="R15" i="12"/>
  <c r="X13" i="12"/>
  <c r="E13" i="12"/>
  <c r="J12" i="12"/>
  <c r="N11" i="12"/>
  <c r="T10" i="12"/>
  <c r="Z9" i="12"/>
  <c r="G9" i="12"/>
  <c r="K8" i="12"/>
  <c r="N64" i="11"/>
  <c r="R63" i="11"/>
  <c r="W62" i="11"/>
  <c r="F62" i="11"/>
  <c r="L61" i="11"/>
  <c r="Q60" i="11"/>
  <c r="W59" i="11"/>
  <c r="F59" i="11"/>
  <c r="L58" i="11"/>
  <c r="R57" i="11"/>
  <c r="X56" i="11"/>
  <c r="G56" i="11"/>
  <c r="M55" i="11"/>
  <c r="S54" i="11"/>
  <c r="Y53" i="11"/>
  <c r="H53" i="11"/>
  <c r="N49" i="11"/>
  <c r="T48" i="11"/>
  <c r="C48" i="11"/>
  <c r="I47" i="11"/>
  <c r="N46" i="11"/>
  <c r="T44" i="11"/>
  <c r="C44" i="11"/>
  <c r="I43" i="11"/>
  <c r="O42" i="11"/>
  <c r="U41" i="11"/>
  <c r="D41" i="11"/>
  <c r="J39" i="11"/>
  <c r="P38" i="11"/>
  <c r="V37" i="11"/>
  <c r="E37" i="11"/>
  <c r="K35" i="11"/>
  <c r="Q34" i="11"/>
  <c r="W33" i="11"/>
  <c r="F33" i="11"/>
  <c r="K32" i="11"/>
  <c r="Q31" i="11"/>
  <c r="W30" i="11"/>
  <c r="F30" i="11"/>
  <c r="L29" i="11"/>
  <c r="R28" i="11"/>
  <c r="X27" i="11"/>
  <c r="G27" i="11"/>
  <c r="M26" i="11"/>
  <c r="S25" i="11"/>
  <c r="Y24" i="11"/>
  <c r="H24" i="11"/>
  <c r="N23" i="11"/>
  <c r="T22" i="11"/>
  <c r="C22" i="11"/>
  <c r="H21" i="11"/>
  <c r="N20" i="11"/>
  <c r="T19" i="11"/>
  <c r="C19" i="11"/>
  <c r="I18" i="11"/>
  <c r="O17" i="11"/>
  <c r="U16" i="11"/>
  <c r="D16" i="11"/>
  <c r="J15" i="11"/>
  <c r="P14" i="11"/>
  <c r="V13" i="11"/>
  <c r="E13" i="11"/>
  <c r="K12" i="11"/>
  <c r="Q11" i="11"/>
  <c r="W10" i="11"/>
  <c r="E10" i="11"/>
  <c r="K9" i="11"/>
  <c r="Q8" i="11"/>
  <c r="W7" i="11"/>
  <c r="F7" i="11"/>
  <c r="L6" i="11"/>
  <c r="S72" i="10"/>
  <c r="C72" i="10"/>
  <c r="J71" i="10"/>
  <c r="Q70" i="10"/>
  <c r="X69" i="10"/>
  <c r="H69" i="10"/>
  <c r="O68" i="10"/>
  <c r="V67" i="10"/>
  <c r="F67" i="10"/>
  <c r="M66" i="10"/>
  <c r="T65" i="10"/>
  <c r="D65" i="10"/>
  <c r="K64" i="10"/>
  <c r="R63" i="10"/>
  <c r="Y62" i="10"/>
  <c r="I62" i="10"/>
  <c r="P61" i="10"/>
  <c r="W57" i="10"/>
  <c r="G57" i="10"/>
  <c r="N56" i="10"/>
  <c r="U55" i="10"/>
  <c r="E55" i="10"/>
  <c r="L54" i="10"/>
  <c r="S52" i="10"/>
  <c r="C52" i="10"/>
  <c r="J51" i="10"/>
  <c r="Q50" i="10"/>
  <c r="X49" i="10"/>
  <c r="H49" i="10"/>
  <c r="O47" i="10"/>
  <c r="V46" i="10"/>
  <c r="F46" i="10"/>
  <c r="M45" i="10"/>
  <c r="T43" i="10"/>
  <c r="D43" i="10"/>
  <c r="K42" i="10"/>
  <c r="R41" i="10"/>
  <c r="Y40" i="10"/>
  <c r="I40" i="10"/>
  <c r="Z14" i="14"/>
  <c r="W54" i="13"/>
  <c r="C40" i="13"/>
  <c r="AA30" i="13"/>
  <c r="S22" i="13"/>
  <c r="F14" i="13"/>
  <c r="L8" i="13"/>
  <c r="O108" i="12"/>
  <c r="X102" i="12"/>
  <c r="O98" i="12"/>
  <c r="F94" i="12"/>
  <c r="P89" i="12"/>
  <c r="Q85" i="12"/>
  <c r="X81" i="12"/>
  <c r="Z78" i="12"/>
  <c r="C76" i="12"/>
  <c r="D73" i="12"/>
  <c r="G70" i="12"/>
  <c r="H67" i="12"/>
  <c r="D65" i="12"/>
  <c r="Z62" i="12"/>
  <c r="I61" i="12"/>
  <c r="M59" i="12"/>
  <c r="S57" i="12"/>
  <c r="J56" i="12"/>
  <c r="Z52" i="12"/>
  <c r="Q51" i="12"/>
  <c r="J50" i="12"/>
  <c r="E49" i="12"/>
  <c r="AA47" i="12"/>
  <c r="E47" i="12"/>
  <c r="AA44" i="12"/>
  <c r="D44" i="12"/>
  <c r="AA42" i="12"/>
  <c r="AA41" i="12"/>
  <c r="E41" i="12"/>
  <c r="H40" i="12"/>
  <c r="H39" i="12"/>
  <c r="K38" i="12"/>
  <c r="K37" i="12"/>
  <c r="O36" i="12"/>
  <c r="N34" i="12"/>
  <c r="U11" i="14"/>
  <c r="T52" i="13"/>
  <c r="W39" i="13"/>
  <c r="U29" i="13"/>
  <c r="U19" i="13"/>
  <c r="Z13" i="13"/>
  <c r="H7" i="13"/>
  <c r="N107" i="12"/>
  <c r="S102" i="12"/>
  <c r="U97" i="12"/>
  <c r="M93" i="12"/>
  <c r="M89" i="12"/>
  <c r="W84" i="12"/>
  <c r="J81" i="12"/>
  <c r="L78" i="12"/>
  <c r="N75" i="12"/>
  <c r="P72" i="12"/>
  <c r="R69" i="12"/>
  <c r="C67" i="12"/>
  <c r="V64" i="12"/>
  <c r="W62" i="12"/>
  <c r="X60" i="12"/>
  <c r="H59" i="12"/>
  <c r="Q57" i="12"/>
  <c r="H56" i="12"/>
  <c r="U52" i="12"/>
  <c r="G51" i="12"/>
  <c r="AA49" i="12"/>
  <c r="C49" i="12"/>
  <c r="Y47" i="12"/>
  <c r="AA45" i="12"/>
  <c r="Y44" i="12"/>
  <c r="V43" i="12"/>
  <c r="Y42" i="12"/>
  <c r="X41" i="12"/>
  <c r="C41" i="12"/>
  <c r="C40" i="12"/>
  <c r="F39" i="12"/>
  <c r="F38" i="12"/>
  <c r="I37" i="12"/>
  <c r="L36" i="12"/>
  <c r="L34" i="12"/>
  <c r="Q33" i="12"/>
  <c r="R32" i="12"/>
  <c r="W31" i="12"/>
  <c r="C31" i="12"/>
  <c r="D30" i="12"/>
  <c r="I29" i="12"/>
  <c r="N28" i="12"/>
  <c r="O27" i="12"/>
  <c r="T26" i="12"/>
  <c r="Y25" i="12"/>
  <c r="Z24" i="12"/>
  <c r="F24" i="12"/>
  <c r="K22" i="12"/>
  <c r="L21" i="12"/>
  <c r="Q20" i="12"/>
  <c r="V19" i="12"/>
  <c r="W18" i="12"/>
  <c r="C18" i="12"/>
  <c r="H17" i="12"/>
  <c r="I16" i="12"/>
  <c r="O15" i="12"/>
  <c r="U13" i="12"/>
  <c r="Z12" i="12"/>
  <c r="E12" i="12"/>
  <c r="K11" i="12"/>
  <c r="Q10" i="12"/>
  <c r="W9" i="12"/>
  <c r="AA8" i="12"/>
  <c r="G8" i="12"/>
  <c r="K64" i="11"/>
  <c r="O63" i="11"/>
  <c r="S62" i="11"/>
  <c r="Y61" i="11"/>
  <c r="H61" i="11"/>
  <c r="N60" i="11"/>
  <c r="T59" i="11"/>
  <c r="C59" i="11"/>
  <c r="I58" i="11"/>
  <c r="O57" i="11"/>
  <c r="U56" i="11"/>
  <c r="D56" i="11"/>
  <c r="J55" i="11"/>
  <c r="P54" i="11"/>
  <c r="V53" i="11"/>
  <c r="E53" i="11"/>
  <c r="K49" i="11"/>
  <c r="P48" i="11"/>
  <c r="V47" i="11"/>
  <c r="E47" i="11"/>
  <c r="K46" i="11"/>
  <c r="Q44" i="11"/>
  <c r="W43" i="11"/>
  <c r="F43" i="11"/>
  <c r="L42" i="11"/>
  <c r="R41" i="11"/>
  <c r="X39" i="11"/>
  <c r="G39" i="11"/>
  <c r="M38" i="11"/>
  <c r="S37" i="11"/>
  <c r="Y35" i="11"/>
  <c r="H35" i="11"/>
  <c r="M34" i="11"/>
  <c r="S33" i="11"/>
  <c r="Y32" i="11"/>
  <c r="H32" i="11"/>
  <c r="N31" i="11"/>
  <c r="T30" i="11"/>
  <c r="C30" i="11"/>
  <c r="I29" i="11"/>
  <c r="O28" i="11"/>
  <c r="U27" i="11"/>
  <c r="D27" i="11"/>
  <c r="J26" i="11"/>
  <c r="P25" i="11"/>
  <c r="V24" i="11"/>
  <c r="E24" i="11"/>
  <c r="J23" i="11"/>
  <c r="P22" i="11"/>
  <c r="V21" i="11"/>
  <c r="E21" i="11"/>
  <c r="K20" i="11"/>
  <c r="Q19" i="11"/>
  <c r="W18" i="11"/>
  <c r="F18" i="11"/>
  <c r="L17" i="11"/>
  <c r="R16" i="11"/>
  <c r="X15" i="11"/>
  <c r="G15" i="11"/>
  <c r="M14" i="11"/>
  <c r="S13" i="11"/>
  <c r="Y12" i="11"/>
  <c r="G12" i="11"/>
  <c r="M11" i="11"/>
  <c r="S10" i="11"/>
  <c r="Y9" i="11"/>
  <c r="H9" i="11"/>
  <c r="N8" i="11"/>
  <c r="T7" i="11"/>
  <c r="C7" i="11"/>
  <c r="I6" i="11"/>
  <c r="P72" i="10"/>
  <c r="W71" i="10"/>
  <c r="G71" i="10"/>
  <c r="N70" i="10"/>
  <c r="U69" i="10"/>
  <c r="E69" i="10"/>
  <c r="L68" i="10"/>
  <c r="S67" i="10"/>
  <c r="C67" i="10"/>
  <c r="J66" i="10"/>
  <c r="Q65" i="10"/>
  <c r="X64" i="10"/>
  <c r="H64" i="10"/>
  <c r="O63" i="10"/>
  <c r="V62" i="10"/>
  <c r="F62" i="10"/>
  <c r="M61" i="10"/>
  <c r="T57" i="10"/>
  <c r="D57" i="10"/>
  <c r="K56" i="10"/>
  <c r="R55" i="10"/>
  <c r="Y54" i="10"/>
  <c r="I54" i="10"/>
  <c r="P52" i="10"/>
  <c r="W51" i="10"/>
  <c r="G51" i="10"/>
  <c r="N50" i="10"/>
  <c r="U49" i="10"/>
  <c r="E49" i="10"/>
  <c r="L47" i="10"/>
  <c r="S46" i="10"/>
  <c r="E11" i="14"/>
  <c r="J48" i="13"/>
  <c r="P36" i="13"/>
  <c r="P29" i="13"/>
  <c r="S18" i="13"/>
  <c r="Y12" i="13"/>
  <c r="E7" i="13"/>
  <c r="O106" i="12"/>
  <c r="Y101" i="12"/>
  <c r="P97" i="12"/>
  <c r="T92" i="12"/>
  <c r="S88" i="12"/>
  <c r="T84" i="12"/>
  <c r="F81" i="12"/>
  <c r="G78" i="12"/>
  <c r="J75" i="12"/>
  <c r="K72" i="12"/>
  <c r="M69" i="12"/>
  <c r="P66" i="12"/>
  <c r="M64" i="12"/>
  <c r="R62" i="12"/>
  <c r="V60" i="12"/>
  <c r="X58" i="12"/>
  <c r="O57" i="12"/>
  <c r="C56" i="12"/>
  <c r="M52" i="12"/>
  <c r="E51" i="12"/>
  <c r="X49" i="12"/>
  <c r="Y48" i="12"/>
  <c r="W47" i="12"/>
  <c r="T45" i="12"/>
  <c r="W44" i="12"/>
  <c r="T43" i="12"/>
  <c r="V42" i="12"/>
  <c r="V41" i="12"/>
  <c r="Y40" i="12"/>
  <c r="Y39" i="12"/>
  <c r="D39" i="12"/>
  <c r="C38" i="12"/>
  <c r="G37" i="12"/>
  <c r="G36" i="12"/>
  <c r="J34" i="12"/>
  <c r="N33" i="12"/>
  <c r="P32" i="12"/>
  <c r="U31" i="12"/>
  <c r="Y30" i="12"/>
  <c r="AA29" i="12"/>
  <c r="G29" i="12"/>
  <c r="K28" i="12"/>
  <c r="M27" i="12"/>
  <c r="R26" i="12"/>
  <c r="V25" i="12"/>
  <c r="X24" i="12"/>
  <c r="D24" i="12"/>
  <c r="H22" i="12"/>
  <c r="J21" i="12"/>
  <c r="O20" i="12"/>
  <c r="S19" i="12"/>
  <c r="U18" i="12"/>
  <c r="Z17" i="12"/>
  <c r="E17" i="12"/>
  <c r="G16" i="12"/>
  <c r="M15" i="12"/>
  <c r="S13" i="12"/>
  <c r="W12" i="12"/>
  <c r="C12" i="12"/>
  <c r="I11" i="12"/>
  <c r="O10" i="12"/>
  <c r="T9" i="12"/>
  <c r="X8" i="12"/>
  <c r="E8" i="12"/>
  <c r="I64" i="11"/>
  <c r="L63" i="11"/>
  <c r="Q62" i="11"/>
  <c r="W61" i="11"/>
  <c r="F61" i="11"/>
  <c r="L60" i="11"/>
  <c r="R59" i="11"/>
  <c r="X58" i="11"/>
  <c r="G58" i="11"/>
  <c r="M57" i="11"/>
  <c r="S56" i="11"/>
  <c r="Y55" i="11"/>
  <c r="H55" i="11"/>
  <c r="N54" i="11"/>
  <c r="T53" i="11"/>
  <c r="Y49" i="11"/>
  <c r="H49" i="11"/>
  <c r="N48" i="11"/>
  <c r="T47" i="11"/>
  <c r="C47" i="11"/>
  <c r="I46" i="11"/>
  <c r="O44" i="11"/>
  <c r="U43" i="11"/>
  <c r="D43" i="11"/>
  <c r="J42" i="11"/>
  <c r="P41" i="11"/>
  <c r="V39" i="11"/>
  <c r="E39" i="11"/>
  <c r="K38" i="11"/>
  <c r="Q37" i="11"/>
  <c r="V35" i="11"/>
  <c r="E35" i="11"/>
  <c r="K34" i="11"/>
  <c r="Q33" i="11"/>
  <c r="W32" i="11"/>
  <c r="F32" i="11"/>
  <c r="L31" i="11"/>
  <c r="R30" i="11"/>
  <c r="X29" i="11"/>
  <c r="G29" i="11"/>
  <c r="M28" i="11"/>
  <c r="S27" i="11"/>
  <c r="Y26" i="11"/>
  <c r="H26" i="11"/>
  <c r="N25" i="11"/>
  <c r="S24" i="11"/>
  <c r="Y23" i="11"/>
  <c r="H23" i="11"/>
  <c r="N22" i="11"/>
  <c r="T21" i="11"/>
  <c r="C21" i="11"/>
  <c r="I20" i="11"/>
  <c r="O19" i="11"/>
  <c r="U18" i="11"/>
  <c r="D18" i="11"/>
  <c r="J17" i="11"/>
  <c r="P16" i="11"/>
  <c r="V15" i="11"/>
  <c r="E15" i="11"/>
  <c r="K14" i="11"/>
  <c r="P13" i="11"/>
  <c r="V12" i="11"/>
  <c r="E12" i="11"/>
  <c r="K11" i="11"/>
  <c r="Q10" i="11"/>
  <c r="W9" i="11"/>
  <c r="F9" i="11"/>
  <c r="L8" i="11"/>
  <c r="R7" i="11"/>
  <c r="X6" i="11"/>
  <c r="G6" i="11"/>
  <c r="N72" i="10"/>
  <c r="U71" i="10"/>
  <c r="E71" i="10"/>
  <c r="L70" i="10"/>
  <c r="S69" i="10"/>
  <c r="C69" i="10"/>
  <c r="J68" i="10"/>
  <c r="Q67" i="10"/>
  <c r="X66" i="10"/>
  <c r="H66" i="10"/>
  <c r="O65" i="10"/>
  <c r="V64" i="10"/>
  <c r="F64" i="10"/>
  <c r="M63" i="10"/>
  <c r="T62" i="10"/>
  <c r="D62" i="10"/>
  <c r="K61" i="10"/>
  <c r="R57" i="10"/>
  <c r="Y56" i="10"/>
  <c r="I56" i="10"/>
  <c r="P55" i="10"/>
  <c r="W54" i="10"/>
  <c r="G54" i="10"/>
  <c r="N52" i="10"/>
  <c r="U51" i="10"/>
  <c r="E51" i="10"/>
  <c r="L50" i="10"/>
  <c r="S49" i="10"/>
  <c r="C49" i="10"/>
  <c r="J47" i="10"/>
  <c r="Q46" i="10"/>
  <c r="X45" i="10"/>
  <c r="H45" i="10"/>
  <c r="O43" i="10"/>
  <c r="V42" i="10"/>
  <c r="F42" i="10"/>
  <c r="M41" i="10"/>
  <c r="T40" i="10"/>
  <c r="D40" i="10"/>
  <c r="K39" i="10"/>
  <c r="R38" i="10"/>
  <c r="Y37" i="10"/>
  <c r="I37" i="10"/>
  <c r="P36" i="10"/>
  <c r="W35" i="10"/>
  <c r="G35" i="10"/>
  <c r="N34" i="10"/>
  <c r="U33" i="10"/>
  <c r="E33" i="10"/>
  <c r="L32" i="10"/>
  <c r="S31" i="10"/>
  <c r="C31" i="10"/>
  <c r="J30" i="10"/>
  <c r="Q29" i="10"/>
  <c r="X28" i="10"/>
  <c r="H28" i="10"/>
  <c r="O27" i="10"/>
  <c r="V26" i="10"/>
  <c r="F26" i="10"/>
  <c r="M25" i="10"/>
  <c r="T24" i="10"/>
  <c r="D24" i="10"/>
  <c r="K23" i="10"/>
  <c r="R22" i="10"/>
  <c r="Y21" i="10"/>
  <c r="I21" i="10"/>
  <c r="P20" i="10"/>
  <c r="W19" i="10"/>
  <c r="G19" i="10"/>
  <c r="N18" i="10"/>
  <c r="U17" i="10"/>
  <c r="E17" i="10"/>
  <c r="L16" i="10"/>
  <c r="S15" i="10"/>
  <c r="C15" i="10"/>
  <c r="J14" i="10"/>
  <c r="Q13" i="10"/>
  <c r="X12" i="10"/>
  <c r="H12" i="10"/>
  <c r="O11" i="10"/>
  <c r="V10" i="10"/>
  <c r="F10" i="10"/>
  <c r="M9" i="10"/>
  <c r="T8" i="10"/>
  <c r="D8" i="10"/>
  <c r="K7" i="10"/>
  <c r="R6" i="10"/>
  <c r="X30" i="9"/>
  <c r="E7" i="14"/>
  <c r="F48" i="13"/>
  <c r="G36" i="13"/>
  <c r="N26" i="13"/>
  <c r="R18" i="13"/>
  <c r="U12" i="13"/>
  <c r="H112" i="12"/>
  <c r="N106" i="12"/>
  <c r="W101" i="12"/>
  <c r="X96" i="12"/>
  <c r="S92" i="12"/>
  <c r="Q88" i="12"/>
  <c r="E84" i="12"/>
  <c r="D81" i="12"/>
  <c r="E78" i="12"/>
  <c r="G75" i="12"/>
  <c r="I72" i="12"/>
  <c r="K69" i="12"/>
  <c r="O66" i="12"/>
  <c r="K64" i="12"/>
  <c r="J62" i="12"/>
  <c r="T60" i="12"/>
  <c r="W58" i="12"/>
  <c r="M57" i="12"/>
  <c r="U53" i="12"/>
  <c r="L52" i="12"/>
  <c r="D51" i="12"/>
  <c r="W49" i="12"/>
  <c r="T48" i="12"/>
  <c r="V47" i="12"/>
  <c r="S45" i="12"/>
  <c r="U44" i="12"/>
  <c r="S43" i="12"/>
  <c r="R42" i="12"/>
  <c r="U41" i="12"/>
  <c r="X40" i="12"/>
  <c r="X39" i="12"/>
  <c r="AA38" i="12"/>
  <c r="AA37" i="12"/>
  <c r="F37" i="12"/>
  <c r="E36" i="12"/>
  <c r="I34" i="12"/>
  <c r="J33" i="12"/>
  <c r="O32" i="12"/>
  <c r="T31" i="12"/>
  <c r="U30" i="12"/>
  <c r="Z29" i="12"/>
  <c r="F29" i="12"/>
  <c r="G28" i="12"/>
  <c r="L27" i="12"/>
  <c r="Q26" i="12"/>
  <c r="R25" i="12"/>
  <c r="W24" i="12"/>
  <c r="C24" i="12"/>
  <c r="D22" i="12"/>
  <c r="I21" i="12"/>
  <c r="N20" i="12"/>
  <c r="O19" i="12"/>
  <c r="T18" i="12"/>
  <c r="Y17" i="12"/>
  <c r="Z16" i="12"/>
  <c r="F16" i="12"/>
  <c r="L15" i="12"/>
  <c r="Q13" i="12"/>
  <c r="U12" i="12"/>
  <c r="AA11" i="12"/>
  <c r="H11" i="12"/>
  <c r="N10" i="12"/>
  <c r="R9" i="12"/>
  <c r="W8" i="12"/>
  <c r="D8" i="12"/>
  <c r="H64" i="11"/>
  <c r="K63" i="11"/>
  <c r="P62" i="11"/>
  <c r="V61" i="11"/>
  <c r="E61" i="11"/>
  <c r="K60" i="11"/>
  <c r="Q59" i="11"/>
  <c r="W58" i="11"/>
  <c r="F58" i="11"/>
  <c r="L57" i="11"/>
  <c r="R56" i="11"/>
  <c r="X55" i="11"/>
  <c r="G55" i="11"/>
  <c r="M54" i="11"/>
  <c r="R53" i="11"/>
  <c r="X49" i="11"/>
  <c r="G49" i="11"/>
  <c r="M48" i="11"/>
  <c r="S47" i="11"/>
  <c r="Y46" i="11"/>
  <c r="H46" i="11"/>
  <c r="N44" i="11"/>
  <c r="T43" i="11"/>
  <c r="C43" i="11"/>
  <c r="I42" i="11"/>
  <c r="O41" i="11"/>
  <c r="U39" i="11"/>
  <c r="D39" i="11"/>
  <c r="J38" i="11"/>
  <c r="O37" i="11"/>
  <c r="U35" i="11"/>
  <c r="D35" i="11"/>
  <c r="J34" i="11"/>
  <c r="P33" i="11"/>
  <c r="V32" i="11"/>
  <c r="E32" i="11"/>
  <c r="K31" i="11"/>
  <c r="Q30" i="11"/>
  <c r="W29" i="11"/>
  <c r="F29" i="11"/>
  <c r="L28" i="11"/>
  <c r="R27" i="11"/>
  <c r="X26" i="11"/>
  <c r="G26" i="11"/>
  <c r="L25" i="11"/>
  <c r="R24" i="11"/>
  <c r="X23" i="11"/>
  <c r="G23" i="11"/>
  <c r="M22" i="11"/>
  <c r="S21" i="11"/>
  <c r="Y20" i="11"/>
  <c r="H20" i="11"/>
  <c r="N19" i="11"/>
  <c r="T18" i="11"/>
  <c r="C18" i="11"/>
  <c r="I17" i="11"/>
  <c r="O16" i="11"/>
  <c r="U15" i="11"/>
  <c r="D15" i="11"/>
  <c r="I14" i="11"/>
  <c r="O13" i="11"/>
  <c r="U12" i="11"/>
  <c r="D12" i="11"/>
  <c r="J11" i="11"/>
  <c r="P10" i="11"/>
  <c r="V9" i="11"/>
  <c r="E9" i="11"/>
  <c r="K8" i="11"/>
  <c r="Q7" i="11"/>
  <c r="W6" i="11"/>
  <c r="F6" i="11"/>
  <c r="M72" i="10"/>
  <c r="T71" i="10"/>
  <c r="D71" i="10"/>
  <c r="K70" i="10"/>
  <c r="R69" i="10"/>
  <c r="Y68" i="10"/>
  <c r="I68" i="10"/>
  <c r="P67" i="10"/>
  <c r="W66" i="10"/>
  <c r="G66" i="10"/>
  <c r="N65" i="10"/>
  <c r="U64" i="10"/>
  <c r="E64" i="10"/>
  <c r="L63" i="10"/>
  <c r="S62" i="10"/>
  <c r="C62" i="10"/>
  <c r="J61" i="10"/>
  <c r="Q57" i="10"/>
  <c r="X56" i="10"/>
  <c r="H56" i="10"/>
  <c r="O55" i="10"/>
  <c r="V54" i="10"/>
  <c r="F54" i="10"/>
  <c r="M52" i="10"/>
  <c r="T51" i="10"/>
  <c r="D51" i="10"/>
  <c r="K50" i="10"/>
  <c r="R49" i="10"/>
  <c r="Y47" i="10"/>
  <c r="I47" i="10"/>
  <c r="P46" i="10"/>
  <c r="W45" i="10"/>
  <c r="G45" i="10"/>
  <c r="N43" i="10"/>
  <c r="U42" i="10"/>
  <c r="E42" i="10"/>
  <c r="L41" i="10"/>
  <c r="S40" i="10"/>
  <c r="C40" i="10"/>
  <c r="J39" i="10"/>
  <c r="Q38" i="10"/>
  <c r="X37" i="10"/>
  <c r="H37" i="10"/>
  <c r="O36" i="10"/>
  <c r="V35" i="10"/>
  <c r="F35" i="10"/>
  <c r="M34" i="10"/>
  <c r="T33" i="10"/>
  <c r="D33" i="10"/>
  <c r="K32" i="10"/>
  <c r="R31" i="10"/>
  <c r="Y30" i="10"/>
  <c r="I30" i="10"/>
  <c r="P29" i="10"/>
  <c r="W28" i="10"/>
  <c r="G28" i="10"/>
  <c r="N27" i="10"/>
  <c r="U26" i="10"/>
  <c r="E26" i="10"/>
  <c r="L25" i="10"/>
  <c r="S24" i="10"/>
  <c r="C24" i="10"/>
  <c r="J23" i="10"/>
  <c r="Q22" i="10"/>
  <c r="X21" i="10"/>
  <c r="H21" i="10"/>
  <c r="O20" i="10"/>
  <c r="V19" i="10"/>
  <c r="F19" i="10"/>
  <c r="M18" i="10"/>
  <c r="T17" i="10"/>
  <c r="D17" i="10"/>
  <c r="K16" i="10"/>
  <c r="R15" i="10"/>
  <c r="Z62" i="13"/>
  <c r="T47" i="13"/>
  <c r="H35" i="13"/>
  <c r="M26" i="13"/>
  <c r="N18" i="13"/>
  <c r="W11" i="13"/>
  <c r="D112" i="12"/>
  <c r="J106" i="12"/>
  <c r="F101" i="12"/>
  <c r="V96" i="12"/>
  <c r="O92" i="12"/>
  <c r="Z87" i="12"/>
  <c r="D84" i="12"/>
  <c r="Q80" i="12"/>
  <c r="S77" i="12"/>
  <c r="U74" i="12"/>
  <c r="V71" i="12"/>
  <c r="Y68" i="12"/>
  <c r="M66" i="12"/>
  <c r="J64" i="12"/>
  <c r="H62" i="12"/>
  <c r="Q60" i="12"/>
  <c r="V58" i="12"/>
  <c r="J57" i="12"/>
  <c r="T53" i="12"/>
  <c r="K52" i="12"/>
  <c r="C51" i="12"/>
  <c r="V49" i="12"/>
  <c r="R48" i="12"/>
  <c r="U47" i="12"/>
  <c r="R45" i="12"/>
  <c r="T44" i="12"/>
  <c r="R43" i="12"/>
  <c r="Q42" i="12"/>
  <c r="T41" i="12"/>
  <c r="T40" i="12"/>
  <c r="W39" i="12"/>
  <c r="Z38" i="12"/>
  <c r="Z37" i="12"/>
  <c r="D37" i="12"/>
  <c r="D36" i="12"/>
  <c r="H34" i="12"/>
  <c r="I33" i="12"/>
  <c r="N32" i="12"/>
  <c r="S31" i="12"/>
  <c r="T30" i="12"/>
  <c r="Y29" i="12"/>
  <c r="E29" i="12"/>
  <c r="F28" i="12"/>
  <c r="K27" i="12"/>
  <c r="P26" i="12"/>
  <c r="Q25" i="12"/>
  <c r="V24" i="12"/>
  <c r="AA22" i="12"/>
  <c r="C22" i="12"/>
  <c r="H21" i="12"/>
  <c r="M20" i="12"/>
  <c r="N19" i="12"/>
  <c r="S18" i="12"/>
  <c r="X17" i="12"/>
  <c r="Y16" i="12"/>
  <c r="E16" i="12"/>
  <c r="K15" i="12"/>
  <c r="P13" i="12"/>
  <c r="T12" i="12"/>
  <c r="Z11" i="12"/>
  <c r="G11" i="12"/>
  <c r="L10" i="12"/>
  <c r="P9" i="12"/>
  <c r="V8" i="12"/>
  <c r="C8" i="12"/>
  <c r="G64" i="11"/>
  <c r="I63" i="11"/>
  <c r="O62" i="11"/>
  <c r="U61" i="11"/>
  <c r="D61" i="11"/>
  <c r="J60" i="11"/>
  <c r="P59" i="11"/>
  <c r="V58" i="11"/>
  <c r="E58" i="11"/>
  <c r="K57" i="11"/>
  <c r="Q56" i="11"/>
  <c r="W55" i="11"/>
  <c r="F55" i="11"/>
  <c r="K54" i="11"/>
  <c r="Q53" i="11"/>
  <c r="W49" i="11"/>
  <c r="F49" i="11"/>
  <c r="L48" i="11"/>
  <c r="R47" i="11"/>
  <c r="X46" i="11"/>
  <c r="G46" i="11"/>
  <c r="M44" i="11"/>
  <c r="S43" i="11"/>
  <c r="Y42" i="11"/>
  <c r="H42" i="11"/>
  <c r="N41" i="11"/>
  <c r="T39" i="11"/>
  <c r="C39" i="11"/>
  <c r="H38" i="11"/>
  <c r="N37" i="11"/>
  <c r="T35" i="11"/>
  <c r="C35" i="11"/>
  <c r="I34" i="11"/>
  <c r="O33" i="11"/>
  <c r="U32" i="11"/>
  <c r="D32" i="11"/>
  <c r="J31" i="11"/>
  <c r="P30" i="11"/>
  <c r="V29" i="11"/>
  <c r="E29" i="11"/>
  <c r="K28" i="11"/>
  <c r="Q27" i="11"/>
  <c r="W26" i="11"/>
  <c r="E26" i="11"/>
  <c r="K25" i="11"/>
  <c r="Q24" i="11"/>
  <c r="W23" i="11"/>
  <c r="F23" i="11"/>
  <c r="L22" i="11"/>
  <c r="R21" i="11"/>
  <c r="X20" i="11"/>
  <c r="G20" i="11"/>
  <c r="M19" i="11"/>
  <c r="S18" i="11"/>
  <c r="Y17" i="11"/>
  <c r="H17" i="11"/>
  <c r="N16" i="11"/>
  <c r="T15" i="11"/>
  <c r="Y14" i="11"/>
  <c r="H14" i="11"/>
  <c r="N13" i="11"/>
  <c r="T12" i="11"/>
  <c r="C12" i="11"/>
  <c r="I11" i="11"/>
  <c r="O10" i="11"/>
  <c r="U9" i="11"/>
  <c r="D9" i="11"/>
  <c r="J8" i="11"/>
  <c r="P7" i="11"/>
  <c r="V6" i="11"/>
  <c r="E6" i="11"/>
  <c r="L72" i="10"/>
  <c r="S71" i="10"/>
  <c r="C71" i="10"/>
  <c r="J70" i="10"/>
  <c r="Q69" i="10"/>
  <c r="X68" i="10"/>
  <c r="H68" i="10"/>
  <c r="O67" i="10"/>
  <c r="V66" i="10"/>
  <c r="F66" i="10"/>
  <c r="M65" i="10"/>
  <c r="T64" i="10"/>
  <c r="D64" i="10"/>
  <c r="K63" i="10"/>
  <c r="R62" i="10"/>
  <c r="Y61" i="10"/>
  <c r="I61" i="10"/>
  <c r="P57" i="10"/>
  <c r="W56" i="10"/>
  <c r="G56" i="10"/>
  <c r="Q107" i="12"/>
  <c r="Z75" i="12"/>
  <c r="R57" i="12"/>
  <c r="Z44" i="12"/>
  <c r="J37" i="12"/>
  <c r="D31" i="12"/>
  <c r="S26" i="12"/>
  <c r="S20" i="12"/>
  <c r="J16" i="12"/>
  <c r="J11" i="12"/>
  <c r="Q63" i="11"/>
  <c r="U59" i="11"/>
  <c r="C56" i="11"/>
  <c r="X48" i="11"/>
  <c r="Y44" i="11"/>
  <c r="Y41" i="11"/>
  <c r="C38" i="11"/>
  <c r="L34" i="11"/>
  <c r="G32" i="11"/>
  <c r="E30" i="11"/>
  <c r="E28" i="11"/>
  <c r="I26" i="11"/>
  <c r="G24" i="11"/>
  <c r="G22" i="11"/>
  <c r="J20" i="11"/>
  <c r="H18" i="11"/>
  <c r="Q16" i="11"/>
  <c r="U14" i="11"/>
  <c r="G13" i="11"/>
  <c r="N11" i="11"/>
  <c r="S9" i="11"/>
  <c r="E8" i="11"/>
  <c r="K6" i="11"/>
  <c r="X71" i="10"/>
  <c r="O70" i="10"/>
  <c r="F69" i="10"/>
  <c r="T67" i="10"/>
  <c r="K66" i="10"/>
  <c r="Y64" i="10"/>
  <c r="P63" i="10"/>
  <c r="G62" i="10"/>
  <c r="U57" i="10"/>
  <c r="L56" i="10"/>
  <c r="D55" i="10"/>
  <c r="W52" i="10"/>
  <c r="Q51" i="10"/>
  <c r="J50" i="10"/>
  <c r="F49" i="10"/>
  <c r="X46" i="10"/>
  <c r="T45" i="10"/>
  <c r="Q43" i="10"/>
  <c r="O42" i="10"/>
  <c r="K41" i="10"/>
  <c r="H40" i="10"/>
  <c r="H39" i="10"/>
  <c r="G38" i="10"/>
  <c r="G37" i="10"/>
  <c r="G36" i="10"/>
  <c r="H35" i="10"/>
  <c r="G34" i="10"/>
  <c r="G33" i="10"/>
  <c r="F32" i="10"/>
  <c r="F31" i="10"/>
  <c r="F30" i="10"/>
  <c r="E29" i="10"/>
  <c r="F28" i="10"/>
  <c r="H27" i="10"/>
  <c r="J26" i="10"/>
  <c r="K25" i="10"/>
  <c r="M24" i="10"/>
  <c r="O23" i="10"/>
  <c r="P22" i="10"/>
  <c r="R21" i="10"/>
  <c r="T20" i="10"/>
  <c r="U19" i="10"/>
  <c r="W18" i="10"/>
  <c r="Y17" i="10"/>
  <c r="C17" i="10"/>
  <c r="E16" i="10"/>
  <c r="G15" i="10"/>
  <c r="K14" i="10"/>
  <c r="N13" i="10"/>
  <c r="Q12" i="10"/>
  <c r="T11" i="10"/>
  <c r="X10" i="10"/>
  <c r="D10" i="10"/>
  <c r="G9" i="10"/>
  <c r="J8" i="10"/>
  <c r="N7" i="10"/>
  <c r="Q6" i="10"/>
  <c r="T30" i="9"/>
  <c r="W29" i="9"/>
  <c r="D29" i="9"/>
  <c r="H28" i="9"/>
  <c r="L23" i="9"/>
  <c r="P22" i="9"/>
  <c r="T21" i="9"/>
  <c r="X19" i="9"/>
  <c r="E19" i="9"/>
  <c r="H18" i="9"/>
  <c r="N17" i="9"/>
  <c r="T15" i="9"/>
  <c r="D15" i="9"/>
  <c r="J14" i="9"/>
  <c r="P13" i="9"/>
  <c r="V11" i="9"/>
  <c r="F11" i="9"/>
  <c r="L10" i="9"/>
  <c r="R9" i="9"/>
  <c r="X8" i="9"/>
  <c r="H8" i="9"/>
  <c r="N7" i="9"/>
  <c r="T6" i="9"/>
  <c r="D6" i="9"/>
  <c r="L14" i="8"/>
  <c r="T13" i="8"/>
  <c r="D13" i="8"/>
  <c r="L12" i="8"/>
  <c r="T10" i="8"/>
  <c r="D10" i="8"/>
  <c r="L9" i="8"/>
  <c r="T8" i="8"/>
  <c r="D8" i="8"/>
  <c r="L7" i="8"/>
  <c r="T6" i="8"/>
  <c r="D6" i="8"/>
  <c r="K27" i="7"/>
  <c r="R26" i="7"/>
  <c r="Y25" i="7"/>
  <c r="I25" i="7"/>
  <c r="P23" i="7"/>
  <c r="W22" i="7"/>
  <c r="G22" i="7"/>
  <c r="N20" i="7"/>
  <c r="U19" i="7"/>
  <c r="E19" i="7"/>
  <c r="L18" i="7"/>
  <c r="S17" i="7"/>
  <c r="C17" i="7"/>
  <c r="J16" i="7"/>
  <c r="Q15" i="7"/>
  <c r="X14" i="7"/>
  <c r="H14" i="7"/>
  <c r="O13" i="7"/>
  <c r="V12" i="7"/>
  <c r="F12" i="7"/>
  <c r="M11" i="7"/>
  <c r="T8" i="7"/>
  <c r="D8" i="7"/>
  <c r="K7" i="7"/>
  <c r="R6" i="7"/>
  <c r="X55" i="6"/>
  <c r="H55" i="6"/>
  <c r="N54" i="6"/>
  <c r="T53" i="6"/>
  <c r="D53" i="6"/>
  <c r="J52" i="6"/>
  <c r="P50" i="6"/>
  <c r="V49" i="6"/>
  <c r="F49" i="6"/>
  <c r="L48" i="6"/>
  <c r="R46" i="6"/>
  <c r="X45" i="6"/>
  <c r="H45" i="6"/>
  <c r="N44" i="6"/>
  <c r="T43" i="6"/>
  <c r="D43" i="6"/>
  <c r="J41" i="6"/>
  <c r="P40" i="6"/>
  <c r="V39" i="6"/>
  <c r="F39" i="6"/>
  <c r="L38" i="6"/>
  <c r="R36" i="6"/>
  <c r="X35" i="6"/>
  <c r="H35" i="6"/>
  <c r="N34" i="6"/>
  <c r="T33" i="6"/>
  <c r="D33" i="6"/>
  <c r="J31" i="6"/>
  <c r="P30" i="6"/>
  <c r="V29" i="6"/>
  <c r="F29" i="6"/>
  <c r="L28" i="6"/>
  <c r="R26" i="6"/>
  <c r="X25" i="6"/>
  <c r="H25" i="6"/>
  <c r="N24" i="6"/>
  <c r="T23" i="6"/>
  <c r="D23" i="6"/>
  <c r="J21" i="6"/>
  <c r="P20" i="6"/>
  <c r="V19" i="6"/>
  <c r="F19" i="6"/>
  <c r="L18" i="6"/>
  <c r="R16" i="6"/>
  <c r="X15" i="6"/>
  <c r="H15" i="6"/>
  <c r="N14" i="6"/>
  <c r="T13" i="6"/>
  <c r="D13" i="6"/>
  <c r="J11" i="6"/>
  <c r="P10" i="6"/>
  <c r="V9" i="6"/>
  <c r="F9" i="6"/>
  <c r="L8" i="6"/>
  <c r="R6" i="6"/>
  <c r="X30" i="5"/>
  <c r="H30" i="5"/>
  <c r="N29" i="5"/>
  <c r="L107" i="12"/>
  <c r="K75" i="12"/>
  <c r="P57" i="12"/>
  <c r="X44" i="12"/>
  <c r="H37" i="12"/>
  <c r="Z30" i="12"/>
  <c r="AA25" i="12"/>
  <c r="R20" i="12"/>
  <c r="H16" i="12"/>
  <c r="S10" i="12"/>
  <c r="P63" i="11"/>
  <c r="S59" i="11"/>
  <c r="L55" i="11"/>
  <c r="S48" i="11"/>
  <c r="S44" i="11"/>
  <c r="T41" i="11"/>
  <c r="U37" i="11"/>
  <c r="D34" i="11"/>
  <c r="W31" i="11"/>
  <c r="D30" i="11"/>
  <c r="C28" i="11"/>
  <c r="X25" i="11"/>
  <c r="F24" i="11"/>
  <c r="E22" i="11"/>
  <c r="C20" i="11"/>
  <c r="G18" i="11"/>
  <c r="K16" i="11"/>
  <c r="T14" i="11"/>
  <c r="D13" i="11"/>
  <c r="L11" i="11"/>
  <c r="Q9" i="11"/>
  <c r="Y7" i="11"/>
  <c r="J6" i="11"/>
  <c r="V71" i="10"/>
  <c r="M70" i="10"/>
  <c r="D69" i="10"/>
  <c r="R67" i="10"/>
  <c r="I66" i="10"/>
  <c r="W64" i="10"/>
  <c r="N63" i="10"/>
  <c r="E62" i="10"/>
  <c r="S57" i="10"/>
  <c r="J56" i="10"/>
  <c r="C55" i="10"/>
  <c r="U52" i="10"/>
  <c r="O51" i="10"/>
  <c r="I50" i="10"/>
  <c r="D49" i="10"/>
  <c r="U46" i="10"/>
  <c r="R45" i="10"/>
  <c r="P43" i="10"/>
  <c r="M42" i="10"/>
  <c r="J41" i="10"/>
  <c r="G40" i="10"/>
  <c r="G39" i="10"/>
  <c r="F38" i="10"/>
  <c r="F37" i="10"/>
  <c r="E36" i="10"/>
  <c r="E35" i="10"/>
  <c r="E34" i="10"/>
  <c r="F33" i="10"/>
  <c r="E32" i="10"/>
  <c r="E31" i="10"/>
  <c r="D30" i="10"/>
  <c r="D29" i="10"/>
  <c r="E28" i="10"/>
  <c r="F27" i="10"/>
  <c r="I26" i="10"/>
  <c r="J25" i="10"/>
  <c r="K24" i="10"/>
  <c r="N23" i="10"/>
  <c r="O22" i="10"/>
  <c r="P21" i="10"/>
  <c r="S20" i="10"/>
  <c r="T19" i="10"/>
  <c r="U18" i="10"/>
  <c r="X17" i="10"/>
  <c r="Y16" i="10"/>
  <c r="C16" i="10"/>
  <c r="F15" i="10"/>
  <c r="I14" i="10"/>
  <c r="M13" i="10"/>
  <c r="O12" i="10"/>
  <c r="S11" i="10"/>
  <c r="W10" i="10"/>
  <c r="C10" i="10"/>
  <c r="F9" i="10"/>
  <c r="I8" i="10"/>
  <c r="M7" i="10"/>
  <c r="P6" i="10"/>
  <c r="R30" i="9"/>
  <c r="U29" i="9"/>
  <c r="C29" i="9"/>
  <c r="G28" i="9"/>
  <c r="K23" i="9"/>
  <c r="O22" i="9"/>
  <c r="S21" i="9"/>
  <c r="V19" i="9"/>
  <c r="C19" i="9"/>
  <c r="G18" i="9"/>
  <c r="M17" i="9"/>
  <c r="S15" i="9"/>
  <c r="C15" i="9"/>
  <c r="I14" i="9"/>
  <c r="O13" i="9"/>
  <c r="U11" i="9"/>
  <c r="E11" i="9"/>
  <c r="K10" i="9"/>
  <c r="Q9" i="9"/>
  <c r="W8" i="9"/>
  <c r="G8" i="9"/>
  <c r="M7" i="9"/>
  <c r="S6" i="9"/>
  <c r="C6" i="9"/>
  <c r="K14" i="8"/>
  <c r="S13" i="8"/>
  <c r="C13" i="8"/>
  <c r="K12" i="8"/>
  <c r="S10" i="8"/>
  <c r="C10" i="8"/>
  <c r="K9" i="8"/>
  <c r="S8" i="8"/>
  <c r="C8" i="8"/>
  <c r="K7" i="8"/>
  <c r="S6" i="8"/>
  <c r="C6" i="8"/>
  <c r="J27" i="7"/>
  <c r="Q26" i="7"/>
  <c r="X25" i="7"/>
  <c r="H25" i="7"/>
  <c r="O23" i="7"/>
  <c r="V22" i="7"/>
  <c r="F22" i="7"/>
  <c r="M20" i="7"/>
  <c r="T19" i="7"/>
  <c r="D19" i="7"/>
  <c r="K18" i="7"/>
  <c r="R17" i="7"/>
  <c r="Y16" i="7"/>
  <c r="I16" i="7"/>
  <c r="P15" i="7"/>
  <c r="W14" i="7"/>
  <c r="G14" i="7"/>
  <c r="X14" i="14"/>
  <c r="U102" i="12"/>
  <c r="AA72" i="12"/>
  <c r="I56" i="12"/>
  <c r="X43" i="12"/>
  <c r="M36" i="12"/>
  <c r="I30" i="12"/>
  <c r="Z25" i="12"/>
  <c r="P20" i="12"/>
  <c r="Q15" i="12"/>
  <c r="R10" i="12"/>
  <c r="N63" i="11"/>
  <c r="E59" i="11"/>
  <c r="K55" i="11"/>
  <c r="R48" i="11"/>
  <c r="R44" i="11"/>
  <c r="S41" i="11"/>
  <c r="T37" i="11"/>
  <c r="Y33" i="11"/>
  <c r="V31" i="11"/>
  <c r="Y29" i="11"/>
  <c r="W27" i="11"/>
  <c r="W25" i="11"/>
  <c r="C24" i="11"/>
  <c r="X21" i="11"/>
  <c r="Y19" i="11"/>
  <c r="E18" i="11"/>
  <c r="I16" i="11"/>
  <c r="R14" i="11"/>
  <c r="C13" i="11"/>
  <c r="G11" i="11"/>
  <c r="P9" i="11"/>
  <c r="V7" i="11"/>
  <c r="H6" i="11"/>
  <c r="R71" i="10"/>
  <c r="I70" i="10"/>
  <c r="W68" i="10"/>
  <c r="N67" i="10"/>
  <c r="E66" i="10"/>
  <c r="S64" i="10"/>
  <c r="J63" i="10"/>
  <c r="X61" i="10"/>
  <c r="O57" i="10"/>
  <c r="F56" i="10"/>
  <c r="X54" i="10"/>
  <c r="R52" i="10"/>
  <c r="N51" i="10"/>
  <c r="H50" i="10"/>
  <c r="X47" i="10"/>
  <c r="T46" i="10"/>
  <c r="Q45" i="10"/>
  <c r="M43" i="10"/>
  <c r="J42" i="10"/>
  <c r="I41" i="10"/>
  <c r="F40" i="10"/>
  <c r="E39" i="10"/>
  <c r="E38" i="10"/>
  <c r="E37" i="10"/>
  <c r="D36" i="10"/>
  <c r="D35" i="10"/>
  <c r="C34" i="10"/>
  <c r="C33" i="10"/>
  <c r="C32" i="10"/>
  <c r="D31" i="10"/>
  <c r="C30" i="10"/>
  <c r="C29" i="10"/>
  <c r="D28" i="10"/>
  <c r="E27" i="10"/>
  <c r="H26" i="10"/>
  <c r="I25" i="10"/>
  <c r="J24" i="10"/>
  <c r="M23" i="10"/>
  <c r="N22" i="10"/>
  <c r="O21" i="10"/>
  <c r="R20" i="10"/>
  <c r="S19" i="10"/>
  <c r="T18" i="10"/>
  <c r="W17" i="10"/>
  <c r="X16" i="10"/>
  <c r="Y15" i="10"/>
  <c r="E15" i="10"/>
  <c r="H14" i="10"/>
  <c r="K13" i="10"/>
  <c r="N12" i="10"/>
  <c r="R11" i="10"/>
  <c r="U10" i="10"/>
  <c r="Y9" i="10"/>
  <c r="D9" i="10"/>
  <c r="H8" i="10"/>
  <c r="L7" i="10"/>
  <c r="O6" i="10"/>
  <c r="Q30" i="9"/>
  <c r="T29" i="9"/>
  <c r="X28" i="9"/>
  <c r="F28" i="9"/>
  <c r="J23" i="9"/>
  <c r="N22" i="9"/>
  <c r="R21" i="9"/>
  <c r="U19" i="9"/>
  <c r="X18" i="9"/>
  <c r="F18" i="9"/>
  <c r="L17" i="9"/>
  <c r="R15" i="9"/>
  <c r="X14" i="9"/>
  <c r="H14" i="9"/>
  <c r="N13" i="9"/>
  <c r="T11" i="9"/>
  <c r="D11" i="9"/>
  <c r="J10" i="9"/>
  <c r="P9" i="9"/>
  <c r="V8" i="9"/>
  <c r="F8" i="9"/>
  <c r="L7" i="9"/>
  <c r="R6" i="9"/>
  <c r="Z14" i="8"/>
  <c r="J14" i="8"/>
  <c r="R13" i="8"/>
  <c r="Z12" i="8"/>
  <c r="J12" i="8"/>
  <c r="R10" i="8"/>
  <c r="Z9" i="8"/>
  <c r="J9" i="8"/>
  <c r="R8" i="8"/>
  <c r="Z7" i="8"/>
  <c r="J7" i="8"/>
  <c r="R6" i="8"/>
  <c r="Y27" i="7"/>
  <c r="I27" i="7"/>
  <c r="P26" i="7"/>
  <c r="W25" i="7"/>
  <c r="G25" i="7"/>
  <c r="N23" i="7"/>
  <c r="U22" i="7"/>
  <c r="E22" i="7"/>
  <c r="L20" i="7"/>
  <c r="S19" i="7"/>
  <c r="C19" i="7"/>
  <c r="J18" i="7"/>
  <c r="Q17" i="7"/>
  <c r="X16" i="7"/>
  <c r="H16" i="7"/>
  <c r="O15" i="7"/>
  <c r="V14" i="7"/>
  <c r="F14" i="7"/>
  <c r="M13" i="7"/>
  <c r="T12" i="7"/>
  <c r="D12" i="7"/>
  <c r="K11" i="7"/>
  <c r="R8" i="7"/>
  <c r="Y7" i="7"/>
  <c r="I7" i="7"/>
  <c r="P6" i="7"/>
  <c r="V55" i="6"/>
  <c r="F55" i="6"/>
  <c r="L54" i="6"/>
  <c r="R53" i="6"/>
  <c r="X52" i="6"/>
  <c r="H52" i="6"/>
  <c r="N50" i="6"/>
  <c r="T49" i="6"/>
  <c r="D49" i="6"/>
  <c r="J48" i="6"/>
  <c r="P46" i="6"/>
  <c r="V45" i="6"/>
  <c r="F45" i="6"/>
  <c r="L44" i="6"/>
  <c r="R43" i="6"/>
  <c r="X41" i="6"/>
  <c r="H41" i="6"/>
  <c r="N40" i="6"/>
  <c r="T39" i="6"/>
  <c r="D39" i="6"/>
  <c r="J38" i="6"/>
  <c r="P36" i="6"/>
  <c r="V35" i="6"/>
  <c r="F35" i="6"/>
  <c r="L34" i="6"/>
  <c r="R33" i="6"/>
  <c r="X31" i="6"/>
  <c r="H31" i="6"/>
  <c r="N30" i="6"/>
  <c r="T29" i="6"/>
  <c r="D29" i="6"/>
  <c r="J28" i="6"/>
  <c r="P26" i="6"/>
  <c r="V25" i="6"/>
  <c r="F25" i="6"/>
  <c r="L24" i="6"/>
  <c r="R23" i="6"/>
  <c r="X21" i="6"/>
  <c r="H21" i="6"/>
  <c r="N20" i="6"/>
  <c r="T19" i="6"/>
  <c r="D19" i="6"/>
  <c r="J18" i="6"/>
  <c r="P16" i="6"/>
  <c r="V15" i="6"/>
  <c r="F15" i="6"/>
  <c r="L14" i="6"/>
  <c r="R13" i="6"/>
  <c r="X11" i="6"/>
  <c r="H11" i="6"/>
  <c r="N10" i="6"/>
  <c r="T9" i="6"/>
  <c r="D9" i="6"/>
  <c r="J8" i="6"/>
  <c r="P6" i="6"/>
  <c r="V30" i="5"/>
  <c r="F30" i="5"/>
  <c r="L29" i="5"/>
  <c r="R28" i="5"/>
  <c r="X23" i="5"/>
  <c r="H23" i="5"/>
  <c r="N22" i="5"/>
  <c r="T21" i="5"/>
  <c r="D21" i="5"/>
  <c r="J19" i="5"/>
  <c r="P18" i="5"/>
  <c r="V17" i="5"/>
  <c r="F17" i="5"/>
  <c r="L15" i="5"/>
  <c r="R14" i="5"/>
  <c r="X13" i="5"/>
  <c r="H13" i="5"/>
  <c r="N11" i="5"/>
  <c r="T10" i="5"/>
  <c r="D10" i="5"/>
  <c r="J9" i="5"/>
  <c r="P8" i="5"/>
  <c r="V7" i="5"/>
  <c r="F7" i="5"/>
  <c r="L6" i="5"/>
  <c r="S53" i="4"/>
  <c r="C53" i="4"/>
  <c r="J52" i="4"/>
  <c r="Q50" i="4"/>
  <c r="X49" i="4"/>
  <c r="H49" i="4"/>
  <c r="O46" i="4"/>
  <c r="V45" i="4"/>
  <c r="F45" i="4"/>
  <c r="M43" i="4"/>
  <c r="T42" i="4"/>
  <c r="D42" i="4"/>
  <c r="K39" i="4"/>
  <c r="R38" i="4"/>
  <c r="Y36" i="4"/>
  <c r="I36" i="4"/>
  <c r="P35" i="4"/>
  <c r="W32" i="4"/>
  <c r="G32" i="4"/>
  <c r="N31" i="4"/>
  <c r="U29" i="4"/>
  <c r="E29" i="4"/>
  <c r="L28" i="4"/>
  <c r="T11" i="14"/>
  <c r="AA101" i="12"/>
  <c r="L72" i="12"/>
  <c r="F56" i="12"/>
  <c r="U43" i="12"/>
  <c r="H36" i="12"/>
  <c r="E30" i="12"/>
  <c r="W25" i="12"/>
  <c r="X19" i="12"/>
  <c r="P15" i="12"/>
  <c r="P10" i="12"/>
  <c r="V62" i="11"/>
  <c r="D59" i="11"/>
  <c r="I55" i="11"/>
  <c r="O48" i="11"/>
  <c r="P44" i="11"/>
  <c r="Q41" i="11"/>
  <c r="R37" i="11"/>
  <c r="V33" i="11"/>
  <c r="T31" i="11"/>
  <c r="R29" i="11"/>
  <c r="V27" i="11"/>
  <c r="U25" i="11"/>
  <c r="S23" i="11"/>
  <c r="W21" i="11"/>
  <c r="V19" i="11"/>
  <c r="W17" i="11"/>
  <c r="H16" i="11"/>
  <c r="O14" i="11"/>
  <c r="W12" i="11"/>
  <c r="E11" i="11"/>
  <c r="N9" i="11"/>
  <c r="U7" i="11"/>
  <c r="C6" i="11"/>
  <c r="Q71" i="10"/>
  <c r="H70" i="10"/>
  <c r="V68" i="10"/>
  <c r="M67" i="10"/>
  <c r="D66" i="10"/>
  <c r="R64" i="10"/>
  <c r="I63" i="10"/>
  <c r="W61" i="10"/>
  <c r="N57" i="10"/>
  <c r="E56" i="10"/>
  <c r="U54" i="10"/>
  <c r="Q52" i="10"/>
  <c r="L51" i="10"/>
  <c r="F50" i="10"/>
  <c r="W47" i="10"/>
  <c r="R46" i="10"/>
  <c r="O45" i="10"/>
  <c r="L43" i="10"/>
  <c r="I42" i="10"/>
  <c r="G41" i="10"/>
  <c r="E40" i="10"/>
  <c r="D39" i="10"/>
  <c r="D38" i="10"/>
  <c r="C37" i="10"/>
  <c r="C36" i="10"/>
  <c r="C35" i="10"/>
  <c r="Y33" i="10"/>
  <c r="Y32" i="10"/>
  <c r="X31" i="10"/>
  <c r="X30" i="10"/>
  <c r="X29" i="10"/>
  <c r="Y28" i="10"/>
  <c r="Y27" i="10"/>
  <c r="D27" i="10"/>
  <c r="G26" i="10"/>
  <c r="G25" i="10"/>
  <c r="I24" i="10"/>
  <c r="L23" i="10"/>
  <c r="L22" i="10"/>
  <c r="N21" i="10"/>
  <c r="Q20" i="10"/>
  <c r="Q19" i="10"/>
  <c r="S18" i="10"/>
  <c r="V17" i="10"/>
  <c r="V16" i="10"/>
  <c r="X15" i="10"/>
  <c r="D15" i="10"/>
  <c r="G14" i="10"/>
  <c r="J13" i="10"/>
  <c r="M12" i="10"/>
  <c r="Q11" i="10"/>
  <c r="T10" i="10"/>
  <c r="W9" i="10"/>
  <c r="C9" i="10"/>
  <c r="G8" i="10"/>
  <c r="J7" i="10"/>
  <c r="N6" i="10"/>
  <c r="O30" i="9"/>
  <c r="S29" i="9"/>
  <c r="W28" i="9"/>
  <c r="E28" i="9"/>
  <c r="I23" i="9"/>
  <c r="M22" i="9"/>
  <c r="P21" i="9"/>
  <c r="S19" i="9"/>
  <c r="W18" i="9"/>
  <c r="E18" i="9"/>
  <c r="K17" i="9"/>
  <c r="Q15" i="9"/>
  <c r="W14" i="9"/>
  <c r="G14" i="9"/>
  <c r="M13" i="9"/>
  <c r="S11" i="9"/>
  <c r="C11" i="9"/>
  <c r="I10" i="9"/>
  <c r="O9" i="9"/>
  <c r="U8" i="9"/>
  <c r="E8" i="9"/>
  <c r="K7" i="9"/>
  <c r="Q6" i="9"/>
  <c r="Y14" i="8"/>
  <c r="I14" i="8"/>
  <c r="Q13" i="8"/>
  <c r="Y12" i="8"/>
  <c r="I12" i="8"/>
  <c r="Q10" i="8"/>
  <c r="Y9" i="8"/>
  <c r="I9" i="8"/>
  <c r="Q8" i="8"/>
  <c r="Y7" i="8"/>
  <c r="I7" i="8"/>
  <c r="Q6" i="8"/>
  <c r="X27" i="7"/>
  <c r="H27" i="7"/>
  <c r="O26" i="7"/>
  <c r="V25" i="7"/>
  <c r="F25" i="7"/>
  <c r="M23" i="7"/>
  <c r="T22" i="7"/>
  <c r="D22" i="7"/>
  <c r="K20" i="7"/>
  <c r="R19" i="7"/>
  <c r="Y18" i="7"/>
  <c r="I18" i="7"/>
  <c r="P17" i="7"/>
  <c r="W16" i="7"/>
  <c r="G16" i="7"/>
  <c r="N15" i="7"/>
  <c r="U14" i="7"/>
  <c r="E14" i="7"/>
  <c r="L13" i="7"/>
  <c r="S12" i="7"/>
  <c r="C12" i="7"/>
  <c r="J11" i="7"/>
  <c r="Q8" i="7"/>
  <c r="X7" i="7"/>
  <c r="H7" i="7"/>
  <c r="O6" i="7"/>
  <c r="U55" i="6"/>
  <c r="E55" i="6"/>
  <c r="K54" i="6"/>
  <c r="Q53" i="6"/>
  <c r="W52" i="6"/>
  <c r="G52" i="6"/>
  <c r="M50" i="6"/>
  <c r="S49" i="6"/>
  <c r="C49" i="6"/>
  <c r="I48" i="6"/>
  <c r="O46" i="6"/>
  <c r="U45" i="6"/>
  <c r="E45" i="6"/>
  <c r="K44" i="6"/>
  <c r="Q43" i="6"/>
  <c r="W41" i="6"/>
  <c r="G41" i="6"/>
  <c r="M40" i="6"/>
  <c r="S39" i="6"/>
  <c r="C39" i="6"/>
  <c r="I38" i="6"/>
  <c r="O36" i="6"/>
  <c r="U35" i="6"/>
  <c r="E35" i="6"/>
  <c r="K34" i="6"/>
  <c r="Q33" i="6"/>
  <c r="W31" i="6"/>
  <c r="G31" i="6"/>
  <c r="M30" i="6"/>
  <c r="S29" i="6"/>
  <c r="C29" i="6"/>
  <c r="I28" i="6"/>
  <c r="O26" i="6"/>
  <c r="U25" i="6"/>
  <c r="E25" i="6"/>
  <c r="K24" i="6"/>
  <c r="Q23" i="6"/>
  <c r="W21" i="6"/>
  <c r="G21" i="6"/>
  <c r="M20" i="6"/>
  <c r="S19" i="6"/>
  <c r="X52" i="13"/>
  <c r="M98" i="12"/>
  <c r="D70" i="12"/>
  <c r="X52" i="12"/>
  <c r="Z42" i="12"/>
  <c r="M34" i="12"/>
  <c r="C30" i="12"/>
  <c r="F25" i="12"/>
  <c r="W19" i="12"/>
  <c r="N15" i="12"/>
  <c r="Y9" i="12"/>
  <c r="U62" i="11"/>
  <c r="Y58" i="11"/>
  <c r="R54" i="11"/>
  <c r="G48" i="11"/>
  <c r="H44" i="11"/>
  <c r="H41" i="11"/>
  <c r="I37" i="11"/>
  <c r="T33" i="11"/>
  <c r="P31" i="11"/>
  <c r="P29" i="11"/>
  <c r="T27" i="11"/>
  <c r="R25" i="11"/>
  <c r="R23" i="11"/>
  <c r="U21" i="11"/>
  <c r="S19" i="11"/>
  <c r="T17" i="11"/>
  <c r="F16" i="11"/>
  <c r="N14" i="11"/>
  <c r="R12" i="11"/>
  <c r="D11" i="11"/>
  <c r="J9" i="11"/>
  <c r="S7" i="11"/>
  <c r="X72" i="10"/>
  <c r="O71" i="10"/>
  <c r="F70" i="10"/>
  <c r="T68" i="10"/>
  <c r="K67" i="10"/>
  <c r="Y65" i="10"/>
  <c r="P64" i="10"/>
  <c r="G63" i="10"/>
  <c r="U61" i="10"/>
  <c r="L57" i="10"/>
  <c r="C56" i="10"/>
  <c r="T54" i="10"/>
  <c r="O52" i="10"/>
  <c r="I51" i="10"/>
  <c r="E50" i="10"/>
  <c r="V47" i="10"/>
  <c r="O46" i="10"/>
  <c r="L45" i="10"/>
  <c r="K43" i="10"/>
  <c r="H42" i="10"/>
  <c r="F41" i="10"/>
  <c r="Y39" i="10"/>
  <c r="Y38" i="10"/>
  <c r="C38" i="10"/>
  <c r="Y36" i="10"/>
  <c r="Y35" i="10"/>
  <c r="X34" i="10"/>
  <c r="X33" i="10"/>
  <c r="X32" i="10"/>
  <c r="W31" i="10"/>
  <c r="W30" i="10"/>
  <c r="V29" i="10"/>
  <c r="V28" i="10"/>
  <c r="X27" i="10"/>
  <c r="C27" i="10"/>
  <c r="D26" i="10"/>
  <c r="F25" i="10"/>
  <c r="H24" i="10"/>
  <c r="I23" i="10"/>
  <c r="K22" i="10"/>
  <c r="M21" i="10"/>
  <c r="N20" i="10"/>
  <c r="P19" i="10"/>
  <c r="R18" i="10"/>
  <c r="S17" i="10"/>
  <c r="U16" i="10"/>
  <c r="W15" i="10"/>
  <c r="Y14" i="10"/>
  <c r="F14" i="10"/>
  <c r="H13" i="10"/>
  <c r="L12" i="10"/>
  <c r="P11" i="10"/>
  <c r="S10" i="10"/>
  <c r="V9" i="10"/>
  <c r="Y8" i="10"/>
  <c r="F8" i="10"/>
  <c r="I7" i="10"/>
  <c r="L6" i="10"/>
  <c r="N30" i="9"/>
  <c r="R29" i="9"/>
  <c r="V28" i="9"/>
  <c r="D28" i="9"/>
  <c r="H23" i="9"/>
  <c r="L22" i="9"/>
  <c r="O21" i="9"/>
  <c r="R19" i="9"/>
  <c r="V18" i="9"/>
  <c r="D18" i="9"/>
  <c r="J17" i="9"/>
  <c r="P15" i="9"/>
  <c r="V14" i="9"/>
  <c r="F14" i="9"/>
  <c r="L13" i="9"/>
  <c r="R11" i="9"/>
  <c r="X10" i="9"/>
  <c r="H10" i="9"/>
  <c r="N9" i="9"/>
  <c r="T8" i="9"/>
  <c r="D8" i="9"/>
  <c r="J7" i="9"/>
  <c r="P6" i="9"/>
  <c r="X14" i="8"/>
  <c r="H14" i="8"/>
  <c r="P13" i="8"/>
  <c r="X12" i="8"/>
  <c r="H12" i="8"/>
  <c r="P10" i="8"/>
  <c r="X9" i="8"/>
  <c r="H9" i="8"/>
  <c r="P8" i="8"/>
  <c r="X7" i="8"/>
  <c r="H7" i="8"/>
  <c r="P6" i="8"/>
  <c r="W27" i="7"/>
  <c r="G27" i="7"/>
  <c r="N26" i="7"/>
  <c r="U25" i="7"/>
  <c r="E25" i="7"/>
  <c r="L23" i="7"/>
  <c r="S22" i="7"/>
  <c r="C22" i="7"/>
  <c r="J20" i="7"/>
  <c r="Q19" i="7"/>
  <c r="X18" i="7"/>
  <c r="H18" i="7"/>
  <c r="O17" i="7"/>
  <c r="V16" i="7"/>
  <c r="F16" i="7"/>
  <c r="M15" i="7"/>
  <c r="T14" i="7"/>
  <c r="D14" i="7"/>
  <c r="K13" i="7"/>
  <c r="R12" i="7"/>
  <c r="Y11" i="7"/>
  <c r="I11" i="7"/>
  <c r="P8" i="7"/>
  <c r="W7" i="7"/>
  <c r="G7" i="7"/>
  <c r="N6" i="7"/>
  <c r="T55" i="6"/>
  <c r="D55" i="6"/>
  <c r="J54" i="6"/>
  <c r="P53" i="6"/>
  <c r="V52" i="6"/>
  <c r="F52" i="6"/>
  <c r="L50" i="6"/>
  <c r="R49" i="6"/>
  <c r="X48" i="6"/>
  <c r="H48" i="6"/>
  <c r="N46" i="6"/>
  <c r="T45" i="6"/>
  <c r="D45" i="6"/>
  <c r="J44" i="6"/>
  <c r="P43" i="6"/>
  <c r="V41" i="6"/>
  <c r="F41" i="6"/>
  <c r="L40" i="6"/>
  <c r="R39" i="6"/>
  <c r="X38" i="6"/>
  <c r="H38" i="6"/>
  <c r="N36" i="6"/>
  <c r="T35" i="6"/>
  <c r="D35" i="6"/>
  <c r="J34" i="6"/>
  <c r="P33" i="6"/>
  <c r="V31" i="6"/>
  <c r="F31" i="6"/>
  <c r="L30" i="6"/>
  <c r="R29" i="6"/>
  <c r="X28" i="6"/>
  <c r="H28" i="6"/>
  <c r="N26" i="6"/>
  <c r="T25" i="6"/>
  <c r="D25" i="6"/>
  <c r="J24" i="6"/>
  <c r="P23" i="6"/>
  <c r="V21" i="6"/>
  <c r="F21" i="6"/>
  <c r="L20" i="6"/>
  <c r="R19" i="6"/>
  <c r="X18" i="6"/>
  <c r="H18" i="6"/>
  <c r="N16" i="6"/>
  <c r="T15" i="6"/>
  <c r="D15" i="6"/>
  <c r="I52" i="13"/>
  <c r="R97" i="12"/>
  <c r="N69" i="12"/>
  <c r="N52" i="12"/>
  <c r="W42" i="12"/>
  <c r="K34" i="12"/>
  <c r="K29" i="12"/>
  <c r="AA24" i="12"/>
  <c r="T19" i="12"/>
  <c r="W13" i="12"/>
  <c r="X9" i="12"/>
  <c r="R62" i="11"/>
  <c r="K58" i="11"/>
  <c r="Q54" i="11"/>
  <c r="Y47" i="11"/>
  <c r="Y43" i="11"/>
  <c r="C41" i="11"/>
  <c r="D37" i="11"/>
  <c r="R33" i="11"/>
  <c r="O31" i="11"/>
  <c r="N29" i="11"/>
  <c r="L27" i="11"/>
  <c r="Q25" i="11"/>
  <c r="P23" i="11"/>
  <c r="N21" i="11"/>
  <c r="R19" i="11"/>
  <c r="S17" i="11"/>
  <c r="C16" i="11"/>
  <c r="L14" i="11"/>
  <c r="P12" i="11"/>
  <c r="Y10" i="11"/>
  <c r="I9" i="11"/>
  <c r="N7" i="11"/>
  <c r="W72" i="10"/>
  <c r="N71" i="10"/>
  <c r="E70" i="10"/>
  <c r="S68" i="10"/>
  <c r="J67" i="10"/>
  <c r="X65" i="10"/>
  <c r="O64" i="10"/>
  <c r="F63" i="10"/>
  <c r="T61" i="10"/>
  <c r="K57" i="10"/>
  <c r="Y55" i="10"/>
  <c r="S54" i="10"/>
  <c r="L52" i="10"/>
  <c r="H51" i="10"/>
  <c r="C50" i="10"/>
  <c r="T47" i="10"/>
  <c r="N46" i="10"/>
  <c r="K45" i="10"/>
  <c r="I43" i="10"/>
  <c r="G42" i="10"/>
  <c r="D41" i="10"/>
  <c r="X39" i="10"/>
  <c r="W38" i="10"/>
  <c r="W37" i="10"/>
  <c r="W36" i="10"/>
  <c r="X35" i="10"/>
  <c r="W34" i="10"/>
  <c r="W33" i="10"/>
  <c r="V32" i="10"/>
  <c r="V31" i="10"/>
  <c r="V30" i="10"/>
  <c r="U29" i="10"/>
  <c r="U28" i="10"/>
  <c r="V27" i="10"/>
  <c r="Y26" i="10"/>
  <c r="C26" i="10"/>
  <c r="D25" i="10"/>
  <c r="G24" i="10"/>
  <c r="H23" i="10"/>
  <c r="I22" i="10"/>
  <c r="L21" i="10"/>
  <c r="M20" i="10"/>
  <c r="N19" i="10"/>
  <c r="Q18" i="10"/>
  <c r="R17" i="10"/>
  <c r="S16" i="10"/>
  <c r="V15" i="10"/>
  <c r="X14" i="10"/>
  <c r="D14" i="10"/>
  <c r="G13" i="10"/>
  <c r="K12" i="10"/>
  <c r="N11" i="10"/>
  <c r="R10" i="10"/>
  <c r="T9" i="10"/>
  <c r="X8" i="10"/>
  <c r="E8" i="10"/>
  <c r="H7" i="10"/>
  <c r="K6" i="10"/>
  <c r="M30" i="9"/>
  <c r="Q29" i="9"/>
  <c r="U28" i="9"/>
  <c r="C28" i="9"/>
  <c r="G23" i="9"/>
  <c r="J22" i="9"/>
  <c r="M21" i="9"/>
  <c r="Q19" i="9"/>
  <c r="U18" i="9"/>
  <c r="C18" i="9"/>
  <c r="I17" i="9"/>
  <c r="O15" i="9"/>
  <c r="U14" i="9"/>
  <c r="E14" i="9"/>
  <c r="K13" i="9"/>
  <c r="Q11" i="9"/>
  <c r="W10" i="9"/>
  <c r="G10" i="9"/>
  <c r="M9" i="9"/>
  <c r="S8" i="9"/>
  <c r="C8" i="9"/>
  <c r="I7" i="9"/>
  <c r="O6" i="9"/>
  <c r="W14" i="8"/>
  <c r="G14" i="8"/>
  <c r="O13" i="8"/>
  <c r="W12" i="8"/>
  <c r="G12" i="8"/>
  <c r="O10" i="8"/>
  <c r="W9" i="8"/>
  <c r="G9" i="8"/>
  <c r="O8" i="8"/>
  <c r="W7" i="8"/>
  <c r="G7" i="8"/>
  <c r="O6" i="8"/>
  <c r="V27" i="7"/>
  <c r="F27" i="7"/>
  <c r="M26" i="7"/>
  <c r="T25" i="7"/>
  <c r="D25" i="7"/>
  <c r="K23" i="7"/>
  <c r="R22" i="7"/>
  <c r="Y20" i="7"/>
  <c r="I20" i="7"/>
  <c r="P19" i="7"/>
  <c r="W18" i="7"/>
  <c r="G18" i="7"/>
  <c r="N17" i="7"/>
  <c r="U16" i="7"/>
  <c r="E16" i="7"/>
  <c r="L15" i="7"/>
  <c r="S14" i="7"/>
  <c r="C14" i="7"/>
  <c r="J13" i="7"/>
  <c r="Q12" i="7"/>
  <c r="X11" i="7"/>
  <c r="H11" i="7"/>
  <c r="O8" i="7"/>
  <c r="V7" i="7"/>
  <c r="F7" i="7"/>
  <c r="M6" i="7"/>
  <c r="S55" i="6"/>
  <c r="C55" i="6"/>
  <c r="I54" i="6"/>
  <c r="O53" i="6"/>
  <c r="U52" i="6"/>
  <c r="E52" i="6"/>
  <c r="K50" i="6"/>
  <c r="Q49" i="6"/>
  <c r="W48" i="6"/>
  <c r="G48" i="6"/>
  <c r="M46" i="6"/>
  <c r="S45" i="6"/>
  <c r="C45" i="6"/>
  <c r="I44" i="6"/>
  <c r="O43" i="6"/>
  <c r="U41" i="6"/>
  <c r="E41" i="6"/>
  <c r="K40" i="6"/>
  <c r="Q39" i="6"/>
  <c r="W38" i="6"/>
  <c r="G38" i="6"/>
  <c r="M36" i="6"/>
  <c r="S35" i="6"/>
  <c r="C35" i="6"/>
  <c r="I34" i="6"/>
  <c r="O33" i="6"/>
  <c r="U31" i="6"/>
  <c r="E31" i="6"/>
  <c r="K30" i="6"/>
  <c r="Q29" i="6"/>
  <c r="W28" i="6"/>
  <c r="G28" i="6"/>
  <c r="M26" i="6"/>
  <c r="S25" i="6"/>
  <c r="C25" i="6"/>
  <c r="I24" i="6"/>
  <c r="O23" i="6"/>
  <c r="U21" i="6"/>
  <c r="E21" i="6"/>
  <c r="K20" i="6"/>
  <c r="Q19" i="6"/>
  <c r="W18" i="6"/>
  <c r="G18" i="6"/>
  <c r="M16" i="6"/>
  <c r="S15" i="6"/>
  <c r="C15" i="6"/>
  <c r="I14" i="6"/>
  <c r="O13" i="6"/>
  <c r="U11" i="6"/>
  <c r="E11" i="6"/>
  <c r="K10" i="6"/>
  <c r="Q9" i="6"/>
  <c r="W8" i="6"/>
  <c r="G8" i="6"/>
  <c r="M6" i="6"/>
  <c r="S30" i="5"/>
  <c r="C30" i="5"/>
  <c r="I29" i="5"/>
  <c r="O28" i="5"/>
  <c r="U23" i="5"/>
  <c r="E23" i="5"/>
  <c r="AA39" i="13"/>
  <c r="N93" i="12"/>
  <c r="F67" i="12"/>
  <c r="N51" i="12"/>
  <c r="Z41" i="12"/>
  <c r="S33" i="12"/>
  <c r="J29" i="12"/>
  <c r="Y24" i="12"/>
  <c r="C19" i="12"/>
  <c r="V13" i="12"/>
  <c r="U9" i="12"/>
  <c r="E62" i="11"/>
  <c r="J58" i="11"/>
  <c r="O54" i="11"/>
  <c r="W47" i="11"/>
  <c r="X43" i="11"/>
  <c r="Y39" i="11"/>
  <c r="C37" i="11"/>
  <c r="J33" i="11"/>
  <c r="M31" i="11"/>
  <c r="K29" i="11"/>
  <c r="K27" i="11"/>
  <c r="O25" i="11"/>
  <c r="M23" i="11"/>
  <c r="M21" i="11"/>
  <c r="P19" i="11"/>
  <c r="Q17" i="11"/>
  <c r="Y15" i="11"/>
  <c r="F14" i="11"/>
  <c r="O12" i="11"/>
  <c r="U10" i="11"/>
  <c r="G9" i="11"/>
  <c r="L7" i="11"/>
  <c r="U72" i="10"/>
  <c r="L71" i="10"/>
  <c r="C70" i="10"/>
  <c r="Q68" i="10"/>
  <c r="H67" i="10"/>
  <c r="V65" i="10"/>
  <c r="M64" i="10"/>
  <c r="D63" i="10"/>
  <c r="R61" i="10"/>
  <c r="I57" i="10"/>
  <c r="W55" i="10"/>
  <c r="Q54" i="10"/>
  <c r="K52" i="10"/>
  <c r="F51" i="10"/>
  <c r="W49" i="10"/>
  <c r="S47" i="10"/>
  <c r="M46" i="10"/>
  <c r="J45" i="10"/>
  <c r="H43" i="10"/>
  <c r="D42" i="10"/>
  <c r="X40" i="10"/>
  <c r="W39" i="10"/>
  <c r="V38" i="10"/>
  <c r="V37" i="10"/>
  <c r="U36" i="10"/>
  <c r="U35" i="10"/>
  <c r="U34" i="10"/>
  <c r="V33" i="10"/>
  <c r="U32" i="10"/>
  <c r="U31" i="10"/>
  <c r="T30" i="10"/>
  <c r="T29" i="10"/>
  <c r="T28" i="10"/>
  <c r="U27" i="10"/>
  <c r="X26" i="10"/>
  <c r="Y25" i="10"/>
  <c r="C25" i="10"/>
  <c r="F24" i="10"/>
  <c r="Q36" i="13"/>
  <c r="K93" i="12"/>
  <c r="S66" i="12"/>
  <c r="F51" i="12"/>
  <c r="W41" i="12"/>
  <c r="R33" i="12"/>
  <c r="H29" i="12"/>
  <c r="H24" i="12"/>
  <c r="X18" i="12"/>
  <c r="T13" i="12"/>
  <c r="E9" i="12"/>
  <c r="C62" i="11"/>
  <c r="H58" i="11"/>
  <c r="X53" i="11"/>
  <c r="U47" i="11"/>
  <c r="V43" i="11"/>
  <c r="W39" i="11"/>
  <c r="X35" i="11"/>
  <c r="H33" i="11"/>
  <c r="F31" i="11"/>
  <c r="J29" i="11"/>
  <c r="I27" i="11"/>
  <c r="G25" i="11"/>
  <c r="L23" i="11"/>
  <c r="K21" i="11"/>
  <c r="I19" i="11"/>
  <c r="N17" i="11"/>
  <c r="W15" i="11"/>
  <c r="D14" i="11"/>
  <c r="M12" i="11"/>
  <c r="T10" i="11"/>
  <c r="Y8" i="11"/>
  <c r="J7" i="11"/>
  <c r="R72" i="10"/>
  <c r="I71" i="10"/>
  <c r="W69" i="10"/>
  <c r="N68" i="10"/>
  <c r="E67" i="10"/>
  <c r="S65" i="10"/>
  <c r="J64" i="10"/>
  <c r="X62" i="10"/>
  <c r="O61" i="10"/>
  <c r="F57" i="10"/>
  <c r="T55" i="10"/>
  <c r="P54" i="10"/>
  <c r="J52" i="10"/>
  <c r="C51" i="10"/>
  <c r="V49" i="10"/>
  <c r="Q47" i="10"/>
  <c r="K46" i="10"/>
  <c r="I45" i="10"/>
  <c r="F43" i="10"/>
  <c r="C42" i="10"/>
  <c r="W40" i="10"/>
  <c r="U39" i="10"/>
  <c r="U38" i="10"/>
  <c r="U37" i="10"/>
  <c r="T36" i="10"/>
  <c r="T35" i="10"/>
  <c r="S34" i="10"/>
  <c r="S33" i="10"/>
  <c r="S32" i="10"/>
  <c r="T31" i="10"/>
  <c r="S30" i="10"/>
  <c r="S29" i="10"/>
  <c r="R28" i="10"/>
  <c r="T27" i="10"/>
  <c r="W26" i="10"/>
  <c r="W25" i="10"/>
  <c r="Y24" i="10"/>
  <c r="E24" i="10"/>
  <c r="E23" i="10"/>
  <c r="G22" i="10"/>
  <c r="J21" i="10"/>
  <c r="J20" i="10"/>
  <c r="L19" i="10"/>
  <c r="O18" i="10"/>
  <c r="O17" i="10"/>
  <c r="Q16" i="10"/>
  <c r="T15" i="10"/>
  <c r="V14" i="10"/>
  <c r="X13" i="10"/>
  <c r="E13" i="10"/>
  <c r="I12" i="10"/>
  <c r="L11" i="10"/>
  <c r="O10" i="10"/>
  <c r="R9" i="10"/>
  <c r="V8" i="10"/>
  <c r="Y7" i="10"/>
  <c r="E7" i="10"/>
  <c r="H6" i="10"/>
  <c r="K30" i="9"/>
  <c r="O29" i="9"/>
  <c r="S28" i="9"/>
  <c r="W23" i="9"/>
  <c r="D23" i="9"/>
  <c r="G22" i="9"/>
  <c r="K21" i="9"/>
  <c r="O19" i="9"/>
  <c r="S18" i="9"/>
  <c r="W17" i="9"/>
  <c r="G17" i="9"/>
  <c r="M15" i="9"/>
  <c r="S14" i="9"/>
  <c r="C14" i="9"/>
  <c r="I13" i="9"/>
  <c r="O11" i="9"/>
  <c r="U10" i="9"/>
  <c r="E10" i="9"/>
  <c r="K9" i="9"/>
  <c r="Q8" i="9"/>
  <c r="W7" i="9"/>
  <c r="G7" i="9"/>
  <c r="M6" i="9"/>
  <c r="U14" i="8"/>
  <c r="E14" i="8"/>
  <c r="M13" i="8"/>
  <c r="U12" i="8"/>
  <c r="E12" i="8"/>
  <c r="M10" i="8"/>
  <c r="U9" i="8"/>
  <c r="E9" i="8"/>
  <c r="M8" i="8"/>
  <c r="U7" i="8"/>
  <c r="E7" i="8"/>
  <c r="M6" i="8"/>
  <c r="T27" i="7"/>
  <c r="D27" i="7"/>
  <c r="K26" i="7"/>
  <c r="R25" i="7"/>
  <c r="Y23" i="7"/>
  <c r="I23" i="7"/>
  <c r="P22" i="7"/>
  <c r="W20" i="7"/>
  <c r="G20" i="7"/>
  <c r="N19" i="7"/>
  <c r="U18" i="7"/>
  <c r="E18" i="7"/>
  <c r="L17" i="7"/>
  <c r="S16" i="7"/>
  <c r="C16" i="7"/>
  <c r="J15" i="7"/>
  <c r="Q14" i="7"/>
  <c r="X13" i="7"/>
  <c r="H13" i="7"/>
  <c r="O12" i="7"/>
  <c r="V11" i="7"/>
  <c r="F11" i="7"/>
  <c r="M8" i="7"/>
  <c r="T7" i="7"/>
  <c r="D7" i="7"/>
  <c r="K6" i="7"/>
  <c r="Q55" i="6"/>
  <c r="W54" i="6"/>
  <c r="G54" i="6"/>
  <c r="M53" i="6"/>
  <c r="S52" i="6"/>
  <c r="C52" i="6"/>
  <c r="I50" i="6"/>
  <c r="O49" i="6"/>
  <c r="U48" i="6"/>
  <c r="E48" i="6"/>
  <c r="K46" i="6"/>
  <c r="Q45" i="6"/>
  <c r="W44" i="6"/>
  <c r="G44" i="6"/>
  <c r="M43" i="6"/>
  <c r="S41" i="6"/>
  <c r="C41" i="6"/>
  <c r="I40" i="6"/>
  <c r="O39" i="6"/>
  <c r="U38" i="6"/>
  <c r="E38" i="6"/>
  <c r="K36" i="6"/>
  <c r="Q35" i="6"/>
  <c r="W34" i="6"/>
  <c r="G34" i="6"/>
  <c r="M33" i="6"/>
  <c r="S31" i="6"/>
  <c r="C31" i="6"/>
  <c r="I30" i="6"/>
  <c r="O29" i="6"/>
  <c r="U28" i="6"/>
  <c r="E28" i="6"/>
  <c r="K26" i="6"/>
  <c r="Q25" i="6"/>
  <c r="W24" i="6"/>
  <c r="G24" i="6"/>
  <c r="M23" i="6"/>
  <c r="S21" i="6"/>
  <c r="C21" i="6"/>
  <c r="I20" i="6"/>
  <c r="O19" i="6"/>
  <c r="U18" i="6"/>
  <c r="E18" i="6"/>
  <c r="K16" i="6"/>
  <c r="Q15" i="6"/>
  <c r="W14" i="6"/>
  <c r="G14" i="6"/>
  <c r="M13" i="6"/>
  <c r="S11" i="6"/>
  <c r="C11" i="6"/>
  <c r="I10" i="6"/>
  <c r="O9" i="6"/>
  <c r="U8" i="6"/>
  <c r="E8" i="6"/>
  <c r="K6" i="6"/>
  <c r="Q30" i="5"/>
  <c r="W29" i="5"/>
  <c r="G29" i="5"/>
  <c r="M28" i="5"/>
  <c r="S23" i="5"/>
  <c r="C23" i="5"/>
  <c r="I22" i="5"/>
  <c r="O21" i="5"/>
  <c r="U19" i="5"/>
  <c r="E19" i="5"/>
  <c r="W30" i="13"/>
  <c r="O89" i="12"/>
  <c r="Z64" i="12"/>
  <c r="G50" i="12"/>
  <c r="D41" i="12"/>
  <c r="O33" i="12"/>
  <c r="P28" i="12"/>
  <c r="G24" i="12"/>
  <c r="V18" i="12"/>
  <c r="D13" i="12"/>
  <c r="D9" i="12"/>
  <c r="X61" i="11"/>
  <c r="Q57" i="11"/>
  <c r="W53" i="11"/>
  <c r="M47" i="11"/>
  <c r="N43" i="11"/>
  <c r="N39" i="11"/>
  <c r="O35" i="11"/>
  <c r="D33" i="11"/>
  <c r="E31" i="11"/>
  <c r="H29" i="11"/>
  <c r="F27" i="11"/>
  <c r="F25" i="11"/>
  <c r="I23" i="11"/>
  <c r="G21" i="11"/>
  <c r="H19" i="11"/>
  <c r="M17" i="11"/>
  <c r="Q15" i="11"/>
  <c r="C14" i="11"/>
  <c r="J12" i="11"/>
  <c r="R10" i="11"/>
  <c r="W8" i="11"/>
  <c r="H7" i="11"/>
  <c r="Q72" i="10"/>
  <c r="H71" i="10"/>
  <c r="V69" i="10"/>
  <c r="M68" i="10"/>
  <c r="D67" i="10"/>
  <c r="R65" i="10"/>
  <c r="I64" i="10"/>
  <c r="W62" i="10"/>
  <c r="N61" i="10"/>
  <c r="E57" i="10"/>
  <c r="S55" i="10"/>
  <c r="N54" i="10"/>
  <c r="H52" i="10"/>
  <c r="Y50" i="10"/>
  <c r="T49" i="10"/>
  <c r="N47" i="10"/>
  <c r="J46" i="10"/>
  <c r="F45" i="10"/>
  <c r="C43" i="10"/>
  <c r="Y41" i="10"/>
  <c r="V40" i="10"/>
  <c r="T39" i="10"/>
  <c r="T38" i="10"/>
  <c r="S37" i="10"/>
  <c r="S36" i="10"/>
  <c r="S35" i="10"/>
  <c r="R34" i="10"/>
  <c r="R33" i="10"/>
  <c r="Q32" i="10"/>
  <c r="Q31" i="10"/>
  <c r="Q30" i="10"/>
  <c r="R29" i="10"/>
  <c r="Q28" i="10"/>
  <c r="S27" i="10"/>
  <c r="T26" i="10"/>
  <c r="V25" i="10"/>
  <c r="X24" i="10"/>
  <c r="Y23" i="10"/>
  <c r="D23" i="10"/>
  <c r="F22" i="10"/>
  <c r="G21" i="10"/>
  <c r="I20" i="10"/>
  <c r="K19" i="10"/>
  <c r="L18" i="10"/>
  <c r="N17" i="10"/>
  <c r="P16" i="10"/>
  <c r="Q15" i="10"/>
  <c r="T14" i="10"/>
  <c r="W13" i="10"/>
  <c r="D13" i="10"/>
  <c r="G12" i="10"/>
  <c r="K11" i="10"/>
  <c r="M10" i="10"/>
  <c r="Q9" i="10"/>
  <c r="U8" i="10"/>
  <c r="X7" i="10"/>
  <c r="D7" i="10"/>
  <c r="G6" i="10"/>
  <c r="J30" i="9"/>
  <c r="N29" i="9"/>
  <c r="R28" i="9"/>
  <c r="V23" i="9"/>
  <c r="C23" i="9"/>
  <c r="F22" i="9"/>
  <c r="J21" i="9"/>
  <c r="N19" i="9"/>
  <c r="R18" i="9"/>
  <c r="V17" i="9"/>
  <c r="F17" i="9"/>
  <c r="L15" i="9"/>
  <c r="R14" i="9"/>
  <c r="X13" i="9"/>
  <c r="H13" i="9"/>
  <c r="N11" i="9"/>
  <c r="T10" i="9"/>
  <c r="D10" i="9"/>
  <c r="J9" i="9"/>
  <c r="P8" i="9"/>
  <c r="V7" i="9"/>
  <c r="F7" i="9"/>
  <c r="L6" i="9"/>
  <c r="T14" i="8"/>
  <c r="D14" i="8"/>
  <c r="L13" i="8"/>
  <c r="T12" i="8"/>
  <c r="D12" i="8"/>
  <c r="L10" i="8"/>
  <c r="T9" i="8"/>
  <c r="D9" i="8"/>
  <c r="L8" i="8"/>
  <c r="T7" i="8"/>
  <c r="D7" i="8"/>
  <c r="L6" i="8"/>
  <c r="S27" i="7"/>
  <c r="C27" i="7"/>
  <c r="J26" i="7"/>
  <c r="Q25" i="7"/>
  <c r="X23" i="7"/>
  <c r="H23" i="7"/>
  <c r="O22" i="7"/>
  <c r="V20" i="7"/>
  <c r="F20" i="7"/>
  <c r="M19" i="7"/>
  <c r="T18" i="7"/>
  <c r="D18" i="7"/>
  <c r="K17" i="7"/>
  <c r="R16" i="7"/>
  <c r="Y15" i="7"/>
  <c r="I15" i="7"/>
  <c r="P14" i="7"/>
  <c r="W13" i="7"/>
  <c r="G13" i="7"/>
  <c r="N12" i="7"/>
  <c r="U11" i="7"/>
  <c r="E11" i="7"/>
  <c r="L8" i="7"/>
  <c r="S7" i="7"/>
  <c r="C7" i="7"/>
  <c r="J6" i="7"/>
  <c r="P55" i="6"/>
  <c r="V54" i="6"/>
  <c r="F54" i="6"/>
  <c r="L53" i="6"/>
  <c r="R52" i="6"/>
  <c r="X50" i="6"/>
  <c r="H50" i="6"/>
  <c r="N49" i="6"/>
  <c r="T48" i="6"/>
  <c r="D48" i="6"/>
  <c r="J46" i="6"/>
  <c r="P45" i="6"/>
  <c r="V44" i="6"/>
  <c r="F44" i="6"/>
  <c r="L43" i="6"/>
  <c r="R41" i="6"/>
  <c r="X40" i="6"/>
  <c r="H40" i="6"/>
  <c r="N39" i="6"/>
  <c r="T38" i="6"/>
  <c r="D38" i="6"/>
  <c r="J36" i="6"/>
  <c r="P35" i="6"/>
  <c r="V34" i="6"/>
  <c r="F34" i="6"/>
  <c r="L33" i="6"/>
  <c r="R31" i="6"/>
  <c r="X30" i="6"/>
  <c r="H30" i="6"/>
  <c r="N29" i="6"/>
  <c r="T28" i="6"/>
  <c r="D28" i="6"/>
  <c r="J26" i="6"/>
  <c r="P25" i="6"/>
  <c r="V24" i="6"/>
  <c r="F24" i="6"/>
  <c r="L23" i="6"/>
  <c r="R21" i="6"/>
  <c r="X20" i="6"/>
  <c r="H20" i="6"/>
  <c r="N19" i="6"/>
  <c r="T18" i="6"/>
  <c r="D18" i="6"/>
  <c r="J16" i="6"/>
  <c r="P15" i="6"/>
  <c r="V14" i="6"/>
  <c r="F14" i="6"/>
  <c r="L13" i="6"/>
  <c r="R11" i="6"/>
  <c r="X10" i="6"/>
  <c r="H10" i="6"/>
  <c r="N9" i="6"/>
  <c r="T8" i="6"/>
  <c r="D8" i="6"/>
  <c r="J6" i="6"/>
  <c r="P30" i="5"/>
  <c r="V29" i="5"/>
  <c r="F29" i="5"/>
  <c r="L28" i="5"/>
  <c r="T29" i="13"/>
  <c r="V88" i="12"/>
  <c r="O64" i="12"/>
  <c r="Y49" i="12"/>
  <c r="AA40" i="12"/>
  <c r="W32" i="12"/>
  <c r="O28" i="12"/>
  <c r="E24" i="12"/>
  <c r="E18" i="12"/>
  <c r="C13" i="12"/>
  <c r="Y8" i="12"/>
  <c r="J61" i="11"/>
  <c r="P57" i="11"/>
  <c r="U53" i="11"/>
  <c r="G47" i="11"/>
  <c r="H43" i="11"/>
  <c r="I39" i="11"/>
  <c r="J35" i="11"/>
  <c r="C33" i="11"/>
  <c r="Y30" i="11"/>
  <c r="W28" i="11"/>
  <c r="E27" i="11"/>
  <c r="D25" i="11"/>
  <c r="Y22" i="11"/>
  <c r="F21" i="11"/>
  <c r="E19" i="11"/>
  <c r="K17" i="11"/>
  <c r="O15" i="11"/>
  <c r="X13" i="11"/>
  <c r="I12" i="11"/>
  <c r="M10" i="11"/>
  <c r="V8" i="11"/>
  <c r="E7" i="11"/>
  <c r="O72" i="10"/>
  <c r="F71" i="10"/>
  <c r="T69" i="10"/>
  <c r="K68" i="10"/>
  <c r="Y66" i="10"/>
  <c r="P65" i="10"/>
  <c r="G64" i="10"/>
  <c r="U62" i="10"/>
  <c r="L61" i="10"/>
  <c r="C57" i="10"/>
  <c r="Q55" i="10"/>
  <c r="K54" i="10"/>
  <c r="G52" i="10"/>
  <c r="X50" i="10"/>
  <c r="Q49" i="10"/>
  <c r="M47" i="10"/>
  <c r="H46" i="10"/>
  <c r="E45" i="10"/>
  <c r="Y42" i="10"/>
  <c r="W41" i="10"/>
  <c r="U40" i="10"/>
  <c r="R39" i="10"/>
  <c r="S38" i="10"/>
  <c r="R37" i="10"/>
  <c r="R36" i="10"/>
  <c r="Q35" i="10"/>
  <c r="Q34" i="10"/>
  <c r="Q33" i="10"/>
  <c r="P32" i="10"/>
  <c r="P31" i="10"/>
  <c r="O30" i="10"/>
  <c r="O29" i="10"/>
  <c r="O28" i="10"/>
  <c r="R27" i="10"/>
  <c r="S26" i="10"/>
  <c r="T25" i="10"/>
  <c r="W24" i="10"/>
  <c r="X23" i="10"/>
  <c r="Y22" i="10"/>
  <c r="E22" i="10"/>
  <c r="F21" i="10"/>
  <c r="G20" i="10"/>
  <c r="J19" i="10"/>
  <c r="K18" i="10"/>
  <c r="L17" i="10"/>
  <c r="O16" i="10"/>
  <c r="P15" i="10"/>
  <c r="S14" i="10"/>
  <c r="V13" i="10"/>
  <c r="C13" i="10"/>
  <c r="F12" i="10"/>
  <c r="I11" i="10"/>
  <c r="L10" i="10"/>
  <c r="P9" i="10"/>
  <c r="S8" i="10"/>
  <c r="W7" i="10"/>
  <c r="Y6" i="10"/>
  <c r="F6" i="10"/>
  <c r="I30" i="9"/>
  <c r="M29" i="9"/>
  <c r="Q28" i="9"/>
  <c r="T23" i="9"/>
  <c r="W22" i="9"/>
  <c r="E22" i="9"/>
  <c r="I21" i="9"/>
  <c r="M19" i="9"/>
  <c r="Q18" i="9"/>
  <c r="U17" i="9"/>
  <c r="E17" i="9"/>
  <c r="K15" i="9"/>
  <c r="Q14" i="9"/>
  <c r="W13" i="9"/>
  <c r="G13" i="9"/>
  <c r="M11" i="9"/>
  <c r="S10" i="9"/>
  <c r="C10" i="9"/>
  <c r="I9" i="9"/>
  <c r="O8" i="9"/>
  <c r="U7" i="9"/>
  <c r="E7" i="9"/>
  <c r="K6" i="9"/>
  <c r="S14" i="8"/>
  <c r="C14" i="8"/>
  <c r="K13" i="8"/>
  <c r="S12" i="8"/>
  <c r="C12" i="8"/>
  <c r="V19" i="13"/>
  <c r="M85" i="12"/>
  <c r="X62" i="12"/>
  <c r="D49" i="12"/>
  <c r="D40" i="12"/>
  <c r="S32" i="12"/>
  <c r="L28" i="12"/>
  <c r="M22" i="12"/>
  <c r="D18" i="12"/>
  <c r="Y12" i="12"/>
  <c r="I8" i="12"/>
  <c r="I61" i="11"/>
  <c r="N57" i="11"/>
  <c r="G53" i="11"/>
  <c r="F47" i="11"/>
  <c r="G43" i="11"/>
  <c r="H39" i="11"/>
  <c r="I35" i="11"/>
  <c r="X32" i="11"/>
  <c r="V30" i="11"/>
  <c r="V28" i="11"/>
  <c r="C27" i="11"/>
  <c r="X24" i="11"/>
  <c r="X22" i="11"/>
  <c r="D21" i="11"/>
  <c r="Y18" i="11"/>
  <c r="F17" i="11"/>
  <c r="N15" i="11"/>
  <c r="U13" i="11"/>
  <c r="F12" i="11"/>
  <c r="K10" i="11"/>
  <c r="S8" i="11"/>
  <c r="D7" i="11"/>
  <c r="K72" i="10"/>
  <c r="Y70" i="10"/>
  <c r="P69" i="10"/>
  <c r="G68" i="10"/>
  <c r="U66" i="10"/>
  <c r="L65" i="10"/>
  <c r="C64" i="10"/>
  <c r="Q62" i="10"/>
  <c r="H61" i="10"/>
  <c r="V56" i="10"/>
  <c r="N55" i="10"/>
  <c r="J54" i="10"/>
  <c r="E52" i="10"/>
  <c r="V50" i="10"/>
  <c r="P49" i="10"/>
  <c r="K47" i="10"/>
  <c r="E46" i="10"/>
  <c r="D45" i="10"/>
  <c r="X42" i="10"/>
  <c r="V41" i="10"/>
  <c r="R40" i="10"/>
  <c r="P39" i="10"/>
  <c r="P38" i="10"/>
  <c r="P37" i="10"/>
  <c r="Q36" i="10"/>
  <c r="P35" i="10"/>
  <c r="P34" i="10"/>
  <c r="O33" i="10"/>
  <c r="O32" i="10"/>
  <c r="O31" i="10"/>
  <c r="N30" i="10"/>
  <c r="N29" i="10"/>
  <c r="N28" i="10"/>
  <c r="Q27" i="10"/>
  <c r="R26" i="10"/>
  <c r="S25" i="10"/>
  <c r="V24" i="10"/>
  <c r="W23" i="10"/>
  <c r="X22" i="10"/>
  <c r="D22" i="10"/>
  <c r="E21" i="10"/>
  <c r="F20" i="10"/>
  <c r="I19" i="10"/>
  <c r="J18" i="10"/>
  <c r="K17" i="10"/>
  <c r="N16" i="10"/>
  <c r="O15" i="10"/>
  <c r="Q14" i="10"/>
  <c r="U13" i="10"/>
  <c r="Y12" i="10"/>
  <c r="E12" i="10"/>
  <c r="H11" i="10"/>
  <c r="K10" i="10"/>
  <c r="O9" i="10"/>
  <c r="R8" i="10"/>
  <c r="U7" i="10"/>
  <c r="X6" i="10"/>
  <c r="E6" i="10"/>
  <c r="H30" i="9"/>
  <c r="L29" i="9"/>
  <c r="P28" i="9"/>
  <c r="S23" i="9"/>
  <c r="V22" i="9"/>
  <c r="D22" i="9"/>
  <c r="H21" i="9"/>
  <c r="L19" i="9"/>
  <c r="P18" i="9"/>
  <c r="T17" i="9"/>
  <c r="D17" i="9"/>
  <c r="J15" i="9"/>
  <c r="P14" i="9"/>
  <c r="V13" i="9"/>
  <c r="F13" i="9"/>
  <c r="L11" i="9"/>
  <c r="R10" i="9"/>
  <c r="X9" i="9"/>
  <c r="H9" i="9"/>
  <c r="N8" i="9"/>
  <c r="T7" i="9"/>
  <c r="D7" i="9"/>
  <c r="J6" i="9"/>
  <c r="R14" i="8"/>
  <c r="Z13" i="8"/>
  <c r="J13" i="8"/>
  <c r="R12" i="8"/>
  <c r="Z10" i="8"/>
  <c r="J10" i="8"/>
  <c r="R9" i="8"/>
  <c r="Z8" i="8"/>
  <c r="J8" i="8"/>
  <c r="R7" i="8"/>
  <c r="Z6" i="8"/>
  <c r="J6" i="8"/>
  <c r="Q27" i="7"/>
  <c r="X26" i="7"/>
  <c r="H26" i="7"/>
  <c r="O25" i="7"/>
  <c r="V23" i="7"/>
  <c r="F23" i="7"/>
  <c r="M22" i="7"/>
  <c r="T20" i="7"/>
  <c r="D20" i="7"/>
  <c r="K19" i="7"/>
  <c r="R18" i="7"/>
  <c r="Y17" i="7"/>
  <c r="I17" i="7"/>
  <c r="P16" i="7"/>
  <c r="W15" i="7"/>
  <c r="G15" i="7"/>
  <c r="N14" i="7"/>
  <c r="U13" i="7"/>
  <c r="E13" i="7"/>
  <c r="L12" i="7"/>
  <c r="S11" i="7"/>
  <c r="C11" i="7"/>
  <c r="J8" i="7"/>
  <c r="Q7" i="7"/>
  <c r="X6" i="7"/>
  <c r="H6" i="7"/>
  <c r="N55" i="6"/>
  <c r="T54" i="6"/>
  <c r="D54" i="6"/>
  <c r="J53" i="6"/>
  <c r="P52" i="6"/>
  <c r="V50" i="6"/>
  <c r="F50" i="6"/>
  <c r="L49" i="6"/>
  <c r="R48" i="6"/>
  <c r="X46" i="6"/>
  <c r="H46" i="6"/>
  <c r="N45" i="6"/>
  <c r="T44" i="6"/>
  <c r="D44" i="6"/>
  <c r="J43" i="6"/>
  <c r="P41" i="6"/>
  <c r="V40" i="6"/>
  <c r="F40" i="6"/>
  <c r="L39" i="6"/>
  <c r="R38" i="6"/>
  <c r="X36" i="6"/>
  <c r="H36" i="6"/>
  <c r="N35" i="6"/>
  <c r="T34" i="6"/>
  <c r="D34" i="6"/>
  <c r="J33" i="6"/>
  <c r="P31" i="6"/>
  <c r="V30" i="6"/>
  <c r="F30" i="6"/>
  <c r="L29" i="6"/>
  <c r="R28" i="6"/>
  <c r="X26" i="6"/>
  <c r="H26" i="6"/>
  <c r="N25" i="6"/>
  <c r="T24" i="6"/>
  <c r="D24" i="6"/>
  <c r="J23" i="6"/>
  <c r="P21" i="6"/>
  <c r="V20" i="6"/>
  <c r="F20" i="6"/>
  <c r="L19" i="6"/>
  <c r="R18" i="6"/>
  <c r="X16" i="6"/>
  <c r="H16" i="6"/>
  <c r="N15" i="6"/>
  <c r="T14" i="6"/>
  <c r="D14" i="6"/>
  <c r="J13" i="6"/>
  <c r="P11" i="6"/>
  <c r="V10" i="6"/>
  <c r="F10" i="6"/>
  <c r="L9" i="6"/>
  <c r="R8" i="6"/>
  <c r="X6" i="6"/>
  <c r="H6" i="6"/>
  <c r="N30" i="5"/>
  <c r="T29" i="5"/>
  <c r="D29" i="5"/>
  <c r="J28" i="5"/>
  <c r="P23" i="5"/>
  <c r="V22" i="5"/>
  <c r="F22" i="5"/>
  <c r="S19" i="13"/>
  <c r="V84" i="12"/>
  <c r="U62" i="12"/>
  <c r="Z48" i="12"/>
  <c r="Z39" i="12"/>
  <c r="Q32" i="12"/>
  <c r="T27" i="12"/>
  <c r="L22" i="12"/>
  <c r="AA17" i="12"/>
  <c r="I12" i="12"/>
  <c r="H8" i="12"/>
  <c r="G61" i="11"/>
  <c r="W56" i="11"/>
  <c r="F53" i="11"/>
  <c r="D47" i="11"/>
  <c r="E43" i="11"/>
  <c r="F39" i="11"/>
  <c r="F35" i="11"/>
  <c r="Q32" i="11"/>
  <c r="U30" i="11"/>
  <c r="T28" i="11"/>
  <c r="R26" i="11"/>
  <c r="W24" i="11"/>
  <c r="V22" i="11"/>
  <c r="T20" i="11"/>
  <c r="X18" i="11"/>
  <c r="C17" i="11"/>
  <c r="L15" i="11"/>
  <c r="T13" i="11"/>
  <c r="X11" i="11"/>
  <c r="J10" i="11"/>
  <c r="P8" i="11"/>
  <c r="Y6" i="11"/>
  <c r="J72" i="10"/>
  <c r="X70" i="10"/>
  <c r="O69" i="10"/>
  <c r="F68" i="10"/>
  <c r="T66" i="10"/>
  <c r="K65" i="10"/>
  <c r="Y63" i="10"/>
  <c r="P62" i="10"/>
  <c r="G61" i="10"/>
  <c r="U56" i="10"/>
  <c r="M55" i="10"/>
  <c r="H54" i="10"/>
  <c r="Y51" i="10"/>
  <c r="U50" i="10"/>
  <c r="O49" i="10"/>
  <c r="H47" i="10"/>
  <c r="D46" i="10"/>
  <c r="Y43" i="10"/>
  <c r="W42" i="10"/>
  <c r="T41" i="10"/>
  <c r="Q40" i="10"/>
  <c r="O39" i="10"/>
  <c r="O38" i="10"/>
  <c r="N37" i="10"/>
  <c r="N36" i="10"/>
  <c r="N35" i="10"/>
  <c r="O34" i="10"/>
  <c r="N33" i="10"/>
  <c r="N32" i="10"/>
  <c r="M31" i="10"/>
  <c r="M30" i="10"/>
  <c r="M29" i="10"/>
  <c r="M28" i="10"/>
  <c r="P27" i="10"/>
  <c r="P26" i="10"/>
  <c r="R25" i="10"/>
  <c r="U24" i="10"/>
  <c r="U23" i="10"/>
  <c r="W22" i="10"/>
  <c r="C22" i="10"/>
  <c r="C21" i="10"/>
  <c r="E20" i="10"/>
  <c r="H19" i="10"/>
  <c r="H18" i="10"/>
  <c r="J17" i="10"/>
  <c r="M16" i="10"/>
  <c r="M15" i="10"/>
  <c r="P14" i="10"/>
  <c r="T13" i="10"/>
  <c r="W12" i="10"/>
  <c r="D12" i="10"/>
  <c r="F11" i="10"/>
  <c r="J10" i="10"/>
  <c r="N9" i="10"/>
  <c r="Q8" i="10"/>
  <c r="T7" i="10"/>
  <c r="W6" i="10"/>
  <c r="D6" i="10"/>
  <c r="G30" i="9"/>
  <c r="K29" i="9"/>
  <c r="N28" i="9"/>
  <c r="Q23" i="9"/>
  <c r="U22" i="9"/>
  <c r="C22" i="9"/>
  <c r="G21" i="9"/>
  <c r="K19" i="9"/>
  <c r="O18" i="9"/>
  <c r="S17" i="9"/>
  <c r="C17" i="9"/>
  <c r="I15" i="9"/>
  <c r="O14" i="9"/>
  <c r="U13" i="9"/>
  <c r="E13" i="9"/>
  <c r="K11" i="9"/>
  <c r="Q10" i="9"/>
  <c r="W9" i="9"/>
  <c r="G9" i="9"/>
  <c r="M8" i="9"/>
  <c r="S7" i="9"/>
  <c r="C7" i="9"/>
  <c r="I6" i="9"/>
  <c r="Q14" i="8"/>
  <c r="Y13" i="8"/>
  <c r="I13" i="8"/>
  <c r="Q12" i="8"/>
  <c r="Y10" i="8"/>
  <c r="I10" i="8"/>
  <c r="Q9" i="8"/>
  <c r="Y8" i="8"/>
  <c r="I8" i="8"/>
  <c r="Q7" i="8"/>
  <c r="Y6" i="8"/>
  <c r="I6" i="8"/>
  <c r="P27" i="7"/>
  <c r="W26" i="7"/>
  <c r="G26" i="7"/>
  <c r="N25" i="7"/>
  <c r="U23" i="7"/>
  <c r="E23" i="7"/>
  <c r="L22" i="7"/>
  <c r="S20" i="7"/>
  <c r="C20" i="7"/>
  <c r="J19" i="7"/>
  <c r="Q18" i="7"/>
  <c r="X17" i="7"/>
  <c r="H17" i="7"/>
  <c r="O16" i="7"/>
  <c r="V15" i="7"/>
  <c r="F15" i="7"/>
  <c r="M14" i="7"/>
  <c r="T13" i="7"/>
  <c r="D13" i="7"/>
  <c r="K12" i="7"/>
  <c r="R11" i="7"/>
  <c r="Y8" i="7"/>
  <c r="I8" i="7"/>
  <c r="P7" i="7"/>
  <c r="W6" i="7"/>
  <c r="G6" i="7"/>
  <c r="M55" i="6"/>
  <c r="S54" i="6"/>
  <c r="C54" i="6"/>
  <c r="C14" i="13"/>
  <c r="V81" i="12"/>
  <c r="Z60" i="12"/>
  <c r="Z47" i="12"/>
  <c r="G39" i="12"/>
  <c r="Y31" i="12"/>
  <c r="P27" i="12"/>
  <c r="I22" i="12"/>
  <c r="J17" i="12"/>
  <c r="G12" i="12"/>
  <c r="F8" i="12"/>
  <c r="P60" i="11"/>
  <c r="V56" i="11"/>
  <c r="D53" i="11"/>
  <c r="S46" i="11"/>
  <c r="S42" i="11"/>
  <c r="T38" i="11"/>
  <c r="U34" i="11"/>
  <c r="P32" i="11"/>
  <c r="S30" i="11"/>
  <c r="Q28" i="11"/>
  <c r="Q26" i="11"/>
  <c r="U24" i="11"/>
  <c r="S22" i="11"/>
  <c r="S20" i="11"/>
  <c r="V18" i="11"/>
  <c r="Y16" i="11"/>
  <c r="I15" i="11"/>
  <c r="R13" i="11"/>
  <c r="V11" i="11"/>
  <c r="H10" i="11"/>
  <c r="O8" i="11"/>
  <c r="T6" i="11"/>
  <c r="H72" i="10"/>
  <c r="V70" i="10"/>
  <c r="M69" i="10"/>
  <c r="D68" i="10"/>
  <c r="R66" i="10"/>
  <c r="I65" i="10"/>
  <c r="W63" i="10"/>
  <c r="N62" i="10"/>
  <c r="E61" i="10"/>
  <c r="S56" i="10"/>
  <c r="L55" i="10"/>
  <c r="E54" i="10"/>
  <c r="X51" i="10"/>
  <c r="S50" i="10"/>
  <c r="M49" i="10"/>
  <c r="G47" i="10"/>
  <c r="C46" i="10"/>
  <c r="X43" i="10"/>
  <c r="T42" i="10"/>
  <c r="Q41" i="10"/>
  <c r="P40" i="10"/>
  <c r="N39" i="10"/>
  <c r="N38" i="10"/>
  <c r="M37" i="10"/>
  <c r="M36" i="10"/>
  <c r="L35" i="10"/>
  <c r="L34" i="10"/>
  <c r="L33" i="10"/>
  <c r="M32" i="10"/>
  <c r="L31" i="10"/>
  <c r="L30" i="10"/>
  <c r="K29" i="10"/>
  <c r="L28" i="10"/>
  <c r="M27" i="10"/>
  <c r="O26" i="10"/>
  <c r="Q25" i="10"/>
  <c r="R24" i="10"/>
  <c r="T23" i="10"/>
  <c r="V22" i="10"/>
  <c r="W21" i="10"/>
  <c r="Y20" i="10"/>
  <c r="D20" i="10"/>
  <c r="E19" i="10"/>
  <c r="G18" i="10"/>
  <c r="I17" i="10"/>
  <c r="J16" i="10"/>
  <c r="L15" i="10"/>
  <c r="O14" i="10"/>
  <c r="S13" i="10"/>
  <c r="V12" i="10"/>
  <c r="Y11" i="10"/>
  <c r="E11" i="10"/>
  <c r="I10" i="10"/>
  <c r="L9" i="10"/>
  <c r="P8" i="10"/>
  <c r="R7" i="10"/>
  <c r="V6" i="10"/>
  <c r="C6" i="10"/>
  <c r="F30" i="9"/>
  <c r="J29" i="9"/>
  <c r="M28" i="9"/>
  <c r="P23" i="9"/>
  <c r="T22" i="9"/>
  <c r="X21" i="9"/>
  <c r="Z12" i="13"/>
  <c r="G81" i="12"/>
  <c r="W60" i="12"/>
  <c r="X47" i="12"/>
  <c r="E39" i="12"/>
  <c r="X31" i="12"/>
  <c r="N27" i="12"/>
  <c r="Q21" i="12"/>
  <c r="I17" i="12"/>
  <c r="D12" i="12"/>
  <c r="M64" i="11"/>
  <c r="O60" i="11"/>
  <c r="T56" i="11"/>
  <c r="M49" i="11"/>
  <c r="M46" i="11"/>
  <c r="N42" i="11"/>
  <c r="O38" i="11"/>
  <c r="S34" i="11"/>
  <c r="N32" i="11"/>
  <c r="L30" i="11"/>
  <c r="P28" i="11"/>
  <c r="O26" i="11"/>
  <c r="M24" i="11"/>
  <c r="Q22" i="11"/>
  <c r="Q20" i="11"/>
  <c r="O18" i="11"/>
  <c r="W16" i="11"/>
  <c r="H15" i="11"/>
  <c r="L13" i="11"/>
  <c r="U11" i="11"/>
  <c r="D10" i="11"/>
  <c r="M8" i="11"/>
  <c r="Q6" i="11"/>
  <c r="G72" i="10"/>
  <c r="U70" i="10"/>
  <c r="L69" i="10"/>
  <c r="C68" i="10"/>
  <c r="Q66" i="10"/>
  <c r="H65" i="10"/>
  <c r="V63" i="10"/>
  <c r="M62" i="10"/>
  <c r="D61" i="10"/>
  <c r="R56" i="10"/>
  <c r="J55" i="10"/>
  <c r="D54" i="10"/>
  <c r="V51" i="10"/>
  <c r="P50" i="10"/>
  <c r="L49" i="10"/>
  <c r="F47" i="10"/>
  <c r="Y45" i="10"/>
  <c r="V43" i="10"/>
  <c r="S42" i="10"/>
  <c r="P41" i="10"/>
  <c r="N40" i="10"/>
  <c r="M39" i="10"/>
  <c r="L38" i="10"/>
  <c r="L37" i="10"/>
  <c r="L36" i="10"/>
  <c r="K35" i="10"/>
  <c r="K34" i="10"/>
  <c r="J33" i="10"/>
  <c r="J32" i="10"/>
  <c r="J31" i="10"/>
  <c r="K30" i="10"/>
  <c r="J29" i="10"/>
  <c r="K28" i="10"/>
  <c r="L27" i="10"/>
  <c r="M26" i="10"/>
  <c r="P25" i="10"/>
  <c r="Q24" i="10"/>
  <c r="R23" i="10"/>
  <c r="U22" i="10"/>
  <c r="V21" i="10"/>
  <c r="W20" i="10"/>
  <c r="C20" i="10"/>
  <c r="D19" i="10"/>
  <c r="E18" i="10"/>
  <c r="H17" i="10"/>
  <c r="I16" i="10"/>
  <c r="J15" i="10"/>
  <c r="N14" i="10"/>
  <c r="R13" i="10"/>
  <c r="U12" i="10"/>
  <c r="X11" i="10"/>
  <c r="D11" i="10"/>
  <c r="H10" i="10"/>
  <c r="K9" i="10"/>
  <c r="N8" i="10"/>
  <c r="Q7" i="10"/>
  <c r="U6" i="10"/>
  <c r="W30" i="9"/>
  <c r="E30" i="9"/>
  <c r="H29" i="9"/>
  <c r="K28" i="9"/>
  <c r="O23" i="9"/>
  <c r="S22" i="9"/>
  <c r="W21" i="9"/>
  <c r="E21" i="9"/>
  <c r="I19" i="9"/>
  <c r="L18" i="9"/>
  <c r="Q17" i="9"/>
  <c r="W15" i="9"/>
  <c r="G15" i="9"/>
  <c r="M14" i="9"/>
  <c r="S13" i="9"/>
  <c r="C13" i="9"/>
  <c r="I11" i="9"/>
  <c r="O10" i="9"/>
  <c r="U9" i="9"/>
  <c r="E9" i="9"/>
  <c r="K8" i="9"/>
  <c r="Q7" i="9"/>
  <c r="W6" i="9"/>
  <c r="G6" i="9"/>
  <c r="O14" i="8"/>
  <c r="W13" i="8"/>
  <c r="G13" i="8"/>
  <c r="O12" i="8"/>
  <c r="W10" i="8"/>
  <c r="G10" i="8"/>
  <c r="O9" i="8"/>
  <c r="W8" i="8"/>
  <c r="G8" i="8"/>
  <c r="O7" i="8"/>
  <c r="W6" i="8"/>
  <c r="G6" i="8"/>
  <c r="N27" i="7"/>
  <c r="U26" i="7"/>
  <c r="E26" i="7"/>
  <c r="L25" i="7"/>
  <c r="S23" i="7"/>
  <c r="C23" i="7"/>
  <c r="J22" i="7"/>
  <c r="Q20" i="7"/>
  <c r="X19" i="7"/>
  <c r="H19" i="7"/>
  <c r="O18" i="7"/>
  <c r="V17" i="7"/>
  <c r="F17" i="7"/>
  <c r="M16" i="7"/>
  <c r="T15" i="7"/>
  <c r="D15" i="7"/>
  <c r="K14" i="7"/>
  <c r="R13" i="7"/>
  <c r="Y12" i="7"/>
  <c r="I12" i="7"/>
  <c r="P11" i="7"/>
  <c r="W8" i="7"/>
  <c r="G8" i="7"/>
  <c r="N7" i="7"/>
  <c r="U6" i="7"/>
  <c r="E6" i="7"/>
  <c r="K55" i="6"/>
  <c r="Q54" i="6"/>
  <c r="W53" i="6"/>
  <c r="G53" i="6"/>
  <c r="M52" i="6"/>
  <c r="S50" i="6"/>
  <c r="C50" i="6"/>
  <c r="I49" i="6"/>
  <c r="O48" i="6"/>
  <c r="U46" i="6"/>
  <c r="E46" i="6"/>
  <c r="K45" i="6"/>
  <c r="Q44" i="6"/>
  <c r="W43" i="6"/>
  <c r="G43" i="6"/>
  <c r="M41" i="6"/>
  <c r="S40" i="6"/>
  <c r="C40" i="6"/>
  <c r="I39" i="6"/>
  <c r="O38" i="6"/>
  <c r="U36" i="6"/>
  <c r="E36" i="6"/>
  <c r="K35" i="6"/>
  <c r="Q34" i="6"/>
  <c r="W33" i="6"/>
  <c r="G33" i="6"/>
  <c r="M31" i="6"/>
  <c r="S30" i="6"/>
  <c r="C30" i="6"/>
  <c r="I29" i="6"/>
  <c r="O28" i="6"/>
  <c r="U26" i="6"/>
  <c r="E26" i="6"/>
  <c r="K25" i="6"/>
  <c r="Q24" i="6"/>
  <c r="H8" i="13"/>
  <c r="W78" i="12"/>
  <c r="K59" i="12"/>
  <c r="C47" i="12"/>
  <c r="J38" i="12"/>
  <c r="V31" i="12"/>
  <c r="V26" i="12"/>
  <c r="M21" i="12"/>
  <c r="F17" i="12"/>
  <c r="M11" i="12"/>
  <c r="L64" i="11"/>
  <c r="M60" i="11"/>
  <c r="F56" i="11"/>
  <c r="L49" i="11"/>
  <c r="L46" i="11"/>
  <c r="M42" i="11"/>
  <c r="N38" i="11"/>
  <c r="P34" i="11"/>
  <c r="J32" i="11"/>
  <c r="K30" i="11"/>
  <c r="N28" i="11"/>
  <c r="L26" i="11"/>
  <c r="L24" i="11"/>
  <c r="O22" i="11"/>
  <c r="M20" i="11"/>
  <c r="M18" i="11"/>
  <c r="T16" i="11"/>
  <c r="F15" i="11"/>
  <c r="J13" i="11"/>
  <c r="S11" i="11"/>
  <c r="C10" i="11"/>
  <c r="H8" i="11"/>
  <c r="P6" i="11"/>
  <c r="E72" i="10"/>
  <c r="G7" i="13"/>
  <c r="H78" i="12"/>
  <c r="Z58" i="12"/>
  <c r="V45" i="12"/>
  <c r="E38" i="12"/>
  <c r="E31" i="12"/>
  <c r="U26" i="12"/>
  <c r="K21" i="12"/>
  <c r="N16" i="12"/>
  <c r="L11" i="12"/>
  <c r="J64" i="11"/>
  <c r="V59" i="11"/>
  <c r="E56" i="11"/>
  <c r="I49" i="11"/>
  <c r="J46" i="11"/>
  <c r="K42" i="11"/>
  <c r="L38" i="11"/>
  <c r="O34" i="11"/>
  <c r="I32" i="11"/>
  <c r="H30" i="11"/>
  <c r="F28" i="11"/>
  <c r="K26" i="11"/>
  <c r="J24" i="11"/>
  <c r="H22" i="11"/>
  <c r="L20" i="11"/>
  <c r="K18" i="11"/>
  <c r="S16" i="11"/>
  <c r="W14" i="11"/>
  <c r="I13" i="11"/>
  <c r="P11" i="11"/>
  <c r="X9" i="11"/>
  <c r="F8" i="11"/>
  <c r="N6" i="11"/>
  <c r="Y71" i="10"/>
  <c r="P70" i="10"/>
  <c r="G69" i="10"/>
  <c r="U67" i="10"/>
  <c r="L66" i="10"/>
  <c r="C65" i="10"/>
  <c r="Q63" i="10"/>
  <c r="H62" i="10"/>
  <c r="V57" i="10"/>
  <c r="M56" i="10"/>
  <c r="G55" i="10"/>
  <c r="X52" i="10"/>
  <c r="R51" i="10"/>
  <c r="M50" i="10"/>
  <c r="G49" i="10"/>
  <c r="C47" i="10"/>
  <c r="U45" i="10"/>
  <c r="R43" i="10"/>
  <c r="P42" i="10"/>
  <c r="N41" i="10"/>
  <c r="K40" i="10"/>
  <c r="I39" i="10"/>
  <c r="I38" i="10"/>
  <c r="J37" i="10"/>
  <c r="I36" i="10"/>
  <c r="I35" i="10"/>
  <c r="H34" i="10"/>
  <c r="H33" i="10"/>
  <c r="H32" i="10"/>
  <c r="G31" i="10"/>
  <c r="G30" i="10"/>
  <c r="F29" i="10"/>
  <c r="I28" i="10"/>
  <c r="I27" i="10"/>
  <c r="K26" i="10"/>
  <c r="N25" i="10"/>
  <c r="N24" i="10"/>
  <c r="P23" i="10"/>
  <c r="S22" i="10"/>
  <c r="S21" i="10"/>
  <c r="U20" i="10"/>
  <c r="X19" i="10"/>
  <c r="X18" i="10"/>
  <c r="C18" i="10"/>
  <c r="F17" i="10"/>
  <c r="F16" i="10"/>
  <c r="H15" i="10"/>
  <c r="L14" i="10"/>
  <c r="O13" i="10"/>
  <c r="R12" i="10"/>
  <c r="U11" i="10"/>
  <c r="S70" i="10"/>
  <c r="S43" i="10"/>
  <c r="K27" i="10"/>
  <c r="D18" i="10"/>
  <c r="C11" i="10"/>
  <c r="S6" i="10"/>
  <c r="F23" i="9"/>
  <c r="K18" i="9"/>
  <c r="L14" i="9"/>
  <c r="N10" i="9"/>
  <c r="P7" i="9"/>
  <c r="V13" i="8"/>
  <c r="H10" i="8"/>
  <c r="F8" i="8"/>
  <c r="E6" i="8"/>
  <c r="S25" i="7"/>
  <c r="N22" i="7"/>
  <c r="I19" i="7"/>
  <c r="E17" i="7"/>
  <c r="Y14" i="7"/>
  <c r="W12" i="7"/>
  <c r="X8" i="7"/>
  <c r="E7" i="7"/>
  <c r="I55" i="6"/>
  <c r="I53" i="6"/>
  <c r="R50" i="6"/>
  <c r="E49" i="6"/>
  <c r="I46" i="6"/>
  <c r="R44" i="6"/>
  <c r="E43" i="6"/>
  <c r="J40" i="6"/>
  <c r="Q38" i="6"/>
  <c r="D36" i="6"/>
  <c r="M34" i="6"/>
  <c r="J69" i="10"/>
  <c r="R42" i="10"/>
  <c r="L26" i="10"/>
  <c r="Q17" i="10"/>
  <c r="Y10" i="10"/>
  <c r="I6" i="10"/>
  <c r="R22" i="9"/>
  <c r="I18" i="9"/>
  <c r="K14" i="9"/>
  <c r="M10" i="9"/>
  <c r="O7" i="9"/>
  <c r="U13" i="8"/>
  <c r="F10" i="8"/>
  <c r="E8" i="8"/>
  <c r="U27" i="7"/>
  <c r="P25" i="7"/>
  <c r="K22" i="7"/>
  <c r="G19" i="7"/>
  <c r="D17" i="7"/>
  <c r="R14" i="7"/>
  <c r="U12" i="7"/>
  <c r="V8" i="7"/>
  <c r="Y6" i="7"/>
  <c r="G55" i="6"/>
  <c r="H53" i="6"/>
  <c r="Q50" i="6"/>
  <c r="V48" i="6"/>
  <c r="G46" i="6"/>
  <c r="P44" i="6"/>
  <c r="C43" i="6"/>
  <c r="G40" i="6"/>
  <c r="P38" i="6"/>
  <c r="C36" i="6"/>
  <c r="H34" i="6"/>
  <c r="O31" i="6"/>
  <c r="X29" i="6"/>
  <c r="K28" i="6"/>
  <c r="O25" i="6"/>
  <c r="X23" i="6"/>
  <c r="N21" i="6"/>
  <c r="D20" i="6"/>
  <c r="Q18" i="6"/>
  <c r="L16" i="6"/>
  <c r="G15" i="6"/>
  <c r="W13" i="6"/>
  <c r="T11" i="6"/>
  <c r="Q10" i="6"/>
  <c r="K9" i="6"/>
  <c r="I8" i="6"/>
  <c r="E6" i="6"/>
  <c r="X29" i="5"/>
  <c r="U28" i="5"/>
  <c r="T23" i="5"/>
  <c r="T22" i="5"/>
  <c r="W21" i="5"/>
  <c r="E21" i="5"/>
  <c r="H19" i="5"/>
  <c r="L18" i="5"/>
  <c r="Q17" i="5"/>
  <c r="V15" i="5"/>
  <c r="E15" i="5"/>
  <c r="J14" i="5"/>
  <c r="O13" i="5"/>
  <c r="T11" i="5"/>
  <c r="C11" i="5"/>
  <c r="H10" i="5"/>
  <c r="M9" i="5"/>
  <c r="R8" i="5"/>
  <c r="W7" i="5"/>
  <c r="E7" i="5"/>
  <c r="J6" i="5"/>
  <c r="P53" i="4"/>
  <c r="V52" i="4"/>
  <c r="X67" i="10"/>
  <c r="O41" i="10"/>
  <c r="O25" i="10"/>
  <c r="G17" i="10"/>
  <c r="P10" i="10"/>
  <c r="V30" i="9"/>
  <c r="Q22" i="9"/>
  <c r="X17" i="9"/>
  <c r="D14" i="9"/>
  <c r="F10" i="9"/>
  <c r="H7" i="9"/>
  <c r="N13" i="8"/>
  <c r="E10" i="8"/>
  <c r="V7" i="8"/>
  <c r="R27" i="7"/>
  <c r="M25" i="7"/>
  <c r="I22" i="7"/>
  <c r="F19" i="7"/>
  <c r="T16" i="7"/>
  <c r="O14" i="7"/>
  <c r="P12" i="7"/>
  <c r="U8" i="7"/>
  <c r="V6" i="7"/>
  <c r="X54" i="6"/>
  <c r="F53" i="6"/>
  <c r="O50" i="6"/>
  <c r="S48" i="6"/>
  <c r="F46" i="6"/>
  <c r="O44" i="6"/>
  <c r="T41" i="6"/>
  <c r="E40" i="6"/>
  <c r="N38" i="6"/>
  <c r="W35" i="6"/>
  <c r="E34" i="6"/>
  <c r="N31" i="6"/>
  <c r="W29" i="6"/>
  <c r="F28" i="6"/>
  <c r="M25" i="6"/>
  <c r="W23" i="6"/>
  <c r="M21" i="6"/>
  <c r="C20" i="6"/>
  <c r="P18" i="6"/>
  <c r="I16" i="6"/>
  <c r="E15" i="6"/>
  <c r="V13" i="6"/>
  <c r="Q11" i="6"/>
  <c r="O10" i="6"/>
  <c r="J9" i="6"/>
  <c r="H8" i="6"/>
  <c r="D6" i="6"/>
  <c r="U29" i="5"/>
  <c r="T28" i="5"/>
  <c r="R23" i="5"/>
  <c r="S22" i="5"/>
  <c r="V21" i="5"/>
  <c r="C21" i="5"/>
  <c r="G19" i="5"/>
  <c r="K18" i="5"/>
  <c r="P17" i="5"/>
  <c r="U15" i="5"/>
  <c r="D15" i="5"/>
  <c r="I14" i="5"/>
  <c r="N13" i="5"/>
  <c r="O66" i="10"/>
  <c r="M40" i="10"/>
  <c r="P24" i="10"/>
  <c r="R16" i="10"/>
  <c r="G10" i="10"/>
  <c r="U30" i="9"/>
  <c r="I22" i="9"/>
  <c r="R17" i="9"/>
  <c r="T13" i="9"/>
  <c r="V9" i="9"/>
  <c r="X6" i="9"/>
  <c r="H13" i="8"/>
  <c r="V9" i="8"/>
  <c r="S7" i="8"/>
  <c r="O27" i="7"/>
  <c r="K25" i="7"/>
  <c r="H22" i="7"/>
  <c r="V18" i="7"/>
  <c r="Q16" i="7"/>
  <c r="L14" i="7"/>
  <c r="M12" i="7"/>
  <c r="S8" i="7"/>
  <c r="T6" i="7"/>
  <c r="U54" i="6"/>
  <c r="E53" i="6"/>
  <c r="J50" i="6"/>
  <c r="Q48" i="6"/>
  <c r="D46" i="6"/>
  <c r="M44" i="6"/>
  <c r="Q41" i="6"/>
  <c r="D40" i="6"/>
  <c r="M38" i="6"/>
  <c r="R35" i="6"/>
  <c r="C34" i="6"/>
  <c r="L31" i="6"/>
  <c r="U29" i="6"/>
  <c r="C28" i="6"/>
  <c r="L25" i="6"/>
  <c r="V23" i="6"/>
  <c r="L21" i="6"/>
  <c r="X19" i="6"/>
  <c r="O18" i="6"/>
  <c r="G16" i="6"/>
  <c r="X14" i="6"/>
  <c r="U13" i="6"/>
  <c r="O11" i="6"/>
  <c r="M10" i="6"/>
  <c r="I9" i="6"/>
  <c r="F8" i="6"/>
  <c r="C6" i="6"/>
  <c r="S29" i="5"/>
  <c r="S28" i="5"/>
  <c r="Q23" i="5"/>
  <c r="R22" i="5"/>
  <c r="U21" i="5"/>
  <c r="X19" i="5"/>
  <c r="F19" i="5"/>
  <c r="J18" i="5"/>
  <c r="O17" i="5"/>
  <c r="T15" i="5"/>
  <c r="C15" i="5"/>
  <c r="H14" i="5"/>
  <c r="M13" i="5"/>
  <c r="R11" i="5"/>
  <c r="W10" i="5"/>
  <c r="F10" i="5"/>
  <c r="K9" i="5"/>
  <c r="O8" i="5"/>
  <c r="T7" i="5"/>
  <c r="C7" i="5"/>
  <c r="H6" i="5"/>
  <c r="N53" i="4"/>
  <c r="T52" i="4"/>
  <c r="C52" i="4"/>
  <c r="I50" i="4"/>
  <c r="O49" i="4"/>
  <c r="U46" i="4"/>
  <c r="D46" i="4"/>
  <c r="J45" i="4"/>
  <c r="P43" i="4"/>
  <c r="V42" i="4"/>
  <c r="E42" i="4"/>
  <c r="J39" i="4"/>
  <c r="P38" i="4"/>
  <c r="V36" i="4"/>
  <c r="E36" i="4"/>
  <c r="K35" i="4"/>
  <c r="Q32" i="4"/>
  <c r="W31" i="4"/>
  <c r="F31" i="4"/>
  <c r="L29" i="4"/>
  <c r="R28" i="4"/>
  <c r="F65" i="10"/>
  <c r="L39" i="10"/>
  <c r="Q23" i="10"/>
  <c r="H16" i="10"/>
  <c r="E10" i="10"/>
  <c r="L30" i="9"/>
  <c r="V21" i="9"/>
  <c r="P17" i="9"/>
  <c r="R13" i="9"/>
  <c r="T9" i="9"/>
  <c r="V6" i="9"/>
  <c r="F13" i="8"/>
  <c r="S9" i="8"/>
  <c r="P7" i="8"/>
  <c r="M27" i="7"/>
  <c r="J25" i="7"/>
  <c r="X20" i="7"/>
  <c r="S18" i="7"/>
  <c r="N16" i="7"/>
  <c r="J14" i="7"/>
  <c r="J12" i="7"/>
  <c r="N8" i="7"/>
  <c r="S6" i="7"/>
  <c r="R54" i="6"/>
  <c r="C53" i="6"/>
  <c r="G50" i="6"/>
  <c r="P48" i="6"/>
  <c r="C46" i="6"/>
  <c r="H44" i="6"/>
  <c r="O41" i="6"/>
  <c r="X39" i="6"/>
  <c r="K38" i="6"/>
  <c r="O35" i="6"/>
  <c r="X33" i="6"/>
  <c r="K31" i="6"/>
  <c r="P29" i="6"/>
  <c r="W26" i="6"/>
  <c r="J25" i="6"/>
  <c r="U23" i="6"/>
  <c r="K21" i="6"/>
  <c r="W19" i="6"/>
  <c r="N18" i="6"/>
  <c r="F16" i="6"/>
  <c r="U14" i="6"/>
  <c r="S13" i="6"/>
  <c r="N11" i="6"/>
  <c r="L10" i="6"/>
  <c r="H9" i="6"/>
  <c r="C8" i="6"/>
  <c r="W30" i="5"/>
  <c r="R29" i="5"/>
  <c r="Q28" i="5"/>
  <c r="O23" i="5"/>
  <c r="Q22" i="5"/>
  <c r="S21" i="5"/>
  <c r="W19" i="5"/>
  <c r="D19" i="5"/>
  <c r="I18" i="5"/>
  <c r="N17" i="5"/>
  <c r="S15" i="5"/>
  <c r="X14" i="5"/>
  <c r="G14" i="5"/>
  <c r="L13" i="5"/>
  <c r="Q11" i="5"/>
  <c r="V10" i="5"/>
  <c r="E10" i="5"/>
  <c r="I9" i="5"/>
  <c r="N8" i="5"/>
  <c r="S7" i="5"/>
  <c r="X6" i="5"/>
  <c r="G6" i="5"/>
  <c r="M53" i="4"/>
  <c r="S52" i="4"/>
  <c r="Y50" i="4"/>
  <c r="H50" i="4"/>
  <c r="N49" i="4"/>
  <c r="T46" i="4"/>
  <c r="C46" i="4"/>
  <c r="I45" i="4"/>
  <c r="O43" i="4"/>
  <c r="U42" i="4"/>
  <c r="C42" i="4"/>
  <c r="I39" i="4"/>
  <c r="O38" i="4"/>
  <c r="U36" i="4"/>
  <c r="D36" i="4"/>
  <c r="J35" i="4"/>
  <c r="P32" i="4"/>
  <c r="V31" i="4"/>
  <c r="E31" i="4"/>
  <c r="K29" i="4"/>
  <c r="Q28" i="4"/>
  <c r="W25" i="4"/>
  <c r="G25" i="4"/>
  <c r="N24" i="4"/>
  <c r="U22" i="4"/>
  <c r="E22" i="4"/>
  <c r="L21" i="4"/>
  <c r="S18" i="4"/>
  <c r="C18" i="4"/>
  <c r="J17" i="4"/>
  <c r="Q15" i="4"/>
  <c r="X14" i="4"/>
  <c r="H14" i="4"/>
  <c r="T63" i="10"/>
  <c r="K38" i="10"/>
  <c r="G23" i="10"/>
  <c r="U15" i="10"/>
  <c r="S9" i="10"/>
  <c r="D30" i="9"/>
  <c r="U21" i="9"/>
  <c r="O17" i="9"/>
  <c r="Q13" i="9"/>
  <c r="S9" i="9"/>
  <c r="U6" i="9"/>
  <c r="E13" i="8"/>
  <c r="P9" i="8"/>
  <c r="N7" i="8"/>
  <c r="L27" i="7"/>
  <c r="C25" i="7"/>
  <c r="U20" i="7"/>
  <c r="P18" i="7"/>
  <c r="L16" i="7"/>
  <c r="I14" i="7"/>
  <c r="H12" i="7"/>
  <c r="K8" i="7"/>
  <c r="Q6" i="7"/>
  <c r="P54" i="6"/>
  <c r="T52" i="6"/>
  <c r="E50" i="6"/>
  <c r="N48" i="6"/>
  <c r="W45" i="6"/>
  <c r="E44" i="6"/>
  <c r="N41" i="6"/>
  <c r="W39" i="6"/>
  <c r="F38" i="6"/>
  <c r="M35" i="6"/>
  <c r="V33" i="6"/>
  <c r="I31" i="6"/>
  <c r="M29" i="6"/>
  <c r="V26" i="6"/>
  <c r="I25" i="6"/>
  <c r="S23" i="6"/>
  <c r="I21" i="6"/>
  <c r="U19" i="6"/>
  <c r="M18" i="6"/>
  <c r="E16" i="6"/>
  <c r="S14" i="6"/>
  <c r="Q13" i="6"/>
  <c r="M11" i="6"/>
  <c r="J10" i="6"/>
  <c r="G9" i="6"/>
  <c r="W6" i="6"/>
  <c r="U30" i="5"/>
  <c r="Q29" i="5"/>
  <c r="P28" i="5"/>
  <c r="N23" i="5"/>
  <c r="P22" i="5"/>
  <c r="R21" i="5"/>
  <c r="V19" i="5"/>
  <c r="C19" i="5"/>
  <c r="H18" i="5"/>
  <c r="M17" i="5"/>
  <c r="R15" i="5"/>
  <c r="W14" i="5"/>
  <c r="F14" i="5"/>
  <c r="K13" i="5"/>
  <c r="P11" i="5"/>
  <c r="U10" i="5"/>
  <c r="C10" i="5"/>
  <c r="H9" i="5"/>
  <c r="M8" i="5"/>
  <c r="R7" i="5"/>
  <c r="W6" i="5"/>
  <c r="F6" i="5"/>
  <c r="L53" i="4"/>
  <c r="R52" i="4"/>
  <c r="X50" i="4"/>
  <c r="Y57" i="10"/>
  <c r="J36" i="10"/>
  <c r="H22" i="10"/>
  <c r="W14" i="10"/>
  <c r="I9" i="10"/>
  <c r="P29" i="9"/>
  <c r="F21" i="9"/>
  <c r="X15" i="9"/>
  <c r="D13" i="9"/>
  <c r="F9" i="9"/>
  <c r="H6" i="9"/>
  <c r="P12" i="8"/>
  <c r="M9" i="8"/>
  <c r="F7" i="8"/>
  <c r="Y26" i="7"/>
  <c r="T23" i="7"/>
  <c r="P20" i="7"/>
  <c r="M18" i="7"/>
  <c r="D16" i="7"/>
  <c r="V13" i="7"/>
  <c r="E12" i="7"/>
  <c r="F8" i="7"/>
  <c r="I6" i="7"/>
  <c r="M54" i="6"/>
  <c r="O52" i="6"/>
  <c r="X49" i="6"/>
  <c r="K48" i="6"/>
  <c r="O45" i="6"/>
  <c r="X43" i="6"/>
  <c r="K41" i="6"/>
  <c r="P39" i="6"/>
  <c r="W36" i="6"/>
  <c r="J35" i="6"/>
  <c r="S33" i="6"/>
  <c r="W30" i="6"/>
  <c r="J29" i="6"/>
  <c r="S26" i="6"/>
  <c r="X24" i="6"/>
  <c r="K23" i="6"/>
  <c r="W20" i="6"/>
  <c r="M19" i="6"/>
  <c r="I18" i="6"/>
  <c r="C16" i="6"/>
  <c r="Q14" i="6"/>
  <c r="N13" i="6"/>
  <c r="K11" i="6"/>
  <c r="E10" i="6"/>
  <c r="C9" i="6"/>
  <c r="U6" i="6"/>
  <c r="R30" i="5"/>
  <c r="O29" i="5"/>
  <c r="K28" i="5"/>
  <c r="P56" i="10"/>
  <c r="J35" i="10"/>
  <c r="U21" i="10"/>
  <c r="M14" i="10"/>
  <c r="W8" i="10"/>
  <c r="G29" i="9"/>
  <c r="D21" i="9"/>
  <c r="V15" i="9"/>
  <c r="X11" i="9"/>
  <c r="D9" i="9"/>
  <c r="F6" i="9"/>
  <c r="N12" i="8"/>
  <c r="F9" i="8"/>
  <c r="C7" i="8"/>
  <c r="V26" i="7"/>
  <c r="R23" i="7"/>
  <c r="O20" i="7"/>
  <c r="F18" i="7"/>
  <c r="X15" i="7"/>
  <c r="S13" i="7"/>
  <c r="W11" i="7"/>
  <c r="E8" i="7"/>
  <c r="F6" i="7"/>
  <c r="H54" i="6"/>
  <c r="N52" i="6"/>
  <c r="W49" i="6"/>
  <c r="F48" i="6"/>
  <c r="M45" i="6"/>
  <c r="V43" i="6"/>
  <c r="I41" i="6"/>
  <c r="M39" i="6"/>
  <c r="V36" i="6"/>
  <c r="I35" i="6"/>
  <c r="N33" i="6"/>
  <c r="U30" i="6"/>
  <c r="H29" i="6"/>
  <c r="Q26" i="6"/>
  <c r="U24" i="6"/>
  <c r="I23" i="6"/>
  <c r="U20" i="6"/>
  <c r="K19" i="6"/>
  <c r="F18" i="6"/>
  <c r="W15" i="6"/>
  <c r="P14" i="6"/>
  <c r="K13" i="6"/>
  <c r="I11" i="6"/>
  <c r="D10" i="6"/>
  <c r="X8" i="6"/>
  <c r="T6" i="6"/>
  <c r="O30" i="5"/>
  <c r="M29" i="5"/>
  <c r="I28" i="5"/>
  <c r="K23" i="5"/>
  <c r="L22" i="5"/>
  <c r="N21" i="5"/>
  <c r="R19" i="5"/>
  <c r="V18" i="5"/>
  <c r="E18" i="5"/>
  <c r="J17" i="5"/>
  <c r="O15" i="5"/>
  <c r="T14" i="5"/>
  <c r="C14" i="5"/>
  <c r="G13" i="5"/>
  <c r="L11" i="5"/>
  <c r="Q10" i="5"/>
  <c r="V9" i="5"/>
  <c r="E9" i="5"/>
  <c r="J8" i="5"/>
  <c r="O7" i="5"/>
  <c r="T6" i="5"/>
  <c r="C6" i="5"/>
  <c r="I53" i="4"/>
  <c r="O52" i="4"/>
  <c r="U50" i="4"/>
  <c r="D50" i="4"/>
  <c r="J49" i="4"/>
  <c r="P46" i="4"/>
  <c r="U45" i="4"/>
  <c r="D45" i="4"/>
  <c r="J43" i="4"/>
  <c r="P42" i="4"/>
  <c r="V39" i="4"/>
  <c r="E39" i="4"/>
  <c r="K38" i="4"/>
  <c r="Q36" i="4"/>
  <c r="W35" i="4"/>
  <c r="F35" i="4"/>
  <c r="L32" i="4"/>
  <c r="R31" i="4"/>
  <c r="X29" i="4"/>
  <c r="G29" i="4"/>
  <c r="M28" i="4"/>
  <c r="S25" i="4"/>
  <c r="C25" i="4"/>
  <c r="J24" i="4"/>
  <c r="Q22" i="4"/>
  <c r="X21" i="4"/>
  <c r="H21" i="4"/>
  <c r="O18" i="4"/>
  <c r="V17" i="4"/>
  <c r="F17" i="4"/>
  <c r="M15" i="4"/>
  <c r="T14" i="4"/>
  <c r="D14" i="4"/>
  <c r="K11" i="4"/>
  <c r="R10" i="4"/>
  <c r="Y8" i="4"/>
  <c r="I8" i="4"/>
  <c r="P7" i="4"/>
  <c r="Y25" i="3"/>
  <c r="I25" i="3"/>
  <c r="R24" i="3"/>
  <c r="AA23" i="3"/>
  <c r="K23" i="3"/>
  <c r="T21" i="3"/>
  <c r="D21" i="3"/>
  <c r="M20" i="3"/>
  <c r="V19" i="3"/>
  <c r="F19" i="3"/>
  <c r="O18" i="3"/>
  <c r="X17" i="3"/>
  <c r="H17" i="3"/>
  <c r="Q16" i="3"/>
  <c r="Z15" i="3"/>
  <c r="J15" i="3"/>
  <c r="S14" i="3"/>
  <c r="C14" i="3"/>
  <c r="L12" i="3"/>
  <c r="U11" i="3"/>
  <c r="E11" i="3"/>
  <c r="N10" i="3"/>
  <c r="W9" i="3"/>
  <c r="G9" i="3"/>
  <c r="P8" i="3"/>
  <c r="Y7" i="3"/>
  <c r="I55" i="10"/>
  <c r="J34" i="10"/>
  <c r="K21" i="10"/>
  <c r="C14" i="10"/>
  <c r="M8" i="10"/>
  <c r="E29" i="9"/>
  <c r="C21" i="9"/>
  <c r="U15" i="9"/>
  <c r="W11" i="9"/>
  <c r="C9" i="9"/>
  <c r="E6" i="9"/>
  <c r="M12" i="8"/>
  <c r="C9" i="8"/>
  <c r="X6" i="8"/>
  <c r="T26" i="7"/>
  <c r="Q23" i="7"/>
  <c r="H20" i="7"/>
  <c r="C18" i="7"/>
  <c r="U15" i="7"/>
  <c r="Q13" i="7"/>
  <c r="T11" i="7"/>
  <c r="C8" i="7"/>
  <c r="D6" i="7"/>
  <c r="E54" i="6"/>
  <c r="L52" i="6"/>
  <c r="U49" i="6"/>
  <c r="C48" i="6"/>
  <c r="L45" i="6"/>
  <c r="U43" i="6"/>
  <c r="D41" i="6"/>
  <c r="K39" i="6"/>
  <c r="T36" i="6"/>
  <c r="G35" i="6"/>
  <c r="K33" i="6"/>
  <c r="T30" i="6"/>
  <c r="G29" i="6"/>
  <c r="L26" i="6"/>
  <c r="S24" i="6"/>
  <c r="H23" i="6"/>
  <c r="T20" i="6"/>
  <c r="J19" i="6"/>
  <c r="C18" i="6"/>
  <c r="U15" i="6"/>
  <c r="O14" i="6"/>
  <c r="I13" i="6"/>
  <c r="G11" i="6"/>
  <c r="C10" i="6"/>
  <c r="V8" i="6"/>
  <c r="S6" i="6"/>
  <c r="M30" i="5"/>
  <c r="K29" i="5"/>
  <c r="H28" i="5"/>
  <c r="J23" i="5"/>
  <c r="K22" i="5"/>
  <c r="M21" i="5"/>
  <c r="Q19" i="5"/>
  <c r="U18" i="5"/>
  <c r="D18" i="5"/>
  <c r="I17" i="5"/>
  <c r="N15" i="5"/>
  <c r="S14" i="5"/>
  <c r="W13" i="5"/>
  <c r="F13" i="5"/>
  <c r="K11" i="5"/>
  <c r="P10" i="5"/>
  <c r="U9" i="5"/>
  <c r="D9" i="5"/>
  <c r="I8" i="5"/>
  <c r="N7" i="5"/>
  <c r="S6" i="5"/>
  <c r="Y53" i="4"/>
  <c r="H53" i="4"/>
  <c r="N52" i="4"/>
  <c r="T50" i="4"/>
  <c r="C50" i="4"/>
  <c r="I49" i="4"/>
  <c r="N46" i="4"/>
  <c r="T45" i="4"/>
  <c r="C45" i="4"/>
  <c r="I43" i="4"/>
  <c r="O42" i="4"/>
  <c r="U39" i="4"/>
  <c r="D39" i="4"/>
  <c r="J38" i="4"/>
  <c r="P36" i="4"/>
  <c r="V35" i="4"/>
  <c r="E35" i="4"/>
  <c r="K32" i="4"/>
  <c r="Q31" i="4"/>
  <c r="W29" i="4"/>
  <c r="F29" i="4"/>
  <c r="K28" i="4"/>
  <c r="R25" i="4"/>
  <c r="Y24" i="4"/>
  <c r="C54" i="10"/>
  <c r="I33" i="10"/>
  <c r="V20" i="10"/>
  <c r="P13" i="10"/>
  <c r="K8" i="10"/>
  <c r="T28" i="9"/>
  <c r="P19" i="9"/>
  <c r="N15" i="9"/>
  <c r="P11" i="9"/>
  <c r="R8" i="9"/>
  <c r="V14" i="8"/>
  <c r="F12" i="8"/>
  <c r="X8" i="8"/>
  <c r="V6" i="8"/>
  <c r="S26" i="7"/>
  <c r="J23" i="7"/>
  <c r="E20" i="7"/>
  <c r="W17" i="7"/>
  <c r="S15" i="7"/>
  <c r="P13" i="7"/>
  <c r="Q11" i="7"/>
  <c r="U7" i="7"/>
  <c r="C6" i="7"/>
  <c r="X53" i="6"/>
  <c r="K52" i="6"/>
  <c r="P49" i="6"/>
  <c r="W46" i="6"/>
  <c r="J45" i="6"/>
  <c r="S43" i="6"/>
  <c r="W40" i="6"/>
  <c r="J39" i="6"/>
  <c r="S36" i="6"/>
  <c r="X34" i="6"/>
  <c r="I33" i="6"/>
  <c r="R30" i="6"/>
  <c r="E29" i="6"/>
  <c r="I26" i="6"/>
  <c r="R24" i="6"/>
  <c r="G23" i="6"/>
  <c r="S20" i="6"/>
  <c r="I19" i="6"/>
  <c r="W16" i="6"/>
  <c r="R15" i="6"/>
  <c r="M14" i="6"/>
  <c r="H13" i="6"/>
  <c r="F11" i="6"/>
  <c r="X9" i="6"/>
  <c r="S8" i="6"/>
  <c r="Q6" i="6"/>
  <c r="L30" i="5"/>
  <c r="J29" i="5"/>
  <c r="G28" i="5"/>
  <c r="I23" i="5"/>
  <c r="J22" i="5"/>
  <c r="L21" i="5"/>
  <c r="P19" i="5"/>
  <c r="T18" i="5"/>
  <c r="C18" i="5"/>
  <c r="H17" i="5"/>
  <c r="M15" i="5"/>
  <c r="Q14" i="5"/>
  <c r="V13" i="5"/>
  <c r="E13" i="5"/>
  <c r="J11" i="5"/>
  <c r="O10" i="5"/>
  <c r="T9" i="5"/>
  <c r="C9" i="5"/>
  <c r="H8" i="5"/>
  <c r="M7" i="5"/>
  <c r="R6" i="5"/>
  <c r="X53" i="4"/>
  <c r="G53" i="4"/>
  <c r="M52" i="4"/>
  <c r="S50" i="4"/>
  <c r="Y49" i="4"/>
  <c r="G49" i="4"/>
  <c r="M46" i="4"/>
  <c r="S45" i="4"/>
  <c r="Y43" i="4"/>
  <c r="H43" i="4"/>
  <c r="N42" i="4"/>
  <c r="T39" i="4"/>
  <c r="C39" i="4"/>
  <c r="I38" i="4"/>
  <c r="O36" i="4"/>
  <c r="U35" i="4"/>
  <c r="D35" i="4"/>
  <c r="J32" i="4"/>
  <c r="P31" i="4"/>
  <c r="V29" i="4"/>
  <c r="D29" i="4"/>
  <c r="J28" i="4"/>
  <c r="Q25" i="4"/>
  <c r="X24" i="4"/>
  <c r="H24" i="4"/>
  <c r="O22" i="4"/>
  <c r="V21" i="4"/>
  <c r="F21" i="4"/>
  <c r="M18" i="4"/>
  <c r="T17" i="4"/>
  <c r="D17" i="4"/>
  <c r="K15" i="4"/>
  <c r="R14" i="4"/>
  <c r="Y11" i="4"/>
  <c r="I11" i="4"/>
  <c r="P10" i="4"/>
  <c r="W8" i="4"/>
  <c r="G8" i="4"/>
  <c r="N7" i="4"/>
  <c r="W25" i="3"/>
  <c r="G25" i="3"/>
  <c r="P24" i="3"/>
  <c r="Y23" i="3"/>
  <c r="I23" i="3"/>
  <c r="R21" i="3"/>
  <c r="AA20" i="3"/>
  <c r="K20" i="3"/>
  <c r="T19" i="3"/>
  <c r="D19" i="3"/>
  <c r="M18" i="3"/>
  <c r="V17" i="3"/>
  <c r="F17" i="3"/>
  <c r="O16" i="3"/>
  <c r="X15" i="3"/>
  <c r="H15" i="3"/>
  <c r="Q14" i="3"/>
  <c r="Z12" i="3"/>
  <c r="J12" i="3"/>
  <c r="S11" i="3"/>
  <c r="C11" i="3"/>
  <c r="L10" i="3"/>
  <c r="U9" i="3"/>
  <c r="E9" i="3"/>
  <c r="N8" i="3"/>
  <c r="W7" i="3"/>
  <c r="G7" i="3"/>
  <c r="P6" i="3"/>
  <c r="W25" i="2"/>
  <c r="G25" i="2"/>
  <c r="N24" i="2"/>
  <c r="U23" i="2"/>
  <c r="S51" i="10"/>
  <c r="I32" i="10"/>
  <c r="L20" i="10"/>
  <c r="F13" i="10"/>
  <c r="C8" i="10"/>
  <c r="J28" i="9"/>
  <c r="J19" i="9"/>
  <c r="H15" i="9"/>
  <c r="J11" i="9"/>
  <c r="L8" i="9"/>
  <c r="P14" i="8"/>
  <c r="X10" i="8"/>
  <c r="V8" i="8"/>
  <c r="U6" i="8"/>
  <c r="L26" i="7"/>
  <c r="G23" i="7"/>
  <c r="Y19" i="7"/>
  <c r="U17" i="7"/>
  <c r="R15" i="7"/>
  <c r="N13" i="7"/>
  <c r="O11" i="7"/>
  <c r="R7" i="7"/>
  <c r="W55" i="6"/>
  <c r="V53" i="6"/>
  <c r="I52" i="6"/>
  <c r="M49" i="6"/>
  <c r="V46" i="6"/>
  <c r="I45" i="6"/>
  <c r="N43" i="6"/>
  <c r="U40" i="6"/>
  <c r="H39" i="6"/>
  <c r="Q36" i="6"/>
  <c r="U34" i="6"/>
  <c r="H33" i="6"/>
  <c r="Q30" i="6"/>
  <c r="V28" i="6"/>
  <c r="G26" i="6"/>
  <c r="P24" i="6"/>
  <c r="F23" i="6"/>
  <c r="R20" i="6"/>
  <c r="H19" i="6"/>
  <c r="V16" i="6"/>
  <c r="O15" i="6"/>
  <c r="K14" i="6"/>
  <c r="G13" i="6"/>
  <c r="D11" i="6"/>
  <c r="W9" i="6"/>
  <c r="Q8" i="6"/>
  <c r="O6" i="6"/>
  <c r="K30" i="5"/>
  <c r="H29" i="5"/>
  <c r="F28" i="5"/>
  <c r="G23" i="5"/>
  <c r="H22" i="5"/>
  <c r="K21" i="5"/>
  <c r="O19" i="5"/>
  <c r="S18" i="5"/>
  <c r="X17" i="5"/>
  <c r="G17" i="5"/>
  <c r="O50" i="10"/>
  <c r="H31" i="10"/>
  <c r="Y19" i="10"/>
  <c r="T12" i="10"/>
  <c r="P7" i="10"/>
  <c r="I28" i="9"/>
  <c r="H19" i="9"/>
  <c r="F15" i="9"/>
  <c r="H11" i="9"/>
  <c r="J8" i="9"/>
  <c r="N14" i="8"/>
  <c r="V10" i="8"/>
  <c r="U8" i="8"/>
  <c r="N6" i="8"/>
  <c r="I26" i="7"/>
  <c r="D23" i="7"/>
  <c r="W19" i="7"/>
  <c r="T17" i="7"/>
  <c r="K15" i="7"/>
  <c r="I13" i="7"/>
  <c r="N11" i="7"/>
  <c r="O7" i="7"/>
  <c r="R55" i="6"/>
  <c r="U53" i="6"/>
  <c r="D52" i="6"/>
  <c r="K49" i="6"/>
  <c r="T46" i="6"/>
  <c r="G45" i="6"/>
  <c r="K43" i="6"/>
  <c r="T40" i="6"/>
  <c r="G39" i="6"/>
  <c r="L36" i="6"/>
  <c r="S34" i="6"/>
  <c r="F33" i="6"/>
  <c r="O30" i="6"/>
  <c r="S28" i="6"/>
  <c r="F26" i="6"/>
  <c r="O24" i="6"/>
  <c r="E23" i="6"/>
  <c r="Q20" i="6"/>
  <c r="G19" i="6"/>
  <c r="U16" i="6"/>
  <c r="M15" i="6"/>
  <c r="J14" i="6"/>
  <c r="F13" i="6"/>
  <c r="W10" i="6"/>
  <c r="U9" i="6"/>
  <c r="P8" i="6"/>
  <c r="N6" i="6"/>
  <c r="J30" i="5"/>
  <c r="E29" i="5"/>
  <c r="E28" i="5"/>
  <c r="F23" i="5"/>
  <c r="G22" i="5"/>
  <c r="J21" i="5"/>
  <c r="N19" i="5"/>
  <c r="R18" i="5"/>
  <c r="W17" i="5"/>
  <c r="E17" i="5"/>
  <c r="J15" i="5"/>
  <c r="O14" i="5"/>
  <c r="T13" i="5"/>
  <c r="C13" i="5"/>
  <c r="H11" i="5"/>
  <c r="M10" i="5"/>
  <c r="R9" i="5"/>
  <c r="W8" i="5"/>
  <c r="F8" i="5"/>
  <c r="K7" i="5"/>
  <c r="P6" i="5"/>
  <c r="V53" i="4"/>
  <c r="E53" i="4"/>
  <c r="K52" i="4"/>
  <c r="P50" i="4"/>
  <c r="V49" i="4"/>
  <c r="E49" i="4"/>
  <c r="K46" i="4"/>
  <c r="Q45" i="4"/>
  <c r="W43" i="4"/>
  <c r="F43" i="4"/>
  <c r="L42" i="4"/>
  <c r="R39" i="4"/>
  <c r="X38" i="4"/>
  <c r="G38" i="4"/>
  <c r="M36" i="4"/>
  <c r="S35" i="4"/>
  <c r="Y32" i="4"/>
  <c r="H32" i="4"/>
  <c r="M31" i="4"/>
  <c r="S29" i="4"/>
  <c r="Y28" i="4"/>
  <c r="H28" i="4"/>
  <c r="O25" i="4"/>
  <c r="V24" i="4"/>
  <c r="F24" i="4"/>
  <c r="M22" i="4"/>
  <c r="T21" i="4"/>
  <c r="D21" i="4"/>
  <c r="K18" i="4"/>
  <c r="R17" i="4"/>
  <c r="Y15" i="4"/>
  <c r="I15" i="4"/>
  <c r="P14" i="4"/>
  <c r="W11" i="4"/>
  <c r="G11" i="4"/>
  <c r="N10" i="4"/>
  <c r="U8" i="4"/>
  <c r="E8" i="4"/>
  <c r="L7" i="4"/>
  <c r="U25" i="3"/>
  <c r="E25" i="3"/>
  <c r="N24" i="3"/>
  <c r="W23" i="3"/>
  <c r="G23" i="3"/>
  <c r="P21" i="3"/>
  <c r="Y20" i="3"/>
  <c r="I20" i="3"/>
  <c r="R19" i="3"/>
  <c r="AA18" i="3"/>
  <c r="K18" i="3"/>
  <c r="T17" i="3"/>
  <c r="D17" i="3"/>
  <c r="M16" i="3"/>
  <c r="V15" i="3"/>
  <c r="F15" i="3"/>
  <c r="O14" i="3"/>
  <c r="X12" i="3"/>
  <c r="V45" i="10"/>
  <c r="J28" i="10"/>
  <c r="P18" i="10"/>
  <c r="M11" i="10"/>
  <c r="T6" i="10"/>
  <c r="M23" i="9"/>
  <c r="N18" i="9"/>
  <c r="N14" i="9"/>
  <c r="P10" i="9"/>
  <c r="R7" i="9"/>
  <c r="X13" i="8"/>
  <c r="K10" i="8"/>
  <c r="H8" i="8"/>
  <c r="F6" i="8"/>
  <c r="C26" i="7"/>
  <c r="Q22" i="7"/>
  <c r="L19" i="7"/>
  <c r="G17" i="7"/>
  <c r="C15" i="7"/>
  <c r="X12" i="7"/>
  <c r="D11" i="7"/>
  <c r="J7" i="7"/>
  <c r="J55" i="6"/>
  <c r="K53" i="6"/>
  <c r="T50" i="6"/>
  <c r="G49" i="6"/>
  <c r="L46" i="6"/>
  <c r="S44" i="6"/>
  <c r="F43" i="6"/>
  <c r="O40" i="6"/>
  <c r="S38" i="6"/>
  <c r="F36" i="6"/>
  <c r="O34" i="6"/>
  <c r="T31" i="6"/>
  <c r="E30" i="6"/>
  <c r="N28" i="6"/>
  <c r="W25" i="6"/>
  <c r="E24" i="6"/>
  <c r="Q21" i="6"/>
  <c r="G20" i="6"/>
  <c r="V18" i="6"/>
  <c r="Q16" i="6"/>
  <c r="J15" i="6"/>
  <c r="C14" i="6"/>
  <c r="W11" i="6"/>
  <c r="S10" i="6"/>
  <c r="P9" i="6"/>
  <c r="M8" i="6"/>
  <c r="G6" i="6"/>
  <c r="E30" i="5"/>
  <c r="W28" i="5"/>
  <c r="W23" i="5"/>
  <c r="W22" i="5"/>
  <c r="C22" i="5"/>
  <c r="G21" i="5"/>
  <c r="K19" i="5"/>
  <c r="N18" i="5"/>
  <c r="S17" i="5"/>
  <c r="X15" i="5"/>
  <c r="G15" i="5"/>
  <c r="L14" i="5"/>
  <c r="Q13" i="5"/>
  <c r="V11" i="5"/>
  <c r="E11" i="5"/>
  <c r="J10" i="5"/>
  <c r="O9" i="5"/>
  <c r="T8" i="5"/>
  <c r="C8" i="5"/>
  <c r="H7" i="5"/>
  <c r="M6" i="5"/>
  <c r="R53" i="4"/>
  <c r="X52" i="4"/>
  <c r="G52" i="4"/>
  <c r="M50" i="4"/>
  <c r="S49" i="4"/>
  <c r="Y46" i="4"/>
  <c r="H46" i="4"/>
  <c r="N45" i="4"/>
  <c r="T43" i="4"/>
  <c r="C43" i="4"/>
  <c r="I42" i="4"/>
  <c r="O39" i="4"/>
  <c r="U38" i="4"/>
  <c r="D38" i="4"/>
  <c r="J36" i="4"/>
  <c r="O35" i="4"/>
  <c r="U32" i="4"/>
  <c r="D32" i="4"/>
  <c r="J31" i="4"/>
  <c r="P29" i="4"/>
  <c r="V28" i="4"/>
  <c r="E28" i="4"/>
  <c r="L25" i="4"/>
  <c r="S24" i="4"/>
  <c r="C24" i="4"/>
  <c r="J22" i="4"/>
  <c r="Q21" i="4"/>
  <c r="X18" i="4"/>
  <c r="H18" i="4"/>
  <c r="O17" i="4"/>
  <c r="V15" i="4"/>
  <c r="F15" i="4"/>
  <c r="M14" i="4"/>
  <c r="T11" i="4"/>
  <c r="D11" i="4"/>
  <c r="K10" i="4"/>
  <c r="R8" i="4"/>
  <c r="Y7" i="4"/>
  <c r="I7" i="4"/>
  <c r="R25" i="3"/>
  <c r="K62" i="10"/>
  <c r="X23" i="9"/>
  <c r="F14" i="8"/>
  <c r="R20" i="7"/>
  <c r="M7" i="7"/>
  <c r="Q46" i="6"/>
  <c r="L35" i="6"/>
  <c r="D26" i="6"/>
  <c r="E19" i="6"/>
  <c r="E13" i="6"/>
  <c r="L6" i="6"/>
  <c r="L23" i="5"/>
  <c r="M19" i="5"/>
  <c r="C17" i="5"/>
  <c r="U13" i="5"/>
  <c r="D11" i="5"/>
  <c r="G9" i="5"/>
  <c r="L7" i="5"/>
  <c r="T53" i="4"/>
  <c r="E52" i="4"/>
  <c r="R49" i="4"/>
  <c r="J46" i="4"/>
  <c r="E45" i="4"/>
  <c r="S42" i="4"/>
  <c r="M39" i="4"/>
  <c r="E38" i="4"/>
  <c r="T35" i="4"/>
  <c r="N32" i="4"/>
  <c r="G31" i="4"/>
  <c r="U28" i="4"/>
  <c r="P25" i="4"/>
  <c r="O24" i="4"/>
  <c r="N22" i="4"/>
  <c r="N21" i="4"/>
  <c r="N18" i="4"/>
  <c r="M17" i="4"/>
  <c r="N15" i="4"/>
  <c r="L14" i="4"/>
  <c r="N11" i="4"/>
  <c r="O10" i="4"/>
  <c r="P8" i="4"/>
  <c r="S7" i="4"/>
  <c r="V25" i="3"/>
  <c r="Z24" i="3"/>
  <c r="G24" i="3"/>
  <c r="M23" i="3"/>
  <c r="Q21" i="3"/>
  <c r="V20" i="3"/>
  <c r="C20" i="3"/>
  <c r="I19" i="3"/>
  <c r="N18" i="3"/>
  <c r="R17" i="3"/>
  <c r="X16" i="3"/>
  <c r="E16" i="3"/>
  <c r="K15" i="3"/>
  <c r="N14" i="3"/>
  <c r="T12" i="3"/>
  <c r="AA11" i="3"/>
  <c r="I11" i="3"/>
  <c r="P10" i="3"/>
  <c r="V9" i="3"/>
  <c r="C9" i="3"/>
  <c r="J8" i="3"/>
  <c r="Q7" i="3"/>
  <c r="Y6" i="3"/>
  <c r="H6" i="3"/>
  <c r="N25" i="2"/>
  <c r="T24" i="2"/>
  <c r="C24" i="2"/>
  <c r="I23" i="2"/>
  <c r="P21" i="2"/>
  <c r="W20" i="2"/>
  <c r="G20" i="2"/>
  <c r="N18" i="2"/>
  <c r="U16" i="2"/>
  <c r="E16" i="2"/>
  <c r="L14" i="2"/>
  <c r="S13" i="2"/>
  <c r="C13" i="2"/>
  <c r="J12" i="2"/>
  <c r="Q10" i="2"/>
  <c r="X9" i="2"/>
  <c r="H9" i="2"/>
  <c r="O8" i="2"/>
  <c r="V7" i="2"/>
  <c r="F7" i="2"/>
  <c r="M6" i="2"/>
  <c r="T9" i="3"/>
  <c r="P7" i="3"/>
  <c r="G6" i="3"/>
  <c r="M25" i="2"/>
  <c r="S24" i="2"/>
  <c r="Y23" i="2"/>
  <c r="H23" i="2"/>
  <c r="O21" i="2"/>
  <c r="V20" i="2"/>
  <c r="F20" i="2"/>
  <c r="M18" i="2"/>
  <c r="T16" i="2"/>
  <c r="D16" i="2"/>
  <c r="K14" i="2"/>
  <c r="R13" i="2"/>
  <c r="Y12" i="2"/>
  <c r="I12" i="2"/>
  <c r="P10" i="2"/>
  <c r="W9" i="2"/>
  <c r="G9" i="2"/>
  <c r="N8" i="2"/>
  <c r="U7" i="2"/>
  <c r="E7" i="2"/>
  <c r="L6" i="2"/>
  <c r="X19" i="3"/>
  <c r="P12" i="3"/>
  <c r="Q9" i="3"/>
  <c r="U6" i="3"/>
  <c r="P24" i="2"/>
  <c r="L21" i="2"/>
  <c r="C20" i="2"/>
  <c r="Q16" i="2"/>
  <c r="H14" i="2"/>
  <c r="V12" i="2"/>
  <c r="T9" i="2"/>
  <c r="D9" i="2"/>
  <c r="K8" i="2"/>
  <c r="I6" i="2"/>
  <c r="D23" i="2"/>
  <c r="R20" i="2"/>
  <c r="P16" i="2"/>
  <c r="G14" i="2"/>
  <c r="U12" i="2"/>
  <c r="E15" i="9"/>
  <c r="W38" i="4"/>
  <c r="Q29" i="4"/>
  <c r="J49" i="10"/>
  <c r="N23" i="9"/>
  <c r="V12" i="8"/>
  <c r="V19" i="7"/>
  <c r="L7" i="7"/>
  <c r="R45" i="6"/>
  <c r="R34" i="6"/>
  <c r="C26" i="6"/>
  <c r="C19" i="6"/>
  <c r="C13" i="6"/>
  <c r="I6" i="6"/>
  <c r="D23" i="5"/>
  <c r="L19" i="5"/>
  <c r="W15" i="5"/>
  <c r="S13" i="5"/>
  <c r="X10" i="5"/>
  <c r="F9" i="5"/>
  <c r="J7" i="5"/>
  <c r="Q53" i="4"/>
  <c r="D52" i="4"/>
  <c r="Q49" i="4"/>
  <c r="I46" i="4"/>
  <c r="X43" i="4"/>
  <c r="R42" i="4"/>
  <c r="L39" i="4"/>
  <c r="C38" i="4"/>
  <c r="R35" i="4"/>
  <c r="M32" i="4"/>
  <c r="D31" i="4"/>
  <c r="T28" i="4"/>
  <c r="N25" i="4"/>
  <c r="M24" i="4"/>
  <c r="L22" i="4"/>
  <c r="M21" i="4"/>
  <c r="L18" i="4"/>
  <c r="L17" i="4"/>
  <c r="L15" i="4"/>
  <c r="K14" i="4"/>
  <c r="M11" i="4"/>
  <c r="M10" i="4"/>
  <c r="O8" i="4"/>
  <c r="R7" i="4"/>
  <c r="T25" i="3"/>
  <c r="Y24" i="3"/>
  <c r="F24" i="3"/>
  <c r="L23" i="3"/>
  <c r="O21" i="3"/>
  <c r="U20" i="3"/>
  <c r="AA19" i="3"/>
  <c r="H19" i="3"/>
  <c r="L18" i="3"/>
  <c r="Q17" i="3"/>
  <c r="W16" i="3"/>
  <c r="D16" i="3"/>
  <c r="I15" i="3"/>
  <c r="M14" i="3"/>
  <c r="S12" i="3"/>
  <c r="Z11" i="3"/>
  <c r="H11" i="3"/>
  <c r="O10" i="3"/>
  <c r="AA8" i="3"/>
  <c r="I8" i="3"/>
  <c r="X6" i="3"/>
  <c r="K16" i="7"/>
  <c r="H43" i="6"/>
  <c r="O16" i="6"/>
  <c r="D30" i="5"/>
  <c r="O18" i="5"/>
  <c r="D13" i="5"/>
  <c r="U6" i="5"/>
  <c r="N50" i="4"/>
  <c r="Q43" i="4"/>
  <c r="H42" i="4"/>
  <c r="R36" i="4"/>
  <c r="I35" i="4"/>
  <c r="Y31" i="4"/>
  <c r="E21" i="4"/>
  <c r="G10" i="4"/>
  <c r="N25" i="3"/>
  <c r="X23" i="3"/>
  <c r="D23" i="3"/>
  <c r="J21" i="3"/>
  <c r="P20" i="3"/>
  <c r="Y18" i="3"/>
  <c r="F18" i="3"/>
  <c r="R16" i="3"/>
  <c r="AA14" i="3"/>
  <c r="T11" i="3"/>
  <c r="H10" i="3"/>
  <c r="V8" i="3"/>
  <c r="D8" i="3"/>
  <c r="K7" i="3"/>
  <c r="Y25" i="2"/>
  <c r="H25" i="2"/>
  <c r="M24" i="2"/>
  <c r="C23" i="2"/>
  <c r="J21" i="2"/>
  <c r="O16" i="2"/>
  <c r="M13" i="2"/>
  <c r="T12" i="2"/>
  <c r="D12" i="2"/>
  <c r="Y8" i="2"/>
  <c r="I8" i="2"/>
  <c r="W6" i="2"/>
  <c r="G6" i="2"/>
  <c r="X9" i="3"/>
  <c r="H20" i="2"/>
  <c r="Y9" i="2"/>
  <c r="D47" i="10"/>
  <c r="L21" i="9"/>
  <c r="U10" i="8"/>
  <c r="O19" i="7"/>
  <c r="L6" i="7"/>
  <c r="X44" i="6"/>
  <c r="P34" i="6"/>
  <c r="R25" i="6"/>
  <c r="S18" i="6"/>
  <c r="V11" i="6"/>
  <c r="F6" i="6"/>
  <c r="X22" i="5"/>
  <c r="I19" i="5"/>
  <c r="Q15" i="5"/>
  <c r="R13" i="5"/>
  <c r="S10" i="5"/>
  <c r="X8" i="5"/>
  <c r="I7" i="5"/>
  <c r="O53" i="4"/>
  <c r="W50" i="4"/>
  <c r="P49" i="4"/>
  <c r="G46" i="4"/>
  <c r="V43" i="4"/>
  <c r="Q42" i="4"/>
  <c r="H39" i="4"/>
  <c r="X36" i="4"/>
  <c r="Q35" i="4"/>
  <c r="I32" i="4"/>
  <c r="C31" i="4"/>
  <c r="S28" i="4"/>
  <c r="M25" i="4"/>
  <c r="L24" i="4"/>
  <c r="K22" i="4"/>
  <c r="K21" i="4"/>
  <c r="J18" i="4"/>
  <c r="K17" i="4"/>
  <c r="J15" i="4"/>
  <c r="J14" i="4"/>
  <c r="L11" i="4"/>
  <c r="L10" i="4"/>
  <c r="N8" i="4"/>
  <c r="Q7" i="4"/>
  <c r="S25" i="3"/>
  <c r="X24" i="3"/>
  <c r="E24" i="3"/>
  <c r="J23" i="3"/>
  <c r="N21" i="3"/>
  <c r="T20" i="3"/>
  <c r="Z19" i="3"/>
  <c r="G19" i="3"/>
  <c r="J18" i="3"/>
  <c r="P17" i="3"/>
  <c r="V16" i="3"/>
  <c r="C16" i="3"/>
  <c r="G15" i="3"/>
  <c r="L14" i="3"/>
  <c r="R12" i="3"/>
  <c r="Y11" i="3"/>
  <c r="G11" i="3"/>
  <c r="M10" i="3"/>
  <c r="S9" i="3"/>
  <c r="Z8" i="3"/>
  <c r="H8" i="3"/>
  <c r="O7" i="3"/>
  <c r="W6" i="3"/>
  <c r="F6" i="3"/>
  <c r="L25" i="2"/>
  <c r="R24" i="2"/>
  <c r="X23" i="2"/>
  <c r="G23" i="2"/>
  <c r="N21" i="2"/>
  <c r="U20" i="2"/>
  <c r="E20" i="2"/>
  <c r="L18" i="2"/>
  <c r="S16" i="2"/>
  <c r="C16" i="2"/>
  <c r="J14" i="2"/>
  <c r="Q13" i="2"/>
  <c r="X12" i="2"/>
  <c r="H12" i="2"/>
  <c r="O10" i="2"/>
  <c r="V9" i="2"/>
  <c r="F9" i="2"/>
  <c r="M8" i="2"/>
  <c r="T7" i="2"/>
  <c r="D7" i="2"/>
  <c r="K6" i="2"/>
  <c r="E9" i="2"/>
  <c r="L8" i="2"/>
  <c r="C7" i="2"/>
  <c r="C24" i="3"/>
  <c r="C19" i="3"/>
  <c r="T16" i="3"/>
  <c r="J14" i="3"/>
  <c r="W11" i="3"/>
  <c r="F8" i="3"/>
  <c r="J25" i="2"/>
  <c r="Z6" i="3"/>
  <c r="V16" i="2"/>
  <c r="P8" i="2"/>
  <c r="K37" i="10"/>
  <c r="F19" i="9"/>
  <c r="N10" i="8"/>
  <c r="N18" i="7"/>
  <c r="O55" i="6"/>
  <c r="U44" i="6"/>
  <c r="U33" i="6"/>
  <c r="G25" i="6"/>
  <c r="K18" i="6"/>
  <c r="L11" i="6"/>
  <c r="T30" i="5"/>
  <c r="U22" i="5"/>
  <c r="X18" i="5"/>
  <c r="P15" i="5"/>
  <c r="P13" i="5"/>
  <c r="R10" i="5"/>
  <c r="V8" i="5"/>
  <c r="G7" i="5"/>
  <c r="K53" i="4"/>
  <c r="V50" i="4"/>
  <c r="M49" i="4"/>
  <c r="F46" i="4"/>
  <c r="U43" i="4"/>
  <c r="M42" i="4"/>
  <c r="G39" i="4"/>
  <c r="W36" i="4"/>
  <c r="N35" i="4"/>
  <c r="F32" i="4"/>
  <c r="Y29" i="4"/>
  <c r="P28" i="4"/>
  <c r="K25" i="4"/>
  <c r="K24" i="4"/>
  <c r="I22" i="4"/>
  <c r="J21" i="4"/>
  <c r="I18" i="4"/>
  <c r="I17" i="4"/>
  <c r="H15" i="4"/>
  <c r="I14" i="4"/>
  <c r="J11" i="4"/>
  <c r="J10" i="4"/>
  <c r="M8" i="4"/>
  <c r="O7" i="4"/>
  <c r="Q25" i="3"/>
  <c r="W24" i="3"/>
  <c r="D24" i="3"/>
  <c r="H23" i="3"/>
  <c r="M21" i="3"/>
  <c r="S20" i="3"/>
  <c r="Y19" i="3"/>
  <c r="E19" i="3"/>
  <c r="I18" i="3"/>
  <c r="O17" i="3"/>
  <c r="U16" i="3"/>
  <c r="AA15" i="3"/>
  <c r="E15" i="3"/>
  <c r="K14" i="3"/>
  <c r="Q12" i="3"/>
  <c r="X11" i="3"/>
  <c r="F11" i="3"/>
  <c r="K10" i="3"/>
  <c r="R9" i="3"/>
  <c r="Y8" i="3"/>
  <c r="G8" i="3"/>
  <c r="N7" i="3"/>
  <c r="V6" i="3"/>
  <c r="E6" i="3"/>
  <c r="K25" i="2"/>
  <c r="Q24" i="2"/>
  <c r="W23" i="2"/>
  <c r="F23" i="2"/>
  <c r="M21" i="2"/>
  <c r="T20" i="2"/>
  <c r="D20" i="2"/>
  <c r="K18" i="2"/>
  <c r="R16" i="2"/>
  <c r="Y14" i="2"/>
  <c r="I14" i="2"/>
  <c r="P13" i="2"/>
  <c r="W12" i="2"/>
  <c r="G12" i="2"/>
  <c r="N10" i="2"/>
  <c r="U9" i="2"/>
  <c r="S7" i="2"/>
  <c r="J6" i="2"/>
  <c r="V24" i="3"/>
  <c r="F23" i="3"/>
  <c r="L21" i="3"/>
  <c r="N17" i="3"/>
  <c r="Y15" i="3"/>
  <c r="D15" i="3"/>
  <c r="D11" i="3"/>
  <c r="X8" i="3"/>
  <c r="D6" i="3"/>
  <c r="E23" i="2"/>
  <c r="R7" i="2"/>
  <c r="I28" i="4"/>
  <c r="H30" i="10"/>
  <c r="T18" i="9"/>
  <c r="N9" i="8"/>
  <c r="M17" i="7"/>
  <c r="L55" i="6"/>
  <c r="C44" i="6"/>
  <c r="E33" i="6"/>
  <c r="M24" i="6"/>
  <c r="T16" i="6"/>
  <c r="U10" i="6"/>
  <c r="I30" i="5"/>
  <c r="O22" i="5"/>
  <c r="W18" i="5"/>
  <c r="K15" i="5"/>
  <c r="J13" i="5"/>
  <c r="N10" i="5"/>
  <c r="U8" i="5"/>
  <c r="D7" i="5"/>
  <c r="J53" i="4"/>
  <c r="R50" i="4"/>
  <c r="L49" i="4"/>
  <c r="E46" i="4"/>
  <c r="S43" i="4"/>
  <c r="K42" i="4"/>
  <c r="F39" i="4"/>
  <c r="T36" i="4"/>
  <c r="M35" i="4"/>
  <c r="E32" i="4"/>
  <c r="T29" i="4"/>
  <c r="O28" i="4"/>
  <c r="J25" i="4"/>
  <c r="I24" i="4"/>
  <c r="H22" i="4"/>
  <c r="I21" i="4"/>
  <c r="G18" i="4"/>
  <c r="H17" i="4"/>
  <c r="G15" i="4"/>
  <c r="G14" i="4"/>
  <c r="H11" i="4"/>
  <c r="I10" i="4"/>
  <c r="L8" i="4"/>
  <c r="M7" i="4"/>
  <c r="P25" i="3"/>
  <c r="R20" i="3"/>
  <c r="H18" i="3"/>
  <c r="J10" i="3"/>
  <c r="M7" i="3"/>
  <c r="V23" i="2"/>
  <c r="S20" i="2"/>
  <c r="J18" i="2"/>
  <c r="X14" i="2"/>
  <c r="O13" i="2"/>
  <c r="F12" i="2"/>
  <c r="M10" i="2"/>
  <c r="Y6" i="2"/>
  <c r="K21" i="2"/>
  <c r="I18" i="2"/>
  <c r="N13" i="2"/>
  <c r="L10" i="2"/>
  <c r="S9" i="2"/>
  <c r="H6" i="2"/>
  <c r="K8" i="8"/>
  <c r="Q31" i="6"/>
  <c r="E24" i="4"/>
  <c r="D15" i="4"/>
  <c r="E11" i="4"/>
  <c r="J8" i="4"/>
  <c r="J7" i="4"/>
  <c r="T24" i="3"/>
  <c r="U19" i="3"/>
  <c r="L17" i="3"/>
  <c r="U15" i="3"/>
  <c r="H14" i="3"/>
  <c r="N12" i="3"/>
  <c r="Z10" i="3"/>
  <c r="O9" i="3"/>
  <c r="S6" i="3"/>
  <c r="S23" i="2"/>
  <c r="Q20" i="2"/>
  <c r="X18" i="2"/>
  <c r="H18" i="2"/>
  <c r="V14" i="2"/>
  <c r="F14" i="2"/>
  <c r="K10" i="2"/>
  <c r="R9" i="2"/>
  <c r="P7" i="2"/>
  <c r="Q10" i="3"/>
  <c r="I6" i="3"/>
  <c r="X20" i="2"/>
  <c r="F16" i="2"/>
  <c r="D13" i="2"/>
  <c r="G7" i="2"/>
  <c r="H29" i="10"/>
  <c r="H17" i="9"/>
  <c r="N8" i="8"/>
  <c r="J17" i="7"/>
  <c r="O54" i="6"/>
  <c r="I43" i="6"/>
  <c r="C33" i="6"/>
  <c r="H24" i="6"/>
  <c r="S16" i="6"/>
  <c r="T10" i="6"/>
  <c r="G30" i="5"/>
  <c r="M22" i="5"/>
  <c r="Q18" i="5"/>
  <c r="I15" i="5"/>
  <c r="I13" i="5"/>
  <c r="L10" i="5"/>
  <c r="S8" i="5"/>
  <c r="V6" i="5"/>
  <c r="F53" i="4"/>
  <c r="O50" i="4"/>
  <c r="K49" i="4"/>
  <c r="Y45" i="4"/>
  <c r="R43" i="4"/>
  <c r="J42" i="4"/>
  <c r="Y38" i="4"/>
  <c r="S36" i="4"/>
  <c r="L35" i="4"/>
  <c r="C32" i="4"/>
  <c r="R29" i="4"/>
  <c r="N28" i="4"/>
  <c r="I25" i="4"/>
  <c r="G24" i="4"/>
  <c r="G22" i="4"/>
  <c r="G21" i="4"/>
  <c r="F18" i="4"/>
  <c r="G17" i="4"/>
  <c r="E15" i="4"/>
  <c r="F14" i="4"/>
  <c r="F11" i="4"/>
  <c r="H10" i="4"/>
  <c r="K8" i="4"/>
  <c r="K7" i="4"/>
  <c r="O25" i="3"/>
  <c r="U24" i="3"/>
  <c r="Z23" i="3"/>
  <c r="E23" i="3"/>
  <c r="K21" i="3"/>
  <c r="Q20" i="3"/>
  <c r="W19" i="3"/>
  <c r="Z18" i="3"/>
  <c r="G18" i="3"/>
  <c r="M17" i="3"/>
  <c r="S16" i="3"/>
  <c r="W15" i="3"/>
  <c r="C15" i="3"/>
  <c r="I14" i="3"/>
  <c r="O12" i="3"/>
  <c r="V11" i="3"/>
  <c r="AA10" i="3"/>
  <c r="I10" i="3"/>
  <c r="P9" i="3"/>
  <c r="W8" i="3"/>
  <c r="E8" i="3"/>
  <c r="L7" i="3"/>
  <c r="T6" i="3"/>
  <c r="C6" i="3"/>
  <c r="I25" i="2"/>
  <c r="O24" i="2"/>
  <c r="T23" i="2"/>
  <c r="Y18" i="2"/>
  <c r="W14" i="2"/>
  <c r="E12" i="2"/>
  <c r="C9" i="2"/>
  <c r="J8" i="2"/>
  <c r="Q7" i="2"/>
  <c r="X6" i="2"/>
  <c r="T22" i="10"/>
  <c r="S53" i="6"/>
  <c r="C24" i="6"/>
  <c r="R10" i="6"/>
  <c r="E22" i="5"/>
  <c r="H15" i="5"/>
  <c r="K10" i="5"/>
  <c r="Q8" i="5"/>
  <c r="D53" i="4"/>
  <c r="F49" i="4"/>
  <c r="X45" i="4"/>
  <c r="H25" i="4"/>
  <c r="F22" i="4"/>
  <c r="E18" i="4"/>
  <c r="E17" i="4"/>
  <c r="E14" i="4"/>
  <c r="M19" i="10"/>
  <c r="T14" i="9"/>
  <c r="M7" i="8"/>
  <c r="H15" i="7"/>
  <c r="N53" i="6"/>
  <c r="L41" i="6"/>
  <c r="D31" i="6"/>
  <c r="N23" i="6"/>
  <c r="D16" i="6"/>
  <c r="G10" i="6"/>
  <c r="P29" i="5"/>
  <c r="D22" i="5"/>
  <c r="M18" i="5"/>
  <c r="F15" i="5"/>
  <c r="X11" i="5"/>
  <c r="I10" i="5"/>
  <c r="L8" i="5"/>
  <c r="Q6" i="5"/>
  <c r="Y52" i="4"/>
  <c r="L50" i="4"/>
  <c r="D49" i="4"/>
  <c r="W45" i="4"/>
  <c r="N43" i="4"/>
  <c r="G42" i="4"/>
  <c r="V38" i="4"/>
  <c r="N36" i="4"/>
  <c r="H35" i="4"/>
  <c r="X31" i="4"/>
  <c r="O29" i="4"/>
  <c r="G28" i="4"/>
  <c r="F25" i="4"/>
  <c r="D24" i="4"/>
  <c r="D22" i="4"/>
  <c r="C21" i="4"/>
  <c r="D18" i="4"/>
  <c r="C17" i="4"/>
  <c r="C15" i="4"/>
  <c r="C14" i="4"/>
  <c r="C11" i="4"/>
  <c r="F10" i="4"/>
  <c r="H8" i="4"/>
  <c r="H7" i="4"/>
  <c r="M25" i="3"/>
  <c r="S24" i="3"/>
  <c r="V23" i="3"/>
  <c r="C23" i="3"/>
  <c r="I21" i="3"/>
  <c r="O20" i="3"/>
  <c r="S19" i="3"/>
  <c r="X18" i="3"/>
  <c r="E18" i="3"/>
  <c r="K17" i="3"/>
  <c r="P16" i="3"/>
  <c r="T15" i="3"/>
  <c r="Z14" i="3"/>
  <c r="G14" i="3"/>
  <c r="M12" i="3"/>
  <c r="R11" i="3"/>
  <c r="Y10" i="3"/>
  <c r="G10" i="3"/>
  <c r="N9" i="3"/>
  <c r="U8" i="3"/>
  <c r="C8" i="3"/>
  <c r="J7" i="3"/>
  <c r="R6" i="3"/>
  <c r="X25" i="2"/>
  <c r="F25" i="2"/>
  <c r="L24" i="2"/>
  <c r="R23" i="2"/>
  <c r="Y21" i="2"/>
  <c r="I21" i="2"/>
  <c r="P20" i="2"/>
  <c r="W18" i="2"/>
  <c r="G18" i="2"/>
  <c r="N16" i="2"/>
  <c r="U14" i="2"/>
  <c r="E14" i="2"/>
  <c r="L13" i="2"/>
  <c r="S12" i="2"/>
  <c r="C12" i="2"/>
  <c r="J10" i="2"/>
  <c r="Q9" i="2"/>
  <c r="X8" i="2"/>
  <c r="H8" i="2"/>
  <c r="O7" i="2"/>
  <c r="V6" i="2"/>
  <c r="F6" i="2"/>
  <c r="S18" i="3"/>
  <c r="Y12" i="3"/>
  <c r="M11" i="3"/>
  <c r="I9" i="3"/>
  <c r="D7" i="3"/>
  <c r="R25" i="2"/>
  <c r="D21" i="2"/>
  <c r="Y16" i="2"/>
  <c r="P14" i="2"/>
  <c r="U10" i="2"/>
  <c r="L9" i="2"/>
  <c r="C8" i="2"/>
  <c r="Q6" i="2"/>
  <c r="H49" i="6"/>
  <c r="L17" i="5"/>
  <c r="R46" i="4"/>
  <c r="Q14" i="4"/>
  <c r="T10" i="4"/>
  <c r="AA25" i="3"/>
  <c r="V21" i="3"/>
  <c r="L19" i="3"/>
  <c r="R18" i="3"/>
  <c r="AA16" i="3"/>
  <c r="N15" i="3"/>
  <c r="E12" i="3"/>
  <c r="S10" i="3"/>
  <c r="H9" i="3"/>
  <c r="M8" i="3"/>
  <c r="C7" i="3"/>
  <c r="Q25" i="2"/>
  <c r="W53" i="4"/>
  <c r="X42" i="4"/>
  <c r="R32" i="4"/>
  <c r="P11" i="4"/>
  <c r="Z25" i="3"/>
  <c r="G16" i="3"/>
  <c r="K11" i="3"/>
  <c r="F9" i="3"/>
  <c r="P25" i="2"/>
  <c r="R21" i="2"/>
  <c r="P18" i="2"/>
  <c r="N14" i="2"/>
  <c r="E13" i="2"/>
  <c r="J9" i="2"/>
  <c r="O6" i="2"/>
  <c r="X22" i="7"/>
  <c r="S19" i="5"/>
  <c r="L46" i="4"/>
  <c r="T25" i="4"/>
  <c r="N17" i="4"/>
  <c r="Q10" i="4"/>
  <c r="H24" i="3"/>
  <c r="P18" i="3"/>
  <c r="L15" i="3"/>
  <c r="K12" i="2"/>
  <c r="C19" i="10"/>
  <c r="J13" i="9"/>
  <c r="K6" i="8"/>
  <c r="E15" i="7"/>
  <c r="Q52" i="6"/>
  <c r="R40" i="6"/>
  <c r="J30" i="6"/>
  <c r="C23" i="6"/>
  <c r="L15" i="6"/>
  <c r="S9" i="6"/>
  <c r="C29" i="5"/>
  <c r="X21" i="5"/>
  <c r="G18" i="5"/>
  <c r="V14" i="5"/>
  <c r="W11" i="5"/>
  <c r="G10" i="5"/>
  <c r="K8" i="5"/>
  <c r="O6" i="5"/>
  <c r="W52" i="4"/>
  <c r="K50" i="4"/>
  <c r="C49" i="4"/>
  <c r="R45" i="4"/>
  <c r="L43" i="4"/>
  <c r="F42" i="4"/>
  <c r="T38" i="4"/>
  <c r="L36" i="4"/>
  <c r="G35" i="4"/>
  <c r="U31" i="4"/>
  <c r="N29" i="4"/>
  <c r="F28" i="4"/>
  <c r="E25" i="4"/>
  <c r="Y22" i="4"/>
  <c r="C22" i="4"/>
  <c r="Y18" i="4"/>
  <c r="Y17" i="4"/>
  <c r="X15" i="4"/>
  <c r="Y14" i="4"/>
  <c r="X11" i="4"/>
  <c r="Y10" i="4"/>
  <c r="E10" i="4"/>
  <c r="F8" i="4"/>
  <c r="G7" i="4"/>
  <c r="L25" i="3"/>
  <c r="Q24" i="3"/>
  <c r="U23" i="3"/>
  <c r="AA21" i="3"/>
  <c r="H21" i="3"/>
  <c r="N20" i="3"/>
  <c r="Q19" i="3"/>
  <c r="W18" i="3"/>
  <c r="D18" i="3"/>
  <c r="J17" i="3"/>
  <c r="N16" i="3"/>
  <c r="S15" i="3"/>
  <c r="Y14" i="3"/>
  <c r="F14" i="3"/>
  <c r="K12" i="3"/>
  <c r="Q11" i="3"/>
  <c r="X10" i="3"/>
  <c r="F10" i="3"/>
  <c r="M9" i="3"/>
  <c r="T8" i="3"/>
  <c r="AA7" i="3"/>
  <c r="I7" i="3"/>
  <c r="Q6" i="3"/>
  <c r="V25" i="2"/>
  <c r="E25" i="2"/>
  <c r="K24" i="2"/>
  <c r="Q23" i="2"/>
  <c r="X21" i="2"/>
  <c r="H21" i="2"/>
  <c r="O20" i="2"/>
  <c r="V18" i="2"/>
  <c r="F18" i="2"/>
  <c r="M16" i="2"/>
  <c r="T14" i="2"/>
  <c r="D14" i="2"/>
  <c r="K13" i="2"/>
  <c r="R12" i="2"/>
  <c r="Y10" i="2"/>
  <c r="I10" i="2"/>
  <c r="P9" i="2"/>
  <c r="W8" i="2"/>
  <c r="G8" i="2"/>
  <c r="N7" i="2"/>
  <c r="U6" i="2"/>
  <c r="E6" i="2"/>
  <c r="P23" i="2"/>
  <c r="G21" i="2"/>
  <c r="U18" i="2"/>
  <c r="L16" i="2"/>
  <c r="C14" i="2"/>
  <c r="X10" i="2"/>
  <c r="O9" i="2"/>
  <c r="F8" i="2"/>
  <c r="M7" i="2"/>
  <c r="D6" i="2"/>
  <c r="T25" i="2"/>
  <c r="I24" i="2"/>
  <c r="O23" i="2"/>
  <c r="M20" i="2"/>
  <c r="I13" i="2"/>
  <c r="U8" i="2"/>
  <c r="S6" i="2"/>
  <c r="C18" i="2"/>
  <c r="Q14" i="2"/>
  <c r="H13" i="2"/>
  <c r="V10" i="2"/>
  <c r="M9" i="2"/>
  <c r="K7" i="2"/>
  <c r="S14" i="4"/>
  <c r="C7" i="4"/>
  <c r="F25" i="3"/>
  <c r="K24" i="3"/>
  <c r="C21" i="3"/>
  <c r="G20" i="3"/>
  <c r="C17" i="3"/>
  <c r="O15" i="3"/>
  <c r="F12" i="3"/>
  <c r="T10" i="3"/>
  <c r="O8" i="3"/>
  <c r="L6" i="3"/>
  <c r="G24" i="2"/>
  <c r="M23" i="2"/>
  <c r="K20" i="2"/>
  <c r="R18" i="2"/>
  <c r="I16" i="2"/>
  <c r="W13" i="2"/>
  <c r="N12" i="2"/>
  <c r="S8" i="2"/>
  <c r="O7" i="10"/>
  <c r="C38" i="6"/>
  <c r="E14" i="6"/>
  <c r="F21" i="5"/>
  <c r="P9" i="5"/>
  <c r="D6" i="5"/>
  <c r="C36" i="4"/>
  <c r="C29" i="4"/>
  <c r="R24" i="4"/>
  <c r="S22" i="4"/>
  <c r="Q17" i="4"/>
  <c r="V7" i="4"/>
  <c r="X13" i="6"/>
  <c r="E14" i="5"/>
  <c r="G11" i="5"/>
  <c r="Q7" i="5"/>
  <c r="U49" i="4"/>
  <c r="H45" i="4"/>
  <c r="P39" i="4"/>
  <c r="Y35" i="4"/>
  <c r="X28" i="4"/>
  <c r="Q24" i="4"/>
  <c r="Q18" i="4"/>
  <c r="S8" i="4"/>
  <c r="C25" i="3"/>
  <c r="J11" i="3"/>
  <c r="J23" i="2"/>
  <c r="N6" i="2"/>
  <c r="I15" i="10"/>
  <c r="G11" i="9"/>
  <c r="H6" i="8"/>
  <c r="Y13" i="7"/>
  <c r="W50" i="6"/>
  <c r="Q40" i="6"/>
  <c r="G30" i="6"/>
  <c r="T21" i="6"/>
  <c r="K15" i="6"/>
  <c r="R9" i="6"/>
  <c r="X28" i="5"/>
  <c r="Q21" i="5"/>
  <c r="F18" i="5"/>
  <c r="U14" i="5"/>
  <c r="U11" i="5"/>
  <c r="X9" i="5"/>
  <c r="G8" i="5"/>
  <c r="N6" i="5"/>
  <c r="U52" i="4"/>
  <c r="J50" i="4"/>
  <c r="X46" i="4"/>
  <c r="P45" i="4"/>
  <c r="K43" i="4"/>
  <c r="Y39" i="4"/>
  <c r="S38" i="4"/>
  <c r="K36" i="4"/>
  <c r="C35" i="4"/>
  <c r="T31" i="4"/>
  <c r="M29" i="4"/>
  <c r="D28" i="4"/>
  <c r="D25" i="4"/>
  <c r="X22" i="4"/>
  <c r="Y21" i="4"/>
  <c r="W18" i="4"/>
  <c r="X17" i="4"/>
  <c r="W15" i="4"/>
  <c r="W14" i="4"/>
  <c r="V11" i="4"/>
  <c r="X10" i="4"/>
  <c r="D10" i="4"/>
  <c r="D8" i="4"/>
  <c r="F7" i="4"/>
  <c r="K25" i="3"/>
  <c r="O24" i="3"/>
  <c r="T23" i="3"/>
  <c r="Z21" i="3"/>
  <c r="G21" i="3"/>
  <c r="L20" i="3"/>
  <c r="P19" i="3"/>
  <c r="V18" i="3"/>
  <c r="C18" i="3"/>
  <c r="I17" i="3"/>
  <c r="L16" i="3"/>
  <c r="R15" i="3"/>
  <c r="X14" i="3"/>
  <c r="E14" i="3"/>
  <c r="I12" i="3"/>
  <c r="P11" i="3"/>
  <c r="W10" i="3"/>
  <c r="E10" i="3"/>
  <c r="L9" i="3"/>
  <c r="S8" i="3"/>
  <c r="Z7" i="3"/>
  <c r="H7" i="3"/>
  <c r="O6" i="3"/>
  <c r="U25" i="2"/>
  <c r="D25" i="2"/>
  <c r="J24" i="2"/>
  <c r="W21" i="2"/>
  <c r="N20" i="2"/>
  <c r="E18" i="2"/>
  <c r="S14" i="2"/>
  <c r="J13" i="2"/>
  <c r="Q12" i="2"/>
  <c r="H10" i="2"/>
  <c r="V8" i="2"/>
  <c r="T6" i="2"/>
  <c r="N6" i="3"/>
  <c r="C25" i="2"/>
  <c r="T18" i="2"/>
  <c r="K16" i="2"/>
  <c r="Y13" i="2"/>
  <c r="W10" i="2"/>
  <c r="L7" i="2"/>
  <c r="C6" i="2"/>
  <c r="J16" i="2"/>
  <c r="F10" i="2"/>
  <c r="D8" i="2"/>
  <c r="S15" i="4"/>
  <c r="M19" i="3"/>
  <c r="X7" i="9"/>
  <c r="S21" i="2"/>
  <c r="X16" i="2"/>
  <c r="D10" i="2"/>
  <c r="I7" i="2"/>
  <c r="Y22" i="7"/>
  <c r="I36" i="6"/>
  <c r="E20" i="6"/>
  <c r="V23" i="5"/>
  <c r="P21" i="4"/>
  <c r="P15" i="4"/>
  <c r="O14" i="4"/>
  <c r="U7" i="4"/>
  <c r="U21" i="3"/>
  <c r="X20" i="3"/>
  <c r="K19" i="3"/>
  <c r="Q18" i="3"/>
  <c r="U17" i="3"/>
  <c r="R14" i="3"/>
  <c r="D12" i="3"/>
  <c r="Y9" i="3"/>
  <c r="AA6" i="3"/>
  <c r="J6" i="3"/>
  <c r="E24" i="2"/>
  <c r="H8" i="7"/>
  <c r="U53" i="4"/>
  <c r="G45" i="4"/>
  <c r="N39" i="4"/>
  <c r="X35" i="4"/>
  <c r="H31" i="4"/>
  <c r="P24" i="4"/>
  <c r="O21" i="4"/>
  <c r="O11" i="4"/>
  <c r="X25" i="3"/>
  <c r="O25" i="2"/>
  <c r="O18" i="2"/>
  <c r="M14" i="2"/>
  <c r="R10" i="2"/>
  <c r="W7" i="2"/>
  <c r="J12" i="10"/>
  <c r="V10" i="9"/>
  <c r="E27" i="7"/>
  <c r="F13" i="7"/>
  <c r="U50" i="6"/>
  <c r="U39" i="6"/>
  <c r="D30" i="6"/>
  <c r="O21" i="6"/>
  <c r="I15" i="6"/>
  <c r="M9" i="6"/>
  <c r="V28" i="5"/>
  <c r="P21" i="5"/>
  <c r="U17" i="5"/>
  <c r="P14" i="5"/>
  <c r="S11" i="5"/>
  <c r="W9" i="5"/>
  <c r="E8" i="5"/>
  <c r="K6" i="5"/>
  <c r="Q52" i="4"/>
  <c r="G50" i="4"/>
  <c r="W46" i="4"/>
  <c r="O45" i="4"/>
  <c r="G43" i="4"/>
  <c r="X39" i="4"/>
  <c r="Q38" i="4"/>
  <c r="H36" i="4"/>
  <c r="X32" i="4"/>
  <c r="S31" i="4"/>
  <c r="J29" i="4"/>
  <c r="C28" i="4"/>
  <c r="W24" i="4"/>
  <c r="W22" i="4"/>
  <c r="W21" i="4"/>
  <c r="V18" i="4"/>
  <c r="W17" i="4"/>
  <c r="U15" i="4"/>
  <c r="V14" i="4"/>
  <c r="U11" i="4"/>
  <c r="W10" i="4"/>
  <c r="C10" i="4"/>
  <c r="C8" i="4"/>
  <c r="E7" i="4"/>
  <c r="J25" i="3"/>
  <c r="M24" i="3"/>
  <c r="S23" i="3"/>
  <c r="Y21" i="3"/>
  <c r="F21" i="3"/>
  <c r="J20" i="3"/>
  <c r="O19" i="3"/>
  <c r="U18" i="3"/>
  <c r="AA17" i="3"/>
  <c r="G17" i="3"/>
  <c r="K16" i="3"/>
  <c r="Q15" i="3"/>
  <c r="W14" i="3"/>
  <c r="D14" i="3"/>
  <c r="H12" i="3"/>
  <c r="O11" i="3"/>
  <c r="V10" i="3"/>
  <c r="D10" i="3"/>
  <c r="K9" i="3"/>
  <c r="R8" i="3"/>
  <c r="X7" i="3"/>
  <c r="F7" i="3"/>
  <c r="V21" i="2"/>
  <c r="F21" i="2"/>
  <c r="D18" i="2"/>
  <c r="R14" i="2"/>
  <c r="P12" i="2"/>
  <c r="G10" i="2"/>
  <c r="N9" i="2"/>
  <c r="E8" i="2"/>
  <c r="S18" i="2"/>
  <c r="X13" i="2"/>
  <c r="O12" i="2"/>
  <c r="T8" i="2"/>
  <c r="R6" i="2"/>
  <c r="U10" i="4"/>
  <c r="Q23" i="3"/>
  <c r="T21" i="2"/>
  <c r="G13" i="2"/>
  <c r="E10" i="2"/>
  <c r="W23" i="7"/>
  <c r="P28" i="6"/>
  <c r="C28" i="5"/>
  <c r="I11" i="5"/>
  <c r="U7" i="5"/>
  <c r="I52" i="4"/>
  <c r="K45" i="4"/>
  <c r="Q39" i="4"/>
  <c r="L38" i="4"/>
  <c r="K31" i="4"/>
  <c r="V25" i="4"/>
  <c r="F20" i="3"/>
  <c r="W12" i="3"/>
  <c r="W24" i="2"/>
  <c r="L23" i="2"/>
  <c r="J20" i="2"/>
  <c r="Q18" i="2"/>
  <c r="O14" i="2"/>
  <c r="M12" i="2"/>
  <c r="T10" i="2"/>
  <c r="Y7" i="2"/>
  <c r="G7" i="10"/>
  <c r="M48" i="6"/>
  <c r="K8" i="6"/>
  <c r="T19" i="5"/>
  <c r="E20" i="3"/>
  <c r="S7" i="3"/>
  <c r="V24" i="2"/>
  <c r="Y20" i="2"/>
  <c r="W16" i="2"/>
  <c r="U13" i="2"/>
  <c r="S10" i="2"/>
  <c r="Q8" i="2"/>
  <c r="H7" i="2"/>
  <c r="M14" i="8"/>
  <c r="G36" i="6"/>
  <c r="V6" i="6"/>
  <c r="D17" i="5"/>
  <c r="F11" i="5"/>
  <c r="P7" i="5"/>
  <c r="T49" i="4"/>
  <c r="W42" i="4"/>
  <c r="F38" i="4"/>
  <c r="W28" i="4"/>
  <c r="Q8" i="4"/>
  <c r="AA24" i="3"/>
  <c r="S21" i="3"/>
  <c r="D20" i="3"/>
  <c r="J19" i="3"/>
  <c r="S17" i="3"/>
  <c r="F16" i="3"/>
  <c r="P14" i="3"/>
  <c r="C12" i="3"/>
  <c r="K8" i="3"/>
  <c r="U24" i="2"/>
  <c r="V11" i="10"/>
  <c r="L9" i="9"/>
  <c r="F26" i="7"/>
  <c r="C13" i="7"/>
  <c r="D50" i="6"/>
  <c r="E39" i="6"/>
  <c r="K29" i="6"/>
  <c r="D21" i="6"/>
  <c r="R14" i="6"/>
  <c r="E9" i="6"/>
  <c r="N28" i="5"/>
  <c r="I21" i="5"/>
  <c r="T17" i="5"/>
  <c r="N14" i="5"/>
  <c r="O11" i="5"/>
  <c r="S9" i="5"/>
  <c r="D8" i="5"/>
  <c r="I6" i="5"/>
  <c r="P52" i="4"/>
  <c r="F50" i="4"/>
  <c r="V46" i="4"/>
  <c r="M45" i="4"/>
  <c r="E43" i="4"/>
  <c r="W39" i="4"/>
  <c r="N38" i="4"/>
  <c r="G36" i="4"/>
  <c r="V32" i="4"/>
  <c r="O31" i="4"/>
  <c r="I29" i="4"/>
  <c r="Y25" i="4"/>
  <c r="U24" i="4"/>
  <c r="V22" i="4"/>
  <c r="U21" i="4"/>
  <c r="U18" i="4"/>
  <c r="U17" i="4"/>
  <c r="T15" i="4"/>
  <c r="U14" i="4"/>
  <c r="S11" i="4"/>
  <c r="V10" i="4"/>
  <c r="X8" i="4"/>
  <c r="X7" i="4"/>
  <c r="D7" i="4"/>
  <c r="H25" i="3"/>
  <c r="L24" i="3"/>
  <c r="R23" i="3"/>
  <c r="X21" i="3"/>
  <c r="E21" i="3"/>
  <c r="H20" i="3"/>
  <c r="N19" i="3"/>
  <c r="T18" i="3"/>
  <c r="Z17" i="3"/>
  <c r="E17" i="3"/>
  <c r="J16" i="3"/>
  <c r="P15" i="3"/>
  <c r="V14" i="3"/>
  <c r="AA12" i="3"/>
  <c r="G12" i="3"/>
  <c r="N11" i="3"/>
  <c r="U10" i="3"/>
  <c r="C10" i="3"/>
  <c r="J9" i="3"/>
  <c r="Q8" i="3"/>
  <c r="V7" i="3"/>
  <c r="E7" i="3"/>
  <c r="M6" i="3"/>
  <c r="S25" i="2"/>
  <c r="Y24" i="2"/>
  <c r="H24" i="2"/>
  <c r="N23" i="2"/>
  <c r="U21" i="2"/>
  <c r="E21" i="2"/>
  <c r="L20" i="2"/>
  <c r="Y42" i="4"/>
  <c r="S32" i="4"/>
  <c r="R18" i="4"/>
  <c r="V13" i="2"/>
  <c r="K9" i="2"/>
  <c r="P6" i="2"/>
  <c r="N6" i="9"/>
  <c r="M28" i="6"/>
  <c r="K17" i="5"/>
  <c r="N9" i="5"/>
  <c r="H52" i="4"/>
  <c r="Q46" i="4"/>
  <c r="H38" i="4"/>
  <c r="I31" i="4"/>
  <c r="U25" i="4"/>
  <c r="R22" i="4"/>
  <c r="P17" i="4"/>
  <c r="S10" i="4"/>
  <c r="O23" i="3"/>
  <c r="Z16" i="3"/>
  <c r="M15" i="3"/>
  <c r="V12" i="3"/>
  <c r="L8" i="3"/>
  <c r="K23" i="2"/>
  <c r="I20" i="2"/>
  <c r="G16" i="2"/>
  <c r="L12" i="2"/>
  <c r="C10" i="2"/>
  <c r="X7" i="2"/>
  <c r="X29" i="9"/>
  <c r="S46" i="6"/>
  <c r="T26" i="6"/>
  <c r="P13" i="6"/>
  <c r="M23" i="5"/>
  <c r="D14" i="5"/>
  <c r="L9" i="5"/>
  <c r="F52" i="4"/>
  <c r="O32" i="4"/>
  <c r="P22" i="4"/>
  <c r="P18" i="4"/>
  <c r="N14" i="4"/>
  <c r="T7" i="4"/>
  <c r="N23" i="3"/>
  <c r="Y16" i="3"/>
  <c r="R7" i="3"/>
  <c r="Q21" i="2"/>
  <c r="T13" i="2"/>
  <c r="I9" i="2"/>
  <c r="J9" i="10"/>
  <c r="I8" i="9"/>
  <c r="D26" i="7"/>
  <c r="G12" i="7"/>
  <c r="J49" i="6"/>
  <c r="V38" i="6"/>
  <c r="Q28" i="6"/>
  <c r="O20" i="6"/>
  <c r="H14" i="6"/>
  <c r="O8" i="6"/>
  <c r="D28" i="5"/>
  <c r="H21" i="5"/>
  <c r="R17" i="5"/>
  <c r="M14" i="5"/>
  <c r="M11" i="5"/>
  <c r="Q9" i="5"/>
  <c r="X7" i="5"/>
  <c r="E6" i="5"/>
  <c r="L52" i="4"/>
  <c r="E50" i="4"/>
  <c r="S46" i="4"/>
  <c r="L45" i="4"/>
  <c r="D43" i="4"/>
  <c r="S39" i="4"/>
  <c r="M38" i="4"/>
  <c r="F36" i="4"/>
  <c r="T32" i="4"/>
  <c r="L31" i="4"/>
  <c r="H29" i="4"/>
  <c r="X25" i="4"/>
  <c r="T24" i="4"/>
  <c r="T22" i="4"/>
  <c r="S21" i="4"/>
  <c r="T18" i="4"/>
  <c r="S17" i="4"/>
  <c r="R11" i="4"/>
  <c r="V8" i="4"/>
  <c r="W7" i="4"/>
  <c r="W21" i="3"/>
  <c r="Y17" i="3"/>
  <c r="I16" i="3"/>
  <c r="U14" i="3"/>
  <c r="AA9" i="3"/>
  <c r="U7" i="3"/>
  <c r="X24" i="2"/>
  <c r="J7" i="2"/>
  <c r="L11" i="7"/>
  <c r="J20" i="6"/>
  <c r="N8" i="6"/>
  <c r="K14" i="5"/>
  <c r="W49" i="4"/>
  <c r="R21" i="4"/>
  <c r="R15" i="4"/>
  <c r="Q11" i="4"/>
  <c r="T8" i="4"/>
  <c r="D25" i="3"/>
  <c r="J24" i="3"/>
  <c r="P23" i="3"/>
  <c r="Z20" i="3"/>
  <c r="W17" i="3"/>
  <c r="H16" i="3"/>
  <c r="T14" i="3"/>
  <c r="L11" i="3"/>
  <c r="Z9" i="3"/>
  <c r="T7" i="3"/>
  <c r="K6" i="3"/>
  <c r="F24" i="2"/>
  <c r="C21" i="2"/>
  <c r="H16" i="2"/>
  <c r="F13" i="2"/>
  <c r="R8" i="2"/>
  <c r="G11" i="7"/>
  <c r="I24" i="3"/>
  <c r="R10" i="3"/>
  <c r="P19" i="6"/>
  <c r="O15" i="4"/>
  <c r="W20" i="3"/>
  <c r="U12" i="3"/>
  <c r="D9" i="3"/>
  <c r="D24" i="2"/>
  <c r="C7" i="23"/>
  <c r="S7" i="23"/>
  <c r="J8" i="23"/>
  <c r="Z8" i="23"/>
  <c r="Q9" i="23"/>
  <c r="H10" i="23"/>
  <c r="X10" i="23"/>
  <c r="O13" i="23"/>
  <c r="F14" i="23"/>
  <c r="V14" i="23"/>
  <c r="M15" i="23"/>
  <c r="D16" i="23"/>
  <c r="T16" i="23"/>
  <c r="K17" i="23"/>
  <c r="AA17" i="23"/>
  <c r="R18" i="23"/>
  <c r="I19" i="23"/>
  <c r="Y19" i="23"/>
  <c r="P20" i="23"/>
  <c r="G23" i="23"/>
  <c r="W23" i="23"/>
  <c r="N24" i="23"/>
  <c r="Z17" i="23"/>
  <c r="D7" i="23"/>
  <c r="T7" i="23"/>
  <c r="K8" i="23"/>
  <c r="AA8" i="23"/>
  <c r="R9" i="23"/>
  <c r="I10" i="23"/>
  <c r="Y10" i="23"/>
  <c r="P13" i="23"/>
  <c r="G14" i="23"/>
  <c r="W14" i="23"/>
  <c r="N15" i="23"/>
  <c r="E16" i="23"/>
  <c r="U16" i="23"/>
  <c r="L17" i="23"/>
  <c r="C18" i="23"/>
  <c r="S18" i="23"/>
  <c r="J19" i="23"/>
  <c r="Z19" i="23"/>
  <c r="Q20" i="23"/>
  <c r="H23" i="23"/>
  <c r="X23" i="23"/>
  <c r="O24" i="23"/>
  <c r="J17" i="23"/>
  <c r="E7" i="23"/>
  <c r="U7" i="23"/>
  <c r="L8" i="23"/>
  <c r="C9" i="23"/>
  <c r="S9" i="23"/>
  <c r="J10" i="23"/>
  <c r="Z10" i="23"/>
  <c r="Q13" i="23"/>
  <c r="H14" i="23"/>
  <c r="X14" i="23"/>
  <c r="O15" i="23"/>
  <c r="F16" i="23"/>
  <c r="V16" i="23"/>
  <c r="M17" i="23"/>
  <c r="D18" i="23"/>
  <c r="T18" i="23"/>
  <c r="K19" i="23"/>
  <c r="AA19" i="23"/>
  <c r="R20" i="23"/>
  <c r="I23" i="23"/>
  <c r="Y23" i="23"/>
  <c r="P24" i="23"/>
  <c r="L15" i="23"/>
  <c r="F7" i="23"/>
  <c r="V7" i="23"/>
  <c r="M8" i="23"/>
  <c r="D9" i="23"/>
  <c r="T9" i="23"/>
  <c r="K10" i="23"/>
  <c r="AA10" i="23"/>
  <c r="R13" i="23"/>
  <c r="I14" i="23"/>
  <c r="Y14" i="23"/>
  <c r="P15" i="23"/>
  <c r="G16" i="23"/>
  <c r="W16" i="23"/>
  <c r="N17" i="23"/>
  <c r="E18" i="23"/>
  <c r="U18" i="23"/>
  <c r="L19" i="23"/>
  <c r="C20" i="23"/>
  <c r="S20" i="23"/>
  <c r="J23" i="23"/>
  <c r="Z23" i="23"/>
  <c r="Q24" i="23"/>
  <c r="S16" i="23"/>
  <c r="H19" i="23"/>
  <c r="G7" i="23"/>
  <c r="W7" i="23"/>
  <c r="N8" i="23"/>
  <c r="E9" i="23"/>
  <c r="U9" i="23"/>
  <c r="L10" i="23"/>
  <c r="C13" i="23"/>
  <c r="S13" i="23"/>
  <c r="J14" i="23"/>
  <c r="Z14" i="23"/>
  <c r="Q15" i="23"/>
  <c r="H16" i="23"/>
  <c r="X16" i="23"/>
  <c r="O17" i="23"/>
  <c r="F18" i="23"/>
  <c r="V18" i="23"/>
  <c r="M19" i="23"/>
  <c r="D20" i="23"/>
  <c r="T20" i="23"/>
  <c r="K23" i="23"/>
  <c r="AA23" i="23"/>
  <c r="R24" i="23"/>
  <c r="C16" i="23"/>
  <c r="X19" i="23"/>
  <c r="V23" i="23"/>
  <c r="H7" i="23"/>
  <c r="X7" i="23"/>
  <c r="O8" i="23"/>
  <c r="F9" i="23"/>
  <c r="V9" i="23"/>
  <c r="M10" i="23"/>
  <c r="D13" i="23"/>
  <c r="T13" i="23"/>
  <c r="K14" i="23"/>
  <c r="AA14" i="23"/>
  <c r="R15" i="23"/>
  <c r="I16" i="23"/>
  <c r="Y16" i="23"/>
  <c r="P17" i="23"/>
  <c r="G18" i="23"/>
  <c r="W18" i="23"/>
  <c r="N19" i="23"/>
  <c r="E20" i="23"/>
  <c r="U20" i="23"/>
  <c r="L23" i="23"/>
  <c r="C24" i="23"/>
  <c r="S24" i="23"/>
  <c r="U14" i="23"/>
  <c r="I7" i="23"/>
  <c r="Y7" i="23"/>
  <c r="P8" i="23"/>
  <c r="G9" i="23"/>
  <c r="W9" i="23"/>
  <c r="N10" i="23"/>
  <c r="E13" i="23"/>
  <c r="U13" i="23"/>
  <c r="L14" i="23"/>
  <c r="C15" i="23"/>
  <c r="S15" i="23"/>
  <c r="J16" i="23"/>
  <c r="Z16" i="23"/>
  <c r="Q17" i="23"/>
  <c r="H18" i="23"/>
  <c r="X18" i="23"/>
  <c r="O19" i="23"/>
  <c r="F20" i="23"/>
  <c r="V20" i="23"/>
  <c r="M23" i="23"/>
  <c r="D24" i="23"/>
  <c r="T24" i="23"/>
  <c r="E14" i="23"/>
  <c r="J7" i="23"/>
  <c r="Z7" i="23"/>
  <c r="Q8" i="23"/>
  <c r="H9" i="23"/>
  <c r="X9" i="23"/>
  <c r="O10" i="23"/>
  <c r="F13" i="23"/>
  <c r="V13" i="23"/>
  <c r="M14" i="23"/>
  <c r="D15" i="23"/>
  <c r="T15" i="23"/>
  <c r="K16" i="23"/>
  <c r="AA16" i="23"/>
  <c r="R17" i="23"/>
  <c r="I18" i="23"/>
  <c r="Y18" i="23"/>
  <c r="P19" i="23"/>
  <c r="G20" i="23"/>
  <c r="W20" i="23"/>
  <c r="N23" i="23"/>
  <c r="E24" i="23"/>
  <c r="U24" i="23"/>
  <c r="N13" i="23"/>
  <c r="K7" i="23"/>
  <c r="AA7" i="23"/>
  <c r="R8" i="23"/>
  <c r="I9" i="23"/>
  <c r="Y9" i="23"/>
  <c r="P10" i="23"/>
  <c r="G13" i="23"/>
  <c r="W13" i="23"/>
  <c r="N14" i="23"/>
  <c r="E15" i="23"/>
  <c r="U15" i="23"/>
  <c r="L16" i="23"/>
  <c r="C17" i="23"/>
  <c r="S17" i="23"/>
  <c r="J18" i="23"/>
  <c r="Z18" i="23"/>
  <c r="Q19" i="23"/>
  <c r="H20" i="23"/>
  <c r="X20" i="23"/>
  <c r="O23" i="23"/>
  <c r="F24" i="23"/>
  <c r="V24" i="23"/>
  <c r="G10" i="23"/>
  <c r="F23" i="23"/>
  <c r="L7" i="23"/>
  <c r="C8" i="23"/>
  <c r="S8" i="23"/>
  <c r="J9" i="23"/>
  <c r="Z9" i="23"/>
  <c r="Q10" i="23"/>
  <c r="H13" i="23"/>
  <c r="X13" i="23"/>
  <c r="O14" i="23"/>
  <c r="F15" i="23"/>
  <c r="V15" i="23"/>
  <c r="M16" i="23"/>
  <c r="D17" i="23"/>
  <c r="T17" i="23"/>
  <c r="K18" i="23"/>
  <c r="AA18" i="23"/>
  <c r="R19" i="23"/>
  <c r="I20" i="23"/>
  <c r="Y20" i="23"/>
  <c r="P23" i="23"/>
  <c r="G24" i="23"/>
  <c r="W24" i="23"/>
  <c r="Y8" i="23"/>
  <c r="M7" i="23"/>
  <c r="D8" i="23"/>
  <c r="T8" i="23"/>
  <c r="K9" i="23"/>
  <c r="AA9" i="23"/>
  <c r="R10" i="23"/>
  <c r="I13" i="23"/>
  <c r="Y13" i="23"/>
  <c r="P14" i="23"/>
  <c r="G15" i="23"/>
  <c r="W15" i="23"/>
  <c r="N16" i="23"/>
  <c r="E17" i="23"/>
  <c r="U17" i="23"/>
  <c r="L18" i="23"/>
  <c r="C19" i="23"/>
  <c r="S19" i="23"/>
  <c r="J20" i="23"/>
  <c r="Z20" i="23"/>
  <c r="Q23" i="23"/>
  <c r="H24" i="23"/>
  <c r="X24" i="23"/>
  <c r="W10" i="23"/>
  <c r="N7" i="23"/>
  <c r="E8" i="23"/>
  <c r="U8" i="23"/>
  <c r="L9" i="23"/>
  <c r="C10" i="23"/>
  <c r="S10" i="23"/>
  <c r="J13" i="23"/>
  <c r="Z13" i="23"/>
  <c r="Q14" i="23"/>
  <c r="H15" i="23"/>
  <c r="X15" i="23"/>
  <c r="O16" i="23"/>
  <c r="F17" i="23"/>
  <c r="V17" i="23"/>
  <c r="M18" i="23"/>
  <c r="D19" i="23"/>
  <c r="T19" i="23"/>
  <c r="K20" i="23"/>
  <c r="AA20" i="23"/>
  <c r="R23" i="23"/>
  <c r="I24" i="23"/>
  <c r="Y24" i="23"/>
  <c r="P9" i="23"/>
  <c r="O20" i="23"/>
  <c r="O7" i="23"/>
  <c r="F8" i="23"/>
  <c r="V8" i="23"/>
  <c r="M9" i="23"/>
  <c r="D10" i="23"/>
  <c r="T10" i="23"/>
  <c r="K13" i="23"/>
  <c r="AA13" i="23"/>
  <c r="R14" i="23"/>
  <c r="I15" i="23"/>
  <c r="Y15" i="23"/>
  <c r="P16" i="23"/>
  <c r="G17" i="23"/>
  <c r="W17" i="23"/>
  <c r="N18" i="23"/>
  <c r="E19" i="23"/>
  <c r="U19" i="23"/>
  <c r="L20" i="23"/>
  <c r="C23" i="23"/>
  <c r="S23" i="23"/>
  <c r="J24" i="23"/>
  <c r="Z24" i="23"/>
  <c r="I8" i="23"/>
  <c r="M24" i="23"/>
  <c r="P7" i="23"/>
  <c r="G8" i="23"/>
  <c r="W8" i="23"/>
  <c r="N9" i="23"/>
  <c r="E10" i="23"/>
  <c r="U10" i="23"/>
  <c r="L13" i="23"/>
  <c r="C14" i="23"/>
  <c r="S14" i="23"/>
  <c r="J15" i="23"/>
  <c r="Z15" i="23"/>
  <c r="Q16" i="23"/>
  <c r="H17" i="23"/>
  <c r="X17" i="23"/>
  <c r="O18" i="23"/>
  <c r="F19" i="23"/>
  <c r="V19" i="23"/>
  <c r="M20" i="23"/>
  <c r="D23" i="23"/>
  <c r="T23" i="23"/>
  <c r="K24" i="23"/>
  <c r="AA24" i="23"/>
  <c r="Q18" i="23"/>
  <c r="Q7" i="23"/>
  <c r="H8" i="23"/>
  <c r="X8" i="23"/>
  <c r="O9" i="23"/>
  <c r="F10" i="23"/>
  <c r="V10" i="23"/>
  <c r="M13" i="23"/>
  <c r="D14" i="23"/>
  <c r="T14" i="23"/>
  <c r="K15" i="23"/>
  <c r="AA15" i="23"/>
  <c r="R16" i="23"/>
  <c r="I17" i="23"/>
  <c r="Y17" i="23"/>
  <c r="P18" i="23"/>
  <c r="G19" i="23"/>
  <c r="W19" i="23"/>
  <c r="N20" i="23"/>
  <c r="E23" i="23"/>
  <c r="U23" i="23"/>
  <c r="L24" i="23"/>
  <c r="R7" i="23"/>
  <c r="C8" i="22"/>
  <c r="S8" i="22"/>
  <c r="J9" i="22"/>
  <c r="Z9" i="22"/>
  <c r="Q10" i="22"/>
  <c r="H11" i="22"/>
  <c r="X11" i="22"/>
  <c r="O12" i="22"/>
  <c r="F13" i="22"/>
  <c r="V13" i="22"/>
  <c r="M14" i="22"/>
  <c r="D15" i="22"/>
  <c r="T15" i="22"/>
  <c r="K16" i="22"/>
  <c r="AA16" i="22"/>
  <c r="R17" i="22"/>
  <c r="I18" i="22"/>
  <c r="Y18" i="22"/>
  <c r="P19" i="22"/>
  <c r="G20" i="22"/>
  <c r="W20" i="22"/>
  <c r="N21" i="22"/>
  <c r="E22" i="22"/>
  <c r="U22" i="22"/>
  <c r="L23" i="22"/>
  <c r="C24" i="22"/>
  <c r="S24" i="22"/>
  <c r="J25" i="22"/>
  <c r="Z25" i="22"/>
  <c r="Q26" i="22"/>
  <c r="H28" i="22"/>
  <c r="X28" i="22"/>
  <c r="O29" i="22"/>
  <c r="F30" i="22"/>
  <c r="V30" i="22"/>
  <c r="M31" i="22"/>
  <c r="D32" i="22"/>
  <c r="T32" i="22"/>
  <c r="K33" i="22"/>
  <c r="AA33" i="22"/>
  <c r="R34" i="22"/>
  <c r="I35" i="22"/>
  <c r="Y35" i="22"/>
  <c r="P37" i="22"/>
  <c r="G38" i="22"/>
  <c r="W38" i="22"/>
  <c r="N39" i="22"/>
  <c r="E40" i="22"/>
  <c r="U40" i="22"/>
  <c r="L41" i="22"/>
  <c r="C42" i="22"/>
  <c r="S42" i="22"/>
  <c r="J43" i="22"/>
  <c r="Z43" i="22"/>
  <c r="Q44" i="22"/>
  <c r="H45" i="22"/>
  <c r="X45" i="22"/>
  <c r="O46" i="22"/>
  <c r="F47" i="22"/>
  <c r="V47" i="22"/>
  <c r="M48" i="22"/>
  <c r="D49" i="22"/>
  <c r="T49" i="22"/>
  <c r="K51" i="22"/>
  <c r="AA51" i="22"/>
  <c r="R52" i="22"/>
  <c r="C15" i="22"/>
  <c r="D8" i="22"/>
  <c r="T8" i="22"/>
  <c r="K9" i="22"/>
  <c r="AA9" i="22"/>
  <c r="R10" i="22"/>
  <c r="I11" i="22"/>
  <c r="Y11" i="22"/>
  <c r="P12" i="22"/>
  <c r="G13" i="22"/>
  <c r="W13" i="22"/>
  <c r="N14" i="22"/>
  <c r="E15" i="22"/>
  <c r="U15" i="22"/>
  <c r="L16" i="22"/>
  <c r="C17" i="22"/>
  <c r="S17" i="22"/>
  <c r="J18" i="22"/>
  <c r="Z18" i="22"/>
  <c r="Q19" i="22"/>
  <c r="H20" i="22"/>
  <c r="X20" i="22"/>
  <c r="O21" i="22"/>
  <c r="F22" i="22"/>
  <c r="V22" i="22"/>
  <c r="M23" i="22"/>
  <c r="D24" i="22"/>
  <c r="T24" i="22"/>
  <c r="K25" i="22"/>
  <c r="AA25" i="22"/>
  <c r="R26" i="22"/>
  <c r="I28" i="22"/>
  <c r="Y28" i="22"/>
  <c r="P29" i="22"/>
  <c r="G30" i="22"/>
  <c r="W30" i="22"/>
  <c r="N31" i="22"/>
  <c r="E32" i="22"/>
  <c r="U32" i="22"/>
  <c r="L33" i="22"/>
  <c r="C34" i="22"/>
  <c r="S34" i="22"/>
  <c r="J35" i="22"/>
  <c r="Z35" i="22"/>
  <c r="Q37" i="22"/>
  <c r="H38" i="22"/>
  <c r="X38" i="22"/>
  <c r="O39" i="22"/>
  <c r="F40" i="22"/>
  <c r="V40" i="22"/>
  <c r="M41" i="22"/>
  <c r="D42" i="22"/>
  <c r="T42" i="22"/>
  <c r="K43" i="22"/>
  <c r="AA43" i="22"/>
  <c r="R44" i="22"/>
  <c r="I45" i="22"/>
  <c r="Y45" i="22"/>
  <c r="P46" i="22"/>
  <c r="G47" i="22"/>
  <c r="W47" i="22"/>
  <c r="N48" i="22"/>
  <c r="E49" i="22"/>
  <c r="U49" i="22"/>
  <c r="L51" i="22"/>
  <c r="C52" i="22"/>
  <c r="S52" i="22"/>
  <c r="E13" i="22"/>
  <c r="E8" i="22"/>
  <c r="U8" i="22"/>
  <c r="L9" i="22"/>
  <c r="C10" i="22"/>
  <c r="S10" i="22"/>
  <c r="J11" i="22"/>
  <c r="Z11" i="22"/>
  <c r="Q12" i="22"/>
  <c r="H13" i="22"/>
  <c r="X13" i="22"/>
  <c r="O14" i="22"/>
  <c r="F15" i="22"/>
  <c r="V15" i="22"/>
  <c r="M16" i="22"/>
  <c r="D17" i="22"/>
  <c r="T17" i="22"/>
  <c r="K18" i="22"/>
  <c r="AA18" i="22"/>
  <c r="R19" i="22"/>
  <c r="I20" i="22"/>
  <c r="Y20" i="22"/>
  <c r="P21" i="22"/>
  <c r="G22" i="22"/>
  <c r="W22" i="22"/>
  <c r="N23" i="22"/>
  <c r="E24" i="22"/>
  <c r="U24" i="22"/>
  <c r="L25" i="22"/>
  <c r="C26" i="22"/>
  <c r="S26" i="22"/>
  <c r="J28" i="22"/>
  <c r="Z28" i="22"/>
  <c r="Q29" i="22"/>
  <c r="H30" i="22"/>
  <c r="X30" i="22"/>
  <c r="O31" i="22"/>
  <c r="F32" i="22"/>
  <c r="V32" i="22"/>
  <c r="M33" i="22"/>
  <c r="D34" i="22"/>
  <c r="T34" i="22"/>
  <c r="K35" i="22"/>
  <c r="AA35" i="22"/>
  <c r="R37" i="22"/>
  <c r="I38" i="22"/>
  <c r="Y38" i="22"/>
  <c r="P39" i="22"/>
  <c r="G40" i="22"/>
  <c r="W40" i="22"/>
  <c r="N41" i="22"/>
  <c r="E42" i="22"/>
  <c r="U42" i="22"/>
  <c r="L43" i="22"/>
  <c r="C44" i="22"/>
  <c r="S44" i="22"/>
  <c r="J45" i="22"/>
  <c r="Z45" i="22"/>
  <c r="Q46" i="22"/>
  <c r="H47" i="22"/>
  <c r="X47" i="22"/>
  <c r="O48" i="22"/>
  <c r="F49" i="22"/>
  <c r="V49" i="22"/>
  <c r="M51" i="22"/>
  <c r="D52" i="22"/>
  <c r="T52" i="22"/>
  <c r="L14" i="22"/>
  <c r="F8" i="22"/>
  <c r="V8" i="22"/>
  <c r="M9" i="22"/>
  <c r="D10" i="22"/>
  <c r="T10" i="22"/>
  <c r="K11" i="22"/>
  <c r="AA11" i="22"/>
  <c r="R12" i="22"/>
  <c r="I13" i="22"/>
  <c r="Y13" i="22"/>
  <c r="P14" i="22"/>
  <c r="G15" i="22"/>
  <c r="W15" i="22"/>
  <c r="N16" i="22"/>
  <c r="E17" i="22"/>
  <c r="U17" i="22"/>
  <c r="L18" i="22"/>
  <c r="C19" i="22"/>
  <c r="S19" i="22"/>
  <c r="J20" i="22"/>
  <c r="Z20" i="22"/>
  <c r="Q21" i="22"/>
  <c r="H22" i="22"/>
  <c r="X22" i="22"/>
  <c r="O23" i="22"/>
  <c r="F24" i="22"/>
  <c r="V24" i="22"/>
  <c r="M25" i="22"/>
  <c r="D26" i="22"/>
  <c r="T26" i="22"/>
  <c r="K28" i="22"/>
  <c r="AA28" i="22"/>
  <c r="R29" i="22"/>
  <c r="I30" i="22"/>
  <c r="Y30" i="22"/>
  <c r="P31" i="22"/>
  <c r="G32" i="22"/>
  <c r="W32" i="22"/>
  <c r="N33" i="22"/>
  <c r="E34" i="22"/>
  <c r="U34" i="22"/>
  <c r="L35" i="22"/>
  <c r="C37" i="22"/>
  <c r="S37" i="22"/>
  <c r="J38" i="22"/>
  <c r="Z38" i="22"/>
  <c r="Q39" i="22"/>
  <c r="H40" i="22"/>
  <c r="X40" i="22"/>
  <c r="O41" i="22"/>
  <c r="F42" i="22"/>
  <c r="V42" i="22"/>
  <c r="M43" i="22"/>
  <c r="D44" i="22"/>
  <c r="T44" i="22"/>
  <c r="K45" i="22"/>
  <c r="AA45" i="22"/>
  <c r="R46" i="22"/>
  <c r="I47" i="22"/>
  <c r="Y47" i="22"/>
  <c r="P48" i="22"/>
  <c r="G49" i="22"/>
  <c r="W49" i="22"/>
  <c r="N51" i="22"/>
  <c r="E52" i="22"/>
  <c r="U52" i="22"/>
  <c r="S15" i="22"/>
  <c r="G8" i="22"/>
  <c r="W8" i="22"/>
  <c r="N9" i="22"/>
  <c r="E10" i="22"/>
  <c r="U10" i="22"/>
  <c r="L11" i="22"/>
  <c r="C12" i="22"/>
  <c r="S12" i="22"/>
  <c r="J13" i="22"/>
  <c r="Z13" i="22"/>
  <c r="Q14" i="22"/>
  <c r="H15" i="22"/>
  <c r="X15" i="22"/>
  <c r="O16" i="22"/>
  <c r="F17" i="22"/>
  <c r="V17" i="22"/>
  <c r="M18" i="22"/>
  <c r="D19" i="22"/>
  <c r="T19" i="22"/>
  <c r="K20" i="22"/>
  <c r="AA20" i="22"/>
  <c r="R21" i="22"/>
  <c r="I22" i="22"/>
  <c r="Y22" i="22"/>
  <c r="P23" i="22"/>
  <c r="G24" i="22"/>
  <c r="W24" i="22"/>
  <c r="N25" i="22"/>
  <c r="E26" i="22"/>
  <c r="U26" i="22"/>
  <c r="L28" i="22"/>
  <c r="C29" i="22"/>
  <c r="S29" i="22"/>
  <c r="J30" i="22"/>
  <c r="Z30" i="22"/>
  <c r="Q31" i="22"/>
  <c r="H32" i="22"/>
  <c r="X32" i="22"/>
  <c r="O33" i="22"/>
  <c r="F34" i="22"/>
  <c r="V34" i="22"/>
  <c r="M35" i="22"/>
  <c r="D37" i="22"/>
  <c r="T37" i="22"/>
  <c r="K38" i="22"/>
  <c r="AA38" i="22"/>
  <c r="R39" i="22"/>
  <c r="I40" i="22"/>
  <c r="Y40" i="22"/>
  <c r="P41" i="22"/>
  <c r="G42" i="22"/>
  <c r="W42" i="22"/>
  <c r="N43" i="22"/>
  <c r="E44" i="22"/>
  <c r="U44" i="22"/>
  <c r="L45" i="22"/>
  <c r="C46" i="22"/>
  <c r="S46" i="22"/>
  <c r="J47" i="22"/>
  <c r="Z47" i="22"/>
  <c r="Q48" i="22"/>
  <c r="H49" i="22"/>
  <c r="X49" i="22"/>
  <c r="O51" i="22"/>
  <c r="F52" i="22"/>
  <c r="V52" i="22"/>
  <c r="Q17" i="22"/>
  <c r="H8" i="22"/>
  <c r="X8" i="22"/>
  <c r="O9" i="22"/>
  <c r="F10" i="22"/>
  <c r="V10" i="22"/>
  <c r="M11" i="22"/>
  <c r="D12" i="22"/>
  <c r="T12" i="22"/>
  <c r="K13" i="22"/>
  <c r="AA13" i="22"/>
  <c r="R14" i="22"/>
  <c r="I15" i="22"/>
  <c r="Y15" i="22"/>
  <c r="P16" i="22"/>
  <c r="G17" i="22"/>
  <c r="W17" i="22"/>
  <c r="N18" i="22"/>
  <c r="E19" i="22"/>
  <c r="U19" i="22"/>
  <c r="L20" i="22"/>
  <c r="C21" i="22"/>
  <c r="S21" i="22"/>
  <c r="J22" i="22"/>
  <c r="Z22" i="22"/>
  <c r="Q23" i="22"/>
  <c r="H24" i="22"/>
  <c r="X24" i="22"/>
  <c r="O25" i="22"/>
  <c r="F26" i="22"/>
  <c r="V26" i="22"/>
  <c r="M28" i="22"/>
  <c r="D29" i="22"/>
  <c r="T29" i="22"/>
  <c r="K30" i="22"/>
  <c r="AA30" i="22"/>
  <c r="R31" i="22"/>
  <c r="I32" i="22"/>
  <c r="Y32" i="22"/>
  <c r="P33" i="22"/>
  <c r="G34" i="22"/>
  <c r="W34" i="22"/>
  <c r="N35" i="22"/>
  <c r="E37" i="22"/>
  <c r="U37" i="22"/>
  <c r="L38" i="22"/>
  <c r="C39" i="22"/>
  <c r="S39" i="22"/>
  <c r="J40" i="22"/>
  <c r="Z40" i="22"/>
  <c r="Q41" i="22"/>
  <c r="H42" i="22"/>
  <c r="X42" i="22"/>
  <c r="O43" i="22"/>
  <c r="F44" i="22"/>
  <c r="V44" i="22"/>
  <c r="M45" i="22"/>
  <c r="D46" i="22"/>
  <c r="T46" i="22"/>
  <c r="K47" i="22"/>
  <c r="AA47" i="22"/>
  <c r="R48" i="22"/>
  <c r="I49" i="22"/>
  <c r="Y49" i="22"/>
  <c r="P51" i="22"/>
  <c r="G52" i="22"/>
  <c r="W52" i="22"/>
  <c r="J16" i="22"/>
  <c r="I8" i="22"/>
  <c r="Y8" i="22"/>
  <c r="P9" i="22"/>
  <c r="G10" i="22"/>
  <c r="W10" i="22"/>
  <c r="N11" i="22"/>
  <c r="E12" i="22"/>
  <c r="U12" i="22"/>
  <c r="L13" i="22"/>
  <c r="C14" i="22"/>
  <c r="S14" i="22"/>
  <c r="J15" i="22"/>
  <c r="Z15" i="22"/>
  <c r="Q16" i="22"/>
  <c r="H17" i="22"/>
  <c r="X17" i="22"/>
  <c r="O18" i="22"/>
  <c r="F19" i="22"/>
  <c r="V19" i="22"/>
  <c r="M20" i="22"/>
  <c r="D21" i="22"/>
  <c r="T21" i="22"/>
  <c r="K22" i="22"/>
  <c r="AA22" i="22"/>
  <c r="R23" i="22"/>
  <c r="I24" i="22"/>
  <c r="Y24" i="22"/>
  <c r="P25" i="22"/>
  <c r="G26" i="22"/>
  <c r="W26" i="22"/>
  <c r="N28" i="22"/>
  <c r="E29" i="22"/>
  <c r="U29" i="22"/>
  <c r="L30" i="22"/>
  <c r="C31" i="22"/>
  <c r="S31" i="22"/>
  <c r="J32" i="22"/>
  <c r="Z32" i="22"/>
  <c r="Q33" i="22"/>
  <c r="H34" i="22"/>
  <c r="X34" i="22"/>
  <c r="O35" i="22"/>
  <c r="F37" i="22"/>
  <c r="V37" i="22"/>
  <c r="M38" i="22"/>
  <c r="D39" i="22"/>
  <c r="T39" i="22"/>
  <c r="K40" i="22"/>
  <c r="AA40" i="22"/>
  <c r="R41" i="22"/>
  <c r="I42" i="22"/>
  <c r="Y42" i="22"/>
  <c r="P43" i="22"/>
  <c r="G44" i="22"/>
  <c r="W44" i="22"/>
  <c r="N45" i="22"/>
  <c r="E46" i="22"/>
  <c r="U46" i="22"/>
  <c r="L47" i="22"/>
  <c r="C48" i="22"/>
  <c r="S48" i="22"/>
  <c r="J49" i="22"/>
  <c r="Z49" i="22"/>
  <c r="Q51" i="22"/>
  <c r="H52" i="22"/>
  <c r="X52" i="22"/>
  <c r="Z16" i="22"/>
  <c r="J8" i="22"/>
  <c r="Z8" i="22"/>
  <c r="Q9" i="22"/>
  <c r="H10" i="22"/>
  <c r="X10" i="22"/>
  <c r="O11" i="22"/>
  <c r="F12" i="22"/>
  <c r="V12" i="22"/>
  <c r="M13" i="22"/>
  <c r="D14" i="22"/>
  <c r="T14" i="22"/>
  <c r="K15" i="22"/>
  <c r="AA15" i="22"/>
  <c r="R16" i="22"/>
  <c r="I17" i="22"/>
  <c r="Y17" i="22"/>
  <c r="P18" i="22"/>
  <c r="G19" i="22"/>
  <c r="W19" i="22"/>
  <c r="N20" i="22"/>
  <c r="E21" i="22"/>
  <c r="U21" i="22"/>
  <c r="L22" i="22"/>
  <c r="C23" i="22"/>
  <c r="S23" i="22"/>
  <c r="J24" i="22"/>
  <c r="Z24" i="22"/>
  <c r="Q25" i="22"/>
  <c r="H26" i="22"/>
  <c r="X26" i="22"/>
  <c r="O28" i="22"/>
  <c r="F29" i="22"/>
  <c r="V29" i="22"/>
  <c r="M30" i="22"/>
  <c r="D31" i="22"/>
  <c r="T31" i="22"/>
  <c r="K32" i="22"/>
  <c r="AA32" i="22"/>
  <c r="R33" i="22"/>
  <c r="I34" i="22"/>
  <c r="Y34" i="22"/>
  <c r="P35" i="22"/>
  <c r="G37" i="22"/>
  <c r="W37" i="22"/>
  <c r="N38" i="22"/>
  <c r="E39" i="22"/>
  <c r="U39" i="22"/>
  <c r="L40" i="22"/>
  <c r="C41" i="22"/>
  <c r="S41" i="22"/>
  <c r="J42" i="22"/>
  <c r="Z42" i="22"/>
  <c r="Q43" i="22"/>
  <c r="H44" i="22"/>
  <c r="X44" i="22"/>
  <c r="O45" i="22"/>
  <c r="F46" i="22"/>
  <c r="V46" i="22"/>
  <c r="M47" i="22"/>
  <c r="D48" i="22"/>
  <c r="T48" i="22"/>
  <c r="K49" i="22"/>
  <c r="AA49" i="22"/>
  <c r="R51" i="22"/>
  <c r="I52" i="22"/>
  <c r="Y52" i="22"/>
  <c r="U13" i="22"/>
  <c r="K8" i="22"/>
  <c r="AA8" i="22"/>
  <c r="R9" i="22"/>
  <c r="I10" i="22"/>
  <c r="Y10" i="22"/>
  <c r="P11" i="22"/>
  <c r="G12" i="22"/>
  <c r="W12" i="22"/>
  <c r="N13" i="22"/>
  <c r="E14" i="22"/>
  <c r="U14" i="22"/>
  <c r="L15" i="22"/>
  <c r="C16" i="22"/>
  <c r="S16" i="22"/>
  <c r="J17" i="22"/>
  <c r="Z17" i="22"/>
  <c r="Q18" i="22"/>
  <c r="H19" i="22"/>
  <c r="X19" i="22"/>
  <c r="O20" i="22"/>
  <c r="F21" i="22"/>
  <c r="V21" i="22"/>
  <c r="M22" i="22"/>
  <c r="D23" i="22"/>
  <c r="T23" i="22"/>
  <c r="K24" i="22"/>
  <c r="AA24" i="22"/>
  <c r="R25" i="22"/>
  <c r="I26" i="22"/>
  <c r="Y26" i="22"/>
  <c r="P28" i="22"/>
  <c r="G29" i="22"/>
  <c r="W29" i="22"/>
  <c r="N30" i="22"/>
  <c r="E31" i="22"/>
  <c r="U31" i="22"/>
  <c r="L32" i="22"/>
  <c r="C33" i="22"/>
  <c r="S33" i="22"/>
  <c r="J34" i="22"/>
  <c r="Z34" i="22"/>
  <c r="Q35" i="22"/>
  <c r="H37" i="22"/>
  <c r="X37" i="22"/>
  <c r="O38" i="22"/>
  <c r="F39" i="22"/>
  <c r="V39" i="22"/>
  <c r="M40" i="22"/>
  <c r="D41" i="22"/>
  <c r="T41" i="22"/>
  <c r="K42" i="22"/>
  <c r="AA42" i="22"/>
  <c r="R43" i="22"/>
  <c r="I44" i="22"/>
  <c r="Y44" i="22"/>
  <c r="P45" i="22"/>
  <c r="G46" i="22"/>
  <c r="W46" i="22"/>
  <c r="N47" i="22"/>
  <c r="E48" i="22"/>
  <c r="U48" i="22"/>
  <c r="L49" i="22"/>
  <c r="C51" i="22"/>
  <c r="S51" i="22"/>
  <c r="J52" i="22"/>
  <c r="Z52" i="22"/>
  <c r="N12" i="22"/>
  <c r="L8" i="22"/>
  <c r="C9" i="22"/>
  <c r="S9" i="22"/>
  <c r="J10" i="22"/>
  <c r="Z10" i="22"/>
  <c r="Q11" i="22"/>
  <c r="H12" i="22"/>
  <c r="X12" i="22"/>
  <c r="O13" i="22"/>
  <c r="F14" i="22"/>
  <c r="V14" i="22"/>
  <c r="M15" i="22"/>
  <c r="D16" i="22"/>
  <c r="T16" i="22"/>
  <c r="K17" i="22"/>
  <c r="AA17" i="22"/>
  <c r="R18" i="22"/>
  <c r="I19" i="22"/>
  <c r="Y19" i="22"/>
  <c r="P20" i="22"/>
  <c r="G21" i="22"/>
  <c r="W21" i="22"/>
  <c r="N22" i="22"/>
  <c r="E23" i="22"/>
  <c r="U23" i="22"/>
  <c r="L24" i="22"/>
  <c r="C25" i="22"/>
  <c r="S25" i="22"/>
  <c r="J26" i="22"/>
  <c r="Z26" i="22"/>
  <c r="Q28" i="22"/>
  <c r="H29" i="22"/>
  <c r="X29" i="22"/>
  <c r="O30" i="22"/>
  <c r="F31" i="22"/>
  <c r="V31" i="22"/>
  <c r="M32" i="22"/>
  <c r="D33" i="22"/>
  <c r="T33" i="22"/>
  <c r="K34" i="22"/>
  <c r="AA34" i="22"/>
  <c r="R35" i="22"/>
  <c r="I37" i="22"/>
  <c r="Y37" i="22"/>
  <c r="P38" i="22"/>
  <c r="G39" i="22"/>
  <c r="W39" i="22"/>
  <c r="N40" i="22"/>
  <c r="E41" i="22"/>
  <c r="U41" i="22"/>
  <c r="L42" i="22"/>
  <c r="C43" i="22"/>
  <c r="S43" i="22"/>
  <c r="J44" i="22"/>
  <c r="Z44" i="22"/>
  <c r="Q45" i="22"/>
  <c r="H46" i="22"/>
  <c r="X46" i="22"/>
  <c r="O47" i="22"/>
  <c r="F48" i="22"/>
  <c r="V48" i="22"/>
  <c r="M49" i="22"/>
  <c r="D51" i="22"/>
  <c r="T51" i="22"/>
  <c r="K52" i="22"/>
  <c r="AA52" i="22"/>
  <c r="P10" i="22"/>
  <c r="J51" i="22"/>
  <c r="M8" i="22"/>
  <c r="D9" i="22"/>
  <c r="T9" i="22"/>
  <c r="K10" i="22"/>
  <c r="AA10" i="22"/>
  <c r="R11" i="22"/>
  <c r="I12" i="22"/>
  <c r="Y12" i="22"/>
  <c r="P13" i="22"/>
  <c r="G14" i="22"/>
  <c r="W14" i="22"/>
  <c r="N15" i="22"/>
  <c r="E16" i="22"/>
  <c r="U16" i="22"/>
  <c r="L17" i="22"/>
  <c r="C18" i="22"/>
  <c r="S18" i="22"/>
  <c r="J19" i="22"/>
  <c r="Z19" i="22"/>
  <c r="Q20" i="22"/>
  <c r="H21" i="22"/>
  <c r="X21" i="22"/>
  <c r="O22" i="22"/>
  <c r="F23" i="22"/>
  <c r="V23" i="22"/>
  <c r="M24" i="22"/>
  <c r="D25" i="22"/>
  <c r="T25" i="22"/>
  <c r="K26" i="22"/>
  <c r="AA26" i="22"/>
  <c r="R28" i="22"/>
  <c r="I29" i="22"/>
  <c r="Y29" i="22"/>
  <c r="P30" i="22"/>
  <c r="G31" i="22"/>
  <c r="W31" i="22"/>
  <c r="N32" i="22"/>
  <c r="E33" i="22"/>
  <c r="U33" i="22"/>
  <c r="L34" i="22"/>
  <c r="C35" i="22"/>
  <c r="S35" i="22"/>
  <c r="J37" i="22"/>
  <c r="Z37" i="22"/>
  <c r="Q38" i="22"/>
  <c r="H39" i="22"/>
  <c r="X39" i="22"/>
  <c r="O40" i="22"/>
  <c r="F41" i="22"/>
  <c r="V41" i="22"/>
  <c r="M42" i="22"/>
  <c r="D43" i="22"/>
  <c r="T43" i="22"/>
  <c r="K44" i="22"/>
  <c r="AA44" i="22"/>
  <c r="R45" i="22"/>
  <c r="I46" i="22"/>
  <c r="Y46" i="22"/>
  <c r="P47" i="22"/>
  <c r="G48" i="22"/>
  <c r="W48" i="22"/>
  <c r="N49" i="22"/>
  <c r="E51" i="22"/>
  <c r="U51" i="22"/>
  <c r="L52" i="22"/>
  <c r="I9" i="22"/>
  <c r="Z51" i="22"/>
  <c r="N8" i="22"/>
  <c r="E9" i="22"/>
  <c r="U9" i="22"/>
  <c r="L10" i="22"/>
  <c r="C11" i="22"/>
  <c r="S11" i="22"/>
  <c r="J12" i="22"/>
  <c r="Z12" i="22"/>
  <c r="Q13" i="22"/>
  <c r="H14" i="22"/>
  <c r="X14" i="22"/>
  <c r="O15" i="22"/>
  <c r="F16" i="22"/>
  <c r="V16" i="22"/>
  <c r="M17" i="22"/>
  <c r="D18" i="22"/>
  <c r="T18" i="22"/>
  <c r="K19" i="22"/>
  <c r="AA19" i="22"/>
  <c r="R20" i="22"/>
  <c r="I21" i="22"/>
  <c r="Y21" i="22"/>
  <c r="P22" i="22"/>
  <c r="G23" i="22"/>
  <c r="W23" i="22"/>
  <c r="N24" i="22"/>
  <c r="E25" i="22"/>
  <c r="U25" i="22"/>
  <c r="L26" i="22"/>
  <c r="C28" i="22"/>
  <c r="S28" i="22"/>
  <c r="J29" i="22"/>
  <c r="Z29" i="22"/>
  <c r="Q30" i="22"/>
  <c r="H31" i="22"/>
  <c r="X31" i="22"/>
  <c r="O32" i="22"/>
  <c r="F33" i="22"/>
  <c r="V33" i="22"/>
  <c r="M34" i="22"/>
  <c r="D35" i="22"/>
  <c r="T35" i="22"/>
  <c r="K37" i="22"/>
  <c r="AA37" i="22"/>
  <c r="R38" i="22"/>
  <c r="I39" i="22"/>
  <c r="Y39" i="22"/>
  <c r="P40" i="22"/>
  <c r="G41" i="22"/>
  <c r="W41" i="22"/>
  <c r="N42" i="22"/>
  <c r="E43" i="22"/>
  <c r="U43" i="22"/>
  <c r="L44" i="22"/>
  <c r="C45" i="22"/>
  <c r="S45" i="22"/>
  <c r="J46" i="22"/>
  <c r="Z46" i="22"/>
  <c r="Q47" i="22"/>
  <c r="H48" i="22"/>
  <c r="X48" i="22"/>
  <c r="O49" i="22"/>
  <c r="F51" i="22"/>
  <c r="V51" i="22"/>
  <c r="M52" i="22"/>
  <c r="Y9" i="22"/>
  <c r="O8" i="22"/>
  <c r="F9" i="22"/>
  <c r="V9" i="22"/>
  <c r="M10" i="22"/>
  <c r="D11" i="22"/>
  <c r="T11" i="22"/>
  <c r="K12" i="22"/>
  <c r="AA12" i="22"/>
  <c r="R13" i="22"/>
  <c r="I14" i="22"/>
  <c r="Y14" i="22"/>
  <c r="P15" i="22"/>
  <c r="G16" i="22"/>
  <c r="W16" i="22"/>
  <c r="N17" i="22"/>
  <c r="E18" i="22"/>
  <c r="U18" i="22"/>
  <c r="L19" i="22"/>
  <c r="C20" i="22"/>
  <c r="S20" i="22"/>
  <c r="J21" i="22"/>
  <c r="Z21" i="22"/>
  <c r="Q22" i="22"/>
  <c r="H23" i="22"/>
  <c r="X23" i="22"/>
  <c r="O24" i="22"/>
  <c r="F25" i="22"/>
  <c r="V25" i="22"/>
  <c r="M26" i="22"/>
  <c r="D28" i="22"/>
  <c r="T28" i="22"/>
  <c r="K29" i="22"/>
  <c r="AA29" i="22"/>
  <c r="R30" i="22"/>
  <c r="I31" i="22"/>
  <c r="Y31" i="22"/>
  <c r="P32" i="22"/>
  <c r="G33" i="22"/>
  <c r="W33" i="22"/>
  <c r="N34" i="22"/>
  <c r="E35" i="22"/>
  <c r="U35" i="22"/>
  <c r="L37" i="22"/>
  <c r="C38" i="22"/>
  <c r="S38" i="22"/>
  <c r="J39" i="22"/>
  <c r="Z39" i="22"/>
  <c r="Q40" i="22"/>
  <c r="H41" i="22"/>
  <c r="X41" i="22"/>
  <c r="O42" i="22"/>
  <c r="F43" i="22"/>
  <c r="V43" i="22"/>
  <c r="M44" i="22"/>
  <c r="D45" i="22"/>
  <c r="T45" i="22"/>
  <c r="K46" i="22"/>
  <c r="AA46" i="22"/>
  <c r="R47" i="22"/>
  <c r="I48" i="22"/>
  <c r="Y48" i="22"/>
  <c r="P49" i="22"/>
  <c r="G51" i="22"/>
  <c r="W51" i="22"/>
  <c r="N52" i="22"/>
  <c r="R8" i="22"/>
  <c r="P8" i="22"/>
  <c r="G9" i="22"/>
  <c r="W9" i="22"/>
  <c r="N10" i="22"/>
  <c r="E11" i="22"/>
  <c r="U11" i="22"/>
  <c r="L12" i="22"/>
  <c r="C13" i="22"/>
  <c r="S13" i="22"/>
  <c r="J14" i="22"/>
  <c r="Z14" i="22"/>
  <c r="Q15" i="22"/>
  <c r="H16" i="22"/>
  <c r="X16" i="22"/>
  <c r="O17" i="22"/>
  <c r="F18" i="22"/>
  <c r="V18" i="22"/>
  <c r="M19" i="22"/>
  <c r="D20" i="22"/>
  <c r="T20" i="22"/>
  <c r="K21" i="22"/>
  <c r="AA21" i="22"/>
  <c r="R22" i="22"/>
  <c r="I23" i="22"/>
  <c r="Y23" i="22"/>
  <c r="P24" i="22"/>
  <c r="G25" i="22"/>
  <c r="W25" i="22"/>
  <c r="N26" i="22"/>
  <c r="E28" i="22"/>
  <c r="U28" i="22"/>
  <c r="L29" i="22"/>
  <c r="C30" i="22"/>
  <c r="S30" i="22"/>
  <c r="J31" i="22"/>
  <c r="Z31" i="22"/>
  <c r="Q32" i="22"/>
  <c r="H33" i="22"/>
  <c r="X33" i="22"/>
  <c r="O34" i="22"/>
  <c r="F35" i="22"/>
  <c r="V35" i="22"/>
  <c r="M37" i="22"/>
  <c r="D38" i="22"/>
  <c r="T38" i="22"/>
  <c r="K39" i="22"/>
  <c r="AA39" i="22"/>
  <c r="R40" i="22"/>
  <c r="I41" i="22"/>
  <c r="Y41" i="22"/>
  <c r="P42" i="22"/>
  <c r="G43" i="22"/>
  <c r="W43" i="22"/>
  <c r="N44" i="22"/>
  <c r="E45" i="22"/>
  <c r="U45" i="22"/>
  <c r="L46" i="22"/>
  <c r="C47" i="22"/>
  <c r="S47" i="22"/>
  <c r="J48" i="22"/>
  <c r="Z48" i="22"/>
  <c r="Q49" i="22"/>
  <c r="H51" i="22"/>
  <c r="X51" i="22"/>
  <c r="O52" i="22"/>
  <c r="G11" i="22"/>
  <c r="Q8" i="22"/>
  <c r="H9" i="22"/>
  <c r="X9" i="22"/>
  <c r="O10" i="22"/>
  <c r="F11" i="22"/>
  <c r="V11" i="22"/>
  <c r="M12" i="22"/>
  <c r="D13" i="22"/>
  <c r="T13" i="22"/>
  <c r="K14" i="22"/>
  <c r="AA14" i="22"/>
  <c r="R15" i="22"/>
  <c r="I16" i="22"/>
  <c r="Y16" i="22"/>
  <c r="P17" i="22"/>
  <c r="G18" i="22"/>
  <c r="W18" i="22"/>
  <c r="N19" i="22"/>
  <c r="E20" i="22"/>
  <c r="U20" i="22"/>
  <c r="L21" i="22"/>
  <c r="C22" i="22"/>
  <c r="S22" i="22"/>
  <c r="J23" i="22"/>
  <c r="Z23" i="22"/>
  <c r="Q24" i="22"/>
  <c r="H25" i="22"/>
  <c r="X25" i="22"/>
  <c r="O26" i="22"/>
  <c r="F28" i="22"/>
  <c r="V28" i="22"/>
  <c r="M29" i="22"/>
  <c r="D30" i="22"/>
  <c r="T30" i="22"/>
  <c r="K31" i="22"/>
  <c r="AA31" i="22"/>
  <c r="R32" i="22"/>
  <c r="I33" i="22"/>
  <c r="Y33" i="22"/>
  <c r="P34" i="22"/>
  <c r="G35" i="22"/>
  <c r="W35" i="22"/>
  <c r="N37" i="22"/>
  <c r="E38" i="22"/>
  <c r="U38" i="22"/>
  <c r="L39" i="22"/>
  <c r="C40" i="22"/>
  <c r="S40" i="22"/>
  <c r="J41" i="22"/>
  <c r="Z41" i="22"/>
  <c r="Q42" i="22"/>
  <c r="H43" i="22"/>
  <c r="X43" i="22"/>
  <c r="O44" i="22"/>
  <c r="F45" i="22"/>
  <c r="V45" i="22"/>
  <c r="M46" i="22"/>
  <c r="D47" i="22"/>
  <c r="T47" i="22"/>
  <c r="K48" i="22"/>
  <c r="AA48" i="22"/>
  <c r="R49" i="22"/>
  <c r="I51" i="22"/>
  <c r="Y51" i="22"/>
  <c r="P52" i="22"/>
  <c r="W11" i="22"/>
  <c r="H18" i="22"/>
  <c r="X18" i="22"/>
  <c r="O19" i="22"/>
  <c r="F20" i="22"/>
  <c r="V20" i="22"/>
  <c r="M21" i="22"/>
  <c r="D22" i="22"/>
  <c r="T22" i="22"/>
  <c r="K23" i="22"/>
  <c r="AA23" i="22"/>
  <c r="R24" i="22"/>
  <c r="I25" i="22"/>
  <c r="Y25" i="22"/>
  <c r="P26" i="22"/>
  <c r="G28" i="22"/>
  <c r="W28" i="22"/>
  <c r="N29" i="22"/>
  <c r="E30" i="22"/>
  <c r="U30" i="22"/>
  <c r="L31" i="22"/>
  <c r="C32" i="22"/>
  <c r="S32" i="22"/>
  <c r="J33" i="22"/>
  <c r="Z33" i="22"/>
  <c r="Q34" i="22"/>
  <c r="H35" i="22"/>
  <c r="X35" i="22"/>
  <c r="O37" i="22"/>
  <c r="F38" i="22"/>
  <c r="V38" i="22"/>
  <c r="M39" i="22"/>
  <c r="D40" i="22"/>
  <c r="T40" i="22"/>
  <c r="K41" i="22"/>
  <c r="AA41" i="22"/>
  <c r="R42" i="22"/>
  <c r="I43" i="22"/>
  <c r="Y43" i="22"/>
  <c r="P44" i="22"/>
  <c r="G45" i="22"/>
  <c r="W45" i="22"/>
  <c r="N46" i="22"/>
  <c r="E47" i="22"/>
  <c r="U47" i="22"/>
  <c r="L48" i="22"/>
  <c r="C49" i="22"/>
  <c r="S49" i="22"/>
  <c r="Q52" i="22"/>
  <c r="C7" i="21"/>
  <c r="S7" i="21"/>
  <c r="J8" i="21"/>
  <c r="Z8" i="21"/>
  <c r="Q9" i="21"/>
  <c r="H10" i="21"/>
  <c r="X10" i="21"/>
  <c r="O11" i="21"/>
  <c r="F12" i="21"/>
  <c r="V12" i="21"/>
  <c r="M13" i="21"/>
  <c r="D14" i="21"/>
  <c r="T14" i="21"/>
  <c r="K15" i="21"/>
  <c r="AA15" i="21"/>
  <c r="R16" i="21"/>
  <c r="I17" i="21"/>
  <c r="Y17" i="21"/>
  <c r="P18" i="21"/>
  <c r="G21" i="21"/>
  <c r="W21" i="21"/>
  <c r="N22" i="21"/>
  <c r="E23" i="21"/>
  <c r="U23" i="21"/>
  <c r="L24" i="21"/>
  <c r="C25" i="21"/>
  <c r="S25" i="21"/>
  <c r="J26" i="21"/>
  <c r="Z26" i="21"/>
  <c r="Q27" i="21"/>
  <c r="H28" i="21"/>
  <c r="X28" i="21"/>
  <c r="O29" i="21"/>
  <c r="F30" i="21"/>
  <c r="V30" i="21"/>
  <c r="M31" i="21"/>
  <c r="D32" i="21"/>
  <c r="T32" i="21"/>
  <c r="K33" i="21"/>
  <c r="AA33" i="21"/>
  <c r="R34" i="21"/>
  <c r="I35" i="21"/>
  <c r="Y35" i="21"/>
  <c r="P36" i="21"/>
  <c r="G37" i="21"/>
  <c r="W37" i="21"/>
  <c r="N40" i="21"/>
  <c r="E41" i="21"/>
  <c r="U41" i="21"/>
  <c r="L42" i="21"/>
  <c r="C43" i="21"/>
  <c r="S43" i="21"/>
  <c r="J44" i="21"/>
  <c r="Z44" i="21"/>
  <c r="Q45" i="21"/>
  <c r="H46" i="21"/>
  <c r="X46" i="21"/>
  <c r="O47" i="21"/>
  <c r="F48" i="21"/>
  <c r="V48" i="21"/>
  <c r="M49" i="21"/>
  <c r="D50" i="21"/>
  <c r="T50" i="21"/>
  <c r="K52" i="21"/>
  <c r="AA52" i="21"/>
  <c r="R54" i="21"/>
  <c r="I58" i="21"/>
  <c r="Y58" i="21"/>
  <c r="P59" i="21"/>
  <c r="G60" i="21"/>
  <c r="W60" i="21"/>
  <c r="N61" i="21"/>
  <c r="E62" i="21"/>
  <c r="U62" i="21"/>
  <c r="L63" i="21"/>
  <c r="C64" i="21"/>
  <c r="S64" i="21"/>
  <c r="J65" i="21"/>
  <c r="Z65" i="21"/>
  <c r="Q66" i="21"/>
  <c r="D7" i="21"/>
  <c r="T7" i="21"/>
  <c r="K8" i="21"/>
  <c r="AA8" i="21"/>
  <c r="R9" i="21"/>
  <c r="I10" i="21"/>
  <c r="Y10" i="21"/>
  <c r="P11" i="21"/>
  <c r="G12" i="21"/>
  <c r="W12" i="21"/>
  <c r="N13" i="21"/>
  <c r="E14" i="21"/>
  <c r="U14" i="21"/>
  <c r="L15" i="21"/>
  <c r="C16" i="21"/>
  <c r="S16" i="21"/>
  <c r="J17" i="21"/>
  <c r="Z17" i="21"/>
  <c r="Q18" i="21"/>
  <c r="H21" i="21"/>
  <c r="X21" i="21"/>
  <c r="O22" i="21"/>
  <c r="F23" i="21"/>
  <c r="V23" i="21"/>
  <c r="M24" i="21"/>
  <c r="D25" i="21"/>
  <c r="T25" i="21"/>
  <c r="K26" i="21"/>
  <c r="AA26" i="21"/>
  <c r="R27" i="21"/>
  <c r="I28" i="21"/>
  <c r="Y28" i="21"/>
  <c r="P29" i="21"/>
  <c r="G30" i="21"/>
  <c r="W30" i="21"/>
  <c r="N31" i="21"/>
  <c r="E32" i="21"/>
  <c r="U32" i="21"/>
  <c r="L33" i="21"/>
  <c r="C34" i="21"/>
  <c r="S34" i="21"/>
  <c r="J35" i="21"/>
  <c r="Z35" i="21"/>
  <c r="Q36" i="21"/>
  <c r="H37" i="21"/>
  <c r="X37" i="21"/>
  <c r="O40" i="21"/>
  <c r="F41" i="21"/>
  <c r="V41" i="21"/>
  <c r="M42" i="21"/>
  <c r="D43" i="21"/>
  <c r="T43" i="21"/>
  <c r="K44" i="21"/>
  <c r="AA44" i="21"/>
  <c r="R45" i="21"/>
  <c r="I46" i="21"/>
  <c r="Y46" i="21"/>
  <c r="P47" i="21"/>
  <c r="G48" i="21"/>
  <c r="W48" i="21"/>
  <c r="N49" i="21"/>
  <c r="E50" i="21"/>
  <c r="U50" i="21"/>
  <c r="L52" i="21"/>
  <c r="C54" i="21"/>
  <c r="S54" i="21"/>
  <c r="J58" i="21"/>
  <c r="Z58" i="21"/>
  <c r="Q59" i="21"/>
  <c r="H60" i="21"/>
  <c r="X60" i="21"/>
  <c r="O61" i="21"/>
  <c r="F62" i="21"/>
  <c r="V62" i="21"/>
  <c r="M63" i="21"/>
  <c r="D64" i="21"/>
  <c r="T64" i="21"/>
  <c r="K65" i="21"/>
  <c r="AA65" i="21"/>
  <c r="R66" i="21"/>
  <c r="E7" i="21"/>
  <c r="U7" i="21"/>
  <c r="L8" i="21"/>
  <c r="C9" i="21"/>
  <c r="S9" i="21"/>
  <c r="J10" i="21"/>
  <c r="Z10" i="21"/>
  <c r="Q11" i="21"/>
  <c r="H12" i="21"/>
  <c r="X12" i="21"/>
  <c r="O13" i="21"/>
  <c r="F14" i="21"/>
  <c r="V14" i="21"/>
  <c r="M15" i="21"/>
  <c r="D16" i="21"/>
  <c r="T16" i="21"/>
  <c r="K17" i="21"/>
  <c r="AA17" i="21"/>
  <c r="R18" i="21"/>
  <c r="I21" i="21"/>
  <c r="Y21" i="21"/>
  <c r="P22" i="21"/>
  <c r="G23" i="21"/>
  <c r="W23" i="21"/>
  <c r="N24" i="21"/>
  <c r="E25" i="21"/>
  <c r="U25" i="21"/>
  <c r="L26" i="21"/>
  <c r="C27" i="21"/>
  <c r="S27" i="21"/>
  <c r="J28" i="21"/>
  <c r="Z28" i="21"/>
  <c r="Q29" i="21"/>
  <c r="H30" i="21"/>
  <c r="X30" i="21"/>
  <c r="O31" i="21"/>
  <c r="F32" i="21"/>
  <c r="V32" i="21"/>
  <c r="M33" i="21"/>
  <c r="D34" i="21"/>
  <c r="T34" i="21"/>
  <c r="K35" i="21"/>
  <c r="AA35" i="21"/>
  <c r="R36" i="21"/>
  <c r="I37" i="21"/>
  <c r="Y37" i="21"/>
  <c r="P40" i="21"/>
  <c r="G41" i="21"/>
  <c r="W41" i="21"/>
  <c r="N42" i="21"/>
  <c r="E43" i="21"/>
  <c r="U43" i="21"/>
  <c r="L44" i="21"/>
  <c r="C45" i="21"/>
  <c r="S45" i="21"/>
  <c r="J46" i="21"/>
  <c r="Z46" i="21"/>
  <c r="Q47" i="21"/>
  <c r="H48" i="21"/>
  <c r="X48" i="21"/>
  <c r="O49" i="21"/>
  <c r="F50" i="21"/>
  <c r="V50" i="21"/>
  <c r="M52" i="21"/>
  <c r="D54" i="21"/>
  <c r="T54" i="21"/>
  <c r="K58" i="21"/>
  <c r="AA58" i="21"/>
  <c r="R59" i="21"/>
  <c r="I60" i="21"/>
  <c r="Y60" i="21"/>
  <c r="P61" i="21"/>
  <c r="G62" i="21"/>
  <c r="W62" i="21"/>
  <c r="N63" i="21"/>
  <c r="E64" i="21"/>
  <c r="U64" i="21"/>
  <c r="L65" i="21"/>
  <c r="C66" i="21"/>
  <c r="S66" i="21"/>
  <c r="F7" i="21"/>
  <c r="V7" i="21"/>
  <c r="M8" i="21"/>
  <c r="D9" i="21"/>
  <c r="T9" i="21"/>
  <c r="K10" i="21"/>
  <c r="AA10" i="21"/>
  <c r="R11" i="21"/>
  <c r="I12" i="21"/>
  <c r="Y12" i="21"/>
  <c r="P13" i="21"/>
  <c r="G14" i="21"/>
  <c r="W14" i="21"/>
  <c r="N15" i="21"/>
  <c r="E16" i="21"/>
  <c r="U16" i="21"/>
  <c r="L17" i="21"/>
  <c r="C18" i="21"/>
  <c r="S18" i="21"/>
  <c r="J21" i="21"/>
  <c r="Z21" i="21"/>
  <c r="Q22" i="21"/>
  <c r="H23" i="21"/>
  <c r="X23" i="21"/>
  <c r="O24" i="21"/>
  <c r="F25" i="21"/>
  <c r="V25" i="21"/>
  <c r="M26" i="21"/>
  <c r="D27" i="21"/>
  <c r="T27" i="21"/>
  <c r="K28" i="21"/>
  <c r="AA28" i="21"/>
  <c r="R29" i="21"/>
  <c r="I30" i="21"/>
  <c r="Y30" i="21"/>
  <c r="P31" i="21"/>
  <c r="G32" i="21"/>
  <c r="W32" i="21"/>
  <c r="N33" i="21"/>
  <c r="E34" i="21"/>
  <c r="U34" i="21"/>
  <c r="L35" i="21"/>
  <c r="C36" i="21"/>
  <c r="S36" i="21"/>
  <c r="J37" i="21"/>
  <c r="Z37" i="21"/>
  <c r="Q40" i="21"/>
  <c r="H41" i="21"/>
  <c r="X41" i="21"/>
  <c r="O42" i="21"/>
  <c r="F43" i="21"/>
  <c r="V43" i="21"/>
  <c r="M44" i="21"/>
  <c r="D45" i="21"/>
  <c r="T45" i="21"/>
  <c r="K46" i="21"/>
  <c r="AA46" i="21"/>
  <c r="R47" i="21"/>
  <c r="I48" i="21"/>
  <c r="Y48" i="21"/>
  <c r="P49" i="21"/>
  <c r="G50" i="21"/>
  <c r="W50" i="21"/>
  <c r="N52" i="21"/>
  <c r="E54" i="21"/>
  <c r="U54" i="21"/>
  <c r="L58" i="21"/>
  <c r="C59" i="21"/>
  <c r="S59" i="21"/>
  <c r="J60" i="21"/>
  <c r="Z60" i="21"/>
  <c r="Q61" i="21"/>
  <c r="H62" i="21"/>
  <c r="X62" i="21"/>
  <c r="O63" i="21"/>
  <c r="F64" i="21"/>
  <c r="V64" i="21"/>
  <c r="M65" i="21"/>
  <c r="D66" i="21"/>
  <c r="T66" i="21"/>
  <c r="G7" i="21"/>
  <c r="W7" i="21"/>
  <c r="N8" i="21"/>
  <c r="E9" i="21"/>
  <c r="U9" i="21"/>
  <c r="L10" i="21"/>
  <c r="C11" i="21"/>
  <c r="S11" i="21"/>
  <c r="J12" i="21"/>
  <c r="Z12" i="21"/>
  <c r="Q13" i="21"/>
  <c r="H14" i="21"/>
  <c r="X14" i="21"/>
  <c r="O15" i="21"/>
  <c r="F16" i="21"/>
  <c r="V16" i="21"/>
  <c r="M17" i="21"/>
  <c r="D18" i="21"/>
  <c r="T18" i="21"/>
  <c r="K21" i="21"/>
  <c r="AA21" i="21"/>
  <c r="R22" i="21"/>
  <c r="I23" i="21"/>
  <c r="Y23" i="21"/>
  <c r="P24" i="21"/>
  <c r="G25" i="21"/>
  <c r="W25" i="21"/>
  <c r="N26" i="21"/>
  <c r="E27" i="21"/>
  <c r="U27" i="21"/>
  <c r="L28" i="21"/>
  <c r="C29" i="21"/>
  <c r="S29" i="21"/>
  <c r="J30" i="21"/>
  <c r="Z30" i="21"/>
  <c r="Q31" i="21"/>
  <c r="H32" i="21"/>
  <c r="X32" i="21"/>
  <c r="O33" i="21"/>
  <c r="F34" i="21"/>
  <c r="V34" i="21"/>
  <c r="M35" i="21"/>
  <c r="D36" i="21"/>
  <c r="T36" i="21"/>
  <c r="K37" i="21"/>
  <c r="AA37" i="21"/>
  <c r="R40" i="21"/>
  <c r="I41" i="21"/>
  <c r="Y41" i="21"/>
  <c r="P42" i="21"/>
  <c r="G43" i="21"/>
  <c r="W43" i="21"/>
  <c r="N44" i="21"/>
  <c r="E45" i="21"/>
  <c r="U45" i="21"/>
  <c r="L46" i="21"/>
  <c r="C47" i="21"/>
  <c r="S47" i="21"/>
  <c r="J48" i="21"/>
  <c r="Z48" i="21"/>
  <c r="Q49" i="21"/>
  <c r="H50" i="21"/>
  <c r="X50" i="21"/>
  <c r="O52" i="21"/>
  <c r="F54" i="21"/>
  <c r="V54" i="21"/>
  <c r="M58" i="21"/>
  <c r="D59" i="21"/>
  <c r="T59" i="21"/>
  <c r="K60" i="21"/>
  <c r="AA60" i="21"/>
  <c r="R61" i="21"/>
  <c r="I62" i="21"/>
  <c r="Y62" i="21"/>
  <c r="P63" i="21"/>
  <c r="G64" i="21"/>
  <c r="W64" i="21"/>
  <c r="N65" i="21"/>
  <c r="E66" i="21"/>
  <c r="U66" i="21"/>
  <c r="H7" i="21"/>
  <c r="X7" i="21"/>
  <c r="O8" i="21"/>
  <c r="F9" i="21"/>
  <c r="V9" i="21"/>
  <c r="M10" i="21"/>
  <c r="D11" i="21"/>
  <c r="T11" i="21"/>
  <c r="K12" i="21"/>
  <c r="AA12" i="21"/>
  <c r="R13" i="21"/>
  <c r="I14" i="21"/>
  <c r="Y14" i="21"/>
  <c r="P15" i="21"/>
  <c r="G16" i="21"/>
  <c r="W16" i="21"/>
  <c r="N17" i="21"/>
  <c r="E18" i="21"/>
  <c r="U18" i="21"/>
  <c r="L21" i="21"/>
  <c r="C22" i="21"/>
  <c r="S22" i="21"/>
  <c r="J23" i="21"/>
  <c r="Z23" i="21"/>
  <c r="Q24" i="21"/>
  <c r="H25" i="21"/>
  <c r="X25" i="21"/>
  <c r="O26" i="21"/>
  <c r="F27" i="21"/>
  <c r="V27" i="21"/>
  <c r="M28" i="21"/>
  <c r="D29" i="21"/>
  <c r="T29" i="21"/>
  <c r="K30" i="21"/>
  <c r="AA30" i="21"/>
  <c r="R31" i="21"/>
  <c r="I32" i="21"/>
  <c r="Y32" i="21"/>
  <c r="P33" i="21"/>
  <c r="G34" i="21"/>
  <c r="W34" i="21"/>
  <c r="N35" i="21"/>
  <c r="E36" i="21"/>
  <c r="U36" i="21"/>
  <c r="L37" i="21"/>
  <c r="C40" i="21"/>
  <c r="S40" i="21"/>
  <c r="J41" i="21"/>
  <c r="Z41" i="21"/>
  <c r="Q42" i="21"/>
  <c r="H43" i="21"/>
  <c r="X43" i="21"/>
  <c r="O44" i="21"/>
  <c r="F45" i="21"/>
  <c r="V45" i="21"/>
  <c r="M46" i="21"/>
  <c r="D47" i="21"/>
  <c r="T47" i="21"/>
  <c r="K48" i="21"/>
  <c r="AA48" i="21"/>
  <c r="R49" i="21"/>
  <c r="I50" i="21"/>
  <c r="Y50" i="21"/>
  <c r="P52" i="21"/>
  <c r="G54" i="21"/>
  <c r="W54" i="21"/>
  <c r="N58" i="21"/>
  <c r="E59" i="21"/>
  <c r="U59" i="21"/>
  <c r="L60" i="21"/>
  <c r="C61" i="21"/>
  <c r="S61" i="21"/>
  <c r="J62" i="21"/>
  <c r="Z62" i="21"/>
  <c r="Q63" i="21"/>
  <c r="H64" i="21"/>
  <c r="X64" i="21"/>
  <c r="O65" i="21"/>
  <c r="F66" i="21"/>
  <c r="V66" i="21"/>
  <c r="I7" i="21"/>
  <c r="Y7" i="21"/>
  <c r="P8" i="21"/>
  <c r="G9" i="21"/>
  <c r="W9" i="21"/>
  <c r="N10" i="21"/>
  <c r="E11" i="21"/>
  <c r="U11" i="21"/>
  <c r="L12" i="21"/>
  <c r="C13" i="21"/>
  <c r="S13" i="21"/>
  <c r="J14" i="21"/>
  <c r="Z14" i="21"/>
  <c r="Q15" i="21"/>
  <c r="H16" i="21"/>
  <c r="X16" i="21"/>
  <c r="O17" i="21"/>
  <c r="F18" i="21"/>
  <c r="V18" i="21"/>
  <c r="M21" i="21"/>
  <c r="D22" i="21"/>
  <c r="T22" i="21"/>
  <c r="K23" i="21"/>
  <c r="AA23" i="21"/>
  <c r="R24" i="21"/>
  <c r="I25" i="21"/>
  <c r="Y25" i="21"/>
  <c r="P26" i="21"/>
  <c r="G27" i="21"/>
  <c r="W27" i="21"/>
  <c r="N28" i="21"/>
  <c r="E29" i="21"/>
  <c r="U29" i="21"/>
  <c r="L30" i="21"/>
  <c r="C31" i="21"/>
  <c r="S31" i="21"/>
  <c r="J32" i="21"/>
  <c r="Z32" i="21"/>
  <c r="Q33" i="21"/>
  <c r="H34" i="21"/>
  <c r="X34" i="21"/>
  <c r="O35" i="21"/>
  <c r="F36" i="21"/>
  <c r="V36" i="21"/>
  <c r="M37" i="21"/>
  <c r="D40" i="21"/>
  <c r="T40" i="21"/>
  <c r="K41" i="21"/>
  <c r="AA41" i="21"/>
  <c r="R42" i="21"/>
  <c r="I43" i="21"/>
  <c r="Y43" i="21"/>
  <c r="P44" i="21"/>
  <c r="G45" i="21"/>
  <c r="W45" i="21"/>
  <c r="N46" i="21"/>
  <c r="E47" i="21"/>
  <c r="U47" i="21"/>
  <c r="L48" i="21"/>
  <c r="C49" i="21"/>
  <c r="S49" i="21"/>
  <c r="J50" i="21"/>
  <c r="Z50" i="21"/>
  <c r="Q52" i="21"/>
  <c r="H54" i="21"/>
  <c r="X54" i="21"/>
  <c r="O58" i="21"/>
  <c r="F59" i="21"/>
  <c r="V59" i="21"/>
  <c r="M60" i="21"/>
  <c r="D61" i="21"/>
  <c r="T61" i="21"/>
  <c r="K62" i="21"/>
  <c r="AA62" i="21"/>
  <c r="R63" i="21"/>
  <c r="I64" i="21"/>
  <c r="Y64" i="21"/>
  <c r="P65" i="21"/>
  <c r="G66" i="21"/>
  <c r="W66" i="21"/>
  <c r="J7" i="21"/>
  <c r="Z7" i="21"/>
  <c r="Q8" i="21"/>
  <c r="H9" i="21"/>
  <c r="X9" i="21"/>
  <c r="O10" i="21"/>
  <c r="F11" i="21"/>
  <c r="V11" i="21"/>
  <c r="M12" i="21"/>
  <c r="D13" i="21"/>
  <c r="T13" i="21"/>
  <c r="K14" i="21"/>
  <c r="AA14" i="21"/>
  <c r="R15" i="21"/>
  <c r="I16" i="21"/>
  <c r="Y16" i="21"/>
  <c r="P17" i="21"/>
  <c r="G18" i="21"/>
  <c r="W18" i="21"/>
  <c r="N21" i="21"/>
  <c r="E22" i="21"/>
  <c r="U22" i="21"/>
  <c r="L23" i="21"/>
  <c r="C24" i="21"/>
  <c r="S24" i="21"/>
  <c r="J25" i="21"/>
  <c r="Z25" i="21"/>
  <c r="Q26" i="21"/>
  <c r="H27" i="21"/>
  <c r="X27" i="21"/>
  <c r="O28" i="21"/>
  <c r="F29" i="21"/>
  <c r="V29" i="21"/>
  <c r="M30" i="21"/>
  <c r="D31" i="21"/>
  <c r="T31" i="21"/>
  <c r="K32" i="21"/>
  <c r="AA32" i="21"/>
  <c r="R33" i="21"/>
  <c r="I34" i="21"/>
  <c r="Y34" i="21"/>
  <c r="P35" i="21"/>
  <c r="G36" i="21"/>
  <c r="W36" i="21"/>
  <c r="N37" i="21"/>
  <c r="E40" i="21"/>
  <c r="U40" i="21"/>
  <c r="L41" i="21"/>
  <c r="C42" i="21"/>
  <c r="S42" i="21"/>
  <c r="J43" i="21"/>
  <c r="Z43" i="21"/>
  <c r="Q44" i="21"/>
  <c r="H45" i="21"/>
  <c r="X45" i="21"/>
  <c r="O46" i="21"/>
  <c r="F47" i="21"/>
  <c r="V47" i="21"/>
  <c r="M48" i="21"/>
  <c r="D49" i="21"/>
  <c r="T49" i="21"/>
  <c r="K50" i="21"/>
  <c r="AA50" i="21"/>
  <c r="R52" i="21"/>
  <c r="I54" i="21"/>
  <c r="Y54" i="21"/>
  <c r="P58" i="21"/>
  <c r="G59" i="21"/>
  <c r="W59" i="21"/>
  <c r="N60" i="21"/>
  <c r="E61" i="21"/>
  <c r="U61" i="21"/>
  <c r="L62" i="21"/>
  <c r="C63" i="21"/>
  <c r="S63" i="21"/>
  <c r="J64" i="21"/>
  <c r="Z64" i="21"/>
  <c r="Q65" i="21"/>
  <c r="H66" i="21"/>
  <c r="X66" i="21"/>
  <c r="N47" i="21"/>
  <c r="K7" i="21"/>
  <c r="AA7" i="21"/>
  <c r="R8" i="21"/>
  <c r="I9" i="21"/>
  <c r="Y9" i="21"/>
  <c r="P10" i="21"/>
  <c r="G11" i="21"/>
  <c r="W11" i="21"/>
  <c r="N12" i="21"/>
  <c r="E13" i="21"/>
  <c r="U13" i="21"/>
  <c r="L14" i="21"/>
  <c r="C15" i="21"/>
  <c r="S15" i="21"/>
  <c r="J16" i="21"/>
  <c r="Z16" i="21"/>
  <c r="Q17" i="21"/>
  <c r="H18" i="21"/>
  <c r="X18" i="21"/>
  <c r="O21" i="21"/>
  <c r="F22" i="21"/>
  <c r="V22" i="21"/>
  <c r="M23" i="21"/>
  <c r="D24" i="21"/>
  <c r="T24" i="21"/>
  <c r="K25" i="21"/>
  <c r="AA25" i="21"/>
  <c r="R26" i="21"/>
  <c r="I27" i="21"/>
  <c r="Y27" i="21"/>
  <c r="P28" i="21"/>
  <c r="G29" i="21"/>
  <c r="W29" i="21"/>
  <c r="N30" i="21"/>
  <c r="E31" i="21"/>
  <c r="U31" i="21"/>
  <c r="L32" i="21"/>
  <c r="C33" i="21"/>
  <c r="S33" i="21"/>
  <c r="J34" i="21"/>
  <c r="Z34" i="21"/>
  <c r="Q35" i="21"/>
  <c r="H36" i="21"/>
  <c r="X36" i="21"/>
  <c r="O37" i="21"/>
  <c r="F40" i="21"/>
  <c r="V40" i="21"/>
  <c r="M41" i="21"/>
  <c r="D42" i="21"/>
  <c r="T42" i="21"/>
  <c r="K43" i="21"/>
  <c r="AA43" i="21"/>
  <c r="R44" i="21"/>
  <c r="I45" i="21"/>
  <c r="Y45" i="21"/>
  <c r="P46" i="21"/>
  <c r="G47" i="21"/>
  <c r="W47" i="21"/>
  <c r="N48" i="21"/>
  <c r="E49" i="21"/>
  <c r="U49" i="21"/>
  <c r="L50" i="21"/>
  <c r="C52" i="21"/>
  <c r="S52" i="21"/>
  <c r="J54" i="21"/>
  <c r="Z54" i="21"/>
  <c r="Q58" i="21"/>
  <c r="H59" i="21"/>
  <c r="X59" i="21"/>
  <c r="O60" i="21"/>
  <c r="F61" i="21"/>
  <c r="V61" i="21"/>
  <c r="M62" i="21"/>
  <c r="D63" i="21"/>
  <c r="T63" i="21"/>
  <c r="K64" i="21"/>
  <c r="AA64" i="21"/>
  <c r="R65" i="21"/>
  <c r="I66" i="21"/>
  <c r="Y66" i="21"/>
  <c r="P9" i="21"/>
  <c r="L7" i="21"/>
  <c r="C8" i="21"/>
  <c r="S8" i="21"/>
  <c r="J9" i="21"/>
  <c r="Z9" i="21"/>
  <c r="Q10" i="21"/>
  <c r="H11" i="21"/>
  <c r="X11" i="21"/>
  <c r="O12" i="21"/>
  <c r="F13" i="21"/>
  <c r="V13" i="21"/>
  <c r="M14" i="21"/>
  <c r="D15" i="21"/>
  <c r="T15" i="21"/>
  <c r="K16" i="21"/>
  <c r="AA16" i="21"/>
  <c r="R17" i="21"/>
  <c r="I18" i="21"/>
  <c r="Y18" i="21"/>
  <c r="P21" i="21"/>
  <c r="G22" i="21"/>
  <c r="W22" i="21"/>
  <c r="N23" i="21"/>
  <c r="E24" i="21"/>
  <c r="U24" i="21"/>
  <c r="L25" i="21"/>
  <c r="C26" i="21"/>
  <c r="S26" i="21"/>
  <c r="J27" i="21"/>
  <c r="Z27" i="21"/>
  <c r="Q28" i="21"/>
  <c r="H29" i="21"/>
  <c r="X29" i="21"/>
  <c r="O30" i="21"/>
  <c r="F31" i="21"/>
  <c r="V31" i="21"/>
  <c r="M32" i="21"/>
  <c r="D33" i="21"/>
  <c r="T33" i="21"/>
  <c r="K34" i="21"/>
  <c r="AA34" i="21"/>
  <c r="R35" i="21"/>
  <c r="I36" i="21"/>
  <c r="Y36" i="21"/>
  <c r="P37" i="21"/>
  <c r="G40" i="21"/>
  <c r="W40" i="21"/>
  <c r="N41" i="21"/>
  <c r="E42" i="21"/>
  <c r="U42" i="21"/>
  <c r="L43" i="21"/>
  <c r="C44" i="21"/>
  <c r="S44" i="21"/>
  <c r="J45" i="21"/>
  <c r="Z45" i="21"/>
  <c r="Q46" i="21"/>
  <c r="H47" i="21"/>
  <c r="X47" i="21"/>
  <c r="O48" i="21"/>
  <c r="F49" i="21"/>
  <c r="V49" i="21"/>
  <c r="M50" i="21"/>
  <c r="D52" i="21"/>
  <c r="T52" i="21"/>
  <c r="K54" i="21"/>
  <c r="AA54" i="21"/>
  <c r="R58" i="21"/>
  <c r="I59" i="21"/>
  <c r="Y59" i="21"/>
  <c r="P60" i="21"/>
  <c r="G61" i="21"/>
  <c r="W61" i="21"/>
  <c r="N62" i="21"/>
  <c r="E63" i="21"/>
  <c r="U63" i="21"/>
  <c r="L64" i="21"/>
  <c r="C65" i="21"/>
  <c r="S65" i="21"/>
  <c r="J66" i="21"/>
  <c r="Z66" i="21"/>
  <c r="W10" i="21"/>
  <c r="M7" i="21"/>
  <c r="D8" i="21"/>
  <c r="T8" i="21"/>
  <c r="K9" i="21"/>
  <c r="AA9" i="21"/>
  <c r="R10" i="21"/>
  <c r="I11" i="21"/>
  <c r="Y11" i="21"/>
  <c r="P12" i="21"/>
  <c r="G13" i="21"/>
  <c r="W13" i="21"/>
  <c r="N14" i="21"/>
  <c r="E15" i="21"/>
  <c r="U15" i="21"/>
  <c r="L16" i="21"/>
  <c r="C17" i="21"/>
  <c r="S17" i="21"/>
  <c r="J18" i="21"/>
  <c r="Z18" i="21"/>
  <c r="Q21" i="21"/>
  <c r="H22" i="21"/>
  <c r="X22" i="21"/>
  <c r="O23" i="21"/>
  <c r="F24" i="21"/>
  <c r="V24" i="21"/>
  <c r="M25" i="21"/>
  <c r="D26" i="21"/>
  <c r="T26" i="21"/>
  <c r="K27" i="21"/>
  <c r="AA27" i="21"/>
  <c r="R28" i="21"/>
  <c r="I29" i="21"/>
  <c r="Y29" i="21"/>
  <c r="P30" i="21"/>
  <c r="G31" i="21"/>
  <c r="W31" i="21"/>
  <c r="N32" i="21"/>
  <c r="E33" i="21"/>
  <c r="U33" i="21"/>
  <c r="L34" i="21"/>
  <c r="C35" i="21"/>
  <c r="S35" i="21"/>
  <c r="J36" i="21"/>
  <c r="Z36" i="21"/>
  <c r="Q37" i="21"/>
  <c r="H40" i="21"/>
  <c r="X40" i="21"/>
  <c r="O41" i="21"/>
  <c r="F42" i="21"/>
  <c r="V42" i="21"/>
  <c r="M43" i="21"/>
  <c r="D44" i="21"/>
  <c r="T44" i="21"/>
  <c r="K45" i="21"/>
  <c r="AA45" i="21"/>
  <c r="R46" i="21"/>
  <c r="I47" i="21"/>
  <c r="Y47" i="21"/>
  <c r="P48" i="21"/>
  <c r="G49" i="21"/>
  <c r="W49" i="21"/>
  <c r="N50" i="21"/>
  <c r="E52" i="21"/>
  <c r="U52" i="21"/>
  <c r="L54" i="21"/>
  <c r="C58" i="21"/>
  <c r="S58" i="21"/>
  <c r="J59" i="21"/>
  <c r="Z59" i="21"/>
  <c r="Q60" i="21"/>
  <c r="H61" i="21"/>
  <c r="X61" i="21"/>
  <c r="O62" i="21"/>
  <c r="F63" i="21"/>
  <c r="V63" i="21"/>
  <c r="M64" i="21"/>
  <c r="D65" i="21"/>
  <c r="T65" i="21"/>
  <c r="K66" i="21"/>
  <c r="AA66" i="21"/>
  <c r="G10" i="21"/>
  <c r="N7" i="21"/>
  <c r="E8" i="21"/>
  <c r="U8" i="21"/>
  <c r="L9" i="21"/>
  <c r="C10" i="21"/>
  <c r="S10" i="21"/>
  <c r="J11" i="21"/>
  <c r="Z11" i="21"/>
  <c r="Q12" i="21"/>
  <c r="H13" i="21"/>
  <c r="X13" i="21"/>
  <c r="O14" i="21"/>
  <c r="F15" i="21"/>
  <c r="V15" i="21"/>
  <c r="M16" i="21"/>
  <c r="D17" i="21"/>
  <c r="T17" i="21"/>
  <c r="K18" i="21"/>
  <c r="AA18" i="21"/>
  <c r="R21" i="21"/>
  <c r="I22" i="21"/>
  <c r="Y22" i="21"/>
  <c r="P23" i="21"/>
  <c r="G24" i="21"/>
  <c r="W24" i="21"/>
  <c r="N25" i="21"/>
  <c r="E26" i="21"/>
  <c r="U26" i="21"/>
  <c r="L27" i="21"/>
  <c r="C28" i="21"/>
  <c r="S28" i="21"/>
  <c r="J29" i="21"/>
  <c r="Z29" i="21"/>
  <c r="Q30" i="21"/>
  <c r="H31" i="21"/>
  <c r="X31" i="21"/>
  <c r="O32" i="21"/>
  <c r="F33" i="21"/>
  <c r="V33" i="21"/>
  <c r="M34" i="21"/>
  <c r="D35" i="21"/>
  <c r="T35" i="21"/>
  <c r="K36" i="21"/>
  <c r="AA36" i="21"/>
  <c r="R37" i="21"/>
  <c r="I40" i="21"/>
  <c r="Y40" i="21"/>
  <c r="P41" i="21"/>
  <c r="G42" i="21"/>
  <c r="W42" i="21"/>
  <c r="N43" i="21"/>
  <c r="E44" i="21"/>
  <c r="U44" i="21"/>
  <c r="L45" i="21"/>
  <c r="C46" i="21"/>
  <c r="S46" i="21"/>
  <c r="J47" i="21"/>
  <c r="Z47" i="21"/>
  <c r="Q48" i="21"/>
  <c r="H49" i="21"/>
  <c r="X49" i="21"/>
  <c r="O50" i="21"/>
  <c r="F52" i="21"/>
  <c r="V52" i="21"/>
  <c r="M54" i="21"/>
  <c r="D58" i="21"/>
  <c r="T58" i="21"/>
  <c r="K59" i="21"/>
  <c r="AA59" i="21"/>
  <c r="R60" i="21"/>
  <c r="I61" i="21"/>
  <c r="Y61" i="21"/>
  <c r="P62" i="21"/>
  <c r="G63" i="21"/>
  <c r="W63" i="21"/>
  <c r="N64" i="21"/>
  <c r="E65" i="21"/>
  <c r="U65" i="21"/>
  <c r="L66" i="21"/>
  <c r="I8" i="21"/>
  <c r="O7" i="21"/>
  <c r="F8" i="21"/>
  <c r="V8" i="21"/>
  <c r="M9" i="21"/>
  <c r="D10" i="21"/>
  <c r="T10" i="21"/>
  <c r="K11" i="21"/>
  <c r="AA11" i="21"/>
  <c r="R12" i="21"/>
  <c r="I13" i="21"/>
  <c r="Y13" i="21"/>
  <c r="P14" i="21"/>
  <c r="G15" i="21"/>
  <c r="W15" i="21"/>
  <c r="N16" i="21"/>
  <c r="E17" i="21"/>
  <c r="U17" i="21"/>
  <c r="L18" i="21"/>
  <c r="C21" i="21"/>
  <c r="S21" i="21"/>
  <c r="J22" i="21"/>
  <c r="Z22" i="21"/>
  <c r="Q23" i="21"/>
  <c r="H24" i="21"/>
  <c r="X24" i="21"/>
  <c r="O25" i="21"/>
  <c r="F26" i="21"/>
  <c r="V26" i="21"/>
  <c r="M27" i="21"/>
  <c r="D28" i="21"/>
  <c r="T28" i="21"/>
  <c r="K29" i="21"/>
  <c r="AA29" i="21"/>
  <c r="R30" i="21"/>
  <c r="I31" i="21"/>
  <c r="Y31" i="21"/>
  <c r="P32" i="21"/>
  <c r="G33" i="21"/>
  <c r="W33" i="21"/>
  <c r="N34" i="21"/>
  <c r="E35" i="21"/>
  <c r="U35" i="21"/>
  <c r="L36" i="21"/>
  <c r="C37" i="21"/>
  <c r="S37" i="21"/>
  <c r="J40" i="21"/>
  <c r="Z40" i="21"/>
  <c r="Q41" i="21"/>
  <c r="H42" i="21"/>
  <c r="X42" i="21"/>
  <c r="O43" i="21"/>
  <c r="F44" i="21"/>
  <c r="V44" i="21"/>
  <c r="M45" i="21"/>
  <c r="D46" i="21"/>
  <c r="T46" i="21"/>
  <c r="K47" i="21"/>
  <c r="AA47" i="21"/>
  <c r="R48" i="21"/>
  <c r="I49" i="21"/>
  <c r="Y49" i="21"/>
  <c r="P50" i="21"/>
  <c r="G52" i="21"/>
  <c r="W52" i="21"/>
  <c r="N54" i="21"/>
  <c r="E58" i="21"/>
  <c r="U58" i="21"/>
  <c r="L59" i="21"/>
  <c r="C60" i="21"/>
  <c r="S60" i="21"/>
  <c r="J61" i="21"/>
  <c r="Z61" i="21"/>
  <c r="Q62" i="21"/>
  <c r="H63" i="21"/>
  <c r="X63" i="21"/>
  <c r="O64" i="21"/>
  <c r="F65" i="21"/>
  <c r="V65" i="21"/>
  <c r="M66" i="21"/>
  <c r="Y8" i="21"/>
  <c r="P7" i="21"/>
  <c r="G8" i="21"/>
  <c r="W8" i="21"/>
  <c r="N9" i="21"/>
  <c r="E10" i="21"/>
  <c r="U10" i="21"/>
  <c r="L11" i="21"/>
  <c r="C12" i="21"/>
  <c r="S12" i="21"/>
  <c r="J13" i="21"/>
  <c r="Z13" i="21"/>
  <c r="Q14" i="21"/>
  <c r="H15" i="21"/>
  <c r="X15" i="21"/>
  <c r="O16" i="21"/>
  <c r="F17" i="21"/>
  <c r="V17" i="21"/>
  <c r="M18" i="21"/>
  <c r="D21" i="21"/>
  <c r="T21" i="21"/>
  <c r="K22" i="21"/>
  <c r="AA22" i="21"/>
  <c r="R23" i="21"/>
  <c r="I24" i="21"/>
  <c r="Y24" i="21"/>
  <c r="P25" i="21"/>
  <c r="G26" i="21"/>
  <c r="W26" i="21"/>
  <c r="N27" i="21"/>
  <c r="E28" i="21"/>
  <c r="U28" i="21"/>
  <c r="L29" i="21"/>
  <c r="C30" i="21"/>
  <c r="S30" i="21"/>
  <c r="J31" i="21"/>
  <c r="Z31" i="21"/>
  <c r="Q32" i="21"/>
  <c r="H33" i="21"/>
  <c r="X33" i="21"/>
  <c r="O34" i="21"/>
  <c r="F35" i="21"/>
  <c r="V35" i="21"/>
  <c r="M36" i="21"/>
  <c r="D37" i="21"/>
  <c r="T37" i="21"/>
  <c r="K40" i="21"/>
  <c r="AA40" i="21"/>
  <c r="R41" i="21"/>
  <c r="I42" i="21"/>
  <c r="Y42" i="21"/>
  <c r="P43" i="21"/>
  <c r="G44" i="21"/>
  <c r="W44" i="21"/>
  <c r="N45" i="21"/>
  <c r="E46" i="21"/>
  <c r="U46" i="21"/>
  <c r="L47" i="21"/>
  <c r="C48" i="21"/>
  <c r="S48" i="21"/>
  <c r="J49" i="21"/>
  <c r="Z49" i="21"/>
  <c r="Q50" i="21"/>
  <c r="H52" i="21"/>
  <c r="X52" i="21"/>
  <c r="O54" i="21"/>
  <c r="F58" i="21"/>
  <c r="V58" i="21"/>
  <c r="M59" i="21"/>
  <c r="D60" i="21"/>
  <c r="T60" i="21"/>
  <c r="K61" i="21"/>
  <c r="AA61" i="21"/>
  <c r="R62" i="21"/>
  <c r="I63" i="21"/>
  <c r="Y63" i="21"/>
  <c r="P64" i="21"/>
  <c r="G65" i="21"/>
  <c r="W65" i="21"/>
  <c r="N66" i="21"/>
  <c r="N11" i="21"/>
  <c r="Q7" i="21"/>
  <c r="H8" i="21"/>
  <c r="X8" i="21"/>
  <c r="O9" i="21"/>
  <c r="F10" i="21"/>
  <c r="V10" i="21"/>
  <c r="M11" i="21"/>
  <c r="D12" i="21"/>
  <c r="T12" i="21"/>
  <c r="K13" i="21"/>
  <c r="AA13" i="21"/>
  <c r="R14" i="21"/>
  <c r="I15" i="21"/>
  <c r="Y15" i="21"/>
  <c r="P16" i="21"/>
  <c r="G17" i="21"/>
  <c r="W17" i="21"/>
  <c r="N18" i="21"/>
  <c r="E21" i="21"/>
  <c r="U21" i="21"/>
  <c r="L22" i="21"/>
  <c r="C23" i="21"/>
  <c r="S23" i="21"/>
  <c r="J24" i="21"/>
  <c r="Z24" i="21"/>
  <c r="Q25" i="21"/>
  <c r="H26" i="21"/>
  <c r="X26" i="21"/>
  <c r="O27" i="21"/>
  <c r="F28" i="21"/>
  <c r="V28" i="21"/>
  <c r="M29" i="21"/>
  <c r="D30" i="21"/>
  <c r="T30" i="21"/>
  <c r="K31" i="21"/>
  <c r="AA31" i="21"/>
  <c r="R32" i="21"/>
  <c r="I33" i="21"/>
  <c r="Y33" i="21"/>
  <c r="P34" i="21"/>
  <c r="G35" i="21"/>
  <c r="W35" i="21"/>
  <c r="N36" i="21"/>
  <c r="E37" i="21"/>
  <c r="U37" i="21"/>
  <c r="L40" i="21"/>
  <c r="C41" i="21"/>
  <c r="S41" i="21"/>
  <c r="J42" i="21"/>
  <c r="Z42" i="21"/>
  <c r="Q43" i="21"/>
  <c r="H44" i="21"/>
  <c r="X44" i="21"/>
  <c r="O45" i="21"/>
  <c r="F46" i="21"/>
  <c r="V46" i="21"/>
  <c r="M47" i="21"/>
  <c r="D48" i="21"/>
  <c r="T48" i="21"/>
  <c r="K49" i="21"/>
  <c r="AA49" i="21"/>
  <c r="R50" i="21"/>
  <c r="I52" i="21"/>
  <c r="Y52" i="21"/>
  <c r="P54" i="21"/>
  <c r="G58" i="21"/>
  <c r="W58" i="21"/>
  <c r="N59" i="21"/>
  <c r="E60" i="21"/>
  <c r="U60" i="21"/>
  <c r="L61" i="21"/>
  <c r="C62" i="21"/>
  <c r="S62" i="21"/>
  <c r="J63" i="21"/>
  <c r="Z63" i="21"/>
  <c r="Q64" i="21"/>
  <c r="H65" i="21"/>
  <c r="X65" i="21"/>
  <c r="O66" i="21"/>
  <c r="R7" i="21"/>
  <c r="E12" i="21"/>
  <c r="U12" i="21"/>
  <c r="L13" i="21"/>
  <c r="C14" i="21"/>
  <c r="S14" i="21"/>
  <c r="J15" i="21"/>
  <c r="Z15" i="21"/>
  <c r="Q16" i="21"/>
  <c r="H17" i="21"/>
  <c r="X17" i="21"/>
  <c r="O18" i="21"/>
  <c r="F21" i="21"/>
  <c r="V21" i="21"/>
  <c r="M22" i="21"/>
  <c r="D23" i="21"/>
  <c r="T23" i="21"/>
  <c r="K24" i="21"/>
  <c r="AA24" i="21"/>
  <c r="R25" i="21"/>
  <c r="I26" i="21"/>
  <c r="Y26" i="21"/>
  <c r="P27" i="21"/>
  <c r="G28" i="21"/>
  <c r="W28" i="21"/>
  <c r="N29" i="21"/>
  <c r="E30" i="21"/>
  <c r="U30" i="21"/>
  <c r="L31" i="21"/>
  <c r="C32" i="21"/>
  <c r="S32" i="21"/>
  <c r="J33" i="21"/>
  <c r="Z33" i="21"/>
  <c r="Q34" i="21"/>
  <c r="H35" i="21"/>
  <c r="X35" i="21"/>
  <c r="O36" i="21"/>
  <c r="F37" i="21"/>
  <c r="V37" i="21"/>
  <c r="M40" i="21"/>
  <c r="D41" i="21"/>
  <c r="T41" i="21"/>
  <c r="K42" i="21"/>
  <c r="AA42" i="21"/>
  <c r="R43" i="21"/>
  <c r="I44" i="21"/>
  <c r="Y44" i="21"/>
  <c r="P45" i="21"/>
  <c r="G46" i="21"/>
  <c r="W46" i="21"/>
  <c r="E48" i="21"/>
  <c r="U48" i="21"/>
  <c r="L49" i="21"/>
  <c r="C50" i="21"/>
  <c r="S50" i="21"/>
  <c r="J52" i="21"/>
  <c r="Z52" i="21"/>
  <c r="Q54" i="21"/>
  <c r="H58" i="21"/>
  <c r="X58" i="21"/>
  <c r="O59" i="21"/>
  <c r="F60" i="21"/>
  <c r="V60" i="21"/>
  <c r="M61" i="21"/>
  <c r="D62" i="21"/>
  <c r="T62" i="21"/>
  <c r="K63" i="21"/>
  <c r="AA63" i="21"/>
  <c r="R64" i="21"/>
  <c r="I65" i="21"/>
  <c r="Y65" i="21"/>
  <c r="P66" i="21"/>
  <c r="C6" i="20"/>
  <c r="S6" i="20"/>
  <c r="J7" i="20"/>
  <c r="Z7" i="20"/>
  <c r="Q8" i="20"/>
  <c r="H9" i="20"/>
  <c r="X9" i="20"/>
  <c r="O11" i="20"/>
  <c r="F12" i="20"/>
  <c r="V12" i="20"/>
  <c r="M13" i="20"/>
  <c r="D14" i="20"/>
  <c r="T14" i="20"/>
  <c r="K16" i="20"/>
  <c r="AA16" i="20"/>
  <c r="R17" i="20"/>
  <c r="I18" i="20"/>
  <c r="Y18" i="20"/>
  <c r="P19" i="20"/>
  <c r="G21" i="20"/>
  <c r="W21" i="20"/>
  <c r="N22" i="20"/>
  <c r="E23" i="20"/>
  <c r="U23" i="20"/>
  <c r="L24" i="20"/>
  <c r="Z16" i="20"/>
  <c r="D6" i="20"/>
  <c r="T6" i="20"/>
  <c r="K7" i="20"/>
  <c r="AA7" i="20"/>
  <c r="R8" i="20"/>
  <c r="I9" i="20"/>
  <c r="Y9" i="20"/>
  <c r="P11" i="20"/>
  <c r="G12" i="20"/>
  <c r="W12" i="20"/>
  <c r="N13" i="20"/>
  <c r="E14" i="20"/>
  <c r="U14" i="20"/>
  <c r="L16" i="20"/>
  <c r="C17" i="20"/>
  <c r="S17" i="20"/>
  <c r="J18" i="20"/>
  <c r="Z18" i="20"/>
  <c r="Q19" i="20"/>
  <c r="H21" i="20"/>
  <c r="X21" i="20"/>
  <c r="O22" i="20"/>
  <c r="F23" i="20"/>
  <c r="V23" i="20"/>
  <c r="M24" i="20"/>
  <c r="J16" i="20"/>
  <c r="E6" i="20"/>
  <c r="U6" i="20"/>
  <c r="L7" i="20"/>
  <c r="C8" i="20"/>
  <c r="S8" i="20"/>
  <c r="J9" i="20"/>
  <c r="Z9" i="20"/>
  <c r="Q11" i="20"/>
  <c r="H12" i="20"/>
  <c r="X12" i="20"/>
  <c r="O13" i="20"/>
  <c r="F14" i="20"/>
  <c r="V14" i="20"/>
  <c r="M16" i="20"/>
  <c r="D17" i="20"/>
  <c r="T17" i="20"/>
  <c r="K18" i="20"/>
  <c r="AA18" i="20"/>
  <c r="R19" i="20"/>
  <c r="I21" i="20"/>
  <c r="Y21" i="20"/>
  <c r="P22" i="20"/>
  <c r="G23" i="20"/>
  <c r="W23" i="20"/>
  <c r="N24" i="20"/>
  <c r="C14" i="20"/>
  <c r="F21" i="20"/>
  <c r="M22" i="20"/>
  <c r="T23" i="20"/>
  <c r="F6" i="20"/>
  <c r="V6" i="20"/>
  <c r="M7" i="20"/>
  <c r="D8" i="20"/>
  <c r="T8" i="20"/>
  <c r="K9" i="20"/>
  <c r="AA9" i="20"/>
  <c r="R11" i="20"/>
  <c r="I12" i="20"/>
  <c r="Y12" i="20"/>
  <c r="P13" i="20"/>
  <c r="G14" i="20"/>
  <c r="W14" i="20"/>
  <c r="N16" i="20"/>
  <c r="E17" i="20"/>
  <c r="U17" i="20"/>
  <c r="L18" i="20"/>
  <c r="C19" i="20"/>
  <c r="S19" i="20"/>
  <c r="J21" i="20"/>
  <c r="Z21" i="20"/>
  <c r="Q22" i="20"/>
  <c r="H23" i="20"/>
  <c r="X23" i="20"/>
  <c r="O24" i="20"/>
  <c r="E12" i="20"/>
  <c r="K24" i="20"/>
  <c r="G6" i="20"/>
  <c r="W6" i="20"/>
  <c r="N7" i="20"/>
  <c r="E8" i="20"/>
  <c r="U8" i="20"/>
  <c r="L9" i="20"/>
  <c r="C11" i="20"/>
  <c r="S11" i="20"/>
  <c r="J12" i="20"/>
  <c r="Z12" i="20"/>
  <c r="Q13" i="20"/>
  <c r="H14" i="20"/>
  <c r="X14" i="20"/>
  <c r="O16" i="20"/>
  <c r="F17" i="20"/>
  <c r="V17" i="20"/>
  <c r="M18" i="20"/>
  <c r="D19" i="20"/>
  <c r="T19" i="20"/>
  <c r="K21" i="20"/>
  <c r="AA21" i="20"/>
  <c r="R22" i="20"/>
  <c r="I23" i="20"/>
  <c r="Y23" i="20"/>
  <c r="P24" i="20"/>
  <c r="L13" i="20"/>
  <c r="O19" i="20"/>
  <c r="H6" i="20"/>
  <c r="X6" i="20"/>
  <c r="O7" i="20"/>
  <c r="F8" i="20"/>
  <c r="V8" i="20"/>
  <c r="M9" i="20"/>
  <c r="D11" i="20"/>
  <c r="T11" i="20"/>
  <c r="K12" i="20"/>
  <c r="AA12" i="20"/>
  <c r="R13" i="20"/>
  <c r="I14" i="20"/>
  <c r="Y14" i="20"/>
  <c r="P16" i="20"/>
  <c r="G17" i="20"/>
  <c r="W17" i="20"/>
  <c r="N18" i="20"/>
  <c r="E19" i="20"/>
  <c r="U19" i="20"/>
  <c r="L21" i="20"/>
  <c r="C22" i="20"/>
  <c r="S22" i="20"/>
  <c r="J23" i="20"/>
  <c r="Z23" i="20"/>
  <c r="Q24" i="20"/>
  <c r="U12" i="20"/>
  <c r="I6" i="20"/>
  <c r="Y6" i="20"/>
  <c r="P7" i="20"/>
  <c r="G8" i="20"/>
  <c r="W8" i="20"/>
  <c r="N9" i="20"/>
  <c r="E11" i="20"/>
  <c r="U11" i="20"/>
  <c r="L12" i="20"/>
  <c r="C13" i="20"/>
  <c r="S13" i="20"/>
  <c r="J14" i="20"/>
  <c r="Z14" i="20"/>
  <c r="Q16" i="20"/>
  <c r="H17" i="20"/>
  <c r="X17" i="20"/>
  <c r="O18" i="20"/>
  <c r="F19" i="20"/>
  <c r="V19" i="20"/>
  <c r="M21" i="20"/>
  <c r="D22" i="20"/>
  <c r="T22" i="20"/>
  <c r="K23" i="20"/>
  <c r="AA23" i="20"/>
  <c r="R24" i="20"/>
  <c r="P8" i="20"/>
  <c r="J6" i="20"/>
  <c r="Z6" i="20"/>
  <c r="Q7" i="20"/>
  <c r="H8" i="20"/>
  <c r="X8" i="20"/>
  <c r="O9" i="20"/>
  <c r="F11" i="20"/>
  <c r="V11" i="20"/>
  <c r="M12" i="20"/>
  <c r="D13" i="20"/>
  <c r="T13" i="20"/>
  <c r="K14" i="20"/>
  <c r="AA14" i="20"/>
  <c r="R16" i="20"/>
  <c r="I17" i="20"/>
  <c r="Y17" i="20"/>
  <c r="P18" i="20"/>
  <c r="G19" i="20"/>
  <c r="W19" i="20"/>
  <c r="N21" i="20"/>
  <c r="E22" i="20"/>
  <c r="U22" i="20"/>
  <c r="L23" i="20"/>
  <c r="C24" i="20"/>
  <c r="S24" i="20"/>
  <c r="G9" i="20"/>
  <c r="K6" i="20"/>
  <c r="AA6" i="20"/>
  <c r="R7" i="20"/>
  <c r="I8" i="20"/>
  <c r="Y8" i="20"/>
  <c r="P9" i="20"/>
  <c r="G11" i="20"/>
  <c r="W11" i="20"/>
  <c r="N12" i="20"/>
  <c r="E13" i="20"/>
  <c r="U13" i="20"/>
  <c r="L14" i="20"/>
  <c r="C16" i="20"/>
  <c r="S16" i="20"/>
  <c r="J17" i="20"/>
  <c r="Z17" i="20"/>
  <c r="Q18" i="20"/>
  <c r="H19" i="20"/>
  <c r="X19" i="20"/>
  <c r="O21" i="20"/>
  <c r="F22" i="20"/>
  <c r="V22" i="20"/>
  <c r="M23" i="20"/>
  <c r="D24" i="20"/>
  <c r="T24" i="20"/>
  <c r="I7" i="20"/>
  <c r="X18" i="20"/>
  <c r="D23" i="20"/>
  <c r="L6" i="20"/>
  <c r="C7" i="20"/>
  <c r="S7" i="20"/>
  <c r="J8" i="20"/>
  <c r="Z8" i="20"/>
  <c r="Q9" i="20"/>
  <c r="H11" i="20"/>
  <c r="X11" i="20"/>
  <c r="O12" i="20"/>
  <c r="F13" i="20"/>
  <c r="V13" i="20"/>
  <c r="M14" i="20"/>
  <c r="D16" i="20"/>
  <c r="T16" i="20"/>
  <c r="K17" i="20"/>
  <c r="AA17" i="20"/>
  <c r="R18" i="20"/>
  <c r="I19" i="20"/>
  <c r="Y19" i="20"/>
  <c r="P21" i="20"/>
  <c r="G22" i="20"/>
  <c r="W22" i="20"/>
  <c r="N23" i="20"/>
  <c r="E24" i="20"/>
  <c r="U24" i="20"/>
  <c r="Y7" i="20"/>
  <c r="M6" i="20"/>
  <c r="D7" i="20"/>
  <c r="T7" i="20"/>
  <c r="K8" i="20"/>
  <c r="AA8" i="20"/>
  <c r="R9" i="20"/>
  <c r="I11" i="20"/>
  <c r="Y11" i="20"/>
  <c r="P12" i="20"/>
  <c r="G13" i="20"/>
  <c r="W13" i="20"/>
  <c r="N14" i="20"/>
  <c r="E16" i="20"/>
  <c r="U16" i="20"/>
  <c r="L17" i="20"/>
  <c r="C18" i="20"/>
  <c r="S18" i="20"/>
  <c r="J19" i="20"/>
  <c r="Z19" i="20"/>
  <c r="Q21" i="20"/>
  <c r="H22" i="20"/>
  <c r="X22" i="20"/>
  <c r="O23" i="20"/>
  <c r="F24" i="20"/>
  <c r="V24" i="20"/>
  <c r="S14" i="20"/>
  <c r="N6" i="20"/>
  <c r="E7" i="20"/>
  <c r="U7" i="20"/>
  <c r="L8" i="20"/>
  <c r="C9" i="20"/>
  <c r="S9" i="20"/>
  <c r="J11" i="20"/>
  <c r="Z11" i="20"/>
  <c r="Q12" i="20"/>
  <c r="H13" i="20"/>
  <c r="X13" i="20"/>
  <c r="O14" i="20"/>
  <c r="F16" i="20"/>
  <c r="V16" i="20"/>
  <c r="M17" i="20"/>
  <c r="D18" i="20"/>
  <c r="T18" i="20"/>
  <c r="K19" i="20"/>
  <c r="AA19" i="20"/>
  <c r="R21" i="20"/>
  <c r="I22" i="20"/>
  <c r="Y22" i="20"/>
  <c r="P23" i="20"/>
  <c r="G24" i="20"/>
  <c r="W24" i="20"/>
  <c r="N11" i="20"/>
  <c r="O6" i="20"/>
  <c r="F7" i="20"/>
  <c r="V7" i="20"/>
  <c r="M8" i="20"/>
  <c r="D9" i="20"/>
  <c r="T9" i="20"/>
  <c r="K11" i="20"/>
  <c r="AA11" i="20"/>
  <c r="R12" i="20"/>
  <c r="I13" i="20"/>
  <c r="Y13" i="20"/>
  <c r="P14" i="20"/>
  <c r="G16" i="20"/>
  <c r="W16" i="20"/>
  <c r="N17" i="20"/>
  <c r="E18" i="20"/>
  <c r="U18" i="20"/>
  <c r="L19" i="20"/>
  <c r="C21" i="20"/>
  <c r="S21" i="20"/>
  <c r="J22" i="20"/>
  <c r="Z22" i="20"/>
  <c r="Q23" i="20"/>
  <c r="H24" i="20"/>
  <c r="X24" i="20"/>
  <c r="W9" i="20"/>
  <c r="H18" i="20"/>
  <c r="V21" i="20"/>
  <c r="AA24" i="20"/>
  <c r="P6" i="20"/>
  <c r="G7" i="20"/>
  <c r="W7" i="20"/>
  <c r="N8" i="20"/>
  <c r="E9" i="20"/>
  <c r="U9" i="20"/>
  <c r="L11" i="20"/>
  <c r="C12" i="20"/>
  <c r="S12" i="20"/>
  <c r="J13" i="20"/>
  <c r="Z13" i="20"/>
  <c r="Q14" i="20"/>
  <c r="H16" i="20"/>
  <c r="X16" i="20"/>
  <c r="O17" i="20"/>
  <c r="F18" i="20"/>
  <c r="V18" i="20"/>
  <c r="M19" i="20"/>
  <c r="D21" i="20"/>
  <c r="T21" i="20"/>
  <c r="K22" i="20"/>
  <c r="AA22" i="20"/>
  <c r="R23" i="20"/>
  <c r="I24" i="20"/>
  <c r="Y24" i="20"/>
  <c r="Q17" i="20"/>
  <c r="Q6" i="20"/>
  <c r="H7" i="20"/>
  <c r="X7" i="20"/>
  <c r="O8" i="20"/>
  <c r="F9" i="20"/>
  <c r="V9" i="20"/>
  <c r="M11" i="20"/>
  <c r="D12" i="20"/>
  <c r="T12" i="20"/>
  <c r="K13" i="20"/>
  <c r="AA13" i="20"/>
  <c r="R14" i="20"/>
  <c r="I16" i="20"/>
  <c r="Y16" i="20"/>
  <c r="P17" i="20"/>
  <c r="G18" i="20"/>
  <c r="W18" i="20"/>
  <c r="N19" i="20"/>
  <c r="E21" i="20"/>
  <c r="U21" i="20"/>
  <c r="L22" i="20"/>
  <c r="C23" i="20"/>
  <c r="S23" i="20"/>
  <c r="J24" i="20"/>
  <c r="Z24" i="20"/>
  <c r="R6" i="20"/>
  <c r="C6" i="19"/>
  <c r="S6" i="19"/>
  <c r="D6" i="19"/>
  <c r="T6" i="19"/>
  <c r="E6" i="19"/>
  <c r="U6" i="19"/>
  <c r="F6" i="19"/>
  <c r="V6" i="19"/>
  <c r="G6" i="19"/>
  <c r="W6" i="19"/>
  <c r="H6" i="19"/>
  <c r="X6" i="19"/>
  <c r="I6" i="19"/>
  <c r="Y6" i="19"/>
  <c r="J6" i="19"/>
  <c r="Z6" i="19"/>
  <c r="K6" i="19"/>
  <c r="AA6" i="19"/>
  <c r="L6" i="19"/>
  <c r="M6" i="19"/>
  <c r="N6" i="19"/>
  <c r="O6" i="19"/>
  <c r="P6" i="19"/>
  <c r="Q6" i="19"/>
  <c r="R6" i="19"/>
  <c r="C8" i="18"/>
  <c r="S8" i="18"/>
  <c r="J9" i="18"/>
  <c r="Z9" i="18"/>
  <c r="Q10" i="18"/>
  <c r="H11" i="18"/>
  <c r="X11" i="18"/>
  <c r="O12" i="18"/>
  <c r="F13" i="18"/>
  <c r="V13" i="18"/>
  <c r="M14" i="18"/>
  <c r="D16" i="18"/>
  <c r="T16" i="18"/>
  <c r="K17" i="18"/>
  <c r="AA17" i="18"/>
  <c r="R18" i="18"/>
  <c r="I19" i="18"/>
  <c r="Y19" i="18"/>
  <c r="P20" i="18"/>
  <c r="G21" i="18"/>
  <c r="W21" i="18"/>
  <c r="N22" i="18"/>
  <c r="E23" i="18"/>
  <c r="U23" i="18"/>
  <c r="L25" i="18"/>
  <c r="C26" i="18"/>
  <c r="S26" i="18"/>
  <c r="J27" i="18"/>
  <c r="Z27" i="18"/>
  <c r="Q28" i="18"/>
  <c r="H29" i="18"/>
  <c r="X29" i="18"/>
  <c r="O30" i="18"/>
  <c r="F31" i="18"/>
  <c r="V31" i="18"/>
  <c r="M33" i="18"/>
  <c r="D34" i="18"/>
  <c r="T34" i="18"/>
  <c r="K35" i="18"/>
  <c r="AA35" i="18"/>
  <c r="R36" i="18"/>
  <c r="I37" i="18"/>
  <c r="Y37" i="18"/>
  <c r="P38" i="18"/>
  <c r="G39" i="18"/>
  <c r="W39" i="18"/>
  <c r="N40" i="18"/>
  <c r="E41" i="18"/>
  <c r="U41" i="18"/>
  <c r="L43" i="18"/>
  <c r="C44" i="18"/>
  <c r="S44" i="18"/>
  <c r="J45" i="18"/>
  <c r="Z45" i="18"/>
  <c r="Q46" i="18"/>
  <c r="H47" i="18"/>
  <c r="X47" i="18"/>
  <c r="O48" i="18"/>
  <c r="F49" i="18"/>
  <c r="V49" i="18"/>
  <c r="M50" i="18"/>
  <c r="D51" i="18"/>
  <c r="T51" i="18"/>
  <c r="K52" i="18"/>
  <c r="AA52" i="18"/>
  <c r="R53" i="18"/>
  <c r="I54" i="18"/>
  <c r="Y54" i="18"/>
  <c r="P55" i="18"/>
  <c r="G57" i="18"/>
  <c r="W57" i="18"/>
  <c r="N58" i="18"/>
  <c r="E59" i="18"/>
  <c r="U59" i="18"/>
  <c r="L60" i="18"/>
  <c r="C61" i="18"/>
  <c r="S61" i="18"/>
  <c r="J62" i="18"/>
  <c r="Z62" i="18"/>
  <c r="Q63" i="18"/>
  <c r="H64" i="18"/>
  <c r="X64" i="18"/>
  <c r="O65" i="18"/>
  <c r="F66" i="18"/>
  <c r="V66" i="18"/>
  <c r="M67" i="18"/>
  <c r="D68" i="18"/>
  <c r="T68" i="18"/>
  <c r="K69" i="18"/>
  <c r="D8" i="18"/>
  <c r="T8" i="18"/>
  <c r="K9" i="18"/>
  <c r="AA9" i="18"/>
  <c r="R10" i="18"/>
  <c r="I11" i="18"/>
  <c r="Y11" i="18"/>
  <c r="P12" i="18"/>
  <c r="G13" i="18"/>
  <c r="W13" i="18"/>
  <c r="N14" i="18"/>
  <c r="E16" i="18"/>
  <c r="U16" i="18"/>
  <c r="L17" i="18"/>
  <c r="C18" i="18"/>
  <c r="S18" i="18"/>
  <c r="J19" i="18"/>
  <c r="Z19" i="18"/>
  <c r="Q20" i="18"/>
  <c r="H21" i="18"/>
  <c r="X21" i="18"/>
  <c r="O22" i="18"/>
  <c r="F23" i="18"/>
  <c r="V23" i="18"/>
  <c r="M25" i="18"/>
  <c r="D26" i="18"/>
  <c r="T26" i="18"/>
  <c r="K27" i="18"/>
  <c r="AA27" i="18"/>
  <c r="R28" i="18"/>
  <c r="I29" i="18"/>
  <c r="Y29" i="18"/>
  <c r="P30" i="18"/>
  <c r="G31" i="18"/>
  <c r="W31" i="18"/>
  <c r="N33" i="18"/>
  <c r="E34" i="18"/>
  <c r="U34" i="18"/>
  <c r="L35" i="18"/>
  <c r="C36" i="18"/>
  <c r="S36" i="18"/>
  <c r="J37" i="18"/>
  <c r="Z37" i="18"/>
  <c r="Q38" i="18"/>
  <c r="H39" i="18"/>
  <c r="X39" i="18"/>
  <c r="O40" i="18"/>
  <c r="F41" i="18"/>
  <c r="V41" i="18"/>
  <c r="M43" i="18"/>
  <c r="D44" i="18"/>
  <c r="T44" i="18"/>
  <c r="K45" i="18"/>
  <c r="AA45" i="18"/>
  <c r="R46" i="18"/>
  <c r="I47" i="18"/>
  <c r="Y47" i="18"/>
  <c r="P48" i="18"/>
  <c r="G49" i="18"/>
  <c r="W49" i="18"/>
  <c r="N50" i="18"/>
  <c r="E51" i="18"/>
  <c r="U51" i="18"/>
  <c r="L52" i="18"/>
  <c r="C53" i="18"/>
  <c r="S53" i="18"/>
  <c r="J54" i="18"/>
  <c r="Z54" i="18"/>
  <c r="Q55" i="18"/>
  <c r="H57" i="18"/>
  <c r="X57" i="18"/>
  <c r="O58" i="18"/>
  <c r="F59" i="18"/>
  <c r="V59" i="18"/>
  <c r="M60" i="18"/>
  <c r="D61" i="18"/>
  <c r="T61" i="18"/>
  <c r="K62" i="18"/>
  <c r="AA62" i="18"/>
  <c r="R63" i="18"/>
  <c r="E8" i="18"/>
  <c r="U8" i="18"/>
  <c r="L9" i="18"/>
  <c r="C10" i="18"/>
  <c r="S10" i="18"/>
  <c r="J11" i="18"/>
  <c r="Z11" i="18"/>
  <c r="Q12" i="18"/>
  <c r="H13" i="18"/>
  <c r="X13" i="18"/>
  <c r="O14" i="18"/>
  <c r="F16" i="18"/>
  <c r="V16" i="18"/>
  <c r="M17" i="18"/>
  <c r="D18" i="18"/>
  <c r="T18" i="18"/>
  <c r="K19" i="18"/>
  <c r="AA19" i="18"/>
  <c r="R20" i="18"/>
  <c r="I21" i="18"/>
  <c r="Y21" i="18"/>
  <c r="P22" i="18"/>
  <c r="G23" i="18"/>
  <c r="W23" i="18"/>
  <c r="N25" i="18"/>
  <c r="E26" i="18"/>
  <c r="U26" i="18"/>
  <c r="L27" i="18"/>
  <c r="C28" i="18"/>
  <c r="S28" i="18"/>
  <c r="J29" i="18"/>
  <c r="Z29" i="18"/>
  <c r="Q30" i="18"/>
  <c r="H31" i="18"/>
  <c r="X31" i="18"/>
  <c r="O33" i="18"/>
  <c r="F34" i="18"/>
  <c r="V34" i="18"/>
  <c r="M35" i="18"/>
  <c r="D36" i="18"/>
  <c r="T36" i="18"/>
  <c r="K37" i="18"/>
  <c r="AA37" i="18"/>
  <c r="R38" i="18"/>
  <c r="I39" i="18"/>
  <c r="Y39" i="18"/>
  <c r="P40" i="18"/>
  <c r="G41" i="18"/>
  <c r="W41" i="18"/>
  <c r="N43" i="18"/>
  <c r="E44" i="18"/>
  <c r="U44" i="18"/>
  <c r="L45" i="18"/>
  <c r="C46" i="18"/>
  <c r="S46" i="18"/>
  <c r="J47" i="18"/>
  <c r="Z47" i="18"/>
  <c r="Q48" i="18"/>
  <c r="H49" i="18"/>
  <c r="X49" i="18"/>
  <c r="O50" i="18"/>
  <c r="F51" i="18"/>
  <c r="V51" i="18"/>
  <c r="M52" i="18"/>
  <c r="D53" i="18"/>
  <c r="T53" i="18"/>
  <c r="K54" i="18"/>
  <c r="AA54" i="18"/>
  <c r="R55" i="18"/>
  <c r="F8" i="18"/>
  <c r="V8" i="18"/>
  <c r="M9" i="18"/>
  <c r="D10" i="18"/>
  <c r="T10" i="18"/>
  <c r="K11" i="18"/>
  <c r="AA11" i="18"/>
  <c r="R12" i="18"/>
  <c r="I13" i="18"/>
  <c r="Y13" i="18"/>
  <c r="P14" i="18"/>
  <c r="G16" i="18"/>
  <c r="W16" i="18"/>
  <c r="N17" i="18"/>
  <c r="E18" i="18"/>
  <c r="U18" i="18"/>
  <c r="L19" i="18"/>
  <c r="C20" i="18"/>
  <c r="S20" i="18"/>
  <c r="J21" i="18"/>
  <c r="Z21" i="18"/>
  <c r="Q22" i="18"/>
  <c r="H23" i="18"/>
  <c r="X23" i="18"/>
  <c r="O25" i="18"/>
  <c r="F26" i="18"/>
  <c r="V26" i="18"/>
  <c r="M27" i="18"/>
  <c r="D28" i="18"/>
  <c r="T28" i="18"/>
  <c r="K29" i="18"/>
  <c r="AA29" i="18"/>
  <c r="R30" i="18"/>
  <c r="I31" i="18"/>
  <c r="Y31" i="18"/>
  <c r="P33" i="18"/>
  <c r="G34" i="18"/>
  <c r="W34" i="18"/>
  <c r="N35" i="18"/>
  <c r="E36" i="18"/>
  <c r="U36" i="18"/>
  <c r="L37" i="18"/>
  <c r="C38" i="18"/>
  <c r="S38" i="18"/>
  <c r="J39" i="18"/>
  <c r="Z39" i="18"/>
  <c r="Q40" i="18"/>
  <c r="H41" i="18"/>
  <c r="X41" i="18"/>
  <c r="O43" i="18"/>
  <c r="F44" i="18"/>
  <c r="V44" i="18"/>
  <c r="M45" i="18"/>
  <c r="D46" i="18"/>
  <c r="T46" i="18"/>
  <c r="K47" i="18"/>
  <c r="AA47" i="18"/>
  <c r="R48" i="18"/>
  <c r="I49" i="18"/>
  <c r="Y49" i="18"/>
  <c r="G8" i="18"/>
  <c r="W8" i="18"/>
  <c r="N9" i="18"/>
  <c r="E10" i="18"/>
  <c r="U10" i="18"/>
  <c r="L11" i="18"/>
  <c r="C12" i="18"/>
  <c r="S12" i="18"/>
  <c r="J13" i="18"/>
  <c r="Z13" i="18"/>
  <c r="Q14" i="18"/>
  <c r="H16" i="18"/>
  <c r="X16" i="18"/>
  <c r="O17" i="18"/>
  <c r="F18" i="18"/>
  <c r="V18" i="18"/>
  <c r="M19" i="18"/>
  <c r="D20" i="18"/>
  <c r="T20" i="18"/>
  <c r="K21" i="18"/>
  <c r="AA21" i="18"/>
  <c r="R22" i="18"/>
  <c r="I23" i="18"/>
  <c r="Y23" i="18"/>
  <c r="P25" i="18"/>
  <c r="G26" i="18"/>
  <c r="W26" i="18"/>
  <c r="N27" i="18"/>
  <c r="E28" i="18"/>
  <c r="U28" i="18"/>
  <c r="L29" i="18"/>
  <c r="C30" i="18"/>
  <c r="S30" i="18"/>
  <c r="J31" i="18"/>
  <c r="Z31" i="18"/>
  <c r="Q33" i="18"/>
  <c r="H34" i="18"/>
  <c r="X34" i="18"/>
  <c r="O35" i="18"/>
  <c r="F36" i="18"/>
  <c r="V36" i="18"/>
  <c r="M37" i="18"/>
  <c r="D38" i="18"/>
  <c r="T38" i="18"/>
  <c r="K39" i="18"/>
  <c r="AA39" i="18"/>
  <c r="R40" i="18"/>
  <c r="I41" i="18"/>
  <c r="Y41" i="18"/>
  <c r="P43" i="18"/>
  <c r="G44" i="18"/>
  <c r="W44" i="18"/>
  <c r="N45" i="18"/>
  <c r="E46" i="18"/>
  <c r="U46" i="18"/>
  <c r="L47" i="18"/>
  <c r="C48" i="18"/>
  <c r="S48" i="18"/>
  <c r="J49" i="18"/>
  <c r="Z49" i="18"/>
  <c r="Q50" i="18"/>
  <c r="H51" i="18"/>
  <c r="X51" i="18"/>
  <c r="O52" i="18"/>
  <c r="F53" i="18"/>
  <c r="V53" i="18"/>
  <c r="M54" i="18"/>
  <c r="D55" i="18"/>
  <c r="T55" i="18"/>
  <c r="K57" i="18"/>
  <c r="AA57" i="18"/>
  <c r="R58" i="18"/>
  <c r="I59" i="18"/>
  <c r="Y59" i="18"/>
  <c r="P60" i="18"/>
  <c r="G61" i="18"/>
  <c r="W61" i="18"/>
  <c r="N62" i="18"/>
  <c r="E63" i="18"/>
  <c r="H8" i="18"/>
  <c r="X8" i="18"/>
  <c r="O9" i="18"/>
  <c r="F10" i="18"/>
  <c r="V10" i="18"/>
  <c r="M11" i="18"/>
  <c r="D12" i="18"/>
  <c r="T12" i="18"/>
  <c r="K13" i="18"/>
  <c r="AA13" i="18"/>
  <c r="R14" i="18"/>
  <c r="I16" i="18"/>
  <c r="Y16" i="18"/>
  <c r="P17" i="18"/>
  <c r="G18" i="18"/>
  <c r="W18" i="18"/>
  <c r="N19" i="18"/>
  <c r="E20" i="18"/>
  <c r="U20" i="18"/>
  <c r="L21" i="18"/>
  <c r="C22" i="18"/>
  <c r="S22" i="18"/>
  <c r="J23" i="18"/>
  <c r="Z23" i="18"/>
  <c r="Q25" i="18"/>
  <c r="H26" i="18"/>
  <c r="X26" i="18"/>
  <c r="O27" i="18"/>
  <c r="F28" i="18"/>
  <c r="V28" i="18"/>
  <c r="M29" i="18"/>
  <c r="D30" i="18"/>
  <c r="T30" i="18"/>
  <c r="K31" i="18"/>
  <c r="AA31" i="18"/>
  <c r="R33" i="18"/>
  <c r="I34" i="18"/>
  <c r="Y34" i="18"/>
  <c r="P35" i="18"/>
  <c r="G36" i="18"/>
  <c r="W36" i="18"/>
  <c r="N37" i="18"/>
  <c r="E38" i="18"/>
  <c r="U38" i="18"/>
  <c r="L39" i="18"/>
  <c r="C40" i="18"/>
  <c r="S40" i="18"/>
  <c r="J41" i="18"/>
  <c r="Z41" i="18"/>
  <c r="Q43" i="18"/>
  <c r="H44" i="18"/>
  <c r="X44" i="18"/>
  <c r="O45" i="18"/>
  <c r="F46" i="18"/>
  <c r="V46" i="18"/>
  <c r="M47" i="18"/>
  <c r="D48" i="18"/>
  <c r="T48" i="18"/>
  <c r="K49" i="18"/>
  <c r="AA49" i="18"/>
  <c r="R50" i="18"/>
  <c r="I51" i="18"/>
  <c r="Y51" i="18"/>
  <c r="P52" i="18"/>
  <c r="G53" i="18"/>
  <c r="W53" i="18"/>
  <c r="N54" i="18"/>
  <c r="E55" i="18"/>
  <c r="U55" i="18"/>
  <c r="L57" i="18"/>
  <c r="C58" i="18"/>
  <c r="S58" i="18"/>
  <c r="J59" i="18"/>
  <c r="Z59" i="18"/>
  <c r="Q60" i="18"/>
  <c r="H61" i="18"/>
  <c r="X61" i="18"/>
  <c r="O62" i="18"/>
  <c r="F63" i="18"/>
  <c r="V63" i="18"/>
  <c r="M64" i="18"/>
  <c r="D65" i="18"/>
  <c r="T65" i="18"/>
  <c r="K66" i="18"/>
  <c r="AA66" i="18"/>
  <c r="R67" i="18"/>
  <c r="I68" i="18"/>
  <c r="Y68" i="18"/>
  <c r="P69" i="18"/>
  <c r="G70" i="18"/>
  <c r="W70" i="18"/>
  <c r="N71" i="18"/>
  <c r="E72" i="18"/>
  <c r="U72" i="18"/>
  <c r="L73" i="18"/>
  <c r="C74" i="18"/>
  <c r="S74" i="18"/>
  <c r="J75" i="18"/>
  <c r="Z75" i="18"/>
  <c r="Q76" i="18"/>
  <c r="H77" i="18"/>
  <c r="X77" i="18"/>
  <c r="O78" i="18"/>
  <c r="F79" i="18"/>
  <c r="V79" i="18"/>
  <c r="M80" i="18"/>
  <c r="I8" i="18"/>
  <c r="Y8" i="18"/>
  <c r="P9" i="18"/>
  <c r="G10" i="18"/>
  <c r="W10" i="18"/>
  <c r="N11" i="18"/>
  <c r="E12" i="18"/>
  <c r="U12" i="18"/>
  <c r="L13" i="18"/>
  <c r="C14" i="18"/>
  <c r="S14" i="18"/>
  <c r="J16" i="18"/>
  <c r="Z16" i="18"/>
  <c r="Q17" i="18"/>
  <c r="H18" i="18"/>
  <c r="X18" i="18"/>
  <c r="O19" i="18"/>
  <c r="F20" i="18"/>
  <c r="V20" i="18"/>
  <c r="M21" i="18"/>
  <c r="D22" i="18"/>
  <c r="T22" i="18"/>
  <c r="K23" i="18"/>
  <c r="AA23" i="18"/>
  <c r="R25" i="18"/>
  <c r="I26" i="18"/>
  <c r="Y26" i="18"/>
  <c r="P27" i="18"/>
  <c r="G28" i="18"/>
  <c r="W28" i="18"/>
  <c r="N29" i="18"/>
  <c r="E30" i="18"/>
  <c r="U30" i="18"/>
  <c r="L31" i="18"/>
  <c r="C33" i="18"/>
  <c r="S33" i="18"/>
  <c r="J34" i="18"/>
  <c r="Z34" i="18"/>
  <c r="Q35" i="18"/>
  <c r="H36" i="18"/>
  <c r="X36" i="18"/>
  <c r="O37" i="18"/>
  <c r="F38" i="18"/>
  <c r="V38" i="18"/>
  <c r="M39" i="18"/>
  <c r="D40" i="18"/>
  <c r="T40" i="18"/>
  <c r="K41" i="18"/>
  <c r="AA41" i="18"/>
  <c r="R43" i="18"/>
  <c r="I44" i="18"/>
  <c r="Y44" i="18"/>
  <c r="P45" i="18"/>
  <c r="G46" i="18"/>
  <c r="W46" i="18"/>
  <c r="N47" i="18"/>
  <c r="E48" i="18"/>
  <c r="U48" i="18"/>
  <c r="L49" i="18"/>
  <c r="C50" i="18"/>
  <c r="S50" i="18"/>
  <c r="J51" i="18"/>
  <c r="Z51" i="18"/>
  <c r="Q52" i="18"/>
  <c r="H53" i="18"/>
  <c r="X53" i="18"/>
  <c r="O54" i="18"/>
  <c r="F55" i="18"/>
  <c r="V55" i="18"/>
  <c r="M57" i="18"/>
  <c r="D58" i="18"/>
  <c r="T58" i="18"/>
  <c r="K59" i="18"/>
  <c r="AA59" i="18"/>
  <c r="R60" i="18"/>
  <c r="I61" i="18"/>
  <c r="Y61" i="18"/>
  <c r="P62" i="18"/>
  <c r="G63" i="18"/>
  <c r="W63" i="18"/>
  <c r="N64" i="18"/>
  <c r="E65" i="18"/>
  <c r="U65" i="18"/>
  <c r="L66" i="18"/>
  <c r="C67" i="18"/>
  <c r="S67" i="18"/>
  <c r="J68" i="18"/>
  <c r="Z68" i="18"/>
  <c r="Q69" i="18"/>
  <c r="H70" i="18"/>
  <c r="X70" i="18"/>
  <c r="O71" i="18"/>
  <c r="F72" i="18"/>
  <c r="V72" i="18"/>
  <c r="M73" i="18"/>
  <c r="D74" i="18"/>
  <c r="T74" i="18"/>
  <c r="K75" i="18"/>
  <c r="AA75" i="18"/>
  <c r="R76" i="18"/>
  <c r="I77" i="18"/>
  <c r="Y77" i="18"/>
  <c r="P78" i="18"/>
  <c r="G79" i="18"/>
  <c r="W79" i="18"/>
  <c r="N80" i="18"/>
  <c r="J8" i="18"/>
  <c r="Z8" i="18"/>
  <c r="Q9" i="18"/>
  <c r="H10" i="18"/>
  <c r="X10" i="18"/>
  <c r="O11" i="18"/>
  <c r="F12" i="18"/>
  <c r="V12" i="18"/>
  <c r="M13" i="18"/>
  <c r="D14" i="18"/>
  <c r="T14" i="18"/>
  <c r="K16" i="18"/>
  <c r="AA16" i="18"/>
  <c r="R17" i="18"/>
  <c r="I18" i="18"/>
  <c r="Y18" i="18"/>
  <c r="P19" i="18"/>
  <c r="G20" i="18"/>
  <c r="W20" i="18"/>
  <c r="N21" i="18"/>
  <c r="E22" i="18"/>
  <c r="U22" i="18"/>
  <c r="L23" i="18"/>
  <c r="C25" i="18"/>
  <c r="S25" i="18"/>
  <c r="J26" i="18"/>
  <c r="Z26" i="18"/>
  <c r="Q27" i="18"/>
  <c r="H28" i="18"/>
  <c r="X28" i="18"/>
  <c r="O29" i="18"/>
  <c r="F30" i="18"/>
  <c r="V30" i="18"/>
  <c r="M31" i="18"/>
  <c r="D33" i="18"/>
  <c r="T33" i="18"/>
  <c r="K34" i="18"/>
  <c r="AA34" i="18"/>
  <c r="R35" i="18"/>
  <c r="I36" i="18"/>
  <c r="Y36" i="18"/>
  <c r="P37" i="18"/>
  <c r="G38" i="18"/>
  <c r="W38" i="18"/>
  <c r="N39" i="18"/>
  <c r="E40" i="18"/>
  <c r="U40" i="18"/>
  <c r="L41" i="18"/>
  <c r="C43" i="18"/>
  <c r="S43" i="18"/>
  <c r="J44" i="18"/>
  <c r="Z44" i="18"/>
  <c r="Q45" i="18"/>
  <c r="H46" i="18"/>
  <c r="X46" i="18"/>
  <c r="O47" i="18"/>
  <c r="F48" i="18"/>
  <c r="V48" i="18"/>
  <c r="M49" i="18"/>
  <c r="K8" i="18"/>
  <c r="AA8" i="18"/>
  <c r="R9" i="18"/>
  <c r="I10" i="18"/>
  <c r="Y10" i="18"/>
  <c r="P11" i="18"/>
  <c r="G12" i="18"/>
  <c r="W12" i="18"/>
  <c r="N13" i="18"/>
  <c r="E14" i="18"/>
  <c r="U14" i="18"/>
  <c r="L16" i="18"/>
  <c r="C17" i="18"/>
  <c r="S17" i="18"/>
  <c r="J18" i="18"/>
  <c r="Z18" i="18"/>
  <c r="Q19" i="18"/>
  <c r="H20" i="18"/>
  <c r="X20" i="18"/>
  <c r="O21" i="18"/>
  <c r="F22" i="18"/>
  <c r="V22" i="18"/>
  <c r="M23" i="18"/>
  <c r="D25" i="18"/>
  <c r="T25" i="18"/>
  <c r="K26" i="18"/>
  <c r="AA26" i="18"/>
  <c r="R27" i="18"/>
  <c r="I28" i="18"/>
  <c r="Y28" i="18"/>
  <c r="P29" i="18"/>
  <c r="G30" i="18"/>
  <c r="W30" i="18"/>
  <c r="N31" i="18"/>
  <c r="E33" i="18"/>
  <c r="U33" i="18"/>
  <c r="L34" i="18"/>
  <c r="C35" i="18"/>
  <c r="S35" i="18"/>
  <c r="J36" i="18"/>
  <c r="Z36" i="18"/>
  <c r="Q37" i="18"/>
  <c r="H38" i="18"/>
  <c r="X38" i="18"/>
  <c r="L8" i="18"/>
  <c r="C9" i="18"/>
  <c r="S9" i="18"/>
  <c r="J10" i="18"/>
  <c r="Z10" i="18"/>
  <c r="Q11" i="18"/>
  <c r="H12" i="18"/>
  <c r="X12" i="18"/>
  <c r="O13" i="18"/>
  <c r="F14" i="18"/>
  <c r="V14" i="18"/>
  <c r="M16" i="18"/>
  <c r="D17" i="18"/>
  <c r="T17" i="18"/>
  <c r="K18" i="18"/>
  <c r="AA18" i="18"/>
  <c r="R19" i="18"/>
  <c r="I20" i="18"/>
  <c r="Y20" i="18"/>
  <c r="P21" i="18"/>
  <c r="G22" i="18"/>
  <c r="W22" i="18"/>
  <c r="N23" i="18"/>
  <c r="E25" i="18"/>
  <c r="U25" i="18"/>
  <c r="L26" i="18"/>
  <c r="C27" i="18"/>
  <c r="S27" i="18"/>
  <c r="J28" i="18"/>
  <c r="Z28" i="18"/>
  <c r="Q29" i="18"/>
  <c r="H30" i="18"/>
  <c r="X30" i="18"/>
  <c r="O31" i="18"/>
  <c r="F33" i="18"/>
  <c r="V33" i="18"/>
  <c r="M34" i="18"/>
  <c r="D35" i="18"/>
  <c r="T35" i="18"/>
  <c r="K36" i="18"/>
  <c r="AA36" i="18"/>
  <c r="R37" i="18"/>
  <c r="I38" i="18"/>
  <c r="Y38" i="18"/>
  <c r="P39" i="18"/>
  <c r="G40" i="18"/>
  <c r="W40" i="18"/>
  <c r="N41" i="18"/>
  <c r="E43" i="18"/>
  <c r="U43" i="18"/>
  <c r="L44" i="18"/>
  <c r="C45" i="18"/>
  <c r="S45" i="18"/>
  <c r="J46" i="18"/>
  <c r="Z46" i="18"/>
  <c r="Q47" i="18"/>
  <c r="H48" i="18"/>
  <c r="X48" i="18"/>
  <c r="O49" i="18"/>
  <c r="F50" i="18"/>
  <c r="M8" i="18"/>
  <c r="D9" i="18"/>
  <c r="T9" i="18"/>
  <c r="K10" i="18"/>
  <c r="AA10" i="18"/>
  <c r="R11" i="18"/>
  <c r="I12" i="18"/>
  <c r="Y12" i="18"/>
  <c r="P13" i="18"/>
  <c r="G14" i="18"/>
  <c r="W14" i="18"/>
  <c r="N16" i="18"/>
  <c r="E17" i="18"/>
  <c r="U17" i="18"/>
  <c r="L18" i="18"/>
  <c r="C19" i="18"/>
  <c r="S19" i="18"/>
  <c r="J20" i="18"/>
  <c r="Z20" i="18"/>
  <c r="Q21" i="18"/>
  <c r="H22" i="18"/>
  <c r="X22" i="18"/>
  <c r="O23" i="18"/>
  <c r="F25" i="18"/>
  <c r="V25" i="18"/>
  <c r="M26" i="18"/>
  <c r="D27" i="18"/>
  <c r="T27" i="18"/>
  <c r="K28" i="18"/>
  <c r="AA28" i="18"/>
  <c r="R29" i="18"/>
  <c r="I30" i="18"/>
  <c r="Y30" i="18"/>
  <c r="P31" i="18"/>
  <c r="G33" i="18"/>
  <c r="W33" i="18"/>
  <c r="N34" i="18"/>
  <c r="E35" i="18"/>
  <c r="U35" i="18"/>
  <c r="L36" i="18"/>
  <c r="C37" i="18"/>
  <c r="S37" i="18"/>
  <c r="J38" i="18"/>
  <c r="Z38" i="18"/>
  <c r="Q39" i="18"/>
  <c r="H40" i="18"/>
  <c r="X40" i="18"/>
  <c r="O41" i="18"/>
  <c r="F43" i="18"/>
  <c r="V43" i="18"/>
  <c r="M44" i="18"/>
  <c r="D45" i="18"/>
  <c r="T45" i="18"/>
  <c r="K46" i="18"/>
  <c r="AA46" i="18"/>
  <c r="R47" i="18"/>
  <c r="I48" i="18"/>
  <c r="Y48" i="18"/>
  <c r="P49" i="18"/>
  <c r="G50" i="18"/>
  <c r="W50" i="18"/>
  <c r="N51" i="18"/>
  <c r="E52" i="18"/>
  <c r="U52" i="18"/>
  <c r="L53" i="18"/>
  <c r="C54" i="18"/>
  <c r="S54" i="18"/>
  <c r="J55" i="18"/>
  <c r="Z55" i="18"/>
  <c r="Q57" i="18"/>
  <c r="H58" i="18"/>
  <c r="X58" i="18"/>
  <c r="O59" i="18"/>
  <c r="F60" i="18"/>
  <c r="V60" i="18"/>
  <c r="M61" i="18"/>
  <c r="D62" i="18"/>
  <c r="T62" i="18"/>
  <c r="K63" i="18"/>
  <c r="AA63" i="18"/>
  <c r="R64" i="18"/>
  <c r="I65" i="18"/>
  <c r="Y65" i="18"/>
  <c r="P66" i="18"/>
  <c r="G67" i="18"/>
  <c r="W67" i="18"/>
  <c r="N68" i="18"/>
  <c r="E69" i="18"/>
  <c r="U69" i="18"/>
  <c r="L70" i="18"/>
  <c r="C71" i="18"/>
  <c r="S71" i="18"/>
  <c r="J72" i="18"/>
  <c r="Z72" i="18"/>
  <c r="Q73" i="18"/>
  <c r="H74" i="18"/>
  <c r="X74" i="18"/>
  <c r="N8" i="18"/>
  <c r="E9" i="18"/>
  <c r="U9" i="18"/>
  <c r="L10" i="18"/>
  <c r="C11" i="18"/>
  <c r="S11" i="18"/>
  <c r="J12" i="18"/>
  <c r="Z12" i="18"/>
  <c r="Q13" i="18"/>
  <c r="H14" i="18"/>
  <c r="X14" i="18"/>
  <c r="O16" i="18"/>
  <c r="F17" i="18"/>
  <c r="V17" i="18"/>
  <c r="M18" i="18"/>
  <c r="D19" i="18"/>
  <c r="T19" i="18"/>
  <c r="K20" i="18"/>
  <c r="AA20" i="18"/>
  <c r="R21" i="18"/>
  <c r="I22" i="18"/>
  <c r="Y22" i="18"/>
  <c r="P23" i="18"/>
  <c r="G25" i="18"/>
  <c r="W25" i="18"/>
  <c r="N26" i="18"/>
  <c r="E27" i="18"/>
  <c r="U27" i="18"/>
  <c r="L28" i="18"/>
  <c r="C29" i="18"/>
  <c r="S29" i="18"/>
  <c r="J30" i="18"/>
  <c r="Z30" i="18"/>
  <c r="Q31" i="18"/>
  <c r="H33" i="18"/>
  <c r="X33" i="18"/>
  <c r="O34" i="18"/>
  <c r="F35" i="18"/>
  <c r="V35" i="18"/>
  <c r="M36" i="18"/>
  <c r="D37" i="18"/>
  <c r="T37" i="18"/>
  <c r="K38" i="18"/>
  <c r="AA38" i="18"/>
  <c r="R39" i="18"/>
  <c r="I40" i="18"/>
  <c r="Y40" i="18"/>
  <c r="P41" i="18"/>
  <c r="G43" i="18"/>
  <c r="W43" i="18"/>
  <c r="N44" i="18"/>
  <c r="E45" i="18"/>
  <c r="U45" i="18"/>
  <c r="L46" i="18"/>
  <c r="C47" i="18"/>
  <c r="S47" i="18"/>
  <c r="J48" i="18"/>
  <c r="Z48" i="18"/>
  <c r="Q49" i="18"/>
  <c r="H50" i="18"/>
  <c r="X50" i="18"/>
  <c r="O51" i="18"/>
  <c r="F52" i="18"/>
  <c r="V52" i="18"/>
  <c r="M53" i="18"/>
  <c r="D54" i="18"/>
  <c r="T54" i="18"/>
  <c r="K55" i="18"/>
  <c r="AA55" i="18"/>
  <c r="R57" i="18"/>
  <c r="I58" i="18"/>
  <c r="Y58" i="18"/>
  <c r="P59" i="18"/>
  <c r="G60" i="18"/>
  <c r="O8" i="18"/>
  <c r="F9" i="18"/>
  <c r="V9" i="18"/>
  <c r="M10" i="18"/>
  <c r="D11" i="18"/>
  <c r="T11" i="18"/>
  <c r="K12" i="18"/>
  <c r="AA12" i="18"/>
  <c r="R13" i="18"/>
  <c r="I14" i="18"/>
  <c r="Y14" i="18"/>
  <c r="P16" i="18"/>
  <c r="G17" i="18"/>
  <c r="W17" i="18"/>
  <c r="N18" i="18"/>
  <c r="E19" i="18"/>
  <c r="U19" i="18"/>
  <c r="L20" i="18"/>
  <c r="C21" i="18"/>
  <c r="S21" i="18"/>
  <c r="J22" i="18"/>
  <c r="Z22" i="18"/>
  <c r="Q23" i="18"/>
  <c r="H25" i="18"/>
  <c r="X25" i="18"/>
  <c r="O26" i="18"/>
  <c r="F27" i="18"/>
  <c r="V27" i="18"/>
  <c r="M28" i="18"/>
  <c r="D29" i="18"/>
  <c r="T29" i="18"/>
  <c r="K30" i="18"/>
  <c r="AA30" i="18"/>
  <c r="R31" i="18"/>
  <c r="I33" i="18"/>
  <c r="Y33" i="18"/>
  <c r="P34" i="18"/>
  <c r="G35" i="18"/>
  <c r="W35" i="18"/>
  <c r="N36" i="18"/>
  <c r="E37" i="18"/>
  <c r="U37" i="18"/>
  <c r="L38" i="18"/>
  <c r="C39" i="18"/>
  <c r="S39" i="18"/>
  <c r="J40" i="18"/>
  <c r="Z40" i="18"/>
  <c r="Q41" i="18"/>
  <c r="H43" i="18"/>
  <c r="X43" i="18"/>
  <c r="O44" i="18"/>
  <c r="F45" i="18"/>
  <c r="V45" i="18"/>
  <c r="M46" i="18"/>
  <c r="D47" i="18"/>
  <c r="T47" i="18"/>
  <c r="K48" i="18"/>
  <c r="AA48" i="18"/>
  <c r="R49" i="18"/>
  <c r="I50" i="18"/>
  <c r="Y50" i="18"/>
  <c r="P51" i="18"/>
  <c r="G52" i="18"/>
  <c r="W52" i="18"/>
  <c r="N53" i="18"/>
  <c r="E54" i="18"/>
  <c r="U54" i="18"/>
  <c r="L55" i="18"/>
  <c r="C57" i="18"/>
  <c r="S57" i="18"/>
  <c r="J58" i="18"/>
  <c r="Z58" i="18"/>
  <c r="Q59" i="18"/>
  <c r="H60" i="18"/>
  <c r="X60" i="18"/>
  <c r="O61" i="18"/>
  <c r="F62" i="18"/>
  <c r="V62" i="18"/>
  <c r="M63" i="18"/>
  <c r="D64" i="18"/>
  <c r="T64" i="18"/>
  <c r="K65" i="18"/>
  <c r="AA65" i="18"/>
  <c r="R66" i="18"/>
  <c r="I67" i="18"/>
  <c r="P8" i="18"/>
  <c r="G9" i="18"/>
  <c r="W9" i="18"/>
  <c r="N10" i="18"/>
  <c r="E11" i="18"/>
  <c r="U11" i="18"/>
  <c r="L12" i="18"/>
  <c r="C13" i="18"/>
  <c r="S13" i="18"/>
  <c r="J14" i="18"/>
  <c r="Z14" i="18"/>
  <c r="Q16" i="18"/>
  <c r="H17" i="18"/>
  <c r="X17" i="18"/>
  <c r="O18" i="18"/>
  <c r="F19" i="18"/>
  <c r="V19" i="18"/>
  <c r="M20" i="18"/>
  <c r="D21" i="18"/>
  <c r="T21" i="18"/>
  <c r="K22" i="18"/>
  <c r="AA22" i="18"/>
  <c r="R23" i="18"/>
  <c r="I25" i="18"/>
  <c r="Y25" i="18"/>
  <c r="P26" i="18"/>
  <c r="G27" i="18"/>
  <c r="W27" i="18"/>
  <c r="N28" i="18"/>
  <c r="E29" i="18"/>
  <c r="U29" i="18"/>
  <c r="L30" i="18"/>
  <c r="C31" i="18"/>
  <c r="S31" i="18"/>
  <c r="J33" i="18"/>
  <c r="Z33" i="18"/>
  <c r="Q34" i="18"/>
  <c r="H35" i="18"/>
  <c r="X35" i="18"/>
  <c r="O36" i="18"/>
  <c r="F37" i="18"/>
  <c r="V37" i="18"/>
  <c r="M38" i="18"/>
  <c r="D39" i="18"/>
  <c r="T39" i="18"/>
  <c r="K40" i="18"/>
  <c r="AA40" i="18"/>
  <c r="R41" i="18"/>
  <c r="I43" i="18"/>
  <c r="Y43" i="18"/>
  <c r="P44" i="18"/>
  <c r="G45" i="18"/>
  <c r="W45" i="18"/>
  <c r="N46" i="18"/>
  <c r="E47" i="18"/>
  <c r="U47" i="18"/>
  <c r="L48" i="18"/>
  <c r="C49" i="18"/>
  <c r="S49" i="18"/>
  <c r="J50" i="18"/>
  <c r="Z50" i="18"/>
  <c r="Q51" i="18"/>
  <c r="H52" i="18"/>
  <c r="X52" i="18"/>
  <c r="O53" i="18"/>
  <c r="F54" i="18"/>
  <c r="V54" i="18"/>
  <c r="M55" i="18"/>
  <c r="D57" i="18"/>
  <c r="T57" i="18"/>
  <c r="K58" i="18"/>
  <c r="AA58" i="18"/>
  <c r="R59" i="18"/>
  <c r="I60" i="18"/>
  <c r="Y60" i="18"/>
  <c r="P61" i="18"/>
  <c r="G62" i="18"/>
  <c r="W62" i="18"/>
  <c r="N63" i="18"/>
  <c r="E64" i="18"/>
  <c r="U64" i="18"/>
  <c r="L65" i="18"/>
  <c r="C66" i="18"/>
  <c r="S66" i="18"/>
  <c r="J67" i="18"/>
  <c r="Z67" i="18"/>
  <c r="Q68" i="18"/>
  <c r="H69" i="18"/>
  <c r="X69" i="18"/>
  <c r="O70" i="18"/>
  <c r="F71" i="18"/>
  <c r="V71" i="18"/>
  <c r="M72" i="18"/>
  <c r="D73" i="18"/>
  <c r="T73" i="18"/>
  <c r="K74" i="18"/>
  <c r="AA74" i="18"/>
  <c r="R75" i="18"/>
  <c r="I76" i="18"/>
  <c r="Y76" i="18"/>
  <c r="P77" i="18"/>
  <c r="G78" i="18"/>
  <c r="W78" i="18"/>
  <c r="N79" i="18"/>
  <c r="E80" i="18"/>
  <c r="U80" i="18"/>
  <c r="L81" i="18"/>
  <c r="C82" i="18"/>
  <c r="S82" i="18"/>
  <c r="J83" i="18"/>
  <c r="Z83" i="18"/>
  <c r="Q84" i="18"/>
  <c r="H85" i="18"/>
  <c r="X85" i="18"/>
  <c r="O86" i="18"/>
  <c r="F87" i="18"/>
  <c r="V87" i="18"/>
  <c r="M88" i="18"/>
  <c r="D89" i="18"/>
  <c r="T89" i="18"/>
  <c r="K90" i="18"/>
  <c r="AA90" i="18"/>
  <c r="R91" i="18"/>
  <c r="I92" i="18"/>
  <c r="Y92" i="18"/>
  <c r="P93" i="18"/>
  <c r="G94" i="18"/>
  <c r="Q8" i="18"/>
  <c r="H9" i="18"/>
  <c r="X9" i="18"/>
  <c r="O10" i="18"/>
  <c r="F11" i="18"/>
  <c r="V11" i="18"/>
  <c r="M12" i="18"/>
  <c r="D13" i="18"/>
  <c r="T13" i="18"/>
  <c r="K14" i="18"/>
  <c r="AA14" i="18"/>
  <c r="R16" i="18"/>
  <c r="I17" i="18"/>
  <c r="Y17" i="18"/>
  <c r="P18" i="18"/>
  <c r="G19" i="18"/>
  <c r="W19" i="18"/>
  <c r="N20" i="18"/>
  <c r="E21" i="18"/>
  <c r="U21" i="18"/>
  <c r="L22" i="18"/>
  <c r="C23" i="18"/>
  <c r="S23" i="18"/>
  <c r="J25" i="18"/>
  <c r="Z25" i="18"/>
  <c r="Q26" i="18"/>
  <c r="H27" i="18"/>
  <c r="X27" i="18"/>
  <c r="O28" i="18"/>
  <c r="F29" i="18"/>
  <c r="V29" i="18"/>
  <c r="M30" i="18"/>
  <c r="D31" i="18"/>
  <c r="T31" i="18"/>
  <c r="K33" i="18"/>
  <c r="AA33" i="18"/>
  <c r="R34" i="18"/>
  <c r="I35" i="18"/>
  <c r="Y35" i="18"/>
  <c r="P36" i="18"/>
  <c r="G37" i="18"/>
  <c r="W37" i="18"/>
  <c r="N38" i="18"/>
  <c r="E39" i="18"/>
  <c r="U39" i="18"/>
  <c r="L40" i="18"/>
  <c r="C41" i="18"/>
  <c r="S41" i="18"/>
  <c r="J43" i="18"/>
  <c r="Z43" i="18"/>
  <c r="Q44" i="18"/>
  <c r="H45" i="18"/>
  <c r="X45" i="18"/>
  <c r="O46" i="18"/>
  <c r="F47" i="18"/>
  <c r="V47" i="18"/>
  <c r="M48" i="18"/>
  <c r="D49" i="18"/>
  <c r="T49" i="18"/>
  <c r="K50" i="18"/>
  <c r="AA50" i="18"/>
  <c r="R51" i="18"/>
  <c r="I52" i="18"/>
  <c r="Y52" i="18"/>
  <c r="P53" i="18"/>
  <c r="G54" i="18"/>
  <c r="W54" i="18"/>
  <c r="N55" i="18"/>
  <c r="E57" i="18"/>
  <c r="U57" i="18"/>
  <c r="L58" i="18"/>
  <c r="C59" i="18"/>
  <c r="S59" i="18"/>
  <c r="J60" i="18"/>
  <c r="Z60" i="18"/>
  <c r="Q61" i="18"/>
  <c r="H62" i="18"/>
  <c r="X62" i="18"/>
  <c r="O63" i="18"/>
  <c r="F64" i="18"/>
  <c r="V64" i="18"/>
  <c r="M65" i="18"/>
  <c r="D66" i="18"/>
  <c r="T66" i="18"/>
  <c r="K67" i="18"/>
  <c r="AA67" i="18"/>
  <c r="R68" i="18"/>
  <c r="I69" i="18"/>
  <c r="Y69" i="18"/>
  <c r="P70" i="18"/>
  <c r="G71" i="18"/>
  <c r="W71" i="18"/>
  <c r="N72" i="18"/>
  <c r="E73" i="18"/>
  <c r="U73" i="18"/>
  <c r="L74" i="18"/>
  <c r="C75" i="18"/>
  <c r="S75" i="18"/>
  <c r="J76" i="18"/>
  <c r="Z76" i="18"/>
  <c r="Q77" i="18"/>
  <c r="H78" i="18"/>
  <c r="X78" i="18"/>
  <c r="O79" i="18"/>
  <c r="F80" i="18"/>
  <c r="V80" i="18"/>
  <c r="M81" i="18"/>
  <c r="D82" i="18"/>
  <c r="T82" i="18"/>
  <c r="K83" i="18"/>
  <c r="AA83" i="18"/>
  <c r="R84" i="18"/>
  <c r="I85" i="18"/>
  <c r="Y85" i="18"/>
  <c r="P86" i="18"/>
  <c r="G87" i="18"/>
  <c r="W87" i="18"/>
  <c r="N88" i="18"/>
  <c r="E89" i="18"/>
  <c r="U89" i="18"/>
  <c r="L90" i="18"/>
  <c r="C91" i="18"/>
  <c r="S91" i="18"/>
  <c r="J92" i="18"/>
  <c r="Z92" i="18"/>
  <c r="Q93" i="18"/>
  <c r="H94" i="18"/>
  <c r="R8" i="18"/>
  <c r="X19" i="18"/>
  <c r="E31" i="18"/>
  <c r="V40" i="18"/>
  <c r="Y46" i="18"/>
  <c r="V50" i="18"/>
  <c r="Z52" i="18"/>
  <c r="C55" i="18"/>
  <c r="Y57" i="18"/>
  <c r="N59" i="18"/>
  <c r="F61" i="18"/>
  <c r="R62" i="18"/>
  <c r="Z63" i="18"/>
  <c r="F65" i="18"/>
  <c r="I66" i="18"/>
  <c r="N67" i="18"/>
  <c r="M68" i="18"/>
  <c r="N69" i="18"/>
  <c r="M70" i="18"/>
  <c r="K71" i="18"/>
  <c r="I72" i="18"/>
  <c r="H73" i="18"/>
  <c r="F74" i="18"/>
  <c r="E75" i="18"/>
  <c r="Y75" i="18"/>
  <c r="V76" i="18"/>
  <c r="S77" i="18"/>
  <c r="N78" i="18"/>
  <c r="K79" i="18"/>
  <c r="H80" i="18"/>
  <c r="C81" i="18"/>
  <c r="U81" i="18"/>
  <c r="N82" i="18"/>
  <c r="G83" i="18"/>
  <c r="Y83" i="18"/>
  <c r="T84" i="18"/>
  <c r="M85" i="18"/>
  <c r="F86" i="18"/>
  <c r="X86" i="18"/>
  <c r="Q87" i="18"/>
  <c r="J88" i="18"/>
  <c r="C89" i="18"/>
  <c r="W89" i="18"/>
  <c r="P90" i="18"/>
  <c r="I91" i="18"/>
  <c r="AA91" i="18"/>
  <c r="T92" i="18"/>
  <c r="M93" i="18"/>
  <c r="F94" i="18"/>
  <c r="X94" i="18"/>
  <c r="O95" i="18"/>
  <c r="F96" i="18"/>
  <c r="V96" i="18"/>
  <c r="M97" i="18"/>
  <c r="D98" i="18"/>
  <c r="T98" i="18"/>
  <c r="K99" i="18"/>
  <c r="AA99" i="18"/>
  <c r="R100" i="18"/>
  <c r="I101" i="18"/>
  <c r="Y101" i="18"/>
  <c r="P102" i="18"/>
  <c r="G103" i="18"/>
  <c r="W103" i="18"/>
  <c r="N104" i="18"/>
  <c r="E105" i="18"/>
  <c r="U105" i="18"/>
  <c r="L106" i="18"/>
  <c r="C107" i="18"/>
  <c r="S107" i="18"/>
  <c r="J108" i="18"/>
  <c r="Z108" i="18"/>
  <c r="Q109" i="18"/>
  <c r="H110" i="18"/>
  <c r="X110" i="18"/>
  <c r="O111" i="18"/>
  <c r="F112" i="18"/>
  <c r="V112" i="18"/>
  <c r="M113" i="18"/>
  <c r="D114" i="18"/>
  <c r="T114" i="18"/>
  <c r="K115" i="18"/>
  <c r="AA115" i="18"/>
  <c r="R116" i="18"/>
  <c r="I117" i="18"/>
  <c r="Y117" i="18"/>
  <c r="P118" i="18"/>
  <c r="G119" i="18"/>
  <c r="W119" i="18"/>
  <c r="N120" i="18"/>
  <c r="E121" i="18"/>
  <c r="U121" i="18"/>
  <c r="L122" i="18"/>
  <c r="C123" i="18"/>
  <c r="S123" i="18"/>
  <c r="J124" i="18"/>
  <c r="Z124" i="18"/>
  <c r="Q125" i="18"/>
  <c r="H126" i="18"/>
  <c r="X126" i="18"/>
  <c r="O127" i="18"/>
  <c r="F128" i="18"/>
  <c r="V128" i="18"/>
  <c r="M129" i="18"/>
  <c r="D130" i="18"/>
  <c r="T130" i="18"/>
  <c r="K131" i="18"/>
  <c r="AA131" i="18"/>
  <c r="R132" i="18"/>
  <c r="I133" i="18"/>
  <c r="Y133" i="18"/>
  <c r="P134" i="18"/>
  <c r="G135" i="18"/>
  <c r="W135" i="18"/>
  <c r="I9" i="18"/>
  <c r="O20" i="18"/>
  <c r="U31" i="18"/>
  <c r="D41" i="18"/>
  <c r="G47" i="18"/>
  <c r="C51" i="18"/>
  <c r="E53" i="18"/>
  <c r="G55" i="18"/>
  <c r="Z57" i="18"/>
  <c r="T59" i="18"/>
  <c r="J61" i="18"/>
  <c r="S62" i="18"/>
  <c r="C64" i="18"/>
  <c r="G65" i="18"/>
  <c r="J66" i="18"/>
  <c r="O67" i="18"/>
  <c r="O68" i="18"/>
  <c r="O69" i="18"/>
  <c r="N70" i="18"/>
  <c r="L71" i="18"/>
  <c r="K72" i="18"/>
  <c r="I73" i="18"/>
  <c r="G74" i="18"/>
  <c r="F75" i="18"/>
  <c r="C76" i="18"/>
  <c r="W76" i="18"/>
  <c r="T77" i="18"/>
  <c r="Q78" i="18"/>
  <c r="L79" i="18"/>
  <c r="I80" i="18"/>
  <c r="D81" i="18"/>
  <c r="V81" i="18"/>
  <c r="O82" i="18"/>
  <c r="H83" i="18"/>
  <c r="C84" i="18"/>
  <c r="U84" i="18"/>
  <c r="N85" i="18"/>
  <c r="G86" i="18"/>
  <c r="Y86" i="18"/>
  <c r="R87" i="18"/>
  <c r="K88" i="18"/>
  <c r="F89" i="18"/>
  <c r="X89" i="18"/>
  <c r="Q90" i="18"/>
  <c r="J91" i="18"/>
  <c r="C92" i="18"/>
  <c r="U92" i="18"/>
  <c r="N93" i="18"/>
  <c r="I94" i="18"/>
  <c r="Y94" i="18"/>
  <c r="P95" i="18"/>
  <c r="G96" i="18"/>
  <c r="W96" i="18"/>
  <c r="N97" i="18"/>
  <c r="E98" i="18"/>
  <c r="U98" i="18"/>
  <c r="L99" i="18"/>
  <c r="C100" i="18"/>
  <c r="S100" i="18"/>
  <c r="J101" i="18"/>
  <c r="Z101" i="18"/>
  <c r="Q102" i="18"/>
  <c r="H103" i="18"/>
  <c r="X103" i="18"/>
  <c r="O104" i="18"/>
  <c r="F105" i="18"/>
  <c r="Y9" i="18"/>
  <c r="F21" i="18"/>
  <c r="L33" i="18"/>
  <c r="M41" i="18"/>
  <c r="P10" i="18"/>
  <c r="V21" i="18"/>
  <c r="C34" i="18"/>
  <c r="T41" i="18"/>
  <c r="W47" i="18"/>
  <c r="K51" i="18"/>
  <c r="J53" i="18"/>
  <c r="I55" i="18"/>
  <c r="F58" i="18"/>
  <c r="X59" i="18"/>
  <c r="L61" i="18"/>
  <c r="Y62" i="18"/>
  <c r="I64" i="18"/>
  <c r="J65" i="18"/>
  <c r="N66" i="18"/>
  <c r="Q67" i="18"/>
  <c r="S68" i="18"/>
  <c r="S69" i="18"/>
  <c r="R70" i="18"/>
  <c r="P71" i="18"/>
  <c r="O72" i="18"/>
  <c r="K73" i="18"/>
  <c r="J74" i="18"/>
  <c r="H75" i="18"/>
  <c r="E76" i="18"/>
  <c r="AA76" i="18"/>
  <c r="V77" i="18"/>
  <c r="S78" i="18"/>
  <c r="P79" i="18"/>
  <c r="K80" i="18"/>
  <c r="F81" i="18"/>
  <c r="X81" i="18"/>
  <c r="Q82" i="18"/>
  <c r="L83" i="18"/>
  <c r="E84" i="18"/>
  <c r="W84" i="18"/>
  <c r="P85" i="18"/>
  <c r="I86" i="18"/>
  <c r="AA86" i="18"/>
  <c r="T87" i="18"/>
  <c r="O88" i="18"/>
  <c r="H89" i="18"/>
  <c r="Z89" i="18"/>
  <c r="S90" i="18"/>
  <c r="L91" i="18"/>
  <c r="E92" i="18"/>
  <c r="W92" i="18"/>
  <c r="R93" i="18"/>
  <c r="K94" i="18"/>
  <c r="AA94" i="18"/>
  <c r="R95" i="18"/>
  <c r="I96" i="18"/>
  <c r="Y96" i="18"/>
  <c r="P97" i="18"/>
  <c r="G98" i="18"/>
  <c r="W98" i="18"/>
  <c r="N99" i="18"/>
  <c r="E100" i="18"/>
  <c r="U100" i="18"/>
  <c r="L101" i="18"/>
  <c r="C102" i="18"/>
  <c r="S102" i="18"/>
  <c r="J103" i="18"/>
  <c r="Z103" i="18"/>
  <c r="Q104" i="18"/>
  <c r="H105" i="18"/>
  <c r="X105" i="18"/>
  <c r="O106" i="18"/>
  <c r="F107" i="18"/>
  <c r="V107" i="18"/>
  <c r="M108" i="18"/>
  <c r="D109" i="18"/>
  <c r="T109" i="18"/>
  <c r="G11" i="18"/>
  <c r="M22" i="18"/>
  <c r="S34" i="18"/>
  <c r="D43" i="18"/>
  <c r="G48" i="18"/>
  <c r="L51" i="18"/>
  <c r="K53" i="18"/>
  <c r="O55" i="18"/>
  <c r="G58" i="18"/>
  <c r="C60" i="18"/>
  <c r="N61" i="18"/>
  <c r="C63" i="18"/>
  <c r="J64" i="18"/>
  <c r="N65" i="18"/>
  <c r="O66" i="18"/>
  <c r="T67" i="18"/>
  <c r="U68" i="18"/>
  <c r="T69" i="18"/>
  <c r="S70" i="18"/>
  <c r="Q71" i="18"/>
  <c r="P72" i="18"/>
  <c r="N73" i="18"/>
  <c r="M74" i="18"/>
  <c r="I75" i="18"/>
  <c r="F76" i="18"/>
  <c r="C77" i="18"/>
  <c r="W77" i="18"/>
  <c r="T78" i="18"/>
  <c r="Q79" i="18"/>
  <c r="L80" i="18"/>
  <c r="G81" i="18"/>
  <c r="Y81" i="18"/>
  <c r="R82" i="18"/>
  <c r="M83" i="18"/>
  <c r="F84" i="18"/>
  <c r="X84" i="18"/>
  <c r="Q85" i="18"/>
  <c r="J86" i="18"/>
  <c r="C87" i="18"/>
  <c r="U87" i="18"/>
  <c r="P88" i="18"/>
  <c r="I89" i="18"/>
  <c r="W11" i="18"/>
  <c r="D23" i="18"/>
  <c r="J35" i="18"/>
  <c r="K43" i="18"/>
  <c r="N48" i="18"/>
  <c r="M51" i="18"/>
  <c r="Q53" i="18"/>
  <c r="S55" i="18"/>
  <c r="M58" i="18"/>
  <c r="D60" i="18"/>
  <c r="R61" i="18"/>
  <c r="D63" i="18"/>
  <c r="K64" i="18"/>
  <c r="P65" i="18"/>
  <c r="Q66" i="18"/>
  <c r="U67" i="18"/>
  <c r="V68" i="18"/>
  <c r="V69" i="18"/>
  <c r="T70" i="18"/>
  <c r="R71" i="18"/>
  <c r="Q72" i="18"/>
  <c r="O73" i="18"/>
  <c r="N74" i="18"/>
  <c r="L75" i="18"/>
  <c r="G76" i="18"/>
  <c r="D77" i="18"/>
  <c r="Z77" i="18"/>
  <c r="U78" i="18"/>
  <c r="R79" i="18"/>
  <c r="O80" i="18"/>
  <c r="H81" i="18"/>
  <c r="Z81" i="18"/>
  <c r="U82" i="18"/>
  <c r="N83" i="18"/>
  <c r="G84" i="18"/>
  <c r="Y84" i="18"/>
  <c r="R85" i="18"/>
  <c r="K86" i="18"/>
  <c r="D87" i="18"/>
  <c r="X87" i="18"/>
  <c r="Q88" i="18"/>
  <c r="J89" i="18"/>
  <c r="C90" i="18"/>
  <c r="U90" i="18"/>
  <c r="N91" i="18"/>
  <c r="G92" i="18"/>
  <c r="AA92" i="18"/>
  <c r="T93" i="18"/>
  <c r="M94" i="18"/>
  <c r="D95" i="18"/>
  <c r="T95" i="18"/>
  <c r="K96" i="18"/>
  <c r="AA96" i="18"/>
  <c r="R97" i="18"/>
  <c r="I98" i="18"/>
  <c r="Y98" i="18"/>
  <c r="P99" i="18"/>
  <c r="G100" i="18"/>
  <c r="W100" i="18"/>
  <c r="N101" i="18"/>
  <c r="E102" i="18"/>
  <c r="U102" i="18"/>
  <c r="L103" i="18"/>
  <c r="C104" i="18"/>
  <c r="S104" i="18"/>
  <c r="J105" i="18"/>
  <c r="Z105" i="18"/>
  <c r="Q106" i="18"/>
  <c r="H107" i="18"/>
  <c r="X107" i="18"/>
  <c r="O108" i="18"/>
  <c r="F109" i="18"/>
  <c r="V109" i="18"/>
  <c r="M110" i="18"/>
  <c r="D111" i="18"/>
  <c r="T111" i="18"/>
  <c r="K112" i="18"/>
  <c r="AA112" i="18"/>
  <c r="R113" i="18"/>
  <c r="I114" i="18"/>
  <c r="Y114" i="18"/>
  <c r="P115" i="18"/>
  <c r="G116" i="18"/>
  <c r="W116" i="18"/>
  <c r="N117" i="18"/>
  <c r="E118" i="18"/>
  <c r="U118" i="18"/>
  <c r="L119" i="18"/>
  <c r="C120" i="18"/>
  <c r="S120" i="18"/>
  <c r="J121" i="18"/>
  <c r="Z121" i="18"/>
  <c r="Q122" i="18"/>
  <c r="H123" i="18"/>
  <c r="X123" i="18"/>
  <c r="O124" i="18"/>
  <c r="F125" i="18"/>
  <c r="V125" i="18"/>
  <c r="M126" i="18"/>
  <c r="D127" i="18"/>
  <c r="T127" i="18"/>
  <c r="K128" i="18"/>
  <c r="AA128" i="18"/>
  <c r="R129" i="18"/>
  <c r="I130" i="18"/>
  <c r="Y130" i="18"/>
  <c r="P131" i="18"/>
  <c r="G132" i="18"/>
  <c r="W132" i="18"/>
  <c r="N133" i="18"/>
  <c r="E134" i="18"/>
  <c r="U134" i="18"/>
  <c r="N12" i="18"/>
  <c r="T23" i="18"/>
  <c r="Z35" i="18"/>
  <c r="T43" i="18"/>
  <c r="W48" i="18"/>
  <c r="S51" i="18"/>
  <c r="U53" i="18"/>
  <c r="W55" i="18"/>
  <c r="P58" i="18"/>
  <c r="E60" i="18"/>
  <c r="U61" i="18"/>
  <c r="H63" i="18"/>
  <c r="L64" i="18"/>
  <c r="Q65" i="18"/>
  <c r="U66" i="18"/>
  <c r="V67" i="18"/>
  <c r="W68" i="18"/>
  <c r="W69" i="18"/>
  <c r="U70" i="18"/>
  <c r="T71" i="18"/>
  <c r="R72" i="18"/>
  <c r="P73" i="18"/>
  <c r="O74" i="18"/>
  <c r="M75" i="18"/>
  <c r="H76" i="18"/>
  <c r="E77" i="18"/>
  <c r="AA77" i="18"/>
  <c r="V78" i="18"/>
  <c r="S79" i="18"/>
  <c r="P80" i="18"/>
  <c r="I81" i="18"/>
  <c r="AA81" i="18"/>
  <c r="V82" i="18"/>
  <c r="O83" i="18"/>
  <c r="H84" i="18"/>
  <c r="Z84" i="18"/>
  <c r="S85" i="18"/>
  <c r="L86" i="18"/>
  <c r="E87" i="18"/>
  <c r="Y87" i="18"/>
  <c r="R88" i="18"/>
  <c r="K89" i="18"/>
  <c r="D90" i="18"/>
  <c r="V90" i="18"/>
  <c r="O91" i="18"/>
  <c r="H92" i="18"/>
  <c r="C93" i="18"/>
  <c r="U93" i="18"/>
  <c r="N94" i="18"/>
  <c r="E95" i="18"/>
  <c r="U95" i="18"/>
  <c r="L96" i="18"/>
  <c r="C97" i="18"/>
  <c r="S97" i="18"/>
  <c r="J98" i="18"/>
  <c r="Z98" i="18"/>
  <c r="Q99" i="18"/>
  <c r="H100" i="18"/>
  <c r="X100" i="18"/>
  <c r="O101" i="18"/>
  <c r="F102" i="18"/>
  <c r="V102" i="18"/>
  <c r="M103" i="18"/>
  <c r="D104" i="18"/>
  <c r="T104" i="18"/>
  <c r="E13" i="18"/>
  <c r="K25" i="18"/>
  <c r="Q36" i="18"/>
  <c r="AA43" i="18"/>
  <c r="E49" i="18"/>
  <c r="W51" i="18"/>
  <c r="Y53" i="18"/>
  <c r="X55" i="18"/>
  <c r="Q58" i="18"/>
  <c r="K60" i="18"/>
  <c r="V61" i="18"/>
  <c r="I63" i="18"/>
  <c r="O64" i="18"/>
  <c r="R65" i="18"/>
  <c r="W66" i="18"/>
  <c r="X67" i="18"/>
  <c r="X68" i="18"/>
  <c r="Z69" i="18"/>
  <c r="V70" i="18"/>
  <c r="U71" i="18"/>
  <c r="S72" i="18"/>
  <c r="R73" i="18"/>
  <c r="P74" i="18"/>
  <c r="N75" i="18"/>
  <c r="K76" i="18"/>
  <c r="F77" i="18"/>
  <c r="C78" i="18"/>
  <c r="Y78" i="18"/>
  <c r="T79" i="18"/>
  <c r="Q80" i="18"/>
  <c r="J81" i="18"/>
  <c r="E82" i="18"/>
  <c r="W82" i="18"/>
  <c r="P83" i="18"/>
  <c r="I84" i="18"/>
  <c r="AA84" i="18"/>
  <c r="T85" i="18"/>
  <c r="M86" i="18"/>
  <c r="H87" i="18"/>
  <c r="Z87" i="18"/>
  <c r="S88" i="18"/>
  <c r="L89" i="18"/>
  <c r="E90" i="18"/>
  <c r="W90" i="18"/>
  <c r="P91" i="18"/>
  <c r="K92" i="18"/>
  <c r="D93" i="18"/>
  <c r="V93" i="18"/>
  <c r="O94" i="18"/>
  <c r="F95" i="18"/>
  <c r="V95" i="18"/>
  <c r="M96" i="18"/>
  <c r="D97" i="18"/>
  <c r="T97" i="18"/>
  <c r="K98" i="18"/>
  <c r="AA98" i="18"/>
  <c r="R99" i="18"/>
  <c r="I100" i="18"/>
  <c r="Y100" i="18"/>
  <c r="P101" i="18"/>
  <c r="G102" i="18"/>
  <c r="W102" i="18"/>
  <c r="N103" i="18"/>
  <c r="E104" i="18"/>
  <c r="U104" i="18"/>
  <c r="L105" i="18"/>
  <c r="C106" i="18"/>
  <c r="S106" i="18"/>
  <c r="J107" i="18"/>
  <c r="Z107" i="18"/>
  <c r="Q108" i="18"/>
  <c r="H109" i="18"/>
  <c r="X109" i="18"/>
  <c r="O110" i="18"/>
  <c r="F111" i="18"/>
  <c r="V111" i="18"/>
  <c r="M112" i="18"/>
  <c r="D113" i="18"/>
  <c r="T113" i="18"/>
  <c r="K114" i="18"/>
  <c r="AA114" i="18"/>
  <c r="R115" i="18"/>
  <c r="I116" i="18"/>
  <c r="Y116" i="18"/>
  <c r="P117" i="18"/>
  <c r="G118" i="18"/>
  <c r="W118" i="18"/>
  <c r="N119" i="18"/>
  <c r="E120" i="18"/>
  <c r="U120" i="18"/>
  <c r="L121" i="18"/>
  <c r="C122" i="18"/>
  <c r="S122" i="18"/>
  <c r="J123" i="18"/>
  <c r="Z123" i="18"/>
  <c r="Q124" i="18"/>
  <c r="H125" i="18"/>
  <c r="X125" i="18"/>
  <c r="O126" i="18"/>
  <c r="F127" i="18"/>
  <c r="V127" i="18"/>
  <c r="M128" i="18"/>
  <c r="D129" i="18"/>
  <c r="T129" i="18"/>
  <c r="K130" i="18"/>
  <c r="AA130" i="18"/>
  <c r="R131" i="18"/>
  <c r="I132" i="18"/>
  <c r="Y132" i="18"/>
  <c r="P133" i="18"/>
  <c r="G134" i="18"/>
  <c r="W134" i="18"/>
  <c r="N135" i="18"/>
  <c r="E136" i="18"/>
  <c r="U136" i="18"/>
  <c r="L137" i="18"/>
  <c r="C138" i="18"/>
  <c r="S138" i="18"/>
  <c r="J139" i="18"/>
  <c r="Z139" i="18"/>
  <c r="Q140" i="18"/>
  <c r="H141" i="18"/>
  <c r="X141" i="18"/>
  <c r="O142" i="18"/>
  <c r="F143" i="18"/>
  <c r="V143" i="18"/>
  <c r="M144" i="18"/>
  <c r="U13" i="18"/>
  <c r="AA25" i="18"/>
  <c r="H37" i="18"/>
  <c r="K44" i="18"/>
  <c r="N49" i="18"/>
  <c r="AA51" i="18"/>
  <c r="Z53" i="18"/>
  <c r="Y55" i="18"/>
  <c r="U58" i="18"/>
  <c r="N60" i="18"/>
  <c r="Z61" i="18"/>
  <c r="J63" i="18"/>
  <c r="P64" i="18"/>
  <c r="S65" i="18"/>
  <c r="X66" i="18"/>
  <c r="Y67" i="18"/>
  <c r="AA68" i="18"/>
  <c r="AA69" i="18"/>
  <c r="Y70" i="18"/>
  <c r="X71" i="18"/>
  <c r="T72" i="18"/>
  <c r="S73" i="18"/>
  <c r="Q74" i="18"/>
  <c r="O75" i="18"/>
  <c r="L76" i="18"/>
  <c r="G77" i="18"/>
  <c r="D78" i="18"/>
  <c r="Z78" i="18"/>
  <c r="U79" i="18"/>
  <c r="R80" i="18"/>
  <c r="K81" i="18"/>
  <c r="F82" i="18"/>
  <c r="X82" i="18"/>
  <c r="Q83" i="18"/>
  <c r="J84" i="18"/>
  <c r="C85" i="18"/>
  <c r="U85" i="18"/>
  <c r="N86" i="18"/>
  <c r="I87" i="18"/>
  <c r="AA87" i="18"/>
  <c r="T88" i="18"/>
  <c r="M89" i="18"/>
  <c r="F90" i="18"/>
  <c r="X90" i="18"/>
  <c r="Q91" i="18"/>
  <c r="L92" i="18"/>
  <c r="E93" i="18"/>
  <c r="W93" i="18"/>
  <c r="P94" i="18"/>
  <c r="G95" i="18"/>
  <c r="W95" i="18"/>
  <c r="N96" i="18"/>
  <c r="E97" i="18"/>
  <c r="U97" i="18"/>
  <c r="L98" i="18"/>
  <c r="C99" i="18"/>
  <c r="S99" i="18"/>
  <c r="J100" i="18"/>
  <c r="Z100" i="18"/>
  <c r="Q101" i="18"/>
  <c r="L14" i="18"/>
  <c r="R26" i="18"/>
  <c r="X37" i="18"/>
  <c r="R44" i="18"/>
  <c r="U49" i="18"/>
  <c r="C52" i="18"/>
  <c r="AA53" i="18"/>
  <c r="F57" i="18"/>
  <c r="V58" i="18"/>
  <c r="O60" i="18"/>
  <c r="AA61" i="18"/>
  <c r="L63" i="18"/>
  <c r="Q64" i="18"/>
  <c r="V65" i="18"/>
  <c r="C16" i="18"/>
  <c r="I27" i="18"/>
  <c r="O38" i="18"/>
  <c r="AA44" i="18"/>
  <c r="D50" i="18"/>
  <c r="D52" i="18"/>
  <c r="H54" i="18"/>
  <c r="I57" i="18"/>
  <c r="W58" i="18"/>
  <c r="S60" i="18"/>
  <c r="C62" i="18"/>
  <c r="P63" i="18"/>
  <c r="S64" i="18"/>
  <c r="W65" i="18"/>
  <c r="Z66" i="18"/>
  <c r="E68" i="18"/>
  <c r="D69" i="18"/>
  <c r="D70" i="18"/>
  <c r="AA70" i="18"/>
  <c r="Z71" i="18"/>
  <c r="X72" i="18"/>
  <c r="W73" i="18"/>
  <c r="U74" i="18"/>
  <c r="Q75" i="18"/>
  <c r="N76" i="18"/>
  <c r="K77" i="18"/>
  <c r="F78" i="18"/>
  <c r="C79" i="18"/>
  <c r="Y79" i="18"/>
  <c r="T80" i="18"/>
  <c r="O81" i="18"/>
  <c r="H82" i="18"/>
  <c r="Z82" i="18"/>
  <c r="S83" i="18"/>
  <c r="L84" i="18"/>
  <c r="E85" i="18"/>
  <c r="W85" i="18"/>
  <c r="R86" i="18"/>
  <c r="K87" i="18"/>
  <c r="D88" i="18"/>
  <c r="V88" i="18"/>
  <c r="O89" i="18"/>
  <c r="H90" i="18"/>
  <c r="Z90" i="18"/>
  <c r="U91" i="18"/>
  <c r="N92" i="18"/>
  <c r="G93" i="18"/>
  <c r="Y93" i="18"/>
  <c r="R94" i="18"/>
  <c r="I95" i="18"/>
  <c r="Y95" i="18"/>
  <c r="P96" i="18"/>
  <c r="G97" i="18"/>
  <c r="W97" i="18"/>
  <c r="N98" i="18"/>
  <c r="E99" i="18"/>
  <c r="U99" i="18"/>
  <c r="L100" i="18"/>
  <c r="C101" i="18"/>
  <c r="S101" i="18"/>
  <c r="J102" i="18"/>
  <c r="Z102" i="18"/>
  <c r="Q103" i="18"/>
  <c r="H104" i="18"/>
  <c r="X104" i="18"/>
  <c r="O105" i="18"/>
  <c r="F106" i="18"/>
  <c r="V106" i="18"/>
  <c r="M107" i="18"/>
  <c r="D108" i="18"/>
  <c r="T108" i="18"/>
  <c r="K109" i="18"/>
  <c r="AA109" i="18"/>
  <c r="R110" i="18"/>
  <c r="I111" i="18"/>
  <c r="Y111" i="18"/>
  <c r="P112" i="18"/>
  <c r="G113" i="18"/>
  <c r="W113" i="18"/>
  <c r="N114" i="18"/>
  <c r="E115" i="18"/>
  <c r="U115" i="18"/>
  <c r="L116" i="18"/>
  <c r="C117" i="18"/>
  <c r="S117" i="18"/>
  <c r="J118" i="18"/>
  <c r="Z118" i="18"/>
  <c r="Q119" i="18"/>
  <c r="H120" i="18"/>
  <c r="X120" i="18"/>
  <c r="S16" i="18"/>
  <c r="Y27" i="18"/>
  <c r="F39" i="18"/>
  <c r="I45" i="18"/>
  <c r="E50" i="18"/>
  <c r="J52" i="18"/>
  <c r="L54" i="18"/>
  <c r="J57" i="18"/>
  <c r="D59" i="18"/>
  <c r="T60" i="18"/>
  <c r="E62" i="18"/>
  <c r="S63" i="18"/>
  <c r="W64" i="18"/>
  <c r="X65" i="18"/>
  <c r="D67" i="18"/>
  <c r="F68" i="18"/>
  <c r="F69" i="18"/>
  <c r="E70" i="18"/>
  <c r="D71" i="18"/>
  <c r="AA71" i="18"/>
  <c r="Y72" i="18"/>
  <c r="X73" i="18"/>
  <c r="V74" i="18"/>
  <c r="T75" i="18"/>
  <c r="O76" i="18"/>
  <c r="L77" i="18"/>
  <c r="I78" i="18"/>
  <c r="D79" i="18"/>
  <c r="Z79" i="18"/>
  <c r="W80" i="18"/>
  <c r="P81" i="18"/>
  <c r="I82" i="18"/>
  <c r="AA82" i="18"/>
  <c r="T83" i="18"/>
  <c r="M84" i="18"/>
  <c r="F85" i="18"/>
  <c r="Z85" i="18"/>
  <c r="S86" i="18"/>
  <c r="L87" i="18"/>
  <c r="E88" i="18"/>
  <c r="W88" i="18"/>
  <c r="P89" i="18"/>
  <c r="I90" i="18"/>
  <c r="D91" i="18"/>
  <c r="V91" i="18"/>
  <c r="O92" i="18"/>
  <c r="H93" i="18"/>
  <c r="Z93" i="18"/>
  <c r="S94" i="18"/>
  <c r="J95" i="18"/>
  <c r="Z95" i="18"/>
  <c r="Q96" i="18"/>
  <c r="H97" i="18"/>
  <c r="X97" i="18"/>
  <c r="O98" i="18"/>
  <c r="F99" i="18"/>
  <c r="V99" i="18"/>
  <c r="M100" i="18"/>
  <c r="D101" i="18"/>
  <c r="T101" i="18"/>
  <c r="K102" i="18"/>
  <c r="J17" i="18"/>
  <c r="P28" i="18"/>
  <c r="O39" i="18"/>
  <c r="R45" i="18"/>
  <c r="L50" i="18"/>
  <c r="N52" i="18"/>
  <c r="P54" i="18"/>
  <c r="N57" i="18"/>
  <c r="G59" i="18"/>
  <c r="U60" i="18"/>
  <c r="I62" i="18"/>
  <c r="T63" i="18"/>
  <c r="Y64" i="18"/>
  <c r="Z65" i="18"/>
  <c r="E67" i="18"/>
  <c r="G68" i="18"/>
  <c r="G69" i="18"/>
  <c r="F70" i="18"/>
  <c r="E71" i="18"/>
  <c r="C72" i="18"/>
  <c r="AA72" i="18"/>
  <c r="Y73" i="18"/>
  <c r="W74" i="18"/>
  <c r="U75" i="18"/>
  <c r="P76" i="18"/>
  <c r="M77" i="18"/>
  <c r="J78" i="18"/>
  <c r="E79" i="18"/>
  <c r="AA79" i="18"/>
  <c r="X80" i="18"/>
  <c r="Q81" i="18"/>
  <c r="J82" i="18"/>
  <c r="C83" i="18"/>
  <c r="U83" i="18"/>
  <c r="N84" i="18"/>
  <c r="G85" i="18"/>
  <c r="AA85" i="18"/>
  <c r="T86" i="18"/>
  <c r="M87" i="18"/>
  <c r="F88" i="18"/>
  <c r="X88" i="18"/>
  <c r="Q89" i="18"/>
  <c r="J90" i="18"/>
  <c r="E91" i="18"/>
  <c r="W91" i="18"/>
  <c r="P92" i="18"/>
  <c r="I93" i="18"/>
  <c r="AA93" i="18"/>
  <c r="T94" i="18"/>
  <c r="K95" i="18"/>
  <c r="AA95" i="18"/>
  <c r="R96" i="18"/>
  <c r="I97" i="18"/>
  <c r="Y97" i="18"/>
  <c r="P98" i="18"/>
  <c r="G99" i="18"/>
  <c r="W99" i="18"/>
  <c r="N100" i="18"/>
  <c r="E101" i="18"/>
  <c r="U101" i="18"/>
  <c r="L102" i="18"/>
  <c r="C103" i="18"/>
  <c r="S103" i="18"/>
  <c r="J104" i="18"/>
  <c r="Z104" i="18"/>
  <c r="Q105" i="18"/>
  <c r="H106" i="18"/>
  <c r="X106" i="18"/>
  <c r="O107" i="18"/>
  <c r="F108" i="18"/>
  <c r="V108" i="18"/>
  <c r="M109" i="18"/>
  <c r="D110" i="18"/>
  <c r="T110" i="18"/>
  <c r="K111" i="18"/>
  <c r="AA111" i="18"/>
  <c r="R112" i="18"/>
  <c r="I113" i="18"/>
  <c r="Y113" i="18"/>
  <c r="P114" i="18"/>
  <c r="G115" i="18"/>
  <c r="W115" i="18"/>
  <c r="N116" i="18"/>
  <c r="E117" i="18"/>
  <c r="U117" i="18"/>
  <c r="L118" i="18"/>
  <c r="C119" i="18"/>
  <c r="S119" i="18"/>
  <c r="J120" i="18"/>
  <c r="Z120" i="18"/>
  <c r="Q121" i="18"/>
  <c r="H122" i="18"/>
  <c r="X122" i="18"/>
  <c r="O123" i="18"/>
  <c r="F124" i="18"/>
  <c r="V124" i="18"/>
  <c r="M125" i="18"/>
  <c r="Z17" i="18"/>
  <c r="G29" i="18"/>
  <c r="V39" i="18"/>
  <c r="Y45" i="18"/>
  <c r="P50" i="18"/>
  <c r="R52" i="18"/>
  <c r="Q54" i="18"/>
  <c r="O57" i="18"/>
  <c r="H59" i="18"/>
  <c r="W60" i="18"/>
  <c r="L62" i="18"/>
  <c r="U63" i="18"/>
  <c r="Z64" i="18"/>
  <c r="E66" i="18"/>
  <c r="F67" i="18"/>
  <c r="H68" i="18"/>
  <c r="J69" i="18"/>
  <c r="I70" i="18"/>
  <c r="H71" i="18"/>
  <c r="D72" i="18"/>
  <c r="C73" i="18"/>
  <c r="Z73" i="18"/>
  <c r="Y74" i="18"/>
  <c r="V75" i="18"/>
  <c r="S76" i="18"/>
  <c r="N77" i="18"/>
  <c r="K78" i="18"/>
  <c r="H79" i="18"/>
  <c r="C80" i="18"/>
  <c r="Y80" i="18"/>
  <c r="R81" i="18"/>
  <c r="K82" i="18"/>
  <c r="D83" i="18"/>
  <c r="V83" i="18"/>
  <c r="O84" i="18"/>
  <c r="J85" i="18"/>
  <c r="C86" i="18"/>
  <c r="U86" i="18"/>
  <c r="N87" i="18"/>
  <c r="G88" i="18"/>
  <c r="Y88" i="18"/>
  <c r="R89" i="18"/>
  <c r="M90" i="18"/>
  <c r="F91" i="18"/>
  <c r="X91" i="18"/>
  <c r="Q92" i="18"/>
  <c r="J93" i="18"/>
  <c r="C94" i="18"/>
  <c r="U94" i="18"/>
  <c r="L95" i="18"/>
  <c r="C96" i="18"/>
  <c r="S96" i="18"/>
  <c r="J97" i="18"/>
  <c r="Z97" i="18"/>
  <c r="Q98" i="18"/>
  <c r="H99" i="18"/>
  <c r="X99" i="18"/>
  <c r="O100" i="18"/>
  <c r="F101" i="18"/>
  <c r="V101" i="18"/>
  <c r="M102" i="18"/>
  <c r="D103" i="18"/>
  <c r="Q18" i="18"/>
  <c r="W29" i="18"/>
  <c r="F40" i="18"/>
  <c r="I46" i="18"/>
  <c r="T50" i="18"/>
  <c r="S52" i="18"/>
  <c r="R54" i="18"/>
  <c r="P57" i="18"/>
  <c r="L59" i="18"/>
  <c r="AA60" i="18"/>
  <c r="M62" i="18"/>
  <c r="X63" i="18"/>
  <c r="AA64" i="18"/>
  <c r="G66" i="18"/>
  <c r="H67" i="18"/>
  <c r="K68" i="18"/>
  <c r="L69" i="18"/>
  <c r="J70" i="18"/>
  <c r="I71" i="18"/>
  <c r="G72" i="18"/>
  <c r="F73" i="18"/>
  <c r="AA73" i="18"/>
  <c r="Z74" i="18"/>
  <c r="W75" i="18"/>
  <c r="T76" i="18"/>
  <c r="O77" i="18"/>
  <c r="L78" i="18"/>
  <c r="I79" i="18"/>
  <c r="D80" i="18"/>
  <c r="Z80" i="18"/>
  <c r="S81" i="18"/>
  <c r="L82" i="18"/>
  <c r="E83" i="18"/>
  <c r="W83" i="18"/>
  <c r="P84" i="18"/>
  <c r="K85" i="18"/>
  <c r="D86" i="18"/>
  <c r="V86" i="18"/>
  <c r="O87" i="18"/>
  <c r="H88" i="18"/>
  <c r="Z88" i="18"/>
  <c r="S89" i="18"/>
  <c r="N90" i="18"/>
  <c r="G91" i="18"/>
  <c r="Y91" i="18"/>
  <c r="R92" i="18"/>
  <c r="K93" i="18"/>
  <c r="D94" i="18"/>
  <c r="V94" i="18"/>
  <c r="M95" i="18"/>
  <c r="D96" i="18"/>
  <c r="T96" i="18"/>
  <c r="K97" i="18"/>
  <c r="AA97" i="18"/>
  <c r="R98" i="18"/>
  <c r="I99" i="18"/>
  <c r="Y99" i="18"/>
  <c r="P100" i="18"/>
  <c r="G101" i="18"/>
  <c r="W101" i="18"/>
  <c r="N102" i="18"/>
  <c r="E103" i="18"/>
  <c r="U103" i="18"/>
  <c r="L104" i="18"/>
  <c r="C105" i="18"/>
  <c r="S105" i="18"/>
  <c r="J106" i="18"/>
  <c r="Z106" i="18"/>
  <c r="Q107" i="18"/>
  <c r="H108" i="18"/>
  <c r="X108" i="18"/>
  <c r="O109" i="18"/>
  <c r="F110" i="18"/>
  <c r="V110" i="18"/>
  <c r="M111" i="18"/>
  <c r="D112" i="18"/>
  <c r="T112" i="18"/>
  <c r="K113" i="18"/>
  <c r="AA113" i="18"/>
  <c r="R114" i="18"/>
  <c r="I115" i="18"/>
  <c r="Y115" i="18"/>
  <c r="P116" i="18"/>
  <c r="G117" i="18"/>
  <c r="W117" i="18"/>
  <c r="N118" i="18"/>
  <c r="E119" i="18"/>
  <c r="U119" i="18"/>
  <c r="L120" i="18"/>
  <c r="C121" i="18"/>
  <c r="S121" i="18"/>
  <c r="J122" i="18"/>
  <c r="Z122" i="18"/>
  <c r="Q123" i="18"/>
  <c r="H124" i="18"/>
  <c r="X124" i="18"/>
  <c r="O125" i="18"/>
  <c r="F126" i="18"/>
  <c r="V126" i="18"/>
  <c r="M127" i="18"/>
  <c r="D128" i="18"/>
  <c r="T128" i="18"/>
  <c r="K129" i="18"/>
  <c r="AA129" i="18"/>
  <c r="R130" i="18"/>
  <c r="I131" i="18"/>
  <c r="Y131" i="18"/>
  <c r="P132" i="18"/>
  <c r="G133" i="18"/>
  <c r="W133" i="18"/>
  <c r="N134" i="18"/>
  <c r="E135" i="18"/>
  <c r="U135" i="18"/>
  <c r="L136" i="18"/>
  <c r="C137" i="18"/>
  <c r="S137" i="18"/>
  <c r="J138" i="18"/>
  <c r="Z138" i="18"/>
  <c r="Q139" i="18"/>
  <c r="H140" i="18"/>
  <c r="X140" i="18"/>
  <c r="O141" i="18"/>
  <c r="H19" i="18"/>
  <c r="N30" i="18"/>
  <c r="M40" i="18"/>
  <c r="P46" i="18"/>
  <c r="U50" i="18"/>
  <c r="T52" i="18"/>
  <c r="X54" i="18"/>
  <c r="V57" i="18"/>
  <c r="M59" i="18"/>
  <c r="E61" i="18"/>
  <c r="Q62" i="18"/>
  <c r="Y63" i="18"/>
  <c r="C65" i="18"/>
  <c r="H66" i="18"/>
  <c r="L67" i="18"/>
  <c r="L68" i="18"/>
  <c r="M69" i="18"/>
  <c r="P47" i="18"/>
  <c r="R69" i="18"/>
  <c r="R74" i="18"/>
  <c r="J79" i="18"/>
  <c r="I83" i="18"/>
  <c r="J87" i="18"/>
  <c r="T90" i="18"/>
  <c r="S93" i="18"/>
  <c r="J96" i="18"/>
  <c r="X98" i="18"/>
  <c r="M101" i="18"/>
  <c r="O103" i="18"/>
  <c r="Y104" i="18"/>
  <c r="E106" i="18"/>
  <c r="I107" i="18"/>
  <c r="L108" i="18"/>
  <c r="P109" i="18"/>
  <c r="Q110" i="18"/>
  <c r="R111" i="18"/>
  <c r="S112" i="18"/>
  <c r="S113" i="18"/>
  <c r="U114" i="18"/>
  <c r="T115" i="18"/>
  <c r="U116" i="18"/>
  <c r="V117" i="18"/>
  <c r="V118" i="18"/>
  <c r="X119" i="18"/>
  <c r="W120" i="18"/>
  <c r="W121" i="18"/>
  <c r="U122" i="18"/>
  <c r="T123" i="18"/>
  <c r="R124" i="18"/>
  <c r="P125" i="18"/>
  <c r="L126" i="18"/>
  <c r="I127" i="18"/>
  <c r="E128" i="18"/>
  <c r="Z128" i="18"/>
  <c r="W129" i="18"/>
  <c r="S130" i="18"/>
  <c r="O131" i="18"/>
  <c r="L132" i="18"/>
  <c r="H133" i="18"/>
  <c r="D134" i="18"/>
  <c r="Z134" i="18"/>
  <c r="T135" i="18"/>
  <c r="O136" i="18"/>
  <c r="H137" i="18"/>
  <c r="Z137" i="18"/>
  <c r="T138" i="18"/>
  <c r="M139" i="18"/>
  <c r="F140" i="18"/>
  <c r="Y140" i="18"/>
  <c r="R141" i="18"/>
  <c r="J142" i="18"/>
  <c r="AA142" i="18"/>
  <c r="S143" i="18"/>
  <c r="K144" i="18"/>
  <c r="C145" i="18"/>
  <c r="S145" i="18"/>
  <c r="J146" i="18"/>
  <c r="Z146" i="18"/>
  <c r="Q147" i="18"/>
  <c r="H148" i="18"/>
  <c r="X148" i="18"/>
  <c r="O149" i="18"/>
  <c r="F150" i="18"/>
  <c r="V150" i="18"/>
  <c r="M151" i="18"/>
  <c r="D152" i="18"/>
  <c r="T152" i="18"/>
  <c r="K153" i="18"/>
  <c r="AA153" i="18"/>
  <c r="R154" i="18"/>
  <c r="I155" i="18"/>
  <c r="Y155" i="18"/>
  <c r="P156" i="18"/>
  <c r="G157" i="18"/>
  <c r="W157" i="18"/>
  <c r="N158" i="18"/>
  <c r="E159" i="18"/>
  <c r="U159" i="18"/>
  <c r="L160" i="18"/>
  <c r="C161" i="18"/>
  <c r="S161" i="18"/>
  <c r="J162" i="18"/>
  <c r="Z162" i="18"/>
  <c r="Q163" i="18"/>
  <c r="H164" i="18"/>
  <c r="X164" i="18"/>
  <c r="O165" i="18"/>
  <c r="F166" i="18"/>
  <c r="V166" i="18"/>
  <c r="M167" i="18"/>
  <c r="D168" i="18"/>
  <c r="T168" i="18"/>
  <c r="K169" i="18"/>
  <c r="AA169" i="18"/>
  <c r="R170" i="18"/>
  <c r="I171" i="18"/>
  <c r="Y171" i="18"/>
  <c r="P172" i="18"/>
  <c r="G173" i="18"/>
  <c r="W173" i="18"/>
  <c r="N174" i="18"/>
  <c r="E175" i="18"/>
  <c r="U175" i="18"/>
  <c r="L176" i="18"/>
  <c r="C177" i="18"/>
  <c r="S177" i="18"/>
  <c r="J178" i="18"/>
  <c r="Z178" i="18"/>
  <c r="G51" i="18"/>
  <c r="C70" i="18"/>
  <c r="D75" i="18"/>
  <c r="M79" i="18"/>
  <c r="R83" i="18"/>
  <c r="P87" i="18"/>
  <c r="Y90" i="18"/>
  <c r="X93" i="18"/>
  <c r="O96" i="18"/>
  <c r="D99" i="18"/>
  <c r="R101" i="18"/>
  <c r="P103" i="18"/>
  <c r="AA104" i="18"/>
  <c r="G106" i="18"/>
  <c r="K107" i="18"/>
  <c r="N108" i="18"/>
  <c r="R109" i="18"/>
  <c r="S110" i="18"/>
  <c r="S111" i="18"/>
  <c r="U112" i="18"/>
  <c r="U113" i="18"/>
  <c r="V114" i="18"/>
  <c r="V115" i="18"/>
  <c r="V116" i="18"/>
  <c r="X117" i="18"/>
  <c r="X118" i="18"/>
  <c r="Y119" i="18"/>
  <c r="Y120" i="18"/>
  <c r="X121" i="18"/>
  <c r="V122" i="18"/>
  <c r="U123" i="18"/>
  <c r="S124" i="18"/>
  <c r="R125" i="18"/>
  <c r="N126" i="18"/>
  <c r="J127" i="18"/>
  <c r="G128" i="18"/>
  <c r="C129" i="18"/>
  <c r="X129" i="18"/>
  <c r="U130" i="18"/>
  <c r="Q131" i="18"/>
  <c r="M132" i="18"/>
  <c r="J133" i="18"/>
  <c r="F134" i="18"/>
  <c r="AA134" i="18"/>
  <c r="V135" i="18"/>
  <c r="P136" i="18"/>
  <c r="I137" i="18"/>
  <c r="AA137" i="18"/>
  <c r="U138" i="18"/>
  <c r="N139" i="18"/>
  <c r="G140" i="18"/>
  <c r="Z140" i="18"/>
  <c r="S141" i="18"/>
  <c r="K142" i="18"/>
  <c r="C143" i="18"/>
  <c r="T143" i="18"/>
  <c r="L144" i="18"/>
  <c r="D145" i="18"/>
  <c r="T145" i="18"/>
  <c r="K146" i="18"/>
  <c r="AA146" i="18"/>
  <c r="R147" i="18"/>
  <c r="I148" i="18"/>
  <c r="Y148" i="18"/>
  <c r="P149" i="18"/>
  <c r="G150" i="18"/>
  <c r="W150" i="18"/>
  <c r="N151" i="18"/>
  <c r="E152" i="18"/>
  <c r="U152" i="18"/>
  <c r="L153" i="18"/>
  <c r="C154" i="18"/>
  <c r="S154" i="18"/>
  <c r="J155" i="18"/>
  <c r="Z155" i="18"/>
  <c r="Q156" i="18"/>
  <c r="H157" i="18"/>
  <c r="X157" i="18"/>
  <c r="O158" i="18"/>
  <c r="F159" i="18"/>
  <c r="V159" i="18"/>
  <c r="M160" i="18"/>
  <c r="D161" i="18"/>
  <c r="T161" i="18"/>
  <c r="K162" i="18"/>
  <c r="AA162" i="18"/>
  <c r="R163" i="18"/>
  <c r="I164" i="18"/>
  <c r="Y164" i="18"/>
  <c r="P165" i="18"/>
  <c r="G166" i="18"/>
  <c r="W166" i="18"/>
  <c r="N167" i="18"/>
  <c r="E168" i="18"/>
  <c r="U168" i="18"/>
  <c r="L169" i="18"/>
  <c r="C170" i="18"/>
  <c r="S170" i="18"/>
  <c r="J171" i="18"/>
  <c r="Z171" i="18"/>
  <c r="Q172" i="18"/>
  <c r="H173" i="18"/>
  <c r="X173" i="18"/>
  <c r="O174" i="18"/>
  <c r="F175" i="18"/>
  <c r="V175" i="18"/>
  <c r="M176" i="18"/>
  <c r="D177" i="18"/>
  <c r="T177" i="18"/>
  <c r="K178" i="18"/>
  <c r="AA178" i="18"/>
  <c r="I53" i="18"/>
  <c r="K70" i="18"/>
  <c r="G75" i="18"/>
  <c r="X79" i="18"/>
  <c r="X83" i="18"/>
  <c r="S87" i="18"/>
  <c r="H91" i="18"/>
  <c r="E94" i="18"/>
  <c r="U96" i="18"/>
  <c r="J99" i="18"/>
  <c r="X101" i="18"/>
  <c r="R103" i="18"/>
  <c r="D105" i="18"/>
  <c r="I106" i="18"/>
  <c r="L107" i="18"/>
  <c r="P108" i="18"/>
  <c r="S109" i="18"/>
  <c r="U110" i="18"/>
  <c r="U111" i="18"/>
  <c r="W112" i="18"/>
  <c r="V113" i="18"/>
  <c r="W114" i="18"/>
  <c r="X115" i="18"/>
  <c r="X116" i="18"/>
  <c r="Z117" i="18"/>
  <c r="Y118" i="18"/>
  <c r="Z119" i="18"/>
  <c r="AA120" i="18"/>
  <c r="Y121" i="18"/>
  <c r="W122" i="18"/>
  <c r="V123" i="18"/>
  <c r="T124" i="18"/>
  <c r="S125" i="18"/>
  <c r="P126" i="18"/>
  <c r="K127" i="18"/>
  <c r="H128" i="18"/>
  <c r="E129" i="18"/>
  <c r="Y129" i="18"/>
  <c r="V130" i="18"/>
  <c r="S131" i="18"/>
  <c r="N132" i="18"/>
  <c r="K133" i="18"/>
  <c r="H134" i="18"/>
  <c r="C135" i="18"/>
  <c r="X135" i="18"/>
  <c r="Q136" i="18"/>
  <c r="J137" i="18"/>
  <c r="D138" i="18"/>
  <c r="V138" i="18"/>
  <c r="O139" i="18"/>
  <c r="I140" i="18"/>
  <c r="AA140" i="18"/>
  <c r="T141" i="18"/>
  <c r="L142" i="18"/>
  <c r="D143" i="18"/>
  <c r="U143" i="18"/>
  <c r="N144" i="18"/>
  <c r="E145" i="18"/>
  <c r="U145" i="18"/>
  <c r="L146" i="18"/>
  <c r="C147" i="18"/>
  <c r="S147" i="18"/>
  <c r="J148" i="18"/>
  <c r="Z148" i="18"/>
  <c r="Q149" i="18"/>
  <c r="H150" i="18"/>
  <c r="X150" i="18"/>
  <c r="O151" i="18"/>
  <c r="F152" i="18"/>
  <c r="V152" i="18"/>
  <c r="M153" i="18"/>
  <c r="D154" i="18"/>
  <c r="T154" i="18"/>
  <c r="K155" i="18"/>
  <c r="AA155" i="18"/>
  <c r="R156" i="18"/>
  <c r="I157" i="18"/>
  <c r="Y157" i="18"/>
  <c r="P158" i="18"/>
  <c r="G159" i="18"/>
  <c r="W159" i="18"/>
  <c r="N160" i="18"/>
  <c r="E161" i="18"/>
  <c r="U161" i="18"/>
  <c r="L162" i="18"/>
  <c r="C163" i="18"/>
  <c r="S163" i="18"/>
  <c r="J164" i="18"/>
  <c r="Z164" i="18"/>
  <c r="Q165" i="18"/>
  <c r="H166" i="18"/>
  <c r="X166" i="18"/>
  <c r="O167" i="18"/>
  <c r="F168" i="18"/>
  <c r="V168" i="18"/>
  <c r="M169" i="18"/>
  <c r="D170" i="18"/>
  <c r="T170" i="18"/>
  <c r="K171" i="18"/>
  <c r="AA171" i="18"/>
  <c r="R172" i="18"/>
  <c r="I173" i="18"/>
  <c r="Y173" i="18"/>
  <c r="P174" i="18"/>
  <c r="G175" i="18"/>
  <c r="W175" i="18"/>
  <c r="N176" i="18"/>
  <c r="E177" i="18"/>
  <c r="U177" i="18"/>
  <c r="L178" i="18"/>
  <c r="H55" i="18"/>
  <c r="Q70" i="18"/>
  <c r="P75" i="18"/>
  <c r="G80" i="18"/>
  <c r="D84" i="18"/>
  <c r="C88" i="18"/>
  <c r="K91" i="18"/>
  <c r="J94" i="18"/>
  <c r="X96" i="18"/>
  <c r="M99" i="18"/>
  <c r="AA101" i="18"/>
  <c r="T103" i="18"/>
  <c r="G105" i="18"/>
  <c r="K106" i="18"/>
  <c r="N107" i="18"/>
  <c r="R108" i="18"/>
  <c r="U109" i="18"/>
  <c r="W110" i="18"/>
  <c r="W111" i="18"/>
  <c r="X112" i="18"/>
  <c r="X113" i="18"/>
  <c r="X114" i="18"/>
  <c r="Z115" i="18"/>
  <c r="Z116" i="18"/>
  <c r="AA117" i="18"/>
  <c r="AA118" i="18"/>
  <c r="AA119" i="18"/>
  <c r="D121" i="18"/>
  <c r="AA121" i="18"/>
  <c r="Y122" i="18"/>
  <c r="W123" i="18"/>
  <c r="U124" i="18"/>
  <c r="T125" i="18"/>
  <c r="Q126" i="18"/>
  <c r="L127" i="18"/>
  <c r="I128" i="18"/>
  <c r="F129" i="18"/>
  <c r="Z129" i="18"/>
  <c r="W130" i="18"/>
  <c r="T131" i="18"/>
  <c r="O132" i="18"/>
  <c r="L133" i="18"/>
  <c r="I134" i="18"/>
  <c r="D135" i="18"/>
  <c r="Y135" i="18"/>
  <c r="R136" i="18"/>
  <c r="K137" i="18"/>
  <c r="E138" i="18"/>
  <c r="W138" i="18"/>
  <c r="P139" i="18"/>
  <c r="J140" i="18"/>
  <c r="C141" i="18"/>
  <c r="U141" i="18"/>
  <c r="M142" i="18"/>
  <c r="E143" i="18"/>
  <c r="W143" i="18"/>
  <c r="O144" i="18"/>
  <c r="F145" i="18"/>
  <c r="V145" i="18"/>
  <c r="M146" i="18"/>
  <c r="D147" i="18"/>
  <c r="T147" i="18"/>
  <c r="K148" i="18"/>
  <c r="AA148" i="18"/>
  <c r="R149" i="18"/>
  <c r="I150" i="18"/>
  <c r="Y150" i="18"/>
  <c r="P151" i="18"/>
  <c r="G152" i="18"/>
  <c r="W152" i="18"/>
  <c r="N153" i="18"/>
  <c r="E154" i="18"/>
  <c r="U154" i="18"/>
  <c r="L155" i="18"/>
  <c r="C156" i="18"/>
  <c r="S156" i="18"/>
  <c r="J157" i="18"/>
  <c r="Z157" i="18"/>
  <c r="Q158" i="18"/>
  <c r="H159" i="18"/>
  <c r="X159" i="18"/>
  <c r="O160" i="18"/>
  <c r="F161" i="18"/>
  <c r="V161" i="18"/>
  <c r="M162" i="18"/>
  <c r="D163" i="18"/>
  <c r="T163" i="18"/>
  <c r="K164" i="18"/>
  <c r="AA164" i="18"/>
  <c r="R165" i="18"/>
  <c r="I166" i="18"/>
  <c r="Y166" i="18"/>
  <c r="P167" i="18"/>
  <c r="G168" i="18"/>
  <c r="W168" i="18"/>
  <c r="N169" i="18"/>
  <c r="E170" i="18"/>
  <c r="U170" i="18"/>
  <c r="L171" i="18"/>
  <c r="C172" i="18"/>
  <c r="S172" i="18"/>
  <c r="J173" i="18"/>
  <c r="Z173" i="18"/>
  <c r="Q174" i="18"/>
  <c r="H175" i="18"/>
  <c r="X175" i="18"/>
  <c r="O176" i="18"/>
  <c r="F177" i="18"/>
  <c r="V177" i="18"/>
  <c r="M178" i="18"/>
  <c r="E58" i="18"/>
  <c r="Z70" i="18"/>
  <c r="X75" i="18"/>
  <c r="J80" i="18"/>
  <c r="K84" i="18"/>
  <c r="I88" i="18"/>
  <c r="M91" i="18"/>
  <c r="L94" i="18"/>
  <c r="Z96" i="18"/>
  <c r="O99" i="18"/>
  <c r="D102" i="18"/>
  <c r="V103" i="18"/>
  <c r="I105" i="18"/>
  <c r="M106" i="18"/>
  <c r="P107" i="18"/>
  <c r="S108" i="18"/>
  <c r="W109" i="18"/>
  <c r="Y110" i="18"/>
  <c r="X111" i="18"/>
  <c r="Y112" i="18"/>
  <c r="Z113" i="18"/>
  <c r="Z114" i="18"/>
  <c r="C116" i="18"/>
  <c r="AA116" i="18"/>
  <c r="C118" i="18"/>
  <c r="D119" i="18"/>
  <c r="D120" i="18"/>
  <c r="F121" i="18"/>
  <c r="D122" i="18"/>
  <c r="AA122" i="18"/>
  <c r="Y123" i="18"/>
  <c r="W124" i="18"/>
  <c r="U125" i="18"/>
  <c r="R126" i="18"/>
  <c r="N127" i="18"/>
  <c r="J128" i="18"/>
  <c r="G129" i="18"/>
  <c r="C130" i="18"/>
  <c r="X130" i="18"/>
  <c r="U131" i="18"/>
  <c r="Q132" i="18"/>
  <c r="M133" i="18"/>
  <c r="J134" i="18"/>
  <c r="F135" i="18"/>
  <c r="Z135" i="18"/>
  <c r="S136" i="18"/>
  <c r="M137" i="18"/>
  <c r="F138" i="18"/>
  <c r="X138" i="18"/>
  <c r="R139" i="18"/>
  <c r="K140" i="18"/>
  <c r="D141" i="18"/>
  <c r="V141" i="18"/>
  <c r="N142" i="18"/>
  <c r="G143" i="18"/>
  <c r="X143" i="18"/>
  <c r="P144" i="18"/>
  <c r="G145" i="18"/>
  <c r="W145" i="18"/>
  <c r="N146" i="18"/>
  <c r="E147" i="18"/>
  <c r="U147" i="18"/>
  <c r="L148" i="18"/>
  <c r="C149" i="18"/>
  <c r="S149" i="18"/>
  <c r="J150" i="18"/>
  <c r="Z150" i="18"/>
  <c r="Q151" i="18"/>
  <c r="H152" i="18"/>
  <c r="X152" i="18"/>
  <c r="O153" i="18"/>
  <c r="F154" i="18"/>
  <c r="V154" i="18"/>
  <c r="M155" i="18"/>
  <c r="D156" i="18"/>
  <c r="T156" i="18"/>
  <c r="K157" i="18"/>
  <c r="AA157" i="18"/>
  <c r="R158" i="18"/>
  <c r="I159" i="18"/>
  <c r="Y159" i="18"/>
  <c r="P160" i="18"/>
  <c r="G161" i="18"/>
  <c r="W161" i="18"/>
  <c r="N162" i="18"/>
  <c r="E163" i="18"/>
  <c r="U163" i="18"/>
  <c r="L164" i="18"/>
  <c r="C165" i="18"/>
  <c r="S165" i="18"/>
  <c r="J166" i="18"/>
  <c r="Z166" i="18"/>
  <c r="Q167" i="18"/>
  <c r="H168" i="18"/>
  <c r="X168" i="18"/>
  <c r="O169" i="18"/>
  <c r="F170" i="18"/>
  <c r="V170" i="18"/>
  <c r="M171" i="18"/>
  <c r="D172" i="18"/>
  <c r="T172" i="18"/>
  <c r="K173" i="18"/>
  <c r="AA173" i="18"/>
  <c r="R174" i="18"/>
  <c r="I175" i="18"/>
  <c r="Y175" i="18"/>
  <c r="P176" i="18"/>
  <c r="G177" i="18"/>
  <c r="W177" i="18"/>
  <c r="N178" i="18"/>
  <c r="W59" i="18"/>
  <c r="J71" i="18"/>
  <c r="D76" i="18"/>
  <c r="S80" i="18"/>
  <c r="S84" i="18"/>
  <c r="L88" i="18"/>
  <c r="T91" i="18"/>
  <c r="Q94" i="18"/>
  <c r="F97" i="18"/>
  <c r="T99" i="18"/>
  <c r="H102" i="18"/>
  <c r="Y103" i="18"/>
  <c r="K105" i="18"/>
  <c r="N106" i="18"/>
  <c r="R107" i="18"/>
  <c r="U108" i="18"/>
  <c r="Y109" i="18"/>
  <c r="Z110" i="18"/>
  <c r="Z111" i="18"/>
  <c r="Z112" i="18"/>
  <c r="C114" i="18"/>
  <c r="C115" i="18"/>
  <c r="D116" i="18"/>
  <c r="D117" i="18"/>
  <c r="D118" i="18"/>
  <c r="F119" i="18"/>
  <c r="F120" i="18"/>
  <c r="G121" i="18"/>
  <c r="E122" i="18"/>
  <c r="D123" i="18"/>
  <c r="AA123" i="18"/>
  <c r="Y124" i="18"/>
  <c r="W125" i="18"/>
  <c r="S126" i="18"/>
  <c r="P127" i="18"/>
  <c r="L128" i="18"/>
  <c r="H129" i="18"/>
  <c r="E130" i="18"/>
  <c r="Z130" i="18"/>
  <c r="V131" i="18"/>
  <c r="S132" i="18"/>
  <c r="O133" i="18"/>
  <c r="K134" i="18"/>
  <c r="H135" i="18"/>
  <c r="AA135" i="18"/>
  <c r="T136" i="18"/>
  <c r="N137" i="18"/>
  <c r="G138" i="18"/>
  <c r="Y138" i="18"/>
  <c r="S139" i="18"/>
  <c r="L140" i="18"/>
  <c r="E141" i="18"/>
  <c r="W141" i="18"/>
  <c r="P142" i="18"/>
  <c r="H143" i="18"/>
  <c r="Y143" i="18"/>
  <c r="Q144" i="18"/>
  <c r="H145" i="18"/>
  <c r="X145" i="18"/>
  <c r="O146" i="18"/>
  <c r="F147" i="18"/>
  <c r="V147" i="18"/>
  <c r="M148" i="18"/>
  <c r="D149" i="18"/>
  <c r="T149" i="18"/>
  <c r="K150" i="18"/>
  <c r="AA150" i="18"/>
  <c r="R151" i="18"/>
  <c r="I152" i="18"/>
  <c r="Y152" i="18"/>
  <c r="P153" i="18"/>
  <c r="G154" i="18"/>
  <c r="W154" i="18"/>
  <c r="N155" i="18"/>
  <c r="E156" i="18"/>
  <c r="U156" i="18"/>
  <c r="L157" i="18"/>
  <c r="C158" i="18"/>
  <c r="S158" i="18"/>
  <c r="J159" i="18"/>
  <c r="Z159" i="18"/>
  <c r="Q160" i="18"/>
  <c r="H161" i="18"/>
  <c r="X161" i="18"/>
  <c r="O162" i="18"/>
  <c r="F163" i="18"/>
  <c r="V163" i="18"/>
  <c r="M164" i="18"/>
  <c r="D165" i="18"/>
  <c r="T165" i="18"/>
  <c r="K166" i="18"/>
  <c r="AA166" i="18"/>
  <c r="R167" i="18"/>
  <c r="I168" i="18"/>
  <c r="Y168" i="18"/>
  <c r="P169" i="18"/>
  <c r="G170" i="18"/>
  <c r="W170" i="18"/>
  <c r="N171" i="18"/>
  <c r="E172" i="18"/>
  <c r="U172" i="18"/>
  <c r="L173" i="18"/>
  <c r="C174" i="18"/>
  <c r="S174" i="18"/>
  <c r="J175" i="18"/>
  <c r="Z175" i="18"/>
  <c r="Q176" i="18"/>
  <c r="H177" i="18"/>
  <c r="X177" i="18"/>
  <c r="O178" i="18"/>
  <c r="K61" i="18"/>
  <c r="M71" i="18"/>
  <c r="M76" i="18"/>
  <c r="AA80" i="18"/>
  <c r="V84" i="18"/>
  <c r="U88" i="18"/>
  <c r="Z91" i="18"/>
  <c r="W94" i="18"/>
  <c r="L97" i="18"/>
  <c r="Z99" i="18"/>
  <c r="I102" i="18"/>
  <c r="AA103" i="18"/>
  <c r="M105" i="18"/>
  <c r="P106" i="18"/>
  <c r="T107" i="18"/>
  <c r="W108" i="18"/>
  <c r="Z109" i="18"/>
  <c r="AA110" i="18"/>
  <c r="C112" i="18"/>
  <c r="C113" i="18"/>
  <c r="E114" i="18"/>
  <c r="D115" i="18"/>
  <c r="E116" i="18"/>
  <c r="F117" i="18"/>
  <c r="F118" i="18"/>
  <c r="H119" i="18"/>
  <c r="G120" i="18"/>
  <c r="H121" i="18"/>
  <c r="F122" i="18"/>
  <c r="E123" i="18"/>
  <c r="C124" i="18"/>
  <c r="AA124" i="18"/>
  <c r="Y125" i="18"/>
  <c r="T126" i="18"/>
  <c r="Q127" i="18"/>
  <c r="N128" i="18"/>
  <c r="I129" i="18"/>
  <c r="F130" i="18"/>
  <c r="C131" i="18"/>
  <c r="W131" i="18"/>
  <c r="T132" i="18"/>
  <c r="Q133" i="18"/>
  <c r="L134" i="18"/>
  <c r="I135" i="18"/>
  <c r="C136" i="18"/>
  <c r="V136" i="18"/>
  <c r="O137" i="18"/>
  <c r="H138" i="18"/>
  <c r="AA138" i="18"/>
  <c r="T139" i="18"/>
  <c r="M140" i="18"/>
  <c r="F141" i="18"/>
  <c r="Y141" i="18"/>
  <c r="Q142" i="18"/>
  <c r="I143" i="18"/>
  <c r="Z143" i="18"/>
  <c r="R144" i="18"/>
  <c r="I145" i="18"/>
  <c r="Y145" i="18"/>
  <c r="P146" i="18"/>
  <c r="G147" i="18"/>
  <c r="W147" i="18"/>
  <c r="N148" i="18"/>
  <c r="E149" i="18"/>
  <c r="U149" i="18"/>
  <c r="L150" i="18"/>
  <c r="C151" i="18"/>
  <c r="S151" i="18"/>
  <c r="J152" i="18"/>
  <c r="Z152" i="18"/>
  <c r="Q153" i="18"/>
  <c r="H154" i="18"/>
  <c r="X154" i="18"/>
  <c r="O155" i="18"/>
  <c r="F156" i="18"/>
  <c r="V156" i="18"/>
  <c r="M157" i="18"/>
  <c r="D158" i="18"/>
  <c r="T158" i="18"/>
  <c r="K159" i="18"/>
  <c r="AA159" i="18"/>
  <c r="R160" i="18"/>
  <c r="I161" i="18"/>
  <c r="Y161" i="18"/>
  <c r="P162" i="18"/>
  <c r="G163" i="18"/>
  <c r="W163" i="18"/>
  <c r="N164" i="18"/>
  <c r="E165" i="18"/>
  <c r="U165" i="18"/>
  <c r="L166" i="18"/>
  <c r="C167" i="18"/>
  <c r="S167" i="18"/>
  <c r="J168" i="18"/>
  <c r="Z168" i="18"/>
  <c r="Q169" i="18"/>
  <c r="H170" i="18"/>
  <c r="X170" i="18"/>
  <c r="O171" i="18"/>
  <c r="F172" i="18"/>
  <c r="V172" i="18"/>
  <c r="M173" i="18"/>
  <c r="D174" i="18"/>
  <c r="T174" i="18"/>
  <c r="K175" i="18"/>
  <c r="AA175" i="18"/>
  <c r="R176" i="18"/>
  <c r="I177" i="18"/>
  <c r="Y177" i="18"/>
  <c r="P178" i="18"/>
  <c r="U62" i="18"/>
  <c r="Y71" i="18"/>
  <c r="U76" i="18"/>
  <c r="E81" i="18"/>
  <c r="D85" i="18"/>
  <c r="AA88" i="18"/>
  <c r="D92" i="18"/>
  <c r="Z94" i="18"/>
  <c r="O97" i="18"/>
  <c r="D100" i="18"/>
  <c r="O102" i="18"/>
  <c r="F104" i="18"/>
  <c r="N105" i="18"/>
  <c r="R106" i="18"/>
  <c r="U107" i="18"/>
  <c r="Y108" i="18"/>
  <c r="C110" i="18"/>
  <c r="C111" i="18"/>
  <c r="E112" i="18"/>
  <c r="E113" i="18"/>
  <c r="F114" i="18"/>
  <c r="F115" i="18"/>
  <c r="F116" i="18"/>
  <c r="H117" i="18"/>
  <c r="H118" i="18"/>
  <c r="I119" i="18"/>
  <c r="I120" i="18"/>
  <c r="I121" i="18"/>
  <c r="G122" i="18"/>
  <c r="F123" i="18"/>
  <c r="D124" i="18"/>
  <c r="C125" i="18"/>
  <c r="Z125" i="18"/>
  <c r="U126" i="18"/>
  <c r="R127" i="18"/>
  <c r="O128" i="18"/>
  <c r="J129" i="18"/>
  <c r="G130" i="18"/>
  <c r="D131" i="18"/>
  <c r="X131" i="18"/>
  <c r="U132" i="18"/>
  <c r="R133" i="18"/>
  <c r="M134" i="18"/>
  <c r="J135" i="18"/>
  <c r="D136" i="18"/>
  <c r="W136" i="18"/>
  <c r="P137" i="18"/>
  <c r="I138" i="18"/>
  <c r="C139" i="18"/>
  <c r="U139" i="18"/>
  <c r="N140" i="18"/>
  <c r="G141" i="18"/>
  <c r="Z141" i="18"/>
  <c r="R142" i="18"/>
  <c r="J143" i="18"/>
  <c r="AA143" i="18"/>
  <c r="S144" i="18"/>
  <c r="J145" i="18"/>
  <c r="Z145" i="18"/>
  <c r="Q146" i="18"/>
  <c r="H147" i="18"/>
  <c r="X147" i="18"/>
  <c r="O148" i="18"/>
  <c r="F149" i="18"/>
  <c r="V149" i="18"/>
  <c r="M150" i="18"/>
  <c r="D151" i="18"/>
  <c r="T151" i="18"/>
  <c r="K152" i="18"/>
  <c r="AA152" i="18"/>
  <c r="R153" i="18"/>
  <c r="I154" i="18"/>
  <c r="Y154" i="18"/>
  <c r="P155" i="18"/>
  <c r="G156" i="18"/>
  <c r="W156" i="18"/>
  <c r="N157" i="18"/>
  <c r="E158" i="18"/>
  <c r="U158" i="18"/>
  <c r="L159" i="18"/>
  <c r="C160" i="18"/>
  <c r="S160" i="18"/>
  <c r="J161" i="18"/>
  <c r="Z161" i="18"/>
  <c r="Q162" i="18"/>
  <c r="H163" i="18"/>
  <c r="X163" i="18"/>
  <c r="O164" i="18"/>
  <c r="F165" i="18"/>
  <c r="V165" i="18"/>
  <c r="M166" i="18"/>
  <c r="D167" i="18"/>
  <c r="T167" i="18"/>
  <c r="K168" i="18"/>
  <c r="AA168" i="18"/>
  <c r="R169" i="18"/>
  <c r="I170" i="18"/>
  <c r="Y170" i="18"/>
  <c r="P171" i="18"/>
  <c r="G172" i="18"/>
  <c r="W172" i="18"/>
  <c r="N173" i="18"/>
  <c r="E174" i="18"/>
  <c r="U174" i="18"/>
  <c r="L175" i="18"/>
  <c r="C176" i="18"/>
  <c r="S176" i="18"/>
  <c r="J177" i="18"/>
  <c r="Z177" i="18"/>
  <c r="Q178" i="18"/>
  <c r="G64" i="18"/>
  <c r="H72" i="18"/>
  <c r="X76" i="18"/>
  <c r="N81" i="18"/>
  <c r="L85" i="18"/>
  <c r="G89" i="18"/>
  <c r="F92" i="18"/>
  <c r="C95" i="18"/>
  <c r="Q97" i="18"/>
  <c r="F100" i="18"/>
  <c r="R102" i="18"/>
  <c r="G104" i="18"/>
  <c r="P105" i="18"/>
  <c r="T106" i="18"/>
  <c r="W107" i="18"/>
  <c r="AA108" i="18"/>
  <c r="E110" i="18"/>
  <c r="E111" i="18"/>
  <c r="G112" i="18"/>
  <c r="F113" i="18"/>
  <c r="G114" i="18"/>
  <c r="H115" i="18"/>
  <c r="H116" i="18"/>
  <c r="J117" i="18"/>
  <c r="I118" i="18"/>
  <c r="J119" i="18"/>
  <c r="K120" i="18"/>
  <c r="K121" i="18"/>
  <c r="I122" i="18"/>
  <c r="G123" i="18"/>
  <c r="E124" i="18"/>
  <c r="D125" i="18"/>
  <c r="AA125" i="18"/>
  <c r="W126" i="18"/>
  <c r="S127" i="18"/>
  <c r="P128" i="18"/>
  <c r="L129" i="18"/>
  <c r="H130" i="18"/>
  <c r="E131" i="18"/>
  <c r="Z131" i="18"/>
  <c r="V132" i="18"/>
  <c r="S133" i="18"/>
  <c r="O134" i="18"/>
  <c r="K135" i="18"/>
  <c r="F136" i="18"/>
  <c r="X136" i="18"/>
  <c r="Q137" i="18"/>
  <c r="K138" i="18"/>
  <c r="D139" i="18"/>
  <c r="V139" i="18"/>
  <c r="O140" i="18"/>
  <c r="I141" i="18"/>
  <c r="AA141" i="18"/>
  <c r="S142" i="18"/>
  <c r="K143" i="18"/>
  <c r="C144" i="18"/>
  <c r="T144" i="18"/>
  <c r="K145" i="18"/>
  <c r="AA145" i="18"/>
  <c r="R146" i="18"/>
  <c r="I147" i="18"/>
  <c r="Y147" i="18"/>
  <c r="P148" i="18"/>
  <c r="G149" i="18"/>
  <c r="W149" i="18"/>
  <c r="N150" i="18"/>
  <c r="E151" i="18"/>
  <c r="U151" i="18"/>
  <c r="L152" i="18"/>
  <c r="C153" i="18"/>
  <c r="S153" i="18"/>
  <c r="J154" i="18"/>
  <c r="Z154" i="18"/>
  <c r="Q155" i="18"/>
  <c r="H156" i="18"/>
  <c r="X156" i="18"/>
  <c r="O157" i="18"/>
  <c r="F158" i="18"/>
  <c r="V158" i="18"/>
  <c r="M159" i="18"/>
  <c r="D160" i="18"/>
  <c r="T160" i="18"/>
  <c r="K161" i="18"/>
  <c r="AA161" i="18"/>
  <c r="R162" i="18"/>
  <c r="I163" i="18"/>
  <c r="Y163" i="18"/>
  <c r="P164" i="18"/>
  <c r="G165" i="18"/>
  <c r="W165" i="18"/>
  <c r="N166" i="18"/>
  <c r="E167" i="18"/>
  <c r="U167" i="18"/>
  <c r="L168" i="18"/>
  <c r="C169" i="18"/>
  <c r="S169" i="18"/>
  <c r="J170" i="18"/>
  <c r="Z170" i="18"/>
  <c r="Q171" i="18"/>
  <c r="H172" i="18"/>
  <c r="X172" i="18"/>
  <c r="O173" i="18"/>
  <c r="F174" i="18"/>
  <c r="V174" i="18"/>
  <c r="M175" i="18"/>
  <c r="D176" i="18"/>
  <c r="T176" i="18"/>
  <c r="K177" i="18"/>
  <c r="AA177" i="18"/>
  <c r="R178" i="18"/>
  <c r="H65" i="18"/>
  <c r="L72" i="18"/>
  <c r="J77" i="18"/>
  <c r="T81" i="18"/>
  <c r="O85" i="18"/>
  <c r="N89" i="18"/>
  <c r="M92" i="18"/>
  <c r="H95" i="18"/>
  <c r="V97" i="18"/>
  <c r="K100" i="18"/>
  <c r="T102" i="18"/>
  <c r="I104" i="18"/>
  <c r="R105" i="18"/>
  <c r="U106" i="18"/>
  <c r="Y107" i="18"/>
  <c r="C109" i="18"/>
  <c r="G110" i="18"/>
  <c r="G111" i="18"/>
  <c r="H112" i="18"/>
  <c r="H113" i="18"/>
  <c r="H114" i="18"/>
  <c r="J115" i="18"/>
  <c r="J116" i="18"/>
  <c r="K117" i="18"/>
  <c r="K118" i="18"/>
  <c r="K119" i="18"/>
  <c r="M120" i="18"/>
  <c r="M121" i="18"/>
  <c r="K122" i="18"/>
  <c r="I123" i="18"/>
  <c r="G124" i="18"/>
  <c r="E125" i="18"/>
  <c r="C126" i="18"/>
  <c r="Y126" i="18"/>
  <c r="U127" i="18"/>
  <c r="Q128" i="18"/>
  <c r="N129" i="18"/>
  <c r="J130" i="18"/>
  <c r="F131" i="18"/>
  <c r="C132" i="18"/>
  <c r="X132" i="18"/>
  <c r="T133" i="18"/>
  <c r="Q134" i="18"/>
  <c r="L135" i="18"/>
  <c r="G136" i="18"/>
  <c r="Y136" i="18"/>
  <c r="R137" i="18"/>
  <c r="L138" i="18"/>
  <c r="E139" i="18"/>
  <c r="W139" i="18"/>
  <c r="P140" i="18"/>
  <c r="J141" i="18"/>
  <c r="C142" i="18"/>
  <c r="T142" i="18"/>
  <c r="L143" i="18"/>
  <c r="D144" i="18"/>
  <c r="U144" i="18"/>
  <c r="L145" i="18"/>
  <c r="C146" i="18"/>
  <c r="S146" i="18"/>
  <c r="J147" i="18"/>
  <c r="Z147" i="18"/>
  <c r="Q148" i="18"/>
  <c r="H149" i="18"/>
  <c r="X149" i="18"/>
  <c r="O150" i="18"/>
  <c r="F151" i="18"/>
  <c r="V151" i="18"/>
  <c r="M152" i="18"/>
  <c r="D153" i="18"/>
  <c r="T153" i="18"/>
  <c r="K154" i="18"/>
  <c r="AA154" i="18"/>
  <c r="R155" i="18"/>
  <c r="I156" i="18"/>
  <c r="Y156" i="18"/>
  <c r="P157" i="18"/>
  <c r="G158" i="18"/>
  <c r="W158" i="18"/>
  <c r="N159" i="18"/>
  <c r="E160" i="18"/>
  <c r="U160" i="18"/>
  <c r="L161" i="18"/>
  <c r="C162" i="18"/>
  <c r="S162" i="18"/>
  <c r="J163" i="18"/>
  <c r="Z163" i="18"/>
  <c r="Q164" i="18"/>
  <c r="H165" i="18"/>
  <c r="X165" i="18"/>
  <c r="O166" i="18"/>
  <c r="F167" i="18"/>
  <c r="V167" i="18"/>
  <c r="M168" i="18"/>
  <c r="D169" i="18"/>
  <c r="T169" i="18"/>
  <c r="K170" i="18"/>
  <c r="AA170" i="18"/>
  <c r="R171" i="18"/>
  <c r="I172" i="18"/>
  <c r="Y172" i="18"/>
  <c r="P173" i="18"/>
  <c r="G174" i="18"/>
  <c r="W174" i="18"/>
  <c r="N175" i="18"/>
  <c r="E176" i="18"/>
  <c r="U176" i="18"/>
  <c r="L177" i="18"/>
  <c r="C178" i="18"/>
  <c r="S178" i="18"/>
  <c r="M66" i="18"/>
  <c r="W72" i="18"/>
  <c r="R77" i="18"/>
  <c r="W81" i="18"/>
  <c r="V85" i="18"/>
  <c r="V89" i="18"/>
  <c r="S92" i="18"/>
  <c r="N95" i="18"/>
  <c r="C98" i="18"/>
  <c r="Q100" i="18"/>
  <c r="X102" i="18"/>
  <c r="K104" i="18"/>
  <c r="T105" i="18"/>
  <c r="W106" i="18"/>
  <c r="AA107" i="18"/>
  <c r="E109" i="18"/>
  <c r="I110" i="18"/>
  <c r="H111" i="18"/>
  <c r="I112" i="18"/>
  <c r="J113" i="18"/>
  <c r="J114" i="18"/>
  <c r="L115" i="18"/>
  <c r="K116" i="18"/>
  <c r="L117" i="18"/>
  <c r="M118" i="18"/>
  <c r="M119" i="18"/>
  <c r="O120" i="18"/>
  <c r="N121" i="18"/>
  <c r="M122" i="18"/>
  <c r="K123" i="18"/>
  <c r="I124" i="18"/>
  <c r="G125" i="18"/>
  <c r="D126" i="18"/>
  <c r="Z126" i="18"/>
  <c r="W127" i="18"/>
  <c r="R128" i="18"/>
  <c r="O129" i="18"/>
  <c r="L130" i="18"/>
  <c r="G131" i="18"/>
  <c r="D132" i="18"/>
  <c r="Z132" i="18"/>
  <c r="U133" i="18"/>
  <c r="R134" i="18"/>
  <c r="M135" i="18"/>
  <c r="H136" i="18"/>
  <c r="Z136" i="18"/>
  <c r="T137" i="18"/>
  <c r="M138" i="18"/>
  <c r="F139" i="18"/>
  <c r="X139" i="18"/>
  <c r="R140" i="18"/>
  <c r="K141" i="18"/>
  <c r="D142" i="18"/>
  <c r="U142" i="18"/>
  <c r="M143" i="18"/>
  <c r="E144" i="18"/>
  <c r="V144" i="18"/>
  <c r="M145" i="18"/>
  <c r="D146" i="18"/>
  <c r="T146" i="18"/>
  <c r="K147" i="18"/>
  <c r="AA147" i="18"/>
  <c r="R148" i="18"/>
  <c r="I149" i="18"/>
  <c r="Y149" i="18"/>
  <c r="P150" i="18"/>
  <c r="G151" i="18"/>
  <c r="W151" i="18"/>
  <c r="N152" i="18"/>
  <c r="E153" i="18"/>
  <c r="U153" i="18"/>
  <c r="L154" i="18"/>
  <c r="C155" i="18"/>
  <c r="S155" i="18"/>
  <c r="J156" i="18"/>
  <c r="Z156" i="18"/>
  <c r="Q157" i="18"/>
  <c r="H158" i="18"/>
  <c r="X158" i="18"/>
  <c r="O159" i="18"/>
  <c r="F160" i="18"/>
  <c r="V160" i="18"/>
  <c r="M161" i="18"/>
  <c r="D162" i="18"/>
  <c r="T162" i="18"/>
  <c r="K163" i="18"/>
  <c r="AA163" i="18"/>
  <c r="R164" i="18"/>
  <c r="I165" i="18"/>
  <c r="Y165" i="18"/>
  <c r="P166" i="18"/>
  <c r="G167" i="18"/>
  <c r="W167" i="18"/>
  <c r="N168" i="18"/>
  <c r="E169" i="18"/>
  <c r="U169" i="18"/>
  <c r="L170" i="18"/>
  <c r="C171" i="18"/>
  <c r="S171" i="18"/>
  <c r="J172" i="18"/>
  <c r="Z172" i="18"/>
  <c r="Q173" i="18"/>
  <c r="H174" i="18"/>
  <c r="X174" i="18"/>
  <c r="O175" i="18"/>
  <c r="F176" i="18"/>
  <c r="V176" i="18"/>
  <c r="M177" i="18"/>
  <c r="D178" i="18"/>
  <c r="T178" i="18"/>
  <c r="Y66" i="18"/>
  <c r="G73" i="18"/>
  <c r="U77" i="18"/>
  <c r="G82" i="18"/>
  <c r="E86" i="18"/>
  <c r="Y89" i="18"/>
  <c r="V92" i="18"/>
  <c r="Q95" i="18"/>
  <c r="F98" i="18"/>
  <c r="T100" i="18"/>
  <c r="Y102" i="18"/>
  <c r="M104" i="18"/>
  <c r="V105" i="18"/>
  <c r="Y106" i="18"/>
  <c r="C108" i="18"/>
  <c r="G109" i="18"/>
  <c r="J110" i="18"/>
  <c r="J111" i="18"/>
  <c r="J112" i="18"/>
  <c r="L113" i="18"/>
  <c r="L114" i="18"/>
  <c r="M115" i="18"/>
  <c r="M116" i="18"/>
  <c r="M117" i="18"/>
  <c r="O118" i="18"/>
  <c r="O119" i="18"/>
  <c r="P120" i="18"/>
  <c r="O121" i="18"/>
  <c r="N122" i="18"/>
  <c r="L123" i="18"/>
  <c r="K124" i="18"/>
  <c r="I125" i="18"/>
  <c r="E126" i="18"/>
  <c r="AA126" i="18"/>
  <c r="X127" i="18"/>
  <c r="S128" i="18"/>
  <c r="P129" i="18"/>
  <c r="M130" i="18"/>
  <c r="H131" i="18"/>
  <c r="E132" i="18"/>
  <c r="AA132" i="18"/>
  <c r="V133" i="18"/>
  <c r="S134" i="18"/>
  <c r="O135" i="18"/>
  <c r="I136" i="18"/>
  <c r="AA136" i="18"/>
  <c r="U137" i="18"/>
  <c r="N138" i="18"/>
  <c r="G139" i="18"/>
  <c r="Y139" i="18"/>
  <c r="S140" i="18"/>
  <c r="L141" i="18"/>
  <c r="E142" i="18"/>
  <c r="V142" i="18"/>
  <c r="N143" i="18"/>
  <c r="F144" i="18"/>
  <c r="W144" i="18"/>
  <c r="N145" i="18"/>
  <c r="E146" i="18"/>
  <c r="U146" i="18"/>
  <c r="L147" i="18"/>
  <c r="C148" i="18"/>
  <c r="S148" i="18"/>
  <c r="J149" i="18"/>
  <c r="Z149" i="18"/>
  <c r="Q150" i="18"/>
  <c r="H151" i="18"/>
  <c r="X151" i="18"/>
  <c r="O152" i="18"/>
  <c r="F153" i="18"/>
  <c r="V153" i="18"/>
  <c r="M154" i="18"/>
  <c r="D155" i="18"/>
  <c r="T155" i="18"/>
  <c r="K156" i="18"/>
  <c r="AA156" i="18"/>
  <c r="R157" i="18"/>
  <c r="I158" i="18"/>
  <c r="Y158" i="18"/>
  <c r="P159" i="18"/>
  <c r="G160" i="18"/>
  <c r="W160" i="18"/>
  <c r="N161" i="18"/>
  <c r="E162" i="18"/>
  <c r="U162" i="18"/>
  <c r="L163" i="18"/>
  <c r="C164" i="18"/>
  <c r="S164" i="18"/>
  <c r="J165" i="18"/>
  <c r="Z165" i="18"/>
  <c r="Q166" i="18"/>
  <c r="H167" i="18"/>
  <c r="X167" i="18"/>
  <c r="O168" i="18"/>
  <c r="F169" i="18"/>
  <c r="V169" i="18"/>
  <c r="M170" i="18"/>
  <c r="D171" i="18"/>
  <c r="T171" i="18"/>
  <c r="K172" i="18"/>
  <c r="AA172" i="18"/>
  <c r="R173" i="18"/>
  <c r="I174" i="18"/>
  <c r="Y174" i="18"/>
  <c r="P175" i="18"/>
  <c r="G176" i="18"/>
  <c r="W176" i="18"/>
  <c r="N177" i="18"/>
  <c r="E178" i="18"/>
  <c r="U178" i="18"/>
  <c r="P67" i="18"/>
  <c r="J73" i="18"/>
  <c r="E78" i="18"/>
  <c r="M82" i="18"/>
  <c r="H86" i="18"/>
  <c r="AA89" i="18"/>
  <c r="X92" i="18"/>
  <c r="S95" i="18"/>
  <c r="H98" i="18"/>
  <c r="V100" i="18"/>
  <c r="AA102" i="18"/>
  <c r="P104" i="18"/>
  <c r="W105" i="18"/>
  <c r="AA106" i="18"/>
  <c r="E108" i="18"/>
  <c r="I109" i="18"/>
  <c r="K110" i="18"/>
  <c r="L111" i="18"/>
  <c r="L112" i="18"/>
  <c r="N113" i="18"/>
  <c r="M114" i="18"/>
  <c r="N115" i="18"/>
  <c r="O116" i="18"/>
  <c r="O117" i="18"/>
  <c r="Q118" i="18"/>
  <c r="P119" i="18"/>
  <c r="Q120" i="18"/>
  <c r="P121" i="18"/>
  <c r="O122" i="18"/>
  <c r="M123" i="18"/>
  <c r="L124" i="18"/>
  <c r="J125" i="18"/>
  <c r="G126" i="18"/>
  <c r="C127" i="18"/>
  <c r="Y127" i="18"/>
  <c r="U128" i="18"/>
  <c r="Q129" i="18"/>
  <c r="N130" i="18"/>
  <c r="J131" i="18"/>
  <c r="F132" i="18"/>
  <c r="C133" i="18"/>
  <c r="X133" i="18"/>
  <c r="T134" i="18"/>
  <c r="P135" i="18"/>
  <c r="J136" i="18"/>
  <c r="D137" i="18"/>
  <c r="V137" i="18"/>
  <c r="O138" i="18"/>
  <c r="H139" i="18"/>
  <c r="AA139" i="18"/>
  <c r="T140" i="18"/>
  <c r="M141" i="18"/>
  <c r="F142" i="18"/>
  <c r="W142" i="18"/>
  <c r="O143" i="18"/>
  <c r="G144" i="18"/>
  <c r="X144" i="18"/>
  <c r="O145" i="18"/>
  <c r="F146" i="18"/>
  <c r="V146" i="18"/>
  <c r="M147" i="18"/>
  <c r="D148" i="18"/>
  <c r="T148" i="18"/>
  <c r="K149" i="18"/>
  <c r="AA149" i="18"/>
  <c r="R150" i="18"/>
  <c r="I151" i="18"/>
  <c r="Y151" i="18"/>
  <c r="P152" i="18"/>
  <c r="G153" i="18"/>
  <c r="W153" i="18"/>
  <c r="N154" i="18"/>
  <c r="E155" i="18"/>
  <c r="U155" i="18"/>
  <c r="L156" i="18"/>
  <c r="C157" i="18"/>
  <c r="S157" i="18"/>
  <c r="J158" i="18"/>
  <c r="Z158" i="18"/>
  <c r="Q159" i="18"/>
  <c r="H160" i="18"/>
  <c r="X160" i="18"/>
  <c r="O161" i="18"/>
  <c r="F162" i="18"/>
  <c r="V162" i="18"/>
  <c r="M163" i="18"/>
  <c r="D164" i="18"/>
  <c r="T164" i="18"/>
  <c r="K165" i="18"/>
  <c r="AA165" i="18"/>
  <c r="R166" i="18"/>
  <c r="I167" i="18"/>
  <c r="Y167" i="18"/>
  <c r="P168" i="18"/>
  <c r="G169" i="18"/>
  <c r="W169" i="18"/>
  <c r="N170" i="18"/>
  <c r="E171" i="18"/>
  <c r="U171" i="18"/>
  <c r="L172" i="18"/>
  <c r="C173" i="18"/>
  <c r="S173" i="18"/>
  <c r="J174" i="18"/>
  <c r="Z174" i="18"/>
  <c r="Q175" i="18"/>
  <c r="H176" i="18"/>
  <c r="X176" i="18"/>
  <c r="O177" i="18"/>
  <c r="F178" i="18"/>
  <c r="V178" i="18"/>
  <c r="C68" i="18"/>
  <c r="V73" i="18"/>
  <c r="M78" i="18"/>
  <c r="P82" i="18"/>
  <c r="Q86" i="18"/>
  <c r="G90" i="18"/>
  <c r="F93" i="18"/>
  <c r="X95" i="18"/>
  <c r="M98" i="18"/>
  <c r="AA100" i="18"/>
  <c r="F103" i="18"/>
  <c r="R104" i="18"/>
  <c r="Y105" i="18"/>
  <c r="D107" i="18"/>
  <c r="G108" i="18"/>
  <c r="J109" i="18"/>
  <c r="L110" i="18"/>
  <c r="N111" i="18"/>
  <c r="N112" i="18"/>
  <c r="O113" i="18"/>
  <c r="O114" i="18"/>
  <c r="O115" i="18"/>
  <c r="Q116" i="18"/>
  <c r="Q117" i="18"/>
  <c r="R118" i="18"/>
  <c r="R119" i="18"/>
  <c r="R120" i="18"/>
  <c r="R121" i="18"/>
  <c r="P122" i="18"/>
  <c r="N123" i="18"/>
  <c r="M124" i="18"/>
  <c r="K125" i="18"/>
  <c r="I126" i="18"/>
  <c r="E127" i="18"/>
  <c r="Z127" i="18"/>
  <c r="W128" i="18"/>
  <c r="S129" i="18"/>
  <c r="O130" i="18"/>
  <c r="L131" i="18"/>
  <c r="H132" i="18"/>
  <c r="D133" i="18"/>
  <c r="Z133" i="18"/>
  <c r="V134" i="18"/>
  <c r="Q135" i="18"/>
  <c r="K136" i="18"/>
  <c r="E137" i="18"/>
  <c r="W137" i="18"/>
  <c r="P138" i="18"/>
  <c r="I139" i="18"/>
  <c r="C140" i="18"/>
  <c r="U140" i="18"/>
  <c r="N141" i="18"/>
  <c r="G142" i="18"/>
  <c r="X142" i="18"/>
  <c r="P143" i="18"/>
  <c r="H144" i="18"/>
  <c r="Y144" i="18"/>
  <c r="P145" i="18"/>
  <c r="G146" i="18"/>
  <c r="W146" i="18"/>
  <c r="N147" i="18"/>
  <c r="E148" i="18"/>
  <c r="U148" i="18"/>
  <c r="L149" i="18"/>
  <c r="C150" i="18"/>
  <c r="S150" i="18"/>
  <c r="J151" i="18"/>
  <c r="Z151" i="18"/>
  <c r="Q152" i="18"/>
  <c r="H153" i="18"/>
  <c r="X153" i="18"/>
  <c r="O154" i="18"/>
  <c r="F155" i="18"/>
  <c r="V155" i="18"/>
  <c r="M156" i="18"/>
  <c r="D157" i="18"/>
  <c r="T157" i="18"/>
  <c r="K158" i="18"/>
  <c r="AA158" i="18"/>
  <c r="R159" i="18"/>
  <c r="I160" i="18"/>
  <c r="Y160" i="18"/>
  <c r="P161" i="18"/>
  <c r="G162" i="18"/>
  <c r="W162" i="18"/>
  <c r="N163" i="18"/>
  <c r="E164" i="18"/>
  <c r="U164" i="18"/>
  <c r="L165" i="18"/>
  <c r="C166" i="18"/>
  <c r="S166" i="18"/>
  <c r="J167" i="18"/>
  <c r="Z167" i="18"/>
  <c r="Q168" i="18"/>
  <c r="H169" i="18"/>
  <c r="X169" i="18"/>
  <c r="O170" i="18"/>
  <c r="F171" i="18"/>
  <c r="V171" i="18"/>
  <c r="M172" i="18"/>
  <c r="D173" i="18"/>
  <c r="T173" i="18"/>
  <c r="K174" i="18"/>
  <c r="AA174" i="18"/>
  <c r="R175" i="18"/>
  <c r="I176" i="18"/>
  <c r="Y176" i="18"/>
  <c r="P177" i="18"/>
  <c r="G178" i="18"/>
  <c r="W178" i="18"/>
  <c r="P68" i="18"/>
  <c r="E74" i="18"/>
  <c r="R78" i="18"/>
  <c r="Y82" i="18"/>
  <c r="W86" i="18"/>
  <c r="O90" i="18"/>
  <c r="L93" i="18"/>
  <c r="E96" i="18"/>
  <c r="S98" i="18"/>
  <c r="H101" i="18"/>
  <c r="I103" i="18"/>
  <c r="V104" i="18"/>
  <c r="AA105" i="18"/>
  <c r="E107" i="18"/>
  <c r="I108" i="18"/>
  <c r="L109" i="18"/>
  <c r="N110" i="18"/>
  <c r="P111" i="18"/>
  <c r="O112" i="18"/>
  <c r="P113" i="18"/>
  <c r="Q114" i="18"/>
  <c r="Q115" i="18"/>
  <c r="S116" i="18"/>
  <c r="R117" i="18"/>
  <c r="S118" i="18"/>
  <c r="T119" i="18"/>
  <c r="T120" i="18"/>
  <c r="T121" i="18"/>
  <c r="R122" i="18"/>
  <c r="P123" i="18"/>
  <c r="N124" i="18"/>
  <c r="L125" i="18"/>
  <c r="J126" i="18"/>
  <c r="G127" i="18"/>
  <c r="AA127" i="18"/>
  <c r="X128" i="18"/>
  <c r="U129" i="18"/>
  <c r="P130" i="18"/>
  <c r="M131" i="18"/>
  <c r="J132" i="18"/>
  <c r="E133" i="18"/>
  <c r="AA133" i="18"/>
  <c r="X134" i="18"/>
  <c r="R135" i="18"/>
  <c r="M136" i="18"/>
  <c r="F137" i="18"/>
  <c r="X137" i="18"/>
  <c r="Q138" i="18"/>
  <c r="K139" i="18"/>
  <c r="D140" i="18"/>
  <c r="V140" i="18"/>
  <c r="P141" i="18"/>
  <c r="H142" i="18"/>
  <c r="Y142" i="18"/>
  <c r="Q143" i="18"/>
  <c r="I144" i="18"/>
  <c r="Z144" i="18"/>
  <c r="Q145" i="18"/>
  <c r="H146" i="18"/>
  <c r="X146" i="18"/>
  <c r="O147" i="18"/>
  <c r="F148" i="18"/>
  <c r="V148" i="18"/>
  <c r="M149" i="18"/>
  <c r="D150" i="18"/>
  <c r="T150" i="18"/>
  <c r="K151" i="18"/>
  <c r="AA151" i="18"/>
  <c r="R152" i="18"/>
  <c r="I153" i="18"/>
  <c r="Y153" i="18"/>
  <c r="P154" i="18"/>
  <c r="G155" i="18"/>
  <c r="W155" i="18"/>
  <c r="N156" i="18"/>
  <c r="E157" i="18"/>
  <c r="U157" i="18"/>
  <c r="L158" i="18"/>
  <c r="C159" i="18"/>
  <c r="S159" i="18"/>
  <c r="J160" i="18"/>
  <c r="Z160" i="18"/>
  <c r="Q161" i="18"/>
  <c r="H162" i="18"/>
  <c r="X162" i="18"/>
  <c r="O163" i="18"/>
  <c r="F164" i="18"/>
  <c r="V164" i="18"/>
  <c r="M165" i="18"/>
  <c r="D166" i="18"/>
  <c r="T166" i="18"/>
  <c r="K167" i="18"/>
  <c r="AA167" i="18"/>
  <c r="R168" i="18"/>
  <c r="I169" i="18"/>
  <c r="Y169" i="18"/>
  <c r="P170" i="18"/>
  <c r="G171" i="18"/>
  <c r="W171" i="18"/>
  <c r="N172" i="18"/>
  <c r="E173" i="18"/>
  <c r="U173" i="18"/>
  <c r="L174" i="18"/>
  <c r="C175" i="18"/>
  <c r="S175" i="18"/>
  <c r="J176" i="18"/>
  <c r="Z176" i="18"/>
  <c r="Q177" i="18"/>
  <c r="H178" i="18"/>
  <c r="X178" i="18"/>
  <c r="C69" i="18"/>
  <c r="I74" i="18"/>
  <c r="AA78" i="18"/>
  <c r="F83" i="18"/>
  <c r="Z86" i="18"/>
  <c r="R90" i="18"/>
  <c r="O93" i="18"/>
  <c r="H96" i="18"/>
  <c r="V98" i="18"/>
  <c r="K101" i="18"/>
  <c r="K103" i="18"/>
  <c r="W104" i="18"/>
  <c r="D106" i="18"/>
  <c r="G107" i="18"/>
  <c r="K108" i="18"/>
  <c r="N109" i="18"/>
  <c r="P110" i="18"/>
  <c r="Q111" i="18"/>
  <c r="Q112" i="18"/>
  <c r="Q113" i="18"/>
  <c r="S114" i="18"/>
  <c r="S115" i="18"/>
  <c r="T116" i="18"/>
  <c r="T117" i="18"/>
  <c r="T118" i="18"/>
  <c r="V119" i="18"/>
  <c r="V120" i="18"/>
  <c r="V121" i="18"/>
  <c r="T122" i="18"/>
  <c r="R123" i="18"/>
  <c r="P124" i="18"/>
  <c r="N125" i="18"/>
  <c r="K126" i="18"/>
  <c r="H127" i="18"/>
  <c r="C128" i="18"/>
  <c r="Y128" i="18"/>
  <c r="V129" i="18"/>
  <c r="Q130" i="18"/>
  <c r="N131" i="18"/>
  <c r="K132" i="18"/>
  <c r="F133" i="18"/>
  <c r="C134" i="18"/>
  <c r="Y134" i="18"/>
  <c r="S135" i="18"/>
  <c r="N136" i="18"/>
  <c r="G137" i="18"/>
  <c r="Y137" i="18"/>
  <c r="R138" i="18"/>
  <c r="L139" i="18"/>
  <c r="E140" i="18"/>
  <c r="W140" i="18"/>
  <c r="Q141" i="18"/>
  <c r="I142" i="18"/>
  <c r="Z142" i="18"/>
  <c r="R143" i="18"/>
  <c r="J144" i="18"/>
  <c r="AA144" i="18"/>
  <c r="R145" i="18"/>
  <c r="I146" i="18"/>
  <c r="Y146" i="18"/>
  <c r="P147" i="18"/>
  <c r="G148" i="18"/>
  <c r="W148" i="18"/>
  <c r="N149" i="18"/>
  <c r="E150" i="18"/>
  <c r="U150" i="18"/>
  <c r="L151" i="18"/>
  <c r="C152" i="18"/>
  <c r="S152" i="18"/>
  <c r="J153" i="18"/>
  <c r="Z153" i="18"/>
  <c r="Q154" i="18"/>
  <c r="H155" i="18"/>
  <c r="X155" i="18"/>
  <c r="O156" i="18"/>
  <c r="F157" i="18"/>
  <c r="V157" i="18"/>
  <c r="M158" i="18"/>
  <c r="D159" i="18"/>
  <c r="T159" i="18"/>
  <c r="K160" i="18"/>
  <c r="AA160" i="18"/>
  <c r="R161" i="18"/>
  <c r="I162" i="18"/>
  <c r="Y162" i="18"/>
  <c r="P163" i="18"/>
  <c r="G164" i="18"/>
  <c r="W164" i="18"/>
  <c r="N165" i="18"/>
  <c r="E166" i="18"/>
  <c r="U166" i="18"/>
  <c r="L167" i="18"/>
  <c r="C168" i="18"/>
  <c r="S168" i="18"/>
  <c r="J169" i="18"/>
  <c r="Z169" i="18"/>
  <c r="Q170" i="18"/>
  <c r="H171" i="18"/>
  <c r="X171" i="18"/>
  <c r="O172" i="18"/>
  <c r="F173" i="18"/>
  <c r="V173" i="18"/>
  <c r="M174" i="18"/>
  <c r="D175" i="18"/>
  <c r="T175" i="18"/>
  <c r="K176" i="18"/>
  <c r="AA176" i="18"/>
  <c r="R177" i="18"/>
  <c r="I178" i="18"/>
  <c r="Y178" i="18"/>
  <c r="C7" i="17"/>
  <c r="S7" i="17"/>
  <c r="J8" i="17"/>
  <c r="Z8" i="17"/>
  <c r="Q9" i="17"/>
  <c r="H10" i="17"/>
  <c r="X10" i="17"/>
  <c r="O11" i="17"/>
  <c r="F12" i="17"/>
  <c r="V12" i="17"/>
  <c r="M13" i="17"/>
  <c r="D14" i="17"/>
  <c r="T14" i="17"/>
  <c r="K15" i="17"/>
  <c r="AA15" i="17"/>
  <c r="R16" i="17"/>
  <c r="I17" i="17"/>
  <c r="Y17" i="17"/>
  <c r="P18" i="17"/>
  <c r="G19" i="17"/>
  <c r="W19" i="17"/>
  <c r="N20" i="17"/>
  <c r="E21" i="17"/>
  <c r="U21" i="17"/>
  <c r="L22" i="17"/>
  <c r="C23" i="17"/>
  <c r="S23" i="17"/>
  <c r="J24" i="17"/>
  <c r="Z24" i="17"/>
  <c r="Q25" i="17"/>
  <c r="H26" i="17"/>
  <c r="X26" i="17"/>
  <c r="O27" i="17"/>
  <c r="F28" i="17"/>
  <c r="V28" i="17"/>
  <c r="M29" i="17"/>
  <c r="D30" i="17"/>
  <c r="T30" i="17"/>
  <c r="K31" i="17"/>
  <c r="AA31" i="17"/>
  <c r="R32" i="17"/>
  <c r="I33" i="17"/>
  <c r="Y33" i="17"/>
  <c r="P34" i="17"/>
  <c r="G35" i="17"/>
  <c r="W35" i="17"/>
  <c r="N38" i="17"/>
  <c r="E39" i="17"/>
  <c r="U39" i="17"/>
  <c r="L40" i="17"/>
  <c r="C41" i="17"/>
  <c r="S41" i="17"/>
  <c r="J42" i="17"/>
  <c r="Z42" i="17"/>
  <c r="Q43" i="17"/>
  <c r="H44" i="17"/>
  <c r="X44" i="17"/>
  <c r="O45" i="17"/>
  <c r="F46" i="17"/>
  <c r="V46" i="17"/>
  <c r="M47" i="17"/>
  <c r="D48" i="17"/>
  <c r="T48" i="17"/>
  <c r="K49" i="17"/>
  <c r="AA49" i="17"/>
  <c r="R50" i="17"/>
  <c r="I51" i="17"/>
  <c r="Y51" i="17"/>
  <c r="P52" i="17"/>
  <c r="G53" i="17"/>
  <c r="W53" i="17"/>
  <c r="N54" i="17"/>
  <c r="E55" i="17"/>
  <c r="U55" i="17"/>
  <c r="L56" i="17"/>
  <c r="C57" i="17"/>
  <c r="S57" i="17"/>
  <c r="J58" i="17"/>
  <c r="Z58" i="17"/>
  <c r="Q59" i="17"/>
  <c r="H60" i="17"/>
  <c r="X60" i="17"/>
  <c r="O61" i="17"/>
  <c r="F62" i="17"/>
  <c r="V62" i="17"/>
  <c r="M63" i="17"/>
  <c r="D64" i="17"/>
  <c r="T64" i="17"/>
  <c r="K65" i="17"/>
  <c r="AA65" i="17"/>
  <c r="R66" i="17"/>
  <c r="I67" i="17"/>
  <c r="Y67" i="17"/>
  <c r="P68" i="17"/>
  <c r="G69" i="17"/>
  <c r="W69" i="17"/>
  <c r="N70" i="17"/>
  <c r="E71" i="17"/>
  <c r="U71" i="17"/>
  <c r="L72" i="17"/>
  <c r="C73" i="17"/>
  <c r="S73" i="17"/>
  <c r="J74" i="17"/>
  <c r="Z74" i="17"/>
  <c r="Q75" i="17"/>
  <c r="H76" i="17"/>
  <c r="X76" i="17"/>
  <c r="O77" i="17"/>
  <c r="F78" i="17"/>
  <c r="V78" i="17"/>
  <c r="M82" i="17"/>
  <c r="D83" i="17"/>
  <c r="D7" i="17"/>
  <c r="T7" i="17"/>
  <c r="K8" i="17"/>
  <c r="AA8" i="17"/>
  <c r="R9" i="17"/>
  <c r="I10" i="17"/>
  <c r="Y10" i="17"/>
  <c r="P11" i="17"/>
  <c r="G12" i="17"/>
  <c r="W12" i="17"/>
  <c r="N13" i="17"/>
  <c r="E14" i="17"/>
  <c r="U14" i="17"/>
  <c r="L15" i="17"/>
  <c r="C16" i="17"/>
  <c r="S16" i="17"/>
  <c r="J17" i="17"/>
  <c r="Z17" i="17"/>
  <c r="Q18" i="17"/>
  <c r="H19" i="17"/>
  <c r="X19" i="17"/>
  <c r="O20" i="17"/>
  <c r="F21" i="17"/>
  <c r="V21" i="17"/>
  <c r="M22" i="17"/>
  <c r="D23" i="17"/>
  <c r="T23" i="17"/>
  <c r="K24" i="17"/>
  <c r="AA24" i="17"/>
  <c r="R25" i="17"/>
  <c r="I26" i="17"/>
  <c r="Y26" i="17"/>
  <c r="P27" i="17"/>
  <c r="G28" i="17"/>
  <c r="W28" i="17"/>
  <c r="N29" i="17"/>
  <c r="E30" i="17"/>
  <c r="U30" i="17"/>
  <c r="L31" i="17"/>
  <c r="C32" i="17"/>
  <c r="S32" i="17"/>
  <c r="J33" i="17"/>
  <c r="Z33" i="17"/>
  <c r="Q34" i="17"/>
  <c r="H35" i="17"/>
  <c r="X35" i="17"/>
  <c r="O38" i="17"/>
  <c r="F39" i="17"/>
  <c r="V39" i="17"/>
  <c r="M40" i="17"/>
  <c r="D41" i="17"/>
  <c r="T41" i="17"/>
  <c r="K42" i="17"/>
  <c r="AA42" i="17"/>
  <c r="R43" i="17"/>
  <c r="I44" i="17"/>
  <c r="Y44" i="17"/>
  <c r="P45" i="17"/>
  <c r="E7" i="17"/>
  <c r="U7" i="17"/>
  <c r="L8" i="17"/>
  <c r="C9" i="17"/>
  <c r="S9" i="17"/>
  <c r="J10" i="17"/>
  <c r="Z10" i="17"/>
  <c r="Q11" i="17"/>
  <c r="H12" i="17"/>
  <c r="X12" i="17"/>
  <c r="O13" i="17"/>
  <c r="F14" i="17"/>
  <c r="V14" i="17"/>
  <c r="M15" i="17"/>
  <c r="D16" i="17"/>
  <c r="T16" i="17"/>
  <c r="K17" i="17"/>
  <c r="AA17" i="17"/>
  <c r="R18" i="17"/>
  <c r="I19" i="17"/>
  <c r="Y19" i="17"/>
  <c r="P20" i="17"/>
  <c r="G21" i="17"/>
  <c r="W21" i="17"/>
  <c r="N22" i="17"/>
  <c r="E23" i="17"/>
  <c r="U23" i="17"/>
  <c r="L24" i="17"/>
  <c r="C25" i="17"/>
  <c r="S25" i="17"/>
  <c r="J26" i="17"/>
  <c r="Z26" i="17"/>
  <c r="Q27" i="17"/>
  <c r="H28" i="17"/>
  <c r="X28" i="17"/>
  <c r="O29" i="17"/>
  <c r="F30" i="17"/>
  <c r="V30" i="17"/>
  <c r="M31" i="17"/>
  <c r="D32" i="17"/>
  <c r="T32" i="17"/>
  <c r="K33" i="17"/>
  <c r="AA33" i="17"/>
  <c r="R34" i="17"/>
  <c r="I35" i="17"/>
  <c r="Y35" i="17"/>
  <c r="P38" i="17"/>
  <c r="G39" i="17"/>
  <c r="W39" i="17"/>
  <c r="N40" i="17"/>
  <c r="E41" i="17"/>
  <c r="U41" i="17"/>
  <c r="L42" i="17"/>
  <c r="C43" i="17"/>
  <c r="S43" i="17"/>
  <c r="J44" i="17"/>
  <c r="Z44" i="17"/>
  <c r="Q45" i="17"/>
  <c r="H46" i="17"/>
  <c r="X46" i="17"/>
  <c r="O47" i="17"/>
  <c r="F48" i="17"/>
  <c r="V48" i="17"/>
  <c r="M49" i="17"/>
  <c r="D50" i="17"/>
  <c r="T50" i="17"/>
  <c r="K51" i="17"/>
  <c r="AA51" i="17"/>
  <c r="R52" i="17"/>
  <c r="I53" i="17"/>
  <c r="Y53" i="17"/>
  <c r="P54" i="17"/>
  <c r="G55" i="17"/>
  <c r="W55" i="17"/>
  <c r="N56" i="17"/>
  <c r="E57" i="17"/>
  <c r="U57" i="17"/>
  <c r="L58" i="17"/>
  <c r="C59" i="17"/>
  <c r="S59" i="17"/>
  <c r="J60" i="17"/>
  <c r="Z60" i="17"/>
  <c r="Q61" i="17"/>
  <c r="H62" i="17"/>
  <c r="X62" i="17"/>
  <c r="O63" i="17"/>
  <c r="F64" i="17"/>
  <c r="V64" i="17"/>
  <c r="F7" i="17"/>
  <c r="V7" i="17"/>
  <c r="M8" i="17"/>
  <c r="D9" i="17"/>
  <c r="T9" i="17"/>
  <c r="K10" i="17"/>
  <c r="AA10" i="17"/>
  <c r="R11" i="17"/>
  <c r="I12" i="17"/>
  <c r="Y12" i="17"/>
  <c r="P13" i="17"/>
  <c r="G14" i="17"/>
  <c r="W14" i="17"/>
  <c r="N15" i="17"/>
  <c r="E16" i="17"/>
  <c r="U16" i="17"/>
  <c r="L17" i="17"/>
  <c r="C18" i="17"/>
  <c r="S18" i="17"/>
  <c r="J19" i="17"/>
  <c r="Z19" i="17"/>
  <c r="Q20" i="17"/>
  <c r="H21" i="17"/>
  <c r="X21" i="17"/>
  <c r="O22" i="17"/>
  <c r="F23" i="17"/>
  <c r="V23" i="17"/>
  <c r="M24" i="17"/>
  <c r="D25" i="17"/>
  <c r="T25" i="17"/>
  <c r="K26" i="17"/>
  <c r="AA26" i="17"/>
  <c r="R27" i="17"/>
  <c r="I28" i="17"/>
  <c r="Y28" i="17"/>
  <c r="P29" i="17"/>
  <c r="G30" i="17"/>
  <c r="W30" i="17"/>
  <c r="N31" i="17"/>
  <c r="E32" i="17"/>
  <c r="U32" i="17"/>
  <c r="L33" i="17"/>
  <c r="C34" i="17"/>
  <c r="S34" i="17"/>
  <c r="J35" i="17"/>
  <c r="Z35" i="17"/>
  <c r="Q38" i="17"/>
  <c r="H39" i="17"/>
  <c r="X39" i="17"/>
  <c r="O40" i="17"/>
  <c r="F41" i="17"/>
  <c r="V41" i="17"/>
  <c r="M42" i="17"/>
  <c r="D43" i="17"/>
  <c r="G7" i="17"/>
  <c r="W7" i="17"/>
  <c r="N8" i="17"/>
  <c r="E9" i="17"/>
  <c r="U9" i="17"/>
  <c r="L10" i="17"/>
  <c r="C11" i="17"/>
  <c r="S11" i="17"/>
  <c r="J12" i="17"/>
  <c r="Z12" i="17"/>
  <c r="Q13" i="17"/>
  <c r="H14" i="17"/>
  <c r="X14" i="17"/>
  <c r="O15" i="17"/>
  <c r="F16" i="17"/>
  <c r="V16" i="17"/>
  <c r="M17" i="17"/>
  <c r="D18" i="17"/>
  <c r="T18" i="17"/>
  <c r="K19" i="17"/>
  <c r="AA19" i="17"/>
  <c r="R20" i="17"/>
  <c r="I21" i="17"/>
  <c r="Y21" i="17"/>
  <c r="P22" i="17"/>
  <c r="G23" i="17"/>
  <c r="W23" i="17"/>
  <c r="N24" i="17"/>
  <c r="E25" i="17"/>
  <c r="U25" i="17"/>
  <c r="L26" i="17"/>
  <c r="C27" i="17"/>
  <c r="S27" i="17"/>
  <c r="J28" i="17"/>
  <c r="Z28" i="17"/>
  <c r="Q29" i="17"/>
  <c r="H30" i="17"/>
  <c r="X30" i="17"/>
  <c r="O31" i="17"/>
  <c r="F32" i="17"/>
  <c r="V32" i="17"/>
  <c r="M33" i="17"/>
  <c r="D34" i="17"/>
  <c r="T34" i="17"/>
  <c r="K35" i="17"/>
  <c r="AA35" i="17"/>
  <c r="R38" i="17"/>
  <c r="I39" i="17"/>
  <c r="Y39" i="17"/>
  <c r="P40" i="17"/>
  <c r="G41" i="17"/>
  <c r="W41" i="17"/>
  <c r="N42" i="17"/>
  <c r="E43" i="17"/>
  <c r="U43" i="17"/>
  <c r="L44" i="17"/>
  <c r="C45" i="17"/>
  <c r="S45" i="17"/>
  <c r="J46" i="17"/>
  <c r="Z46" i="17"/>
  <c r="Q47" i="17"/>
  <c r="H48" i="17"/>
  <c r="X48" i="17"/>
  <c r="O49" i="17"/>
  <c r="F50" i="17"/>
  <c r="V50" i="17"/>
  <c r="M51" i="17"/>
  <c r="D52" i="17"/>
  <c r="T52" i="17"/>
  <c r="H7" i="17"/>
  <c r="X7" i="17"/>
  <c r="O8" i="17"/>
  <c r="F9" i="17"/>
  <c r="V9" i="17"/>
  <c r="M10" i="17"/>
  <c r="D11" i="17"/>
  <c r="T11" i="17"/>
  <c r="K12" i="17"/>
  <c r="AA12" i="17"/>
  <c r="R13" i="17"/>
  <c r="I14" i="17"/>
  <c r="Y14" i="17"/>
  <c r="P15" i="17"/>
  <c r="G16" i="17"/>
  <c r="W16" i="17"/>
  <c r="N17" i="17"/>
  <c r="E18" i="17"/>
  <c r="U18" i="17"/>
  <c r="L19" i="17"/>
  <c r="C20" i="17"/>
  <c r="S20" i="17"/>
  <c r="J21" i="17"/>
  <c r="Z21" i="17"/>
  <c r="Q22" i="17"/>
  <c r="H23" i="17"/>
  <c r="X23" i="17"/>
  <c r="O24" i="17"/>
  <c r="F25" i="17"/>
  <c r="V25" i="17"/>
  <c r="M26" i="17"/>
  <c r="D27" i="17"/>
  <c r="T27" i="17"/>
  <c r="K28" i="17"/>
  <c r="AA28" i="17"/>
  <c r="R29" i="17"/>
  <c r="I30" i="17"/>
  <c r="Y30" i="17"/>
  <c r="P31" i="17"/>
  <c r="G32" i="17"/>
  <c r="W32" i="17"/>
  <c r="N33" i="17"/>
  <c r="E34" i="17"/>
  <c r="U34" i="17"/>
  <c r="L35" i="17"/>
  <c r="C38" i="17"/>
  <c r="S38" i="17"/>
  <c r="J39" i="17"/>
  <c r="Z39" i="17"/>
  <c r="Q40" i="17"/>
  <c r="H41" i="17"/>
  <c r="X41" i="17"/>
  <c r="O42" i="17"/>
  <c r="F43" i="17"/>
  <c r="V43" i="17"/>
  <c r="M44" i="17"/>
  <c r="D45" i="17"/>
  <c r="T45" i="17"/>
  <c r="K46" i="17"/>
  <c r="AA46" i="17"/>
  <c r="R47" i="17"/>
  <c r="I48" i="17"/>
  <c r="Y48" i="17"/>
  <c r="P49" i="17"/>
  <c r="G50" i="17"/>
  <c r="W50" i="17"/>
  <c r="N51" i="17"/>
  <c r="E52" i="17"/>
  <c r="U52" i="17"/>
  <c r="L53" i="17"/>
  <c r="C54" i="17"/>
  <c r="S54" i="17"/>
  <c r="J55" i="17"/>
  <c r="Z55" i="17"/>
  <c r="Q56" i="17"/>
  <c r="H57" i="17"/>
  <c r="X57" i="17"/>
  <c r="O58" i="17"/>
  <c r="F59" i="17"/>
  <c r="V59" i="17"/>
  <c r="M60" i="17"/>
  <c r="D61" i="17"/>
  <c r="T61" i="17"/>
  <c r="K62" i="17"/>
  <c r="AA62" i="17"/>
  <c r="R63" i="17"/>
  <c r="I64" i="17"/>
  <c r="Y64" i="17"/>
  <c r="P65" i="17"/>
  <c r="G66" i="17"/>
  <c r="W66" i="17"/>
  <c r="N67" i="17"/>
  <c r="E68" i="17"/>
  <c r="U68" i="17"/>
  <c r="L69" i="17"/>
  <c r="C70" i="17"/>
  <c r="S70" i="17"/>
  <c r="J71" i="17"/>
  <c r="Z71" i="17"/>
  <c r="Q72" i="17"/>
  <c r="H73" i="17"/>
  <c r="X73" i="17"/>
  <c r="O74" i="17"/>
  <c r="F75" i="17"/>
  <c r="V75" i="17"/>
  <c r="M76" i="17"/>
  <c r="D77" i="17"/>
  <c r="T77" i="17"/>
  <c r="K78" i="17"/>
  <c r="AA78" i="17"/>
  <c r="R82" i="17"/>
  <c r="I83" i="17"/>
  <c r="Y83" i="17"/>
  <c r="P84" i="17"/>
  <c r="G85" i="17"/>
  <c r="W85" i="17"/>
  <c r="N86" i="17"/>
  <c r="E87" i="17"/>
  <c r="U87" i="17"/>
  <c r="L88" i="17"/>
  <c r="C89" i="17"/>
  <c r="S89" i="17"/>
  <c r="J90" i="17"/>
  <c r="Z90" i="17"/>
  <c r="Q91" i="17"/>
  <c r="H92" i="17"/>
  <c r="X92" i="17"/>
  <c r="I7" i="17"/>
  <c r="Y7" i="17"/>
  <c r="P8" i="17"/>
  <c r="G9" i="17"/>
  <c r="W9" i="17"/>
  <c r="N10" i="17"/>
  <c r="E11" i="17"/>
  <c r="U11" i="17"/>
  <c r="L12" i="17"/>
  <c r="C13" i="17"/>
  <c r="S13" i="17"/>
  <c r="J14" i="17"/>
  <c r="Z14" i="17"/>
  <c r="Q15" i="17"/>
  <c r="H16" i="17"/>
  <c r="X16" i="17"/>
  <c r="O17" i="17"/>
  <c r="F18" i="17"/>
  <c r="V18" i="17"/>
  <c r="M19" i="17"/>
  <c r="D20" i="17"/>
  <c r="T20" i="17"/>
  <c r="K21" i="17"/>
  <c r="AA21" i="17"/>
  <c r="R22" i="17"/>
  <c r="I23" i="17"/>
  <c r="Y23" i="17"/>
  <c r="P24" i="17"/>
  <c r="G25" i="17"/>
  <c r="W25" i="17"/>
  <c r="N26" i="17"/>
  <c r="E27" i="17"/>
  <c r="U27" i="17"/>
  <c r="L28" i="17"/>
  <c r="C29" i="17"/>
  <c r="S29" i="17"/>
  <c r="J30" i="17"/>
  <c r="Z30" i="17"/>
  <c r="Q31" i="17"/>
  <c r="H32" i="17"/>
  <c r="X32" i="17"/>
  <c r="O33" i="17"/>
  <c r="F34" i="17"/>
  <c r="V34" i="17"/>
  <c r="M35" i="17"/>
  <c r="D38" i="17"/>
  <c r="T38" i="17"/>
  <c r="K39" i="17"/>
  <c r="AA39" i="17"/>
  <c r="R40" i="17"/>
  <c r="I41" i="17"/>
  <c r="Y41" i="17"/>
  <c r="P42" i="17"/>
  <c r="G43" i="17"/>
  <c r="W43" i="17"/>
  <c r="N44" i="17"/>
  <c r="E45" i="17"/>
  <c r="U45" i="17"/>
  <c r="L46" i="17"/>
  <c r="C47" i="17"/>
  <c r="S47" i="17"/>
  <c r="J48" i="17"/>
  <c r="Z48" i="17"/>
  <c r="Q49" i="17"/>
  <c r="H50" i="17"/>
  <c r="X50" i="17"/>
  <c r="O51" i="17"/>
  <c r="F52" i="17"/>
  <c r="V52" i="17"/>
  <c r="M53" i="17"/>
  <c r="D54" i="17"/>
  <c r="T54" i="17"/>
  <c r="K55" i="17"/>
  <c r="AA55" i="17"/>
  <c r="R56" i="17"/>
  <c r="I57" i="17"/>
  <c r="Y57" i="17"/>
  <c r="P58" i="17"/>
  <c r="G59" i="17"/>
  <c r="W59" i="17"/>
  <c r="N60" i="17"/>
  <c r="E61" i="17"/>
  <c r="U61" i="17"/>
  <c r="L62" i="17"/>
  <c r="C63" i="17"/>
  <c r="S63" i="17"/>
  <c r="J64" i="17"/>
  <c r="Z64" i="17"/>
  <c r="Q65" i="17"/>
  <c r="H66" i="17"/>
  <c r="X66" i="17"/>
  <c r="O67" i="17"/>
  <c r="F68" i="17"/>
  <c r="V68" i="17"/>
  <c r="M69" i="17"/>
  <c r="D70" i="17"/>
  <c r="T70" i="17"/>
  <c r="K71" i="17"/>
  <c r="AA71" i="17"/>
  <c r="R72" i="17"/>
  <c r="I73" i="17"/>
  <c r="Y73" i="17"/>
  <c r="P74" i="17"/>
  <c r="G75" i="17"/>
  <c r="J7" i="17"/>
  <c r="Z7" i="17"/>
  <c r="Q8" i="17"/>
  <c r="H9" i="17"/>
  <c r="X9" i="17"/>
  <c r="O10" i="17"/>
  <c r="F11" i="17"/>
  <c r="V11" i="17"/>
  <c r="M12" i="17"/>
  <c r="D13" i="17"/>
  <c r="T13" i="17"/>
  <c r="K14" i="17"/>
  <c r="AA14" i="17"/>
  <c r="R15" i="17"/>
  <c r="I16" i="17"/>
  <c r="Y16" i="17"/>
  <c r="P17" i="17"/>
  <c r="G18" i="17"/>
  <c r="W18" i="17"/>
  <c r="N19" i="17"/>
  <c r="E20" i="17"/>
  <c r="U20" i="17"/>
  <c r="L21" i="17"/>
  <c r="C22" i="17"/>
  <c r="S22" i="17"/>
  <c r="J23" i="17"/>
  <c r="Z23" i="17"/>
  <c r="Q24" i="17"/>
  <c r="H25" i="17"/>
  <c r="X25" i="17"/>
  <c r="O26" i="17"/>
  <c r="F27" i="17"/>
  <c r="V27" i="17"/>
  <c r="M28" i="17"/>
  <c r="D29" i="17"/>
  <c r="T29" i="17"/>
  <c r="K30" i="17"/>
  <c r="AA30" i="17"/>
  <c r="R31" i="17"/>
  <c r="I32" i="17"/>
  <c r="Y32" i="17"/>
  <c r="P33" i="17"/>
  <c r="G34" i="17"/>
  <c r="W34" i="17"/>
  <c r="N35" i="17"/>
  <c r="E38" i="17"/>
  <c r="U38" i="17"/>
  <c r="L39" i="17"/>
  <c r="C40" i="17"/>
  <c r="S40" i="17"/>
  <c r="J41" i="17"/>
  <c r="Z41" i="17"/>
  <c r="Q42" i="17"/>
  <c r="H43" i="17"/>
  <c r="X43" i="17"/>
  <c r="O44" i="17"/>
  <c r="F45" i="17"/>
  <c r="V45" i="17"/>
  <c r="M46" i="17"/>
  <c r="K7" i="17"/>
  <c r="AA7" i="17"/>
  <c r="R8" i="17"/>
  <c r="I9" i="17"/>
  <c r="Y9" i="17"/>
  <c r="P10" i="17"/>
  <c r="G11" i="17"/>
  <c r="W11" i="17"/>
  <c r="N12" i="17"/>
  <c r="E13" i="17"/>
  <c r="U13" i="17"/>
  <c r="L14" i="17"/>
  <c r="C15" i="17"/>
  <c r="S15" i="17"/>
  <c r="J16" i="17"/>
  <c r="Z16" i="17"/>
  <c r="Q17" i="17"/>
  <c r="H18" i="17"/>
  <c r="X18" i="17"/>
  <c r="O19" i="17"/>
  <c r="F20" i="17"/>
  <c r="V20" i="17"/>
  <c r="M21" i="17"/>
  <c r="L7" i="17"/>
  <c r="C8" i="17"/>
  <c r="S8" i="17"/>
  <c r="J9" i="17"/>
  <c r="Z9" i="17"/>
  <c r="Q10" i="17"/>
  <c r="H11" i="17"/>
  <c r="X11" i="17"/>
  <c r="O12" i="17"/>
  <c r="F13" i="17"/>
  <c r="V13" i="17"/>
  <c r="M14" i="17"/>
  <c r="D15" i="17"/>
  <c r="T15" i="17"/>
  <c r="K16" i="17"/>
  <c r="AA16" i="17"/>
  <c r="R17" i="17"/>
  <c r="I18" i="17"/>
  <c r="Y18" i="17"/>
  <c r="P19" i="17"/>
  <c r="G20" i="17"/>
  <c r="W20" i="17"/>
  <c r="N21" i="17"/>
  <c r="E22" i="17"/>
  <c r="U22" i="17"/>
  <c r="L23" i="17"/>
  <c r="C24" i="17"/>
  <c r="S24" i="17"/>
  <c r="J25" i="17"/>
  <c r="Z25" i="17"/>
  <c r="Q26" i="17"/>
  <c r="H27" i="17"/>
  <c r="X27" i="17"/>
  <c r="O28" i="17"/>
  <c r="F29" i="17"/>
  <c r="V29" i="17"/>
  <c r="M30" i="17"/>
  <c r="D31" i="17"/>
  <c r="T31" i="17"/>
  <c r="K32" i="17"/>
  <c r="AA32" i="17"/>
  <c r="R33" i="17"/>
  <c r="I34" i="17"/>
  <c r="Y34" i="17"/>
  <c r="P35" i="17"/>
  <c r="G38" i="17"/>
  <c r="W38" i="17"/>
  <c r="N39" i="17"/>
  <c r="E40" i="17"/>
  <c r="U40" i="17"/>
  <c r="L41" i="17"/>
  <c r="C42" i="17"/>
  <c r="S42" i="17"/>
  <c r="J43" i="17"/>
  <c r="Z43" i="17"/>
  <c r="Q44" i="17"/>
  <c r="M7" i="17"/>
  <c r="D8" i="17"/>
  <c r="T8" i="17"/>
  <c r="K9" i="17"/>
  <c r="AA9" i="17"/>
  <c r="R10" i="17"/>
  <c r="I11" i="17"/>
  <c r="Y11" i="17"/>
  <c r="P12" i="17"/>
  <c r="G13" i="17"/>
  <c r="W13" i="17"/>
  <c r="N14" i="17"/>
  <c r="E15" i="17"/>
  <c r="U15" i="17"/>
  <c r="L16" i="17"/>
  <c r="C17" i="17"/>
  <c r="S17" i="17"/>
  <c r="J18" i="17"/>
  <c r="Z18" i="17"/>
  <c r="Q19" i="17"/>
  <c r="H20" i="17"/>
  <c r="X20" i="17"/>
  <c r="O21" i="17"/>
  <c r="N7" i="17"/>
  <c r="E8" i="17"/>
  <c r="U8" i="17"/>
  <c r="L9" i="17"/>
  <c r="C10" i="17"/>
  <c r="S10" i="17"/>
  <c r="J11" i="17"/>
  <c r="Z11" i="17"/>
  <c r="Q12" i="17"/>
  <c r="H13" i="17"/>
  <c r="X13" i="17"/>
  <c r="O14" i="17"/>
  <c r="F15" i="17"/>
  <c r="V15" i="17"/>
  <c r="M16" i="17"/>
  <c r="D17" i="17"/>
  <c r="T17" i="17"/>
  <c r="K18" i="17"/>
  <c r="AA18" i="17"/>
  <c r="R19" i="17"/>
  <c r="I20" i="17"/>
  <c r="Y20" i="17"/>
  <c r="P21" i="17"/>
  <c r="G22" i="17"/>
  <c r="W22" i="17"/>
  <c r="N23" i="17"/>
  <c r="E24" i="17"/>
  <c r="U24" i="17"/>
  <c r="L25" i="17"/>
  <c r="C26" i="17"/>
  <c r="S26" i="17"/>
  <c r="J27" i="17"/>
  <c r="Z27" i="17"/>
  <c r="Q28" i="17"/>
  <c r="H29" i="17"/>
  <c r="X29" i="17"/>
  <c r="O30" i="17"/>
  <c r="F31" i="17"/>
  <c r="V31" i="17"/>
  <c r="M32" i="17"/>
  <c r="D33" i="17"/>
  <c r="T33" i="17"/>
  <c r="K34" i="17"/>
  <c r="AA34" i="17"/>
  <c r="R35" i="17"/>
  <c r="I38" i="17"/>
  <c r="Y38" i="17"/>
  <c r="P39" i="17"/>
  <c r="G40" i="17"/>
  <c r="W40" i="17"/>
  <c r="N41" i="17"/>
  <c r="E42" i="17"/>
  <c r="U42" i="17"/>
  <c r="L43" i="17"/>
  <c r="C44" i="17"/>
  <c r="S44" i="17"/>
  <c r="J45" i="17"/>
  <c r="Z45" i="17"/>
  <c r="Q46" i="17"/>
  <c r="H47" i="17"/>
  <c r="X47" i="17"/>
  <c r="O48" i="17"/>
  <c r="F49" i="17"/>
  <c r="V49" i="17"/>
  <c r="M50" i="17"/>
  <c r="D51" i="17"/>
  <c r="T51" i="17"/>
  <c r="K52" i="17"/>
  <c r="AA52" i="17"/>
  <c r="R53" i="17"/>
  <c r="I54" i="17"/>
  <c r="Y54" i="17"/>
  <c r="P55" i="17"/>
  <c r="G56" i="17"/>
  <c r="W56" i="17"/>
  <c r="N57" i="17"/>
  <c r="E58" i="17"/>
  <c r="U58" i="17"/>
  <c r="L59" i="17"/>
  <c r="C60" i="17"/>
  <c r="S60" i="17"/>
  <c r="J61" i="17"/>
  <c r="Z61" i="17"/>
  <c r="Q62" i="17"/>
  <c r="H63" i="17"/>
  <c r="X63" i="17"/>
  <c r="O64" i="17"/>
  <c r="F65" i="17"/>
  <c r="P7" i="17"/>
  <c r="G8" i="17"/>
  <c r="W8" i="17"/>
  <c r="N9" i="17"/>
  <c r="E10" i="17"/>
  <c r="U10" i="17"/>
  <c r="L11" i="17"/>
  <c r="C12" i="17"/>
  <c r="S12" i="17"/>
  <c r="J13" i="17"/>
  <c r="Z13" i="17"/>
  <c r="Q14" i="17"/>
  <c r="H15" i="17"/>
  <c r="X15" i="17"/>
  <c r="O16" i="17"/>
  <c r="F17" i="17"/>
  <c r="V17" i="17"/>
  <c r="M18" i="17"/>
  <c r="D19" i="17"/>
  <c r="T19" i="17"/>
  <c r="K20" i="17"/>
  <c r="AA20" i="17"/>
  <c r="R21" i="17"/>
  <c r="I22" i="17"/>
  <c r="Y22" i="17"/>
  <c r="P23" i="17"/>
  <c r="G24" i="17"/>
  <c r="W24" i="17"/>
  <c r="N25" i="17"/>
  <c r="E26" i="17"/>
  <c r="U26" i="17"/>
  <c r="L27" i="17"/>
  <c r="C28" i="17"/>
  <c r="S28" i="17"/>
  <c r="J29" i="17"/>
  <c r="Z29" i="17"/>
  <c r="Q30" i="17"/>
  <c r="H31" i="17"/>
  <c r="X31" i="17"/>
  <c r="O32" i="17"/>
  <c r="F33" i="17"/>
  <c r="V33" i="17"/>
  <c r="M34" i="17"/>
  <c r="D35" i="17"/>
  <c r="T35" i="17"/>
  <c r="K38" i="17"/>
  <c r="AA38" i="17"/>
  <c r="Q7" i="17"/>
  <c r="H8" i="17"/>
  <c r="X8" i="17"/>
  <c r="O9" i="17"/>
  <c r="F10" i="17"/>
  <c r="V10" i="17"/>
  <c r="M11" i="17"/>
  <c r="D12" i="17"/>
  <c r="T12" i="17"/>
  <c r="K13" i="17"/>
  <c r="AA13" i="17"/>
  <c r="R14" i="17"/>
  <c r="I15" i="17"/>
  <c r="Y15" i="17"/>
  <c r="P16" i="17"/>
  <c r="G17" i="17"/>
  <c r="W17" i="17"/>
  <c r="N18" i="17"/>
  <c r="E19" i="17"/>
  <c r="U19" i="17"/>
  <c r="L20" i="17"/>
  <c r="C21" i="17"/>
  <c r="S21" i="17"/>
  <c r="J22" i="17"/>
  <c r="Z22" i="17"/>
  <c r="Q23" i="17"/>
  <c r="H24" i="17"/>
  <c r="X24" i="17"/>
  <c r="O25" i="17"/>
  <c r="F26" i="17"/>
  <c r="V26" i="17"/>
  <c r="M27" i="17"/>
  <c r="D28" i="17"/>
  <c r="T28" i="17"/>
  <c r="K29" i="17"/>
  <c r="AA29" i="17"/>
  <c r="R30" i="17"/>
  <c r="I31" i="17"/>
  <c r="Y31" i="17"/>
  <c r="P32" i="17"/>
  <c r="G33" i="17"/>
  <c r="W33" i="17"/>
  <c r="N34" i="17"/>
  <c r="E35" i="17"/>
  <c r="U35" i="17"/>
  <c r="L38" i="17"/>
  <c r="C39" i="17"/>
  <c r="S39" i="17"/>
  <c r="J40" i="17"/>
  <c r="Z40" i="17"/>
  <c r="Q41" i="17"/>
  <c r="H42" i="17"/>
  <c r="X42" i="17"/>
  <c r="O43" i="17"/>
  <c r="F44" i="17"/>
  <c r="V44" i="17"/>
  <c r="M45" i="17"/>
  <c r="D46" i="17"/>
  <c r="T46" i="17"/>
  <c r="K47" i="17"/>
  <c r="AA47" i="17"/>
  <c r="R48" i="17"/>
  <c r="I49" i="17"/>
  <c r="Y49" i="17"/>
  <c r="P50" i="17"/>
  <c r="G51" i="17"/>
  <c r="W51" i="17"/>
  <c r="N52" i="17"/>
  <c r="E53" i="17"/>
  <c r="U53" i="17"/>
  <c r="L54" i="17"/>
  <c r="C55" i="17"/>
  <c r="R7" i="17"/>
  <c r="I8" i="17"/>
  <c r="Y8" i="17"/>
  <c r="P9" i="17"/>
  <c r="G10" i="17"/>
  <c r="W10" i="17"/>
  <c r="N11" i="17"/>
  <c r="E12" i="17"/>
  <c r="U12" i="17"/>
  <c r="L13" i="17"/>
  <c r="C14" i="17"/>
  <c r="S14" i="17"/>
  <c r="J15" i="17"/>
  <c r="Z15" i="17"/>
  <c r="Q16" i="17"/>
  <c r="H17" i="17"/>
  <c r="X17" i="17"/>
  <c r="O18" i="17"/>
  <c r="F19" i="17"/>
  <c r="V19" i="17"/>
  <c r="M20" i="17"/>
  <c r="D21" i="17"/>
  <c r="T21" i="17"/>
  <c r="K22" i="17"/>
  <c r="AA22" i="17"/>
  <c r="R23" i="17"/>
  <c r="I24" i="17"/>
  <c r="Y24" i="17"/>
  <c r="P25" i="17"/>
  <c r="G26" i="17"/>
  <c r="W26" i="17"/>
  <c r="N27" i="17"/>
  <c r="E28" i="17"/>
  <c r="U28" i="17"/>
  <c r="L29" i="17"/>
  <c r="C30" i="17"/>
  <c r="S30" i="17"/>
  <c r="J31" i="17"/>
  <c r="Z31" i="17"/>
  <c r="Q32" i="17"/>
  <c r="H33" i="17"/>
  <c r="X33" i="17"/>
  <c r="O34" i="17"/>
  <c r="F35" i="17"/>
  <c r="V35" i="17"/>
  <c r="M38" i="17"/>
  <c r="D39" i="17"/>
  <c r="O7" i="17"/>
  <c r="U17" i="17"/>
  <c r="AA23" i="17"/>
  <c r="I27" i="17"/>
  <c r="P30" i="17"/>
  <c r="H34" i="17"/>
  <c r="O39" i="17"/>
  <c r="O41" i="17"/>
  <c r="N43" i="17"/>
  <c r="H45" i="17"/>
  <c r="P46" i="17"/>
  <c r="U47" i="17"/>
  <c r="W48" i="17"/>
  <c r="Z49" i="17"/>
  <c r="E51" i="17"/>
  <c r="I52" i="17"/>
  <c r="K53" i="17"/>
  <c r="K54" i="17"/>
  <c r="M55" i="17"/>
  <c r="J56" i="17"/>
  <c r="J57" i="17"/>
  <c r="G58" i="17"/>
  <c r="E59" i="17"/>
  <c r="D60" i="17"/>
  <c r="AA60" i="17"/>
  <c r="Y61" i="17"/>
  <c r="W62" i="17"/>
  <c r="V63" i="17"/>
  <c r="S64" i="17"/>
  <c r="R65" i="17"/>
  <c r="L66" i="17"/>
  <c r="F67" i="17"/>
  <c r="Z67" i="17"/>
  <c r="T68" i="17"/>
  <c r="P69" i="17"/>
  <c r="J70" i="17"/>
  <c r="D71" i="17"/>
  <c r="X71" i="17"/>
  <c r="T72" i="17"/>
  <c r="N73" i="17"/>
  <c r="H74" i="17"/>
  <c r="C75" i="17"/>
  <c r="W75" i="17"/>
  <c r="P76" i="17"/>
  <c r="I77" i="17"/>
  <c r="AA77" i="17"/>
  <c r="T78" i="17"/>
  <c r="N82" i="17"/>
  <c r="G83" i="17"/>
  <c r="X83" i="17"/>
  <c r="Q84" i="17"/>
  <c r="I85" i="17"/>
  <c r="Z85" i="17"/>
  <c r="R86" i="17"/>
  <c r="J87" i="17"/>
  <c r="AA87" i="17"/>
  <c r="S88" i="17"/>
  <c r="K89" i="17"/>
  <c r="C90" i="17"/>
  <c r="T90" i="17"/>
  <c r="L91" i="17"/>
  <c r="D92" i="17"/>
  <c r="U92" i="17"/>
  <c r="M93" i="17"/>
  <c r="D94" i="17"/>
  <c r="T94" i="17"/>
  <c r="F8" i="17"/>
  <c r="L18" i="17"/>
  <c r="D24" i="17"/>
  <c r="K27" i="17"/>
  <c r="C31" i="17"/>
  <c r="J34" i="17"/>
  <c r="Q39" i="17"/>
  <c r="P41" i="17"/>
  <c r="P43" i="17"/>
  <c r="I45" i="17"/>
  <c r="R46" i="17"/>
  <c r="V47" i="17"/>
  <c r="AA48" i="17"/>
  <c r="C50" i="17"/>
  <c r="F51" i="17"/>
  <c r="J52" i="17"/>
  <c r="N53" i="17"/>
  <c r="M54" i="17"/>
  <c r="N55" i="17"/>
  <c r="K56" i="17"/>
  <c r="K57" i="17"/>
  <c r="H58" i="17"/>
  <c r="H59" i="17"/>
  <c r="E60" i="17"/>
  <c r="C61" i="17"/>
  <c r="AA61" i="17"/>
  <c r="Y62" i="17"/>
  <c r="W63" i="17"/>
  <c r="U64" i="17"/>
  <c r="S65" i="17"/>
  <c r="M66" i="17"/>
  <c r="G67" i="17"/>
  <c r="AA67" i="17"/>
  <c r="W68" i="17"/>
  <c r="Q69" i="17"/>
  <c r="K70" i="17"/>
  <c r="F71" i="17"/>
  <c r="Y71" i="17"/>
  <c r="U72" i="17"/>
  <c r="O73" i="17"/>
  <c r="I74" i="17"/>
  <c r="D75" i="17"/>
  <c r="X75" i="17"/>
  <c r="Q76" i="17"/>
  <c r="J77" i="17"/>
  <c r="C78" i="17"/>
  <c r="U78" i="17"/>
  <c r="O82" i="17"/>
  <c r="H83" i="17"/>
  <c r="Z83" i="17"/>
  <c r="R84" i="17"/>
  <c r="J85" i="17"/>
  <c r="AA85" i="17"/>
  <c r="S86" i="17"/>
  <c r="K87" i="17"/>
  <c r="C88" i="17"/>
  <c r="T88" i="17"/>
  <c r="L89" i="17"/>
  <c r="D90" i="17"/>
  <c r="U90" i="17"/>
  <c r="M91" i="17"/>
  <c r="E92" i="17"/>
  <c r="V92" i="17"/>
  <c r="N93" i="17"/>
  <c r="E94" i="17"/>
  <c r="U94" i="17"/>
  <c r="V8" i="17"/>
  <c r="C19" i="17"/>
  <c r="F24" i="17"/>
  <c r="W27" i="17"/>
  <c r="E31" i="17"/>
  <c r="L34" i="17"/>
  <c r="R39" i="17"/>
  <c r="R41" i="17"/>
  <c r="T43" i="17"/>
  <c r="K45" i="17"/>
  <c r="S46" i="17"/>
  <c r="W47" i="17"/>
  <c r="C49" i="17"/>
  <c r="E50" i="17"/>
  <c r="H51" i="17"/>
  <c r="L52" i="17"/>
  <c r="O53" i="17"/>
  <c r="O54" i="17"/>
  <c r="O55" i="17"/>
  <c r="M56" i="17"/>
  <c r="L57" i="17"/>
  <c r="I58" i="17"/>
  <c r="I59" i="17"/>
  <c r="F60" i="17"/>
  <c r="F61" i="17"/>
  <c r="C62" i="17"/>
  <c r="Z62" i="17"/>
  <c r="Y63" i="17"/>
  <c r="W64" i="17"/>
  <c r="T65" i="17"/>
  <c r="N66" i="17"/>
  <c r="H67" i="17"/>
  <c r="C68" i="17"/>
  <c r="X68" i="17"/>
  <c r="R69" i="17"/>
  <c r="L70" i="17"/>
  <c r="G71" i="17"/>
  <c r="C72" i="17"/>
  <c r="V72" i="17"/>
  <c r="P73" i="17"/>
  <c r="K74" i="17"/>
  <c r="E75" i="17"/>
  <c r="Y75" i="17"/>
  <c r="R76" i="17"/>
  <c r="K77" i="17"/>
  <c r="D78" i="17"/>
  <c r="W78" i="17"/>
  <c r="P82" i="17"/>
  <c r="J83" i="17"/>
  <c r="AA83" i="17"/>
  <c r="S84" i="17"/>
  <c r="K85" i="17"/>
  <c r="C86" i="17"/>
  <c r="T86" i="17"/>
  <c r="L87" i="17"/>
  <c r="D88" i="17"/>
  <c r="U88" i="17"/>
  <c r="M89" i="17"/>
  <c r="E90" i="17"/>
  <c r="V90" i="17"/>
  <c r="N91" i="17"/>
  <c r="F92" i="17"/>
  <c r="W92" i="17"/>
  <c r="O93" i="17"/>
  <c r="F94" i="17"/>
  <c r="V94" i="17"/>
  <c r="M9" i="17"/>
  <c r="S19" i="17"/>
  <c r="R24" i="17"/>
  <c r="Y27" i="17"/>
  <c r="G31" i="17"/>
  <c r="X34" i="17"/>
  <c r="T39" i="17"/>
  <c r="AA41" i="17"/>
  <c r="Y43" i="17"/>
  <c r="L45" i="17"/>
  <c r="U46" i="17"/>
  <c r="Y47" i="17"/>
  <c r="D49" i="17"/>
  <c r="I50" i="17"/>
  <c r="J51" i="17"/>
  <c r="M52" i="17"/>
  <c r="P53" i="17"/>
  <c r="Q54" i="17"/>
  <c r="Q55" i="17"/>
  <c r="O56" i="17"/>
  <c r="M57" i="17"/>
  <c r="K58" i="17"/>
  <c r="J59" i="17"/>
  <c r="G60" i="17"/>
  <c r="G61" i="17"/>
  <c r="D62" i="17"/>
  <c r="D63" i="17"/>
  <c r="Z63" i="17"/>
  <c r="X64" i="17"/>
  <c r="U65" i="17"/>
  <c r="O66" i="17"/>
  <c r="J67" i="17"/>
  <c r="D68" i="17"/>
  <c r="Y68" i="17"/>
  <c r="S69" i="17"/>
  <c r="M70" i="17"/>
  <c r="H71" i="17"/>
  <c r="D72" i="17"/>
  <c r="W72" i="17"/>
  <c r="Q73" i="17"/>
  <c r="L74" i="17"/>
  <c r="H75" i="17"/>
  <c r="Z75" i="17"/>
  <c r="S76" i="17"/>
  <c r="L77" i="17"/>
  <c r="E78" i="17"/>
  <c r="X78" i="17"/>
  <c r="Q82" i="17"/>
  <c r="K83" i="17"/>
  <c r="C84" i="17"/>
  <c r="T84" i="17"/>
  <c r="L85" i="17"/>
  <c r="D86" i="17"/>
  <c r="U86" i="17"/>
  <c r="M87" i="17"/>
  <c r="E88" i="17"/>
  <c r="V88" i="17"/>
  <c r="N89" i="17"/>
  <c r="F90" i="17"/>
  <c r="W90" i="17"/>
  <c r="O91" i="17"/>
  <c r="G92" i="17"/>
  <c r="Y92" i="17"/>
  <c r="P93" i="17"/>
  <c r="G94" i="17"/>
  <c r="W94" i="17"/>
  <c r="D10" i="17"/>
  <c r="J20" i="17"/>
  <c r="T24" i="17"/>
  <c r="AA27" i="17"/>
  <c r="S31" i="17"/>
  <c r="Z34" i="17"/>
  <c r="D40" i="17"/>
  <c r="D42" i="17"/>
  <c r="AA43" i="17"/>
  <c r="N45" i="17"/>
  <c r="W46" i="17"/>
  <c r="Z47" i="17"/>
  <c r="E49" i="17"/>
  <c r="J50" i="17"/>
  <c r="L51" i="17"/>
  <c r="O52" i="17"/>
  <c r="Q53" i="17"/>
  <c r="R54" i="17"/>
  <c r="R55" i="17"/>
  <c r="P56" i="17"/>
  <c r="O57" i="17"/>
  <c r="M58" i="17"/>
  <c r="K59" i="17"/>
  <c r="I60" i="17"/>
  <c r="H61" i="17"/>
  <c r="E62" i="17"/>
  <c r="E63" i="17"/>
  <c r="AA63" i="17"/>
  <c r="AA64" i="17"/>
  <c r="V65" i="17"/>
  <c r="P66" i="17"/>
  <c r="K67" i="17"/>
  <c r="G68" i="17"/>
  <c r="Z68" i="17"/>
  <c r="T69" i="17"/>
  <c r="O70" i="17"/>
  <c r="I71" i="17"/>
  <c r="E72" i="17"/>
  <c r="X72" i="17"/>
  <c r="R73" i="17"/>
  <c r="M74" i="17"/>
  <c r="I75" i="17"/>
  <c r="AA75" i="17"/>
  <c r="T76" i="17"/>
  <c r="M77" i="17"/>
  <c r="G78" i="17"/>
  <c r="Y78" i="17"/>
  <c r="S82" i="17"/>
  <c r="L83" i="17"/>
  <c r="D84" i="17"/>
  <c r="U84" i="17"/>
  <c r="M85" i="17"/>
  <c r="E86" i="17"/>
  <c r="V86" i="17"/>
  <c r="N87" i="17"/>
  <c r="F88" i="17"/>
  <c r="W88" i="17"/>
  <c r="O89" i="17"/>
  <c r="G90" i="17"/>
  <c r="X90" i="17"/>
  <c r="P91" i="17"/>
  <c r="I92" i="17"/>
  <c r="Z92" i="17"/>
  <c r="Q93" i="17"/>
  <c r="H94" i="17"/>
  <c r="X94" i="17"/>
  <c r="T10" i="17"/>
  <c r="Z20" i="17"/>
  <c r="V24" i="17"/>
  <c r="N28" i="17"/>
  <c r="U31" i="17"/>
  <c r="C35" i="17"/>
  <c r="F40" i="17"/>
  <c r="F42" i="17"/>
  <c r="D44" i="17"/>
  <c r="R45" i="17"/>
  <c r="Y46" i="17"/>
  <c r="C48" i="17"/>
  <c r="G49" i="17"/>
  <c r="K50" i="17"/>
  <c r="P51" i="17"/>
  <c r="Q52" i="17"/>
  <c r="S53" i="17"/>
  <c r="U54" i="17"/>
  <c r="S55" i="17"/>
  <c r="S56" i="17"/>
  <c r="P57" i="17"/>
  <c r="N58" i="17"/>
  <c r="M59" i="17"/>
  <c r="K60" i="17"/>
  <c r="I61" i="17"/>
  <c r="G62" i="17"/>
  <c r="F63" i="17"/>
  <c r="C64" i="17"/>
  <c r="C65" i="17"/>
  <c r="W65" i="17"/>
  <c r="Q66" i="17"/>
  <c r="L67" i="17"/>
  <c r="H68" i="17"/>
  <c r="AA68" i="17"/>
  <c r="U69" i="17"/>
  <c r="P70" i="17"/>
  <c r="L71" i="17"/>
  <c r="F72" i="17"/>
  <c r="Y72" i="17"/>
  <c r="T73" i="17"/>
  <c r="N74" i="17"/>
  <c r="J75" i="17"/>
  <c r="C76" i="17"/>
  <c r="U76" i="17"/>
  <c r="N77" i="17"/>
  <c r="H78" i="17"/>
  <c r="Z78" i="17"/>
  <c r="T82" i="17"/>
  <c r="M83" i="17"/>
  <c r="E84" i="17"/>
  <c r="V84" i="17"/>
  <c r="N85" i="17"/>
  <c r="F86" i="17"/>
  <c r="W86" i="17"/>
  <c r="O87" i="17"/>
  <c r="G88" i="17"/>
  <c r="X88" i="17"/>
  <c r="P89" i="17"/>
  <c r="H90" i="17"/>
  <c r="Y90" i="17"/>
  <c r="R91" i="17"/>
  <c r="J92" i="17"/>
  <c r="AA92" i="17"/>
  <c r="R93" i="17"/>
  <c r="I94" i="17"/>
  <c r="Y94" i="17"/>
  <c r="K11" i="17"/>
  <c r="Q21" i="17"/>
  <c r="I25" i="17"/>
  <c r="P28" i="17"/>
  <c r="W31" i="17"/>
  <c r="O35" i="17"/>
  <c r="H40" i="17"/>
  <c r="G42" i="17"/>
  <c r="E44" i="17"/>
  <c r="W45" i="17"/>
  <c r="D47" i="17"/>
  <c r="E48" i="17"/>
  <c r="H49" i="17"/>
  <c r="L50" i="17"/>
  <c r="Q51" i="17"/>
  <c r="S52" i="17"/>
  <c r="T53" i="17"/>
  <c r="V54" i="17"/>
  <c r="T55" i="17"/>
  <c r="T56" i="17"/>
  <c r="Q57" i="17"/>
  <c r="Q58" i="17"/>
  <c r="N59" i="17"/>
  <c r="L60" i="17"/>
  <c r="K61" i="17"/>
  <c r="I62" i="17"/>
  <c r="G63" i="17"/>
  <c r="E64" i="17"/>
  <c r="D65" i="17"/>
  <c r="X65" i="17"/>
  <c r="S66" i="17"/>
  <c r="M67" i="17"/>
  <c r="I68" i="17"/>
  <c r="C69" i="17"/>
  <c r="V69" i="17"/>
  <c r="Q70" i="17"/>
  <c r="M71" i="17"/>
  <c r="G72" i="17"/>
  <c r="Z72" i="17"/>
  <c r="U73" i="17"/>
  <c r="Q74" i="17"/>
  <c r="K75" i="17"/>
  <c r="D76" i="17"/>
  <c r="V76" i="17"/>
  <c r="P77" i="17"/>
  <c r="I78" i="17"/>
  <c r="C82" i="17"/>
  <c r="U82" i="17"/>
  <c r="N83" i="17"/>
  <c r="F84" i="17"/>
  <c r="W84" i="17"/>
  <c r="O85" i="17"/>
  <c r="G86" i="17"/>
  <c r="X86" i="17"/>
  <c r="P87" i="17"/>
  <c r="H88" i="17"/>
  <c r="Y88" i="17"/>
  <c r="Q89" i="17"/>
  <c r="I90" i="17"/>
  <c r="AA90" i="17"/>
  <c r="S91" i="17"/>
  <c r="K92" i="17"/>
  <c r="C93" i="17"/>
  <c r="S93" i="17"/>
  <c r="J94" i="17"/>
  <c r="Z94" i="17"/>
  <c r="AA11" i="17"/>
  <c r="D22" i="17"/>
  <c r="K25" i="17"/>
  <c r="R28" i="17"/>
  <c r="J32" i="17"/>
  <c r="Q35" i="17"/>
  <c r="I40" i="17"/>
  <c r="I42" i="17"/>
  <c r="G44" i="17"/>
  <c r="X45" i="17"/>
  <c r="E47" i="17"/>
  <c r="G48" i="17"/>
  <c r="J49" i="17"/>
  <c r="N50" i="17"/>
  <c r="R51" i="17"/>
  <c r="W52" i="17"/>
  <c r="V53" i="17"/>
  <c r="W54" i="17"/>
  <c r="V55" i="17"/>
  <c r="U56" i="17"/>
  <c r="R57" i="17"/>
  <c r="R58" i="17"/>
  <c r="O59" i="17"/>
  <c r="O60" i="17"/>
  <c r="L61" i="17"/>
  <c r="J62" i="17"/>
  <c r="I63" i="17"/>
  <c r="G64" i="17"/>
  <c r="E65" i="17"/>
  <c r="Y65" i="17"/>
  <c r="T66" i="17"/>
  <c r="P67" i="17"/>
  <c r="J68" i="17"/>
  <c r="D69" i="17"/>
  <c r="X69" i="17"/>
  <c r="R70" i="17"/>
  <c r="N71" i="17"/>
  <c r="H72" i="17"/>
  <c r="AA72" i="17"/>
  <c r="V73" i="17"/>
  <c r="R74" i="17"/>
  <c r="L75" i="17"/>
  <c r="E76" i="17"/>
  <c r="W76" i="17"/>
  <c r="Q77" i="17"/>
  <c r="J78" i="17"/>
  <c r="D82" i="17"/>
  <c r="V82" i="17"/>
  <c r="O83" i="17"/>
  <c r="G84" i="17"/>
  <c r="X84" i="17"/>
  <c r="P85" i="17"/>
  <c r="H86" i="17"/>
  <c r="Y86" i="17"/>
  <c r="Q87" i="17"/>
  <c r="I88" i="17"/>
  <c r="Z88" i="17"/>
  <c r="R89" i="17"/>
  <c r="K90" i="17"/>
  <c r="C91" i="17"/>
  <c r="T91" i="17"/>
  <c r="L92" i="17"/>
  <c r="D93" i="17"/>
  <c r="T93" i="17"/>
  <c r="K94" i="17"/>
  <c r="AA94" i="17"/>
  <c r="R12" i="17"/>
  <c r="F22" i="17"/>
  <c r="M25" i="17"/>
  <c r="E29" i="17"/>
  <c r="L32" i="17"/>
  <c r="S35" i="17"/>
  <c r="K40" i="17"/>
  <c r="R42" i="17"/>
  <c r="K44" i="17"/>
  <c r="Y45" i="17"/>
  <c r="F47" i="17"/>
  <c r="K48" i="17"/>
  <c r="L49" i="17"/>
  <c r="O50" i="17"/>
  <c r="S51" i="17"/>
  <c r="X52" i="17"/>
  <c r="X53" i="17"/>
  <c r="X54" i="17"/>
  <c r="X55" i="17"/>
  <c r="V56" i="17"/>
  <c r="T57" i="17"/>
  <c r="S58" i="17"/>
  <c r="P59" i="17"/>
  <c r="P60" i="17"/>
  <c r="M61" i="17"/>
  <c r="M62" i="17"/>
  <c r="J63" i="17"/>
  <c r="H64" i="17"/>
  <c r="G65" i="17"/>
  <c r="Z65" i="17"/>
  <c r="U66" i="17"/>
  <c r="Q67" i="17"/>
  <c r="K68" i="17"/>
  <c r="E69" i="17"/>
  <c r="Y69" i="17"/>
  <c r="U70" i="17"/>
  <c r="O71" i="17"/>
  <c r="I72" i="17"/>
  <c r="D73" i="17"/>
  <c r="W73" i="17"/>
  <c r="S74" i="17"/>
  <c r="M75" i="17"/>
  <c r="F76" i="17"/>
  <c r="Y76" i="17"/>
  <c r="R77" i="17"/>
  <c r="L78" i="17"/>
  <c r="E82" i="17"/>
  <c r="W82" i="17"/>
  <c r="P83" i="17"/>
  <c r="H84" i="17"/>
  <c r="Y84" i="17"/>
  <c r="Q85" i="17"/>
  <c r="I86" i="17"/>
  <c r="Z86" i="17"/>
  <c r="R87" i="17"/>
  <c r="J88" i="17"/>
  <c r="AA88" i="17"/>
  <c r="T89" i="17"/>
  <c r="L90" i="17"/>
  <c r="D91" i="17"/>
  <c r="U91" i="17"/>
  <c r="M92" i="17"/>
  <c r="E93" i="17"/>
  <c r="U93" i="17"/>
  <c r="L94" i="17"/>
  <c r="I13" i="17"/>
  <c r="H22" i="17"/>
  <c r="Y25" i="17"/>
  <c r="G29" i="17"/>
  <c r="N32" i="17"/>
  <c r="F38" i="17"/>
  <c r="T40" i="17"/>
  <c r="T42" i="17"/>
  <c r="P44" i="17"/>
  <c r="AA45" i="17"/>
  <c r="G47" i="17"/>
  <c r="L48" i="17"/>
  <c r="N49" i="17"/>
  <c r="Q50" i="17"/>
  <c r="U51" i="17"/>
  <c r="Y52" i="17"/>
  <c r="Z53" i="17"/>
  <c r="Z54" i="17"/>
  <c r="Y55" i="17"/>
  <c r="X56" i="17"/>
  <c r="V57" i="17"/>
  <c r="T58" i="17"/>
  <c r="R59" i="17"/>
  <c r="Q60" i="17"/>
  <c r="N61" i="17"/>
  <c r="N62" i="17"/>
  <c r="K63" i="17"/>
  <c r="K64" i="17"/>
  <c r="H65" i="17"/>
  <c r="C66" i="17"/>
  <c r="V66" i="17"/>
  <c r="R67" i="17"/>
  <c r="L68" i="17"/>
  <c r="F69" i="17"/>
  <c r="Z69" i="17"/>
  <c r="V70" i="17"/>
  <c r="P71" i="17"/>
  <c r="J72" i="17"/>
  <c r="E73" i="17"/>
  <c r="Z73" i="17"/>
  <c r="T74" i="17"/>
  <c r="N75" i="17"/>
  <c r="G76" i="17"/>
  <c r="Z76" i="17"/>
  <c r="S77" i="17"/>
  <c r="M78" i="17"/>
  <c r="F82" i="17"/>
  <c r="X82" i="17"/>
  <c r="Q83" i="17"/>
  <c r="I84" i="17"/>
  <c r="Z84" i="17"/>
  <c r="R85" i="17"/>
  <c r="J86" i="17"/>
  <c r="AA86" i="17"/>
  <c r="S87" i="17"/>
  <c r="K88" i="17"/>
  <c r="D89" i="17"/>
  <c r="U89" i="17"/>
  <c r="M90" i="17"/>
  <c r="E91" i="17"/>
  <c r="V91" i="17"/>
  <c r="N92" i="17"/>
  <c r="F93" i="17"/>
  <c r="V93" i="17"/>
  <c r="M94" i="17"/>
  <c r="Y13" i="17"/>
  <c r="T22" i="17"/>
  <c r="AA25" i="17"/>
  <c r="I29" i="17"/>
  <c r="Z32" i="17"/>
  <c r="H38" i="17"/>
  <c r="V40" i="17"/>
  <c r="V42" i="17"/>
  <c r="R44" i="17"/>
  <c r="C46" i="17"/>
  <c r="I47" i="17"/>
  <c r="M48" i="17"/>
  <c r="R49" i="17"/>
  <c r="S50" i="17"/>
  <c r="V51" i="17"/>
  <c r="Z52" i="17"/>
  <c r="AA53" i="17"/>
  <c r="AA54" i="17"/>
  <c r="C56" i="17"/>
  <c r="Y56" i="17"/>
  <c r="W57" i="17"/>
  <c r="V58" i="17"/>
  <c r="T59" i="17"/>
  <c r="R60" i="17"/>
  <c r="P61" i="17"/>
  <c r="O62" i="17"/>
  <c r="L63" i="17"/>
  <c r="L64" i="17"/>
  <c r="I65" i="17"/>
  <c r="D66" i="17"/>
  <c r="Y66" i="17"/>
  <c r="S67" i="17"/>
  <c r="M68" i="17"/>
  <c r="H69" i="17"/>
  <c r="AA69" i="17"/>
  <c r="W70" i="17"/>
  <c r="Q71" i="17"/>
  <c r="K72" i="17"/>
  <c r="F73" i="17"/>
  <c r="AA73" i="17"/>
  <c r="U74" i="17"/>
  <c r="O75" i="17"/>
  <c r="I76" i="17"/>
  <c r="AA76" i="17"/>
  <c r="U77" i="17"/>
  <c r="N78" i="17"/>
  <c r="G82" i="17"/>
  <c r="Y82" i="17"/>
  <c r="R83" i="17"/>
  <c r="J84" i="17"/>
  <c r="AA84" i="17"/>
  <c r="S85" i="17"/>
  <c r="K86" i="17"/>
  <c r="C87" i="17"/>
  <c r="T87" i="17"/>
  <c r="M88" i="17"/>
  <c r="E89" i="17"/>
  <c r="V89" i="17"/>
  <c r="N90" i="17"/>
  <c r="F91" i="17"/>
  <c r="W91" i="17"/>
  <c r="O92" i="17"/>
  <c r="G93" i="17"/>
  <c r="W93" i="17"/>
  <c r="N94" i="17"/>
  <c r="P14" i="17"/>
  <c r="V22" i="17"/>
  <c r="D26" i="17"/>
  <c r="U29" i="17"/>
  <c r="C33" i="17"/>
  <c r="J38" i="17"/>
  <c r="X40" i="17"/>
  <c r="W42" i="17"/>
  <c r="T44" i="17"/>
  <c r="E46" i="17"/>
  <c r="J47" i="17"/>
  <c r="N48" i="17"/>
  <c r="S49" i="17"/>
  <c r="U50" i="17"/>
  <c r="X51" i="17"/>
  <c r="C53" i="17"/>
  <c r="E54" i="17"/>
  <c r="D55" i="17"/>
  <c r="D56" i="17"/>
  <c r="Z56" i="17"/>
  <c r="Z57" i="17"/>
  <c r="W58" i="17"/>
  <c r="U59" i="17"/>
  <c r="T60" i="17"/>
  <c r="R61" i="17"/>
  <c r="P62" i="17"/>
  <c r="N63" i="17"/>
  <c r="M64" i="17"/>
  <c r="J65" i="17"/>
  <c r="E66" i="17"/>
  <c r="Z66" i="17"/>
  <c r="T67" i="17"/>
  <c r="N68" i="17"/>
  <c r="I69" i="17"/>
  <c r="E70" i="17"/>
  <c r="X70" i="17"/>
  <c r="R71" i="17"/>
  <c r="M72" i="17"/>
  <c r="G73" i="17"/>
  <c r="C74" i="17"/>
  <c r="V74" i="17"/>
  <c r="P75" i="17"/>
  <c r="J76" i="17"/>
  <c r="C77" i="17"/>
  <c r="V77" i="17"/>
  <c r="O78" i="17"/>
  <c r="H82" i="17"/>
  <c r="Z82" i="17"/>
  <c r="S83" i="17"/>
  <c r="K84" i="17"/>
  <c r="C85" i="17"/>
  <c r="T85" i="17"/>
  <c r="L86" i="17"/>
  <c r="D87" i="17"/>
  <c r="V87" i="17"/>
  <c r="N88" i="17"/>
  <c r="F89" i="17"/>
  <c r="W89" i="17"/>
  <c r="O90" i="17"/>
  <c r="G91" i="17"/>
  <c r="X91" i="17"/>
  <c r="P92" i="17"/>
  <c r="H93" i="17"/>
  <c r="X93" i="17"/>
  <c r="O94" i="17"/>
  <c r="G15" i="17"/>
  <c r="X22" i="17"/>
  <c r="P26" i="17"/>
  <c r="W29" i="17"/>
  <c r="E33" i="17"/>
  <c r="V38" i="17"/>
  <c r="Y40" i="17"/>
  <c r="Y42" i="17"/>
  <c r="U44" i="17"/>
  <c r="G46" i="17"/>
  <c r="L47" i="17"/>
  <c r="P48" i="17"/>
  <c r="T49" i="17"/>
  <c r="Y50" i="17"/>
  <c r="Z51" i="17"/>
  <c r="D53" i="17"/>
  <c r="F54" i="17"/>
  <c r="F55" i="17"/>
  <c r="E56" i="17"/>
  <c r="AA56" i="17"/>
  <c r="AA57" i="17"/>
  <c r="X58" i="17"/>
  <c r="X59" i="17"/>
  <c r="U60" i="17"/>
  <c r="S61" i="17"/>
  <c r="R62" i="17"/>
  <c r="P63" i="17"/>
  <c r="N64" i="17"/>
  <c r="L65" i="17"/>
  <c r="F66" i="17"/>
  <c r="AA66" i="17"/>
  <c r="U67" i="17"/>
  <c r="O68" i="17"/>
  <c r="J69" i="17"/>
  <c r="F70" i="17"/>
  <c r="Y70" i="17"/>
  <c r="S71" i="17"/>
  <c r="N72" i="17"/>
  <c r="J73" i="17"/>
  <c r="D74" i="17"/>
  <c r="W74" i="17"/>
  <c r="R75" i="17"/>
  <c r="K76" i="17"/>
  <c r="E77" i="17"/>
  <c r="W77" i="17"/>
  <c r="P78" i="17"/>
  <c r="I82" i="17"/>
  <c r="AA82" i="17"/>
  <c r="T83" i="17"/>
  <c r="L84" i="17"/>
  <c r="D85" i="17"/>
  <c r="U85" i="17"/>
  <c r="M86" i="17"/>
  <c r="F87" i="17"/>
  <c r="W87" i="17"/>
  <c r="O88" i="17"/>
  <c r="G89" i="17"/>
  <c r="X89" i="17"/>
  <c r="P90" i="17"/>
  <c r="H91" i="17"/>
  <c r="Y91" i="17"/>
  <c r="Q92" i="17"/>
  <c r="I93" i="17"/>
  <c r="Y93" i="17"/>
  <c r="P94" i="17"/>
  <c r="W15" i="17"/>
  <c r="K23" i="17"/>
  <c r="R26" i="17"/>
  <c r="Y29" i="17"/>
  <c r="Q33" i="17"/>
  <c r="X38" i="17"/>
  <c r="AA40" i="17"/>
  <c r="I43" i="17"/>
  <c r="W44" i="17"/>
  <c r="I46" i="17"/>
  <c r="N47" i="17"/>
  <c r="Q48" i="17"/>
  <c r="U49" i="17"/>
  <c r="Z50" i="17"/>
  <c r="C52" i="17"/>
  <c r="F53" i="17"/>
  <c r="G54" i="17"/>
  <c r="H55" i="17"/>
  <c r="F56" i="17"/>
  <c r="D57" i="17"/>
  <c r="C58" i="17"/>
  <c r="Y58" i="17"/>
  <c r="Y59" i="17"/>
  <c r="V60" i="17"/>
  <c r="V61" i="17"/>
  <c r="S62" i="17"/>
  <c r="Q63" i="17"/>
  <c r="P64" i="17"/>
  <c r="M65" i="17"/>
  <c r="I66" i="17"/>
  <c r="C67" i="17"/>
  <c r="V67" i="17"/>
  <c r="Q68" i="17"/>
  <c r="K69" i="17"/>
  <c r="G70" i="17"/>
  <c r="Z70" i="17"/>
  <c r="T71" i="17"/>
  <c r="O72" i="17"/>
  <c r="K73" i="17"/>
  <c r="E74" i="17"/>
  <c r="X74" i="17"/>
  <c r="S75" i="17"/>
  <c r="L76" i="17"/>
  <c r="F77" i="17"/>
  <c r="X77" i="17"/>
  <c r="Q78" i="17"/>
  <c r="J82" i="17"/>
  <c r="C83" i="17"/>
  <c r="U83" i="17"/>
  <c r="M84" i="17"/>
  <c r="E85" i="17"/>
  <c r="V85" i="17"/>
  <c r="O86" i="17"/>
  <c r="G87" i="17"/>
  <c r="X87" i="17"/>
  <c r="P88" i="17"/>
  <c r="H89" i="17"/>
  <c r="Y89" i="17"/>
  <c r="Q90" i="17"/>
  <c r="I91" i="17"/>
  <c r="Z91" i="17"/>
  <c r="R92" i="17"/>
  <c r="J93" i="17"/>
  <c r="Z93" i="17"/>
  <c r="Q94" i="17"/>
  <c r="N16" i="17"/>
  <c r="M23" i="17"/>
  <c r="T26" i="17"/>
  <c r="L30" i="17"/>
  <c r="S33" i="17"/>
  <c r="Z38" i="17"/>
  <c r="K41" i="17"/>
  <c r="K43" i="17"/>
  <c r="AA44" i="17"/>
  <c r="N46" i="17"/>
  <c r="P47" i="17"/>
  <c r="S48" i="17"/>
  <c r="W49" i="17"/>
  <c r="AA50" i="17"/>
  <c r="G52" i="17"/>
  <c r="H53" i="17"/>
  <c r="H54" i="17"/>
  <c r="I55" i="17"/>
  <c r="H56" i="17"/>
  <c r="F57" i="17"/>
  <c r="D58" i="17"/>
  <c r="AA58" i="17"/>
  <c r="Z59" i="17"/>
  <c r="W60" i="17"/>
  <c r="W61" i="17"/>
  <c r="T62" i="17"/>
  <c r="T63" i="17"/>
  <c r="Q64" i="17"/>
  <c r="N65" i="17"/>
  <c r="J66" i="17"/>
  <c r="D67" i="17"/>
  <c r="W67" i="17"/>
  <c r="R68" i="17"/>
  <c r="N69" i="17"/>
  <c r="H70" i="17"/>
  <c r="AA70" i="17"/>
  <c r="V71" i="17"/>
  <c r="P72" i="17"/>
  <c r="L73" i="17"/>
  <c r="F74" i="17"/>
  <c r="Y74" i="17"/>
  <c r="T75" i="17"/>
  <c r="N76" i="17"/>
  <c r="G77" i="17"/>
  <c r="Y77" i="17"/>
  <c r="R78" i="17"/>
  <c r="K82" i="17"/>
  <c r="E83" i="17"/>
  <c r="V83" i="17"/>
  <c r="N84" i="17"/>
  <c r="F85" i="17"/>
  <c r="X85" i="17"/>
  <c r="P86" i="17"/>
  <c r="H87" i="17"/>
  <c r="Y87" i="17"/>
  <c r="Q88" i="17"/>
  <c r="I89" i="17"/>
  <c r="Z89" i="17"/>
  <c r="R90" i="17"/>
  <c r="J91" i="17"/>
  <c r="AA91" i="17"/>
  <c r="S92" i="17"/>
  <c r="K93" i="17"/>
  <c r="AA93" i="17"/>
  <c r="R94" i="17"/>
  <c r="E17" i="17"/>
  <c r="O23" i="17"/>
  <c r="G27" i="17"/>
  <c r="N30" i="17"/>
  <c r="U33" i="17"/>
  <c r="M39" i="17"/>
  <c r="M41" i="17"/>
  <c r="M43" i="17"/>
  <c r="G45" i="17"/>
  <c r="O46" i="17"/>
  <c r="T47" i="17"/>
  <c r="U48" i="17"/>
  <c r="X49" i="17"/>
  <c r="C51" i="17"/>
  <c r="H52" i="17"/>
  <c r="J53" i="17"/>
  <c r="J54" i="17"/>
  <c r="L55" i="17"/>
  <c r="I56" i="17"/>
  <c r="G57" i="17"/>
  <c r="F58" i="17"/>
  <c r="D59" i="17"/>
  <c r="AA59" i="17"/>
  <c r="Y60" i="17"/>
  <c r="X61" i="17"/>
  <c r="U62" i="17"/>
  <c r="U63" i="17"/>
  <c r="R64" i="17"/>
  <c r="O65" i="17"/>
  <c r="K66" i="17"/>
  <c r="E67" i="17"/>
  <c r="X67" i="17"/>
  <c r="S68" i="17"/>
  <c r="O69" i="17"/>
  <c r="I70" i="17"/>
  <c r="C71" i="17"/>
  <c r="W71" i="17"/>
  <c r="S72" i="17"/>
  <c r="M73" i="17"/>
  <c r="G74" i="17"/>
  <c r="AA74" i="17"/>
  <c r="U75" i="17"/>
  <c r="O76" i="17"/>
  <c r="H77" i="17"/>
  <c r="Z77" i="17"/>
  <c r="S78" i="17"/>
  <c r="L82" i="17"/>
  <c r="F83" i="17"/>
  <c r="W83" i="17"/>
  <c r="O84" i="17"/>
  <c r="H85" i="17"/>
  <c r="Y85" i="17"/>
  <c r="Q86" i="17"/>
  <c r="I87" i="17"/>
  <c r="Z87" i="17"/>
  <c r="R88" i="17"/>
  <c r="J89" i="17"/>
  <c r="AA89" i="17"/>
  <c r="S90" i="17"/>
  <c r="K91" i="17"/>
  <c r="C92" i="17"/>
  <c r="T92" i="17"/>
  <c r="L93" i="17"/>
  <c r="C94" i="17"/>
  <c r="S94" i="17"/>
</calcChain>
</file>

<file path=xl/sharedStrings.xml><?xml version="1.0" encoding="utf-8"?>
<sst xmlns="http://schemas.openxmlformats.org/spreadsheetml/2006/main" count="6653" uniqueCount="1779">
  <si>
    <t>Revenue</t>
  </si>
  <si>
    <t>Total Revenue</t>
  </si>
  <si>
    <t>Gross Profit</t>
  </si>
  <si>
    <t>Cash &amp; Equivalents</t>
  </si>
  <si>
    <t>Reference Items</t>
  </si>
  <si>
    <t>Right click to show data transparency (not supported for all values)</t>
  </si>
  <si>
    <t>FY 2005</t>
  </si>
  <si>
    <t>Alnylam Pharmaceuticals Inc (ALNY US) - Adj Highlights</t>
  </si>
  <si>
    <t>In Millions of USD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</si>
  <si>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</si>
  <si>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</si>
  <si>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</si>
  <si>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</si>
  <si>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</si>
  <si>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</si>
  <si>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</si>
  <si>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</si>
  <si>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</si>
  <si>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</si>
  <si>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</si>
  <si>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</si>
  <si>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</si>
  <si>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</si>
  <si>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</si>
  <si>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</si>
  <si>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</si>
  <si>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</si>
  <si>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</si>
  <si>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</si>
  <si>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</si>
  <si>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</si>
  <si>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</si>
  <si>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 Est</t>
  </si>
  <si>
    <t>Q2 2025 Est</t>
  </si>
  <si>
    <t>3 Months Ending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</si>
  <si>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</si>
  <si>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</si>
  <si>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</si>
  <si>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</si>
  <si>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</si>
  <si>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</si>
  <si>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</si>
  <si>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</si>
  <si>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</si>
  <si>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</si>
  <si>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</si>
  <si>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</si>
  <si>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</si>
  <si>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</si>
  <si>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</si>
  <si>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</si>
  <si>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</si>
  <si>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</si>
  <si>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</si>
  <si>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</si>
  <si>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</si>
  <si>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</si>
  <si>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12/31/2024</t>
  </si>
  <si>
    <t>03/31/2025</t>
  </si>
  <si>
    <t>06/30/2025</t>
  </si>
  <si>
    <t>Market Capitalization</t>
  </si>
  <si>
    <t>HISTORICAL_MARKET_CAP</t>
  </si>
  <si>
    <t>- Cash &amp; Equivalents</t>
  </si>
  <si>
    <t>CASH_AND_MARKETABLE_SECURITIES</t>
  </si>
  <si>
    <t>+ Preferred &amp; Other</t>
  </si>
  <si>
    <t>PFD_EQTY_MINORTY_INTEREST</t>
  </si>
  <si>
    <t>+ Total Debt</t>
  </si>
  <si>
    <t>SHORT_AND_LONG_TERM_DEBT</t>
  </si>
  <si>
    <t>Enterprise Value</t>
  </si>
  <si>
    <t>ENTERPRISE_VALUE</t>
  </si>
  <si>
    <t>Revenue, Adj</t>
  </si>
  <si>
    <t>SALES_REV_TURN</t>
  </si>
  <si>
    <t xml:space="preserve">  Growth %, YoY</t>
  </si>
  <si>
    <t>SALES_GROWTH</t>
  </si>
  <si>
    <t>Gross Profit, Adj</t>
  </si>
  <si>
    <t>GROSS_PROFIT</t>
  </si>
  <si>
    <t xml:space="preserve">  Margin %</t>
  </si>
  <si>
    <t>EBITDA, Adj</t>
  </si>
  <si>
    <t>EBITDA</t>
  </si>
  <si>
    <t>Net Income, Adj</t>
  </si>
  <si>
    <t>EARN_FOR_COMMON</t>
  </si>
  <si>
    <t>EPS, Adj</t>
  </si>
  <si>
    <t>IS_DIL_EPS_CONT_OPS</t>
  </si>
  <si>
    <t>DILUTED_EPS_AFT_XO_ITEMS_GROWTH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</si>
  <si>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</si>
  <si>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</si>
  <si>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</si>
  <si>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</si>
  <si>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</si>
  <si>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</si>
  <si>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</si>
  <si>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Alnylam Pharmaceuticals Inc (ALNY US) - GAAP Highlights</t>
  </si>
  <si>
    <t>In Millions of USD except Per Share</t>
  </si>
  <si>
    <t>Q4 2018</t>
  </si>
  <si>
    <t>Q1 2019</t>
  </si>
  <si>
    <t>12/31/2018</t>
  </si>
  <si>
    <t>03/31/2019</t>
  </si>
  <si>
    <t>Total Revenues</t>
  </si>
  <si>
    <t>Operating Income</t>
  </si>
  <si>
    <t>IS_OPER_INC</t>
  </si>
  <si>
    <t>Net Income to Common</t>
  </si>
  <si>
    <t>Basic EPS, GAAP</t>
  </si>
  <si>
    <t>IS_EPS</t>
  </si>
  <si>
    <t>Diluted EPS, GAAP</t>
  </si>
  <si>
    <t>IS_DILUTED_EPS</t>
  </si>
  <si>
    <t xml:space="preserve">  Basic Weighted Avg Shares</t>
  </si>
  <si>
    <t>IS_AVG_NUM_SH_FOR_EPS</t>
  </si>
  <si>
    <t xml:space="preserve">  Diluted Weighted Avg Shares</t>
  </si>
  <si>
    <t>IS_SH_FOR_DILUTED_EPS</t>
  </si>
  <si>
    <t>Cash and Equivalents</t>
  </si>
  <si>
    <t>Total Current Assets</t>
  </si>
  <si>
    <t>BS_CUR_ASSET_REPORT</t>
  </si>
  <si>
    <t>Total Assets</t>
  </si>
  <si>
    <t>BS_TOT_ASSET</t>
  </si>
  <si>
    <t>Total Current Liabilities</t>
  </si>
  <si>
    <t>BS_CUR_LIAB</t>
  </si>
  <si>
    <t>Total Liabilities</t>
  </si>
  <si>
    <t>BS_TOT_LIAB2</t>
  </si>
  <si>
    <t>Total Equity</t>
  </si>
  <si>
    <t>TOTAL_EQUITY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</si>
  <si>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</si>
  <si>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</si>
  <si>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</si>
  <si>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</si>
  <si>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</si>
  <si>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</si>
  <si>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CF_CASH_FROM_INV_ACT</t>
  </si>
  <si>
    <t>Cash From Financing</t>
  </si>
  <si>
    <t>CF_CASH_FROM_FNC_ACT</t>
  </si>
  <si>
    <t>Alnylam Pharmaceuticals Inc (ALNY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</si>
  <si>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</si>
  <si>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</si>
  <si>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</si>
  <si>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</si>
  <si>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</si>
  <si>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</si>
  <si>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</si>
  <si>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</si>
  <si>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BEST_EPS_GAAP</t>
  </si>
  <si>
    <t>IS_COMP_EPS_GAAP</t>
  </si>
  <si>
    <t xml:space="preserve">  EPS Surprise %</t>
  </si>
  <si>
    <t>—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</si>
  <si>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</si>
  <si>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</si>
  <si>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</si>
  <si>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</si>
  <si>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</si>
  <si>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</si>
  <si>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</si>
  <si>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</si>
  <si>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</si>
  <si>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IS_COMP_GROSS_MARGIN_PERCENTAGE</t>
  </si>
  <si>
    <t xml:space="preserve">  Gross Margin Surprise %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</si>
  <si>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</si>
  <si>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</si>
  <si>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</si>
  <si>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</si>
  <si>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</si>
  <si>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PRETAX_INC</t>
  </si>
  <si>
    <t>Net Income</t>
  </si>
  <si>
    <t>BEST_NET_GAAP</t>
  </si>
  <si>
    <t>IS_COMP_NET_INCOME_GAAP</t>
  </si>
  <si>
    <t xml:space="preserve">  Net Income Surprise %</t>
  </si>
  <si>
    <t>Alnylam Pharmaceuticals Inc (ALNY US) - Enterprise Value</t>
  </si>
  <si>
    <t>Current</t>
  </si>
  <si>
    <t>03/28/2025</t>
  </si>
  <si>
    <t xml:space="preserve">  - Cash &amp; Equivalents</t>
  </si>
  <si>
    <t xml:space="preserve">  + Preferred Equity</t>
  </si>
  <si>
    <t>PFD_EQTY_HYBRID_CAPITAL</t>
  </si>
  <si>
    <t xml:space="preserve">  + Minority Interest</t>
  </si>
  <si>
    <t>MINORITY_NONCONTROLLING_INTEREST</t>
  </si>
  <si>
    <t xml:space="preserve">  + Total Debt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</si>
  <si>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</si>
  <si>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</si>
  <si>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</si>
  <si>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</si>
  <si>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</si>
  <si>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</si>
  <si>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</si>
  <si>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</si>
  <si>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</si>
  <si>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</si>
  <si>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</si>
  <si>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</si>
  <si>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</si>
  <si>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</si>
  <si>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</si>
  <si>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</si>
  <si>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</si>
  <si>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</si>
  <si>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</si>
  <si>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IFRS 16/ASC 842 Adoption</t>
  </si>
  <si>
    <t>IFRS_16_ASC_842_ADOPTION_IND</t>
  </si>
  <si>
    <t>Yes</t>
  </si>
  <si>
    <t>Sales</t>
  </si>
  <si>
    <t>TRAIL_12M_NET_SALES</t>
  </si>
  <si>
    <t>TRAIL_12M_EBITDA</t>
  </si>
  <si>
    <t>TRAIL_12M_OPER_INC</t>
  </si>
  <si>
    <t>Alnylam Pharmaceuticals Inc (ALNY US) - Multiples</t>
  </si>
  <si>
    <t>P/E</t>
  </si>
  <si>
    <t>PE_RATIO</t>
  </si>
  <si>
    <t>P/Book</t>
  </si>
  <si>
    <t>PX_TO_BOOK_RATIO</t>
  </si>
  <si>
    <t xml:space="preserve">  Average</t>
  </si>
  <si>
    <t>AVERAGE_PRICE_TO_BOOK_RATIO</t>
  </si>
  <si>
    <t xml:space="preserve">  High</t>
  </si>
  <si>
    <t>HIGH_CLOSING_PRICE_TO_BOOK_RATIO</t>
  </si>
  <si>
    <t xml:space="preserve">  Low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</si>
  <si>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</si>
  <si>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</si>
  <si>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</si>
  <si>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</si>
  <si>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</si>
  <si>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</si>
  <si>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</si>
  <si>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</si>
  <si>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</si>
  <si>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</si>
  <si>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</si>
  <si>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</si>
  <si>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</si>
  <si>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</si>
  <si>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</si>
  <si>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</si>
  <si>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</si>
  <si>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</si>
  <si>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</si>
  <si>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</si>
  <si>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</si>
  <si>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</si>
  <si>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</si>
  <si>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</si>
  <si>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</si>
  <si>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</si>
  <si>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</si>
  <si>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</si>
  <si>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</si>
  <si>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</si>
  <si>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</si>
  <si>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PX_LAST</t>
  </si>
  <si>
    <t>PX_HIGH</t>
  </si>
  <si>
    <t>PX_LOW</t>
  </si>
  <si>
    <t>AVERAGE_ENTERPRISE_VALUE</t>
  </si>
  <si>
    <t>HIGH_ENTERPRISE_VALUE</t>
  </si>
  <si>
    <t>LOW_ENTERPRISE_VALUE</t>
  </si>
  <si>
    <t>Alnylam Pharmaceuticals Inc (ALNY US) - Per Share</t>
  </si>
  <si>
    <t>Basic Shares Outstanding</t>
  </si>
  <si>
    <t>Diluted Weighted Avg Shares</t>
  </si>
  <si>
    <t>Basic Weighted Avg Shares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</si>
  <si>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</si>
  <si>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</si>
  <si>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</si>
  <si>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</si>
  <si>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</si>
  <si>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</si>
  <si>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</si>
  <si>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</si>
  <si>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</si>
  <si>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</si>
  <si>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Net Income before XO - Diluted</t>
  </si>
  <si>
    <t>IS_DIL_EPS_BEF_XO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</si>
  <si>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</si>
  <si>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</si>
  <si>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</si>
  <si>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</si>
  <si>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</si>
  <si>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</si>
  <si>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</si>
  <si>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</si>
  <si>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</si>
  <si>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</si>
  <si>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</si>
  <si>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Alnylam Pharmaceuticals Inc (ALNY US) - Stock Value</t>
  </si>
  <si>
    <t>Last Price</t>
  </si>
  <si>
    <t xml:space="preserve">  Period-over-Period % Change</t>
  </si>
  <si>
    <t>CHG_PCT_PERIOD</t>
  </si>
  <si>
    <t>Open Price</t>
  </si>
  <si>
    <t>PX_OPEN</t>
  </si>
  <si>
    <t>High Price</t>
  </si>
  <si>
    <t>Low Price</t>
  </si>
  <si>
    <t xml:space="preserve">  Current Shares Outstanding</t>
  </si>
  <si>
    <t>EQY_SH_OUT</t>
  </si>
  <si>
    <t xml:space="preserve">  Equity Float</t>
  </si>
  <si>
    <t>EQY_FLOAT</t>
  </si>
  <si>
    <t>Alnylam Pharmaceuticals Inc (ALNY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</si>
  <si>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</si>
  <si>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</si>
  <si>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</si>
  <si>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</si>
  <si>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</si>
  <si>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</si>
  <si>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</si>
  <si>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</si>
  <si>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DILUTED_EV_EX_OPERATING_LEASE</t>
  </si>
  <si>
    <t>EV_EX_OP_LEA_LIAB_TO_SHS_OUTSTDG</t>
  </si>
  <si>
    <t>T12M_EBITDA_AFTER_OPER_LEA_EXPN</t>
  </si>
  <si>
    <t>T12_EBIT_AFT_OPER_LEASE_EXPN</t>
  </si>
  <si>
    <t>Alnylam Pharmaceuticals Inc (ALNY US) - Adjusted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</si>
  <si>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</si>
  <si>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</si>
  <si>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</si>
  <si>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</si>
  <si>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</si>
  <si>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</si>
  <si>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</si>
  <si>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</si>
  <si>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</si>
  <si>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</si>
  <si>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</si>
  <si>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</si>
  <si>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</si>
  <si>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</si>
  <si>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</si>
  <si>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</si>
  <si>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</si>
  <si>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</si>
  <si>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</si>
  <si>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</si>
  <si>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</si>
  <si>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</si>
  <si>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</si>
  <si>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</si>
  <si>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</si>
  <si>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</si>
  <si>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</si>
  <si>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</si>
  <si>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</si>
  <si>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Non-Op (Income) Loss</t>
  </si>
  <si>
    <t>IS_OTHER_NON_OPERATING_INC_LOSS</t>
  </si>
  <si>
    <t>Pretax Income (Loss), Adjusted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</si>
  <si>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</si>
  <si>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</si>
  <si>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</si>
  <si>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</si>
  <si>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Early Extinguishment of Debt</t>
  </si>
  <si>
    <t>IS_G_L_ON_EXT_DBT_OR_SETTLE_DBT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</si>
  <si>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</si>
  <si>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</si>
  <si>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</si>
  <si>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</si>
  <si>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</si>
  <si>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</si>
  <si>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</si>
  <si>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</si>
  <si>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</si>
  <si>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</si>
  <si>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</si>
  <si>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</si>
  <si>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</si>
  <si>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</si>
  <si>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</si>
  <si>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</si>
  <si>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</si>
  <si>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</si>
  <si>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</si>
  <si>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</si>
  <si>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</si>
  <si>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</si>
  <si>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</si>
  <si>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</si>
  <si>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</si>
  <si>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</si>
  <si>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</si>
  <si>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</si>
  <si>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</si>
  <si>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</si>
  <si>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</si>
  <si>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</si>
  <si>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</si>
  <si>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</si>
  <si>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EPS from Cont Ops, GAAP</t>
  </si>
  <si>
    <t>Basic EPS from Cont Ops, Adjusted</t>
  </si>
  <si>
    <t>Diluted EPS from Cont Ops, GAAP</t>
  </si>
  <si>
    <t>Diluted EPS from Cont Ops, Adjusted</t>
  </si>
  <si>
    <t>Accounting Standard</t>
  </si>
  <si>
    <t>ACCOUNTING_STANDARD</t>
  </si>
  <si>
    <t>US GAAP</t>
  </si>
  <si>
    <t>EBITDA Margin (T12M)</t>
  </si>
  <si>
    <t>EBITDA_MARGIN</t>
  </si>
  <si>
    <t>EBITA</t>
  </si>
  <si>
    <t>Gross 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</si>
  <si>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</si>
  <si>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</si>
  <si>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</si>
  <si>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</si>
  <si>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</si>
  <si>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</si>
  <si>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</si>
  <si>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Total Cash Common Dividends</t>
  </si>
  <si>
    <t>IS_TOT_CASH_COM_DVD</t>
  </si>
  <si>
    <t>Depreciation Expense</t>
  </si>
  <si>
    <t>IS_DEPR_EXP</t>
  </si>
  <si>
    <t>Rental Expense</t>
  </si>
  <si>
    <t>BS_CURR_RENTAL_EXPENSE</t>
  </si>
  <si>
    <t>Alnylam Pharmaceuticals Inc (ALNY US) - GAAP</t>
  </si>
  <si>
    <t>IS_OPER_EXPENSES_RD_GAAP</t>
  </si>
  <si>
    <t>OTHER_OPERATING_EXPENSES_RATIO</t>
  </si>
  <si>
    <t>NONOP_INCOME_LOSS</t>
  </si>
  <si>
    <t>OTHER_NONOP_INCOME_LOSS</t>
  </si>
  <si>
    <t>Pretax Income</t>
  </si>
  <si>
    <t>Alnylam Pharmaceuticals Inc (ALNY US) - As Reported</t>
  </si>
  <si>
    <t>Income Statement</t>
  </si>
  <si>
    <t xml:space="preserve">  Revenues</t>
  </si>
  <si>
    <t>Revenues</t>
  </si>
  <si>
    <t>ARD_REVENUES</t>
  </si>
  <si>
    <t>Other Revenue</t>
  </si>
  <si>
    <t>ARD_OTHER_REV</t>
  </si>
  <si>
    <t>Royalty Revenue</t>
  </si>
  <si>
    <t>ARD_ROYALTY_REVENUE</t>
  </si>
  <si>
    <t>Product Revenue</t>
  </si>
  <si>
    <t>ARD_PRODUCT_REVENUE</t>
  </si>
  <si>
    <t>Service Revenue</t>
  </si>
  <si>
    <t>ARD_SERVICE_REVENUE</t>
  </si>
  <si>
    <t>ARD_TOTAL_REVENUES</t>
  </si>
  <si>
    <t xml:space="preserve">  Operating Expenses</t>
  </si>
  <si>
    <t>Total Operating Expenses</t>
  </si>
  <si>
    <t>ARD_TOTAL_OPERATING_EXPENSES</t>
  </si>
  <si>
    <t>Cost of Goods Sold</t>
  </si>
  <si>
    <t>ARD_COST_OF_GOODS_SOLD</t>
  </si>
  <si>
    <t>R &amp; D Expenditures</t>
  </si>
  <si>
    <t>ARD_R&amp;D_EXPENDITURES</t>
  </si>
  <si>
    <t>Selling General and Administrative Expenses</t>
  </si>
  <si>
    <t>ARD_SELLING_GENERAL_ADMIN_EXP</t>
  </si>
  <si>
    <t>General and Administrative Expenses</t>
  </si>
  <si>
    <t>ARD_GENERAL_ADMINISTRATIVE_EXP</t>
  </si>
  <si>
    <t>ARD_OPERATING_INCOME</t>
  </si>
  <si>
    <t>Other Cost of Revenues</t>
  </si>
  <si>
    <t>ARD_OTHER_COST_OF_REVENUES</t>
  </si>
  <si>
    <t>Royalty Expenses</t>
  </si>
  <si>
    <t>ARD_ROYALTY_EXPENSES</t>
  </si>
  <si>
    <t xml:space="preserve">  Non-Operating Expenses</t>
  </si>
  <si>
    <t>Interest Expense</t>
  </si>
  <si>
    <t>ARD_INT_EXP</t>
  </si>
  <si>
    <t>Interest Income</t>
  </si>
  <si>
    <t>ARD_INT_INCOME</t>
  </si>
  <si>
    <t>Other Non-Operating Income</t>
  </si>
  <si>
    <t>ARD_OTHER_NON_OPERATING_INC</t>
  </si>
  <si>
    <t>Other Non-Operating Expenses</t>
  </si>
  <si>
    <t>ARD_OTHER_NON_OPERATING_EXP</t>
  </si>
  <si>
    <t>Income Tax Expense (Benefit)</t>
  </si>
  <si>
    <t>ARD_INCOME_TAX_EXP_BENEFIT</t>
  </si>
  <si>
    <t>Income Before Income Taxes</t>
  </si>
  <si>
    <t>ARD_INCOME_BEFORE_INCOME_TAXES</t>
  </si>
  <si>
    <t>Income Before XO Items</t>
  </si>
  <si>
    <t>ARD_INCOME_BEFORE_XO_ITEMS</t>
  </si>
  <si>
    <t>GL On Early Ext of Debt -Non-Op</t>
  </si>
  <si>
    <t>ARD_GL_ON_EARLY_EXT_DEBT_NON_OP</t>
  </si>
  <si>
    <t>Other Non-Operating (Income)/Expense - Net</t>
  </si>
  <si>
    <t>ARD_OTH_NON_OPER_INC_EXP_NET</t>
  </si>
  <si>
    <t>Legal Expense - Non-Operating</t>
  </si>
  <si>
    <t>ARD_LEGAL_EXPENSE_NON_OPERATING</t>
  </si>
  <si>
    <t>Other One - Time Items Non-Operating</t>
  </si>
  <si>
    <t>ARD_OTHER_ONE_TIME_ITEMS_NON_OP</t>
  </si>
  <si>
    <t xml:space="preserve">  Earnings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</si>
  <si>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</si>
  <si>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</si>
  <si>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</si>
  <si>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</si>
  <si>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</si>
  <si>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</si>
  <si>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</si>
  <si>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</si>
  <si>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Basic &amp; Diluted EPS</t>
  </si>
  <si>
    <t>ARD_BASIC_AND_DILUTED_EPS</t>
  </si>
  <si>
    <t>Weighted Avg. Shares - Basic &amp; Diluted</t>
  </si>
  <si>
    <t>ARD_WTD_AVG_SHS_BASIC_DILUTED</t>
  </si>
  <si>
    <t>Net Income Available For Common Shareholders</t>
  </si>
  <si>
    <t>ARD_NET_INC_AVAIL_COM_SHRHLDR</t>
  </si>
  <si>
    <t>Profit After Taxation Before Minority</t>
  </si>
  <si>
    <t>ARD_PROF_AFTER_TAX_BEF_MINORITY</t>
  </si>
  <si>
    <t>Cumulative Net Income</t>
  </si>
  <si>
    <t>ARD_CUMULATIVE_NET_INCOME</t>
  </si>
  <si>
    <t>ARD_NET_INC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</si>
  <si>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</si>
  <si>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</si>
  <si>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</si>
  <si>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</si>
  <si>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</si>
  <si>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Pension Related Adjustments</t>
  </si>
  <si>
    <t>ARD_PENSION_RELATED_ADJUSTMENTS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</si>
  <si>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</si>
  <si>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</si>
  <si>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</si>
  <si>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</si>
  <si>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</si>
  <si>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</si>
  <si>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Net Income - Comprehensive Income</t>
  </si>
  <si>
    <t>ARD_COMPREHENSIVE_INCOME_NET_INC</t>
  </si>
  <si>
    <t xml:space="preserve">  Others</t>
  </si>
  <si>
    <t xml:space="preserve">  Reference Items</t>
  </si>
  <si>
    <t>ARDR_R&amp;D_EXPENDITURES</t>
  </si>
  <si>
    <t>ARDR_DEPRECIATION_EXP</t>
  </si>
  <si>
    <t>Selling General and Administrative Expense</t>
  </si>
  <si>
    <t>ARDR_SELLING_GENERAL_ADMIN_EXP</t>
  </si>
  <si>
    <t>Depreciation and Amortization</t>
  </si>
  <si>
    <t>ARDR_DEPRECIATION_AMORTIZATION</t>
  </si>
  <si>
    <t>ARDR_INT_EXP</t>
  </si>
  <si>
    <t>Other One-Time Charges</t>
  </si>
  <si>
    <t>ARDR_OTHER_ONE_TIME_CHARGES</t>
  </si>
  <si>
    <t>ARDR_INT_INCOME</t>
  </si>
  <si>
    <t>Interest Expense - Net</t>
  </si>
  <si>
    <t>ARDR_INT_EXP_NET</t>
  </si>
  <si>
    <t>ARDR_GENERAL_ADMINISTRATIVE_EXP</t>
  </si>
  <si>
    <t>Basic EPS Before XO Items</t>
  </si>
  <si>
    <t>ARDR_BASIC_EPS_BEF_XO_ITEMS</t>
  </si>
  <si>
    <t>ARDR_BASIC_EPS</t>
  </si>
  <si>
    <t>ARDR_WEIGHTED_AVG_SHARES_BASIC</t>
  </si>
  <si>
    <t>Diluted EPS Before XO Items</t>
  </si>
  <si>
    <t>ARDR_DILUTED_EPS_BEF_XO_ITEMS</t>
  </si>
  <si>
    <t>ARDR_DILUTED_EPS</t>
  </si>
  <si>
    <t>ARDR_WEIGHTED_AVG_SHARE_DILUTED</t>
  </si>
  <si>
    <t>Current Rental Expense</t>
  </si>
  <si>
    <t>ARDR_CURRENT_RENTAL_EXP</t>
  </si>
  <si>
    <t>Stock Based Compensation Expense</t>
  </si>
  <si>
    <t>ARDR_STK_BASED_COMPENSATION_EXP</t>
  </si>
  <si>
    <t>ARDR_BASIC_AND_DILUTED_EPS</t>
  </si>
  <si>
    <t>ARDR_WTD_AVG_SHS_BASIC_DILUTED</t>
  </si>
  <si>
    <t>Litigation Expense</t>
  </si>
  <si>
    <t>ARDR_LITIGATION_EXP</t>
  </si>
  <si>
    <t>Merger/Acquisition Expense</t>
  </si>
  <si>
    <t>ARDR_MERGER_ACQUISITION_EXPENSE</t>
  </si>
  <si>
    <t>ARDR_TOTAL_REVENUES</t>
  </si>
  <si>
    <t>ARDR_ROYALTY_REVENUE</t>
  </si>
  <si>
    <t>ARDR_GL_ON_EARLY_EXT_DEBT_NON_OP</t>
  </si>
  <si>
    <t>ARDR_PRODUCT_REVENUE</t>
  </si>
  <si>
    <t>ARDR_SERVICE_REVENUE</t>
  </si>
  <si>
    <t>Net Inc Available For Common Shareholders</t>
  </si>
  <si>
    <t>ARDR_NET_INC_AVAIL_COM_SHRHLDR</t>
  </si>
  <si>
    <t>Basic &amp; Diluted EPS Before XO Items</t>
  </si>
  <si>
    <t>ARDR_BASIC_DIL_EPS_BEF_XO_ITEMS</t>
  </si>
  <si>
    <t>Adjusted Net Income-As Reported</t>
  </si>
  <si>
    <t>ARD_ADJ_NET_INCOME_AS_REPORTED</t>
  </si>
  <si>
    <t>Adjusted EPS</t>
  </si>
  <si>
    <t>ARDR_ADJUSTED_EPS</t>
  </si>
  <si>
    <t>Unrealized (Gain)/Loss From Secs Non-Op</t>
  </si>
  <si>
    <t>ARDR_UNREAL_GL_FROM_SECS_NON_OP</t>
  </si>
  <si>
    <t>Statutory Tax Rate - %</t>
  </si>
  <si>
    <t>ARDR_STATUTORY_TAX_RATE_PCT</t>
  </si>
  <si>
    <t>ARDR Acquisition Mergers After Tax</t>
  </si>
  <si>
    <t>ARDR_ACQUISITION_MERGERS_AFT_TAX</t>
  </si>
  <si>
    <t>ARDR Debt Extinguishment After Tax</t>
  </si>
  <si>
    <t>ARDR_DEBT_EXTINGUISHMENT_AFT_TAX</t>
  </si>
  <si>
    <t>ARDR Legal Litigation Settlement After Tax</t>
  </si>
  <si>
    <t>ARDR_LEGAL_LIT_SETTLE_AFT_TAX</t>
  </si>
  <si>
    <t>ARDR Realized Investments After Tax</t>
  </si>
  <si>
    <t>ARDR_REALIZED_INVESTMNTS_AFT_TAX</t>
  </si>
  <si>
    <t>ARDR Stock-Based Compensation After Tax</t>
  </si>
  <si>
    <t>ARDR_SBC_AFTER_TAX</t>
  </si>
  <si>
    <t>ARDR Other One Time Charge After Tax</t>
  </si>
  <si>
    <t>ARDR_OTHER_ONE_TIME_CHRG_AFT_TAX</t>
  </si>
  <si>
    <t>Stock Option Expense (After Tax)</t>
  </si>
  <si>
    <t>ARDR_STOCK_OPT_EXPENSE_AFTER_TAX</t>
  </si>
  <si>
    <t>Adjusted EBIT/Non-GAAP Operating Income</t>
  </si>
  <si>
    <t>ARDR_ADJ_EBIT_NON_GAAP_OP_INC</t>
  </si>
  <si>
    <t>Stock-Based Compensation Attrib to R&amp;D</t>
  </si>
  <si>
    <t>ARDR_STOCK_BASED_CMPNSTN_IN_R&amp;D</t>
  </si>
  <si>
    <t>Stock-Based Compensation Attrib to SG&amp;A</t>
  </si>
  <si>
    <t>ARDR_STOCK_BASED_CMPNSTN_IN_SG&amp;A</t>
  </si>
  <si>
    <t>Stock Based Comp Attributable to Other</t>
  </si>
  <si>
    <t>ARDR_STOCK_BASED_COMP_OTHER</t>
  </si>
  <si>
    <t>Non-GAAP Selling General &amp; Administrative</t>
  </si>
  <si>
    <t>ARDR_NON_GAAP_SG&amp;A</t>
  </si>
  <si>
    <t>Non-GAAP Research and Development</t>
  </si>
  <si>
    <t>ARDR_NON_GAAP_R&amp;D</t>
  </si>
  <si>
    <t>Non-GAAP Operating Expenses</t>
  </si>
  <si>
    <t>ARDR_NON_GAAP_OPERATING_EXPENSES</t>
  </si>
  <si>
    <t>Stock-Based Compensation - Non-GAAP SG&amp;A</t>
  </si>
  <si>
    <t>ARDR_SBC_NON_GAAP_SG&amp;A</t>
  </si>
  <si>
    <t>Stock-Based Compensation - Non-GAAP G&amp;A</t>
  </si>
  <si>
    <t>ARDR_SBC_NON_GAAP_G&amp;A</t>
  </si>
  <si>
    <t>Stock-Based Compensation - Non-GAAP R&amp;D</t>
  </si>
  <si>
    <t>ARDR_SBC_NON_GAAP_R&amp;D</t>
  </si>
  <si>
    <t>ARDR Acquisition Related Charges Non-GAAP EPS</t>
  </si>
  <si>
    <t>ARDR_ACQ_REL_CHRG_NON-GAAP_EPS</t>
  </si>
  <si>
    <t>ARDR Stock-Based Compensation Non-GAAP EPS</t>
  </si>
  <si>
    <t>ARDR_SBC_NON-GAAP_EPS</t>
  </si>
  <si>
    <t>ARDR Other Adjustments Non-GAAP EPS</t>
  </si>
  <si>
    <t>ARDR_OTHER_ADJ_NON-GAAP_EPS</t>
  </si>
  <si>
    <t>ARDR Legal Litigation Settlement Non-GAAP EPS</t>
  </si>
  <si>
    <t>ARDR_LGL_LIT_SETTLE_NON-GAAP_EPS</t>
  </si>
  <si>
    <t>Earnings Before Interest and Taxes</t>
  </si>
  <si>
    <t>ARDR_EBIT</t>
  </si>
  <si>
    <t>ARDR Revenue Growth</t>
  </si>
  <si>
    <t>ARDR_REVENUE_GROWTH</t>
  </si>
  <si>
    <t>Capital Expenditures As Reported</t>
  </si>
  <si>
    <t>ARDR_CAPEX_AS_REPORTED</t>
  </si>
  <si>
    <t>ARDR Stock Based Compensation CF Pre Tax</t>
  </si>
  <si>
    <t>ARDR_STK_BSD_CMPNSTN_CF_PRE_TAX</t>
  </si>
  <si>
    <t>Alnylam Pharmaceuticals Inc (ALNY US) - Reconciliation</t>
  </si>
  <si>
    <t>EBITDA Reconciliation</t>
  </si>
  <si>
    <t>EBIT, GAAP</t>
  </si>
  <si>
    <t xml:space="preserve">  + Revenue Adjustments</t>
  </si>
  <si>
    <t>IS_REVENUE_ADJUSTMENTS</t>
  </si>
  <si>
    <t xml:space="preserve">  + Cost of Revenue Adjustments</t>
  </si>
  <si>
    <t>IS_COST_OF_REVENUE_ADJUSTMENTS</t>
  </si>
  <si>
    <t xml:space="preserve">  + Other Op Inc Adjustments</t>
  </si>
  <si>
    <t>IS_OTHER_OPER_INC_NONGAAP_ADJUST</t>
  </si>
  <si>
    <t xml:space="preserve">  + SG&amp;A Adjustments</t>
  </si>
  <si>
    <t>IS_SGA_ADJ</t>
  </si>
  <si>
    <t xml:space="preserve">  + R&amp;D Expense Adjustments</t>
  </si>
  <si>
    <t>IS_RD_EXPENSE_NON_GAAP_ADJ</t>
  </si>
  <si>
    <t xml:space="preserve">  + D&amp;A Adjustments</t>
  </si>
  <si>
    <t>IS_DA_NON_GAAP_ADJ</t>
  </si>
  <si>
    <t xml:space="preserve">  + Prov for Doubtful Acct Adj</t>
  </si>
  <si>
    <t>IS_PDA_NONGAAP_ADJUSTMENTS</t>
  </si>
  <si>
    <t xml:space="preserve">  + Other Op Exp Adjustments</t>
  </si>
  <si>
    <t>IS_OTHER_OPERATING_EXPN_ADJUST</t>
  </si>
  <si>
    <t>EBIT, Adjusted</t>
  </si>
  <si>
    <t xml:space="preserve">  + Depreciation &amp; Amortization</t>
  </si>
  <si>
    <t>ADJUSTED_DA_EXPENSES</t>
  </si>
  <si>
    <t xml:space="preserve">  + Cost of Capitalized Operating Leases</t>
  </si>
  <si>
    <t>COST_CAPITALIZED_OPERATING_LEAS</t>
  </si>
  <si>
    <t>EBITDA, Adjusted</t>
  </si>
  <si>
    <t>EBIT Reconciliation</t>
  </si>
  <si>
    <t xml:space="preserve">  + Merger Expense</t>
  </si>
  <si>
    <t>IS_MERGER_ACQ_EXPENSE_OPERATING</t>
  </si>
  <si>
    <t xml:space="preserve">  + Legal Settlement</t>
  </si>
  <si>
    <t>IS_LEGAL_LIT_SETTLE_EXPN_OP</t>
  </si>
  <si>
    <t xml:space="preserve">  + Other Abnormal Items</t>
  </si>
  <si>
    <t>IS_OTHER_ONE_TIME_ITEMS_OP</t>
  </si>
  <si>
    <t>Pretax Income Reconciliation</t>
  </si>
  <si>
    <t xml:space="preserve">  + Early Extinguishment of Debt</t>
  </si>
  <si>
    <t xml:space="preserve">  + Sale of Investments</t>
  </si>
  <si>
    <t xml:space="preserve">  + Unrealized Investments</t>
  </si>
  <si>
    <t>Net Income Reconciliation</t>
  </si>
  <si>
    <t>Net Inc Avail to Common, GAAP</t>
  </si>
  <si>
    <t xml:space="preserve">  + Discontinued Operations</t>
  </si>
  <si>
    <t xml:space="preserve">  + XO &amp; Accounting Changes</t>
  </si>
  <si>
    <t>Net Inc Avail to Common Cont, GAAP</t>
  </si>
  <si>
    <t>INC_BEF_XO_LESS_MIN_INT_PREF_DVD</t>
  </si>
  <si>
    <t>IS_MA_EXPENSE_AFTER_TAX</t>
  </si>
  <si>
    <t>IS_EEOD_AFTER_TAX</t>
  </si>
  <si>
    <t>IS_LEGAL_LITIG_SETTLE_AFTER_TAX</t>
  </si>
  <si>
    <t>IS_SALE_OF_INVESTMENTS_AFTER_TAX</t>
  </si>
  <si>
    <t>IS_UNREALIZED_INVEST_AFT_TAX</t>
  </si>
  <si>
    <t>IS_OTH_ONE_TIME_ITEMS_AFTER_TAX</t>
  </si>
  <si>
    <t>Earnings Per Share Reconciliation</t>
  </si>
  <si>
    <t>IS_DISC_OPS_DILUTED_SH</t>
  </si>
  <si>
    <t>IS_XO_ITEMS_ACCT_CHG_DIL_SH</t>
  </si>
  <si>
    <t>IS_MERGER_ACQUIS_EXPN_DILUTED_SH</t>
  </si>
  <si>
    <t>IS_EEOD_DILUTED_SHARE</t>
  </si>
  <si>
    <t>IS_LEGAL_LITIG_SETTLE_DILUTED_SH</t>
  </si>
  <si>
    <t>IS_SALE_INVESTMENTS_DILUTED_SH</t>
  </si>
  <si>
    <t>IS_UNREALIZED_INVEST_DILUTED_SH</t>
  </si>
  <si>
    <t>IS_OTH_ONE_TIME_ITEMS_DILUTED_SH</t>
  </si>
  <si>
    <t>Diluted EPS from Cont Ops, Adj</t>
  </si>
  <si>
    <t>Alnylam Pharmaceuticals Inc (ALNY US) - SBC &amp; Amort</t>
  </si>
  <si>
    <t>Basic EPS Ex-SBC, Adj</t>
  </si>
  <si>
    <t>BASIC_EPS_EX_STK_BASED_COMP</t>
  </si>
  <si>
    <t>Diluted EPS Ex-SBC, Adj</t>
  </si>
  <si>
    <t>DILUTED_EPS_EX_STK_BASED_COMP</t>
  </si>
  <si>
    <t>Stock Based Compensation</t>
  </si>
  <si>
    <t>Pre-Tax</t>
  </si>
  <si>
    <t>IS_EXPENSE_STOCK_BASED_COMP</t>
  </si>
  <si>
    <t>After-Tax</t>
  </si>
  <si>
    <t>IS_STK_BASED_COMP_AFT_TAX</t>
  </si>
  <si>
    <t>Per Basic Share</t>
  </si>
  <si>
    <t>IS_STK_BASED_COMP_PER_BAS_SH</t>
  </si>
  <si>
    <t>Per Diluted Share</t>
  </si>
  <si>
    <t>IS_STK_BASED_COMP_PER_DIL_SH</t>
  </si>
  <si>
    <t>Selling, General &amp; Administrative</t>
  </si>
  <si>
    <t>IS_SBC_INCL_SELLING</t>
  </si>
  <si>
    <t>General &amp; Administrative</t>
  </si>
  <si>
    <t>IS_SBC_INCL_GEN_ADMIN</t>
  </si>
  <si>
    <t>Research &amp; Development</t>
  </si>
  <si>
    <t>IS_SBC_INCL_RD</t>
  </si>
  <si>
    <t>Other Operating Expense</t>
  </si>
  <si>
    <t>IS_SBC_ATTRIBUTABLE_TO_OTH_PRETX</t>
  </si>
  <si>
    <t>Amortization of Acquisition Related Intangibles</t>
  </si>
  <si>
    <t>Amortization of Total Intangibles</t>
  </si>
  <si>
    <t>Alnylam Pharmaceuticals Inc (ALNY US) - Adj %</t>
  </si>
  <si>
    <t>Alnylam Pharmaceuticals Inc (ALNY US) - GAAP %</t>
  </si>
  <si>
    <t>Last 12M</t>
  </si>
  <si>
    <t>Alnylam Pharmaceuticals Inc (ALNY US) - Standardized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</si>
  <si>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</si>
  <si>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</si>
  <si>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</si>
  <si>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</si>
  <si>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</si>
  <si>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</si>
  <si>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</si>
  <si>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</si>
  <si>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</si>
  <si>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</si>
  <si>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</si>
  <si>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</si>
  <si>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</si>
  <si>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</si>
  <si>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</si>
  <si>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</si>
  <si>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</si>
  <si>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</si>
  <si>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</si>
  <si>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</si>
  <si>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</si>
  <si>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</si>
  <si>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</si>
  <si>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</si>
  <si>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</si>
  <si>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</si>
  <si>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</si>
  <si>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</si>
  <si>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</si>
  <si>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</si>
  <si>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</si>
  <si>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</si>
  <si>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</si>
  <si>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</si>
  <si>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</si>
  <si>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</si>
  <si>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</si>
  <si>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</si>
  <si>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</si>
  <si>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</si>
  <si>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</si>
  <si>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</si>
  <si>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</si>
  <si>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</si>
  <si>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</si>
  <si>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</si>
  <si>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</si>
  <si>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</si>
  <si>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</si>
  <si>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</si>
  <si>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</si>
  <si>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</si>
  <si>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</si>
  <si>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</si>
  <si>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</si>
  <si>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</si>
  <si>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</si>
  <si>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</si>
  <si>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</si>
  <si>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</si>
  <si>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</si>
  <si>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</si>
  <si>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</si>
  <si>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</si>
  <si>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</si>
  <si>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</si>
  <si>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</si>
  <si>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</si>
  <si>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</si>
  <si>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</si>
  <si>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</si>
  <si>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</si>
  <si>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</si>
  <si>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</si>
  <si>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</si>
  <si>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</si>
  <si>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</si>
  <si>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</si>
  <si>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</si>
  <si>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</si>
  <si>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</si>
  <si>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</si>
  <si>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</si>
  <si>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</si>
  <si>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</si>
  <si>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</si>
  <si>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</si>
  <si>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</si>
  <si>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</si>
  <si>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</si>
  <si>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</si>
  <si>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</si>
  <si>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</si>
  <si>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</si>
  <si>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</si>
  <si>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</si>
  <si>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</si>
  <si>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</si>
  <si>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</si>
  <si>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</si>
  <si>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</si>
  <si>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</si>
  <si>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</si>
  <si>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</si>
  <si>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</si>
  <si>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</si>
  <si>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</si>
  <si>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</si>
  <si>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 xml:space="preserve">  + Preferred Equity and Hybrid 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</si>
  <si>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</si>
  <si>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</si>
  <si>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</si>
  <si>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</si>
  <si>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</si>
  <si>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</si>
  <si>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</si>
  <si>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</si>
  <si>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</si>
  <si>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</si>
  <si>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</si>
  <si>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</si>
  <si>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</si>
  <si>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</si>
  <si>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</si>
  <si>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Total Liabilities &amp; Equity</t>
  </si>
  <si>
    <t>TOT_LIAB_AND_EQY</t>
  </si>
  <si>
    <t>Shares Outstanding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</si>
  <si>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</si>
  <si>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</si>
  <si>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</si>
  <si>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</si>
  <si>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</si>
  <si>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</si>
  <si>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</si>
  <si>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</si>
  <si>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</si>
  <si>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</si>
  <si>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</si>
  <si>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</si>
  <si>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</si>
  <si>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</si>
  <si>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</si>
  <si>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</si>
  <si>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</si>
  <si>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</si>
  <si>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</si>
  <si>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</si>
  <si>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</si>
  <si>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</si>
  <si>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</si>
  <si>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</si>
  <si>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Balance Sheet</t>
  </si>
  <si>
    <t xml:space="preserve">  Current Assets</t>
  </si>
  <si>
    <t>ARD_CASH_AND_EQUIVALENTS</t>
  </si>
  <si>
    <t>Marketable Securities</t>
  </si>
  <si>
    <t>ARD_MARKETABLE_SECURITIES</t>
  </si>
  <si>
    <t>Accounts Receivable - Trade</t>
  </si>
  <si>
    <t>ARD_ACCTS_RECEIVABLE_TRADE</t>
  </si>
  <si>
    <t>Inventories</t>
  </si>
  <si>
    <t>ARD_INVENTORY</t>
  </si>
  <si>
    <t>Prepaid Expenses and Other</t>
  </si>
  <si>
    <t>ARD_PREPAID_EXP_AND_OTHER</t>
  </si>
  <si>
    <t>Other Current Assets</t>
  </si>
  <si>
    <t>ARD_OTHER_CURRENT_ASSETS</t>
  </si>
  <si>
    <t>ARD_TOTAL_CUR_ASSETS</t>
  </si>
  <si>
    <t xml:space="preserve">  Noncurrent Assets</t>
  </si>
  <si>
    <t>Non-Current Marketable Securities</t>
  </si>
  <si>
    <t>ARD_NON_CUR_MKT_SEC</t>
  </si>
  <si>
    <t>Property Plant &amp; Equipment - Net</t>
  </si>
  <si>
    <t>ARD_PROPERTY_PLANT_EQUIP_NET</t>
  </si>
  <si>
    <t>Deferred Income Tax Asset (Long-Term)</t>
  </si>
  <si>
    <t>ARD_DEFERRED_INC_TAX_ASSET_LT</t>
  </si>
  <si>
    <t>Restricted Cash/Investments (Long-Term)</t>
  </si>
  <si>
    <t>ARD_RESTRICTED_CASH_INVEST_LT</t>
  </si>
  <si>
    <t>Other Noncurrent Assets</t>
  </si>
  <si>
    <t>ARD_OTHER_NONCURRENT_ASSET</t>
  </si>
  <si>
    <t>Other Receivables (Long-Term)</t>
  </si>
  <si>
    <t>ARD_OTHER_RECEIVABLES_LT</t>
  </si>
  <si>
    <t>Total Non-Current Assets</t>
  </si>
  <si>
    <t>ARD_TOTAL_NONCURRENT_ASSETS</t>
  </si>
  <si>
    <t>ARD_TOT_ASSETS</t>
  </si>
  <si>
    <t xml:space="preserve">  Current Liabilities</t>
  </si>
  <si>
    <t>Accounts Payable - Trade</t>
  </si>
  <si>
    <t>ARD_ACCOUNTS_PAYABLE_TRADE</t>
  </si>
  <si>
    <t>Accrued Expenses</t>
  </si>
  <si>
    <t>ARD_ACCRUED_EXPENSES</t>
  </si>
  <si>
    <t>Deferred/Unearned Revenue (Short-Term)</t>
  </si>
  <si>
    <t>ARD_DEFERRED_UNEARNED_REV_ST</t>
  </si>
  <si>
    <t>Other Current Liabilities</t>
  </si>
  <si>
    <t>ARD_OTHER_CURRENT_LIABILITIES</t>
  </si>
  <si>
    <t>Short Term Operating Lease Liabilities</t>
  </si>
  <si>
    <t>ARD_ST_OPERATING_LEASE_LIABS</t>
  </si>
  <si>
    <t>Deferred Expenses (Short-Term)</t>
  </si>
  <si>
    <t>ARD_DEFERRED_EXPENSES_ST</t>
  </si>
  <si>
    <t>ARD_TOTAL_CURRENT_LIABILITIES</t>
  </si>
  <si>
    <t xml:space="preserve">  Non Current Liabilities</t>
  </si>
  <si>
    <t>ARD_TOT_NONCURRENT_LIABILITIES</t>
  </si>
  <si>
    <t>Convertible Debt (Long-Term)</t>
  </si>
  <si>
    <t>ARD_CONVERTIBLE_DEBT_LT</t>
  </si>
  <si>
    <t>Long Term Debt</t>
  </si>
  <si>
    <t>ARD_LT_DEBT</t>
  </si>
  <si>
    <t>Deferred/Unearned Revenue (Long-Term)</t>
  </si>
  <si>
    <t>ARD_DEFERRED_UNEARNED_REV_LT</t>
  </si>
  <si>
    <t>Other Noncurrent Liabilities</t>
  </si>
  <si>
    <t>ARD_OTH_NONCURRENT_LIABILITIES</t>
  </si>
  <si>
    <t>Long Term Operating Lease Liabilities</t>
  </si>
  <si>
    <t>ARD_LT_OPERATING_LEASE_LIABS</t>
  </si>
  <si>
    <t>Other Long-Term Debt</t>
  </si>
  <si>
    <t>ARD_OTHER_LT_DEBT</t>
  </si>
  <si>
    <t>Deferred Expenses (Long-Term)</t>
  </si>
  <si>
    <t>ARD_DEFERRED_EXPENSES_LT</t>
  </si>
  <si>
    <t>ARD_TOT_LIABILITIES</t>
  </si>
  <si>
    <t xml:space="preserve">  Stockholder Equity</t>
  </si>
  <si>
    <t>Preferred Stock</t>
  </si>
  <si>
    <t>ARD_PREFERRED_STOCK</t>
  </si>
  <si>
    <t>Common Stock</t>
  </si>
  <si>
    <t>ARD_COMMON_STOCK</t>
  </si>
  <si>
    <t>Additional Paid In Capital</t>
  </si>
  <si>
    <t>ARD_ADDITIONAL_PAID_IN_CAPITAL</t>
  </si>
  <si>
    <t>Accumulated Other Comprehensive Income</t>
  </si>
  <si>
    <t>ARD_ACC_OTH_COMPREHENSIVE_INC</t>
  </si>
  <si>
    <t>Retained Earnings (Accumulated Deficit)</t>
  </si>
  <si>
    <t>ARD_RETAINED_EARN_ACC_DEFICIT</t>
  </si>
  <si>
    <t>ARD_SHARES_OUTSTANDING</t>
  </si>
  <si>
    <t>Par Value</t>
  </si>
  <si>
    <t>ARD_PAR_VALUE</t>
  </si>
  <si>
    <t>Shares Issued</t>
  </si>
  <si>
    <t>ARD_SHARES_ISSUED</t>
  </si>
  <si>
    <t>Total Shareholders Equity</t>
  </si>
  <si>
    <t>ARD_TOTAL_SHAREHOLDERS_EQUITY</t>
  </si>
  <si>
    <t>Shares Authorized</t>
  </si>
  <si>
    <t>ARD_SHARES_AUTHORIZED</t>
  </si>
  <si>
    <t>Preferred Stock Shares Outstanding</t>
  </si>
  <si>
    <t>ARD_PREFERRED_STOCK_SHARES_OUT</t>
  </si>
  <si>
    <t>Total Shareholders Equity Excluding Minority</t>
  </si>
  <si>
    <t>ARD_TOT_SHARE_EQY_EXCL_MINORITY</t>
  </si>
  <si>
    <t>Total Liabilities and Shareholders Equity</t>
  </si>
  <si>
    <t>ARD_TOT_LIAB_AND_SHAREHOLDER_EQY</t>
  </si>
  <si>
    <t>ARDR_ACCTS_RECEIVABLE_TRADE</t>
  </si>
  <si>
    <t>ARDR_INVENTORY</t>
  </si>
  <si>
    <t>Restricted Cash (ST)</t>
  </si>
  <si>
    <t>ARDR_RESTRICTED_CASH_ST</t>
  </si>
  <si>
    <t>Land</t>
  </si>
  <si>
    <t>ARDR_LAND</t>
  </si>
  <si>
    <t>Buildings</t>
  </si>
  <si>
    <t>ARDR_BUILDING</t>
  </si>
  <si>
    <t>Leasehold Improvements</t>
  </si>
  <si>
    <t>ARDR_LEASEHOLD_IMPROVEMENTS</t>
  </si>
  <si>
    <t>Construction In Progress</t>
  </si>
  <si>
    <t>ARDR_CONSTRUCTION_IN_PROGRESS</t>
  </si>
  <si>
    <t>Furniture/Machinery/Equipment</t>
  </si>
  <si>
    <t>ARDR_FURNITURE_MACHINERY_EQUIP</t>
  </si>
  <si>
    <t>Property Plant &amp; Equipment - Gross</t>
  </si>
  <si>
    <t>ARDR_PROPERTY_PLANT_EQUIP_GROSS</t>
  </si>
  <si>
    <t>Accumulated Depreciation</t>
  </si>
  <si>
    <t>ARDR_ACCUMULATED_DEPREC</t>
  </si>
  <si>
    <t>ARDR_PROPERTY_PLANT_EQUIP_NET</t>
  </si>
  <si>
    <t>Deferred Income Tax Asset (LT)</t>
  </si>
  <si>
    <t>ARDR_DEFERRED_INC_TAX_ASSET_LT</t>
  </si>
  <si>
    <t>Deferred Income Taxes (Liabilities)</t>
  </si>
  <si>
    <t>ARDR_DEFERRED_INCOME_TAXES_LIAB</t>
  </si>
  <si>
    <t>ARDR_PREFERRED_STOCK</t>
  </si>
  <si>
    <t>ARDR_COMMON_STOCK</t>
  </si>
  <si>
    <t>ARDR_ADDITIONAL_PAID_IN_CAPITAL</t>
  </si>
  <si>
    <t>ARDR_ACC_OTH_COMPREHENSIVE_INC</t>
  </si>
  <si>
    <t>ARDR_RETAINED_EARN_ACC_DEFICIT</t>
  </si>
  <si>
    <t>ARDR_SHARES_OUTSTANDING</t>
  </si>
  <si>
    <t>ARDR_PAR_VALUE</t>
  </si>
  <si>
    <t>Raw Materials</t>
  </si>
  <si>
    <t>ARDR_RAW_MATERIAL</t>
  </si>
  <si>
    <t>Work In Progress</t>
  </si>
  <si>
    <t>ARDR_WORK_IN_PROGRESS</t>
  </si>
  <si>
    <t>Finished Goods</t>
  </si>
  <si>
    <t>ARDR_FINISHED_GOOD</t>
  </si>
  <si>
    <t>ARDR_SHARES_ISSUED</t>
  </si>
  <si>
    <t>Other Inventory</t>
  </si>
  <si>
    <t>ARDR_OTHER_INVENTORY</t>
  </si>
  <si>
    <t>ARDR_FUT_MIN_OPER_LEASE_OBLIG</t>
  </si>
  <si>
    <t>Rental Expense - Year 1</t>
  </si>
  <si>
    <t>ARDR_RENTAL_EXP_YR1</t>
  </si>
  <si>
    <t>Rental Expense - Year 2</t>
  </si>
  <si>
    <t>ARDR_RENTAL_EXP_YR2</t>
  </si>
  <si>
    <t>Rental Expense - Year 3</t>
  </si>
  <si>
    <t>ARDR_RENTAL_EXP_YR3</t>
  </si>
  <si>
    <t>Rental Expense - Year 4</t>
  </si>
  <si>
    <t>ARDR_RENTAL_EXP_YR4</t>
  </si>
  <si>
    <t>Rental Expense - Year 5</t>
  </si>
  <si>
    <t>ARDR_RENTAL_EXP_YR5</t>
  </si>
  <si>
    <t>Rental Expense - Beyond Year 5</t>
  </si>
  <si>
    <t>ARDR_RENTAL_EXP_BEYOND_YR5</t>
  </si>
  <si>
    <t>ARDR_TOTAL_SHAREHOLDERS_EQUITY</t>
  </si>
  <si>
    <t>Capitalized Software - Gross</t>
  </si>
  <si>
    <t>ARDR_CAPITALIZED_SOFTWARE_GROSS</t>
  </si>
  <si>
    <t>Commercial Paper Outstanding</t>
  </si>
  <si>
    <t>ARDR_COMMERCIAL_PAPER</t>
  </si>
  <si>
    <t>ARDR_NUMBER_EMPLOYEES</t>
  </si>
  <si>
    <t>Shares Outstanding From The Front Cover</t>
  </si>
  <si>
    <t>ARDR_SHARE_OUT_FROM_FRONT_COVER</t>
  </si>
  <si>
    <t>Number of Employees at Period End Date</t>
  </si>
  <si>
    <t>ARDR_NUM_OF_EMPLOYEES_PERIOD_END</t>
  </si>
  <si>
    <t>Cash Equivalents And Marketable Securities</t>
  </si>
  <si>
    <t>ARDR_CASH_EQUIVALENTS_MKT_SECS</t>
  </si>
  <si>
    <t>ARDR_OPTIONS_GRANTED_DURING_PER</t>
  </si>
  <si>
    <t>Options Outstanding End Period</t>
  </si>
  <si>
    <t>ARDR_OPTIONS_OUTSTANDING_END_PER</t>
  </si>
  <si>
    <t>ARDR_SHARES_AUTHORIZED</t>
  </si>
  <si>
    <t>ARDR_PREFERRED_STOCK_SHARES_OUT</t>
  </si>
  <si>
    <t>Total Shareholder Equity Excludes Minority</t>
  </si>
  <si>
    <t>ARDR_TOT_SHARE_EQY_EXCL_MINORITY</t>
  </si>
  <si>
    <t>Options Exercised During the Period</t>
  </si>
  <si>
    <t>ARDR_OPTIONS_EXERCISED_DUR_PER</t>
  </si>
  <si>
    <t>Cash Equivalents</t>
  </si>
  <si>
    <t>ARDR_CASH_EQUIVS</t>
  </si>
  <si>
    <t>Debt Schedule In Yr 1</t>
  </si>
  <si>
    <t>ARDR_DEBT_SCHEDULE_IN_YR1</t>
  </si>
  <si>
    <t>Debt Schedule Thereafter</t>
  </si>
  <si>
    <t>ARDR_DEBT_SCHEDULE_THEREAFTER</t>
  </si>
  <si>
    <t>Debt Schedule - Total Debt</t>
  </si>
  <si>
    <t>ARDR_DEBT_SCHEDULE_TOTAL_DEBT</t>
  </si>
  <si>
    <t>Number of Common Shares Repurchased</t>
  </si>
  <si>
    <t>ARDR_COMMON_SHARES_REPURCHASED</t>
  </si>
  <si>
    <t>ARDR Total Operating Liabilities</t>
  </si>
  <si>
    <t>ARDR_TOTAL_OPERATING_LIABILITIES</t>
  </si>
  <si>
    <t>Fair Value Assets Recur - Level 1</t>
  </si>
  <si>
    <t>ARDR_FV_ASSETS_REC_LEVEL_1</t>
  </si>
  <si>
    <t>Fair Value Assets Recur - Level 2</t>
  </si>
  <si>
    <t>ARDR_FV_ASSETS_REC_LEVEL_2</t>
  </si>
  <si>
    <t>Fair Value Assets Recur - Level 3</t>
  </si>
  <si>
    <t>ARDR_FV_ASSETS_REC_LEVEL_3</t>
  </si>
  <si>
    <t>Fair Value Assets Recur - Total</t>
  </si>
  <si>
    <t>ARDR_FV_ASSETS_REC_TOTAL</t>
  </si>
  <si>
    <t>Fair Value Liab Recur - Level 1</t>
  </si>
  <si>
    <t>ARDR_FV_LIAB_REC_LEVEL_1</t>
  </si>
  <si>
    <t>Fair Value Liab Recur - Level 2</t>
  </si>
  <si>
    <t>ARDR_FV_LIAB_REC_LEVEL_2</t>
  </si>
  <si>
    <t>Fair Value Liab Recur - Level 3</t>
  </si>
  <si>
    <t>ARDR_FV_LIAB_REC_LEVEL_3</t>
  </si>
  <si>
    <t>Fair Value Liab Recur - Total</t>
  </si>
  <si>
    <t>ARDR_FV_LIAB_REC_TOTAL</t>
  </si>
  <si>
    <t>ARDR Options Cancelled or Forfeited</t>
  </si>
  <si>
    <t>ARDR_OPTIONS_CANCELLED_FORFEITED</t>
  </si>
  <si>
    <t>Contractual Obligations - Year 1</t>
  </si>
  <si>
    <t>ARDR_CONTRACTUAL_OBLIG_YEAR_1</t>
  </si>
  <si>
    <t>Contractual Obligations Years - 2 &amp; 3</t>
  </si>
  <si>
    <t>ARDR_CONTRACTUAL_OBLIG_YEAR_2_3</t>
  </si>
  <si>
    <t>Contractual Obligations Years - 4 &amp; 5</t>
  </si>
  <si>
    <t>ARDR_CONTRACTUAL_OBLIG_YEAR_4_5</t>
  </si>
  <si>
    <t>Contractual Obligations - Beyond Year 5</t>
  </si>
  <si>
    <t>ARDR_CONT_OBLIG_BEYOND_YEAR_5</t>
  </si>
  <si>
    <t>Total Contractual Obligations</t>
  </si>
  <si>
    <t>ARDR_CONTRACTUAL_OBLIG_TOTAL</t>
  </si>
  <si>
    <t>PV of Future Min Op Lease Obligations</t>
  </si>
  <si>
    <t>ARDR_PV_FUTURE_MIN_OP_LEASE_OBL</t>
  </si>
  <si>
    <t>Debt Schedule - Years 2 - 3</t>
  </si>
  <si>
    <t>ARDR_DEBT_SCHEDULE_YR_2_3</t>
  </si>
  <si>
    <t>Debt Schedule - Years 4 - 5</t>
  </si>
  <si>
    <t>ARDR_DEBT_SCHEDULE_YR_4_5</t>
  </si>
  <si>
    <t>Weighted Average Cost of Options Granted</t>
  </si>
  <si>
    <t>ARDR_WEI_AVG_COST_OPTIONS_GRANT</t>
  </si>
  <si>
    <t>Stock Opt Valuation - Expected Life (Yrs)</t>
  </si>
  <si>
    <t>ARDR_STOCK_OPTION_VAL_EXP_LIFE</t>
  </si>
  <si>
    <t>Stock Opt Valuation - Dividend Yield (%)</t>
  </si>
  <si>
    <t>ARDR_STOCK_OPTION_VAL_DVD_YLD</t>
  </si>
  <si>
    <t>Avg Exercise Price (Options Exercisable)</t>
  </si>
  <si>
    <t>ARDR_AVG_EXER_PX_OPT_EXERCISABLE</t>
  </si>
  <si>
    <t>Avg Exercise Price (Options Outstanding)</t>
  </si>
  <si>
    <t>ARDR_AVG_EXER_PX_OPT_OUTSTANDING</t>
  </si>
  <si>
    <t>Options Exercisable End of Period</t>
  </si>
  <si>
    <t>ARDR_OPTIONS_EXERCISABLE</t>
  </si>
  <si>
    <t>Deferred Tax Asset - Valuation Allowance</t>
  </si>
  <si>
    <t>ARDR_DEFERRED_TAX_ALLOWANCE</t>
  </si>
  <si>
    <t>Remaining Shares Auth for Repurchase Amt</t>
  </si>
  <si>
    <t>ARDR_REMAINING_SH_AUTH_REP_AMT</t>
  </si>
  <si>
    <t>FV Assets Rec L1: Cash and Securities</t>
  </si>
  <si>
    <t>ARDR_FV_ASSETS_REC_L1_CASH_SECS</t>
  </si>
  <si>
    <t>FV Assets Rec L1: Trading Treasuries</t>
  </si>
  <si>
    <t>ARDR_FV_ASSETS_REC_L1_TRAD_TREAS</t>
  </si>
  <si>
    <t>FV Assets Rec L1: Trading Bonds</t>
  </si>
  <si>
    <t>ARDR_FV_ASSETS_REC_L1_TRAD_BONDS</t>
  </si>
  <si>
    <t>FV Assets Rec L1: Trading CDO CLO</t>
  </si>
  <si>
    <t>ARDR_FV_ASTS_REC_L1_TRAD_CDO_CLO</t>
  </si>
  <si>
    <t>FV Assets Rec L1: AFS Treasuries</t>
  </si>
  <si>
    <t>ARDR_FV_ASSETS_REC_L1_AFS_TREAS</t>
  </si>
  <si>
    <t>FV Assets Rec L1: Other</t>
  </si>
  <si>
    <t>ARDR_FV_ASSETS_REC_L1_OTHER</t>
  </si>
  <si>
    <t>FV Assets Rec L2: Cash and Securities</t>
  </si>
  <si>
    <t>ARDR_FV_ASTS_REC_L2_CASH_SECS</t>
  </si>
  <si>
    <t>FV Assets Rec L2: Trading Treasuries</t>
  </si>
  <si>
    <t>ARDR_FV_ASTS_REC_L2_TRAD_TREAS</t>
  </si>
  <si>
    <t>FV Assets Rec L2: Trading Bonds</t>
  </si>
  <si>
    <t>ARDR_FV_ASTS_REC_L2_TRAD_BONDS</t>
  </si>
  <si>
    <t>FV Assets Rec L2: AFS Treasuries</t>
  </si>
  <si>
    <t>ARDR_FV_ASSETS_REC_L2_AFS_TREAS</t>
  </si>
  <si>
    <t>FV Assets Rec L2: Other</t>
  </si>
  <si>
    <t>ARDR_FV_ASSETS_REC_L2_OTH</t>
  </si>
  <si>
    <t>FV Assets Rec L3: Cash and Sec</t>
  </si>
  <si>
    <t>ARDR_FV_ASTS_REC_L3_CASH_SECS</t>
  </si>
  <si>
    <t>FV Assets Rec L3: Trading Treasuries</t>
  </si>
  <si>
    <t>ARDR_FV_ASTS_REC_L3_TRAD_TREAS</t>
  </si>
  <si>
    <t>FV Assets Rec L3: Trading Bonds</t>
  </si>
  <si>
    <t>ARDR_FV_ASTS_REC_L3_TRAD_BONDS</t>
  </si>
  <si>
    <t>FV Assets Rec L3: AFS Treasuries</t>
  </si>
  <si>
    <t>ARDR_FV_ASSETS_REC_L3_AFS_TREAS</t>
  </si>
  <si>
    <t>FV Assets Rec L3: Other</t>
  </si>
  <si>
    <t>ARDR_FV_ASSETS_REC_L3_OTHER</t>
  </si>
  <si>
    <t>FV Assets Rec Total: Cash Securities</t>
  </si>
  <si>
    <t>ARDR_FV_ASSETS_REC_TOT_CASH_SECS</t>
  </si>
  <si>
    <t>FV Assets Rec Total: Trading Account</t>
  </si>
  <si>
    <t>ARDR_FV_ASTS_REC_TOT_TRADING_ACC</t>
  </si>
  <si>
    <t>FV Assets Rec Total: AFS</t>
  </si>
  <si>
    <t>ARDR_FV_ASSETS_REC_TOT_AFS</t>
  </si>
  <si>
    <t>FV Assets Rec Total: Other</t>
  </si>
  <si>
    <t>ARDR_FV_ASSETS_REC_TOT_OTHER</t>
  </si>
  <si>
    <t>FV Liabs Rec L1: Derivatives</t>
  </si>
  <si>
    <t>ARDR_FV_LIABS_REC_L1_DERIVATIVES</t>
  </si>
  <si>
    <t>FV Liabs Rec L2: Derivatives</t>
  </si>
  <si>
    <t>ARDR_FV_LIABS_REC_L2_DERIVATIVES</t>
  </si>
  <si>
    <t>FV Liabs Rec L3: Derivatives</t>
  </si>
  <si>
    <t>ARDR_FV_LIABS_REC_L3_DERIVATIVES</t>
  </si>
  <si>
    <t>FV Liabs Rec Total: Derivatives</t>
  </si>
  <si>
    <t>ARDR_FV_LIABS_REC_TOT_DERV</t>
  </si>
  <si>
    <t>Trading: Treasuries</t>
  </si>
  <si>
    <t>ARDR_TRADING_TREAS</t>
  </si>
  <si>
    <t>Trading: Treasuries Gain Loss</t>
  </si>
  <si>
    <t>ARDR_TRADING_TREAS_GAIN_LOSS</t>
  </si>
  <si>
    <t>Trading: Corporate Bonds</t>
  </si>
  <si>
    <t>ARDR_TRADING_CORP_BONDS</t>
  </si>
  <si>
    <t>Trading: Corp Bonds Gain Loss</t>
  </si>
  <si>
    <t>ARDR_TRAD_CORP_BONDS_GAIN_LOSS</t>
  </si>
  <si>
    <t>Trading: CDO CLO</t>
  </si>
  <si>
    <t>ARDR_TRADING_CDO_CLO</t>
  </si>
  <si>
    <t>Trading: CDO CLO Gain Loss</t>
  </si>
  <si>
    <t>ARDR_TRADING_CDO_CLO_GAIN_LOSS</t>
  </si>
  <si>
    <t>Trading: GSE Guaranteed CMO MBS</t>
  </si>
  <si>
    <t>ARDR_TRAD_GSE_GUARANTEED_CMO_MBS</t>
  </si>
  <si>
    <t>Trading: GSE Guaranteed CMO MBS G/L</t>
  </si>
  <si>
    <t>ARDR_TRADING_GSE_GTD_CMO_MBS_G_L</t>
  </si>
  <si>
    <t>DTA - Net Operating Loss Carryforward</t>
  </si>
  <si>
    <t>ARDR_DTA_NOL_CARRYFORWARD</t>
  </si>
  <si>
    <t>Options at Beginning of Period</t>
  </si>
  <si>
    <t>ARDR_OPTIONS_BEGINNING_OF_PERIOD</t>
  </si>
  <si>
    <t>Average Price per Share Repurchased</t>
  </si>
  <si>
    <t>ARDR_AVG_PRICE_PER_SHARE_REPURCH</t>
  </si>
  <si>
    <t>Deferred Tax Assets/Liabs on Intangibles</t>
  </si>
  <si>
    <t>ARDR_DEFER_TAX_ASSET_LIAB_INTANG</t>
  </si>
  <si>
    <t>As Reported Data Reference Restricted Stock Units</t>
  </si>
  <si>
    <t>ARDR_RESTRICTED_STOCK_UNITS</t>
  </si>
  <si>
    <t>ARDR Restricted Stock Unit WAvg FV PS</t>
  </si>
  <si>
    <t>ARDR_RSTR_STK_UNIT_WAVG_FV_PS</t>
  </si>
  <si>
    <t>Stock Option Valuation - RFR % - Low</t>
  </si>
  <si>
    <t>ARDR_STK_OPT_VALN_RFR_PCT_LO</t>
  </si>
  <si>
    <t>Stock Option Valuation - RFR % - High</t>
  </si>
  <si>
    <t>ARDR_STK_OPT_VALN_RFR_PCT_HI</t>
  </si>
  <si>
    <t>Stock Opt Val - Expected Life Years - Low</t>
  </si>
  <si>
    <t>ARDR_STK_OPT_VALN_EXPCTD_LF_Y_LO</t>
  </si>
  <si>
    <t>Stock Opt Val - Expected Life Years - High</t>
  </si>
  <si>
    <t>ARDR_STK_OPT_VALN_EXPCTD_LF_Y_HI</t>
  </si>
  <si>
    <t>Stock Opt Val - Expctd Volatility % - Low</t>
  </si>
  <si>
    <t>ARDR_STK_OPT_VALN_EXP_VOL_PCT_LO</t>
  </si>
  <si>
    <t>Stock Opt Val - Expctd Volatility % - High</t>
  </si>
  <si>
    <t>ARDR_STK_OPT_VALN_EXP_VOL_PCT_HI</t>
  </si>
  <si>
    <t>ARDR Value Shares Repurchased Repurchase Program</t>
  </si>
  <si>
    <t>ARDR_VAL_SHS_REPURCH_FR_REP_PROG</t>
  </si>
  <si>
    <t>ARDR Number Shares Repurchased Repurchase Program</t>
  </si>
  <si>
    <t>ARDR_#_SHS_REPURCH_FR_REP_PROG</t>
  </si>
  <si>
    <t>Alnylam Pharmaceuticals Inc (ALNY US) - Common Size</t>
  </si>
  <si>
    <t>Alnylam Pharmaceuticals Inc (ALNY US) - Fair Value Analysis</t>
  </si>
  <si>
    <t xml:space="preserve">  Level 1 Assets</t>
  </si>
  <si>
    <t xml:space="preserve">  Level 2 Assets</t>
  </si>
  <si>
    <t xml:space="preserve">  Level 3 Assets</t>
  </si>
  <si>
    <t>Total FV Assets</t>
  </si>
  <si>
    <t xml:space="preserve">  Level 1 Liabilities</t>
  </si>
  <si>
    <t xml:space="preserve">  Level 2 Liabilities</t>
  </si>
  <si>
    <t xml:space="preserve">  Level 3 Liabilities</t>
  </si>
  <si>
    <t>Total FV Liabilities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</si>
  <si>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</si>
  <si>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</si>
  <si>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</si>
  <si>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</si>
  <si>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</si>
  <si>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</si>
  <si>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</si>
  <si>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</si>
  <si>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</si>
  <si>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</si>
  <si>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</si>
  <si>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</si>
  <si>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</si>
  <si>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</si>
  <si>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</si>
  <si>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</si>
  <si>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Cash from Operating Activities</t>
  </si>
  <si>
    <t xml:space="preserve">  + Net Income</t>
  </si>
  <si>
    <t>CF_NET_INC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</si>
  <si>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</si>
  <si>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</si>
  <si>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</si>
  <si>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</si>
  <si>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</si>
  <si>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</si>
  <si>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</si>
  <si>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</si>
  <si>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</si>
  <si>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</si>
  <si>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</si>
  <si>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</si>
  <si>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</si>
  <si>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</si>
  <si>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</si>
  <si>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</si>
  <si>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</si>
  <si>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</si>
  <si>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</si>
  <si>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</si>
  <si>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</si>
  <si>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</si>
  <si>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</si>
  <si>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</si>
  <si>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</si>
  <si>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</si>
  <si>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</si>
  <si>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</si>
  <si>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</si>
  <si>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</si>
  <si>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</si>
  <si>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</si>
  <si>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</si>
  <si>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</si>
  <si>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</si>
  <si>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</si>
  <si>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</si>
  <si>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</si>
  <si>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</si>
  <si>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</si>
  <si>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</si>
  <si>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</si>
  <si>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</si>
  <si>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</si>
  <si>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</si>
  <si>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</si>
  <si>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</si>
  <si>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</si>
  <si>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</si>
  <si>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</si>
  <si>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</si>
  <si>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</si>
  <si>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</si>
  <si>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</si>
  <si>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</si>
  <si>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</si>
  <si>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</si>
  <si>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</si>
  <si>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</si>
  <si>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</si>
  <si>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</si>
  <si>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</si>
  <si>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</si>
  <si>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</si>
  <si>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</si>
  <si>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</si>
  <si>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</si>
  <si>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</si>
  <si>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</si>
  <si>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</si>
  <si>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</si>
  <si>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</si>
  <si>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</si>
  <si>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</si>
  <si>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</si>
  <si>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</si>
  <si>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Trailing 12M EBITDA Margin</t>
  </si>
  <si>
    <t>Tax Benefit from Stock Options</t>
  </si>
  <si>
    <t>CF_TAX_BENEFIT_FRM_STOCK_OPTIONS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</si>
  <si>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</si>
  <si>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</si>
  <si>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</si>
  <si>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</si>
  <si>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</si>
  <si>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Price to Free Cash Flow</t>
  </si>
  <si>
    <t>Cash Flow to Net Income</t>
  </si>
  <si>
    <t>CASH_FLOW_TO_NET_INC</t>
  </si>
  <si>
    <t xml:space="preserve">  Cash From Operating Activities</t>
  </si>
  <si>
    <t>Net Income - CF</t>
  </si>
  <si>
    <t>ARD_NET_INCOME_CF</t>
  </si>
  <si>
    <t>Amortization - CF</t>
  </si>
  <si>
    <t>ARD_AMORTIZATION_CF</t>
  </si>
  <si>
    <t>Depreciation And Amortization - CF</t>
  </si>
  <si>
    <t>ARD_DEPRECIATION_AND_AMORT_CF</t>
  </si>
  <si>
    <t>Deferred Income Taxes - CF</t>
  </si>
  <si>
    <t>ARD_DEFERRED_INCOME_TAXES_CF</t>
  </si>
  <si>
    <t>ARD_STOCK_BASED_COMPENSATION</t>
  </si>
  <si>
    <t>Other Non-Cash Items</t>
  </si>
  <si>
    <t>ARD_OTHER_NON_CASH_ITEMS</t>
  </si>
  <si>
    <t>Change in Inventories</t>
  </si>
  <si>
    <t>ARD_CHANGE_IN_INVENTORIES</t>
  </si>
  <si>
    <t>Change in Accounts Payable</t>
  </si>
  <si>
    <t>ARD_CHANGE_IN_ACCOUNTS_PAYABLE</t>
  </si>
  <si>
    <t>Change in Accounts Receivable</t>
  </si>
  <si>
    <t>ARD_CHG_IN_ACCOUNTS_RECEIVABLE</t>
  </si>
  <si>
    <t>Change in Prepaid Expenses</t>
  </si>
  <si>
    <t>ARD_CHANGE_IN_PREPAID_EXP</t>
  </si>
  <si>
    <t>Change in Accrued Expenses</t>
  </si>
  <si>
    <t>ARD_CHANGE_IN_ACCRUED_EXP</t>
  </si>
  <si>
    <t>Change in Deferred/Unearned Revenue -ST</t>
  </si>
  <si>
    <t>ARD_CHG_IN_DEF_UNEARN_REVENUE_ST</t>
  </si>
  <si>
    <t>Change in Accounts Payable &amp; Accrued Expenses</t>
  </si>
  <si>
    <t>ARD_CHG_IN_ACCT_PAY_ACC_EXP</t>
  </si>
  <si>
    <t>Change In Other Liabilites</t>
  </si>
  <si>
    <t>ARD_CHG_IN_OTHER_LIABILITES</t>
  </si>
  <si>
    <t>Total Cash Flows From Operations</t>
  </si>
  <si>
    <t>ARD_TOT_CASH_FLOWS_FROM_OPS</t>
  </si>
  <si>
    <t>Change In Other Assets And Liabilities</t>
  </si>
  <si>
    <t>ARD_CHG_OTH_ASSETS_LIAB</t>
  </si>
  <si>
    <t>Gain (Loss) On Sale of Investments and Mkt Sec</t>
  </si>
  <si>
    <t>ARD_GL_ON_SALE_OF_INV_MKT_SEC</t>
  </si>
  <si>
    <t>Gain/(Loss) On Early Extinguishment of Debt</t>
  </si>
  <si>
    <t>ARD_GL_ON_EARLY_EXT_OF_DEBT</t>
  </si>
  <si>
    <t>ARD_INTEREST_EXPENSE</t>
  </si>
  <si>
    <t xml:space="preserve">  Cash From Investing Activities</t>
  </si>
  <si>
    <t>ARD_CAPITAL_EXPENDITURES</t>
  </si>
  <si>
    <t>Proceeds From Long-Term Investments</t>
  </si>
  <si>
    <t>ARD_PROCEEDS_FROM_LT_INVEST</t>
  </si>
  <si>
    <t>Proceeds From Investments</t>
  </si>
  <si>
    <t>ARD_PROCEEDS_FROM_INVESTMENTS</t>
  </si>
  <si>
    <t>Purchases of Investments</t>
  </si>
  <si>
    <t>ARD_PURCHASES_OF_INVESTMENTS</t>
  </si>
  <si>
    <t>Other Investing Activities</t>
  </si>
  <si>
    <t>ARD_OTHER_INVESTING_ACTIVITIES</t>
  </si>
  <si>
    <t>Proceeds From Short-Term Marketable Securities</t>
  </si>
  <si>
    <t>ARD_PROCEEDS_FROM_ST_MKT_SEC</t>
  </si>
  <si>
    <t>Purchases of Short-Term Marketable Securities</t>
  </si>
  <si>
    <t>ARD_PURCHASES_OF_ST_MKT_SEC</t>
  </si>
  <si>
    <t>Total Cash Flows From Investing</t>
  </si>
  <si>
    <t>ARD_TOT_CASHFLOWS_FROM_INVESTING</t>
  </si>
  <si>
    <t xml:space="preserve">  Cash from Financing Activities</t>
  </si>
  <si>
    <t>Increase In Long-Term Borrowings</t>
  </si>
  <si>
    <t>ARD_INCR_IN_LT_BORROW</t>
  </si>
  <si>
    <t>Decrease In Long-Term Borrowings</t>
  </si>
  <si>
    <t>ARD_DECR_IN_LT_BORROW</t>
  </si>
  <si>
    <t>Issuance of Common Stock</t>
  </si>
  <si>
    <t>ARD_ISSUANCE_OF_COMMON_STOCK</t>
  </si>
  <si>
    <t>Repurchase of Common Stock</t>
  </si>
  <si>
    <t>ARD_REPURCHASE_OF_COMMON_STOCK</t>
  </si>
  <si>
    <t>Effect of Exchange Rates On Cash</t>
  </si>
  <si>
    <t>ARD_EFF_OF_EXCH_RATES_ON_CASH</t>
  </si>
  <si>
    <t>Other Financing Activities</t>
  </si>
  <si>
    <t>ARD_OTHER_FINANCING_ACTIVITIES</t>
  </si>
  <si>
    <t>Exercise of Stock Options</t>
  </si>
  <si>
    <t>ARD_EXERCISE_OF_STOCK_OPTIONS</t>
  </si>
  <si>
    <t>Net Change In Cash</t>
  </si>
  <si>
    <t>ARD_NET_CHANGE_IN_CASH</t>
  </si>
  <si>
    <t>Cash and Cash Equivalents (End of Period)</t>
  </si>
  <si>
    <t>ARD_CASH_CASH_EQUIV_END_OF_PER</t>
  </si>
  <si>
    <t>Cash and Cash Equivalents (Beg of Period)</t>
  </si>
  <si>
    <t>ARD_CASH_CASH_EQUIV_BEG_OF_PER</t>
  </si>
  <si>
    <t>Decrease In Borrowings</t>
  </si>
  <si>
    <t>ARD_DECREASE_IN_BORROWINGS</t>
  </si>
  <si>
    <t>Increase In Borrowings</t>
  </si>
  <si>
    <t>ARD_INCREASE_IN_BORROWINGS</t>
  </si>
  <si>
    <t>Total Cash Flows From Financing</t>
  </si>
  <si>
    <t>ARD_TOT_CASHFLOWS_FROM_FINANCING</t>
  </si>
  <si>
    <t>Cash Paid For Taxes</t>
  </si>
  <si>
    <t>ARDR_CASH_PAID_FOR_TAXES</t>
  </si>
  <si>
    <t>Cash Paid For Interest</t>
  </si>
  <si>
    <t>ARDR_CASH_PAID_FOR_INTEREST</t>
  </si>
  <si>
    <t>Alnylam Pharmaceuticals Inc (ALNY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</si>
  <si>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</si>
  <si>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</si>
  <si>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</si>
  <si>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</si>
  <si>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</si>
  <si>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</si>
  <si>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</si>
  <si>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</si>
  <si>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</si>
  <si>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</si>
  <si>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</si>
  <si>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</si>
  <si>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</si>
  <si>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</si>
  <si>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</si>
  <si>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</si>
  <si>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</si>
  <si>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</si>
  <si>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</si>
  <si>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</si>
  <si>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</si>
  <si>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</si>
  <si>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</si>
  <si>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</si>
  <si>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</si>
  <si>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</si>
  <si>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Alnylam Pharmaceuticals Inc (ALNY US) - Growth</t>
  </si>
  <si>
    <t>1 Year Growth</t>
  </si>
  <si>
    <t>EBITDA_GROWTH</t>
  </si>
  <si>
    <t>OPER_INC_GROWTH</t>
  </si>
  <si>
    <t>EARN_FOR_COM_GROWTH</t>
  </si>
  <si>
    <t>EPS Diluted</t>
  </si>
  <si>
    <t>EPS Diluted before XO</t>
  </si>
  <si>
    <t>DILUTED_EPS_BEF_XO_ITEMS_GROWTH</t>
  </si>
  <si>
    <t>EPS Diluted before Abnormal</t>
  </si>
  <si>
    <t>RR_DIL_EPS_CONT_OPS_GROWTH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</si>
  <si>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</si>
  <si>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</si>
  <si>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</si>
  <si>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</si>
  <si>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</si>
  <si>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</si>
  <si>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</si>
  <si>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</si>
  <si>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</si>
  <si>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</si>
  <si>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</si>
  <si>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</si>
  <si>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</si>
  <si>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</si>
  <si>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</si>
  <si>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</si>
  <si>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</si>
  <si>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</si>
  <si>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</si>
  <si>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TOTAL_EQUITY_1_YEAR_GROWTH</t>
  </si>
  <si>
    <t>Capital</t>
  </si>
  <si>
    <t>GROWTH_IN_CAP</t>
  </si>
  <si>
    <t>Book Value per Share</t>
  </si>
  <si>
    <t>BVPS_GROWTH</t>
  </si>
  <si>
    <t>CASH_FLOW_GROWTH</t>
  </si>
  <si>
    <t>TOT_CAP_EXPEND_GROWTH</t>
  </si>
  <si>
    <t>NET_CHANGE_IN_CASH_1_YEAR_GROWTH</t>
  </si>
  <si>
    <t>FREE_CASH_FLOW_1_YEAR_GROWTH</t>
  </si>
  <si>
    <t>5 Year Growth</t>
  </si>
  <si>
    <t>GEO_GROW_NET_SALES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</si>
  <si>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</si>
  <si>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</si>
  <si>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</si>
  <si>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</si>
  <si>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</si>
  <si>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</si>
  <si>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</si>
  <si>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</si>
  <si>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</si>
  <si>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</si>
  <si>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</si>
  <si>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</si>
  <si>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</si>
  <si>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</si>
  <si>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NET_CHANGE_IN_CASH_5_YEAR_GROWTH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</si>
  <si>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</si>
  <si>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</si>
  <si>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</si>
  <si>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</si>
  <si>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</si>
  <si>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</si>
  <si>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</si>
  <si>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</si>
  <si>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</si>
  <si>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</si>
  <si>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</si>
  <si>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</si>
  <si>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</si>
  <si>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</si>
  <si>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</si>
  <si>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</si>
  <si>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</si>
  <si>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</si>
  <si>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</si>
  <si>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</si>
  <si>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</si>
  <si>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</si>
  <si>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</si>
  <si>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</si>
  <si>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Alnylam Pharmaceuticals Inc (ALNY US) - Credit</t>
  </si>
  <si>
    <t>No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</si>
  <si>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</si>
  <si>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</si>
  <si>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</si>
  <si>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</si>
  <si>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</si>
  <si>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</si>
  <si>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</si>
  <si>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</si>
  <si>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</si>
  <si>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</si>
  <si>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</si>
  <si>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</si>
  <si>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</si>
  <si>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</si>
  <si>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</si>
  <si>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</si>
  <si>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</si>
  <si>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</si>
  <si>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</si>
  <si>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</si>
  <si>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</si>
  <si>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</si>
  <si>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</si>
  <si>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</si>
  <si>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</si>
  <si>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</si>
  <si>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</si>
  <si>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</si>
  <si>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</si>
  <si>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</si>
  <si>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 Debt/Capital</t>
  </si>
  <si>
    <t>NET_DEBT_PCT_OF_TOT_CAPITAL</t>
  </si>
  <si>
    <t>EBITDA-CapEx</t>
  </si>
  <si>
    <t>EBITDA_AFTER_CAPEX</t>
  </si>
  <si>
    <t>Alnylam Pharmaceuticals Inc (ALNY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</si>
  <si>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</si>
  <si>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</si>
  <si>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</si>
  <si>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</si>
  <si>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</si>
  <si>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</si>
  <si>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</si>
  <si>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</si>
  <si>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</si>
  <si>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</si>
  <si>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</si>
  <si>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</si>
  <si>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</si>
  <si>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</si>
  <si>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</si>
  <si>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</si>
  <si>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</si>
  <si>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</si>
  <si>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</si>
  <si>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</si>
  <si>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</si>
  <si>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Alnylam Pharmaceuticals Inc (ALNY US) - Liquidity</t>
  </si>
  <si>
    <t>Cash Ratio</t>
  </si>
  <si>
    <t>CASH_RATIO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</si>
  <si>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</si>
  <si>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</si>
  <si>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</si>
  <si>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</si>
  <si>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</si>
  <si>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</si>
  <si>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</si>
  <si>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</si>
  <si>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</si>
  <si>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</si>
  <si>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</si>
  <si>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</si>
  <si>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Alnylam Pharmaceuticals Inc (ALNY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</si>
  <si>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</si>
  <si>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</si>
  <si>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</si>
  <si>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</si>
  <si>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</si>
  <si>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</si>
  <si>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</si>
  <si>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</si>
  <si>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</si>
  <si>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</si>
  <si>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</si>
  <si>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</si>
  <si>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</si>
  <si>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</si>
  <si>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</si>
  <si>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</si>
  <si>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</si>
  <si>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</si>
  <si>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</si>
  <si>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Alnylam Pharmaceuticals Inc (ALNY US) - Yield Analysis</t>
  </si>
  <si>
    <t>T12 Cash Flows to Equity</t>
  </si>
  <si>
    <t>+ Cash From Operations</t>
  </si>
  <si>
    <t>TRAIL_12M_CASH_FROM_OPER</t>
  </si>
  <si>
    <t>+ Capital Expenditures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</si>
  <si>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</si>
  <si>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</si>
  <si>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</si>
  <si>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</si>
  <si>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</si>
  <si>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</si>
  <si>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</si>
  <si>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</si>
  <si>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</si>
  <si>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</si>
  <si>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</si>
  <si>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</si>
  <si>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T12_OTHER_CFF</t>
  </si>
  <si>
    <t>T12 Cash to Suppliers of Capital</t>
  </si>
  <si>
    <t>T12_CFF</t>
  </si>
  <si>
    <t>T12 Shareholder Yield</t>
  </si>
  <si>
    <t>SHAREHOLDER_YIELD_CFF</t>
  </si>
  <si>
    <t>- Dividends Paid</t>
  </si>
  <si>
    <t>- Net Share Repurchases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</si>
  <si>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</si>
  <si>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</si>
  <si>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</si>
  <si>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</si>
  <si>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</si>
  <si>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Periodic Enterprise Value</t>
  </si>
  <si>
    <t>- Net ST Debt Repayments</t>
  </si>
  <si>
    <t>- Net LT Debt Repayments</t>
  </si>
  <si>
    <t>- Other Financing Activities</t>
  </si>
  <si>
    <t>T12 Capital Yield</t>
  </si>
  <si>
    <t>CAPITAL_YIELD</t>
  </si>
  <si>
    <t>Alnylam Pharmaceuticals Inc (ALNY US) - DuPont Analysis</t>
  </si>
  <si>
    <t>Tax Burden</t>
  </si>
  <si>
    <t xml:space="preserve">  Net Inc to Comn/Pre-Tax Profit %</t>
  </si>
  <si>
    <t>TAX_EFFICIENCY</t>
  </si>
  <si>
    <t>Adjustment Factor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</si>
  <si>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</si>
  <si>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</si>
  <si>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</si>
  <si>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</si>
  <si>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</si>
  <si>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</si>
  <si>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</si>
  <si>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</si>
  <si>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</si>
  <si>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</si>
  <si>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</si>
  <si>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</si>
  <si>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</si>
  <si>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</si>
  <si>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</si>
  <si>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</si>
  <si>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Alnylam Pharmaceuticals Inc (ALNY US) - By Measure</t>
  </si>
  <si>
    <t xml:space="preserve">  Product</t>
  </si>
  <si>
    <t xml:space="preserve">    Amvuttra</t>
  </si>
  <si>
    <t xml:space="preserve">      United States</t>
  </si>
  <si>
    <t xml:space="preserve">      Europe</t>
  </si>
  <si>
    <t xml:space="preserve">      Rest of World</t>
  </si>
  <si>
    <t xml:space="preserve">    Givlaari</t>
  </si>
  <si>
    <t xml:space="preserve">      Rest Of World</t>
  </si>
  <si>
    <t xml:space="preserve">    Onpattro</t>
  </si>
  <si>
    <t xml:space="preserve">    Oxlumo</t>
  </si>
  <si>
    <t xml:space="preserve">  Collaboration</t>
  </si>
  <si>
    <t xml:space="preserve">    Novartis AG</t>
  </si>
  <si>
    <t xml:space="preserve">    Regeneron Pharmaceuticals</t>
  </si>
  <si>
    <t xml:space="preserve">    Roche</t>
  </si>
  <si>
    <t xml:space="preserve">    Other</t>
  </si>
  <si>
    <t xml:space="preserve">    Vir Biotechnology</t>
  </si>
  <si>
    <t xml:space="preserve">    Sanofi Genzyme</t>
  </si>
  <si>
    <t xml:space="preserve">  Royalty</t>
  </si>
  <si>
    <t>Revenue - Supplementary Breakdown</t>
  </si>
  <si>
    <t xml:space="preserve">    Rest Of World</t>
  </si>
  <si>
    <t xml:space="preserve">    United States</t>
  </si>
  <si>
    <t xml:space="preserve">    Europe</t>
  </si>
  <si>
    <t>Revenue Growth %</t>
  </si>
  <si>
    <t>Revenue Growth - Supplemental Breakdown</t>
  </si>
  <si>
    <t>Alnylam Pharmaceuticals Inc (ALNY US) - By Geography</t>
  </si>
  <si>
    <t xml:space="preserve">  Worldwide</t>
  </si>
  <si>
    <t>Income Taxes</t>
  </si>
  <si>
    <t>Property/Plant/Equipment</t>
  </si>
  <si>
    <t>Goodwill</t>
  </si>
  <si>
    <t>Assets</t>
  </si>
  <si>
    <t>Liabilities</t>
  </si>
  <si>
    <t>Depreciation</t>
  </si>
  <si>
    <t>R&amp;D Expenses</t>
  </si>
  <si>
    <t>Alnylam Pharmaceuticals Inc (ALNY US) - By Segment</t>
  </si>
  <si>
    <t>Collaboration</t>
  </si>
  <si>
    <t xml:space="preserve">  Revenue</t>
  </si>
  <si>
    <t xml:space="preserve">  Revenue Growth %</t>
  </si>
  <si>
    <t xml:space="preserve">  Revenue - Supplementary Breakdown</t>
  </si>
  <si>
    <t xml:space="preserve">  Revenue Growth - Supplemental Breakdown</t>
  </si>
  <si>
    <t>Product</t>
  </si>
  <si>
    <t>Royalty</t>
  </si>
  <si>
    <t>Novartis AG</t>
  </si>
  <si>
    <t>Other</t>
  </si>
  <si>
    <t>Sanofi Genzyme</t>
  </si>
  <si>
    <t>Vir Biotechnology</t>
  </si>
  <si>
    <t>Alnylam Pharmaceuticals Inc (ALNY US) - ESG Ratios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</si>
  <si>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</si>
  <si>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</si>
  <si>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</si>
  <si>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</si>
  <si>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</si>
  <si>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</si>
  <si>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</si>
  <si>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</si>
  <si>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</si>
  <si>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</si>
  <si>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</si>
  <si>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</si>
  <si>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</si>
  <si>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</si>
  <si>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</si>
  <si>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</si>
  <si>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</si>
  <si>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</si>
  <si>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</si>
  <si>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</si>
  <si>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</si>
  <si>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</si>
  <si>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</si>
  <si>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</si>
  <si>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</si>
  <si>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</si>
  <si>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</si>
  <si>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</si>
  <si>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</si>
  <si>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</si>
  <si>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</si>
  <si>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</si>
  <si>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</si>
  <si>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</si>
  <si>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</si>
  <si>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</si>
  <si>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</si>
  <si>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</si>
  <si>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</si>
  <si>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</si>
  <si>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</si>
  <si>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</si>
  <si>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</si>
  <si>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</si>
  <si>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</si>
  <si>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Greenhouse Gases</t>
  </si>
  <si>
    <t>GHG Intensity per Sales</t>
  </si>
  <si>
    <t>GHG_INTENSITY_PER_SALES</t>
  </si>
  <si>
    <t>GHG Scope 1 Intensity per Sales</t>
  </si>
  <si>
    <t>GHG_SCOPE_1_INTENSITY_PER_SALES</t>
  </si>
  <si>
    <t>GHG Scope 2 Intensity per Sales</t>
  </si>
  <si>
    <t>GHG_SCOPE_2_INTENSITY_PER_SALES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</si>
  <si>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</si>
  <si>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</si>
  <si>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</si>
  <si>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</si>
  <si>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GHG Intensity per Energy</t>
  </si>
  <si>
    <t>GHG_INTENSITY_PER_ENERGY</t>
  </si>
  <si>
    <t>GHG Intensity per Employee</t>
  </si>
  <si>
    <t>GHG_INTENSITY_PER_EMPLOYEE</t>
  </si>
  <si>
    <t>GHG Intensity per Assets</t>
  </si>
  <si>
    <t>GHG_INTENSITY_PER_ASSETS</t>
  </si>
  <si>
    <t>Scope 3 GHG per Employee</t>
  </si>
  <si>
    <t>TRAVEL_GHG_PER_EMPLOYEE</t>
  </si>
  <si>
    <t>Carbon Dioxide</t>
  </si>
  <si>
    <t>Travel Emissions per Sales</t>
  </si>
  <si>
    <t>TRAVEL_EMISSIONS_PER_SALES</t>
  </si>
  <si>
    <t>Travel Emissions per Employee</t>
  </si>
  <si>
    <t>TRAVEL_CO2_PER_EMPLOYEE</t>
  </si>
  <si>
    <t>Energy</t>
  </si>
  <si>
    <t>Energy Intensity per Sales</t>
  </si>
  <si>
    <t>ENERGY_INTENSITY_PER_SALES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</si>
  <si>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</si>
  <si>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</si>
  <si>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</si>
  <si>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</si>
  <si>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</si>
  <si>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</si>
  <si>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</si>
  <si>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</si>
  <si>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</si>
  <si>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</si>
  <si>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</si>
  <si>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</si>
  <si>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</si>
  <si>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Water Usage Efficiency Rate</t>
  </si>
  <si>
    <t>WATER_USAGE_EFFICIENCY_RT</t>
  </si>
  <si>
    <t>Waste</t>
  </si>
  <si>
    <t>Waste Intensity per Employee</t>
  </si>
  <si>
    <t>WASTE_INTENSITY_PER_EMPLOYEE</t>
  </si>
  <si>
    <t>Waste Generated per Assets</t>
  </si>
  <si>
    <t>WASTE_GENERATED_PER_ASSETS</t>
  </si>
  <si>
    <t>Waste Generated per Sales</t>
  </si>
  <si>
    <t>WASTE_GENERATED_PER_SALES</t>
  </si>
  <si>
    <t>Other Environmental</t>
  </si>
  <si>
    <t>Social</t>
  </si>
  <si>
    <t>Women Management to Employees Ratio</t>
  </si>
  <si>
    <t>WOMEN_MANAGEMENT_TO_EMPL_RATIO</t>
  </si>
  <si>
    <t>Community Spend%Equity</t>
  </si>
  <si>
    <t>COMMUNITY_SPEND_PCT_EQUITY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</si>
  <si>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</si>
  <si>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</si>
  <si>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</si>
  <si>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</si>
  <si>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</si>
  <si>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</si>
  <si>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Governance</t>
  </si>
  <si>
    <t>Percentage of Non-Executive Directors on Board</t>
  </si>
  <si>
    <t>PCT_OF_NON_EXEC_DIR_ON_BRD</t>
  </si>
  <si>
    <t>Pct Independent Directors</t>
  </si>
  <si>
    <t>PCT_INDEPENDENT_DIRECTORS</t>
  </si>
  <si>
    <t>% Women on Board</t>
  </si>
  <si>
    <t>PCT_WOMEN_ON_BOARD</t>
  </si>
  <si>
    <t>Percentage of Female Executives</t>
  </si>
  <si>
    <t>PERCENTAGE_OF_FEMALE_EXECUTIVES</t>
  </si>
  <si>
    <t>Board of Directors Age Range</t>
  </si>
  <si>
    <t>BOARD_OF_DIRECTORS_AGE_RANGE</t>
  </si>
  <si>
    <t>Board Average Age</t>
  </si>
  <si>
    <t>BOARD_AVERAGE_AGE</t>
  </si>
  <si>
    <t>Board Meeting Attendance Pct</t>
  </si>
  <si>
    <t>BOARD_MEETING_ATTENDANCE_PCT</t>
  </si>
  <si>
    <t>Independent Directors Board Meeting Attendance %</t>
  </si>
  <si>
    <t>IND_DIRECTORS_BRD_MTG_ATTEND_PCT</t>
  </si>
  <si>
    <t>Pct of Independent Directors on Audit Committee</t>
  </si>
  <si>
    <t>PCT_IND_DIRECTORS_ON_AUDIT_CMTE</t>
  </si>
  <si>
    <t>Audit Committee Meeting Attendance Percentage</t>
  </si>
  <si>
    <t>AUDIT_COMMITTEE_MTG_ATTEND_PCT</t>
  </si>
  <si>
    <t>Pct of Ind Directors on Compensation Committee</t>
  </si>
  <si>
    <t>PCT_IND_DIRECTORS_ON_COMP_CMTE</t>
  </si>
  <si>
    <t>Compensation Committee Meeting Attendance %</t>
  </si>
  <si>
    <t>COMPENSATION_CMTE_MTG_ATTEND_PCT</t>
  </si>
  <si>
    <t>Pct of Compensation Advisory Fees Paid to Comp Adv</t>
  </si>
  <si>
    <t>PCT_COMP_ADV_FEES_PD_TO_COM_ADV</t>
  </si>
  <si>
    <t>Pct of Ind Directors on Nomination Committee</t>
  </si>
  <si>
    <t>PCT_OF_IND_DIRECTORS_ON_NOM_CMTE</t>
  </si>
  <si>
    <t>Pct Ownership Required for Special Meeting</t>
  </si>
  <si>
    <t>PCT_OWNERSHIP_REQ_SPECIAL_MTG</t>
  </si>
  <si>
    <t>Pct Poison Pill Trigger Threshold</t>
  </si>
  <si>
    <t>PCT_POISON_PILL_TRIG_THRESHOLD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</si>
</sst>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8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3" fontId="11" fillId="34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3" fontId="11" fillId="35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  <xf numFmtId="0" fontId="7" fillId="33" borderId="16">
      <alignment horizontal="centerContinuous"/>
    </xf>
    <xf numFmtId="0" fontId="7" fillId="33" borderId="17">
      <alignment horizontal="centerContinuous"/>
    </xf>
    <xf numFmtId="164" fontId="1" fillId="34" borderId="18">
      <alignment horizontal="right"/>
    </xf>
    <xf numFmtId="165" fontId="1" fillId="34" borderId="19">
      <alignment horizontal="right"/>
    </xf>
    <xf numFmtId="4" fontId="1" fillId="34" borderId="18">
      <alignment horizontal="right"/>
    </xf>
    <xf numFmtId="10" fontId="1" fillId="34" borderId="19">
      <alignment horizontal="right"/>
    </xf>
    <xf numFmtId="164" fontId="8" fillId="34" borderId="18">
      <alignment horizontal="right"/>
    </xf>
    <xf numFmtId="165" fontId="8" fillId="34" borderId="19">
      <alignment horizontal="right"/>
    </xf>
    <xf numFmtId="4" fontId="8" fillId="34" borderId="18">
      <alignment horizontal="right"/>
    </xf>
    <xf numFmtId="10" fontId="8" fillId="34" borderId="19">
      <alignment horizontal="right"/>
    </xf>
  </cellStyleXfs>
  <cellXfs count="40">
    <xf numFmtId="0" fontId="0" fillId="0" borderId="0" xfId="0"/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5" xfId="35"/>
    <xf numFmtId="0" fontId="11" fillId="36" borderId="4" xfId="34"/>
    <xf numFmtId="0" fontId="5" fillId="33" borderId="15" xfId="51">
      <alignment horizontal="left" vertical="center" readingOrder="1"/>
    </xf>
    <xf numFmtId="0" fontId="7" fillId="33" borderId="1" xfId="52">
      <alignment horizontal="left"/>
    </xf>
    <xf numFmtId="0" fontId="3" fillId="34" borderId="5" xfId="37" applyFont="1"/>
    <xf numFmtId="0" fontId="4" fillId="34" borderId="5" xfId="36" applyFont="1"/>
    <xf numFmtId="3" fontId="1" fillId="34" borderId="2" xfId="53">
      <alignment horizontal="right"/>
    </xf>
    <xf numFmtId="164" fontId="1" fillId="34" borderId="2" xfId="54">
      <alignment horizontal="right"/>
    </xf>
    <xf numFmtId="4" fontId="1" fillId="34" borderId="2" xfId="55">
      <alignment horizontal="right"/>
    </xf>
    <xf numFmtId="3" fontId="1" fillId="35" borderId="2" xfId="56">
      <alignment horizontal="right"/>
    </xf>
    <xf numFmtId="164" fontId="1" fillId="35" borderId="2" xfId="57">
      <alignment horizontal="right"/>
    </xf>
    <xf numFmtId="4" fontId="1" fillId="35" borderId="2" xfId="58">
      <alignment horizontal="right"/>
    </xf>
    <xf numFmtId="3" fontId="8" fillId="34" borderId="2" xfId="59">
      <alignment horizontal="right"/>
    </xf>
    <xf numFmtId="164" fontId="8" fillId="34" borderId="2" xfId="60">
      <alignment horizontal="right"/>
    </xf>
    <xf numFmtId="4" fontId="8" fillId="34" borderId="2" xfId="61">
      <alignment horizontal="right"/>
    </xf>
    <xf numFmtId="3" fontId="8" fillId="35" borderId="2" xfId="62">
      <alignment horizontal="right"/>
    </xf>
    <xf numFmtId="164" fontId="8" fillId="35" borderId="2" xfId="63">
      <alignment horizontal="right"/>
    </xf>
    <xf numFmtId="4" fontId="8" fillId="35" borderId="2" xfId="64">
      <alignment horizontal="right"/>
    </xf>
    <xf numFmtId="3" fontId="11" fillId="34" borderId="2" xfId="65">
      <alignment horizontal="right"/>
    </xf>
    <xf numFmtId="164" fontId="11" fillId="34" borderId="2" xfId="66">
      <alignment horizontal="right"/>
    </xf>
    <xf numFmtId="4" fontId="11" fillId="34" borderId="2" xfId="67">
      <alignment horizontal="right"/>
    </xf>
    <xf numFmtId="3" fontId="11" fillId="35" borderId="2" xfId="68">
      <alignment horizontal="right"/>
    </xf>
    <xf numFmtId="164" fontId="11" fillId="35" borderId="2" xfId="69">
      <alignment horizontal="right"/>
    </xf>
    <xf numFmtId="4" fontId="11" fillId="35" borderId="2" xfId="70">
      <alignment horizontal="right"/>
    </xf>
    <xf numFmtId="0" fontId="7" fillId="33" borderId="16" xfId="71">
      <alignment horizontal="centerContinuous"/>
    </xf>
    <xf numFmtId="0" fontId="7" fillId="33" borderId="17" xfId="72">
      <alignment horizontal="centerContinuous"/>
    </xf>
    <xf numFmtId="164" fontId="1" fillId="34" borderId="18" xfId="73">
      <alignment horizontal="right"/>
    </xf>
    <xf numFmtId="165" fontId="1" fillId="34" borderId="19" xfId="74">
      <alignment horizontal="right"/>
    </xf>
    <xf numFmtId="4" fontId="1" fillId="34" borderId="18" xfId="75">
      <alignment horizontal="right"/>
    </xf>
    <xf numFmtId="10" fontId="1" fillId="34" borderId="19" xfId="76">
      <alignment horizontal="right"/>
    </xf>
    <xf numFmtId="164" fontId="8" fillId="34" borderId="18" xfId="77">
      <alignment horizontal="right"/>
    </xf>
    <xf numFmtId="165" fontId="8" fillId="34" borderId="19" xfId="78">
      <alignment horizontal="right"/>
    </xf>
    <xf numFmtId="4" fontId="8" fillId="34" borderId="18" xfId="79">
      <alignment horizontal="right"/>
    </xf>
    <xf numFmtId="10" fontId="8" fillId="34" borderId="19" xfId="80">
      <alignment horizontal="right"/>
    </xf>
  </cellXfs>
  <cellStyles count="8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centered" xfId="72" xr:uid="{00000000-0005-0000-0000-00001F000000}"/>
    <cellStyle name="fa_column_header_bottom_left" xfId="52" xr:uid="{00000000-0005-0000-0000-000020000000}"/>
    <cellStyle name="fa_column_header_empty" xfId="31" xr:uid="{00000000-0005-0000-0000-000021000000}"/>
    <cellStyle name="fa_column_header_top" xfId="32" xr:uid="{00000000-0005-0000-0000-000022000000}"/>
    <cellStyle name="fa_column_header_top_centered" xfId="71" xr:uid="{00000000-0005-0000-0000-000023000000}"/>
    <cellStyle name="fa_column_header_top_left" xfId="33" xr:uid="{00000000-0005-0000-0000-000024000000}"/>
    <cellStyle name="fa_data_bold_0_grouped" xfId="59" xr:uid="{00000000-0005-0000-0000-000025000000}"/>
    <cellStyle name="fa_data_bold_1_grouped" xfId="60" xr:uid="{00000000-0005-0000-0000-000026000000}"/>
    <cellStyle name="fa_data_bold_1_grouped_single_border" xfId="77" xr:uid="{00000000-0005-0000-0000-000027000000}"/>
    <cellStyle name="fa_data_bold_1_percent_single_border" xfId="78" xr:uid="{00000000-0005-0000-0000-000028000000}"/>
    <cellStyle name="fa_data_bold_2_grouped" xfId="61" xr:uid="{00000000-0005-0000-0000-000029000000}"/>
    <cellStyle name="fa_data_bold_2_grouped_single_border" xfId="79" xr:uid="{00000000-0005-0000-0000-00002A000000}"/>
    <cellStyle name="fa_data_bold_2_percent_single_border" xfId="80" xr:uid="{00000000-0005-0000-0000-00002B000000}"/>
    <cellStyle name="fa_data_current_bold_0_grouped" xfId="62" xr:uid="{00000000-0005-0000-0000-00002C000000}"/>
    <cellStyle name="fa_data_current_bold_1_grouped" xfId="63" xr:uid="{00000000-0005-0000-0000-00002D000000}"/>
    <cellStyle name="fa_data_current_bold_2_grouped" xfId="64" xr:uid="{00000000-0005-0000-0000-00002E000000}"/>
    <cellStyle name="fa_data_current_italic_0_grouped" xfId="68" xr:uid="{00000000-0005-0000-0000-00002F000000}"/>
    <cellStyle name="fa_data_current_italic_1_grouped" xfId="69" xr:uid="{00000000-0005-0000-0000-000030000000}"/>
    <cellStyle name="fa_data_current_italic_2_grouped" xfId="70" xr:uid="{00000000-0005-0000-0000-000031000000}"/>
    <cellStyle name="fa_data_current_standard_0_grouped" xfId="56" xr:uid="{00000000-0005-0000-0000-000032000000}"/>
    <cellStyle name="fa_data_current_standard_1_grouped" xfId="57" xr:uid="{00000000-0005-0000-0000-000033000000}"/>
    <cellStyle name="fa_data_current_standard_2_grouped" xfId="58" xr:uid="{00000000-0005-0000-0000-000034000000}"/>
    <cellStyle name="fa_data_italic_0_grouped" xfId="65" xr:uid="{00000000-0005-0000-0000-000035000000}"/>
    <cellStyle name="fa_data_italic_1_grouped" xfId="66" xr:uid="{00000000-0005-0000-0000-000036000000}"/>
    <cellStyle name="fa_data_italic_2_grouped" xfId="67" xr:uid="{00000000-0005-0000-0000-000037000000}"/>
    <cellStyle name="fa_data_standard_0_grouped" xfId="53" xr:uid="{00000000-0005-0000-0000-000038000000}"/>
    <cellStyle name="fa_data_standard_1_grouped" xfId="54" xr:uid="{00000000-0005-0000-0000-000039000000}"/>
    <cellStyle name="fa_data_standard_1_grouped_single_border" xfId="73" xr:uid="{00000000-0005-0000-0000-00003A000000}"/>
    <cellStyle name="fa_data_standard_1_percent_single_border" xfId="74" xr:uid="{00000000-0005-0000-0000-00003B000000}"/>
    <cellStyle name="fa_data_standard_2_grouped" xfId="55" xr:uid="{00000000-0005-0000-0000-00003C000000}"/>
    <cellStyle name="fa_data_standard_2_grouped_single_border" xfId="75" xr:uid="{00000000-0005-0000-0000-00003D000000}"/>
    <cellStyle name="fa_data_standard_2_percent_single_border" xfId="76" xr:uid="{00000000-0005-0000-0000-00003E000000}"/>
    <cellStyle name="fa_footer_italic" xfId="34" xr:uid="{00000000-0005-0000-0000-00003F000000}"/>
    <cellStyle name="fa_row_header_bold" xfId="35" xr:uid="{00000000-0005-0000-0000-000040000000}"/>
    <cellStyle name="fa_row_header_italic" xfId="36" xr:uid="{00000000-0005-0000-0000-000041000000}"/>
    <cellStyle name="fa_row_header_standard" xfId="37" xr:uid="{00000000-0005-0000-0000-000042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BDH|10494318971128130648</stp>
        <tr r="K18" s="23"/>
      </tp>
      <tp t="e">
        <v>#N/A</v>
        <stp/>
        <stp>BDH|17850158906578956436</stp>
        <tr r="AA65" s="21"/>
        <tr r="X28" s="6"/>
      </tp>
      <tp t="e">
        <v>#N/A</v>
        <stp/>
        <stp>BDH|10467048707392471820</stp>
        <tr r="F77" s="12"/>
      </tp>
      <tp t="e">
        <v>#N/A</v>
        <stp/>
        <stp>BDH|11586358911960305930</stp>
        <tr r="L20" s="22"/>
      </tp>
      <tp t="e">
        <v>#N/A</v>
        <stp/>
        <stp>BDH|12531365514999109376</stp>
        <tr r="K20" s="10"/>
      </tp>
      <tp t="e">
        <v>#N/A</v>
        <stp/>
        <stp>BDH|16596569169058214798</stp>
        <tr r="G13" s="9"/>
      </tp>
      <tp t="e">
        <v>#N/A</v>
        <stp/>
        <stp>BDH|17705756080794413678</stp>
        <tr r="Y40" s="17"/>
      </tp>
      <tp t="e">
        <v>#N/A</v>
        <stp/>
        <stp>BDH|16792631096802695151</stp>
        <tr r="R33" s="22"/>
      </tp>
      <tp t="e">
        <v>#N/A</v>
        <stp/>
        <stp>BDH|16571743027308187167</stp>
        <tr r="D77" s="24"/>
      </tp>
      <tp t="e">
        <v>#N/A</v>
        <stp/>
        <stp>BDH|11464358357159563421</stp>
        <tr r="Z37" s="24"/>
      </tp>
      <tp t="e">
        <v>#N/A</v>
        <stp/>
        <stp>BDH|13310885527661992243</stp>
        <tr r="W16" s="34"/>
      </tp>
      <tp t="e">
        <v>#N/A</v>
        <stp/>
        <stp>BDH|14747611734659289214</stp>
        <tr r="L30" s="21"/>
      </tp>
      <tp t="e">
        <v>#N/A</v>
        <stp/>
        <stp>BDH|12787683048192157870</stp>
        <tr r="S55" s="18"/>
      </tp>
      <tp t="e">
        <v>#N/A</v>
        <stp/>
        <stp>BDH|14953323809188612559</stp>
        <tr r="V23" s="11"/>
      </tp>
      <tp t="e">
        <v>#N/A</v>
        <stp/>
        <stp>BDH|18321605921916774047</stp>
        <tr r="P8" s="4"/>
      </tp>
      <tp t="e">
        <v>#N/A</v>
        <stp/>
        <stp>BDH|18265617814736000368</stp>
        <tr r="G66" s="34"/>
      </tp>
      <tp t="e">
        <v>#N/A</v>
        <stp/>
        <stp>BDH|18251128507060548334</stp>
        <tr r="X99" s="18"/>
      </tp>
      <tp t="e">
        <v>#N/A</v>
        <stp/>
        <stp>BDH|13476262102839074217</stp>
        <tr r="C24" s="23"/>
        <tr r="C21" s="30"/>
      </tp>
      <tp t="e">
        <v>#N/A</v>
        <stp/>
        <stp>BDH|15089032442178627365</stp>
        <tr r="C8" s="23"/>
      </tp>
      <tp t="e">
        <v>#N/A</v>
        <stp/>
        <stp>BDH|17313511797228288966</stp>
        <tr r="V77" s="24"/>
      </tp>
      <tp t="e">
        <v>#N/A</v>
        <stp/>
        <stp>BDH|12262309713533913997</stp>
        <tr r="AA51" s="12"/>
      </tp>
      <tp t="e">
        <v>#N/A</v>
        <stp/>
        <stp>BDH|11716440994745604304</stp>
        <tr r="P64" s="21"/>
        <tr r="N23" s="7"/>
      </tp>
      <tp t="e">
        <v>#N/A</v>
        <stp/>
        <stp>BDH|14331174346288714346</stp>
        <tr r="N61" s="21"/>
        <tr r="L25" s="2"/>
      </tp>
      <tp t="e">
        <v>#N/A</v>
        <stp/>
        <stp>BDH|14785160570421772979</stp>
        <tr r="C48" s="17"/>
      </tp>
      <tp t="e">
        <v>#N/A</v>
        <stp/>
        <stp>BDH|15911586266438402421</stp>
        <tr r="W60" s="24"/>
      </tp>
      <tp t="e">
        <v>#N/A</v>
        <stp/>
        <stp>BDH|16346705025261060874</stp>
        <tr r="X9" s="28"/>
      </tp>
      <tp t="e">
        <v>#N/A</v>
        <stp/>
        <stp>BDH|18176124022092717372</stp>
        <tr r="AA38" s="25"/>
      </tp>
      <tp t="e">
        <v>#N/A</v>
        <stp/>
        <stp>BDH|10549734456600527844</stp>
        <tr r="Q32" s="24"/>
      </tp>
      <tp t="e">
        <v>#N/A</v>
        <stp/>
        <stp>BDH|13729216190221420334</stp>
        <tr r="P60" s="13"/>
      </tp>
      <tp t="e">
        <v>#N/A</v>
        <stp/>
        <stp>BDH|15527805776177776751</stp>
        <tr r="F23" s="21"/>
      </tp>
      <tp t="e">
        <v>#N/A</v>
        <stp/>
        <stp>BDH|11157644661053040852</stp>
        <tr r="N21" s="9"/>
        <tr r="N21" s="5"/>
      </tp>
      <tp t="e">
        <v>#N/A</v>
        <stp/>
        <stp>BDH|16759461992781636046</stp>
        <tr r="E68" s="10"/>
      </tp>
      <tp t="e">
        <v>#N/A</v>
        <stp/>
        <stp>BDH|18029253122931073369</stp>
        <tr r="Q10" s="11"/>
      </tp>
      <tp t="e">
        <v>#N/A</v>
        <stp/>
        <stp>BDH|13281436341069906088</stp>
        <tr r="V19" s="10"/>
      </tp>
      <tp t="e">
        <v>#N/A</v>
        <stp/>
        <stp>BDH|16367271774348940185</stp>
        <tr r="R56" s="11"/>
        <tr r="R24" s="4"/>
      </tp>
      <tp t="e">
        <v>#N/A</v>
        <stp/>
        <stp>BDH|18257601242320634071</stp>
        <tr r="V135" s="18"/>
      </tp>
      <tp t="e">
        <v>#N/A</v>
        <stp/>
        <stp>BDH|13145737061359725156</stp>
        <tr r="T16" s="26"/>
      </tp>
      <tp t="e">
        <v>#N/A</v>
        <stp/>
        <stp>BDH|17568316983547425123</stp>
        <tr r="AA82" s="12"/>
      </tp>
      <tp t="e">
        <v>#N/A</v>
        <stp/>
        <stp>BDH|12404919313453166370</stp>
        <tr r="AA22" s="27"/>
      </tp>
      <tp t="e">
        <v>#N/A</v>
        <stp/>
        <stp>BDH|15274413491292489065</stp>
        <tr r="J37" s="26"/>
      </tp>
      <tp t="e">
        <v>#N/A</v>
        <stp/>
        <stp>BDH|13809070812890552887</stp>
        <tr r="K78" s="12"/>
      </tp>
      <tp t="e">
        <v>#N/A</v>
        <stp/>
        <stp>BDH|14531545641637292823</stp>
        <tr r="K119" s="18"/>
      </tp>
      <tp t="e">
        <v>#N/A</v>
        <stp/>
        <stp>BDH|12789282921058814061</stp>
        <tr r="K34" s="18"/>
      </tp>
      <tp t="e">
        <v>#N/A</v>
        <stp/>
        <stp>BDH|12416133595573499366</stp>
        <tr r="W48" s="18"/>
      </tp>
      <tp t="e">
        <v>#N/A</v>
        <stp/>
        <stp>BDH|14162893479778295933</stp>
        <tr r="S164" s="18"/>
      </tp>
      <tp t="e">
        <v>#N/A</v>
        <stp/>
        <stp>BDH|16694498439059388256</stp>
        <tr r="D63" s="21"/>
      </tp>
      <tp t="e">
        <v>#N/A</v>
        <stp/>
        <stp>BDH|13495243053319528764</stp>
        <tr r="X166" s="18"/>
      </tp>
      <tp t="e">
        <v>#N/A</v>
        <stp/>
        <stp>BDH|16286651705612079826</stp>
        <tr r="G155" s="18"/>
      </tp>
      <tp t="e">
        <v>#N/A</v>
        <stp/>
        <stp>BDH|16702815184589763558</stp>
        <tr r="Q54" s="18"/>
      </tp>
      <tp t="e">
        <v>#N/A</v>
        <stp/>
        <stp>BDH|10798067179395921811</stp>
        <tr r="L11" s="12"/>
      </tp>
      <tp t="e">
        <v>#N/A</v>
        <stp/>
        <stp>BDH|10848378612109420192</stp>
        <tr r="R9" s="34"/>
      </tp>
      <tp t="e">
        <v>#N/A</v>
        <stp/>
        <stp>BDH|12133665181245784310</stp>
        <tr r="F9" s="17"/>
      </tp>
      <tp t="e">
        <v>#N/A</v>
        <stp/>
        <stp>BDH|11298338434709541201</stp>
        <tr r="Q22" s="10"/>
      </tp>
      <tp t="e">
        <v>#N/A</v>
        <stp/>
        <stp>BDH|12233634615736449907</stp>
        <tr r="C30" s="11"/>
        <tr r="C38" s="10"/>
      </tp>
      <tp t="e">
        <v>#N/A</v>
        <stp/>
        <stp>BDH|17462610435348809086</stp>
        <tr r="Z33" s="18"/>
      </tp>
      <tp t="e">
        <v>#N/A</v>
        <stp/>
        <stp>BDH|12049909771864904287</stp>
        <tr r="F9" s="23"/>
      </tp>
      <tp t="e">
        <v>#N/A</v>
        <stp/>
        <stp>BDH|17369103299222977732</stp>
        <tr r="N12" s="11"/>
      </tp>
      <tp t="e">
        <v>#N/A</v>
        <stp/>
        <stp>BDH|12065761539448927463</stp>
        <tr r="Y45" s="13"/>
      </tp>
      <tp t="e">
        <v>#N/A</v>
        <stp/>
        <stp>BDH|11235480892025054387</stp>
        <tr r="L16" s="10"/>
      </tp>
      <tp t="e">
        <v>#N/A</v>
        <stp/>
        <stp>BDH|12775926070027300160</stp>
        <tr r="P11" s="20"/>
        <tr r="P112" s="18"/>
      </tp>
      <tp t="e">
        <v>#N/A</v>
        <stp/>
        <stp>BDH|12189498940158955015</stp>
        <tr r="J89" s="12"/>
      </tp>
      <tp t="e">
        <v>#N/A</v>
        <stp/>
        <stp>BDH|11737871151053241537</stp>
        <tr r="X41" s="11"/>
        <tr r="X49" s="10"/>
        <tr r="X8" s="7"/>
        <tr r="Z11" s="3"/>
      </tp>
      <tp t="e">
        <v>#N/A</v>
        <stp/>
        <stp>BDH|16192946771995112757</stp>
        <tr r="K8" s="4"/>
      </tp>
      <tp t="e">
        <v>#N/A</v>
        <stp/>
        <stp>BDH|10003950946287139021</stp>
        <tr r="W12" s="11"/>
      </tp>
      <tp t="e">
        <v>#N/A</v>
        <stp/>
        <stp>BDH|12103896279120234734</stp>
        <tr r="I17" s="5"/>
        <tr r="I33" s="6"/>
      </tp>
      <tp t="e">
        <v>#N/A</v>
        <stp/>
        <stp>BDH|15958685789393811202</stp>
        <tr r="E22" s="10"/>
      </tp>
      <tp t="e">
        <v>#N/A</v>
        <stp/>
        <stp>BDH|12064936534494669612</stp>
        <tr r="X62" s="34"/>
      </tp>
      <tp t="e">
        <v>#N/A</v>
        <stp/>
        <stp>BDH|16847493976208212753</stp>
        <tr r="G51" s="18"/>
      </tp>
      <tp t="e">
        <v>#N/A</v>
        <stp/>
        <stp>BDH|11471883739098630830</stp>
        <tr r="O50" s="17"/>
      </tp>
      <tp t="e">
        <v>#N/A</v>
        <stp/>
        <stp>BDH|13294086709949599069</stp>
        <tr r="F7" s="20"/>
        <tr r="F109" s="18"/>
      </tp>
      <tp t="e">
        <v>#N/A</v>
        <stp/>
        <stp>BDH|14979553571169523581</stp>
        <tr r="H75" s="17"/>
      </tp>
      <tp t="e">
        <v>#N/A</v>
        <stp/>
        <stp>BDH|10246324345624241974</stp>
        <tr r="F21" s="34"/>
      </tp>
      <tp t="e">
        <v>#N/A</v>
        <stp/>
        <stp>BDH|11059284095206859650</stp>
        <tr r="Q15" s="25"/>
      </tp>
      <tp t="e">
        <v>#N/A</v>
        <stp/>
        <stp>BDH|18125576370105224541</stp>
        <tr r="V15" s="26"/>
      </tp>
      <tp t="e">
        <v>#N/A</v>
        <stp/>
        <stp>BDH|15775529621058338078</stp>
        <tr r="E28" s="34"/>
      </tp>
      <tp t="e">
        <v>#N/A</v>
        <stp/>
        <stp>BDH|10977956248181407605</stp>
        <tr r="H93" s="12"/>
      </tp>
      <tp t="e">
        <v>#N/A</v>
        <stp/>
        <stp>BDH|16274009189044224099</stp>
        <tr r="T20" s="17"/>
      </tp>
      <tp t="e">
        <v>#N/A</v>
        <stp/>
        <stp>BDH|15000556304569251333</stp>
        <tr r="R13" s="9"/>
      </tp>
      <tp t="e">
        <v>#N/A</v>
        <stp/>
        <stp>BDH|12236863285729420150</stp>
        <tr r="N13" s="26"/>
      </tp>
      <tp t="e">
        <v>#N/A</v>
        <stp/>
        <stp>BDH|17115534562707738975</stp>
        <tr r="W35" s="13"/>
        <tr r="U31" s="10"/>
      </tp>
      <tp t="e">
        <v>#N/A</v>
        <stp/>
        <stp>BDH|11276422911288802693</stp>
        <tr r="K39" s="18"/>
      </tp>
      <tp t="e">
        <v>#N/A</v>
        <stp/>
        <stp>BDH|12195148362579425632</stp>
        <tr r="X42" s="22"/>
      </tp>
      <tp t="e">
        <v>#N/A</v>
        <stp/>
        <stp>BDH|16890149359640246876</stp>
        <tr r="I30" s="22"/>
      </tp>
      <tp t="e">
        <v>#N/A</v>
        <stp/>
        <stp>BDH|14988121439324882899</stp>
        <tr r="X11" s="11"/>
      </tp>
      <tp t="e">
        <v>#N/A</v>
        <stp/>
        <stp>BDH|16311603138459940019</stp>
        <tr r="V24" s="29"/>
      </tp>
      <tp t="e">
        <v>#N/A</v>
        <stp/>
        <stp>BDH|17621647465485398872</stp>
        <tr r="X35" s="13"/>
        <tr r="V31" s="10"/>
      </tp>
      <tp t="e">
        <v>#N/A</v>
        <stp/>
        <stp>BDH|13264497310908145496</stp>
        <tr r="R48" s="34"/>
      </tp>
      <tp t="e">
        <v>#N/A</v>
        <stp/>
        <stp>BDH|14485972055406431414</stp>
        <tr r="L8" s="29"/>
        <tr r="L30" s="29"/>
      </tp>
      <tp t="e">
        <v>#N/A</v>
        <stp/>
        <stp>BDH|12114719584353766404</stp>
        <tr r="G8" s="2"/>
      </tp>
      <tp t="e">
        <v>#N/A</v>
        <stp/>
        <stp>BDH|10170639687115707117</stp>
        <tr r="N60" s="17"/>
      </tp>
      <tp t="e">
        <v>#N/A</v>
        <stp/>
        <stp>BDH|13254274372639567519</stp>
        <tr r="F32" s="13"/>
        <tr r="D28" s="10"/>
      </tp>
      <tp t="e">
        <v>#N/A</v>
        <stp/>
        <stp>BDH|11317285387214909568</stp>
        <tr r="J18" s="24"/>
      </tp>
      <tp t="e">
        <v>#N/A</v>
        <stp/>
        <stp>BDH|16110022177868239356</stp>
        <tr r="D19" s="26"/>
      </tp>
      <tp t="e">
        <v>#N/A</v>
        <stp/>
        <stp>BDH|11397741049778578086</stp>
        <tr r="E19" s="22"/>
      </tp>
      <tp t="e">
        <v>#N/A</v>
        <stp/>
        <stp>BDH|11738220662729736639</stp>
        <tr r="O56" s="12"/>
      </tp>
      <tp t="e">
        <v>#N/A</v>
        <stp/>
        <stp>BDH|17081632692671472365</stp>
        <tr r="V24" s="17"/>
      </tp>
      <tp t="e">
        <v>#N/A</v>
        <stp/>
        <stp>BDH|15848829869063217221</stp>
        <tr r="Z121" s="18"/>
      </tp>
      <tp t="e">
        <v>#N/A</v>
        <stp/>
        <stp>BDH|10621287578669362668</stp>
        <tr r="T68" s="18"/>
      </tp>
      <tp t="e">
        <v>#N/A</v>
        <stp/>
        <stp>BDH|10742951247957067067</stp>
        <tr r="P19" s="24"/>
      </tp>
      <tp t="e">
        <v>#N/A</v>
        <stp/>
        <stp>BDH|12467856329846866432</stp>
        <tr r="P41" s="22"/>
      </tp>
      <tp t="e">
        <v>#N/A</v>
        <stp/>
        <stp>BDH|16178350460141778802</stp>
        <tr r="J29" s="17"/>
      </tp>
      <tp t="e">
        <v>#N/A</v>
        <stp/>
        <stp>BDH|14379102120224321937</stp>
        <tr r="G8" s="11"/>
      </tp>
      <tp t="e">
        <v>#N/A</v>
        <stp/>
        <stp>BDH|13042164550694453913</stp>
        <tr r="P7" s="30"/>
      </tp>
      <tp t="e">
        <v>#N/A</v>
        <stp/>
        <stp>BDH|17200773888403957172</stp>
        <tr r="W88" s="17"/>
      </tp>
      <tp t="e">
        <v>#N/A</v>
        <stp/>
        <stp>BDH|11416852947905051258</stp>
        <tr r="M41" s="34"/>
      </tp>
      <tp t="e">
        <v>#N/A</v>
        <stp/>
        <stp>BDH|12110136515911697920</stp>
        <tr r="G150" s="18"/>
      </tp>
      <tp t="e">
        <v>#N/A</v>
        <stp/>
        <stp>BDH|15114388798977777250</stp>
        <tr r="V14" s="21"/>
      </tp>
      <tp t="e">
        <v>#N/A</v>
        <stp/>
        <stp>BDH|17391204876699183174</stp>
        <tr r="N34" s="11"/>
        <tr r="N42" s="10"/>
      </tp>
      <tp t="e">
        <v>#N/A</v>
        <stp/>
        <stp>BDH|12661036173877291877</stp>
        <tr r="L20" s="17"/>
      </tp>
      <tp t="e">
        <v>#N/A</v>
        <stp/>
        <stp>BDH|17576227783684465335</stp>
        <tr r="H42" s="4"/>
      </tp>
      <tp t="e">
        <v>#N/A</v>
        <stp/>
        <stp>BDH|12845498386781074549</stp>
        <tr r="R45" s="6"/>
      </tp>
      <tp t="e">
        <v>#N/A</v>
        <stp/>
        <stp>BDH|14638340720738546745</stp>
        <tr r="V11" s="9"/>
      </tp>
      <tp t="e">
        <v>#N/A</v>
        <stp/>
        <stp>BDH|15078432881517378423</stp>
        <tr r="M7" s="21"/>
      </tp>
      <tp t="e">
        <v>#N/A</v>
        <stp/>
        <stp>BDH|12363775161350374953</stp>
        <tr r="E15" s="22"/>
      </tp>
      <tp t="e">
        <v>#N/A</v>
        <stp/>
        <stp>BDH|11592995408360717214</stp>
        <tr r="H34" s="11"/>
        <tr r="H42" s="10"/>
      </tp>
      <tp t="e">
        <v>#N/A</v>
        <stp/>
        <stp>BDH|12083705431678174425</stp>
        <tr r="E53" s="17"/>
        <tr r="E10" s="25"/>
      </tp>
      <tp t="e">
        <v>#N/A</v>
        <stp/>
        <stp>BDH|10518195397281882317</stp>
        <tr r="V12" s="20"/>
        <tr r="V113" s="18"/>
      </tp>
      <tp t="e">
        <v>#N/A</v>
        <stp/>
        <stp>BDH|10564889550056857173</stp>
        <tr r="M71" s="17"/>
      </tp>
      <tp t="e">
        <v>#N/A</v>
        <stp/>
        <stp>BDH|11617322647439480556</stp>
        <tr r="Q25" s="18"/>
      </tp>
      <tp t="e">
        <v>#N/A</v>
        <stp/>
        <stp>BDH|12475774985271789630</stp>
        <tr r="J22" s="7"/>
      </tp>
      <tp t="e">
        <v>#N/A</v>
        <stp/>
        <stp>BDH|17035060923439284650</stp>
        <tr r="C33" s="21"/>
      </tp>
      <tp t="e">
        <v>#N/A</v>
        <stp/>
        <stp>BDH|11036358132532655935</stp>
        <tr r="G54" s="34"/>
      </tp>
      <tp t="e">
        <v>#N/A</v>
        <stp/>
        <stp>BDH|12515249103989381334</stp>
        <tr r="S144" s="18"/>
      </tp>
      <tp t="e">
        <v>#N/A</v>
        <stp/>
        <stp>BDH|13172694799853101526</stp>
        <tr r="O17" s="17"/>
        <tr r="O20" s="28"/>
      </tp>
      <tp t="e">
        <v>#N/A</v>
        <stp/>
        <stp>BDH|16198002224099152763</stp>
        <tr r="O7" s="4"/>
      </tp>
      <tp t="e">
        <v>#N/A</v>
        <stp/>
        <stp>BDH|16283855551321712033</stp>
        <tr r="D11" s="21"/>
      </tp>
      <tp t="e">
        <v>#N/A</v>
        <stp/>
        <stp>BDH|16775556284008686925</stp>
        <tr r="AA111" s="12"/>
      </tp>
      <tp t="e">
        <v>#N/A</v>
        <stp/>
        <stp>BDH|10337555523514358945</stp>
        <tr r="T52" s="22"/>
      </tp>
      <tp t="e">
        <v>#N/A</v>
        <stp/>
        <stp>BDH|16938042098392245755</stp>
        <tr r="N50" s="10"/>
        <tr r="N14" s="7"/>
        <tr r="N42" s="11"/>
        <tr r="P9" s="3"/>
      </tp>
      <tp t="e">
        <v>#N/A</v>
        <stp/>
        <stp>BDH|14295163678548956079</stp>
        <tr r="K30" s="24"/>
      </tp>
      <tp t="e">
        <v>#N/A</v>
        <stp/>
        <stp>BDH|18330151023535107465</stp>
        <tr r="X33" s="12"/>
      </tp>
      <tp t="e">
        <v>#N/A</v>
        <stp/>
        <stp>BDH|13430896108622134362</stp>
        <tr r="R25" s="22"/>
      </tp>
      <tp t="e">
        <v>#N/A</v>
        <stp/>
        <stp>BDH|13125997720714985638</stp>
        <tr r="Y22" s="20"/>
      </tp>
      <tp t="e">
        <v>#N/A</v>
        <stp/>
        <stp>BDH|16508210906288148614</stp>
        <tr r="J16" s="30"/>
      </tp>
      <tp t="e">
        <v>#N/A</v>
        <stp/>
        <stp>BDH|10574746859279942136</stp>
        <tr r="P23" s="26"/>
      </tp>
      <tp t="e">
        <v>#N/A</v>
        <stp/>
        <stp>BDH|17216964025991057738</stp>
        <tr r="L19" s="13"/>
        <tr r="J61" s="10"/>
        <tr r="J32" s="4"/>
        <tr r="J16" s="2"/>
      </tp>
      <tp t="e">
        <v>#N/A</v>
        <stp/>
        <stp>BDH|12238910191790705875</stp>
        <tr r="O93" s="12"/>
      </tp>
      <tp t="e">
        <v>#N/A</v>
        <stp/>
        <stp>BDH|13572930458341827447</stp>
        <tr r="R38" s="17"/>
      </tp>
      <tp t="e">
        <v>#N/A</v>
        <stp/>
        <stp>BDH|17550844702032184708</stp>
        <tr r="S6" s="16"/>
        <tr r="T6" s="11"/>
        <tr r="V6" s="3"/>
        <tr r="T10" s="4"/>
      </tp>
      <tp t="e">
        <v>#N/A</v>
        <stp/>
        <stp>BDH|12208317366709752405</stp>
        <tr r="N76" s="17"/>
        <tr r="K9" s="9"/>
        <tr r="K9" s="5"/>
      </tp>
      <tp t="e">
        <v>#N/A</v>
        <stp/>
        <stp>BDH|13593347613899255223</stp>
        <tr r="Y20" s="24"/>
      </tp>
      <tp t="e">
        <v>#N/A</v>
        <stp/>
        <stp>BDH|15093961248346894442</stp>
        <tr r="O10" s="18"/>
      </tp>
      <tp t="e">
        <v>#N/A</v>
        <stp/>
        <stp>BDH|18088254276227495050</stp>
        <tr r="O45" s="22"/>
      </tp>
      <tp t="e">
        <v>#N/A</v>
        <stp/>
        <stp>BDH|16321136793736135207</stp>
        <tr r="N10" s="12"/>
      </tp>
      <tp t="e">
        <v>#N/A</v>
        <stp/>
        <stp>BDH|17488964767196098472</stp>
        <tr r="S6" s="19"/>
        <tr r="S35" s="17"/>
        <tr r="S16" s="3"/>
      </tp>
      <tp t="e">
        <v>#N/A</v>
        <stp/>
        <stp>BDH|16647508984874070505</stp>
        <tr r="F34" s="18"/>
      </tp>
      <tp t="e">
        <v>#N/A</v>
        <stp/>
        <stp>BDH|17322473790094106477</stp>
        <tr r="U23" s="21"/>
      </tp>
      <tp t="e">
        <v>#N/A</v>
        <stp/>
        <stp>BDH|18127796701606921326</stp>
        <tr r="G62" s="18"/>
      </tp>
      <tp t="e">
        <v>#N/A</v>
        <stp/>
        <stp>BDH|16939458582128883847</stp>
        <tr r="AA6" s="27"/>
      </tp>
      <tp t="e">
        <v>#N/A</v>
        <stp/>
        <stp>BDH|18018218142686028218</stp>
        <tr r="K20" s="18"/>
      </tp>
      <tp t="e">
        <v>#N/A</v>
        <stp/>
        <stp>BDH|14892924734900423483</stp>
        <tr r="V18" s="17"/>
      </tp>
      <tp t="e">
        <v>#N/A</v>
        <stp/>
        <stp>BDH|13741993076056950136</stp>
        <tr r="Q24" s="23"/>
        <tr r="Q21" s="30"/>
      </tp>
      <tp t="e">
        <v>#N/A</v>
        <stp/>
        <stp>BDH|16396814545507251779</stp>
        <tr r="J24" s="6"/>
      </tp>
      <tp t="e">
        <v>#N/A</v>
        <stp/>
        <stp>BDH|16022409563838408628</stp>
        <tr r="K18" s="14"/>
      </tp>
      <tp t="e">
        <v>#N/A</v>
        <stp/>
        <stp>BDH|17842185924978433650</stp>
        <tr r="K41" s="6"/>
      </tp>
      <tp t="e">
        <v>#N/A</v>
        <stp/>
        <stp>BDH|16248480906051893916</stp>
        <tr r="V41" s="34"/>
      </tp>
      <tp t="e">
        <v>#N/A</v>
        <stp/>
        <stp>BDH|17493336053583508841</stp>
        <tr r="F14" s="20"/>
        <tr r="F115" s="18"/>
      </tp>
      <tp t="e">
        <v>#N/A</v>
        <stp/>
        <stp>BDH|11085343255545438807</stp>
        <tr r="X26" s="6"/>
      </tp>
      <tp t="e">
        <v>#N/A</v>
        <stp/>
        <stp>BDH|18010479324661220546</stp>
        <tr r="E29" s="13"/>
        <tr r="C24" s="11"/>
        <tr r="C32" s="10"/>
        <tr r="C45" s="4"/>
      </tp>
      <tp t="e">
        <v>#N/A</v>
        <stp/>
        <stp>BDH|15445792077269784686</stp>
        <tr r="K90" s="12"/>
      </tp>
      <tp t="e">
        <v>#N/A</v>
        <stp/>
        <stp>BDH|13677446526268494750</stp>
        <tr r="Y48" s="18"/>
      </tp>
      <tp t="e">
        <v>#N/A</v>
        <stp/>
        <stp>BDH|16130549923029413272</stp>
        <tr r="F9" s="18"/>
      </tp>
      <tp t="e">
        <v>#N/A</v>
        <stp/>
        <stp>BDH|13367927202853574337</stp>
        <tr r="F37" s="24"/>
      </tp>
      <tp t="e">
        <v>#N/A</v>
        <stp/>
        <stp>BDH|10248604266169890390</stp>
        <tr r="K15" s="6"/>
      </tp>
      <tp t="e">
        <v>#N/A</v>
        <stp/>
        <stp>BDH|13972269935961782987</stp>
        <tr r="L46" s="24"/>
      </tp>
      <tp t="e">
        <v>#N/A</v>
        <stp/>
        <stp>BDH|16328933380128271579</stp>
        <tr r="U7" s="20"/>
        <tr r="U109" s="18"/>
      </tp>
      <tp t="e">
        <v>#N/A</v>
        <stp/>
        <stp>BDH|10603531918038895605</stp>
        <tr r="Z58" s="12"/>
      </tp>
      <tp t="e">
        <v>#N/A</v>
        <stp/>
        <stp>BDH|15593336045391152974</stp>
        <tr r="N174" s="18"/>
      </tp>
      <tp t="e">
        <v>#N/A</v>
        <stp/>
        <stp>BDH|16510159156738201012</stp>
        <tr r="U110" s="12"/>
      </tp>
      <tp t="e">
        <v>#N/A</v>
        <stp/>
        <stp>BDH|11481827264355174067</stp>
        <tr r="R76" s="12"/>
      </tp>
      <tp t="e">
        <v>#N/A</v>
        <stp/>
        <stp>BDH|13447542926568674657</stp>
        <tr r="L13" s="2"/>
      </tp>
      <tp t="e">
        <v>#N/A</v>
        <stp/>
        <stp>BDH|13424399084073902158</stp>
        <tr r="O85" s="12"/>
      </tp>
      <tp t="e">
        <v>#N/A</v>
        <stp/>
        <stp>BDH|16564615721439741170</stp>
        <tr r="G159" s="18"/>
      </tp>
      <tp t="e">
        <v>#N/A</v>
        <stp/>
        <stp>BDH|12060300474489172507</stp>
        <tr r="V8" s="17"/>
      </tp>
      <tp t="e">
        <v>#N/A</v>
        <stp/>
        <stp>BDH|16384679214742368962</stp>
        <tr r="X42" s="12"/>
      </tp>
      <tp t="e">
        <v>#N/A</v>
        <stp/>
        <stp>BDH|18382630251158281963</stp>
        <tr r="D10" s="24"/>
      </tp>
      <tp t="e">
        <v>#N/A</v>
        <stp/>
        <stp>BDH|14938043503196806833</stp>
        <tr r="O13" s="5"/>
      </tp>
      <tp t="e">
        <v>#N/A</v>
        <stp/>
        <stp>BDH|11669828930910964080</stp>
        <tr r="V58" s="13"/>
      </tp>
      <tp t="e">
        <v>#N/A</v>
        <stp/>
        <stp>BDH|18100871981550219204</stp>
        <tr r="G82" s="18"/>
      </tp>
      <tp t="e">
        <v>#N/A</v>
        <stp/>
        <stp>BDH|14170515763154046966</stp>
        <tr r="Y19" s="18"/>
      </tp>
      <tp t="e">
        <v>#N/A</v>
        <stp/>
        <stp>BDH|12275253686103222166</stp>
        <tr r="S14" s="8"/>
      </tp>
      <tp t="e">
        <v>#N/A</v>
        <stp/>
        <stp>BDH|16970915763332869167</stp>
        <tr r="K33" s="12"/>
      </tp>
      <tp t="e">
        <v>#N/A</v>
        <stp/>
        <stp>BDH|13830206688433429013</stp>
        <tr r="W56" s="11"/>
        <tr r="W24" s="4"/>
      </tp>
      <tp t="e">
        <v>#N/A</v>
        <stp/>
        <stp>BDH|17752006497167143341</stp>
        <tr r="X36" s="4"/>
      </tp>
      <tp t="e">
        <v>#N/A</v>
        <stp/>
        <stp>BDH|15336333195893695664</stp>
        <tr r="O144" s="18"/>
      </tp>
      <tp t="e">
        <v>#N/A</v>
        <stp/>
        <stp>BDH|12410878676677834089</stp>
        <tr r="I152" s="18"/>
      </tp>
      <tp t="e">
        <v>#N/A</v>
        <stp/>
        <stp>BDH|17712748787605821798</stp>
        <tr r="S9" s="18"/>
      </tp>
      <tp t="e">
        <v>#N/A</v>
        <stp/>
        <stp>BDH|13071087168648723721</stp>
        <tr r="Y90" s="18"/>
      </tp>
      <tp t="e">
        <v>#N/A</v>
        <stp/>
        <stp>BDH|16994924092908415480</stp>
        <tr r="F17" s="24"/>
      </tp>
      <tp t="e">
        <v>#N/A</v>
        <stp/>
        <stp>BDH|14049012013646202954</stp>
        <tr r="S83" s="17"/>
      </tp>
      <tp t="e">
        <v>#N/A</v>
        <stp/>
        <stp>BDH|11838525373471567890</stp>
        <tr r="S27" s="7"/>
      </tp>
      <tp t="e">
        <v>#N/A</v>
        <stp/>
        <stp>BDH|14494265932949029653</stp>
        <tr r="I47" s="13"/>
      </tp>
      <tp t="e">
        <v>#N/A</v>
        <stp/>
        <stp>BDH|13472260124311330803</stp>
        <tr r="V12" s="30"/>
      </tp>
      <tp t="e">
        <v>#N/A</v>
        <stp/>
        <stp>BDH|14264919900040069772</stp>
        <tr r="C16" s="27"/>
        <tr r="C30" s="25"/>
      </tp>
      <tp t="e">
        <v>#N/A</v>
        <stp/>
        <stp>BDH|10662278274756934980</stp>
        <tr r="G23" s="13"/>
      </tp>
      <tp t="e">
        <v>#N/A</v>
        <stp/>
        <stp>BDH|16885590794031356124</stp>
        <tr r="K33" s="11"/>
        <tr r="K41" s="10"/>
      </tp>
      <tp t="e">
        <v>#N/A</v>
        <stp/>
        <stp>BDH|12532092359688087517</stp>
        <tr r="W55" s="13"/>
        <tr r="U48" s="11"/>
        <tr r="U18" s="7"/>
        <tr r="U56" s="10"/>
      </tp>
      <tp t="e">
        <v>#N/A</v>
        <stp/>
        <stp>BDH|17229581182232486286</stp>
        <tr r="I66" s="17"/>
      </tp>
      <tp t="e">
        <v>#N/A</v>
        <stp/>
        <stp>BDH|15844855877004786496</stp>
        <tr r="W48" s="6"/>
        <tr r="Y6" s="8"/>
      </tp>
      <tp t="e">
        <v>#N/A</v>
        <stp/>
        <stp>BDH|14022820697969277631</stp>
        <tr r="I87" s="17"/>
      </tp>
      <tp t="e">
        <v>#N/A</v>
        <stp/>
        <stp>BDH|12656837293431698843</stp>
        <tr r="N52" s="10"/>
        <tr r="N44" s="11"/>
        <tr r="N16" s="7"/>
      </tp>
      <tp t="e">
        <v>#N/A</v>
        <stp/>
        <stp>BDH|11751341392816676738</stp>
        <tr r="Y15" s="25"/>
      </tp>
      <tp t="e">
        <v>#N/A</v>
        <stp/>
        <stp>BDH|17876744086742615086</stp>
        <tr r="P9" s="29"/>
      </tp>
      <tp t="e">
        <v>#N/A</v>
        <stp/>
        <stp>BDH|18220074686573322942</stp>
        <tr r="P66" s="18"/>
      </tp>
      <tp t="e">
        <v>#N/A</v>
        <stp/>
        <stp>BDH|15205546386355571711</stp>
        <tr r="I9" s="23"/>
      </tp>
      <tp t="e">
        <v>#N/A</v>
        <stp/>
        <stp>BDH|11568003381734501750</stp>
        <tr r="I59" s="12"/>
      </tp>
      <tp t="e">
        <v>#N/A</v>
        <stp/>
        <stp>BDH|14247848315237041078</stp>
        <tr r="T36" s="4"/>
      </tp>
      <tp t="e">
        <v>#N/A</v>
        <stp/>
        <stp>BDH|16386879004612536616</stp>
        <tr r="T90" s="18"/>
      </tp>
      <tp t="e">
        <v>#N/A</v>
        <stp/>
        <stp>BDH|12309932810255310570</stp>
        <tr r="D58" s="24"/>
      </tp>
      <tp t="e">
        <v>#N/A</v>
        <stp/>
        <stp>BDH|16047251297464613301</stp>
        <tr r="K7" s="23"/>
      </tp>
      <tp t="e">
        <v>#N/A</v>
        <stp/>
        <stp>BDH|17662720608433853907</stp>
        <tr r="I101" s="12"/>
      </tp>
      <tp t="e">
        <v>#N/A</v>
        <stp/>
        <stp>BDH|12006877972234543346</stp>
        <tr r="C14" s="28"/>
      </tp>
      <tp t="e">
        <v>#N/A</v>
        <stp/>
        <stp>BDH|12000970932812963089</stp>
        <tr r="T20" s="23"/>
      </tp>
      <tp t="e">
        <v>#N/A</v>
        <stp/>
        <stp>BDH|13342016264479621643</stp>
        <tr r="O62" s="21"/>
      </tp>
      <tp t="e">
        <v>#N/A</v>
        <stp/>
        <stp>BDH|14181522053206181857</stp>
        <tr r="V20" s="22"/>
      </tp>
      <tp t="e">
        <v>#N/A</v>
        <stp/>
        <stp>BDH|11005067572129234523</stp>
        <tr r="O30" s="21"/>
      </tp>
      <tp t="e">
        <v>#N/A</v>
        <stp/>
        <stp>BDH|13969137431152936966</stp>
        <tr r="O16" s="23"/>
      </tp>
      <tp t="e">
        <v>#N/A</v>
        <stp/>
        <stp>BDH|17712547775527279801</stp>
        <tr r="F13" s="13"/>
      </tp>
      <tp t="e">
        <v>#N/A</v>
        <stp/>
        <stp>BDH|10740790299543633757</stp>
        <tr r="Q59" s="13"/>
      </tp>
      <tp t="e">
        <v>#N/A</v>
        <stp/>
        <stp>BDH|12932729896220045698</stp>
        <tr r="M129" s="18"/>
      </tp>
      <tp t="e">
        <v>#N/A</v>
        <stp/>
        <stp>BDH|17502869860612791102</stp>
        <tr r="W9" s="13"/>
      </tp>
      <tp t="e">
        <v>#N/A</v>
        <stp/>
        <stp>BDH|12957351332570824827</stp>
        <tr r="AA16" s="13"/>
        <tr r="AA26" s="13"/>
        <tr r="Y18" s="10"/>
      </tp>
      <tp t="e">
        <v>#N/A</v>
        <stp/>
        <stp>BDH|16343411335949360231</stp>
        <tr r="N58" s="17"/>
      </tp>
      <tp t="e">
        <v>#N/A</v>
        <stp/>
        <stp>BDH|14809783000089092071</stp>
        <tr r="M91" s="12"/>
      </tp>
      <tp t="e">
        <v>#N/A</v>
        <stp/>
        <stp>BDH|12384414599712946755</stp>
        <tr r="C35" s="25"/>
      </tp>
      <tp t="e">
        <v>#N/A</v>
        <stp/>
        <stp>BDH|16695937015130474432</stp>
        <tr r="T55" s="6"/>
      </tp>
      <tp t="e">
        <v>#N/A</v>
        <stp/>
        <stp>BDH|17611063411858102470</stp>
        <tr r="AA57" s="13"/>
      </tp>
      <tp t="e">
        <v>#N/A</v>
        <stp/>
        <stp>BDH|18195715142729364867</stp>
        <tr r="C61" s="17"/>
      </tp>
      <tp t="e">
        <v>#N/A</v>
        <stp/>
        <stp>BDH|13787063789859936869</stp>
        <tr r="F87" s="18"/>
      </tp>
      <tp t="e">
        <v>#N/A</v>
        <stp/>
        <stp>BDH|16801439965696913807</stp>
        <tr r="Y92" s="18"/>
      </tp>
      <tp t="e">
        <v>#N/A</v>
        <stp/>
        <stp>BDH|11247288688060124146</stp>
        <tr r="H127" s="18"/>
      </tp>
      <tp t="e">
        <v>#N/A</v>
        <stp/>
        <stp>BDH|14106845050386791550</stp>
        <tr r="D13" s="2"/>
      </tp>
      <tp t="e">
        <v>#N/A</v>
        <stp/>
        <stp>BDH|11770910137115009469</stp>
        <tr r="Z87" s="18"/>
      </tp>
      <tp t="e">
        <v>#N/A</v>
        <stp/>
        <stp>BDH|18026450070943066222</stp>
        <tr r="H13" s="24"/>
      </tp>
      <tp t="e">
        <v>#N/A</v>
        <stp/>
        <stp>BDH|17361872931541582777</stp>
        <tr r="K58" s="13"/>
      </tp>
      <tp t="e">
        <v>#N/A</v>
        <stp/>
        <stp>BDH|12318135622252610939</stp>
        <tr r="V91" s="18"/>
      </tp>
      <tp t="e">
        <v>#N/A</v>
        <stp/>
        <stp>BDH|15109016074578455078</stp>
        <tr r="C47" s="22"/>
      </tp>
      <tp t="e">
        <v>#N/A</v>
        <stp/>
        <stp>BDH|15446107627504385870</stp>
        <tr r="D22" s="20"/>
      </tp>
      <tp t="e">
        <v>#N/A</v>
        <stp/>
        <stp>BDH|15405942606343583544</stp>
        <tr r="K12" s="7"/>
      </tp>
      <tp t="e">
        <v>#N/A</v>
        <stp/>
        <stp>BDH|11187964735621160041</stp>
        <tr r="F74" s="12"/>
      </tp>
      <tp t="e">
        <v>#N/A</v>
        <stp/>
        <stp>BDH|14968594828621616896</stp>
        <tr r="U22" s="29"/>
        <tr r="U33" s="29"/>
        <tr r="U13" s="29"/>
      </tp>
      <tp t="e">
        <v>#N/A</v>
        <stp/>
        <stp>BDH|12664218127251466939</stp>
        <tr r="M47" s="34"/>
      </tp>
      <tp t="e">
        <v>#N/A</v>
        <stp/>
        <stp>BDH|10340344686172539330</stp>
        <tr r="E63" s="34"/>
      </tp>
      <tp t="e">
        <v>#N/A</v>
        <stp/>
        <stp>BDH|10690934712897876580</stp>
        <tr r="G132" s="18"/>
      </tp>
      <tp t="e">
        <v>#N/A</v>
        <stp/>
        <stp>BDH|13149616783143622423</stp>
        <tr r="Z31" s="18"/>
      </tp>
      <tp t="e">
        <v>#N/A</v>
        <stp/>
        <stp>BDH|12706113996479702905</stp>
        <tr r="U38" s="24"/>
      </tp>
      <tp t="e">
        <v>#N/A</v>
        <stp/>
        <stp>BDH|15106515596666690578</stp>
        <tr r="L50" s="21"/>
      </tp>
      <tp t="e">
        <v>#N/A</v>
        <stp/>
        <stp>BDH|11730870766743763663</stp>
        <tr r="Q67" s="24"/>
      </tp>
      <tp t="e">
        <v>#N/A</v>
        <stp/>
        <stp>BDH|14717672143445046943</stp>
        <tr r="L18" s="6"/>
      </tp>
      <tp t="e">
        <v>#N/A</v>
        <stp/>
        <stp>BDH|14086953075837650711</stp>
        <tr r="Z45" s="12"/>
      </tp>
      <tp t="e">
        <v>#N/A</v>
        <stp/>
        <stp>BDH|17774895757229864961</stp>
        <tr r="P48" s="24"/>
      </tp>
      <tp t="e">
        <v>#N/A</v>
        <stp/>
        <stp>BDH|12266447948829189186</stp>
        <tr r="O87" s="18"/>
      </tp>
      <tp t="e">
        <v>#N/A</v>
        <stp/>
        <stp>BDH|18312086389148346264</stp>
        <tr r="H58" s="12"/>
      </tp>
      <tp t="e">
        <v>#N/A</v>
        <stp/>
        <stp>BDH|10777407275050058950</stp>
        <tr r="L60" s="34"/>
      </tp>
      <tp t="e">
        <v>#N/A</v>
        <stp/>
        <stp>BDH|18191829833049229057</stp>
        <tr r="E22" s="18"/>
      </tp>
      <tp t="e">
        <v>#N/A</v>
        <stp/>
        <stp>BDH|13911100882630965055</stp>
        <tr r="X40" s="34"/>
      </tp>
      <tp t="e">
        <v>#N/A</v>
        <stp/>
        <stp>BDH|15773619367819559637</stp>
        <tr r="J18" s="22"/>
      </tp>
      <tp t="e">
        <v>#N/A</v>
        <stp/>
        <stp>BDH|11626822776553772726</stp>
        <tr r="D13" s="14"/>
      </tp>
      <tp t="e">
        <v>#N/A</v>
        <stp/>
        <stp>BDH|15859339326558857637</stp>
        <tr r="R48" s="13"/>
      </tp>
      <tp t="e">
        <v>#N/A</v>
        <stp/>
        <stp>BDH|13323448461099510251</stp>
        <tr r="K49" s="12"/>
      </tp>
      <tp t="e">
        <v>#N/A</v>
        <stp/>
        <stp>BDH|14627820855824263756</stp>
        <tr r="I38" s="25"/>
      </tp>
      <tp t="e">
        <v>#N/A</v>
        <stp/>
        <stp>BDH|18384241121053335130</stp>
        <tr r="R15" s="9"/>
      </tp>
      <tp t="e">
        <v>#N/A</v>
        <stp/>
        <stp>BDH|17282150989120882409</stp>
        <tr r="O13" s="12"/>
      </tp>
      <tp t="e">
        <v>#N/A</v>
        <stp/>
        <stp>BDH|10298831387859014309</stp>
        <tr r="C11" s="29"/>
      </tp>
      <tp t="e">
        <v>#N/A</v>
        <stp/>
        <stp>BDH|12694905177031437737</stp>
        <tr r="S129" s="18"/>
      </tp>
      <tp t="e">
        <v>#N/A</v>
        <stp/>
        <stp>BDH|14787742768738813754</stp>
        <tr r="Q19" s="26"/>
      </tp>
      <tp t="e">
        <v>#N/A</v>
        <stp/>
        <stp>BDH|11094796280442606694</stp>
        <tr r="M93" s="17"/>
        <tr r="M13" s="28"/>
      </tp>
      <tp t="e">
        <v>#N/A</v>
        <stp/>
        <stp>BDH|10161706259708693081</stp>
        <tr r="L24" s="2"/>
      </tp>
      <tp t="e">
        <v>#N/A</v>
        <stp/>
        <stp>BDH|17984665700608116384</stp>
        <tr r="F45" s="6"/>
      </tp>
      <tp t="e">
        <v>#N/A</v>
        <stp/>
        <stp>BDH|15041907952481083242</stp>
        <tr r="U25" s="26"/>
      </tp>
      <tp t="e">
        <v>#N/A</v>
        <stp/>
        <stp>BDH|13291361083647439551</stp>
        <tr r="D55" s="24"/>
      </tp>
      <tp t="e">
        <v>#N/A</v>
        <stp/>
        <stp>BDH|15209318595490677567</stp>
        <tr r="V48" s="6"/>
        <tr r="X6" s="8"/>
      </tp>
      <tp t="e">
        <v>#N/A</v>
        <stp/>
        <stp>BDH|11647861862175414006</stp>
        <tr r="K18" s="18"/>
      </tp>
      <tp t="e">
        <v>#N/A</v>
        <stp/>
        <stp>BDH|15521719497702442319</stp>
        <tr r="H38" s="6"/>
        <tr r="H18" s="5"/>
      </tp>
      <tp t="e">
        <v>#N/A</v>
        <stp/>
        <stp>BDH|18180990957448957609</stp>
        <tr r="I28" s="34"/>
      </tp>
      <tp t="e">
        <v>#N/A</v>
        <stp/>
        <stp>BDH|15616362210974483922</stp>
        <tr r="C43" s="24"/>
      </tp>
      <tp t="e">
        <v>#N/A</v>
        <stp/>
        <stp>BDH|17622211896263455533</stp>
        <tr r="G49" s="4"/>
      </tp>
      <tp t="e">
        <v>#N/A</v>
        <stp/>
        <stp>BDH|17472871277752427064</stp>
        <tr r="U21" s="2"/>
      </tp>
      <tp t="e">
        <v>#N/A</v>
        <stp/>
        <stp>BDH|15150181734294936923</stp>
        <tr r="N25" s="11"/>
        <tr r="N33" s="10"/>
      </tp>
      <tp t="e">
        <v>#N/A</v>
        <stp/>
        <stp>BDH|18032773717006750210</stp>
        <tr r="S32" s="21"/>
      </tp>
      <tp t="e">
        <v>#N/A</v>
        <stp/>
        <stp>BDH|17790148420757268974</stp>
        <tr r="G19" s="26"/>
      </tp>
      <tp t="e">
        <v>#N/A</v>
        <stp/>
        <stp>BDH|10526878701137766529</stp>
        <tr r="D10" s="10"/>
      </tp>
      <tp t="e">
        <v>#N/A</v>
        <stp/>
        <stp>BDH|13658163433333749825</stp>
        <tr r="Y25" s="18"/>
      </tp>
      <tp t="e">
        <v>#N/A</v>
        <stp/>
        <stp>BDH|13190597187576119270</stp>
        <tr r="J49" s="18"/>
      </tp>
      <tp t="e">
        <v>#N/A</v>
        <stp/>
        <stp>BDH|12633944308936131727</stp>
        <tr r="Z65" s="24"/>
      </tp>
      <tp t="e">
        <v>#N/A</v>
        <stp/>
        <stp>BDH|13833032080800104130</stp>
        <tr r="L63" s="12"/>
      </tp>
      <tp t="e">
        <v>#N/A</v>
        <stp/>
        <stp>BDH|16089801151940086180</stp>
        <tr r="V119" s="18"/>
      </tp>
      <tp t="e">
        <v>#N/A</v>
        <stp/>
        <stp>BDH|15558729132168473385</stp>
        <tr r="W54" s="17"/>
      </tp>
      <tp t="e">
        <v>#N/A</v>
        <stp/>
        <stp>BDH|11535459970348146082</stp>
        <tr r="T79" s="12"/>
      </tp>
      <tp t="e">
        <v>#N/A</v>
        <stp/>
        <stp>BDH|14880281970673117881</stp>
        <tr r="U14" s="14"/>
      </tp>
      <tp t="e">
        <v>#N/A</v>
        <stp/>
        <stp>BDH|17424388941812749839</stp>
        <tr r="D30" s="12"/>
      </tp>
      <tp t="e">
        <v>#N/A</v>
        <stp/>
        <stp>BDH|13050693387786362149</stp>
        <tr r="Z64" s="17"/>
      </tp>
      <tp t="e">
        <v>#N/A</v>
        <stp/>
        <stp>BDH|18113781042525198432</stp>
        <tr r="O46" s="24"/>
      </tp>
      <tp t="e">
        <v>#N/A</v>
        <stp/>
        <stp>BDH|16833660577625031808</stp>
        <tr r="Z60" s="21"/>
      </tp>
      <tp t="e">
        <v>#N/A</v>
        <stp/>
        <stp>BDH|15997557129861807948</stp>
        <tr r="M143" s="18"/>
      </tp>
      <tp t="e">
        <v>#N/A</v>
        <stp/>
        <stp>BDH|14999484815409874253</stp>
        <tr r="Z16" s="12"/>
      </tp>
      <tp t="e">
        <v>#N/A</v>
        <stp/>
        <stp>BDH|17806569187508911890</stp>
        <tr r="K10" s="21"/>
      </tp>
      <tp t="e">
        <v>#N/A</v>
        <stp/>
        <stp>BDH|16994275935674735955</stp>
        <tr r="U17" s="18"/>
      </tp>
      <tp t="e">
        <v>#N/A</v>
        <stp/>
        <stp>BDH|12265142870177807976</stp>
        <tr r="X107" s="18"/>
      </tp>
      <tp t="e">
        <v>#N/A</v>
        <stp/>
        <stp>BDH|16744742928449162037</stp>
        <tr r="R31" s="11"/>
        <tr r="R39" s="10"/>
      </tp>
      <tp t="e">
        <v>#N/A</v>
        <stp/>
        <stp>BDH|13454104288677542700</stp>
        <tr r="F18" s="14"/>
      </tp>
      <tp t="e">
        <v>#N/A</v>
        <stp/>
        <stp>BDH|13239583532968388722</stp>
        <tr r="D17" s="24"/>
      </tp>
      <tp t="e">
        <v>#N/A</v>
        <stp/>
        <stp>BDH|10956687139857589840</stp>
        <tr r="F11" s="12"/>
      </tp>
      <tp t="e">
        <v>#N/A</v>
        <stp/>
        <stp>BDH|18244912514653707992</stp>
        <tr r="S17" s="20"/>
      </tp>
      <tp t="e">
        <v>#N/A</v>
        <stp/>
        <stp>BDH|10577654400698137487</stp>
        <tr r="V51" s="34"/>
      </tp>
      <tp t="e">
        <v>#N/A</v>
        <stp/>
        <stp>BDH|10854105197653065161</stp>
        <tr r="N163" s="18"/>
      </tp>
      <tp t="e">
        <v>#N/A</v>
        <stp/>
        <stp>BDH|14831246513119111475</stp>
        <tr r="O35" s="26"/>
      </tp>
      <tp t="e">
        <v>#N/A</v>
        <stp/>
        <stp>BDH|13261684156668732220</stp>
        <tr r="G35" s="29"/>
        <tr r="G15" s="29"/>
      </tp>
      <tp t="e">
        <v>#N/A</v>
        <stp/>
        <stp>BDH|15243969677360394190</stp>
        <tr r="J111" s="12"/>
      </tp>
      <tp t="e">
        <v>#N/A</v>
        <stp/>
        <stp>BDH|13264080600800004939</stp>
        <tr r="L61" s="11"/>
        <tr r="L20" s="7"/>
        <tr r="L69" s="10"/>
      </tp>
      <tp t="e">
        <v>#N/A</v>
        <stp/>
        <stp>BDH|12800151167608155724</stp>
        <tr r="L51" s="18"/>
      </tp>
      <tp t="e">
        <v>#N/A</v>
        <stp/>
        <stp>BDH|17699201355823356990</stp>
        <tr r="N31" s="6"/>
      </tp>
      <tp t="e">
        <v>#N/A</v>
        <stp/>
        <stp>BDH|11119684691327356326</stp>
        <tr r="P18" s="18"/>
      </tp>
      <tp t="e">
        <v>#N/A</v>
        <stp/>
        <stp>BDH|10229892258122803525</stp>
        <tr r="O31" s="24"/>
      </tp>
      <tp t="e">
        <v>#N/A</v>
        <stp/>
        <stp>BDH|10003851519482019150</stp>
        <tr r="W18" s="20"/>
      </tp>
      <tp t="e">
        <v>#N/A</v>
        <stp/>
        <stp>BDH|14992957377081570163</stp>
        <tr r="V10" s="34"/>
      </tp>
      <tp t="e">
        <v>#N/A</v>
        <stp/>
        <stp>BDH|10290057320338637097</stp>
        <tr r="Y69" s="24"/>
      </tp>
      <tp t="e">
        <v>#N/A</v>
        <stp/>
        <stp>BDH|11218837287858705396</stp>
        <tr r="E48" s="13"/>
      </tp>
      <tp t="e">
        <v>#N/A</v>
        <stp/>
        <stp>BDH|11384900506662554083</stp>
        <tr r="T16" s="27"/>
        <tr r="T30" s="25"/>
      </tp>
      <tp t="e">
        <v>#N/A</v>
        <stp/>
        <stp>BDH|13927704953158095323</stp>
        <tr r="G35" s="13"/>
        <tr r="E31" s="10"/>
      </tp>
      <tp t="e">
        <v>#N/A</v>
        <stp/>
        <stp>BDH|10191411790125133297</stp>
        <tr r="D41" s="11"/>
        <tr r="D8" s="7"/>
        <tr r="D49" s="10"/>
        <tr r="F11" s="3"/>
      </tp>
      <tp t="e">
        <v>#N/A</v>
        <stp/>
        <stp>BDH|14743372628559596657</stp>
        <tr r="D30" s="11"/>
        <tr r="D38" s="10"/>
      </tp>
      <tp t="e">
        <v>#N/A</v>
        <stp/>
        <stp>BDH|17438251859789010308</stp>
        <tr r="G7" s="28"/>
      </tp>
      <tp t="e">
        <v>#N/A</v>
        <stp/>
        <stp>BDH|14952878668526922676</stp>
        <tr r="T26" s="24"/>
      </tp>
      <tp t="e">
        <v>#N/A</v>
        <stp/>
        <stp>BDH|15690939849872459001</stp>
        <tr r="S59" s="34"/>
      </tp>
      <tp t="e">
        <v>#N/A</v>
        <stp/>
        <stp>BDH|14668301382181991453</stp>
        <tr r="G38" s="11"/>
        <tr r="G46" s="10"/>
      </tp>
      <tp t="e">
        <v>#N/A</v>
        <stp/>
        <stp>BDH|14681339320117422891</stp>
        <tr r="J67" s="10"/>
      </tp>
      <tp t="e">
        <v>#N/A</v>
        <stp/>
        <stp>BDH|16742413696405126492</stp>
        <tr r="J47" s="34"/>
      </tp>
      <tp t="e">
        <v>#N/A</v>
        <stp/>
        <stp>BDH|13917164493346737734</stp>
        <tr r="O37" s="18"/>
      </tp>
      <tp t="e">
        <v>#N/A</v>
        <stp/>
        <stp>BDH|13641761528034424846</stp>
        <tr r="U33" s="6"/>
        <tr r="U17" s="5"/>
      </tp>
      <tp t="e">
        <v>#N/A</v>
        <stp/>
        <stp>BDH|12885874814268585966</stp>
        <tr r="R6" s="28"/>
      </tp>
      <tp t="e">
        <v>#N/A</v>
        <stp/>
        <stp>BDH|18354711848288074921</stp>
        <tr r="C61" s="13"/>
      </tp>
      <tp t="e">
        <v>#N/A</v>
        <stp/>
        <stp>BDH|16396489875087606807</stp>
        <tr r="V55" s="17"/>
      </tp>
      <tp t="e">
        <v>#N/A</v>
        <stp/>
        <stp>BDH|15281419599072401066</stp>
        <tr r="AA18" s="23"/>
      </tp>
      <tp t="e">
        <v>#N/A</v>
        <stp/>
        <stp>BDH|17668097349338711196</stp>
        <tr r="R16" s="26"/>
      </tp>
      <tp t="e">
        <v>#N/A</v>
        <stp/>
        <stp>BDH|16216299963958850081</stp>
        <tr r="C49" s="34"/>
      </tp>
      <tp t="e">
        <v>#N/A</v>
        <stp/>
        <stp>BDH|10843056752116541922</stp>
        <tr r="H43" s="18"/>
      </tp>
      <tp t="e">
        <v>#N/A</v>
        <stp/>
        <stp>BDH|14662865068647622762</stp>
        <tr r="D59" s="12"/>
      </tp>
      <tp t="e">
        <v>#N/A</v>
        <stp/>
        <stp>BDH|15020757924489805314</stp>
        <tr r="T19" s="18"/>
      </tp>
      <tp t="e">
        <v>#N/A</v>
        <stp/>
        <stp>BDH|13391391344428781611</stp>
        <tr r="AA33" s="18"/>
      </tp>
      <tp t="e">
        <v>#N/A</v>
        <stp/>
        <stp>BDH|11849452045503619866</stp>
        <tr r="M86" s="12"/>
      </tp>
      <tp t="e">
        <v>#N/A</v>
        <stp/>
        <stp>BDH|18116544672029671996</stp>
        <tr r="X16" s="22"/>
      </tp>
      <tp t="e">
        <v>#N/A</v>
        <stp/>
        <stp>BDH|11601988612633079072</stp>
        <tr r="T18" s="29"/>
        <tr r="T38" s="29"/>
      </tp>
      <tp t="e">
        <v>#N/A</v>
        <stp/>
        <stp>BDH|13948158047685786979</stp>
        <tr r="M43" s="17"/>
        <tr r="M9" s="25"/>
      </tp>
      <tp t="e">
        <v>#N/A</v>
        <stp/>
        <stp>BDH|12303337898751697353</stp>
        <tr r="Q9" s="10"/>
      </tp>
      <tp t="e">
        <v>#N/A</v>
        <stp/>
        <stp>BDH|12387204579209439457</stp>
        <tr r="Y22" s="12"/>
      </tp>
      <tp t="e">
        <v>#N/A</v>
        <stp/>
        <stp>BDH|15384338371788955338</stp>
        <tr r="N85" s="17"/>
      </tp>
      <tp t="e">
        <v>#N/A</v>
        <stp/>
        <stp>BDH|15000387748809352180</stp>
        <tr r="S37" s="12"/>
      </tp>
      <tp t="e">
        <v>#N/A</v>
        <stp/>
        <stp>BDH|14402594311052194865</stp>
        <tr r="X46" s="11"/>
        <tr r="X54" s="10"/>
        <tr r="X7" s="7"/>
        <tr r="Z12" s="3"/>
      </tp>
      <tp t="e">
        <v>#N/A</v>
        <stp/>
        <stp>BDH|17801343056883139800</stp>
        <tr r="G109" s="12"/>
      </tp>
      <tp t="e">
        <v>#N/A</v>
        <stp/>
        <stp>BDH|13674635031308882476</stp>
        <tr r="AA53" s="18"/>
      </tp>
      <tp t="e">
        <v>#N/A</v>
        <stp/>
        <stp>BDH|15056398695150498538</stp>
        <tr r="R174" s="18"/>
      </tp>
      <tp t="e">
        <v>#N/A</v>
        <stp/>
        <stp>BDH|10441261595120919159</stp>
        <tr r="R20" s="6"/>
      </tp>
      <tp t="e">
        <v>#N/A</v>
        <stp/>
        <stp>BDH|11218349420979551388</stp>
        <tr r="V22" s="21"/>
      </tp>
      <tp t="e">
        <v>#N/A</v>
        <stp/>
        <stp>BDH|13834976136926215501</stp>
        <tr r="Z55" s="24"/>
      </tp>
      <tp t="e">
        <v>#N/A</v>
        <stp/>
        <stp>BDH|10741552948232055912</stp>
        <tr r="C34" s="11"/>
        <tr r="C42" s="10"/>
      </tp>
      <tp t="e">
        <v>#N/A</v>
        <stp/>
        <stp>BDH|15149356084077365387</stp>
        <tr r="C150" s="18"/>
      </tp>
      <tp t="e">
        <v>#N/A</v>
        <stp/>
        <stp>BDH|15874007783312169516</stp>
        <tr r="S33" s="18"/>
      </tp>
      <tp t="e">
        <v>#N/A</v>
        <stp/>
        <stp>BDH|10367310538533340925</stp>
        <tr r="E95" s="18"/>
      </tp>
      <tp t="e">
        <v>#N/A</v>
        <stp/>
        <stp>BDH|10050704082174109181</stp>
        <tr r="AA62" s="18"/>
      </tp>
      <tp t="e">
        <v>#N/A</v>
        <stp/>
        <stp>BDH|10298388761839989696</stp>
        <tr r="P62" s="13"/>
        <tr r="N49" s="11"/>
        <tr r="N57" s="10"/>
        <tr r="N19" s="7"/>
        <tr r="N18" s="4"/>
        <tr r="N20" s="2"/>
      </tp>
      <tp t="e">
        <v>#N/A</v>
        <stp/>
        <stp>BDH|13264634193591178787</stp>
        <tr r="G26" s="26"/>
      </tp>
      <tp t="e">
        <v>#N/A</v>
        <stp/>
        <stp>BDH|17726792216622606951</stp>
        <tr r="X41" s="34"/>
      </tp>
      <tp t="e">
        <v>#N/A</v>
        <stp/>
        <stp>BDH|15126985137144071156</stp>
        <tr r="V22" s="17"/>
      </tp>
      <tp t="e">
        <v>#N/A</v>
        <stp/>
        <stp>BDH|18427502029095146072</stp>
        <tr r="P66" s="12"/>
      </tp>
      <tp t="e">
        <v>#N/A</v>
        <stp/>
        <stp>BDH|12080479223406872874</stp>
        <tr r="W14" s="21"/>
      </tp>
      <tp t="e">
        <v>#N/A</v>
        <stp/>
        <stp>BDH|13033093584533748214</stp>
        <tr r="H42" s="13"/>
      </tp>
      <tp t="e">
        <v>#N/A</v>
        <stp/>
        <stp>BDH|13438303186564978607</stp>
        <tr r="I11" s="11"/>
      </tp>
      <tp t="e">
        <v>#N/A</v>
        <stp/>
        <stp>BDH|11033941938370661113</stp>
        <tr r="K21" s="20"/>
      </tp>
      <tp t="e">
        <v>#N/A</v>
        <stp/>
        <stp>BDH|11855142362825538908</stp>
        <tr r="D25" s="27"/>
      </tp>
      <tp t="e">
        <v>#N/A</v>
        <stp/>
        <stp>BDH|11359010219748867280</stp>
        <tr r="G32" s="11"/>
        <tr r="G40" s="10"/>
      </tp>
      <tp t="e">
        <v>#N/A</v>
        <stp/>
        <stp>BDH|14288085894693761429</stp>
        <tr r="O23" s="10"/>
      </tp>
      <tp t="e">
        <v>#N/A</v>
        <stp/>
        <stp>BDH|17333441379416237871</stp>
        <tr r="L6" s="6"/>
      </tp>
      <tp t="e">
        <v>#N/A</v>
        <stp/>
        <stp>BDH|16202153983874905170</stp>
        <tr r="S28" s="25"/>
        <tr r="S14" s="27"/>
      </tp>
      <tp t="e">
        <v>#N/A</v>
        <stp/>
        <stp>BDH|18349878658157342852</stp>
        <tr r="C39" s="29"/>
        <tr r="C31" s="29"/>
        <tr r="C10" s="2"/>
      </tp>
      <tp t="e">
        <v>#N/A</v>
        <stp/>
        <stp>BDH|14112188799710250680</stp>
        <tr r="Q41" s="21"/>
      </tp>
      <tp t="e">
        <v>#N/A</v>
        <stp/>
        <stp>BDH|15896667786445671446</stp>
        <tr r="U32" s="17"/>
      </tp>
      <tp t="e">
        <v>#N/A</v>
        <stp/>
        <stp>BDH|11243100088587938598</stp>
        <tr r="G72" s="12"/>
      </tp>
      <tp t="e">
        <v>#N/A</v>
        <stp/>
        <stp>BDH|18440608946564930413</stp>
        <tr r="K18" s="20"/>
      </tp>
      <tp t="e">
        <v>#N/A</v>
        <stp/>
        <stp>BDH|13074491681896675340</stp>
        <tr r="J30" s="12"/>
      </tp>
      <tp t="e">
        <v>#N/A</v>
        <stp/>
        <stp>BDH|12301998933030740245</stp>
        <tr r="U61" s="21"/>
        <tr r="S25" s="2"/>
      </tp>
      <tp t="e">
        <v>#N/A</v>
        <stp/>
        <stp>BDH|13403225535840039897</stp>
        <tr r="E49" s="12"/>
      </tp>
      <tp t="e">
        <v>#N/A</v>
        <stp/>
        <stp>BDH|14441509799755669715</stp>
        <tr r="K39" s="25"/>
        <tr r="K22" s="13"/>
        <tr r="K7" s="13"/>
        <tr r="I18" s="11"/>
        <tr r="K7" s="3"/>
      </tp>
      <tp t="e">
        <v>#N/A</v>
        <stp/>
        <stp>BDH|14433466924541989951</stp>
        <tr r="E10" s="12"/>
      </tp>
      <tp t="e">
        <v>#N/A</v>
        <stp/>
        <stp>BDH|12453869593021969822</stp>
        <tr r="L174" s="18"/>
      </tp>
      <tp t="e">
        <v>#N/A</v>
        <stp/>
        <stp>BDH|12245319486527683498</stp>
        <tr r="K132" s="18"/>
      </tp>
      <tp t="e">
        <v>#N/A</v>
        <stp/>
        <stp>BDH|14744684926572599864</stp>
        <tr r="Z143" s="18"/>
      </tp>
      <tp t="e">
        <v>#N/A</v>
        <stp/>
        <stp>BDH|10782593585244934385</stp>
        <tr r="T31" s="29"/>
        <tr r="T39" s="29"/>
        <tr r="S52" s="6"/>
        <tr r="S11" s="5"/>
        <tr r="T10" s="2"/>
      </tp>
      <tp t="e">
        <v>#N/A</v>
        <stp/>
        <stp>BDH|15001064831804867854</stp>
        <tr r="X30" s="12"/>
      </tp>
      <tp t="e">
        <v>#N/A</v>
        <stp/>
        <stp>BDH|11009761105665807919</stp>
        <tr r="X16" s="26"/>
      </tp>
      <tp t="e">
        <v>#N/A</v>
        <stp/>
        <stp>BDH|18130322018931544142</stp>
        <tr r="P26" s="18"/>
      </tp>
      <tp t="e">
        <v>#N/A</v>
        <stp/>
        <stp>BDH|15059422745889430692</stp>
        <tr r="D96" s="18"/>
      </tp>
      <tp t="e">
        <v>#N/A</v>
        <stp/>
        <stp>BDH|15156919555975735688</stp>
        <tr r="Q47" s="24"/>
      </tp>
      <tp t="e">
        <v>#N/A</v>
        <stp/>
        <stp>BDH|11185565136109207491</stp>
        <tr r="V68" s="34"/>
      </tp>
      <tp t="e">
        <v>#N/A</v>
        <stp/>
        <stp>BDH|12538046550585989824</stp>
        <tr r="Q82" s="18"/>
      </tp>
      <tp t="e">
        <v>#N/A</v>
        <stp/>
        <stp>BDH|17822216976969323163</stp>
        <tr r="Q11" s="24"/>
      </tp>
      <tp t="e">
        <v>#N/A</v>
        <stp/>
        <stp>BDH|15632054512017334988</stp>
        <tr r="T20" s="6"/>
      </tp>
      <tp t="e">
        <v>#N/A</v>
        <stp/>
        <stp>BDH|10275779039008299644</stp>
        <tr r="X70" s="18"/>
      </tp>
      <tp t="e">
        <v>#N/A</v>
        <stp/>
        <stp>BDH|11508746345271960971</stp>
        <tr r="X16" s="13"/>
        <tr r="X26" s="13"/>
        <tr r="V18" s="10"/>
      </tp>
      <tp t="e">
        <v>#N/A</v>
        <stp/>
        <stp>BDH|17043941650785924473</stp>
        <tr r="AA8" s="22"/>
      </tp>
      <tp t="e">
        <v>#N/A</v>
        <stp/>
        <stp>BDH|17239285061348947183</stp>
        <tr r="K8" s="13"/>
      </tp>
      <tp t="e">
        <v>#N/A</v>
        <stp/>
        <stp>BDH|14974321205349066441</stp>
        <tr r="V79" s="18"/>
      </tp>
      <tp t="e">
        <v>#N/A</v>
        <stp/>
        <stp>BDH|15646029202199994655</stp>
        <tr r="V41" s="24"/>
      </tp>
      <tp t="e">
        <v>#N/A</v>
        <stp/>
        <stp>BDH|10770397916550669843</stp>
        <tr r="V8" s="10"/>
      </tp>
      <tp t="e">
        <v>#N/A</v>
        <stp/>
        <stp>BDH|10450582264151611847</stp>
        <tr r="M20" s="24"/>
      </tp>
      <tp t="e">
        <v>#N/A</v>
        <stp/>
        <stp>BDH|13908830694000361871</stp>
        <tr r="T75" s="24"/>
      </tp>
      <tp t="e">
        <v>#N/A</v>
        <stp/>
        <stp>BDH|17837941603980489414</stp>
        <tr r="L13" s="22"/>
      </tp>
      <tp t="e">
        <v>#N/A</v>
        <stp/>
        <stp>BDH|16092490711429194033</stp>
        <tr r="E51" s="10"/>
        <tr r="E43" s="11"/>
        <tr r="E15" s="7"/>
      </tp>
      <tp t="e">
        <v>#N/A</v>
        <stp/>
        <stp>BDH|15801652036413347924</stp>
        <tr r="M19" s="9"/>
      </tp>
      <tp t="e">
        <v>#N/A</v>
        <stp/>
        <stp>BDH|13340043039409126357</stp>
        <tr r="Y111" s="12"/>
      </tp>
      <tp t="e">
        <v>#N/A</v>
        <stp/>
        <stp>BDH|16155390786697079041</stp>
        <tr r="D39" s="12"/>
      </tp>
      <tp t="e">
        <v>#N/A</v>
        <stp/>
        <stp>BDH|10932539955812057853</stp>
        <tr r="R105" s="12"/>
      </tp>
      <tp t="e">
        <v>#N/A</v>
        <stp/>
        <stp>BDH|11264845844367010085</stp>
        <tr r="L100" s="12"/>
      </tp>
      <tp t="e">
        <v>#N/A</v>
        <stp/>
        <stp>BDH|13321855609341074028</stp>
        <tr r="U13" s="22"/>
      </tp>
      <tp t="e">
        <v>#N/A</v>
        <stp/>
        <stp>BDH|18337473206275603399</stp>
        <tr r="M7" s="9"/>
        <tr r="M7" s="5"/>
        <tr r="N7" s="2"/>
        <tr r="P14" s="3"/>
      </tp>
      <tp t="e">
        <v>#N/A</v>
        <stp/>
        <stp>BDH|18076474825325696193</stp>
        <tr r="M65" s="24"/>
      </tp>
      <tp t="e">
        <v>#N/A</v>
        <stp/>
        <stp>BDH|12353238087311243380</stp>
        <tr r="O16" s="20"/>
      </tp>
      <tp t="e">
        <v>#N/A</v>
        <stp/>
        <stp>BDH|16300807220964817265</stp>
        <tr r="L90" s="12"/>
      </tp>
      <tp t="e">
        <v>#N/A</v>
        <stp/>
        <stp>BDH|15479338718675127832</stp>
        <tr r="Y58" s="18"/>
      </tp>
      <tp t="e">
        <v>#N/A</v>
        <stp/>
        <stp>BDH|14822674581817013736</stp>
        <tr r="C73" s="18"/>
      </tp>
      <tp t="e">
        <v>#N/A</v>
        <stp/>
        <stp>BDH|14887877142667166516</stp>
        <tr r="H21" s="3"/>
      </tp>
      <tp t="e">
        <v>#N/A</v>
        <stp/>
        <stp>BDH|17707668454078922613</stp>
        <tr r="J22" s="4"/>
      </tp>
      <tp t="e">
        <v>#N/A</v>
        <stp/>
        <stp>BDH|13159830018616328648</stp>
        <tr r="L25" s="17"/>
      </tp>
      <tp t="e">
        <v>#N/A</v>
        <stp/>
        <stp>BDH|12604625692094952328</stp>
        <tr r="M23" s="13"/>
      </tp>
      <tp t="e">
        <v>#N/A</v>
        <stp/>
        <stp>BDH|12183395293084732616</stp>
        <tr r="Q39" s="11"/>
        <tr r="Q27" s="11"/>
        <tr r="Q47" s="10"/>
        <tr r="Q35" s="10"/>
      </tp>
      <tp t="e">
        <v>#N/A</v>
        <stp/>
        <stp>BDH|12744513378043289910</stp>
        <tr r="P22" s="20"/>
      </tp>
      <tp t="e">
        <v>#N/A</v>
        <stp/>
        <stp>BDH|16850497378246685927</stp>
        <tr r="AA8" s="12"/>
      </tp>
      <tp t="e">
        <v>#N/A</v>
        <stp/>
        <stp>BDH|16836133437807828994</stp>
        <tr r="S30" s="17"/>
      </tp>
      <tp t="e">
        <v>#N/A</v>
        <stp/>
        <stp>BDH|14149555790913910104</stp>
        <tr r="S25" s="34"/>
      </tp>
      <tp t="e">
        <v>#N/A</v>
        <stp/>
        <stp>BDH|17185688420668238168</stp>
        <tr r="Q11" s="13"/>
      </tp>
      <tp t="e">
        <v>#N/A</v>
        <stp/>
        <stp>BDH|11483967890999888273</stp>
        <tr r="T18" s="18"/>
      </tp>
      <tp t="e">
        <v>#N/A</v>
        <stp/>
        <stp>BDH|14957003793763687414</stp>
        <tr r="Y48" s="12"/>
      </tp>
      <tp t="e">
        <v>#N/A</v>
        <stp/>
        <stp>BDH|17156784366399069528</stp>
        <tr r="N11" s="29"/>
      </tp>
      <tp t="e">
        <v>#N/A</v>
        <stp/>
        <stp>BDH|14925318648218862152</stp>
        <tr r="G147" s="18"/>
      </tp>
      <tp t="e">
        <v>#N/A</v>
        <stp/>
        <stp>BDH|10827096561065459992</stp>
        <tr r="J72" s="18"/>
      </tp>
      <tp t="e">
        <v>#N/A</v>
        <stp/>
        <stp>BDH|17869649980541684271</stp>
        <tr r="E45" s="18"/>
      </tp>
      <tp t="e">
        <v>#N/A</v>
        <stp/>
        <stp>BDH|16017292145689806394</stp>
        <tr r="S13" s="25"/>
      </tp>
      <tp t="e">
        <v>#N/A</v>
        <stp/>
        <stp>BDH|13883784194746822118</stp>
        <tr r="Y21" s="10"/>
      </tp>
      <tp t="e">
        <v>#N/A</v>
        <stp/>
        <stp>BDH|11119863375915681193</stp>
        <tr r="K36" s="34"/>
      </tp>
      <tp t="e">
        <v>#N/A</v>
        <stp/>
        <stp>BDH|10221437215939190685</stp>
        <tr r="N144" s="18"/>
      </tp>
      <tp t="e">
        <v>#N/A</v>
        <stp/>
        <stp>BDH|13121982948673861747</stp>
        <tr r="N15" s="12"/>
      </tp>
      <tp t="e">
        <v>#N/A</v>
        <stp/>
        <stp>BDH|12202086097712336335</stp>
        <tr r="R46" s="22"/>
      </tp>
      <tp t="e">
        <v>#N/A</v>
        <stp/>
        <stp>BDH|13814045180434553542</stp>
        <tr r="D31" s="13"/>
      </tp>
      <tp t="e">
        <v>#N/A</v>
        <stp/>
        <stp>BDH|11830864314733014176</stp>
        <tr r="V93" s="17"/>
        <tr r="V13" s="28"/>
      </tp>
      <tp t="e">
        <v>#N/A</v>
        <stp/>
        <stp>BDH|17579003430029842705</stp>
        <tr r="L93" s="17"/>
        <tr r="L13" s="28"/>
      </tp>
      <tp t="e">
        <v>#N/A</v>
        <stp/>
        <stp>BDH|10975511131258284469</stp>
        <tr r="G20" s="22"/>
      </tp>
      <tp t="e">
        <v>#N/A</v>
        <stp/>
        <stp>BDH|14880628599536771797</stp>
        <tr r="J17" s="14"/>
      </tp>
      <tp t="e">
        <v>#N/A</v>
        <stp/>
        <stp>BDH|12476863676656146183</stp>
        <tr r="R21" s="9"/>
        <tr r="R21" s="5"/>
      </tp>
      <tp t="e">
        <v>#N/A</v>
        <stp/>
        <stp>BDH|16505460325029359381</stp>
        <tr r="D21" s="4"/>
      </tp>
      <tp t="e">
        <v>#N/A</v>
        <stp/>
        <stp>BDH|13216493390453541736</stp>
        <tr r="C7" s="14"/>
      </tp>
      <tp t="e">
        <v>#N/A</v>
        <stp/>
        <stp>BDH|18115570119974263215</stp>
        <tr r="F30" s="13"/>
        <tr r="D26" s="10"/>
      </tp>
      <tp t="e">
        <v>#N/A</v>
        <stp/>
        <stp>BDH|10504187417468519238</stp>
        <tr r="D38" s="11"/>
        <tr r="D46" s="10"/>
      </tp>
      <tp t="e">
        <v>#N/A</v>
        <stp/>
        <stp>BDH|15835403885103687073</stp>
        <tr r="K12" s="25"/>
      </tp>
      <tp t="e">
        <v>#N/A</v>
        <stp/>
        <stp>BDH|16991228316956257937</stp>
        <tr r="E21" s="22"/>
      </tp>
      <tp t="e">
        <v>#N/A</v>
        <stp/>
        <stp>BDH|17688977088188173443</stp>
        <tr r="H62" s="18"/>
      </tp>
      <tp t="e">
        <v>#N/A</v>
        <stp/>
        <stp>BDH|12083464204105604984</stp>
        <tr r="Q8" s="27"/>
      </tp>
      <tp t="e">
        <v>#N/A</v>
        <stp/>
        <stp>BDH|17185634203382454992</stp>
        <tr r="G11" s="28"/>
      </tp>
      <tp t="e">
        <v>#N/A</v>
        <stp/>
        <stp>BDH|10493836028112447272</stp>
        <tr r="N24" s="13"/>
      </tp>
      <tp t="e">
        <v>#N/A</v>
        <stp/>
        <stp>BDH|14867935984888420771</stp>
        <tr r="G8" s="17"/>
      </tp>
      <tp t="e">
        <v>#N/A</v>
        <stp/>
        <stp>BDH|12234302899264229659</stp>
        <tr r="F12" s="17"/>
      </tp>
      <tp t="e">
        <v>#N/A</v>
        <stp/>
        <stp>BDH|13483020214669934172</stp>
        <tr r="K30" s="22"/>
      </tp>
      <tp t="e">
        <v>#N/A</v>
        <stp/>
        <stp>BDH|16986521912868197045</stp>
        <tr r="J70" s="17"/>
      </tp>
      <tp t="e">
        <v>#N/A</v>
        <stp/>
        <stp>BDH|17521942250922544381</stp>
        <tr r="X35" s="22"/>
      </tp>
      <tp t="e">
        <v>#N/A</v>
        <stp/>
        <stp>BDH|12552073463726990844</stp>
        <tr r="Q18" s="17"/>
      </tp>
      <tp t="e">
        <v>#N/A</v>
        <stp/>
        <stp>BDH|14996535375014555865</stp>
        <tr r="K39" s="29"/>
        <tr r="K31" s="29"/>
        <tr r="J52" s="6"/>
        <tr r="J11" s="5"/>
        <tr r="K10" s="2"/>
      </tp>
      <tp t="e">
        <v>#N/A</v>
        <stp/>
        <stp>BDH|10898065168939837525</stp>
        <tr r="K55" s="11"/>
      </tp>
      <tp t="e">
        <v>#N/A</v>
        <stp/>
        <stp>BDH|11284577455462901958</stp>
        <tr r="O40" s="34"/>
      </tp>
      <tp t="e">
        <v>#N/A</v>
        <stp/>
        <stp>BDH|17377935249149641934</stp>
        <tr r="G33" s="13"/>
        <tr r="E29" s="10"/>
      </tp>
      <tp t="e">
        <v>#N/A</v>
        <stp/>
        <stp>BDH|10748145785396807520</stp>
        <tr r="M65" s="17"/>
      </tp>
      <tp t="e">
        <v>#N/A</v>
        <stp/>
        <stp>BDH|13761065286140928121</stp>
        <tr r="U29" s="4"/>
      </tp>
      <tp t="e">
        <v>#N/A</v>
        <stp/>
        <stp>BDH|12175855570002955516</stp>
        <tr r="Y64" s="12"/>
      </tp>
      <tp t="e">
        <v>#N/A</v>
        <stp/>
        <stp>BDH|10440995034677566700</stp>
        <tr r="AA29" s="24"/>
      </tp>
      <tp t="e">
        <v>#N/A</v>
        <stp/>
        <stp>BDH|18314032939410519106</stp>
        <tr r="R19" s="17"/>
      </tp>
      <tp t="e">
        <v>#N/A</v>
        <stp/>
        <stp>BDH|14014947747403847071</stp>
        <tr r="U97" s="12"/>
      </tp>
      <tp t="e">
        <v>#N/A</v>
        <stp/>
        <stp>BDH|11808812990028708227</stp>
        <tr r="R25" s="10"/>
      </tp>
      <tp t="e">
        <v>#N/A</v>
        <stp/>
        <stp>BDH|15098940135843555680</stp>
        <tr r="N20" s="26"/>
      </tp>
      <tp t="e">
        <v>#N/A</v>
        <stp/>
        <stp>BDH|14072506964428896536</stp>
        <tr r="Y8" s="26"/>
        <tr r="V10" s="9"/>
      </tp>
      <tp t="e">
        <v>#N/A</v>
        <stp/>
        <stp>BDH|14614615714838421184</stp>
        <tr r="X62" s="13"/>
        <tr r="V49" s="11"/>
        <tr r="V57" s="10"/>
        <tr r="V20" s="2"/>
        <tr r="V19" s="7"/>
        <tr r="V18" s="4"/>
      </tp>
      <tp t="e">
        <v>#N/A</v>
        <stp/>
        <stp>BDH|10179003848566203848</stp>
        <tr r="O8" s="22"/>
      </tp>
      <tp t="e">
        <v>#N/A</v>
        <stp/>
        <stp>BDH|12950842161933302507</stp>
        <tr r="P29" s="22"/>
      </tp>
      <tp t="e">
        <v>#N/A</v>
        <stp/>
        <stp>BDH|11850862609074880707</stp>
        <tr r="U73" s="12"/>
      </tp>
      <tp t="e">
        <v>#N/A</v>
        <stp/>
        <stp>BDH|15430182030989057432</stp>
        <tr r="X28" s="26"/>
      </tp>
      <tp t="e">
        <v>#N/A</v>
        <stp/>
        <stp>BDH|18292855380887922519</stp>
        <tr r="E142" s="18"/>
      </tp>
      <tp t="e">
        <v>#N/A</v>
        <stp/>
        <stp>BDH|13877826956514390000</stp>
        <tr r="H30" s="22"/>
      </tp>
      <tp t="e">
        <v>#N/A</v>
        <stp/>
        <stp>BDH|17681125281164862026</stp>
        <tr r="G15" s="4"/>
      </tp>
      <tp t="e">
        <v>#N/A</v>
        <stp/>
        <stp>BDH|12910868304125361572</stp>
        <tr r="H29" s="24"/>
      </tp>
      <tp t="e">
        <v>#N/A</v>
        <stp/>
        <stp>BDH|12038197360879390657</stp>
        <tr r="AA164" s="18"/>
      </tp>
      <tp t="e">
        <v>#N/A</v>
        <stp/>
        <stp>BDH|17841562213698600142</stp>
        <tr r="M43" s="12"/>
      </tp>
      <tp t="e">
        <v>#N/A</v>
        <stp/>
        <stp>BDH|16576936981094802903</stp>
        <tr r="D38" s="24"/>
      </tp>
      <tp t="e">
        <v>#N/A</v>
        <stp/>
        <stp>BDH|14135267807924868879</stp>
        <tr r="P72" s="18"/>
      </tp>
      <tp t="e">
        <v>#N/A</v>
        <stp/>
        <stp>BDH|12084598485035122020</stp>
        <tr r="N62" s="17"/>
      </tp>
      <tp t="e">
        <v>#N/A</v>
        <stp/>
        <stp>BDH|17670339782335094386</stp>
        <tr r="O56" s="13"/>
      </tp>
      <tp t="e">
        <v>#N/A</v>
        <stp/>
        <stp>BDH|17675510048924154819</stp>
        <tr r="L80" s="18"/>
      </tp>
      <tp t="e">
        <v>#N/A</v>
        <stp/>
        <stp>BDH|11931337993091043062</stp>
        <tr r="C177" s="18"/>
      </tp>
      <tp t="e">
        <v>#N/A</v>
        <stp/>
        <stp>BDH|14484119222164179996</stp>
        <tr r="G29" s="18"/>
      </tp>
      <tp t="e">
        <v>#N/A</v>
        <stp/>
        <stp>BDH|18057247258621322407</stp>
        <tr r="L65" s="34"/>
      </tp>
      <tp t="e">
        <v>#N/A</v>
        <stp/>
        <stp>BDH|12475144099469238943</stp>
        <tr r="U41" s="6"/>
      </tp>
      <tp t="e">
        <v>#N/A</v>
        <stp/>
        <stp>BDH|11264450748098580359</stp>
        <tr r="P17" s="34"/>
      </tp>
      <tp t="e">
        <v>#N/A</v>
        <stp/>
        <stp>BDH|11954017164834383905</stp>
        <tr r="T17" s="20"/>
      </tp>
      <tp t="e">
        <v>#N/A</v>
        <stp/>
        <stp>BDH|10047884594042112926</stp>
        <tr r="P144" s="18"/>
      </tp>
      <tp t="e">
        <v>#N/A</v>
        <stp/>
        <stp>BDH|17884124641421780937</stp>
        <tr r="F122" s="18"/>
      </tp>
      <tp t="e">
        <v>#N/A</v>
        <stp/>
        <stp>BDH|12700592386253204656</stp>
        <tr r="F60" s="17"/>
      </tp>
      <tp t="e">
        <v>#N/A</v>
        <stp/>
        <stp>BDH|12556346878089659503</stp>
        <tr r="Y14" s="17"/>
        <tr r="Y17" s="28"/>
      </tp>
      <tp t="e">
        <v>#N/A</v>
        <stp/>
        <stp>BDH|15004655888488512975</stp>
        <tr r="K74" s="17"/>
      </tp>
      <tp t="e">
        <v>#N/A</v>
        <stp/>
        <stp>BDH|14107205498082577736</stp>
        <tr r="V13" s="7"/>
      </tp>
      <tp t="e">
        <v>#N/A</v>
        <stp/>
        <stp>BDH|14143282322208560616</stp>
        <tr r="R14" s="30"/>
      </tp>
      <tp t="e">
        <v>#N/A</v>
        <stp/>
        <stp>BDH|16352332944899206284</stp>
        <tr r="D154" s="18"/>
      </tp>
      <tp t="e">
        <v>#N/A</v>
        <stp/>
        <stp>BDH|10942012594654585773</stp>
        <tr r="L101" s="18"/>
      </tp>
      <tp t="e">
        <v>#N/A</v>
        <stp/>
        <stp>BDH|17978172861903118907</stp>
        <tr r="O103" s="12"/>
      </tp>
      <tp t="e">
        <v>#N/A</v>
        <stp/>
        <stp>BDH|18316700514633889716</stp>
        <tr r="K45" s="22"/>
      </tp>
      <tp t="e">
        <v>#N/A</v>
        <stp/>
        <stp>BDH|15300721368978477636</stp>
        <tr r="AA20" s="24"/>
      </tp>
      <tp t="e">
        <v>#N/A</v>
        <stp/>
        <stp>BDH|13250667855362603899</stp>
        <tr r="N139" s="18"/>
      </tp>
      <tp t="e">
        <v>#N/A</v>
        <stp/>
        <stp>BDH|12699781197770106667</stp>
        <tr r="R34" s="22"/>
      </tp>
      <tp t="e">
        <v>#N/A</v>
        <stp/>
        <stp>BDH|17581751249678234654</stp>
        <tr r="D92" s="12"/>
      </tp>
      <tp t="e">
        <v>#N/A</v>
        <stp/>
        <stp>BDH|16831625983751070379</stp>
        <tr r="K35" s="29"/>
        <tr r="K15" s="29"/>
      </tp>
      <tp t="e">
        <v>#N/A</v>
        <stp/>
        <stp>BDH|11982342395187477623</stp>
        <tr r="L53" s="6"/>
      </tp>
      <tp t="e">
        <v>#N/A</v>
        <stp/>
        <stp>BDH|11525949658037318045</stp>
        <tr r="E91" s="12"/>
      </tp>
      <tp t="e">
        <v>#N/A</v>
        <stp/>
        <stp>BDH|16795134598753123737</stp>
        <tr r="N6" s="28"/>
      </tp>
      <tp t="e">
        <v>#N/A</v>
        <stp/>
        <stp>BDH|16899117721499321657</stp>
        <tr r="R31" s="21"/>
      </tp>
      <tp t="e">
        <v>#N/A</v>
        <stp/>
        <stp>BDH|11228660880271374498</stp>
        <tr r="V24" s="2"/>
      </tp>
      <tp t="e">
        <v>#N/A</v>
        <stp/>
        <stp>BDH|13999122040795360967</stp>
        <tr r="W20" s="23"/>
      </tp>
      <tp t="e">
        <v>#N/A</v>
        <stp/>
        <stp>BDH|11992957815602273153</stp>
        <tr r="S24" s="2"/>
      </tp>
      <tp t="e">
        <v>#N/A</v>
        <stp/>
        <stp>BDH|13623209467984877979</stp>
        <tr r="V49" s="6"/>
        <tr r="X9" s="8"/>
      </tp>
      <tp t="e">
        <v>#N/A</v>
        <stp/>
        <stp>BDH|18043181756186353033</stp>
        <tr r="U35" s="6"/>
      </tp>
      <tp t="e">
        <v>#N/A</v>
        <stp/>
        <stp>BDH|14872579795322666029</stp>
        <tr r="H43" s="13"/>
      </tp>
      <tp t="e">
        <v>#N/A</v>
        <stp/>
        <stp>BDH|11507353799273358245</stp>
        <tr r="X23" s="5"/>
      </tp>
      <tp t="e">
        <v>#N/A</v>
        <stp/>
        <stp>BDH|17248857769357110410</stp>
        <tr r="Y42" s="12"/>
      </tp>
      <tp t="e">
        <v>#N/A</v>
        <stp/>
        <stp>BDH|10797050783823894178</stp>
        <tr r="V29" s="22"/>
      </tp>
      <tp t="e">
        <v>#N/A</v>
        <stp/>
        <stp>BDH|17566814653026138686</stp>
        <tr r="C14" s="20"/>
        <tr r="C115" s="18"/>
      </tp>
      <tp t="e">
        <v>#N/A</v>
        <stp/>
        <stp>BDH|17437531393255873421</stp>
        <tr r="W33" s="22"/>
      </tp>
      <tp t="e">
        <v>#N/A</v>
        <stp/>
        <stp>BDH|12140550259498637056</stp>
        <tr r="AA45" s="22"/>
      </tp>
      <tp t="e">
        <v>#N/A</v>
        <stp/>
        <stp>BDH|15514610488214647542</stp>
        <tr r="S13" s="22"/>
      </tp>
      <tp t="e">
        <v>#N/A</v>
        <stp/>
        <stp>BDH|11312850219262777061</stp>
        <tr r="Z29" s="18"/>
      </tp>
      <tp t="e">
        <v>#N/A</v>
        <stp/>
        <stp>BDH|16448813996368808550</stp>
        <tr r="J60" s="21"/>
      </tp>
      <tp t="e">
        <v>#N/A</v>
        <stp/>
        <stp>BDH|15019158974381805981</stp>
        <tr r="G55" s="13"/>
        <tr r="E48" s="11"/>
        <tr r="E56" s="10"/>
        <tr r="E18" s="7"/>
      </tp>
      <tp t="e">
        <v>#N/A</v>
        <stp/>
        <stp>BDH|17107519897559207947</stp>
        <tr r="Z14" s="13"/>
      </tp>
      <tp t="e">
        <v>#N/A</v>
        <stp/>
        <stp>BDH|16507238584283081439</stp>
        <tr r="X13" s="12"/>
      </tp>
      <tp t="e">
        <v>#N/A</v>
        <stp/>
        <stp>BDH|15163414341689272728</stp>
        <tr r="P41" s="18"/>
      </tp>
      <tp t="e">
        <v>#N/A</v>
        <stp/>
        <stp>BDH|13723818472330600732</stp>
        <tr r="T110" s="12"/>
      </tp>
      <tp t="e">
        <v>#N/A</v>
        <stp/>
        <stp>BDH|13322878800539069952</stp>
        <tr r="O34" s="34"/>
      </tp>
      <tp t="e">
        <v>#N/A</v>
        <stp/>
        <stp>BDH|13463223883956751433</stp>
        <tr r="X31" s="21"/>
      </tp>
      <tp t="e">
        <v>#N/A</v>
        <stp/>
        <stp>BDH|11061864235372191332</stp>
        <tr r="T43" s="17"/>
        <tr r="T9" s="25"/>
      </tp>
      <tp t="e">
        <v>#N/A</v>
        <stp/>
        <stp>BDH|14545885918993530511</stp>
        <tr r="R30" s="17"/>
      </tp>
      <tp t="e">
        <v>#N/A</v>
        <stp/>
        <stp>BDH|16583852032164361207</stp>
        <tr r="G44" s="6"/>
      </tp>
      <tp t="e">
        <v>#N/A</v>
        <stp/>
        <stp>BDH|17284843555466623747</stp>
        <tr r="Y36" s="12"/>
      </tp>
      <tp t="e">
        <v>#N/A</v>
        <stp/>
        <stp>BDH|15688567985810256368</stp>
        <tr r="M7" s="20"/>
        <tr r="M109" s="18"/>
      </tp>
      <tp t="e">
        <v>#N/A</v>
        <stp/>
        <stp>BDH|15676917458331824368</stp>
        <tr r="G23" s="23"/>
      </tp>
      <tp t="e">
        <v>#N/A</v>
        <stp/>
        <stp>BDH|15246718346929253469</stp>
        <tr r="Y105" s="12"/>
      </tp>
      <tp t="e">
        <v>#N/A</v>
        <stp/>
        <stp>BDH|12982587756480339950</stp>
        <tr r="S78" s="24"/>
      </tp>
      <tp t="e">
        <v>#N/A</v>
        <stp/>
        <stp>BDH|11532769587840284572</stp>
        <tr r="J76" s="12"/>
      </tp>
      <tp t="e">
        <v>#N/A</v>
        <stp/>
        <stp>BDH|15382232024169523701</stp>
        <tr r="F18" s="27"/>
        <tr r="F32" s="25"/>
      </tp>
      <tp t="e">
        <v>#N/A</v>
        <stp/>
        <stp>BDH|18409417674862591259</stp>
        <tr r="P21" s="18"/>
      </tp>
      <tp t="e">
        <v>#N/A</v>
        <stp/>
        <stp>BDH|14380743305711506963</stp>
        <tr r="X104" s="12"/>
      </tp>
      <tp t="e">
        <v>#N/A</v>
        <stp/>
        <stp>BDH|14423298248431598819</stp>
        <tr r="J97" s="18"/>
      </tp>
      <tp t="e">
        <v>#N/A</v>
        <stp/>
        <stp>BDH|18141506353915147621</stp>
        <tr r="O104" s="12"/>
      </tp>
      <tp t="e">
        <v>#N/A</v>
        <stp/>
        <stp>BDH|11141173007369616268</stp>
        <tr r="L39" s="29"/>
        <tr r="L31" s="29"/>
        <tr r="K11" s="5"/>
        <tr r="K52" s="6"/>
        <tr r="L10" s="2"/>
      </tp>
      <tp t="e">
        <v>#N/A</v>
        <stp/>
        <stp>BDH|16932290887223789414</stp>
        <tr r="G25" s="34"/>
      </tp>
      <tp t="e">
        <v>#N/A</v>
        <stp/>
        <stp>BDH|18182299333981331397</stp>
        <tr r="S23" s="25"/>
        <tr r="Q21" s="11"/>
      </tp>
      <tp t="e">
        <v>#N/A</v>
        <stp/>
        <stp>BDH|12317132126963652913</stp>
        <tr r="Z26" s="17"/>
      </tp>
      <tp t="e">
        <v>#N/A</v>
        <stp/>
        <stp>BDH|13665201480030358240</stp>
        <tr r="G84" s="17"/>
      </tp>
      <tp t="e">
        <v>#N/A</v>
        <stp/>
        <stp>BDH|10412683164142834912</stp>
        <tr r="I79" s="18"/>
      </tp>
      <tp t="e">
        <v>#N/A</v>
        <stp/>
        <stp>BDH|10048316504629102155</stp>
        <tr r="D21" s="34"/>
      </tp>
      <tp t="e">
        <v>#N/A</v>
        <stp/>
        <stp>BDH|18142895799804103618</stp>
        <tr r="N18" s="17"/>
      </tp>
      <tp t="e">
        <v>#N/A</v>
        <stp/>
        <stp>BDH|18202649317586449249</stp>
        <tr r="S90" s="12"/>
      </tp>
      <tp t="e">
        <v>#N/A</v>
        <stp/>
        <stp>BDH|12309910360951111728</stp>
        <tr r="H10" s="17"/>
      </tp>
      <tp t="e">
        <v>#N/A</v>
        <stp/>
        <stp>BDH|16401953493179329400</stp>
        <tr r="Q31" s="12"/>
      </tp>
      <tp t="e">
        <v>#N/A</v>
        <stp/>
        <stp>BDH|13756949679931273792</stp>
        <tr r="E54" s="13"/>
      </tp>
      <tp t="e">
        <v>#N/A</v>
        <stp/>
        <stp>BDH|14552704782857390750</stp>
        <tr r="Z54" s="17"/>
      </tp>
      <tp t="e">
        <v>#N/A</v>
        <stp/>
        <stp>BDH|17255704261378247501</stp>
        <tr r="R13" s="2"/>
      </tp>
      <tp t="e">
        <v>#N/A</v>
        <stp/>
        <stp>BDH|17027692148638572657</stp>
        <tr r="Z37" s="12"/>
      </tp>
      <tp t="e">
        <v>#N/A</v>
        <stp/>
        <stp>BDH|12125266782044334771</stp>
        <tr r="O58" s="12"/>
      </tp>
      <tp t="e">
        <v>#N/A</v>
        <stp/>
        <stp>BDH|12600959395830589932</stp>
        <tr r="F33" s="21"/>
      </tp>
      <tp t="e">
        <v>#N/A</v>
        <stp/>
        <stp>BDH|16134287899995330335</stp>
        <tr r="I66" s="18"/>
      </tp>
      <tp t="e">
        <v>#N/A</v>
        <stp/>
        <stp>BDH|10262132531718090101</stp>
        <tr r="L96" s="12"/>
      </tp>
      <tp t="e">
        <v>#N/A</v>
        <stp/>
        <stp>BDH|11731291542839978557</stp>
        <tr r="V49" s="18"/>
      </tp>
      <tp t="e">
        <v>#N/A</v>
        <stp/>
        <stp>BDH|12790424982043372640</stp>
        <tr r="L171" s="18"/>
      </tp>
      <tp t="e">
        <v>#N/A</v>
        <stp/>
        <stp>BDH|10744832493313283957</stp>
        <tr r="H11" s="22"/>
      </tp>
      <tp t="e">
        <v>#N/A</v>
        <stp/>
        <stp>BDH|13903854837890849331</stp>
        <tr r="J58" s="18"/>
      </tp>
      <tp t="e">
        <v>#N/A</v>
        <stp/>
        <stp>BDH|13180743594702539447</stp>
        <tr r="M78" s="12"/>
      </tp>
      <tp t="e">
        <v>#N/A</v>
        <stp/>
        <stp>BDH|11992389227908479326</stp>
        <tr r="W19" s="34"/>
      </tp>
      <tp t="e">
        <v>#N/A</v>
        <stp/>
        <stp>BDH|13924882966106196060</stp>
        <tr r="E20" s="10"/>
      </tp>
      <tp t="e">
        <v>#N/A</v>
        <stp/>
        <stp>BDH|10391710250258655146</stp>
        <tr r="W30" s="24"/>
      </tp>
      <tp t="e">
        <v>#N/A</v>
        <stp/>
        <stp>BDH|16465337477249527059</stp>
        <tr r="T62" s="34"/>
      </tp>
      <tp t="e">
        <v>#N/A</v>
        <stp/>
        <stp>BDH|10678923222305085560</stp>
        <tr r="S19" s="12"/>
      </tp>
      <tp t="e">
        <v>#N/A</v>
        <stp/>
        <stp>BDH|17010209440208256220</stp>
        <tr r="V90" s="12"/>
      </tp>
      <tp t="e">
        <v>#N/A</v>
        <stp/>
        <stp>BDH|17309424761146895881</stp>
        <tr r="D62" s="12"/>
      </tp>
      <tp t="e">
        <v>#N/A</v>
        <stp/>
        <stp>BDH|12917822658917207317</stp>
        <tr r="E9" s="22"/>
      </tp>
      <tp t="e">
        <v>#N/A</v>
        <stp/>
        <stp>BDH|13418235863899156555</stp>
        <tr r="E23" s="10"/>
      </tp>
      <tp t="e">
        <v>#N/A</v>
        <stp/>
        <stp>BDH|16891719883276880426</stp>
        <tr r="V68" s="18"/>
      </tp>
      <tp t="e">
        <v>#N/A</v>
        <stp/>
        <stp>BDH|10105176093104582703</stp>
        <tr r="L52" s="17"/>
        <tr r="L17" s="3"/>
      </tp>
      <tp t="e">
        <v>#N/A</v>
        <stp/>
        <stp>BDH|18346360027635648745</stp>
        <tr r="Q45" s="18"/>
      </tp>
      <tp t="e">
        <v>#N/A</v>
        <stp/>
        <stp>BDH|14047909071727110608</stp>
        <tr r="U26" s="11"/>
        <tr r="U34" s="10"/>
      </tp>
      <tp t="e">
        <v>#N/A</v>
        <stp/>
        <stp>BDH|16777522902020651812</stp>
        <tr r="L35" s="22"/>
      </tp>
      <tp t="e">
        <v>#N/A</v>
        <stp/>
        <stp>BDH|16707357057288443313</stp>
        <tr r="C84" s="17"/>
      </tp>
      <tp t="e">
        <v>#N/A</v>
        <stp/>
        <stp>BDH|10731653250469421164</stp>
        <tr r="T51" s="17"/>
      </tp>
      <tp t="e">
        <v>#N/A</v>
        <stp/>
        <stp>BDH|17556185660679550281</stp>
        <tr r="K11" s="9"/>
      </tp>
      <tp t="e">
        <v>#N/A</v>
        <stp/>
        <stp>BDH|11885579710246665897</stp>
        <tr r="M41" s="21"/>
      </tp>
      <tp t="e">
        <v>#N/A</v>
        <stp/>
        <stp>BDH|13096341934620788877</stp>
        <tr r="N16" s="14"/>
      </tp>
      <tp t="e">
        <v>#N/A</v>
        <stp/>
        <stp>BDH|12354821520336164500</stp>
        <tr r="AA44" s="13"/>
      </tp>
      <tp t="e">
        <v>#N/A</v>
        <stp/>
        <stp>BDH|18417464614473370557</stp>
        <tr r="V22" s="9"/>
      </tp>
      <tp t="e">
        <v>#N/A</v>
        <stp/>
        <stp>BDH|14405437595875065728</stp>
        <tr r="U49" s="21"/>
      </tp>
      <tp t="e">
        <v>#N/A</v>
        <stp/>
        <stp>BDH|17478596631378406282</stp>
        <tr r="C28" s="10"/>
        <tr r="E32" s="13"/>
      </tp>
      <tp t="e">
        <v>#N/A</v>
        <stp/>
        <stp>BDH|13389439390154747174</stp>
        <tr r="O41" s="12"/>
      </tp>
      <tp t="e">
        <v>#N/A</v>
        <stp/>
        <stp>BDH|12241286659338733642</stp>
        <tr r="J120" s="18"/>
      </tp>
      <tp t="e">
        <v>#N/A</v>
        <stp/>
        <stp>BDH|11420703396457079325</stp>
        <tr r="G98" s="18"/>
      </tp>
      <tp t="e">
        <v>#N/A</v>
        <stp/>
        <stp>BDH|17920452384138919817</stp>
        <tr r="T61" s="34"/>
      </tp>
      <tp t="e">
        <v>#N/A</v>
        <stp/>
        <stp>BDH|14022831350193762143</stp>
        <tr r="R16" s="11"/>
      </tp>
      <tp t="e">
        <v>#N/A</v>
        <stp/>
        <stp>BDH|13979426858121104827</stp>
        <tr r="E168" s="18"/>
      </tp>
      <tp t="e">
        <v>#N/A</v>
        <stp/>
        <stp>BDH|12146044949614811941</stp>
        <tr r="W48" s="21"/>
      </tp>
      <tp t="e">
        <v>#N/A</v>
        <stp/>
        <stp>BDH|12443838566761558648</stp>
        <tr r="L38" s="26"/>
      </tp>
      <tp t="e">
        <v>#N/A</v>
        <stp/>
        <stp>BDH|17344819155575494437</stp>
        <tr r="X60" s="13"/>
      </tp>
      <tp t="e">
        <v>#N/A</v>
        <stp/>
        <stp>BDH|14675946800046158032</stp>
        <tr r="E71" s="17"/>
      </tp>
      <tp t="e">
        <v>#N/A</v>
        <stp/>
        <stp>BDH|13339279478884525996</stp>
        <tr r="X29" s="21"/>
      </tp>
      <tp t="e">
        <v>#N/A</v>
        <stp/>
        <stp>BDH|11159231486115392579</stp>
        <tr r="R89" s="12"/>
      </tp>
      <tp t="e">
        <v>#N/A</v>
        <stp/>
        <stp>BDH|16708460634563600930</stp>
        <tr r="T29" s="4"/>
      </tp>
      <tp t="e">
        <v>#N/A</v>
        <stp/>
        <stp>BDH|15380679045128067413</stp>
        <tr r="N27" s="12"/>
      </tp>
      <tp t="e">
        <v>#N/A</v>
        <stp/>
        <stp>BDH|16000070068399968260</stp>
        <tr r="V48" s="34"/>
      </tp>
      <tp t="e">
        <v>#N/A</v>
        <stp/>
        <stp>BDH|12675192773459816644</stp>
        <tr r="R60" s="18"/>
      </tp>
      <tp t="e">
        <v>#N/A</v>
        <stp/>
        <stp>BDH|12722019712211368944</stp>
        <tr r="C29" s="22"/>
      </tp>
      <tp t="e">
        <v>#N/A</v>
        <stp/>
        <stp>BDH|13365531978152842839</stp>
        <tr r="I19" s="22"/>
      </tp>
      <tp t="e">
        <v>#N/A</v>
        <stp/>
        <stp>BDH|15622475368905336997</stp>
        <tr r="M6" s="20"/>
        <tr r="M108" s="18"/>
      </tp>
      <tp t="e">
        <v>#N/A</v>
        <stp/>
        <stp>BDH|10122902866896214261</stp>
        <tr r="X17" s="14"/>
      </tp>
      <tp t="e">
        <v>#N/A</v>
        <stp/>
        <stp>BDH|10927352389470645008</stp>
        <tr r="C79" s="18"/>
      </tp>
      <tp t="e">
        <v>#N/A</v>
        <stp/>
        <stp>BDH|12396866669593658497</stp>
        <tr r="U23" s="13"/>
      </tp>
      <tp t="e">
        <v>#N/A</v>
        <stp/>
        <stp>BDH|12487376891271258231</stp>
        <tr r="K52" s="21"/>
      </tp>
      <tp t="e">
        <v>#N/A</v>
        <stp/>
        <stp>BDH|13119625370331681861</stp>
        <tr r="N33" s="21"/>
      </tp>
      <tp t="e">
        <v>#N/A</v>
        <stp/>
        <stp>BDH|10613341507198189077</stp>
        <tr r="N14" s="28"/>
      </tp>
      <tp t="e">
        <v>#N/A</v>
        <stp/>
        <stp>BDH|15240490099300583342</stp>
        <tr r="G50" s="21"/>
      </tp>
      <tp t="e">
        <v>#N/A</v>
        <stp/>
        <stp>BDH|10401814227851098019</stp>
        <tr r="R12" s="12"/>
      </tp>
      <tp t="e">
        <v>#N/A</v>
        <stp/>
        <stp>BDH|11053910107107085450</stp>
        <tr r="C11" s="6"/>
      </tp>
      <tp t="e">
        <v>#N/A</v>
        <stp/>
        <stp>BDH|12370764614646321914</stp>
        <tr r="I19" s="26"/>
      </tp>
      <tp t="e">
        <v>#N/A</v>
        <stp/>
        <stp>BDH|12028277395367305524</stp>
        <tr r="E31" s="24"/>
      </tp>
      <tp t="e">
        <v>#N/A</v>
        <stp/>
        <stp>BDH|13943391877295547911</stp>
        <tr r="R103" s="18"/>
      </tp>
      <tp t="e">
        <v>#N/A</v>
        <stp/>
        <stp>BDH|14792804511510680632</stp>
        <tr r="J16" s="27"/>
        <tr r="J30" s="25"/>
      </tp>
      <tp t="e">
        <v>#N/A</v>
        <stp/>
        <stp>BDH|16179469553935348942</stp>
        <tr r="V30" s="22"/>
      </tp>
      <tp t="e">
        <v>#N/A</v>
        <stp/>
        <stp>BDH|10750316092651423036</stp>
        <tr r="J19" s="22"/>
      </tp>
      <tp t="e">
        <v>#N/A</v>
        <stp/>
        <stp>BDH|13788503807609141429</stp>
        <tr r="E19" s="23"/>
        <tr r="C59" s="11"/>
      </tp>
      <tp t="e">
        <v>#N/A</v>
        <stp/>
        <stp>BDH|14145645125362159920</stp>
        <tr r="F65" s="17"/>
      </tp>
      <tp t="e">
        <v>#N/A</v>
        <stp/>
        <stp>BDH|12231703949949099387</stp>
        <tr r="Z65" s="18"/>
      </tp>
      <tp t="e">
        <v>#N/A</v>
        <stp/>
        <stp>BDH|15167251751259032061</stp>
        <tr r="X28" s="17"/>
      </tp>
      <tp t="e">
        <v>#N/A</v>
        <stp/>
        <stp>BDH|16479402264876126929</stp>
        <tr r="G107" s="18"/>
      </tp>
      <tp t="e">
        <v>#N/A</v>
        <stp/>
        <stp>BDH|13569426781811353568</stp>
        <tr r="O79" s="18"/>
      </tp>
      <tp t="e">
        <v>#N/A</v>
        <stp/>
        <stp>BDH|14342819401921167617</stp>
        <tr r="F25" s="13"/>
      </tp>
      <tp t="e">
        <v>#N/A</v>
        <stp/>
        <stp>BDH|16495014195526498275</stp>
        <tr r="V12" s="25"/>
      </tp>
      <tp t="e">
        <v>#N/A</v>
        <stp/>
        <stp>BDH|14250970654733264000</stp>
        <tr r="X8" s="28"/>
      </tp>
      <tp t="e">
        <v>#N/A</v>
        <stp/>
        <stp>BDH|11662326457444730873</stp>
        <tr r="C29" s="24"/>
      </tp>
      <tp t="e">
        <v>#N/A</v>
        <stp/>
        <stp>BDH|10780995393528706383</stp>
        <tr r="S65" s="12"/>
      </tp>
      <tp t="e">
        <v>#N/A</v>
        <stp/>
        <stp>BDH|14247951614841775661</stp>
        <tr r="F72" s="12"/>
      </tp>
      <tp t="e">
        <v>#N/A</v>
        <stp/>
        <stp>BDH|13042809810963384216</stp>
        <tr r="V45" s="18"/>
      </tp>
      <tp t="e">
        <v>#N/A</v>
        <stp/>
        <stp>BDH|10724211141745775829</stp>
        <tr r="G171" s="18"/>
      </tp>
      <tp t="e">
        <v>#N/A</v>
        <stp/>
        <stp>BDH|12945234551779040799</stp>
        <tr r="Y43" s="12"/>
      </tp>
      <tp t="e">
        <v>#N/A</v>
        <stp/>
        <stp>BDH|12267823172722394431</stp>
        <tr r="H62" s="13"/>
        <tr r="F49" s="11"/>
        <tr r="F57" s="10"/>
        <tr r="F19" s="7"/>
        <tr r="F20" s="2"/>
        <tr r="F18" s="4"/>
      </tp>
      <tp t="e">
        <v>#N/A</v>
        <stp/>
        <stp>BDH|12522565488451090590</stp>
        <tr r="S41" s="13"/>
        <tr r="Q29" s="11"/>
        <tr r="Q37" s="10"/>
      </tp>
      <tp t="e">
        <v>#N/A</v>
        <stp/>
        <stp>BDH|12023882478545587374</stp>
        <tr r="O142" s="18"/>
      </tp>
      <tp t="e">
        <v>#N/A</v>
        <stp/>
        <stp>BDH|15199775833788200253</stp>
        <tr r="V36" s="29"/>
        <tr r="V16" s="29"/>
      </tp>
      <tp t="e">
        <v>#N/A</v>
        <stp/>
        <stp>BDH|12047422586491099464</stp>
        <tr r="X23" s="11"/>
      </tp>
      <tp t="e">
        <v>#N/A</v>
        <stp/>
        <stp>BDH|13742425553690486902</stp>
        <tr r="N85" s="18"/>
      </tp>
      <tp t="e">
        <v>#N/A</v>
        <stp/>
        <stp>BDH|11417857477962730731</stp>
        <tr r="P25" s="21"/>
      </tp>
      <tp t="e">
        <v>#N/A</v>
        <stp/>
        <stp>BDH|16692629259518781680</stp>
        <tr r="U30" s="21"/>
      </tp>
      <tp t="e">
        <v>#N/A</v>
        <stp/>
        <stp>BDH|17004363023939177460</stp>
        <tr r="F47" s="24"/>
      </tp>
      <tp t="e">
        <v>#N/A</v>
        <stp/>
        <stp>BDH|15993696918390258985</stp>
        <tr r="N15" s="9"/>
      </tp>
      <tp t="e">
        <v>#N/A</v>
        <stp/>
        <stp>BDH|11652538194760222614</stp>
        <tr r="X63" s="18"/>
      </tp>
      <tp t="e">
        <v>#N/A</v>
        <stp/>
        <stp>BDH|10404355182683895399</stp>
        <tr r="J9" s="27"/>
      </tp>
      <tp t="e">
        <v>#N/A</v>
        <stp/>
        <stp>BDH|15627463430170560975</stp>
        <tr r="X38" s="17"/>
      </tp>
      <tp t="e">
        <v>#N/A</v>
        <stp/>
        <stp>BDH|16467034590665172140</stp>
        <tr r="P99" s="12"/>
      </tp>
      <tp t="e">
        <v>#N/A</v>
        <stp/>
        <stp>BDH|14903583899762202186</stp>
        <tr r="L6" s="16"/>
        <tr r="M6" s="11"/>
        <tr r="M10" s="4"/>
        <tr r="O6" s="3"/>
      </tp>
      <tp t="e">
        <v>#N/A</v>
        <stp/>
        <stp>BDH|11548455115379678617</stp>
        <tr r="R6" s="20"/>
        <tr r="R108" s="18"/>
      </tp>
      <tp t="e">
        <v>#N/A</v>
        <stp/>
        <stp>BDH|12363941426671401373</stp>
        <tr r="X62" s="10"/>
      </tp>
      <tp t="e">
        <v>#N/A</v>
        <stp/>
        <stp>BDH|18291474906251972689</stp>
        <tr r="P8" s="23"/>
      </tp>
      <tp t="e">
        <v>#N/A</v>
        <stp/>
        <stp>BDH|16451923027595326306</stp>
        <tr r="I34" s="11"/>
        <tr r="I42" s="10"/>
      </tp>
      <tp t="e">
        <v>#N/A</v>
        <stp/>
        <stp>BDH|16550238799074489292</stp>
        <tr r="K174" s="18"/>
      </tp>
      <tp t="e">
        <v>#N/A</v>
        <stp/>
        <stp>BDH|12930345889310767215</stp>
        <tr r="F88" s="18"/>
      </tp>
      <tp t="e">
        <v>#N/A</v>
        <stp/>
        <stp>BDH|15262710950634346822</stp>
        <tr r="E73" s="12"/>
      </tp>
      <tp t="e">
        <v>#N/A</v>
        <stp/>
        <stp>BDH|17657138281665446029</stp>
        <tr r="R79" s="12"/>
      </tp>
      <tp t="e">
        <v>#N/A</v>
        <stp/>
        <stp>BDH|18406064123608303904</stp>
        <tr r="F69" s="12"/>
      </tp>
      <tp t="e">
        <v>#N/A</v>
        <stp/>
        <stp>BDH|12396267076464586844</stp>
        <tr r="J11" s="18"/>
      </tp>
      <tp t="e">
        <v>#N/A</v>
        <stp/>
        <stp>BDH|13170342188866621599</stp>
        <tr r="L25" s="22"/>
      </tp>
      <tp t="e">
        <v>#N/A</v>
        <stp/>
        <stp>BDH|13968558698595296144</stp>
        <tr r="U10" s="12"/>
      </tp>
      <tp t="e">
        <v>#N/A</v>
        <stp/>
        <stp>BDH|10163733291255264035</stp>
        <tr r="AA17" s="23"/>
      </tp>
      <tp t="e">
        <v>#N/A</v>
        <stp/>
        <stp>BDH|18016142635554165524</stp>
        <tr r="Q22" s="7"/>
      </tp>
      <tp t="e">
        <v>#N/A</v>
        <stp/>
        <stp>BDH|18232471111886237032</stp>
        <tr r="H18" s="34"/>
      </tp>
      <tp t="e">
        <v>#N/A</v>
        <stp/>
        <stp>BDH|11530045479718895553</stp>
        <tr r="S18" s="20"/>
      </tp>
      <tp t="e">
        <v>#N/A</v>
        <stp/>
        <stp>BDH|10357938875214721177</stp>
        <tr r="T10" s="21"/>
      </tp>
      <tp t="e">
        <v>#N/A</v>
        <stp/>
        <stp>BDH|11598496766000924867</stp>
        <tr r="K8" s="21"/>
      </tp>
      <tp t="e">
        <v>#N/A</v>
        <stp/>
        <stp>BDH|16700638866965235858</stp>
        <tr r="H10" s="10"/>
      </tp>
      <tp t="e">
        <v>#N/A</v>
        <stp/>
        <stp>BDH|17624868235234673365</stp>
        <tr r="P49" s="12"/>
      </tp>
      <tp t="e">
        <v>#N/A</v>
        <stp/>
        <stp>BDH|12608737502517389912</stp>
        <tr r="J97" s="12"/>
      </tp>
      <tp t="e">
        <v>#N/A</v>
        <stp/>
        <stp>BDH|14141272499302994634</stp>
        <tr r="H27" s="24"/>
      </tp>
      <tp t="e">
        <v>#N/A</v>
        <stp/>
        <stp>BDH|14378362634778241769</stp>
        <tr r="W35" s="34"/>
      </tp>
      <tp t="e">
        <v>#N/A</v>
        <stp/>
        <stp>BDH|10340240386719456809</stp>
        <tr r="N133" s="18"/>
      </tp>
      <tp t="e">
        <v>#N/A</v>
        <stp/>
        <stp>BDH|13240504480314244158</stp>
        <tr r="O30" s="18"/>
      </tp>
      <tp t="e">
        <v>#N/A</v>
        <stp/>
        <stp>BDH|15536102423479798442</stp>
        <tr r="M12" s="11"/>
      </tp>
      <tp t="e">
        <v>#N/A</v>
        <stp/>
        <stp>BDH|10698891581529871234</stp>
        <tr r="T77" s="24"/>
      </tp>
      <tp t="e">
        <v>#N/A</v>
        <stp/>
        <stp>BDH|14816810530037896346</stp>
        <tr r="Q10" s="21"/>
      </tp>
      <tp t="e">
        <v>#N/A</v>
        <stp/>
        <stp>BDH|12483020253498748476</stp>
        <tr r="X21" s="34"/>
      </tp>
      <tp t="e">
        <v>#N/A</v>
        <stp/>
        <stp>BDH|10795987774774857162</stp>
        <tr r="S18" s="23"/>
      </tp>
      <tp t="e">
        <v>#N/A</v>
        <stp/>
        <stp>BDH|10276856436610028048</stp>
        <tr r="S17" s="22"/>
      </tp>
      <tp t="e">
        <v>#N/A</v>
        <stp/>
        <stp>BDH|16871030251668843079</stp>
        <tr r="W44" s="12"/>
      </tp>
      <tp t="e">
        <v>#N/A</v>
        <stp/>
        <stp>BDH|10226399749774085878</stp>
        <tr r="E71" s="24"/>
      </tp>
      <tp t="e">
        <v>#N/A</v>
        <stp/>
        <stp>BDH|12328923146411067520</stp>
        <tr r="E27" s="24"/>
      </tp>
      <tp t="e">
        <v>#N/A</v>
        <stp/>
        <stp>BDH|18254713955664677555</stp>
        <tr r="R48" s="17"/>
      </tp>
      <tp t="e">
        <v>#N/A</v>
        <stp/>
        <stp>BDH|16632240976308504042</stp>
        <tr r="I13" s="34"/>
      </tp>
      <tp t="e">
        <v>#N/A</v>
        <stp/>
        <stp>BDH|17188355933529194533</stp>
        <tr r="H19" s="5"/>
        <tr r="H43" s="6"/>
      </tp>
      <tp t="e">
        <v>#N/A</v>
        <stp/>
        <stp>BDH|10070900185653255926</stp>
        <tr r="C60" s="12"/>
      </tp>
      <tp t="e">
        <v>#N/A</v>
        <stp/>
        <stp>BDH|12261311430230275940</stp>
        <tr r="T14" s="22"/>
      </tp>
      <tp t="e">
        <v>#N/A</v>
        <stp/>
        <stp>BDH|10565827879496377283</stp>
        <tr r="N20" s="12"/>
      </tp>
      <tp t="e">
        <v>#N/A</v>
        <stp/>
        <stp>BDH|18419025773612737671</stp>
        <tr r="Q42" s="10"/>
        <tr r="Q34" s="11"/>
      </tp>
      <tp t="e">
        <v>#N/A</v>
        <stp/>
        <stp>BDH|16951811080364947943</stp>
        <tr r="U16" s="24"/>
      </tp>
      <tp t="e">
        <v>#N/A</v>
        <stp/>
        <stp>BDH|15168451461285220920</stp>
        <tr r="S62" s="24"/>
      </tp>
      <tp t="e">
        <v>#N/A</v>
        <stp/>
        <stp>BDH|16305554603928385032</stp>
        <tr r="C143" s="18"/>
      </tp>
      <tp t="e">
        <v>#N/A</v>
        <stp/>
        <stp>BDH|11914137880737959463</stp>
        <tr r="K25" s="10"/>
      </tp>
      <tp t="e">
        <v>#N/A</v>
        <stp/>
        <stp>BDH|17245030315985638879</stp>
        <tr r="H29" s="9"/>
      </tp>
      <tp t="e">
        <v>#N/A</v>
        <stp/>
        <stp>BDH|13184143670967926997</stp>
        <tr r="V34" s="11"/>
        <tr r="V42" s="10"/>
      </tp>
      <tp t="e">
        <v>#N/A</v>
        <stp/>
        <stp>BDH|14005259620659584650</stp>
        <tr r="M102" s="12"/>
      </tp>
      <tp t="e">
        <v>#N/A</v>
        <stp/>
        <stp>BDH|18046264193171672961</stp>
        <tr r="Y44" s="24"/>
      </tp>
      <tp t="e">
        <v>#N/A</v>
        <stp/>
        <stp>BDH|17937802260490570294</stp>
        <tr r="R26" s="18"/>
      </tp>
      <tp t="e">
        <v>#N/A</v>
        <stp/>
        <stp>BDH|13526948030935014744</stp>
        <tr r="I16" s="12"/>
      </tp>
      <tp t="e">
        <v>#N/A</v>
        <stp/>
        <stp>BDH|14441369110088088573</stp>
        <tr r="H17" s="17"/>
        <tr r="H20" s="28"/>
      </tp>
      <tp t="e">
        <v>#N/A</v>
        <stp/>
        <stp>BDH|15644618297291223079</stp>
        <tr r="I8" s="10"/>
      </tp>
      <tp t="e">
        <v>#N/A</v>
        <stp/>
        <stp>BDH|12369825237553240117</stp>
        <tr r="H86" s="12"/>
      </tp>
      <tp t="e">
        <v>#N/A</v>
        <stp/>
        <stp>BDH|16175324030158227545</stp>
        <tr r="AA14" s="22"/>
      </tp>
      <tp t="e">
        <v>#N/A</v>
        <stp/>
        <stp>BDH|16426116675082508901</stp>
        <tr r="Z43" s="22"/>
      </tp>
      <tp t="e">
        <v>#N/A</v>
        <stp/>
        <stp>BDH|18411311171045339227</stp>
        <tr r="M42" s="21"/>
      </tp>
      <tp t="e">
        <v>#N/A</v>
        <stp/>
        <stp>BDH|17738975845255140414</stp>
        <tr r="S146" s="18"/>
      </tp>
      <tp t="e">
        <v>#N/A</v>
        <stp/>
        <stp>BDH|14142925375163520266</stp>
        <tr r="Y56" s="13"/>
      </tp>
      <tp t="e">
        <v>#N/A</v>
        <stp/>
        <stp>BDH|18038373744300509437</stp>
        <tr r="P6" s="15"/>
        <tr r="P6" s="10"/>
        <tr r="P11" s="4"/>
        <tr r="P12" s="2"/>
      </tp>
      <tp t="e">
        <v>#N/A</v>
        <stp/>
        <stp>BDH|10033849055905511316</stp>
        <tr r="J13" s="9"/>
      </tp>
      <tp t="e">
        <v>#N/A</v>
        <stp/>
        <stp>BDH|14480298828856664975</stp>
        <tr r="Q146" s="18"/>
      </tp>
      <tp t="e">
        <v>#N/A</v>
        <stp/>
        <stp>BDH|12957146304819465196</stp>
        <tr r="J72" s="24"/>
      </tp>
      <tp t="e">
        <v>#N/A</v>
        <stp/>
        <stp>BDH|17833924329566492131</stp>
        <tr r="M34" s="17"/>
      </tp>
      <tp t="e">
        <v>#N/A</v>
        <stp/>
        <stp>BDH|13663382582236885506</stp>
        <tr r="I23" s="26"/>
      </tp>
      <tp t="e">
        <v>#N/A</v>
        <stp/>
        <stp>BDH|17330298918879189675</stp>
        <tr r="P13" s="10"/>
      </tp>
      <tp t="e">
        <v>#N/A</v>
        <stp/>
        <stp>BDH|11243758623168968796</stp>
        <tr r="W6" s="27"/>
      </tp>
      <tp t="e">
        <v>#N/A</v>
        <stp/>
        <stp>BDH|14797102991772112530</stp>
        <tr r="P116" s="18"/>
      </tp>
      <tp t="e">
        <v>#N/A</v>
        <stp/>
        <stp>BDH|17866328758403035964</stp>
        <tr r="I21" s="22"/>
      </tp>
      <tp t="e">
        <v>#N/A</v>
        <stp/>
        <stp>BDH|10080840547534600310</stp>
        <tr r="G12" s="10"/>
      </tp>
      <tp t="e">
        <v>#N/A</v>
        <stp/>
        <stp>BDH|17498297939699679462</stp>
        <tr r="F39" s="26"/>
      </tp>
      <tp t="e">
        <v>#N/A</v>
        <stp/>
        <stp>BDH|12169223485056383511</stp>
        <tr r="K89" s="12"/>
      </tp>
      <tp t="e">
        <v>#N/A</v>
        <stp/>
        <stp>BDH|16002960801873166722</stp>
        <tr r="T70" s="12"/>
      </tp>
      <tp t="e">
        <v>#N/A</v>
        <stp/>
        <stp>BDH|16891051559919696164</stp>
        <tr r="R64" s="12"/>
      </tp>
      <tp t="e">
        <v>#N/A</v>
        <stp/>
        <stp>BDH|17470626063648587443</stp>
        <tr r="P134" s="18"/>
      </tp>
      <tp t="e">
        <v>#N/A</v>
        <stp/>
        <stp>BDH|16384864614077497319</stp>
        <tr r="W34" s="13"/>
        <tr r="U30" s="10"/>
      </tp>
      <tp t="e">
        <v>#N/A</v>
        <stp/>
        <stp>BDH|11741472904067317934</stp>
        <tr r="AA33" s="12"/>
      </tp>
      <tp t="e">
        <v>#N/A</v>
        <stp/>
        <stp>BDH|15322073657702420937</stp>
        <tr r="U46" s="17"/>
      </tp>
      <tp t="e">
        <v>#N/A</v>
        <stp/>
        <stp>BDH|10033265484469524832</stp>
        <tr r="Z9" s="12"/>
      </tp>
      <tp t="e">
        <v>#N/A</v>
        <stp/>
        <stp>BDH|11388898555206268196</stp>
        <tr r="E39" s="24"/>
      </tp>
      <tp t="e">
        <v>#N/A</v>
        <stp/>
        <stp>BDH|11392179423039322000</stp>
        <tr r="N80" s="18"/>
      </tp>
      <tp t="e">
        <v>#N/A</v>
        <stp/>
        <stp>BDH|12020338714809527262</stp>
        <tr r="E72" s="12"/>
      </tp>
      <tp t="e">
        <v>#N/A</v>
        <stp/>
        <stp>BDH|11127313944748114516</stp>
        <tr r="T138" s="18"/>
      </tp>
      <tp t="e">
        <v>#N/A</v>
        <stp/>
        <stp>BDH|13360772998201010787</stp>
        <tr r="E15" s="13"/>
      </tp>
      <tp t="e">
        <v>#N/A</v>
        <stp/>
        <stp>BDH|17999589916279573165</stp>
        <tr r="J8" s="34"/>
      </tp>
      <tp t="e">
        <v>#N/A</v>
        <stp/>
        <stp>BDH|16726645595022171030</stp>
        <tr r="W144" s="18"/>
      </tp>
      <tp t="e">
        <v>#N/A</v>
        <stp/>
        <stp>BDH|12441307461394554842</stp>
        <tr r="T12" s="22"/>
      </tp>
      <tp t="e">
        <v>#N/A</v>
        <stp/>
        <stp>BDH|15360811058581800265</stp>
        <tr r="Z30" s="21"/>
      </tp>
      <tp t="e">
        <v>#N/A</v>
        <stp/>
        <stp>BDH|14397106572271335869</stp>
        <tr r="M21" s="12"/>
      </tp>
      <tp t="e">
        <v>#N/A</v>
        <stp/>
        <stp>BDH|18174723062382108041</stp>
        <tr r="D19" s="18"/>
      </tp>
      <tp t="e">
        <v>#N/A</v>
        <stp/>
        <stp>BDH|13817620784847389194</stp>
        <tr r="R60" s="13"/>
      </tp>
      <tp t="e">
        <v>#N/A</v>
        <stp/>
        <stp>BDH|16166327289037769192</stp>
        <tr r="H8" s="14"/>
      </tp>
      <tp t="e">
        <v>#N/A</v>
        <stp/>
        <stp>BDH|17141203956593576860</stp>
        <tr r="J64" s="24"/>
      </tp>
      <tp t="e">
        <v>#N/A</v>
        <stp/>
        <stp>BDH|14913412571924599887</stp>
        <tr r="N16" s="30"/>
      </tp>
      <tp t="e">
        <v>#N/A</v>
        <stp/>
        <stp>BDH|16950893066483701056</stp>
        <tr r="O33" s="18"/>
      </tp>
      <tp t="e">
        <v>#N/A</v>
        <stp/>
        <stp>BDH|13292834478802452594</stp>
        <tr r="M86" s="17"/>
      </tp>
      <tp t="e">
        <v>#N/A</v>
        <stp/>
        <stp>BDH|16080988546336277680</stp>
        <tr r="N47" s="12"/>
      </tp>
      <tp t="e">
        <v>#N/A</v>
        <stp/>
        <stp>BDH|13660771180615720218</stp>
        <tr r="I13" s="26"/>
      </tp>
      <tp t="e">
        <v>#N/A</v>
        <stp/>
        <stp>BDH|16007867081688832588</stp>
        <tr r="G43" s="4"/>
      </tp>
      <tp t="e">
        <v>#N/A</v>
        <stp/>
        <stp>BDH|10916356759105540878</stp>
        <tr r="V14" s="20"/>
        <tr r="V115" s="18"/>
      </tp>
      <tp t="e">
        <v>#N/A</v>
        <stp/>
        <stp>BDH|16034166898721084493</stp>
        <tr r="U127" s="18"/>
      </tp>
      <tp t="e">
        <v>#N/A</v>
        <stp/>
        <stp>BDH|10814655594593894760</stp>
        <tr r="D14" s="22"/>
      </tp>
      <tp t="e">
        <v>#N/A</v>
        <stp/>
        <stp>BDH|12802111186896123693</stp>
        <tr r="L9" s="10"/>
      </tp>
      <tp t="e">
        <v>#N/A</v>
        <stp/>
        <stp>BDH|15148006144238301218</stp>
        <tr r="L26" s="22"/>
      </tp>
      <tp t="e">
        <v>#N/A</v>
        <stp/>
        <stp>BDH|15076806037403552658</stp>
        <tr r="C8" s="29"/>
        <tr r="C30" s="29"/>
      </tp>
      <tp t="e">
        <v>#N/A</v>
        <stp/>
        <stp>BDH|10757485419359791762</stp>
        <tr r="Q7" s="28"/>
      </tp>
      <tp t="e">
        <v>#N/A</v>
        <stp/>
        <stp>BDH|16032838559220965047</stp>
        <tr r="G7" s="34"/>
      </tp>
      <tp t="e">
        <v>#N/A</v>
        <stp/>
        <stp>BDH|16168348927075022953</stp>
        <tr r="W8" s="28"/>
      </tp>
      <tp t="e">
        <v>#N/A</v>
        <stp/>
        <stp>BDH|13419541245068460168</stp>
        <tr r="G20" s="12"/>
      </tp>
      <tp t="e">
        <v>#N/A</v>
        <stp/>
        <stp>BDH|10596943367436622272</stp>
        <tr r="H16" s="27"/>
        <tr r="H30" s="25"/>
      </tp>
      <tp t="e">
        <v>#N/A</v>
        <stp/>
        <stp>BDH|16950286817088446659</stp>
        <tr r="C12" s="20"/>
        <tr r="C113" s="18"/>
      </tp>
      <tp t="e">
        <v>#N/A</v>
        <stp/>
        <stp>BDH|11719855401086408409</stp>
        <tr r="F67" s="10"/>
      </tp>
      <tp t="e">
        <v>#N/A</v>
        <stp/>
        <stp>BDH|15792823625134468030</stp>
        <tr r="J74" s="12"/>
      </tp>
      <tp t="e">
        <v>#N/A</v>
        <stp/>
        <stp>BDH|14190635665088994798</stp>
        <tr r="Y16" s="13"/>
        <tr r="Y26" s="13"/>
        <tr r="W18" s="10"/>
      </tp>
      <tp t="e">
        <v>#N/A</v>
        <stp/>
        <stp>BDH|11152956351862112437</stp>
        <tr r="N13" s="17"/>
        <tr r="N16" s="28"/>
      </tp>
      <tp t="e">
        <v>#N/A</v>
        <stp/>
        <stp>BDH|17311630287244273629</stp>
        <tr r="AA13" s="14"/>
      </tp>
      <tp t="e">
        <v>#N/A</v>
        <stp/>
        <stp>BDH|16230942123844439269</stp>
        <tr r="C14" s="3"/>
      </tp>
      <tp t="e">
        <v>#N/A</v>
        <stp/>
        <stp>BDH|14960826731121927540</stp>
        <tr r="E19" s="9"/>
      </tp>
      <tp t="e">
        <v>#N/A</v>
        <stp/>
        <stp>BDH|16636853144968830988</stp>
        <tr r="J41" s="12"/>
      </tp>
      <tp t="e">
        <v>#N/A</v>
        <stp/>
        <stp>BDH|18118501874075529473</stp>
        <tr r="Q129" s="18"/>
      </tp>
      <tp t="e">
        <v>#N/A</v>
        <stp/>
        <stp>BDH|10182428871778357062</stp>
        <tr r="S29" s="18"/>
      </tp>
      <tp t="e">
        <v>#N/A</v>
        <stp/>
        <stp>BDH|12479120551629848483</stp>
        <tr r="S43" s="4"/>
      </tp>
      <tp t="e">
        <v>#N/A</v>
        <stp/>
        <stp>BDH|14454293303574853910</stp>
        <tr r="C88" s="18"/>
      </tp>
      <tp t="e">
        <v>#N/A</v>
        <stp/>
        <stp>BDH|15445956407715102203</stp>
        <tr r="N15" s="21"/>
      </tp>
      <tp t="e">
        <v>#N/A</v>
        <stp/>
        <stp>BDH|13328390752226652890</stp>
        <tr r="J51" s="22"/>
      </tp>
      <tp t="e">
        <v>#N/A</v>
        <stp/>
        <stp>BDH|10252342106699748100</stp>
        <tr r="K15" s="11"/>
      </tp>
      <tp t="e">
        <v>#N/A</v>
        <stp/>
        <stp>BDH|13727844808376434682</stp>
        <tr r="S49" s="12"/>
      </tp>
      <tp t="e">
        <v>#N/A</v>
        <stp/>
        <stp>BDH|13385024725069402378</stp>
        <tr r="H66" s="18"/>
      </tp>
      <tp t="e">
        <v>#N/A</v>
        <stp/>
        <stp>BDH|13938188880669218857</stp>
        <tr r="J122" s="18"/>
      </tp>
      <tp t="e">
        <v>#N/A</v>
        <stp/>
        <stp>BDH|14577033885862630534</stp>
        <tr r="P39" s="26"/>
      </tp>
      <tp t="e">
        <v>#N/A</v>
        <stp/>
        <stp>BDH|12945747406909986749</stp>
        <tr r="O25" s="17"/>
      </tp>
      <tp t="e">
        <v>#N/A</v>
        <stp/>
        <stp>BDH|10655454542528192367</stp>
        <tr r="U31" s="22"/>
      </tp>
      <tp t="e">
        <v>#N/A</v>
        <stp/>
        <stp>BDH|16890683068214772996</stp>
        <tr r="K14" s="10"/>
      </tp>
      <tp t="e">
        <v>#N/A</v>
        <stp/>
        <stp>BDH|15368726788519955868</stp>
        <tr r="U6" s="19"/>
        <tr r="U35" s="17"/>
        <tr r="U16" s="3"/>
      </tp>
      <tp t="e">
        <v>#N/A</v>
        <stp/>
        <stp>BDH|10799932231230639152</stp>
        <tr r="Q39" s="24"/>
      </tp>
      <tp t="e">
        <v>#N/A</v>
        <stp/>
        <stp>BDH|11299059039929071081</stp>
        <tr r="R8" s="34"/>
      </tp>
      <tp t="e">
        <v>#N/A</v>
        <stp/>
        <stp>BDH|17686151509448463584</stp>
        <tr r="K50" s="4"/>
      </tp>
      <tp t="e">
        <v>#N/A</v>
        <stp/>
        <stp>BDH|12215689772729643184</stp>
        <tr r="D21" s="20"/>
      </tp>
      <tp t="e">
        <v>#N/A</v>
        <stp/>
        <stp>BDH|11639734726957699838</stp>
        <tr r="Z18" s="14"/>
      </tp>
      <tp t="e">
        <v>#N/A</v>
        <stp/>
        <stp>BDH|17833982233182386466</stp>
        <tr r="T58" s="12"/>
      </tp>
      <tp t="e">
        <v>#N/A</v>
        <stp/>
        <stp>BDH|12171262065824732930</stp>
        <tr r="R57" s="34"/>
      </tp>
      <tp t="e">
        <v>#N/A</v>
        <stp/>
        <stp>BDH|11084817566454774062</stp>
        <tr r="AA47" s="22"/>
      </tp>
      <tp t="e">
        <v>#N/A</v>
        <stp/>
        <stp>BDH|10749666149960946972</stp>
        <tr r="F59" s="34"/>
      </tp>
      <tp t="e">
        <v>#N/A</v>
        <stp/>
        <stp>BDH|18371641838431180787</stp>
        <tr r="H24" s="23"/>
        <tr r="H21" s="30"/>
      </tp>
      <tp t="e">
        <v>#N/A</v>
        <stp/>
        <stp>BDH|17624683588862902094</stp>
        <tr r="L31" s="17"/>
      </tp>
      <tp t="e">
        <v>#N/A</v>
        <stp/>
        <stp>BDH|10630703711528994581</stp>
        <tr r="Z50" s="17"/>
      </tp>
      <tp t="e">
        <v>#N/A</v>
        <stp/>
        <stp>BDH|14889709289225581527</stp>
        <tr r="J14" s="14"/>
      </tp>
      <tp t="e">
        <v>#N/A</v>
        <stp/>
        <stp>BDH|11917225786423852339</stp>
        <tr r="AA58" s="21"/>
        <tr r="AA37" s="25"/>
        <tr r="Y53" s="11"/>
        <tr r="Y31" s="4"/>
      </tp>
      <tp t="e">
        <v>#N/A</v>
        <stp/>
        <stp>BDH|13624556469959587296</stp>
        <tr r="R62" s="13"/>
        <tr r="P49" s="11"/>
        <tr r="P57" s="10"/>
        <tr r="P19" s="7"/>
        <tr r="P20" s="2"/>
        <tr r="P18" s="4"/>
      </tp>
      <tp t="e">
        <v>#N/A</v>
        <stp/>
        <stp>BDH|14006780977747856810</stp>
        <tr r="R46" s="13"/>
      </tp>
      <tp t="e">
        <v>#N/A</v>
        <stp/>
        <stp>BDH|17560919626984717335</stp>
        <tr r="K48" s="12"/>
      </tp>
      <tp t="e">
        <v>#N/A</v>
        <stp/>
        <stp>BDH|14082970843047109539</stp>
        <tr r="S34" s="13"/>
        <tr r="Q30" s="10"/>
      </tp>
      <tp t="e">
        <v>#N/A</v>
        <stp/>
        <stp>BDH|15035128211318399661</stp>
        <tr r="S37" s="29"/>
        <tr r="S17" s="29"/>
      </tp>
      <tp t="e">
        <v>#N/A</v>
        <stp/>
        <stp>BDH|11074917000497473433</stp>
        <tr r="X8" s="18"/>
      </tp>
      <tp t="e">
        <v>#N/A</v>
        <stp/>
        <stp>BDH|14402596326049460190</stp>
        <tr r="F12" s="20"/>
        <tr r="F113" s="18"/>
      </tp>
      <tp t="e">
        <v>#N/A</v>
        <stp/>
        <stp>BDH|16122643682246674574</stp>
        <tr r="O27" s="24"/>
      </tp>
      <tp t="e">
        <v>#N/A</v>
        <stp/>
        <stp>BDH|18092796604202942629</stp>
        <tr r="K62" s="24"/>
      </tp>
      <tp t="e">
        <v>#N/A</v>
        <stp/>
        <stp>BDH|10493908049225878333</stp>
        <tr r="V64" s="11"/>
        <tr r="V72" s="10"/>
      </tp>
      <tp t="e">
        <v>#N/A</v>
        <stp/>
        <stp>BDH|15432271545440579856</stp>
        <tr r="E172" s="18"/>
      </tp>
      <tp t="e">
        <v>#N/A</v>
        <stp/>
        <stp>BDH|17525821461522704071</stp>
        <tr r="X26" s="11"/>
        <tr r="X34" s="10"/>
      </tp>
      <tp t="e">
        <v>#N/A</v>
        <stp/>
        <stp>BDH|17147556158714937831</stp>
        <tr r="V55" s="6"/>
      </tp>
      <tp t="e">
        <v>#N/A</v>
        <stp/>
        <stp>BDH|17556949741966034761</stp>
        <tr r="M31" s="21"/>
      </tp>
      <tp t="e">
        <v>#N/A</v>
        <stp/>
        <stp>BDH|12365100382371469135</stp>
        <tr r="J96" s="18"/>
      </tp>
      <tp t="e">
        <v>#N/A</v>
        <stp/>
        <stp>BDH|17171345382123407455</stp>
        <tr r="J31" s="6"/>
      </tp>
      <tp t="e">
        <v>#N/A</v>
        <stp/>
        <stp>BDH|10902202288170474131</stp>
        <tr r="J61" s="17"/>
      </tp>
      <tp t="e">
        <v>#N/A</v>
        <stp/>
        <stp>BDH|16424958976935932684</stp>
        <tr r="H100" s="18"/>
      </tp>
      <tp t="e">
        <v>#N/A</v>
        <stp/>
        <stp>BDH|11909414815077906820</stp>
        <tr r="Q43" s="4"/>
      </tp>
      <tp t="e">
        <v>#N/A</v>
        <stp/>
        <stp>BDH|13263093885882267250</stp>
        <tr r="J35" s="18"/>
      </tp>
      <tp t="e">
        <v>#N/A</v>
        <stp/>
        <stp>BDH|12178718575720948954</stp>
        <tr r="L69" s="17"/>
      </tp>
      <tp t="e">
        <v>#N/A</v>
        <stp/>
        <stp>BDH|10597202380554870541</stp>
        <tr r="C29" s="9"/>
      </tp>
      <tp t="e">
        <v>#N/A</v>
        <stp/>
        <stp>BDH|11848609294532638733</stp>
        <tr r="U7" s="28"/>
      </tp>
      <tp t="e">
        <v>#N/A</v>
        <stp/>
        <stp>BDH|10636271224948947350</stp>
        <tr r="N147" s="18"/>
      </tp>
      <tp t="e">
        <v>#N/A</v>
        <stp/>
        <stp>BDH|12868619488901133698</stp>
        <tr r="F10" s="17"/>
      </tp>
      <tp t="e">
        <v>#N/A</v>
        <stp/>
        <stp>BDH|12514197520209287371</stp>
        <tr r="D6" s="16"/>
        <tr r="E6" s="11"/>
        <tr r="G6" s="3"/>
        <tr r="E10" s="4"/>
      </tp>
      <tp t="e">
        <v>#N/A</v>
        <stp/>
        <stp>BDH|11360475889077775138</stp>
        <tr r="V7" s="24"/>
      </tp>
      <tp t="e">
        <v>#N/A</v>
        <stp/>
        <stp>BDH|10873097541448040792</stp>
        <tr r="Q60" s="12"/>
      </tp>
      <tp t="e">
        <v>#N/A</v>
        <stp/>
        <stp>BDH|13543840226693901173</stp>
        <tr r="K76" s="24"/>
      </tp>
      <tp t="e">
        <v>#N/A</v>
        <stp/>
        <stp>BDH|13263897037011765226</stp>
        <tr r="R40" s="22"/>
      </tp>
      <tp t="e">
        <v>#N/A</v>
        <stp/>
        <stp>BDH|17090348803387960875</stp>
        <tr r="Q11" s="10"/>
        <tr r="Q14" s="2"/>
      </tp>
      <tp t="e">
        <v>#N/A</v>
        <stp/>
        <stp>BDH|14721958824604789084</stp>
        <tr r="H56" s="12"/>
      </tp>
      <tp t="e">
        <v>#N/A</v>
        <stp/>
        <stp>BDH|10958785076092901977</stp>
        <tr r="E9" s="26"/>
      </tp>
      <tp t="e">
        <v>#N/A</v>
        <stp/>
        <stp>BDH|11583920351942809477</stp>
        <tr r="H9" s="28"/>
      </tp>
      <tp t="e">
        <v>#N/A</v>
        <stp/>
        <stp>BDH|12519235288397322443</stp>
        <tr r="H17" s="14"/>
      </tp>
      <tp t="e">
        <v>#N/A</v>
        <stp/>
        <stp>BDH|10578935143860593696</stp>
        <tr r="E28" s="22"/>
      </tp>
      <tp t="e">
        <v>#N/A</v>
        <stp/>
        <stp>BDH|15417929112823572582</stp>
        <tr r="L32" s="25"/>
        <tr r="L18" s="27"/>
      </tp>
      <tp t="e">
        <v>#N/A</v>
        <stp/>
        <stp>BDH|16233541313379568093</stp>
        <tr r="P13" s="20"/>
        <tr r="P114" s="18"/>
      </tp>
      <tp t="e">
        <v>#N/A</v>
        <stp/>
        <stp>BDH|14086788541624062804</stp>
        <tr r="J48" s="13"/>
      </tp>
      <tp t="e">
        <v>#N/A</v>
        <stp/>
        <stp>BDH|15706523583901916270</stp>
        <tr r="S30" s="24"/>
      </tp>
      <tp t="e">
        <v>#N/A</v>
        <stp/>
        <stp>BDH|13781979500054880502</stp>
        <tr r="H13" s="20"/>
        <tr r="H114" s="18"/>
      </tp>
      <tp t="e">
        <v>#N/A</v>
        <stp/>
        <stp>BDH|14798105345368859220</stp>
        <tr r="X157" s="18"/>
      </tp>
      <tp t="e">
        <v>#N/A</v>
        <stp/>
        <stp>BDH|12887951176575077231</stp>
        <tr r="Y40" s="29"/>
      </tp>
      <tp t="e">
        <v>#N/A</v>
        <stp/>
        <stp>BDH|14245253449841504835</stp>
        <tr r="U67" s="24"/>
      </tp>
      <tp t="e">
        <v>#N/A</v>
        <stp/>
        <stp>BDH|13515605715296066989</stp>
        <tr r="W60" s="13"/>
      </tp>
      <tp t="e">
        <v>#N/A</v>
        <stp/>
        <stp>BDH|13106924737237992556</stp>
        <tr r="P24" s="17"/>
      </tp>
      <tp t="e">
        <v>#N/A</v>
        <stp/>
        <stp>BDH|17422561750845331991</stp>
        <tr r="D25" s="13"/>
      </tp>
      <tp t="e">
        <v>#N/A</v>
        <stp/>
        <stp>BDH|12000425921879902625</stp>
        <tr r="S60" s="21"/>
      </tp>
      <tp t="e">
        <v>#N/A</v>
        <stp/>
        <stp>BDH|16684255927164575996</stp>
        <tr r="R21" s="27"/>
      </tp>
      <tp t="e">
        <v>#N/A</v>
        <stp/>
        <stp>BDH|11920564517568985696</stp>
        <tr r="N74" s="18"/>
      </tp>
      <tp t="e">
        <v>#N/A</v>
        <stp/>
        <stp>BDH|14030402070829899503</stp>
        <tr r="K54" s="34"/>
      </tp>
      <tp t="e">
        <v>#N/A</v>
        <stp/>
        <stp>BDH|12430292624700547940</stp>
        <tr r="N18" s="34"/>
      </tp>
      <tp t="e">
        <v>#N/A</v>
        <stp/>
        <stp>BDH|16860397639015419841</stp>
        <tr r="S20" s="25"/>
      </tp>
      <tp t="e">
        <v>#N/A</v>
        <stp/>
        <stp>BDH|11869161794160001227</stp>
        <tr r="Y66" s="18"/>
      </tp>
      <tp t="e">
        <v>#N/A</v>
        <stp/>
        <stp>BDH|13172153365038844710</stp>
        <tr r="S34" s="34"/>
      </tp>
      <tp t="e">
        <v>#N/A</v>
        <stp/>
        <stp>BDH|13952113901669663071</stp>
        <tr r="V34" s="13"/>
        <tr r="T30" s="10"/>
      </tp>
      <tp t="e">
        <v>#N/A</v>
        <stp/>
        <stp>BDH|12256011150745379983</stp>
        <tr r="M22" s="4"/>
      </tp>
      <tp t="e">
        <v>#N/A</v>
        <stp/>
        <stp>BDH|10633263445478530580</stp>
        <tr r="E8" s="13"/>
      </tp>
      <tp t="e">
        <v>#N/A</v>
        <stp/>
        <stp>BDH|12219272629588487109</stp>
        <tr r="F28" s="26"/>
      </tp>
      <tp t="e">
        <v>#N/A</v>
        <stp/>
        <stp>BDH|12984705572518099134</stp>
        <tr r="I150" s="18"/>
      </tp>
      <tp t="e">
        <v>#N/A</v>
        <stp/>
        <stp>BDH|12224514823768039687</stp>
        <tr r="W29" s="4"/>
      </tp>
      <tp t="e">
        <v>#N/A</v>
        <stp/>
        <stp>BDH|14525680460527122841</stp>
        <tr r="M59" s="34"/>
      </tp>
      <tp t="e">
        <v>#N/A</v>
        <stp/>
        <stp>BDH|18112585823923370721</stp>
        <tr r="X80" s="12"/>
      </tp>
      <tp t="e">
        <v>#N/A</v>
        <stp/>
        <stp>BDH|11457408241142613887</stp>
        <tr r="H6" s="20"/>
        <tr r="H108" s="18"/>
      </tp>
      <tp t="e">
        <v>#N/A</v>
        <stp/>
        <stp>BDH|14269491717858146262</stp>
        <tr r="E84" s="17"/>
      </tp>
      <tp t="e">
        <v>#N/A</v>
        <stp/>
        <stp>BDH|13145341002393579898</stp>
        <tr r="J11" s="7"/>
      </tp>
      <tp t="e">
        <v>#N/A</v>
        <stp/>
        <stp>BDH|12854771043958447236</stp>
        <tr r="G74" s="18"/>
      </tp>
      <tp t="e">
        <v>#N/A</v>
        <stp/>
        <stp>BDH|11462325193322871268</stp>
        <tr r="O52" s="17"/>
        <tr r="O17" s="3"/>
      </tp>
      <tp t="e">
        <v>#N/A</v>
        <stp/>
        <stp>BDH|13255418283980921428</stp>
        <tr r="AA66" s="18"/>
      </tp>
      <tp t="e">
        <v>#N/A</v>
        <stp/>
        <stp>BDH|13858898849230547465</stp>
        <tr r="K116" s="18"/>
      </tp>
      <tp t="e">
        <v>#N/A</v>
        <stp/>
        <stp>BDH|16214597545558252478</stp>
        <tr r="L36" s="18"/>
      </tp>
      <tp t="e">
        <v>#N/A</v>
        <stp/>
        <stp>BDH|15587241056470442987</stp>
        <tr r="I178" s="18"/>
      </tp>
      <tp t="e">
        <v>#N/A</v>
        <stp/>
        <stp>BDH|18197532782169263791</stp>
        <tr r="L16" s="17"/>
        <tr r="L19" s="28"/>
      </tp>
      <tp t="e">
        <v>#N/A</v>
        <stp/>
        <stp>BDH|10603973421194277499</stp>
        <tr r="AA15" s="12"/>
      </tp>
      <tp t="e">
        <v>#N/A</v>
        <stp/>
        <stp>BDH|15645078828018157435</stp>
        <tr r="K7" s="9"/>
        <tr r="K7" s="5"/>
        <tr r="N14" s="3"/>
        <tr r="L7" s="2"/>
      </tp>
      <tp t="e">
        <v>#N/A</v>
        <stp/>
        <stp>BDH|13381728261571813838</stp>
        <tr r="G117" s="18"/>
      </tp>
      <tp t="e">
        <v>#N/A</v>
        <stp/>
        <stp>BDH|15127636289583830381</stp>
        <tr r="X15" s="26"/>
      </tp>
      <tp t="e">
        <v>#N/A</v>
        <stp/>
        <stp>BDH|18383427615980965663</stp>
        <tr r="Y42" s="11"/>
        <tr r="Y50" s="10"/>
        <tr r="Y14" s="7"/>
        <tr r="AA9" s="3"/>
      </tp>
      <tp t="e">
        <v>#N/A</v>
        <stp/>
        <stp>BDH|18087546595298862728</stp>
        <tr r="G27" s="24"/>
      </tp>
      <tp t="e">
        <v>#N/A</v>
        <stp/>
        <stp>BDH|12720391189373863144</stp>
        <tr r="V121" s="18"/>
      </tp>
      <tp t="e">
        <v>#N/A</v>
        <stp/>
        <stp>BDH|15953517759077370994</stp>
        <tr r="L77" s="18"/>
      </tp>
      <tp t="e">
        <v>#N/A</v>
        <stp/>
        <stp>BDH|11916064951777751827</stp>
        <tr r="F7" s="5"/>
        <tr r="F7" s="9"/>
        <tr r="G7" s="2"/>
        <tr r="I14" s="3"/>
      </tp>
      <tp t="e">
        <v>#N/A</v>
        <stp/>
        <stp>BDH|14188499784550603313</stp>
        <tr r="D41" s="13"/>
      </tp>
      <tp t="e">
        <v>#N/A</v>
        <stp/>
        <stp>BDH|15201424107512926854</stp>
        <tr r="Q26" s="26"/>
      </tp>
      <tp t="e">
        <v>#N/A</v>
        <stp/>
        <stp>BDH|13316474629027152977</stp>
        <tr r="J15" s="24"/>
      </tp>
      <tp t="e">
        <v>#N/A</v>
        <stp/>
        <stp>BDH|17647695845918292637</stp>
        <tr r="P9" s="20"/>
        <tr r="P111" s="18"/>
      </tp>
      <tp t="e">
        <v>#N/A</v>
        <stp/>
        <stp>BDH|12028504058931580861</stp>
        <tr r="H61" s="18"/>
      </tp>
      <tp t="e">
        <v>#N/A</v>
        <stp/>
        <stp>BDH|14984917022993928782</stp>
        <tr r="I63" s="10"/>
      </tp>
      <tp t="e">
        <v>#N/A</v>
        <stp/>
        <stp>BDH|18006905106162862857</stp>
        <tr r="G64" s="18"/>
      </tp>
      <tp t="e">
        <v>#N/A</v>
        <stp/>
        <stp>BDH|13933249080820467220</stp>
        <tr r="D13" s="12"/>
      </tp>
      <tp t="e">
        <v>#N/A</v>
        <stp/>
        <stp>BDH|15007100306148401795</stp>
        <tr r="S21" s="18"/>
      </tp>
      <tp t="e">
        <v>#N/A</v>
        <stp/>
        <stp>BDH|14710284453969510129</stp>
        <tr r="AA70" s="17"/>
      </tp>
      <tp t="e">
        <v>#N/A</v>
        <stp/>
        <stp>BDH|11367798685093535606</stp>
        <tr r="N49" s="10"/>
        <tr r="N41" s="11"/>
        <tr r="N8" s="7"/>
        <tr r="P11" s="3"/>
      </tp>
      <tp t="e">
        <v>#N/A</v>
        <stp/>
        <stp>BDH|11599157393152027096</stp>
        <tr r="Q17" s="12"/>
      </tp>
      <tp t="e">
        <v>#N/A</v>
        <stp/>
        <stp>BDH|11757262029543308919</stp>
        <tr r="X25" s="27"/>
      </tp>
      <tp t="e">
        <v>#N/A</v>
        <stp/>
        <stp>BDH|17109630543469993727</stp>
        <tr r="Y35" s="29"/>
        <tr r="Y15" s="29"/>
      </tp>
      <tp t="e">
        <v>#N/A</v>
        <stp/>
        <stp>BDH|18252795511523880687</stp>
        <tr r="O39" s="25"/>
        <tr r="O22" s="13"/>
        <tr r="O7" s="13"/>
        <tr r="M18" s="11"/>
        <tr r="O7" s="3"/>
      </tp>
      <tp t="e">
        <v>#N/A</v>
        <stp/>
        <stp>BDH|11445185301628696314</stp>
        <tr r="Q144" s="18"/>
      </tp>
      <tp t="e">
        <v>#N/A</v>
        <stp/>
        <stp>BDH|16648666858699286704</stp>
        <tr r="S18" s="9"/>
      </tp>
      <tp t="e">
        <v>#N/A</v>
        <stp/>
        <stp>BDH|14428989266836253629</stp>
        <tr r="Y6" s="19"/>
        <tr r="Y35" s="17"/>
        <tr r="Y16" s="3"/>
      </tp>
      <tp t="e">
        <v>#N/A</v>
        <stp/>
        <stp>BDH|14697640703008915127</stp>
        <tr r="V55" s="13"/>
        <tr r="T56" s="10"/>
        <tr r="T48" s="11"/>
        <tr r="T18" s="7"/>
      </tp>
      <tp t="e">
        <v>#N/A</v>
        <stp/>
        <stp>BDH|12346170191099886872</stp>
        <tr r="U38" s="22"/>
      </tp>
      <tp t="e">
        <v>#N/A</v>
        <stp/>
        <stp>BDH|16849100270623182837</stp>
        <tr r="K10" s="28"/>
      </tp>
      <tp t="e">
        <v>#N/A</v>
        <stp/>
        <stp>BDH|17066386676759494103</stp>
        <tr r="S59" s="18"/>
      </tp>
      <tp t="e">
        <v>#N/A</v>
        <stp/>
        <stp>BDH|11590483893950468709</stp>
        <tr r="Q60" s="24"/>
      </tp>
      <tp t="e">
        <v>#N/A</v>
        <stp/>
        <stp>BDH|14116505072228085592</stp>
        <tr r="O32" s="13"/>
        <tr r="M28" s="10"/>
      </tp>
      <tp t="e">
        <v>#N/A</v>
        <stp/>
        <stp>BDH|10905812790922633844</stp>
        <tr r="C22" s="29"/>
        <tr r="C13" s="29"/>
        <tr r="C33" s="29"/>
      </tp>
      <tp t="e">
        <v>#N/A</v>
        <stp/>
        <stp>BDH|12868281577754874854</stp>
        <tr r="F33" s="11"/>
        <tr r="F41" s="10"/>
      </tp>
      <tp t="e">
        <v>#N/A</v>
        <stp/>
        <stp>BDH|17869914051593204304</stp>
        <tr r="R39" s="26"/>
      </tp>
      <tp t="e">
        <v>#N/A</v>
        <stp/>
        <stp>BDH|18246346072960884760</stp>
        <tr r="O68" s="17"/>
        <tr r="L8" s="9"/>
        <tr r="L8" s="5"/>
      </tp>
      <tp t="e">
        <v>#N/A</v>
        <stp/>
        <stp>BDH|11893228977686674912</stp>
        <tr r="AA137" s="18"/>
      </tp>
      <tp t="e">
        <v>#N/A</v>
        <stp/>
        <stp>BDH|13202126538628564274</stp>
        <tr r="D12" s="18"/>
      </tp>
      <tp t="e">
        <v>#N/A</v>
        <stp/>
        <stp>BDH|12560867713105949535</stp>
        <tr r="S84" s="17"/>
      </tp>
      <tp t="e">
        <v>#N/A</v>
        <stp/>
        <stp>BDH|17878239183934354213</stp>
        <tr r="F37" s="22"/>
      </tp>
      <tp t="e">
        <v>#N/A</v>
        <stp/>
        <stp>BDH|10514636474839117399</stp>
        <tr r="M16" s="14"/>
      </tp>
      <tp t="e">
        <v>#N/A</v>
        <stp/>
        <stp>BDH|18421289105604791543</stp>
        <tr r="W23" s="10"/>
      </tp>
      <tp t="e">
        <v>#N/A</v>
        <stp/>
        <stp>BDH|14705886405461225627</stp>
        <tr r="D22" s="12"/>
      </tp>
      <tp t="e">
        <v>#N/A</v>
        <stp/>
        <stp>BDH|18212383532511759254</stp>
        <tr r="P63" s="12"/>
      </tp>
      <tp t="e">
        <v>#N/A</v>
        <stp/>
        <stp>BDH|15452896502575029352</stp>
        <tr r="K57" s="12"/>
      </tp>
      <tp t="e">
        <v>#N/A</v>
        <stp/>
        <stp>BDH|16656234867778019181</stp>
        <tr r="S10" s="17"/>
      </tp>
      <tp t="e">
        <v>#N/A</v>
        <stp/>
        <stp>BDH|13221085344769740531</stp>
        <tr r="P7" s="21"/>
      </tp>
      <tp t="e">
        <v>#N/A</v>
        <stp/>
        <stp>BDH|12480333414342142989</stp>
        <tr r="G22" s="17"/>
      </tp>
      <tp t="e">
        <v>#N/A</v>
        <stp/>
        <stp>BDH|10459573640202067896</stp>
        <tr r="X29" s="34"/>
      </tp>
      <tp t="e">
        <v>#N/A</v>
        <stp/>
        <stp>BDH|13514711351608943266</stp>
        <tr r="K66" s="24"/>
      </tp>
      <tp t="e">
        <v>#N/A</v>
        <stp/>
        <stp>BDH|14080406179389498570</stp>
        <tr r="N31" s="12"/>
      </tp>
      <tp t="e">
        <v>#N/A</v>
        <stp/>
        <stp>BDH|10505796903078079455</stp>
        <tr r="F163" s="18"/>
      </tp>
      <tp t="e">
        <v>#N/A</v>
        <stp/>
        <stp>BDH|14588502699910599341</stp>
        <tr r="P62" s="18"/>
      </tp>
      <tp t="e">
        <v>#N/A</v>
        <stp/>
        <stp>BDH|13786810728165712742</stp>
        <tr r="T6" s="28"/>
      </tp>
      <tp t="e">
        <v>#N/A</v>
        <stp/>
        <stp>BDH|16751700409252484875</stp>
        <tr r="F159" s="18"/>
      </tp>
      <tp t="e">
        <v>#N/A</v>
        <stp/>
        <stp>BDH|17146895721715541318</stp>
        <tr r="X7" s="11"/>
      </tp>
      <tp t="e">
        <v>#N/A</v>
        <stp/>
        <stp>BDH|10500941549344292273</stp>
        <tr r="V9" s="13"/>
      </tp>
      <tp t="e">
        <v>#N/A</v>
        <stp/>
        <stp>BDH|10652669320558867757</stp>
        <tr r="L44" s="18"/>
      </tp>
      <tp t="e">
        <v>#N/A</v>
        <stp/>
        <stp>BDH|10284964314844891752</stp>
        <tr r="AA31" s="18"/>
      </tp>
      <tp t="e">
        <v>#N/A</v>
        <stp/>
        <stp>BDH|17912339823654257966</stp>
        <tr r="P54" s="21"/>
      </tp>
      <tp t="e">
        <v>#N/A</v>
        <stp/>
        <stp>BDH|11763996250792532469</stp>
        <tr r="E35" s="18"/>
      </tp>
      <tp t="e">
        <v>#N/A</v>
        <stp/>
        <stp>BDH|16103348382927244188</stp>
        <tr r="Z44" s="12"/>
      </tp>
      <tp t="e">
        <v>#N/A</v>
        <stp/>
        <stp>BDH|13683861514562981309</stp>
        <tr r="T177" s="18"/>
      </tp>
      <tp t="e">
        <v>#N/A</v>
        <stp/>
        <stp>BDH|14447140648983697938</stp>
        <tr r="M26" s="18"/>
      </tp>
      <tp t="e">
        <v>#N/A</v>
        <stp/>
        <stp>BDH|13985166601280028932</stp>
        <tr r="H12" s="12"/>
      </tp>
      <tp t="e">
        <v>#N/A</v>
        <stp/>
        <stp>BDH|16305810219464213049</stp>
        <tr r="O51" s="12"/>
      </tp>
      <tp t="e">
        <v>#N/A</v>
        <stp/>
        <stp>BDH|17939320585137013031</stp>
        <tr r="Q14" s="18"/>
      </tp>
      <tp t="e">
        <v>#N/A</v>
        <stp/>
        <stp>BDH|18257448219437435168</stp>
        <tr r="I17" s="10"/>
      </tp>
      <tp t="e">
        <v>#N/A</v>
        <stp/>
        <stp>BDH|13289722905829173694</stp>
        <tr r="Z34" s="21"/>
      </tp>
      <tp t="e">
        <v>#N/A</v>
        <stp/>
        <stp>BDH|14167885823107555227</stp>
        <tr r="T15" s="11"/>
      </tp>
      <tp t="e">
        <v>#N/A</v>
        <stp/>
        <stp>BDH|14477571187195075790</stp>
        <tr r="P73" s="18"/>
      </tp>
      <tp t="e">
        <v>#N/A</v>
        <stp/>
        <stp>BDH|12961803546852146739</stp>
        <tr r="F24" s="29"/>
      </tp>
      <tp t="e">
        <v>#N/A</v>
        <stp/>
        <stp>BDH|12603204799361773350</stp>
        <tr r="Z17" s="24"/>
      </tp>
      <tp t="e">
        <v>#N/A</v>
        <stp/>
        <stp>BDH|17161494057389524474</stp>
        <tr r="C25" s="21"/>
      </tp>
      <tp t="e">
        <v>#N/A</v>
        <stp/>
        <stp>BDH|12779445486536917311</stp>
        <tr r="K90" s="17"/>
        <tr r="K34" s="25"/>
      </tp>
      <tp t="e">
        <v>#N/A</v>
        <stp/>
        <stp>BDH|12105949593578281192</stp>
        <tr r="Q132" s="18"/>
      </tp>
      <tp t="e">
        <v>#N/A</v>
        <stp/>
        <stp>BDH|16596439495789967974</stp>
        <tr r="K53" s="12"/>
      </tp>
      <tp t="e">
        <v>#N/A</v>
        <stp/>
        <stp>BDH|11161797614225309926</stp>
        <tr r="M61" s="13"/>
      </tp>
      <tp t="e">
        <v>#N/A</v>
        <stp/>
        <stp>BDH|14427181265551133951</stp>
        <tr r="AA25" s="21"/>
      </tp>
      <tp t="e">
        <v>#N/A</v>
        <stp/>
        <stp>BDH|12049281981565394662</stp>
        <tr r="Y25" s="13"/>
      </tp>
      <tp t="e">
        <v>#N/A</v>
        <stp/>
        <stp>BDH|13368970172777393190</stp>
        <tr r="G60" s="18"/>
      </tp>
      <tp t="e">
        <v>#N/A</v>
        <stp/>
        <stp>BDH|16293919420015998361</stp>
        <tr r="N50" s="34"/>
      </tp>
      <tp t="e">
        <v>#N/A</v>
        <stp/>
        <stp>BDH|10261826587899995229</stp>
        <tr r="O30" s="17"/>
      </tp>
      <tp t="e">
        <v>#N/A</v>
        <stp/>
        <stp>BDH|10402798438499849610</stp>
        <tr r="F52" s="18"/>
      </tp>
      <tp t="e">
        <v>#N/A</v>
        <stp/>
        <stp>BDH|13787997089400308984</stp>
        <tr r="K22" s="22"/>
      </tp>
      <tp t="e">
        <v>#N/A</v>
        <stp/>
        <stp>BDH|17963164482652128709</stp>
        <tr r="H73" s="17"/>
      </tp>
      <tp t="e">
        <v>#N/A</v>
        <stp/>
        <stp>BDH|17623762729758690131</stp>
        <tr r="M13" s="6"/>
      </tp>
      <tp t="e">
        <v>#N/A</v>
        <stp/>
        <stp>BDH|14489104529228643474</stp>
        <tr r="T13" s="25"/>
      </tp>
      <tp t="e">
        <v>#N/A</v>
        <stp/>
        <stp>BDH|11678309719721722946</stp>
        <tr r="E14" s="6"/>
      </tp>
      <tp t="e">
        <v>#N/A</v>
        <stp/>
        <stp>BDH|15363229360199420391</stp>
        <tr r="AA155" s="18"/>
      </tp>
      <tp t="e">
        <v>#N/A</v>
        <stp/>
        <stp>BDH|16131050738946659862</stp>
        <tr r="O37" s="12"/>
      </tp>
      <tp t="e">
        <v>#N/A</v>
        <stp/>
        <stp>BDH|10948885750085580384</stp>
        <tr r="C8" s="20"/>
        <tr r="C110" s="18"/>
      </tp>
      <tp t="e">
        <v>#N/A</v>
        <stp/>
        <stp>BDH|15513518239709036110</stp>
        <tr r="F34" s="12"/>
      </tp>
      <tp t="e">
        <v>#N/A</v>
        <stp/>
        <stp>BDH|12296201189447798409</stp>
        <tr r="S37" s="21"/>
        <tr r="S24" s="3"/>
      </tp>
      <tp t="e">
        <v>#N/A</v>
        <stp/>
        <stp>BDH|17377575297968604897</stp>
        <tr r="D86" s="18"/>
      </tp>
      <tp t="e">
        <v>#N/A</v>
        <stp/>
        <stp>BDH|11788414808737105937</stp>
        <tr r="J52" s="22"/>
      </tp>
      <tp t="e">
        <v>#N/A</v>
        <stp/>
        <stp>BDH|14138567199824279707</stp>
        <tr r="L52" s="22"/>
      </tp>
      <tp t="e">
        <v>#N/A</v>
        <stp/>
        <stp>BDH|14915444091693465146</stp>
        <tr r="G45" s="6"/>
      </tp>
      <tp t="e">
        <v>#N/A</v>
        <stp/>
        <stp>BDH|11700685675218436326</stp>
        <tr r="Q64" s="12"/>
      </tp>
      <tp t="e">
        <v>#N/A</v>
        <stp/>
        <stp>BDH|13789399880116139532</stp>
        <tr r="S73" s="18"/>
      </tp>
      <tp t="e">
        <v>#N/A</v>
        <stp/>
        <stp>BDH|15157963817791444785</stp>
        <tr r="R77" s="12"/>
      </tp>
      <tp t="e">
        <v>#N/A</v>
        <stp/>
        <stp>BDH|10457223079099731742</stp>
        <tr r="I97" s="12"/>
      </tp>
      <tp t="e">
        <v>#N/A</v>
        <stp/>
        <stp>BDH|10579031640096949935</stp>
        <tr r="D15" s="34"/>
      </tp>
      <tp t="e">
        <v>#N/A</v>
        <stp/>
        <stp>BDH|11708094444198652607</stp>
        <tr r="J47" s="24"/>
      </tp>
      <tp t="e">
        <v>#N/A</v>
        <stp/>
        <stp>BDH|10422686545298103140</stp>
        <tr r="O61" s="17"/>
      </tp>
      <tp t="e">
        <v>#N/A</v>
        <stp/>
        <stp>BDH|18052183803233550127</stp>
        <tr r="F22" s="21"/>
      </tp>
      <tp t="e">
        <v>#N/A</v>
        <stp/>
        <stp>BDH|16650387922819789574</stp>
        <tr r="AA9" s="17"/>
      </tp>
      <tp t="e">
        <v>#N/A</v>
        <stp/>
        <stp>BDH|11938810352884481327</stp>
        <tr r="H73" s="24"/>
      </tp>
      <tp t="e">
        <v>#N/A</v>
        <stp/>
        <stp>BDH|13729869081360853876</stp>
        <tr r="V17" s="34"/>
      </tp>
      <tp t="e">
        <v>#N/A</v>
        <stp/>
        <stp>BDH|12370175509278732058</stp>
        <tr r="S8" s="24"/>
      </tp>
      <tp t="e">
        <v>#N/A</v>
        <stp/>
        <stp>BDH|14493417132088054081</stp>
        <tr r="O39" s="17"/>
      </tp>
      <tp t="e">
        <v>#N/A</v>
        <stp/>
        <stp>BDH|11046888453493207461</stp>
        <tr r="H8" s="13"/>
      </tp>
      <tp t="e">
        <v>#N/A</v>
        <stp/>
        <stp>BDH|16516725826358771099</stp>
        <tr r="F21" s="17"/>
        <tr r="F15" s="3"/>
      </tp>
      <tp t="e">
        <v>#N/A</v>
        <stp/>
        <stp>BDH|18079310817123186287</stp>
        <tr r="R66" s="18"/>
      </tp>
      <tp t="e">
        <v>#N/A</v>
        <stp/>
        <stp>BDH|16818188681691736595</stp>
        <tr r="U25" s="3"/>
      </tp>
      <tp t="e">
        <v>#N/A</v>
        <stp/>
        <stp>BDH|16521893531015397311</stp>
        <tr r="N121" s="18"/>
      </tp>
      <tp t="e">
        <v>#N/A</v>
        <stp/>
        <stp>BDH|13486675498780415703</stp>
        <tr r="H38" s="10"/>
        <tr r="H30" s="11"/>
      </tp>
      <tp t="e">
        <v>#N/A</v>
        <stp/>
        <stp>BDH|14017988966340432051</stp>
        <tr r="W25" s="22"/>
      </tp>
      <tp t="e">
        <v>#N/A</v>
        <stp/>
        <stp>BDH|17801887874811850232</stp>
        <tr r="J18" s="23"/>
      </tp>
      <tp t="e">
        <v>#N/A</v>
        <stp/>
        <stp>BDH|18236309049417603321</stp>
        <tr r="D90" s="18"/>
      </tp>
      <tp t="e">
        <v>#N/A</v>
        <stp/>
        <stp>BDH|15830029728115840950</stp>
        <tr r="G33" s="12"/>
      </tp>
      <tp t="e">
        <v>#N/A</v>
        <stp/>
        <stp>BDH|13074859228430234206</stp>
        <tr r="P22" s="5"/>
      </tp>
      <tp t="e">
        <v>#N/A</v>
        <stp/>
        <stp>BDH|16323058710549863516</stp>
        <tr r="S20" s="10"/>
      </tp>
      <tp t="e">
        <v>#N/A</v>
        <stp/>
        <stp>BDH|14097225283504812166</stp>
        <tr r="X60" s="21"/>
      </tp>
      <tp t="e">
        <v>#N/A</v>
        <stp/>
        <stp>BDH|14039999515401752646</stp>
        <tr r="I42" s="34"/>
      </tp>
      <tp t="e">
        <v>#N/A</v>
        <stp/>
        <stp>BDH|16385914139856310178</stp>
        <tr r="L84" s="18"/>
      </tp>
      <tp t="e">
        <v>#N/A</v>
        <stp/>
        <stp>BDH|11117177484770847358</stp>
        <tr r="O44" s="21"/>
      </tp>
      <tp t="e">
        <v>#N/A</v>
        <stp/>
        <stp>BDH|13528389821708276117</stp>
        <tr r="C136" s="18"/>
      </tp>
      <tp t="e">
        <v>#N/A</v>
        <stp/>
        <stp>BDH|10527252351055753999</stp>
        <tr r="X89" s="12"/>
      </tp>
      <tp t="e">
        <v>#N/A</v>
        <stp/>
        <stp>BDH|11269640498612256736</stp>
        <tr r="T25" s="24"/>
      </tp>
      <tp t="e">
        <v>#N/A</v>
        <stp/>
        <stp>BDH|11004130233009847177</stp>
        <tr r="P19" s="9"/>
      </tp>
      <tp t="e">
        <v>#N/A</v>
        <stp/>
        <stp>BDH|12848106392732077353</stp>
        <tr r="W49" s="24"/>
      </tp>
      <tp t="e">
        <v>#N/A</v>
        <stp/>
        <stp>BDH|10234966839582280309</stp>
        <tr r="Y15" s="10"/>
      </tp>
      <tp t="e">
        <v>#N/A</v>
        <stp/>
        <stp>BDH|11427031635400505986</stp>
        <tr r="O6" s="6"/>
      </tp>
      <tp t="e">
        <v>#N/A</v>
        <stp/>
        <stp>BDH|12660445787462826724</stp>
        <tr r="D60" s="12"/>
      </tp>
      <tp t="e">
        <v>#N/A</v>
        <stp/>
        <stp>BDH|12907464490361373531</stp>
        <tr r="Z96" s="12"/>
      </tp>
      <tp t="e">
        <v>#N/A</v>
        <stp/>
        <stp>BDH|14096791876909951694</stp>
        <tr r="Q9" s="26"/>
      </tp>
      <tp t="e">
        <v>#N/A</v>
        <stp/>
        <stp>BDH|10040963348151400756</stp>
        <tr r="G43" s="18"/>
      </tp>
      <tp t="e">
        <v>#N/A</v>
        <stp/>
        <stp>BDH|10636945679245676023</stp>
        <tr r="R51" s="18"/>
      </tp>
      <tp t="e">
        <v>#N/A</v>
        <stp/>
        <stp>BDH|12826075967047376847</stp>
        <tr r="W17" s="14"/>
      </tp>
      <tp t="e">
        <v>#N/A</v>
        <stp/>
        <stp>BDH|10955440494090541636</stp>
        <tr r="AA126" s="18"/>
      </tp>
      <tp t="e">
        <v>#N/A</v>
        <stp/>
        <stp>BDH|12887781688287299155</stp>
        <tr r="C10" s="22"/>
      </tp>
      <tp t="e">
        <v>#N/A</v>
        <stp/>
        <stp>BDH|13236397484581208224</stp>
        <tr r="G48" s="22"/>
      </tp>
      <tp t="e">
        <v>#N/A</v>
        <stp/>
        <stp>BDH|16915804016183700770</stp>
        <tr r="H38" s="26"/>
      </tp>
      <tp t="e">
        <v>#N/A</v>
        <stp/>
        <stp>BDH|13728800619341932086</stp>
        <tr r="G26" s="6"/>
      </tp>
      <tp t="e">
        <v>#N/A</v>
        <stp/>
        <stp>BDH|13817150336522168849</stp>
        <tr r="Z25" s="24"/>
      </tp>
      <tp t="e">
        <v>#N/A</v>
        <stp/>
        <stp>BDH|16769795163829256517</stp>
        <tr r="L56" s="11"/>
        <tr r="L24" s="4"/>
      </tp>
      <tp t="e">
        <v>#N/A</v>
        <stp/>
        <stp>BDH|11009540646799868249</stp>
        <tr r="T15" s="21"/>
      </tp>
      <tp t="e">
        <v>#N/A</v>
        <stp/>
        <stp>BDH|14716929858213611053</stp>
        <tr r="K23" s="18"/>
      </tp>
      <tp t="e">
        <v>#N/A</v>
        <stp/>
        <stp>BDH|14913206038807734983</stp>
        <tr r="S14" s="17"/>
        <tr r="S17" s="28"/>
      </tp>
      <tp t="e">
        <v>#N/A</v>
        <stp/>
        <stp>BDH|17812861832971231604</stp>
        <tr r="Z77" s="12"/>
      </tp>
      <tp t="e">
        <v>#N/A</v>
        <stp/>
        <stp>BDH|16222218493896754099</stp>
        <tr r="N49" s="22"/>
      </tp>
      <tp t="e">
        <v>#N/A</v>
        <stp/>
        <stp>BDH|14880596221750962872</stp>
        <tr r="L41" s="18"/>
      </tp>
      <tp t="e">
        <v>#N/A</v>
        <stp/>
        <stp>BDH|14633108951982881917</stp>
        <tr r="V15" s="11"/>
      </tp>
      <tp t="e">
        <v>#N/A</v>
        <stp/>
        <stp>BDH|17877372992264034238</stp>
        <tr r="S66" s="24"/>
      </tp>
      <tp t="e">
        <v>#N/A</v>
        <stp/>
        <stp>BDH|14045961970153909218</stp>
        <tr r="V23" s="22"/>
      </tp>
      <tp t="e">
        <v>#N/A</v>
        <stp/>
        <stp>BDH|16719124764228802274</stp>
        <tr r="O52" s="12"/>
      </tp>
      <tp t="e">
        <v>#N/A</v>
        <stp/>
        <stp>BDH|13746730009687327803</stp>
        <tr r="Q8" s="34"/>
      </tp>
      <tp t="e">
        <v>#N/A</v>
        <stp/>
        <stp>BDH|13264964705445922467</stp>
        <tr r="H34" s="6"/>
      </tp>
      <tp t="e">
        <v>#N/A</v>
        <stp/>
        <stp>BDH|18428616827535976255</stp>
        <tr r="W78" s="17"/>
      </tp>
      <tp t="e">
        <v>#N/A</v>
        <stp/>
        <stp>BDH|18207077435262749293</stp>
        <tr r="T14" s="10"/>
      </tp>
      <tp t="e">
        <v>#N/A</v>
        <stp/>
        <stp>BDH|12345497879539901344</stp>
        <tr r="U24" s="34"/>
      </tp>
      <tp t="e">
        <v>#N/A</v>
        <stp/>
        <stp>BDH|10750817319122258034</stp>
        <tr r="H107" s="18"/>
      </tp>
      <tp t="e">
        <v>#N/A</v>
        <stp/>
        <stp>BDH|17837718580724699717</stp>
        <tr r="V43" s="4"/>
      </tp>
      <tp t="e">
        <v>#N/A</v>
        <stp/>
        <stp>BDH|12512920049355573154</stp>
        <tr r="U64" s="10"/>
        <tr r="U25" s="4"/>
      </tp>
      <tp t="e">
        <v>#N/A</v>
        <stp/>
        <stp>BDH|12600780695347566004</stp>
        <tr r="G54" s="21"/>
      </tp>
      <tp t="e">
        <v>#N/A</v>
        <stp/>
        <stp>BDH|16836396639565250844</stp>
        <tr r="M61" s="12"/>
      </tp>
      <tp t="e">
        <v>#N/A</v>
        <stp/>
        <stp>BDH|10179801547602827502</stp>
        <tr r="Q80" s="18"/>
      </tp>
      <tp t="e">
        <v>#N/A</v>
        <stp/>
        <stp>BDH|16091505987893950301</stp>
        <tr r="F29" s="9"/>
      </tp>
      <tp t="e">
        <v>#N/A</v>
        <stp/>
        <stp>BDH|16664981920370039607</stp>
        <tr r="O21" s="20"/>
      </tp>
      <tp t="e">
        <v>#N/A</v>
        <stp/>
        <stp>BDH|11116338898473782332</stp>
        <tr r="I50" s="17"/>
      </tp>
      <tp t="e">
        <v>#N/A</v>
        <stp/>
        <stp>BDH|11769671829678358642</stp>
        <tr r="Q20" s="26"/>
      </tp>
      <tp t="e">
        <v>#N/A</v>
        <stp/>
        <stp>BDH|13027616017496124994</stp>
        <tr r="T22" s="9"/>
      </tp>
      <tp t="e">
        <v>#N/A</v>
        <stp/>
        <stp>BDH|18067265790918967019</stp>
        <tr r="AA16" s="21"/>
      </tp>
      <tp t="e">
        <v>#N/A</v>
        <stp/>
        <stp>BDH|16277990783489359553</stp>
        <tr r="X25" s="24"/>
      </tp>
      <tp t="e">
        <v>#N/A</v>
        <stp/>
        <stp>BDH|16516783586031325364</stp>
        <tr r="F84" s="12"/>
      </tp>
      <tp t="e">
        <v>#N/A</v>
        <stp/>
        <stp>BDH|14906005932789896620</stp>
        <tr r="I15" s="24"/>
      </tp>
      <tp t="e">
        <v>#N/A</v>
        <stp/>
        <stp>BDH|14773885331003893471</stp>
        <tr r="I72" s="17"/>
      </tp>
      <tp t="e">
        <v>#N/A</v>
        <stp/>
        <stp>BDH|13234232935742674838</stp>
        <tr r="K49" s="22"/>
      </tp>
      <tp t="e">
        <v>#N/A</v>
        <stp/>
        <stp>BDH|16388310521498275702</stp>
        <tr r="C65" s="21"/>
      </tp>
      <tp t="e">
        <v>#N/A</v>
        <stp/>
        <stp>BDH|10008961705272198333</stp>
        <tr r="Q30" s="22"/>
      </tp>
      <tp t="e">
        <v>#N/A</v>
        <stp/>
        <stp>BDH|15123278684302241515</stp>
        <tr r="F74" s="18"/>
      </tp>
      <tp t="e">
        <v>#N/A</v>
        <stp/>
        <stp>BDH|17839282494967136344</stp>
        <tr r="Q8" s="22"/>
      </tp>
      <tp t="e">
        <v>#N/A</v>
        <stp/>
        <stp>BDH|14455879932113445446</stp>
        <tr r="F21" s="2"/>
      </tp>
      <tp t="e">
        <v>#N/A</v>
        <stp/>
        <stp>BDH|16234943810803059572</stp>
        <tr r="C16" s="29"/>
        <tr r="C36" s="29"/>
      </tp>
      <tp t="e">
        <v>#N/A</v>
        <stp/>
        <stp>BDH|14322910021864773352</stp>
        <tr r="W67" s="10"/>
      </tp>
      <tp t="e">
        <v>#N/A</v>
        <stp/>
        <stp>BDH|14915451220923419995</stp>
        <tr r="O21" s="24"/>
      </tp>
      <tp t="e">
        <v>#N/A</v>
        <stp/>
        <stp>BDH|12081977212770224266</stp>
        <tr r="Z74" s="17"/>
      </tp>
      <tp t="e">
        <v>#N/A</v>
        <stp/>
        <stp>BDH|14371456256084956986</stp>
        <tr r="F48" s="24"/>
      </tp>
      <tp t="e">
        <v>#N/A</v>
        <stp/>
        <stp>BDH|16349101383144336325</stp>
        <tr r="Y71" s="12"/>
      </tp>
      <tp t="e">
        <v>#N/A</v>
        <stp/>
        <stp>BDH|17830787358724145986</stp>
        <tr r="R52" s="22"/>
      </tp>
      <tp t="e">
        <v>#N/A</v>
        <stp/>
        <stp>BDH|14764820302574206042</stp>
        <tr r="F56" s="12"/>
      </tp>
      <tp t="e">
        <v>#N/A</v>
        <stp/>
        <stp>BDH|10607991548057715211</stp>
        <tr r="U15" s="11"/>
      </tp>
      <tp t="e">
        <v>#N/A</v>
        <stp/>
        <stp>BDH|12252902509202970132</stp>
        <tr r="F64" s="18"/>
      </tp>
      <tp t="e">
        <v>#N/A</v>
        <stp/>
        <stp>BDH|11084285835468564098</stp>
        <tr r="M38" s="29"/>
        <tr r="M18" s="29"/>
      </tp>
      <tp t="e">
        <v>#N/A</v>
        <stp/>
        <stp>BDH|13481696698856113250</stp>
        <tr r="Q155" s="18"/>
      </tp>
      <tp t="e">
        <v>#N/A</v>
        <stp/>
        <stp>BDH|10170956795248250021</stp>
        <tr r="O25" s="18"/>
      </tp>
      <tp t="e">
        <v>#N/A</v>
        <stp/>
        <stp>BDH|14128661995334230714</stp>
        <tr r="X6" s="16"/>
        <tr r="Y6" s="11"/>
        <tr r="Y10" s="4"/>
        <tr r="AA6" s="3"/>
      </tp>
      <tp t="e">
        <v>#N/A</v>
        <stp/>
        <stp>BDH|17145956985659953797</stp>
        <tr r="X169" s="18"/>
      </tp>
      <tp t="e">
        <v>#N/A</v>
        <stp/>
        <stp>BDH|16939690793684026521</stp>
        <tr r="O16" s="25"/>
      </tp>
      <tp t="e">
        <v>#N/A</v>
        <stp/>
        <stp>BDH|13392350197503921298</stp>
        <tr r="Z81" s="18"/>
      </tp>
      <tp t="e">
        <v>#N/A</v>
        <stp/>
        <stp>BDH|16870885234144659133</stp>
        <tr r="G76" s="17"/>
        <tr r="D9" s="9"/>
        <tr r="D9" s="5"/>
      </tp>
      <tp t="e">
        <v>#N/A</v>
        <stp/>
        <stp>BDH|13864496043339349202</stp>
        <tr r="V42" s="17"/>
      </tp>
      <tp t="e">
        <v>#N/A</v>
        <stp/>
        <stp>BDH|17154351134356159907</stp>
        <tr r="I22" s="27"/>
      </tp>
      <tp t="e">
        <v>#N/A</v>
        <stp/>
        <stp>BDH|12877672083610810457</stp>
        <tr r="Q85" s="18"/>
      </tp>
      <tp t="e">
        <v>#N/A</v>
        <stp/>
        <stp>BDH|14655624799522486189</stp>
        <tr r="N135" s="18"/>
      </tp>
      <tp t="e">
        <v>#N/A</v>
        <stp/>
        <stp>BDH|17536805999447868951</stp>
        <tr r="C20" s="11"/>
      </tp>
      <tp t="e">
        <v>#N/A</v>
        <stp/>
        <stp>BDH|11212420937906477834</stp>
        <tr r="I22" s="11"/>
      </tp>
      <tp t="e">
        <v>#N/A</v>
        <stp/>
        <stp>BDH|11106709865860082842</stp>
        <tr r="H154" s="18"/>
      </tp>
      <tp t="e">
        <v>#N/A</v>
        <stp/>
        <stp>BDH|14681977203254014127</stp>
        <tr r="X54" s="17"/>
      </tp>
      <tp t="e">
        <v>#N/A</v>
        <stp/>
        <stp>BDH|10776170484762530319</stp>
        <tr r="L22" s="9"/>
      </tp>
      <tp t="e">
        <v>#N/A</v>
        <stp/>
        <stp>BDH|14020239667138020041</stp>
        <tr r="O47" s="17"/>
      </tp>
      <tp t="e">
        <v>#N/A</v>
        <stp/>
        <stp>BDH|10840050542928838476</stp>
        <tr r="Y30" s="26"/>
      </tp>
      <tp t="e">
        <v>#N/A</v>
        <stp/>
        <stp>BDH|11329648559652641880</stp>
        <tr r="I54" s="18"/>
      </tp>
      <tp t="e">
        <v>#N/A</v>
        <stp/>
        <stp>BDH|16270152541953152871</stp>
        <tr r="S48" s="17"/>
      </tp>
      <tp t="e">
        <v>#N/A</v>
        <stp/>
        <stp>BDH|17547645997274643408</stp>
        <tr r="K16" s="34"/>
      </tp>
      <tp t="e">
        <v>#N/A</v>
        <stp/>
        <stp>BDH|17619948840625197739</stp>
        <tr r="U49" s="22"/>
      </tp>
      <tp t="e">
        <v>#N/A</v>
        <stp/>
        <stp>BDH|10950389492535305706</stp>
        <tr r="F26" s="6"/>
      </tp>
      <tp t="e">
        <v>#N/A</v>
        <stp/>
        <stp>BDH|12280260790695351475</stp>
        <tr r="R59" s="13"/>
      </tp>
      <tp t="e">
        <v>#N/A</v>
        <stp/>
        <stp>BDH|12386361853184558833</stp>
        <tr r="F14" s="14"/>
      </tp>
      <tp t="e">
        <v>#N/A</v>
        <stp/>
        <stp>BDH|18271808461629332704</stp>
        <tr r="S153" s="18"/>
      </tp>
      <tp t="e">
        <v>#N/A</v>
        <stp/>
        <stp>BDH|12206697178552189927</stp>
        <tr r="AA32" s="26"/>
      </tp>
      <tp t="e">
        <v>#N/A</v>
        <stp/>
        <stp>BDH|10721460119865973811</stp>
        <tr r="K109" s="12"/>
      </tp>
      <tp t="e">
        <v>#N/A</v>
        <stp/>
        <stp>BDH|18197330576521164559</stp>
        <tr r="L112" s="12"/>
      </tp>
      <tp t="e">
        <v>#N/A</v>
        <stp/>
        <stp>BDH|10040621680646231003</stp>
        <tr r="J39" s="26"/>
      </tp>
      <tp t="e">
        <v>#N/A</v>
        <stp/>
        <stp>BDH|15065979044765125528</stp>
        <tr r="F50" s="17"/>
      </tp>
      <tp t="e">
        <v>#N/A</v>
        <stp/>
        <stp>BDH|15506473026708235365</stp>
        <tr r="P9" s="34"/>
      </tp>
      <tp t="e">
        <v>#N/A</v>
        <stp/>
        <stp>BDH|11027116307781141976</stp>
        <tr r="W19" s="6"/>
      </tp>
      <tp t="e">
        <v>#N/A</v>
        <stp/>
        <stp>BDH|17651843326856270368</stp>
        <tr r="Y63" s="12"/>
      </tp>
      <tp t="e">
        <v>#N/A</v>
        <stp/>
        <stp>BDH|15155813320653476447</stp>
        <tr r="W128" s="18"/>
      </tp>
      <tp t="e">
        <v>#N/A</v>
        <stp/>
        <stp>BDH|15477981844093188399</stp>
        <tr r="J30" s="5"/>
      </tp>
      <tp t="e">
        <v>#N/A</v>
        <stp/>
        <stp>BDH|12073364284180521177</stp>
        <tr r="P15" s="21"/>
      </tp>
      <tp t="e">
        <v>#N/A</v>
        <stp/>
        <stp>BDH|13330350156348822585</stp>
        <tr r="L34" s="13"/>
        <tr r="J30" s="10"/>
      </tp>
      <tp t="e">
        <v>#N/A</v>
        <stp/>
        <stp>BDH|16405673990408683959</stp>
        <tr r="AA18" s="18"/>
      </tp>
      <tp t="e">
        <v>#N/A</v>
        <stp/>
        <stp>BDH|17445726597673449256</stp>
        <tr r="K77" s="17"/>
        <tr r="K19" s="3"/>
      </tp>
      <tp t="e">
        <v>#N/A</v>
        <stp/>
        <stp>BDH|15620353338478275594</stp>
        <tr r="K157" s="18"/>
      </tp>
      <tp t="e">
        <v>#N/A</v>
        <stp/>
        <stp>BDH|12912096321370569847</stp>
        <tr r="AA28" s="18"/>
      </tp>
      <tp t="e">
        <v>#N/A</v>
        <stp/>
        <stp>BDH|14236135886713420636</stp>
        <tr r="Y32" s="12"/>
      </tp>
      <tp t="e">
        <v>#N/A</v>
        <stp/>
        <stp>BDH|15864237562689807012</stp>
        <tr r="M53" s="12"/>
      </tp>
      <tp t="e">
        <v>#N/A</v>
        <stp/>
        <stp>BDH|12211156098107709583</stp>
        <tr r="F14" s="11"/>
      </tp>
      <tp t="e">
        <v>#N/A</v>
        <stp/>
        <stp>BDH|15901386525109707532</stp>
        <tr r="D47" s="13"/>
      </tp>
      <tp t="e">
        <v>#N/A</v>
        <stp/>
        <stp>BDH|15097549131819252279</stp>
        <tr r="Q25" s="3"/>
      </tp>
      <tp t="e">
        <v>#N/A</v>
        <stp/>
        <stp>BDH|11991890433133452179</stp>
        <tr r="K33" s="10"/>
        <tr r="K25" s="11"/>
      </tp>
      <tp t="e">
        <v>#N/A</v>
        <stp/>
        <stp>BDH|14931317088113652464</stp>
        <tr r="P20" s="11"/>
      </tp>
      <tp t="e">
        <v>#N/A</v>
        <stp/>
        <stp>BDH|13017573381904321262</stp>
        <tr r="D7" s="30"/>
      </tp>
      <tp t="e">
        <v>#N/A</v>
        <stp/>
        <stp>BDH|16202354625779517649</stp>
        <tr r="Q15" s="23"/>
        <tr r="O58" s="11"/>
      </tp>
      <tp t="e">
        <v>#N/A</v>
        <stp/>
        <stp>BDH|13813171485912910003</stp>
        <tr r="C81" s="12"/>
      </tp>
      <tp t="e">
        <v>#N/A</v>
        <stp/>
        <stp>BDH|16525336297060499467</stp>
        <tr r="O17" s="11"/>
      </tp>
      <tp t="e">
        <v>#N/A</v>
        <stp/>
        <stp>BDH|18178063223651324349</stp>
        <tr r="T45" s="21"/>
      </tp>
      <tp t="e">
        <v>#N/A</v>
        <stp/>
        <stp>BDH|15668935913222586701</stp>
        <tr r="D26" s="26"/>
      </tp>
      <tp t="e">
        <v>#N/A</v>
        <stp/>
        <stp>BDH|15829825840372087393</stp>
        <tr r="N30" s="17"/>
      </tp>
      <tp t="e">
        <v>#N/A</v>
        <stp/>
        <stp>BDH|13431499792390432684</stp>
        <tr r="Z32" s="24"/>
      </tp>
      <tp t="e">
        <v>#N/A</v>
        <stp/>
        <stp>BDH|11728348253426694959</stp>
        <tr r="R95" s="12"/>
      </tp>
      <tp t="e">
        <v>#N/A</v>
        <stp/>
        <stp>BDH|12935298644004726804</stp>
        <tr r="I37" s="21"/>
        <tr r="I24" s="3"/>
      </tp>
      <tp t="e">
        <v>#N/A</v>
        <stp/>
        <stp>BDH|18102746953380513208</stp>
        <tr r="T68" s="10"/>
      </tp>
      <tp t="e">
        <v>#N/A</v>
        <stp/>
        <stp>BDH|11285877283129376065</stp>
        <tr r="Y65" s="10"/>
        <tr r="Y39" s="4"/>
      </tp>
      <tp t="e">
        <v>#N/A</v>
        <stp/>
        <stp>BDH|10883725048508521346</stp>
        <tr r="E131" s="18"/>
      </tp>
      <tp t="e">
        <v>#N/A</v>
        <stp/>
        <stp>BDH|17148121384062029445</stp>
        <tr r="T66" s="10"/>
      </tp>
      <tp t="e">
        <v>#N/A</v>
        <stp/>
        <stp>BDH|12744608684637786370</stp>
        <tr r="T46" s="13"/>
      </tp>
      <tp t="e">
        <v>#N/A</v>
        <stp/>
        <stp>BDH|14611844711384338137</stp>
        <tr r="O21" s="3"/>
      </tp>
      <tp t="e">
        <v>#N/A</v>
        <stp/>
        <stp>BDH|13392387003679393181</stp>
        <tr r="S35" s="24"/>
      </tp>
      <tp t="e">
        <v>#N/A</v>
        <stp/>
        <stp>BDH|12054117477058365464</stp>
        <tr r="D43" s="17"/>
        <tr r="D9" s="25"/>
      </tp>
      <tp t="e">
        <v>#N/A</v>
        <stp/>
        <stp>BDH|16855206983432928613</stp>
        <tr r="U11" s="17"/>
      </tp>
      <tp t="e">
        <v>#N/A</v>
        <stp/>
        <stp>BDH|16635802215202735575</stp>
        <tr r="I59" s="17"/>
      </tp>
      <tp t="e">
        <v>#N/A</v>
        <stp/>
        <stp>BDH|17952956503261519794</stp>
        <tr r="O25" s="27"/>
      </tp>
      <tp t="e">
        <v>#N/A</v>
        <stp/>
        <stp>BDH|14770789857317998920</stp>
        <tr r="H35" s="18"/>
      </tp>
      <tp t="e">
        <v>#N/A</v>
        <stp/>
        <stp>BDH|12345536651973566979</stp>
        <tr r="D133" s="18"/>
      </tp>
      <tp t="e">
        <v>#N/A</v>
        <stp/>
        <stp>BDH|14524675634380471908</stp>
        <tr r="AA75" s="24"/>
      </tp>
      <tp t="e">
        <v>#N/A</v>
        <stp/>
        <stp>BDH|18252137878835243395</stp>
        <tr r="X19" s="14"/>
      </tp>
      <tp t="e">
        <v>#N/A</v>
        <stp/>
        <stp>BDH|10828488907459664533</stp>
        <tr r="V69" s="17"/>
      </tp>
      <tp t="e">
        <v>#N/A</v>
        <stp/>
        <stp>BDH|17314144763591284942</stp>
        <tr r="S147" s="18"/>
      </tp>
      <tp t="e">
        <v>#N/A</v>
        <stp/>
        <stp>BDH|11671708859879447299</stp>
        <tr r="X20" s="10"/>
      </tp>
      <tp t="e">
        <v>#N/A</v>
        <stp/>
        <stp>BDH|11147178597022311307</stp>
        <tr r="H72" s="24"/>
      </tp>
      <tp t="e">
        <v>#N/A</v>
        <stp/>
        <stp>BDH|15033178987021278506</stp>
        <tr r="G58" s="17"/>
      </tp>
      <tp t="e">
        <v>#N/A</v>
        <stp/>
        <stp>BDH|10342484387806948275</stp>
        <tr r="P46" s="13"/>
      </tp>
      <tp t="e">
        <v>#N/A</v>
        <stp/>
        <stp>BDH|13386429172070919889</stp>
        <tr r="O77" s="12"/>
      </tp>
      <tp t="e">
        <v>#N/A</v>
        <stp/>
        <stp>BDH|17095472562819491433</stp>
        <tr r="X24" s="17"/>
      </tp>
      <tp t="e">
        <v>#N/A</v>
        <stp/>
        <stp>BDH|14231935410291281514</stp>
        <tr r="M36" s="18"/>
      </tp>
      <tp t="e">
        <v>#N/A</v>
        <stp/>
        <stp>BDH|12505942032488781866</stp>
        <tr r="D75" s="24"/>
      </tp>
      <tp t="e">
        <v>#N/A</v>
        <stp/>
        <stp>BDH|17833253677588194294</stp>
        <tr r="V9" s="24"/>
      </tp>
      <tp t="e">
        <v>#N/A</v>
        <stp/>
        <stp>BDH|17591543096407456413</stp>
        <tr r="I26" s="21"/>
      </tp>
      <tp t="e">
        <v>#N/A</v>
        <stp/>
        <stp>BDH|11116307426539381163</stp>
        <tr r="C36" s="4"/>
      </tp>
      <tp t="e">
        <v>#N/A</v>
        <stp/>
        <stp>BDH|12449308983283158243</stp>
        <tr r="V50" s="34"/>
      </tp>
      <tp t="e">
        <v>#N/A</v>
        <stp/>
        <stp>BDH|14923287581980447667</stp>
        <tr r="F8" s="28"/>
      </tp>
      <tp t="e">
        <v>#N/A</v>
        <stp/>
        <stp>BDH|10056177454919759561</stp>
        <tr r="V94" s="17"/>
      </tp>
      <tp t="e">
        <v>#N/A</v>
        <stp/>
        <stp>BDH|18262506433330580664</stp>
        <tr r="S107" s="18"/>
      </tp>
      <tp t="e">
        <v>#N/A</v>
        <stp/>
        <stp>BDH|15179354281585383341</stp>
        <tr r="AA15" s="21"/>
      </tp>
      <tp t="e">
        <v>#N/A</v>
        <stp/>
        <stp>BDH|10489824350246146354</stp>
        <tr r="Y66" s="24"/>
      </tp>
      <tp t="e">
        <v>#N/A</v>
        <stp/>
        <stp>BDH|16884771999629535912</stp>
        <tr r="Q45" s="22"/>
      </tp>
      <tp t="e">
        <v>#N/A</v>
        <stp/>
        <stp>BDH|14759511604881435841</stp>
        <tr r="T19" s="10"/>
      </tp>
      <tp t="e">
        <v>#N/A</v>
        <stp/>
        <stp>BDH|14331821344113664319</stp>
        <tr r="V14" s="17"/>
        <tr r="V17" s="28"/>
      </tp>
      <tp t="e">
        <v>#N/A</v>
        <stp/>
        <stp>BDH|13335217281324924589</stp>
        <tr r="T155" s="18"/>
      </tp>
      <tp t="e">
        <v>#N/A</v>
        <stp/>
        <stp>BDH|10166075783166278656</stp>
        <tr r="E14" s="8"/>
      </tp>
      <tp t="e">
        <v>#N/A</v>
        <stp/>
        <stp>BDH|14906975054041036185</stp>
        <tr r="U11" s="22"/>
      </tp>
      <tp t="e">
        <v>#N/A</v>
        <stp/>
        <stp>BDH|17453805575533732344</stp>
        <tr r="W11" s="14"/>
      </tp>
      <tp t="e">
        <v>#N/A</v>
        <stp/>
        <stp>BDH|12153660866468582268</stp>
        <tr r="V9" s="28"/>
      </tp>
      <tp t="e">
        <v>#N/A</v>
        <stp/>
        <stp>BDH|10715116951935464919</stp>
        <tr r="P30" s="24"/>
      </tp>
      <tp t="e">
        <v>#N/A</v>
        <stp/>
        <stp>BDH|10317435460439194338</stp>
        <tr r="U20" s="18"/>
      </tp>
      <tp t="e">
        <v>#N/A</v>
        <stp/>
        <stp>BDH|13692611885961962497</stp>
        <tr r="E57" s="24"/>
      </tp>
      <tp t="e">
        <v>#N/A</v>
        <stp/>
        <stp>BDH|13875159428260199865</stp>
        <tr r="V84" s="12"/>
      </tp>
      <tp t="e">
        <v>#N/A</v>
        <stp/>
        <stp>BDH|14293852243357000768</stp>
        <tr r="T64" s="21"/>
        <tr r="R23" s="7"/>
      </tp>
      <tp t="e">
        <v>#N/A</v>
        <stp/>
        <stp>BDH|10278331486230769322</stp>
        <tr r="W23" s="23"/>
      </tp>
      <tp t="e">
        <v>#N/A</v>
        <stp/>
        <stp>BDH|10537843090130505961</stp>
        <tr r="L68" s="12"/>
      </tp>
      <tp t="e">
        <v>#N/A</v>
        <stp/>
        <stp>BDH|10749664357923670829</stp>
        <tr r="R22" s="4"/>
      </tp>
      <tp t="e">
        <v>#N/A</v>
        <stp/>
        <stp>BDH|12356956839194552480</stp>
        <tr r="S21" s="17"/>
        <tr r="S15" s="3"/>
      </tp>
      <tp t="e">
        <v>#N/A</v>
        <stp/>
        <stp>BDH|16762464116169372263</stp>
        <tr r="V25" s="24"/>
      </tp>
      <tp t="e">
        <v>#N/A</v>
        <stp/>
        <stp>BDH|10033856359540774590</stp>
        <tr r="D61" s="34"/>
      </tp>
      <tp t="e">
        <v>#N/A</v>
        <stp/>
        <stp>BDH|13461767953149508066</stp>
        <tr r="D13" s="23"/>
      </tp>
      <tp t="e">
        <v>#N/A</v>
        <stp/>
        <stp>BDH|18257643650654503716</stp>
        <tr r="H142" s="18"/>
      </tp>
      <tp t="e">
        <v>#N/A</v>
        <stp/>
        <stp>BDH|10339394322510839927</stp>
        <tr r="H60" s="11"/>
      </tp>
      <tp t="e">
        <v>#N/A</v>
        <stp/>
        <stp>BDH|13717574947042365866</stp>
        <tr r="H42" s="17"/>
      </tp>
      <tp t="e">
        <v>#N/A</v>
        <stp/>
        <stp>BDH|14260981769610909384</stp>
        <tr r="U43" s="10"/>
        <tr r="W39" s="13"/>
        <tr r="U35" s="11"/>
        <tr r="W8" s="3"/>
        <tr r="U52" s="4"/>
      </tp>
      <tp t="e">
        <v>#N/A</v>
        <stp/>
        <stp>BDH|15296074286906851395</stp>
        <tr r="E12" s="11"/>
      </tp>
      <tp t="e">
        <v>#N/A</v>
        <stp/>
        <stp>BDH|16415533414932190806</stp>
        <tr r="G23" s="10"/>
      </tp>
      <tp t="e">
        <v>#N/A</v>
        <stp/>
        <stp>BDH|15567195657261732899</stp>
        <tr r="Y33" s="12"/>
      </tp>
      <tp t="e">
        <v>#N/A</v>
        <stp/>
        <stp>BDH|15368569316449469026</stp>
        <tr r="C19" s="12"/>
      </tp>
      <tp t="e">
        <v>#N/A</v>
        <stp/>
        <stp>BDH|16440897551666991507</stp>
        <tr r="T55" s="17"/>
      </tp>
      <tp t="e">
        <v>#N/A</v>
        <stp/>
        <stp>BDH|18397466766313333154</stp>
        <tr r="N54" s="34"/>
      </tp>
      <tp t="e">
        <v>#N/A</v>
        <stp/>
        <stp>BDH|12304305095464596462</stp>
        <tr r="N162" s="18"/>
      </tp>
      <tp t="e">
        <v>#N/A</v>
        <stp/>
        <stp>BDH|15172077595610190475</stp>
        <tr r="H14" s="27"/>
        <tr r="H28" s="25"/>
      </tp>
      <tp t="e">
        <v>#N/A</v>
        <stp/>
        <stp>BDH|15003282023878728591</stp>
        <tr r="G16" s="17"/>
        <tr r="G19" s="28"/>
      </tp>
      <tp t="e">
        <v>#N/A</v>
        <stp/>
        <stp>BDH|12868972242971175693</stp>
        <tr r="Y24" s="29"/>
      </tp>
      <tp t="e">
        <v>#N/A</v>
        <stp/>
        <stp>BDH|16335943900761007628</stp>
        <tr r="V19" s="11"/>
      </tp>
      <tp t="e">
        <v>#N/A</v>
        <stp/>
        <stp>BDH|16564021753643280836</stp>
        <tr r="Y8" s="24"/>
      </tp>
      <tp t="e">
        <v>#N/A</v>
        <stp/>
        <stp>BDH|12636405960139107129</stp>
        <tr r="T9" s="28"/>
      </tp>
      <tp t="e">
        <v>#N/A</v>
        <stp/>
        <stp>BDH|10571603698943906413</stp>
        <tr r="X19" s="23"/>
        <tr r="V59" s="11"/>
      </tp>
      <tp t="e">
        <v>#N/A</v>
        <stp/>
        <stp>BDH|12318449543099000316</stp>
        <tr r="T39" s="18"/>
      </tp>
      <tp t="e">
        <v>#N/A</v>
        <stp/>
        <stp>BDH|15698909003760689461</stp>
        <tr r="C14" s="6"/>
      </tp>
      <tp t="e">
        <v>#N/A</v>
        <stp/>
        <stp>BDH|16441851863459750909</stp>
        <tr r="M66" s="12"/>
      </tp>
      <tp t="e">
        <v>#N/A</v>
        <stp/>
        <stp>BDH|14770288896665924256</stp>
        <tr r="U67" s="18"/>
      </tp>
      <tp t="e">
        <v>#N/A</v>
        <stp/>
        <stp>BDH|16955467005929842373</stp>
        <tr r="U149" s="18"/>
      </tp>
      <tp t="e">
        <v>#N/A</v>
        <stp/>
        <stp>BDH|14416656093726215552</stp>
        <tr r="L82" s="12"/>
      </tp>
      <tp t="e">
        <v>#N/A</v>
        <stp/>
        <stp>BDH|13598449994191464745</stp>
        <tr r="T48" s="21"/>
      </tp>
      <tp t="e">
        <v>#N/A</v>
        <stp/>
        <stp>BDH|17859373494091953471</stp>
        <tr r="J46" s="22"/>
      </tp>
      <tp t="e">
        <v>#N/A</v>
        <stp/>
        <stp>BDH|17940732599966344759</stp>
        <tr r="N29" s="12"/>
      </tp>
      <tp t="e">
        <v>#N/A</v>
        <stp/>
        <stp>BDH|13991262702589058089</stp>
        <tr r="N145" s="18"/>
      </tp>
      <tp t="e">
        <v>#N/A</v>
        <stp/>
        <stp>BDH|14523916324840486716</stp>
        <tr r="Z145" s="18"/>
      </tp>
      <tp t="e">
        <v>#N/A</v>
        <stp/>
        <stp>BDH|10045171393633961384</stp>
        <tr r="C17" s="29"/>
        <tr r="C37" s="29"/>
      </tp>
      <tp t="e">
        <v>#N/A</v>
        <stp/>
        <stp>BDH|17325109697376882191</stp>
        <tr r="H7" s="30"/>
      </tp>
      <tp t="e">
        <v>#N/A</v>
        <stp/>
        <stp>BDH|15753035182403400675</stp>
        <tr r="C60" s="21"/>
      </tp>
      <tp t="e">
        <v>#N/A</v>
        <stp/>
        <stp>BDH|17269875177221268156</stp>
        <tr r="Q53" s="13"/>
      </tp>
      <tp t="e">
        <v>#N/A</v>
        <stp/>
        <stp>BDH|16381261606875469927</stp>
        <tr r="L117" s="18"/>
      </tp>
      <tp t="e">
        <v>#N/A</v>
        <stp/>
        <stp>BDH|14486626594135287657</stp>
        <tr r="X41" s="18"/>
      </tp>
      <tp t="e">
        <v>#N/A</v>
        <stp/>
        <stp>BDH|14051132064228510374</stp>
        <tr r="Y102" s="12"/>
      </tp>
      <tp t="e">
        <v>#N/A</v>
        <stp/>
        <stp>BDH|13748896738711134121</stp>
        <tr r="W35" s="4"/>
      </tp>
      <tp t="e">
        <v>#N/A</v>
        <stp/>
        <stp>BDH|12092818610440747337</stp>
        <tr r="AA81" s="12"/>
      </tp>
      <tp t="e">
        <v>#N/A</v>
        <stp/>
        <stp>BDH|14227675223189413172</stp>
        <tr r="F12" s="18"/>
      </tp>
      <tp t="e">
        <v>#N/A</v>
        <stp/>
        <stp>BDH|12992606927077383983</stp>
        <tr r="P69" s="17"/>
      </tp>
      <tp t="e">
        <v>#N/A</v>
        <stp/>
        <stp>BDH|12201440150189503265</stp>
        <tr r="U8" s="34"/>
      </tp>
      <tp t="e">
        <v>#N/A</v>
        <stp/>
        <stp>BDH|11690802975525121378</stp>
        <tr r="V23" s="17"/>
      </tp>
      <tp t="e">
        <v>#N/A</v>
        <stp/>
        <stp>BDH|16434452896524393706</stp>
        <tr r="C169" s="18"/>
      </tp>
      <tp t="e">
        <v>#N/A</v>
        <stp/>
        <stp>BDH|13557991100921872301</stp>
        <tr r="I7" s="14"/>
      </tp>
      <tp t="e">
        <v>#N/A</v>
        <stp/>
        <stp>BDH|14870143888817145212</stp>
        <tr r="J38" s="29"/>
        <tr r="J18" s="29"/>
      </tp>
      <tp t="e">
        <v>#N/A</v>
        <stp/>
        <stp>BDH|15907897876327175539</stp>
        <tr r="U13" s="12"/>
      </tp>
      <tp t="e">
        <v>#N/A</v>
        <stp/>
        <stp>BDH|13525869863052492708</stp>
        <tr r="K47" s="18"/>
      </tp>
      <tp t="e">
        <v>#N/A</v>
        <stp/>
        <stp>BDH|15332556150955455863</stp>
        <tr r="W92" s="17"/>
        <tr r="W7" s="27"/>
      </tp>
      <tp t="e">
        <v>#N/A</v>
        <stp/>
        <stp>BDH|12190255041489594548</stp>
        <tr r="G42" s="4"/>
      </tp>
      <tp t="e">
        <v>#N/A</v>
        <stp/>
        <stp>BDH|13261988209702069076</stp>
        <tr r="N39" s="17"/>
      </tp>
      <tp t="e">
        <v>#N/A</v>
        <stp/>
        <stp>BDH|17252868753673016133</stp>
        <tr r="I32" s="24"/>
      </tp>
      <tp t="e">
        <v>#N/A</v>
        <stp/>
        <stp>BDH|10281899772871869657</stp>
        <tr r="O69" s="24"/>
      </tp>
      <tp t="e">
        <v>#N/A</v>
        <stp/>
        <stp>BDH|15051851405465712039</stp>
        <tr r="V78" s="24"/>
      </tp>
      <tp t="e">
        <v>#N/A</v>
        <stp/>
        <stp>BDH|16698453966475445952</stp>
        <tr r="O13" s="13"/>
      </tp>
      <tp t="e">
        <v>#N/A</v>
        <stp/>
        <stp>BDH|11726626473798080024</stp>
        <tr r="W59" s="18"/>
      </tp>
      <tp t="e">
        <v>#N/A</v>
        <stp/>
        <stp>BDH|11520428117035158950</stp>
        <tr r="N37" s="26"/>
      </tp>
      <tp t="e">
        <v>#N/A</v>
        <stp/>
        <stp>BDH|12495927152310647666</stp>
        <tr r="Z32" s="21"/>
      </tp>
      <tp t="e">
        <v>#N/A</v>
        <stp/>
        <stp>BDH|11494407244649473001</stp>
        <tr r="H36" s="18"/>
      </tp>
      <tp t="e">
        <v>#N/A</v>
        <stp/>
        <stp>BDH|15510378712046670923</stp>
        <tr r="L9" s="17"/>
      </tp>
      <tp t="e">
        <v>#N/A</v>
        <stp/>
        <stp>BDH|18351892062409982756</stp>
        <tr r="M22" s="24"/>
      </tp>
      <tp t="e">
        <v>#N/A</v>
        <stp/>
        <stp>BDH|10457590508068112508</stp>
        <tr r="F162" s="18"/>
      </tp>
      <tp t="e">
        <v>#N/A</v>
        <stp/>
        <stp>BDH|10369130372959658709</stp>
        <tr r="X22" s="18"/>
      </tp>
      <tp t="e">
        <v>#N/A</v>
        <stp/>
        <stp>BDH|14716622282065233713</stp>
        <tr r="H26" s="26"/>
      </tp>
      <tp t="e">
        <v>#N/A</v>
        <stp/>
        <stp>BDH|11948795667248688058</stp>
        <tr r="Q33" s="17"/>
      </tp>
      <tp t="e">
        <v>#N/A</v>
        <stp/>
        <stp>BDH|17850719811571996852</stp>
        <tr r="G15" s="11"/>
      </tp>
      <tp t="e">
        <v>#N/A</v>
        <stp/>
        <stp>BDH|18069194896089968126</stp>
        <tr r="G14" s="18"/>
      </tp>
      <tp t="e">
        <v>#N/A</v>
        <stp/>
        <stp>BDH|17857772806740818853</stp>
        <tr r="V118" s="18"/>
      </tp>
      <tp t="e">
        <v>#N/A</v>
        <stp/>
        <stp>BDH|13135010955209745764</stp>
        <tr r="P162" s="18"/>
      </tp>
      <tp t="e">
        <v>#N/A</v>
        <stp/>
        <stp>BDH|15219006582600457505</stp>
        <tr r="G25" s="7"/>
      </tp>
      <tp t="e">
        <v>#N/A</v>
        <stp/>
        <stp>BDH|16700945013212005446</stp>
        <tr r="L32" s="22"/>
      </tp>
      <tp t="e">
        <v>#N/A</v>
        <stp/>
        <stp>BDH|13498438596556574003</stp>
        <tr r="Z66" s="24"/>
      </tp>
      <tp t="e">
        <v>#N/A</v>
        <stp/>
        <stp>BDH|13649823190512570855</stp>
        <tr r="L14" s="20"/>
        <tr r="L115" s="18"/>
      </tp>
      <tp t="e">
        <v>#N/A</v>
        <stp/>
        <stp>BDH|17803347794936563398</stp>
        <tr r="I56" s="24"/>
      </tp>
      <tp t="e">
        <v>#N/A</v>
        <stp/>
        <stp>BDH|17718950420577218345</stp>
        <tr r="AA59" s="18"/>
      </tp>
      <tp t="e">
        <v>#N/A</v>
        <stp/>
        <stp>BDH|12019561243768434353</stp>
        <tr r="K45" s="13"/>
      </tp>
      <tp t="e">
        <v>#N/A</v>
        <stp/>
        <stp>BDH|14645688862884142897</stp>
        <tr r="T46" s="21"/>
      </tp>
      <tp t="e">
        <v>#N/A</v>
        <stp/>
        <stp>BDH|10084654563971667944</stp>
        <tr r="Z151" s="18"/>
      </tp>
      <tp t="e">
        <v>#N/A</v>
        <stp/>
        <stp>BDH|14105266911069341614</stp>
        <tr r="S122" s="18"/>
      </tp>
      <tp t="e">
        <v>#N/A</v>
        <stp/>
        <stp>BDH|17248715042924081856</stp>
        <tr r="W31" s="18"/>
      </tp>
      <tp t="e">
        <v>#N/A</v>
        <stp/>
        <stp>BDH|10142717986316213104</stp>
        <tr r="U21" s="21"/>
      </tp>
      <tp t="e">
        <v>#N/A</v>
        <stp/>
        <stp>BDH|13510389101400018888</stp>
        <tr r="H7" s="14"/>
      </tp>
      <tp t="e">
        <v>#N/A</v>
        <stp/>
        <stp>BDH|15472953566285716742</stp>
        <tr r="Q29" s="6"/>
      </tp>
      <tp t="e">
        <v>#N/A</v>
        <stp/>
        <stp>BDH|12579663390525084042</stp>
        <tr r="O73" s="12"/>
      </tp>
      <tp t="e">
        <v>#N/A</v>
        <stp/>
        <stp>BDH|10038086839262199975</stp>
        <tr r="V10" s="6"/>
      </tp>
      <tp t="e">
        <v>#N/A</v>
        <stp/>
        <stp>BDH|10525492820716291894</stp>
        <tr r="T19" s="23"/>
        <tr r="R59" s="11"/>
      </tp>
      <tp t="e">
        <v>#N/A</v>
        <stp/>
        <stp>BDH|16060428900673213973</stp>
        <tr r="X14" s="27"/>
        <tr r="X28" s="25"/>
      </tp>
      <tp t="e">
        <v>#N/A</v>
        <stp/>
        <stp>BDH|12581418056608789324</stp>
        <tr r="C24" s="17"/>
      </tp>
      <tp t="e">
        <v>#N/A</v>
        <stp/>
        <stp>BDH|12789541259019974347</stp>
        <tr r="X36" s="18"/>
      </tp>
      <tp t="e">
        <v>#N/A</v>
        <stp/>
        <stp>BDH|14241535682696797737</stp>
        <tr r="E89" s="12"/>
      </tp>
      <tp t="e">
        <v>#N/A</v>
        <stp/>
        <stp>BDH|17293376197163345663</stp>
        <tr r="N13" s="6"/>
      </tp>
      <tp t="e">
        <v>#N/A</v>
        <stp/>
        <stp>BDH|13559999741536871026</stp>
        <tr r="P49" s="24"/>
      </tp>
      <tp t="e">
        <v>#N/A</v>
        <stp/>
        <stp>BDH|10676462947099697164</stp>
        <tr r="W45" s="12"/>
      </tp>
      <tp t="e">
        <v>#N/A</v>
        <stp/>
        <stp>BDH|14864858401335870132</stp>
        <tr r="I17" s="14"/>
      </tp>
      <tp t="e">
        <v>#N/A</v>
        <stp/>
        <stp>BDH|17445917346860723231</stp>
        <tr r="T14" s="18"/>
      </tp>
      <tp t="e">
        <v>#N/A</v>
        <stp/>
        <stp>BDH|12609694128276290820</stp>
        <tr r="J65" s="12"/>
      </tp>
      <tp t="e">
        <v>#N/A</v>
        <stp/>
        <stp>BDH|17137785718641263849</stp>
        <tr r="E96" s="18"/>
      </tp>
      <tp t="e">
        <v>#N/A</v>
        <stp/>
        <stp>BDH|13509914712105892692</stp>
        <tr r="N51" s="17"/>
      </tp>
      <tp t="e">
        <v>#N/A</v>
        <stp/>
        <stp>BDH|17134007696724445249</stp>
        <tr r="Q88" s="17"/>
      </tp>
      <tp t="e">
        <v>#N/A</v>
        <stp/>
        <stp>BDH|10127852530334296714</stp>
        <tr r="S38" s="26"/>
      </tp>
      <tp t="e">
        <v>#N/A</v>
        <stp/>
        <stp>BDH|16104951282819856692</stp>
        <tr r="G78" s="12"/>
      </tp>
      <tp t="e">
        <v>#N/A</v>
        <stp/>
        <stp>BDH|13324782137586980921</stp>
        <tr r="J35" s="21"/>
      </tp>
      <tp t="e">
        <v>#N/A</v>
        <stp/>
        <stp>BDH|13834074713498290296</stp>
        <tr r="S30" s="22"/>
      </tp>
      <tp t="e">
        <v>#N/A</v>
        <stp/>
        <stp>BDH|17800254487702500780</stp>
        <tr r="K49" s="21"/>
      </tp>
      <tp t="e">
        <v>#N/A</v>
        <stp/>
        <stp>BDH|10115183390071913170</stp>
        <tr r="F47" s="12"/>
      </tp>
      <tp t="e">
        <v>#N/A</v>
        <stp/>
        <stp>BDH|14924153709604771953</stp>
        <tr r="V25" s="26"/>
      </tp>
      <tp t="e">
        <v>#N/A</v>
        <stp/>
        <stp>BDH|13598111204879737301</stp>
        <tr r="E164" s="18"/>
      </tp>
      <tp t="e">
        <v>#N/A</v>
        <stp/>
        <stp>BDH|10000436302504057864</stp>
        <tr r="O21" s="34"/>
      </tp>
      <tp t="e">
        <v>#N/A</v>
        <stp/>
        <stp>BDH|12313616527779640746</stp>
        <tr r="S20" s="6"/>
      </tp>
      <tp t="e">
        <v>#N/A</v>
        <stp/>
        <stp>BDH|10838963302371831031</stp>
        <tr r="K41" s="34"/>
      </tp>
      <tp t="e">
        <v>#N/A</v>
        <stp/>
        <stp>BDH|12025811417086816593</stp>
        <tr r="F46" s="18"/>
      </tp>
      <tp t="e">
        <v>#N/A</v>
        <stp/>
        <stp>BDH|10698312207423091877</stp>
        <tr r="Y15" s="26"/>
      </tp>
      <tp t="e">
        <v>#N/A</v>
        <stp/>
        <stp>BDH|15163737818108578386</stp>
        <tr r="F16" s="29"/>
        <tr r="F36" s="29"/>
      </tp>
      <tp t="e">
        <v>#N/A</v>
        <stp/>
        <stp>BDH|10816070411571038897</stp>
        <tr r="F95" s="18"/>
      </tp>
      <tp t="e">
        <v>#N/A</v>
        <stp/>
        <stp>BDH|16571854263230046043</stp>
        <tr r="Z86" s="12"/>
      </tp>
      <tp t="e">
        <v>#N/A</v>
        <stp/>
        <stp>BDH|12065994555282349482</stp>
        <tr r="C103" s="12"/>
      </tp>
      <tp t="e">
        <v>#N/A</v>
        <stp/>
        <stp>BDH|16641313251931425958</stp>
        <tr r="Q28" s="22"/>
      </tp>
      <tp t="e">
        <v>#N/A</v>
        <stp/>
        <stp>BDH|17148233565388422342</stp>
        <tr r="E23" s="25"/>
        <tr r="C21" s="11"/>
      </tp>
      <tp t="e">
        <v>#N/A</v>
        <stp/>
        <stp>BDH|12236562493430647665</stp>
        <tr r="J26" s="18"/>
      </tp>
      <tp t="e">
        <v>#N/A</v>
        <stp/>
        <stp>BDH|14679085219285801884</stp>
        <tr r="K20" s="12"/>
      </tp>
      <tp t="e">
        <v>#N/A</v>
        <stp/>
        <stp>BDH|18036744944520411328</stp>
        <tr r="V42" s="34"/>
      </tp>
      <tp t="e">
        <v>#N/A</v>
        <stp/>
        <stp>BDH|17387586871629865445</stp>
        <tr r="P38" s="12"/>
      </tp>
      <tp t="e">
        <v>#N/A</v>
        <stp/>
        <stp>BDH|17013959370905735449</stp>
        <tr r="S142" s="18"/>
      </tp>
      <tp t="e">
        <v>#N/A</v>
        <stp/>
        <stp>BDH|10804009908941587932</stp>
        <tr r="X18" s="23"/>
      </tp>
      <tp t="e">
        <v>#N/A</v>
        <stp/>
        <stp>BDH|14066625621978519001</stp>
        <tr r="H119" s="18"/>
      </tp>
      <tp t="e">
        <v>#N/A</v>
        <stp/>
        <stp>BDH|11196834382931287846</stp>
        <tr r="I62" s="21"/>
      </tp>
      <tp t="e">
        <v>#N/A</v>
        <stp/>
        <stp>BDH|16432620829273008998</stp>
        <tr r="U72" s="12"/>
      </tp>
      <tp t="e">
        <v>#N/A</v>
        <stp/>
        <stp>BDH|14097138061393499802</stp>
        <tr r="O67" s="17"/>
        <tr r="O18" s="3"/>
      </tp>
      <tp t="e">
        <v>#N/A</v>
        <stp/>
        <stp>BDH|13692926503435558740</stp>
        <tr r="Y29" s="24"/>
      </tp>
      <tp t="e">
        <v>#N/A</v>
        <stp/>
        <stp>BDH|11658869794929696142</stp>
        <tr r="G14" s="4"/>
      </tp>
      <tp t="e">
        <v>#N/A</v>
        <stp/>
        <stp>BDH|15997990333076036154</stp>
        <tr r="U62" s="34"/>
      </tp>
      <tp t="e">
        <v>#N/A</v>
        <stp/>
        <stp>BDH|10685516444400441910</stp>
        <tr r="T53" s="18"/>
      </tp>
      <tp t="e">
        <v>#N/A</v>
        <stp/>
        <stp>BDH|10698162860729706611</stp>
        <tr r="Q11" s="11"/>
      </tp>
      <tp t="e">
        <v>#N/A</v>
        <stp/>
        <stp>BDH|17522241040569232058</stp>
        <tr r="O29" s="6"/>
      </tp>
      <tp t="e">
        <v>#N/A</v>
        <stp/>
        <stp>BDH|10619673313556536918</stp>
        <tr r="T49" s="34"/>
      </tp>
      <tp t="e">
        <v>#N/A</v>
        <stp/>
        <stp>BDH|17816028699765370365</stp>
        <tr r="H40" s="34"/>
      </tp>
      <tp t="e">
        <v>#N/A</v>
        <stp/>
        <stp>BDH|12416042903609205377</stp>
        <tr r="Z35" s="26"/>
      </tp>
      <tp t="e">
        <v>#N/A</v>
        <stp/>
        <stp>BDH|18039736264582901382</stp>
        <tr r="E7" s="11"/>
      </tp>
      <tp t="e">
        <v>#N/A</v>
        <stp/>
        <stp>BDH|10588322772588681456</stp>
        <tr r="H129" s="18"/>
      </tp>
      <tp t="e">
        <v>#N/A</v>
        <stp/>
        <stp>BDH|17470374780394518000</stp>
        <tr r="D56" s="24"/>
      </tp>
      <tp t="e">
        <v>#N/A</v>
        <stp/>
        <stp>BDH|15562754698787700495</stp>
        <tr r="C51" s="22"/>
      </tp>
      <tp t="e">
        <v>#N/A</v>
        <stp/>
        <stp>BDH|10037620816179323617</stp>
        <tr r="M171" s="18"/>
      </tp>
      <tp t="e">
        <v>#N/A</v>
        <stp/>
        <stp>BDH|16454937708464840315</stp>
        <tr r="L67" s="24"/>
      </tp>
      <tp t="e">
        <v>#N/A</v>
        <stp/>
        <stp>BDH|13620606709224094998</stp>
        <tr r="P22" s="11"/>
      </tp>
      <tp t="e">
        <v>#N/A</v>
        <stp/>
        <stp>BDH|18195761181458321739</stp>
        <tr r="L12" s="17"/>
      </tp>
      <tp t="e">
        <v>#N/A</v>
        <stp/>
        <stp>BDH|13717707083032133633</stp>
        <tr r="Q11" s="7"/>
      </tp>
      <tp t="e">
        <v>#N/A</v>
        <stp/>
        <stp>BDH|11194994443316500288</stp>
        <tr r="G22" s="21"/>
      </tp>
      <tp t="e">
        <v>#N/A</v>
        <stp/>
        <stp>BDH|12425460274568950194</stp>
        <tr r="Q43" s="11"/>
        <tr r="Q51" s="10"/>
        <tr r="Q15" s="7"/>
      </tp>
      <tp t="e">
        <v>#N/A</v>
        <stp/>
        <stp>BDH|12671404895121124645</stp>
        <tr r="G44" s="17"/>
      </tp>
      <tp t="e">
        <v>#N/A</v>
        <stp/>
        <stp>BDH|13487184770668289587</stp>
        <tr r="L63" s="21"/>
      </tp>
      <tp t="e">
        <v>#N/A</v>
        <stp/>
        <stp>BDH|18009766384809099642</stp>
        <tr r="Y47" s="17"/>
      </tp>
      <tp t="e">
        <v>#N/A</v>
        <stp/>
        <stp>BDH|15352283117608201685</stp>
        <tr r="K41" s="21"/>
      </tp>
      <tp t="e">
        <v>#N/A</v>
        <stp/>
        <stp>BDH|13012990838534084578</stp>
        <tr r="S30" s="21"/>
      </tp>
      <tp t="e">
        <v>#N/A</v>
        <stp/>
        <stp>BDH|15910094428106945974</stp>
        <tr r="E6" s="8"/>
        <tr r="C48" s="6"/>
      </tp>
      <tp t="e">
        <v>#N/A</v>
        <stp/>
        <stp>BDH|11750488216858988496</stp>
        <tr r="P159" s="18"/>
      </tp>
      <tp t="e">
        <v>#N/A</v>
        <stp/>
        <stp>BDH|11783130986961834139</stp>
        <tr r="M32" s="11"/>
        <tr r="M40" s="10"/>
      </tp>
      <tp t="e">
        <v>#N/A</v>
        <stp/>
        <stp>BDH|17385482177164158845</stp>
        <tr r="D39" s="25"/>
        <tr r="D22" s="13"/>
        <tr r="D7" s="13"/>
        <tr r="D7" s="3"/>
      </tp>
      <tp t="e">
        <v>#N/A</v>
        <stp/>
        <stp>BDH|15912525690254555578</stp>
        <tr r="T62" s="12"/>
      </tp>
      <tp t="e">
        <v>#N/A</v>
        <stp/>
        <stp>BDH|11828155991971323066</stp>
        <tr r="W14" s="22"/>
      </tp>
      <tp t="e">
        <v>#N/A</v>
        <stp/>
        <stp>BDH|12830908331487253723</stp>
        <tr r="R122" s="18"/>
      </tp>
      <tp t="e">
        <v>#N/A</v>
        <stp/>
        <stp>BDH|15030213493940356685</stp>
        <tr r="C61" s="34"/>
      </tp>
      <tp t="e">
        <v>#N/A</v>
        <stp/>
        <stp>BDH|16790426943428661695</stp>
        <tr r="X16" s="27"/>
        <tr r="X30" s="25"/>
      </tp>
      <tp t="e">
        <v>#N/A</v>
        <stp/>
        <stp>BDH|16065915509751485654</stp>
        <tr r="E125" s="18"/>
      </tp>
      <tp t="e">
        <v>#N/A</v>
        <stp/>
        <stp>BDH|13787959123474893404</stp>
        <tr r="C53" s="12"/>
      </tp>
      <tp t="e">
        <v>#N/A</v>
        <stp/>
        <stp>BDH|13069864078810557420</stp>
        <tr r="R127" s="18"/>
      </tp>
      <tp t="e">
        <v>#N/A</v>
        <stp/>
        <stp>BDH|16076891043362130029</stp>
        <tr r="X35" s="25"/>
      </tp>
      <tp t="e">
        <v>#N/A</v>
        <stp/>
        <stp>BDH|16938795511769989117</stp>
        <tr r="M22" s="18"/>
      </tp>
      <tp t="e">
        <v>#N/A</v>
        <stp/>
        <stp>BDH|12271804286913415997</stp>
        <tr r="U12" s="22"/>
      </tp>
      <tp t="e">
        <v>#N/A</v>
        <stp/>
        <stp>BDH|12517572641953836825</stp>
        <tr r="H25" s="17"/>
      </tp>
      <tp t="e">
        <v>#N/A</v>
        <stp/>
        <stp>BDH|16869730495176512625</stp>
        <tr r="F106" s="12"/>
      </tp>
      <tp t="e">
        <v>#N/A</v>
        <stp/>
        <stp>BDH|16045563361455951875</stp>
        <tr r="C141" s="18"/>
      </tp>
      <tp t="e">
        <v>#N/A</v>
        <stp/>
        <stp>BDH|16846476234578709156</stp>
        <tr r="V64" s="24"/>
      </tp>
      <tp t="e">
        <v>#N/A</v>
        <stp/>
        <stp>BDH|15191379096161912601</stp>
        <tr r="Z156" s="18"/>
      </tp>
      <tp t="e">
        <v>#N/A</v>
        <stp/>
        <stp>BDH|13223115802698086288</stp>
        <tr r="E32" s="21"/>
      </tp>
      <tp t="e">
        <v>#N/A</v>
        <stp/>
        <stp>BDH|10793986004254594575</stp>
        <tr r="D44" s="13"/>
      </tp>
      <tp t="e">
        <v>#N/A</v>
        <stp/>
        <stp>BDH|16843220996550296578</stp>
        <tr r="V44" s="11"/>
        <tr r="V52" s="10"/>
        <tr r="V16" s="7"/>
      </tp>
      <tp t="e">
        <v>#N/A</v>
        <stp/>
        <stp>BDH|13183989052032565577</stp>
        <tr r="Q26" s="6"/>
      </tp>
      <tp t="e">
        <v>#N/A</v>
        <stp/>
        <stp>BDH|16976564562328068541</stp>
        <tr r="S52" s="17"/>
        <tr r="S17" s="3"/>
      </tp>
      <tp t="e">
        <v>#N/A</v>
        <stp/>
        <stp>BDH|15478526908698763006</stp>
        <tr r="E104" s="12"/>
      </tp>
      <tp t="e">
        <v>#N/A</v>
        <stp/>
        <stp>BDH|18246291647794142241</stp>
        <tr r="R85" s="17"/>
      </tp>
      <tp t="e">
        <v>#N/A</v>
        <stp/>
        <stp>BDH|16370991940324652755</stp>
        <tr r="K13" s="9"/>
      </tp>
      <tp t="e">
        <v>#N/A</v>
        <stp/>
        <stp>BDH|14171901845756878753</stp>
        <tr r="D67" s="34"/>
      </tp>
      <tp t="e">
        <v>#N/A</v>
        <stp/>
        <stp>BDH|12052831845430995672</stp>
        <tr r="Q12" s="18"/>
      </tp>
      <tp t="e">
        <v>#N/A</v>
        <stp/>
        <stp>BDH|15745329988623700520</stp>
        <tr r="C55" s="18"/>
      </tp>
      <tp t="e">
        <v>#N/A</v>
        <stp/>
        <stp>BDH|13040169296127970411</stp>
        <tr r="R7" s="30"/>
      </tp>
      <tp t="e">
        <v>#N/A</v>
        <stp/>
        <stp>BDH|11609529722066685888</stp>
        <tr r="K65" s="21"/>
        <tr r="H28" s="6"/>
      </tp>
      <tp t="e">
        <v>#N/A</v>
        <stp/>
        <stp>BDH|16370774279598796626</stp>
        <tr r="F67" s="17"/>
        <tr r="F18" s="3"/>
      </tp>
      <tp t="e">
        <v>#N/A</v>
        <stp/>
        <stp>BDH|15777652893072144088</stp>
        <tr r="Y17" s="13"/>
      </tp>
      <tp t="e">
        <v>#N/A</v>
        <stp/>
        <stp>BDH|17883181698694633365</stp>
        <tr r="L40" s="17"/>
      </tp>
      <tp t="e">
        <v>#N/A</v>
        <stp/>
        <stp>BDH|16575924228150698512</stp>
        <tr r="E67" s="12"/>
      </tp>
      <tp t="e">
        <v>#N/A</v>
        <stp/>
        <stp>BDH|13865531323379051508</stp>
        <tr r="S19" s="14"/>
      </tp>
      <tp t="e">
        <v>#N/A</v>
        <stp/>
        <stp>BDH|10957547504365916889</stp>
        <tr r="Y47" s="24"/>
      </tp>
      <tp t="e">
        <v>#N/A</v>
        <stp/>
        <stp>BDH|16918620912948717160</stp>
        <tr r="N30" s="11"/>
        <tr r="N38" s="10"/>
      </tp>
      <tp t="e">
        <v>#N/A</v>
        <stp/>
        <stp>BDH|18398394614225361751</stp>
        <tr r="E94" s="12"/>
      </tp>
      <tp t="e">
        <v>#N/A</v>
        <stp/>
        <stp>BDH|13058579724825331989</stp>
        <tr r="O14" s="21"/>
      </tp>
      <tp t="e">
        <v>#N/A</v>
        <stp/>
        <stp>BDH|15681681900118779311</stp>
        <tr r="K43" s="24"/>
      </tp>
      <tp t="e">
        <v>#N/A</v>
        <stp/>
        <stp>BDH|18432196349577493284</stp>
        <tr r="Z17" s="12"/>
      </tp>
      <tp t="e">
        <v>#N/A</v>
        <stp/>
        <stp>BDH|14913695283412953028</stp>
        <tr r="R69" s="24"/>
      </tp>
      <tp t="e">
        <v>#N/A</v>
        <stp/>
        <stp>BDH|14681991076026229437</stp>
        <tr r="S6" s="28"/>
      </tp>
      <tp t="e">
        <v>#N/A</v>
        <stp/>
        <stp>BDH|10654450358950043934</stp>
        <tr r="Q63" s="24"/>
      </tp>
      <tp t="e">
        <v>#N/A</v>
        <stp/>
        <stp>BDH|12732844540226203096</stp>
        <tr r="Q47" s="18"/>
      </tp>
      <tp t="e">
        <v>#N/A</v>
        <stp/>
        <stp>BDH|17185477898361576339</stp>
        <tr r="G58" s="21"/>
        <tr r="G37" s="25"/>
        <tr r="E53" s="11"/>
        <tr r="E31" s="4"/>
      </tp>
      <tp t="e">
        <v>#N/A</v>
        <stp/>
        <stp>BDH|16310312377092460897</stp>
        <tr r="T35" s="13"/>
        <tr r="R31" s="10"/>
      </tp>
      <tp t="e">
        <v>#N/A</v>
        <stp/>
        <stp>BDH|14645708544029293687</stp>
        <tr r="J77" s="24"/>
      </tp>
      <tp t="e">
        <v>#N/A</v>
        <stp/>
        <stp>BDH|10929467092670607532</stp>
        <tr r="O13" s="10"/>
      </tp>
      <tp t="e">
        <v>#N/A</v>
        <stp/>
        <stp>BDH|13027885247531305643</stp>
        <tr r="E23" s="23"/>
      </tp>
      <tp t="e">
        <v>#N/A</v>
        <stp/>
        <stp>BDH|11056867402261506091</stp>
        <tr r="H22" s="4"/>
      </tp>
      <tp t="e">
        <v>#N/A</v>
        <stp/>
        <stp>BDH|12657568193885224397</stp>
        <tr r="D29" s="12"/>
      </tp>
      <tp t="e">
        <v>#N/A</v>
        <stp/>
        <stp>BDH|18034659452561672298</stp>
        <tr r="F31" s="21"/>
      </tp>
      <tp t="e">
        <v>#N/A</v>
        <stp/>
        <stp>BDH|17743192455768418377</stp>
        <tr r="O125" s="18"/>
      </tp>
      <tp t="e">
        <v>#N/A</v>
        <stp/>
        <stp>BDH|15230531735222804947</stp>
        <tr r="S42" s="17"/>
      </tp>
      <tp t="e">
        <v>#N/A</v>
        <stp/>
        <stp>BDH|11363964430410556384</stp>
        <tr r="M34" s="29"/>
        <tr r="M23" s="29"/>
        <tr r="M14" s="29"/>
      </tp>
      <tp t="e">
        <v>#N/A</v>
        <stp/>
        <stp>BDH|13929544848398878255</stp>
        <tr r="O18" s="26"/>
      </tp>
      <tp t="e">
        <v>#N/A</v>
        <stp/>
        <stp>BDH|16347886715170164773</stp>
        <tr r="S56" s="12"/>
      </tp>
      <tp t="e">
        <v>#N/A</v>
        <stp/>
        <stp>BDH|10115398921998647170</stp>
        <tr r="U14" s="17"/>
        <tr r="U17" s="28"/>
      </tp>
      <tp t="e">
        <v>#N/A</v>
        <stp/>
        <stp>BDH|11329937279890107736</stp>
        <tr r="S19" s="17"/>
      </tp>
      <tp t="e">
        <v>#N/A</v>
        <stp/>
        <stp>BDH|15813538092317557674</stp>
        <tr r="Q70" s="18"/>
      </tp>
      <tp t="e">
        <v>#N/A</v>
        <stp/>
        <stp>BDH|14122328892641312797</stp>
        <tr r="V10" s="11"/>
      </tp>
      <tp t="e">
        <v>#N/A</v>
        <stp/>
        <stp>BDH|13229951769975640134</stp>
        <tr r="L29" s="17"/>
      </tp>
      <tp t="e">
        <v>#N/A</v>
        <stp/>
        <stp>BDH|12988006783307024516</stp>
        <tr r="N57" s="24"/>
      </tp>
      <tp t="e">
        <v>#N/A</v>
        <stp/>
        <stp>BDH|10313226080812915037</stp>
        <tr r="I10" s="28"/>
      </tp>
      <tp t="e">
        <v>#N/A</v>
        <stp/>
        <stp>BDH|13249735759809660057</stp>
        <tr r="K86" s="17"/>
      </tp>
      <tp t="e">
        <v>#N/A</v>
        <stp/>
        <stp>BDH|15911178424789639775</stp>
        <tr r="C23" s="20"/>
      </tp>
      <tp t="e">
        <v>#N/A</v>
        <stp/>
        <stp>BDH|14553909154555810520</stp>
        <tr r="AA69" s="24"/>
      </tp>
      <tp t="e">
        <v>#N/A</v>
        <stp/>
        <stp>BDH|12898158662515749838</stp>
        <tr r="J34" s="13"/>
        <tr r="H30" s="10"/>
      </tp>
      <tp t="e">
        <v>#N/A</v>
        <stp/>
        <stp>BDH|17911718347349655520</stp>
        <tr r="W19" s="14"/>
      </tp>
      <tp t="e">
        <v>#N/A</v>
        <stp/>
        <stp>BDH|13326499043593412861</stp>
        <tr r="K75" s="17"/>
      </tp>
      <tp t="e">
        <v>#N/A</v>
        <stp/>
        <stp>BDH|11972068444628758572</stp>
        <tr r="U52" s="18"/>
      </tp>
      <tp t="e">
        <v>#N/A</v>
        <stp/>
        <stp>BDH|11710597037187007829</stp>
        <tr r="J26" s="12"/>
      </tp>
      <tp t="e">
        <v>#N/A</v>
        <stp/>
        <stp>BDH|11071083130923789948</stp>
        <tr r="C31" s="26"/>
      </tp>
      <tp t="e">
        <v>#N/A</v>
        <stp/>
        <stp>BDH|17126780440979330515</stp>
        <tr r="P11" s="7"/>
      </tp>
      <tp t="e">
        <v>#N/A</v>
        <stp/>
        <stp>BDH|16332418599247606465</stp>
        <tr r="Y42" s="4"/>
      </tp>
      <tp t="e">
        <v>#N/A</v>
        <stp/>
        <stp>BDH|11296586453730701954</stp>
        <tr r="T42" s="22"/>
      </tp>
      <tp t="e">
        <v>#N/A</v>
        <stp/>
        <stp>BDH|12836533370769374133</stp>
        <tr r="F59" s="24"/>
      </tp>
      <tp t="e">
        <v>#N/A</v>
        <stp/>
        <stp>BDH|16952327063069785249</stp>
        <tr r="X36" s="12"/>
      </tp>
      <tp t="e">
        <v>#N/A</v>
        <stp/>
        <stp>BDH|15417293356149373336</stp>
        <tr r="G61" s="34"/>
      </tp>
      <tp t="e">
        <v>#N/A</v>
        <stp/>
        <stp>BDH|16592466588015379739</stp>
        <tr r="O18" s="30"/>
      </tp>
      <tp t="e">
        <v>#N/A</v>
        <stp/>
        <stp>BDH|12355347959884425819</stp>
        <tr r="O97" s="18"/>
      </tp>
      <tp t="e">
        <v>#N/A</v>
        <stp/>
        <stp>BDH|14985659649118857665</stp>
        <tr r="V16" s="21"/>
      </tp>
      <tp t="e">
        <v>#N/A</v>
        <stp/>
        <stp>BDH|14744927073387976540</stp>
        <tr r="I71" s="24"/>
      </tp>
      <tp t="e">
        <v>#N/A</v>
        <stp/>
        <stp>BDH|15828222793187434165</stp>
        <tr r="H9" s="6"/>
      </tp>
      <tp t="e">
        <v>#N/A</v>
        <stp/>
        <stp>BDH|16024999542317798477</stp>
        <tr r="AA23" s="24"/>
      </tp>
      <tp t="e">
        <v>#N/A</v>
        <stp/>
        <stp>BDH|14205745370205433992</stp>
        <tr r="V63" s="18"/>
      </tp>
      <tp t="e">
        <v>#N/A</v>
        <stp/>
        <stp>BDH|10812337697444552621</stp>
        <tr r="I68" s="10"/>
      </tp>
      <tp t="e">
        <v>#N/A</v>
        <stp/>
        <stp>BDH|13109656981474847163</stp>
        <tr r="E23" s="18"/>
      </tp>
      <tp t="e">
        <v>#N/A</v>
        <stp/>
        <stp>BDH|13300992924494432410</stp>
        <tr r="F20" s="27"/>
      </tp>
      <tp t="e">
        <v>#N/A</v>
        <stp/>
        <stp>BDH|16123460455689810611</stp>
        <tr r="W18" s="14"/>
      </tp>
      <tp t="e">
        <v>#N/A</v>
        <stp/>
        <stp>BDH|15686957845958500882</stp>
        <tr r="W62" s="24"/>
      </tp>
      <tp t="e">
        <v>#N/A</v>
        <stp/>
        <stp>BDH|14801739441078945789</stp>
        <tr r="Z57" s="24"/>
      </tp>
      <tp t="e">
        <v>#N/A</v>
        <stp/>
        <stp>BDH|10908191859684718852</stp>
        <tr r="I39" s="18"/>
      </tp>
      <tp t="e">
        <v>#N/A</v>
        <stp/>
        <stp>BDH|18164388511276595461</stp>
        <tr r="N48" s="34"/>
      </tp>
      <tp t="e">
        <v>#N/A</v>
        <stp/>
        <stp>BDH|14062377874290001887</stp>
        <tr r="U14" s="22"/>
      </tp>
      <tp t="e">
        <v>#N/A</v>
        <stp/>
        <stp>BDH|13068991105647587532</stp>
        <tr r="O8" s="27"/>
      </tp>
      <tp t="e">
        <v>#N/A</v>
        <stp/>
        <stp>BDH|18317404583468985432</stp>
        <tr r="T88" s="17"/>
      </tp>
      <tp t="e">
        <v>#N/A</v>
        <stp/>
        <stp>BDH|15486813001946792390</stp>
        <tr r="W77" s="17"/>
        <tr r="W19" s="3"/>
      </tp>
      <tp t="e">
        <v>#N/A</v>
        <stp/>
        <stp>BDH|18292143125071829211</stp>
        <tr r="H9" s="11"/>
      </tp>
      <tp t="e">
        <v>#N/A</v>
        <stp/>
        <stp>BDH|12329953568080288560</stp>
        <tr r="C64" s="17"/>
      </tp>
      <tp t="e">
        <v>#N/A</v>
        <stp/>
        <stp>BDH|10592921546816282391</stp>
        <tr r="F7" s="23"/>
      </tp>
      <tp t="e">
        <v>#N/A</v>
        <stp/>
        <stp>BDH|11930449190570012477</stp>
        <tr r="I26" s="24"/>
      </tp>
      <tp t="e">
        <v>#N/A</v>
        <stp/>
        <stp>BDH|13470199256227957881</stp>
        <tr r="X19" s="10"/>
      </tp>
      <tp t="e">
        <v>#N/A</v>
        <stp/>
        <stp>BDH|12715834700597763599</stp>
        <tr r="V25" s="34"/>
      </tp>
      <tp t="e">
        <v>#N/A</v>
        <stp/>
        <stp>BDH|14244239377649403084</stp>
        <tr r="P24" s="2"/>
      </tp>
      <tp t="e">
        <v>#N/A</v>
        <stp/>
        <stp>BDH|18276382951950935681</stp>
        <tr r="L128" s="18"/>
      </tp>
      <tp t="e">
        <v>#N/A</v>
        <stp/>
        <stp>BDH|10962162590426588605</stp>
        <tr r="E75" s="18"/>
      </tp>
      <tp t="e">
        <v>#N/A</v>
        <stp/>
        <stp>BDH|16341160666790172989</stp>
        <tr r="C13" s="21"/>
      </tp>
      <tp t="e">
        <v>#N/A</v>
        <stp/>
        <stp>BDH|10894340766199247420</stp>
        <tr r="I13" s="22"/>
      </tp>
      <tp t="e">
        <v>#N/A</v>
        <stp/>
        <stp>BDH|15412967689398080411</stp>
        <tr r="V41" s="21"/>
      </tp>
      <tp t="e">
        <v>#N/A</v>
        <stp/>
        <stp>BDH|13229763685862217699</stp>
        <tr r="M72" s="18"/>
      </tp>
      <tp t="e">
        <v>#N/A</v>
        <stp/>
        <stp>BDH|13644734972239962243</stp>
        <tr r="S10" s="6"/>
      </tp>
      <tp t="e">
        <v>#N/A</v>
        <stp/>
        <stp>BDH|17061779123139806369</stp>
        <tr r="V94" s="12"/>
      </tp>
      <tp t="e">
        <v>#N/A</v>
        <stp/>
        <stp>BDH|17955233300018063507</stp>
        <tr r="C33" s="13"/>
      </tp>
      <tp t="e">
        <v>#N/A</v>
        <stp/>
        <stp>BDH|13339958843316769088</stp>
        <tr r="L28" s="4"/>
      </tp>
      <tp t="e">
        <v>#N/A</v>
        <stp/>
        <stp>BDH|11442112491690938175</stp>
        <tr r="X25" s="26"/>
      </tp>
      <tp t="e">
        <v>#N/A</v>
        <stp/>
        <stp>BDH|11690682336898662440</stp>
        <tr r="W134" s="18"/>
      </tp>
      <tp t="e">
        <v>#N/A</v>
        <stp/>
        <stp>BDH|14588428438898041359</stp>
        <tr r="S31" s="21"/>
      </tp>
      <tp t="e">
        <v>#N/A</v>
        <stp/>
        <stp>BDH|17241977438916029303</stp>
        <tr r="L48" s="12"/>
      </tp>
      <tp t="e">
        <v>#N/A</v>
        <stp/>
        <stp>BDH|17543078822838470598</stp>
        <tr r="G60" s="11"/>
      </tp>
      <tp t="e">
        <v>#N/A</v>
        <stp/>
        <stp>BDH|12208686464352493877</stp>
        <tr r="Y18" s="17"/>
      </tp>
      <tp t="e">
        <v>#N/A</v>
        <stp/>
        <stp>BDH|15529759036730840933</stp>
        <tr r="R38" s="11"/>
        <tr r="R46" s="10"/>
      </tp>
      <tp t="e">
        <v>#N/A</v>
        <stp/>
        <stp>BDH|13396975171062145793</stp>
        <tr r="AA16" s="25"/>
      </tp>
      <tp t="e">
        <v>#N/A</v>
        <stp/>
        <stp>BDH|16185278918949370404</stp>
        <tr r="U20" s="23"/>
      </tp>
      <tp t="e">
        <v>#N/A</v>
        <stp/>
        <stp>BDH|16591762915220960826</stp>
        <tr r="Q88" s="18"/>
      </tp>
      <tp t="e">
        <v>#N/A</v>
        <stp/>
        <stp>BDH|12392405330158821566</stp>
        <tr r="S7" s="4"/>
      </tp>
      <tp t="e">
        <v>#N/A</v>
        <stp/>
        <stp>BDH|10104160055618699491</stp>
        <tr r="I14" s="18"/>
      </tp>
      <tp t="e">
        <v>#N/A</v>
        <stp/>
        <stp>BDH|14370116696806003297</stp>
        <tr r="F33" s="18"/>
      </tp>
      <tp t="e">
        <v>#N/A</v>
        <stp/>
        <stp>BDH|14832174383414692174</stp>
        <tr r="I38" s="6"/>
        <tr r="I18" s="5"/>
      </tp>
      <tp t="e">
        <v>#N/A</v>
        <stp/>
        <stp>BDH|16280830432055738096</stp>
        <tr r="W10" s="8"/>
        <tr r="U50" s="6"/>
      </tp>
      <tp t="e">
        <v>#N/A</v>
        <stp/>
        <stp>BDH|11657412657199522189</stp>
        <tr r="W23" s="17"/>
      </tp>
      <tp t="e">
        <v>#N/A</v>
        <stp/>
        <stp>BDH|18308188673407464117</stp>
        <tr r="M33" s="29"/>
        <tr r="M22" s="29"/>
        <tr r="M13" s="29"/>
      </tp>
      <tp t="e">
        <v>#N/A</v>
        <stp/>
        <stp>BDH|11866280350667956949</stp>
        <tr r="M30" s="22"/>
      </tp>
      <tp t="e">
        <v>#N/A</v>
        <stp/>
        <stp>BDH|17950713690317793620</stp>
        <tr r="X91" s="18"/>
      </tp>
      <tp t="e">
        <v>#N/A</v>
        <stp/>
        <stp>BDH|10343625095480954703</stp>
        <tr r="M93" s="12"/>
      </tp>
      <tp t="e">
        <v>#N/A</v>
        <stp/>
        <stp>BDH|17431686893572745257</stp>
        <tr r="T94" s="18"/>
      </tp>
      <tp t="e">
        <v>#N/A</v>
        <stp/>
        <stp>BDH|14579418617220967978</stp>
        <tr r="Y13" s="24"/>
      </tp>
      <tp t="e">
        <v>#N/A</v>
        <stp/>
        <stp>BDH|12069816227996896633</stp>
        <tr r="V102" s="12"/>
      </tp>
      <tp t="e">
        <v>#N/A</v>
        <stp/>
        <stp>BDH|14635140636128191688</stp>
        <tr r="F9" s="29"/>
      </tp>
      <tp t="e">
        <v>#N/A</v>
        <stp/>
        <stp>BDH|11418198987946079675</stp>
        <tr r="S26" s="11"/>
        <tr r="S34" s="10"/>
      </tp>
      <tp t="e">
        <v>#N/A</v>
        <stp/>
        <stp>BDH|12872535105368629751</stp>
        <tr r="Q126" s="18"/>
      </tp>
      <tp t="e">
        <v>#N/A</v>
        <stp/>
        <stp>BDH|11551967430631857260</stp>
        <tr r="Y6" s="27"/>
      </tp>
      <tp t="e">
        <v>#N/A</v>
        <stp/>
        <stp>BDH|11362412149420180978</stp>
        <tr r="F27" s="17"/>
      </tp>
      <tp t="e">
        <v>#N/A</v>
        <stp/>
        <stp>BDH|16214903969767309655</stp>
        <tr r="O16" s="26"/>
      </tp>
      <tp t="e">
        <v>#N/A</v>
        <stp/>
        <stp>BDH|16857277383524704067</stp>
        <tr r="H45" s="12"/>
      </tp>
      <tp t="e">
        <v>#N/A</v>
        <stp/>
        <stp>BDH|16992305056378082020</stp>
        <tr r="D7" s="24"/>
      </tp>
      <tp t="e">
        <v>#N/A</v>
        <stp/>
        <stp>BDH|12116494559509840243</stp>
        <tr r="W44" s="18"/>
      </tp>
      <tp t="e">
        <v>#N/A</v>
        <stp/>
        <stp>BDH|16044498844178025609</stp>
        <tr r="I18" s="21"/>
        <tr r="I23" s="3"/>
        <tr r="G23" s="2"/>
      </tp>
      <tp t="e">
        <v>#N/A</v>
        <stp/>
        <stp>BDH|13168553012759336687</stp>
        <tr r="F27" s="18"/>
      </tp>
      <tp t="e">
        <v>#N/A</v>
        <stp/>
        <stp>BDH|10056100483330626181</stp>
        <tr r="S27" s="12"/>
      </tp>
      <tp t="e">
        <v>#N/A</v>
        <stp/>
        <stp>BDH|13963778033397396830</stp>
        <tr r="O28" s="18"/>
      </tp>
      <tp t="e">
        <v>#N/A</v>
        <stp/>
        <stp>BDH|13247365856915822861</stp>
        <tr r="C20" s="17"/>
      </tp>
      <tp t="e">
        <v>#N/A</v>
        <stp/>
        <stp>BDH|13151542589432493441</stp>
        <tr r="G38" s="25"/>
      </tp>
      <tp t="e">
        <v>#N/A</v>
        <stp/>
        <stp>BDH|17515081194904033251</stp>
        <tr r="W98" s="12"/>
      </tp>
      <tp t="e">
        <v>#N/A</v>
        <stp/>
        <stp>BDH|17069885430386696222</stp>
        <tr r="V17" s="20"/>
      </tp>
      <tp t="e">
        <v>#N/A</v>
        <stp/>
        <stp>BDH|16960918825640869594</stp>
        <tr r="U63" s="24"/>
      </tp>
      <tp t="e">
        <v>#N/A</v>
        <stp/>
        <stp>BDH|11325219283127918442</stp>
        <tr r="I34" s="6"/>
      </tp>
      <tp t="e">
        <v>#N/A</v>
        <stp/>
        <stp>BDH|11906902977317780050</stp>
        <tr r="G44" s="18"/>
      </tp>
      <tp t="e">
        <v>#N/A</v>
        <stp/>
        <stp>BDH|10743517881095826039</stp>
        <tr r="Y14" s="21"/>
      </tp>
      <tp t="e">
        <v>#N/A</v>
        <stp/>
        <stp>BDH|15760978798525255861</stp>
        <tr r="P123" s="18"/>
      </tp>
      <tp t="e">
        <v>#N/A</v>
        <stp/>
        <stp>BDH|11938499723549672696</stp>
        <tr r="N46" s="6"/>
      </tp>
      <tp t="e">
        <v>#N/A</v>
        <stp/>
        <stp>BDH|16139578374429809561</stp>
        <tr r="T154" s="18"/>
      </tp>
      <tp t="e">
        <v>#N/A</v>
        <stp/>
        <stp>BDH|16254920474950998018</stp>
        <tr r="K19" s="26"/>
      </tp>
      <tp t="e">
        <v>#N/A</v>
        <stp/>
        <stp>BDH|12282851058520045735</stp>
        <tr r="M23" s="26"/>
      </tp>
      <tp t="e">
        <v>#N/A</v>
        <stp/>
        <stp>BDH|11883514011525059840</stp>
        <tr r="M10" s="21"/>
      </tp>
      <tp t="e">
        <v>#N/A</v>
        <stp/>
        <stp>BDH|17884933071042115376</stp>
        <tr r="H17" s="23"/>
      </tp>
      <tp t="e">
        <v>#N/A</v>
        <stp/>
        <stp>BDH|17155973785748829670</stp>
        <tr r="M25" s="29"/>
        <tr r="M19" s="29"/>
        <tr r="M10" s="29"/>
        <tr r="L6" s="5"/>
        <tr r="L6" s="9"/>
        <tr r="N12" s="8"/>
        <tr r="M6" s="2"/>
      </tp>
      <tp t="e">
        <v>#N/A</v>
        <stp/>
        <stp>BDH|13719319620912814822</stp>
        <tr r="C14" s="22"/>
      </tp>
      <tp t="e">
        <v>#N/A</v>
        <stp/>
        <stp>BDH|17554898404423695422</stp>
        <tr r="I56" s="12"/>
      </tp>
      <tp t="e">
        <v>#N/A</v>
        <stp/>
        <stp>BDH|14895047470102893984</stp>
        <tr r="Z51" s="17"/>
      </tp>
      <tp t="e">
        <v>#N/A</v>
        <stp/>
        <stp>BDH|16528393286742664701</stp>
        <tr r="Z12" s="12"/>
      </tp>
      <tp t="e">
        <v>#N/A</v>
        <stp/>
        <stp>BDH|18226006869337138165</stp>
        <tr r="D30" s="34"/>
      </tp>
      <tp t="e">
        <v>#N/A</v>
        <stp/>
        <stp>BDH|10861188089109485816</stp>
        <tr r="S86" s="18"/>
      </tp>
      <tp t="e">
        <v>#N/A</v>
        <stp/>
        <stp>BDH|16012918940930450395</stp>
        <tr r="D12" s="27"/>
        <tr r="D26" s="25"/>
      </tp>
      <tp t="e">
        <v>#N/A</v>
        <stp/>
        <stp>BDH|13135953034226971755</stp>
        <tr r="T46" s="10"/>
        <tr r="T38" s="11"/>
      </tp>
      <tp t="e">
        <v>#N/A</v>
        <stp/>
        <stp>BDH|17433489292607792555</stp>
        <tr r="D56" s="12"/>
      </tp>
      <tp t="e">
        <v>#N/A</v>
        <stp/>
        <stp>BDH|12445887353345123225</stp>
        <tr r="P13" s="26"/>
      </tp>
      <tp t="e">
        <v>#N/A</v>
        <stp/>
        <stp>BDH|16987509161184679921</stp>
        <tr r="Z38" s="18"/>
      </tp>
      <tp t="e">
        <v>#N/A</v>
        <stp/>
        <stp>BDH|10797679193120917766</stp>
        <tr r="V16" s="17"/>
        <tr r="V19" s="28"/>
      </tp>
      <tp t="e">
        <v>#N/A</v>
        <stp/>
        <stp>BDH|14634709718843329915</stp>
        <tr r="W43" s="13"/>
      </tp>
      <tp t="e">
        <v>#N/A</v>
        <stp/>
        <stp>BDH|11946074486549793839</stp>
        <tr r="Y22" s="22"/>
      </tp>
      <tp t="e">
        <v>#N/A</v>
        <stp/>
        <stp>BDH|10292675658748994387</stp>
        <tr r="I64" s="12"/>
      </tp>
      <tp t="e">
        <v>#N/A</v>
        <stp/>
        <stp>BDH|13871785697342273793</stp>
        <tr r="E141" s="18"/>
      </tp>
      <tp t="e">
        <v>#N/A</v>
        <stp/>
        <stp>BDH|14183006327027143981</stp>
        <tr r="F42" s="34"/>
      </tp>
      <tp t="e">
        <v>#N/A</v>
        <stp/>
        <stp>BDH|10162662938394180914</stp>
        <tr r="H48" s="34"/>
      </tp>
      <tp t="e">
        <v>#N/A</v>
        <stp/>
        <stp>BDH|17181283587195866095</stp>
        <tr r="AA9" s="23"/>
      </tp>
      <tp t="e">
        <v>#N/A</v>
        <stp/>
        <stp>BDH|18201502453186797693</stp>
        <tr r="V18" s="13"/>
      </tp>
      <tp t="e">
        <v>#N/A</v>
        <stp/>
        <stp>BDH|18109128136024974637</stp>
        <tr r="P38" s="26"/>
      </tp>
      <tp t="e">
        <v>#N/A</v>
        <stp/>
        <stp>BDH|10351047711248806118</stp>
        <tr r="S25" s="13"/>
      </tp>
      <tp t="e">
        <v>#N/A</v>
        <stp/>
        <stp>BDH|10295728068031401839</stp>
        <tr r="P52" s="18"/>
      </tp>
      <tp t="e">
        <v>#N/A</v>
        <stp/>
        <stp>BDH|15648403349759483446</stp>
        <tr r="U53" s="12"/>
      </tp>
      <tp t="e">
        <v>#N/A</v>
        <stp/>
        <stp>BDH|14782134583207844204</stp>
        <tr r="C9" s="34"/>
      </tp>
      <tp t="e">
        <v>#N/A</v>
        <stp/>
        <stp>BDH|17752299586012309741</stp>
        <tr r="R10" s="21"/>
      </tp>
      <tp t="e">
        <v>#N/A</v>
        <stp/>
        <stp>BDH|15428381505779314758</stp>
        <tr r="G20" s="17"/>
      </tp>
      <tp t="e">
        <v>#N/A</v>
        <stp/>
        <stp>BDH|13355807834658992810</stp>
        <tr r="W48" s="22"/>
      </tp>
      <tp t="e">
        <v>#N/A</v>
        <stp/>
        <stp>BDH|10628929326011933244</stp>
        <tr r="G10" s="30"/>
      </tp>
      <tp t="e">
        <v>#N/A</v>
        <stp/>
        <stp>BDH|18102803791964779581</stp>
        <tr r="X11" s="20"/>
        <tr r="X112" s="18"/>
      </tp>
      <tp t="e">
        <v>#N/A</v>
        <stp/>
        <stp>BDH|10094494014138611541</stp>
        <tr r="F42" s="12"/>
      </tp>
      <tp t="e">
        <v>#N/A</v>
        <stp/>
        <stp>BDH|13589816909632730157</stp>
        <tr r="R9" s="17"/>
      </tp>
      <tp t="e">
        <v>#N/A</v>
        <stp/>
        <stp>BDH|10348070592164904506</stp>
        <tr r="P154" s="18"/>
      </tp>
      <tp t="e">
        <v>#N/A</v>
        <stp/>
        <stp>BDH|10401480418938899533</stp>
        <tr r="G9" s="13"/>
      </tp>
      <tp t="e">
        <v>#N/A</v>
        <stp/>
        <stp>BDH|17504657449968646509</stp>
        <tr r="O10" s="26"/>
      </tp>
      <tp t="e">
        <v>#N/A</v>
        <stp/>
        <stp>BDH|15450888111147467368</stp>
        <tr r="L44" s="13"/>
      </tp>
      <tp t="e">
        <v>#N/A</v>
        <stp/>
        <stp>BDH|17719553207058326291</stp>
        <tr r="N13" s="34"/>
      </tp>
      <tp t="e">
        <v>#N/A</v>
        <stp/>
        <stp>BDH|13463793567008373263</stp>
        <tr r="V8" s="26"/>
        <tr r="S10" s="9"/>
      </tp>
      <tp t="e">
        <v>#N/A</v>
        <stp/>
        <stp>BDH|10865307232078563006</stp>
        <tr r="W102" s="12"/>
      </tp>
      <tp t="e">
        <v>#N/A</v>
        <stp/>
        <stp>BDH|17872421187745054625</stp>
        <tr r="K29" s="12"/>
      </tp>
      <tp t="e">
        <v>#N/A</v>
        <stp/>
        <stp>BDH|11618071287820017199</stp>
        <tr r="U175" s="18"/>
      </tp>
      <tp t="e">
        <v>#N/A</v>
        <stp/>
        <stp>BDH|14125240739108467575</stp>
        <tr r="I36" s="21"/>
      </tp>
      <tp t="e">
        <v>#N/A</v>
        <stp/>
        <stp>BDH|17844523377988014528</stp>
        <tr r="Z74" s="18"/>
      </tp>
      <tp t="e">
        <v>#N/A</v>
        <stp/>
        <stp>BDH|14675048324537859919</stp>
        <tr r="F75" s="12"/>
      </tp>
      <tp t="e">
        <v>#N/A</v>
        <stp/>
        <stp>BDH|15407737587172965066</stp>
        <tr r="V24" s="23"/>
        <tr r="V21" s="30"/>
      </tp>
      <tp t="e">
        <v>#N/A</v>
        <stp/>
        <stp>BDH|14849771580755368631</stp>
        <tr r="F44" s="6"/>
      </tp>
      <tp t="e">
        <v>#N/A</v>
        <stp/>
        <stp>BDH|17516801834931687585</stp>
        <tr r="K34" s="12"/>
      </tp>
      <tp t="e">
        <v>#N/A</v>
        <stp/>
        <stp>BDH|15583787287820757226</stp>
        <tr r="AA59" s="13"/>
      </tp>
      <tp t="e">
        <v>#N/A</v>
        <stp/>
        <stp>BDH|12638231745009615588</stp>
        <tr r="V44" s="22"/>
      </tp>
      <tp t="e">
        <v>#N/A</v>
        <stp/>
        <stp>BDH|11957311228911864960</stp>
        <tr r="S14" s="4"/>
      </tp>
      <tp t="e">
        <v>#N/A</v>
        <stp/>
        <stp>BDH|12690038629829331110</stp>
        <tr r="U17" s="21"/>
      </tp>
      <tp t="e">
        <v>#N/A</v>
        <stp/>
        <stp>BDH|15021598857165545856</stp>
        <tr r="Z20" s="26"/>
      </tp>
      <tp t="e">
        <v>#N/A</v>
        <stp/>
        <stp>BDH|11785085574438584608</stp>
        <tr r="G24" s="23"/>
        <tr r="G21" s="30"/>
      </tp>
      <tp t="e">
        <v>#N/A</v>
        <stp/>
        <stp>BDH|14716890244232091243</stp>
        <tr r="D61" s="12"/>
      </tp>
      <tp t="e">
        <v>#N/A</v>
        <stp/>
        <stp>BDH|14624738303242980919</stp>
        <tr r="F63" s="10"/>
      </tp>
      <tp t="e">
        <v>#N/A</v>
        <stp/>
        <stp>BDH|12443138635218920054</stp>
        <tr r="S13" s="21"/>
      </tp>
      <tp t="e">
        <v>#N/A</v>
        <stp/>
        <stp>BDH|16563827035872916750</stp>
        <tr r="P150" s="18"/>
      </tp>
      <tp t="e">
        <v>#N/A</v>
        <stp/>
        <stp>BDH|10888555485651238447</stp>
        <tr r="I75" s="12"/>
      </tp>
      <tp t="e">
        <v>#N/A</v>
        <stp/>
        <stp>BDH|11503961715084966519</stp>
        <tr r="F22" s="11"/>
      </tp>
      <tp t="e">
        <v>#N/A</v>
        <stp/>
        <stp>BDH|17955955079772815338</stp>
        <tr r="V37" s="18"/>
      </tp>
      <tp t="e">
        <v>#N/A</v>
        <stp/>
        <stp>BDH|10786392817438630211</stp>
        <tr r="Z17" s="23"/>
      </tp>
      <tp t="e">
        <v>#N/A</v>
        <stp/>
        <stp>BDH|17298066439455300907</stp>
        <tr r="X130" s="18"/>
      </tp>
      <tp t="e">
        <v>#N/A</v>
        <stp/>
        <stp>BDH|15054170058200806995</stp>
        <tr r="Q33" s="34"/>
      </tp>
      <tp t="e">
        <v>#N/A</v>
        <stp/>
        <stp>BDH|15891728831590021957</stp>
        <tr r="D18" s="26"/>
      </tp>
      <tp t="e">
        <v>#N/A</v>
        <stp/>
        <stp>BDH|15701284610786946887</stp>
        <tr r="Q44" s="12"/>
      </tp>
      <tp t="e">
        <v>#N/A</v>
        <stp/>
        <stp>BDH|14797990059787968708</stp>
        <tr r="T139" s="18"/>
      </tp>
      <tp t="e">
        <v>#N/A</v>
        <stp/>
        <stp>BDH|10362297176145406860</stp>
        <tr r="P90" s="18"/>
      </tp>
      <tp t="e">
        <v>#N/A</v>
        <stp/>
        <stp>BDH|17546626285391923054</stp>
        <tr r="G65" s="17"/>
      </tp>
      <tp t="e">
        <v>#N/A</v>
        <stp/>
        <stp>BDH|17132136749563307966</stp>
        <tr r="C22" s="9"/>
      </tp>
      <tp t="e">
        <v>#N/A</v>
        <stp/>
        <stp>BDH|14107042658510226913</stp>
        <tr r="V53" s="12"/>
      </tp>
      <tp t="e">
        <v>#N/A</v>
        <stp/>
        <stp>BDH|11153129983659860969</stp>
        <tr r="E12" s="12"/>
      </tp>
      <tp t="e">
        <v>#N/A</v>
        <stp/>
        <stp>BDH|12329148208868763360</stp>
        <tr r="L38" s="12"/>
      </tp>
      <tp t="e">
        <v>#N/A</v>
        <stp/>
        <stp>BDH|13363335385817870738</stp>
        <tr r="R14" s="17"/>
        <tr r="R17" s="28"/>
      </tp>
      <tp t="e">
        <v>#N/A</v>
        <stp/>
        <stp>BDH|13441046191373855170</stp>
        <tr r="C26" s="6"/>
      </tp>
      <tp t="e">
        <v>#N/A</v>
        <stp/>
        <stp>BDH|18052545887608143439</stp>
        <tr r="O27" s="12"/>
      </tp>
      <tp t="e">
        <v>#N/A</v>
        <stp/>
        <stp>BDH|17667693885831266190</stp>
        <tr r="C23" s="9"/>
      </tp>
      <tp t="e">
        <v>#N/A</v>
        <stp/>
        <stp>BDH|12171868125609111823</stp>
        <tr r="O15" s="11"/>
      </tp>
      <tp t="e">
        <v>#N/A</v>
        <stp/>
        <stp>BDH|11753271154836570902</stp>
        <tr r="N57" s="18"/>
      </tp>
      <tp t="e">
        <v>#N/A</v>
        <stp/>
        <stp>BDH|16797720314170650964</stp>
        <tr r="H12" s="7"/>
      </tp>
      <tp t="e">
        <v>#N/A</v>
        <stp/>
        <stp>BDH|16895701979647845882</stp>
        <tr r="AA33" s="17"/>
      </tp>
      <tp t="e">
        <v>#N/A</v>
        <stp/>
        <stp>BDH|15810881837931478626</stp>
        <tr r="D85" s="18"/>
      </tp>
      <tp t="e">
        <v>#N/A</v>
        <stp/>
        <stp>BDH|10327436143550095927</stp>
        <tr r="R18" s="18"/>
      </tp>
      <tp t="e">
        <v>#N/A</v>
        <stp/>
        <stp>BDH|17727998007121873603</stp>
        <tr r="V50" s="21"/>
      </tp>
      <tp t="e">
        <v>#N/A</v>
        <stp/>
        <stp>BDH|13448439987507954180</stp>
        <tr r="AA50" s="17"/>
      </tp>
      <tp t="e">
        <v>#N/A</v>
        <stp/>
        <stp>BDH|15655669281822800089</stp>
        <tr r="X23" s="29"/>
        <tr r="X14" s="29"/>
        <tr r="X34" s="29"/>
      </tp>
      <tp t="e">
        <v>#N/A</v>
        <stp/>
        <stp>BDH|11565626306939225726</stp>
        <tr r="U13" s="13"/>
      </tp>
      <tp t="e">
        <v>#N/A</v>
        <stp/>
        <stp>BDH|13069716704885449800</stp>
        <tr r="Y30" s="17"/>
      </tp>
      <tp t="e">
        <v>#N/A</v>
        <stp/>
        <stp>BDH|16074152487787573169</stp>
        <tr r="M92" s="18"/>
      </tp>
      <tp t="e">
        <v>#N/A</v>
        <stp/>
        <stp>BDH|17671948067028704933</stp>
        <tr r="Q15" s="6"/>
      </tp>
      <tp t="e">
        <v>#N/A</v>
        <stp/>
        <stp>BDH|13716930922416654713</stp>
        <tr r="O18" s="24"/>
      </tp>
      <tp t="e">
        <v>#N/A</v>
        <stp/>
        <stp>BDH|13542497816489844630</stp>
        <tr r="U11" s="11"/>
      </tp>
      <tp t="e">
        <v>#N/A</v>
        <stp/>
        <stp>BDH|12995409248208772377</stp>
        <tr r="C133" s="18"/>
      </tp>
      <tp t="e">
        <v>#N/A</v>
        <stp/>
        <stp>BDH|16680978160470636066</stp>
        <tr r="O33" s="17"/>
      </tp>
      <tp t="e">
        <v>#N/A</v>
        <stp/>
        <stp>BDH|12124874972485541106</stp>
        <tr r="Q18" s="9"/>
      </tp>
      <tp t="e">
        <v>#N/A</v>
        <stp/>
        <stp>BDH|15038424098375839437</stp>
        <tr r="V80" s="12"/>
      </tp>
      <tp t="e">
        <v>#N/A</v>
        <stp/>
        <stp>BDH|14676988417410930518</stp>
        <tr r="S36" s="21"/>
      </tp>
      <tp t="e">
        <v>#N/A</v>
        <stp/>
        <stp>BDH|15789730255039194716</stp>
        <tr r="L72" s="18"/>
      </tp>
      <tp t="e">
        <v>#N/A</v>
        <stp/>
        <stp>BDH|13510431393675408200</stp>
        <tr r="X7" s="8"/>
      </tp>
      <tp t="e">
        <v>#N/A</v>
        <stp/>
        <stp>BDH|12471725521957145979</stp>
        <tr r="C55" s="13"/>
      </tp>
      <tp t="e">
        <v>#N/A</v>
        <stp/>
        <stp>BDH|18324148366775932398</stp>
        <tr r="N13" s="9"/>
      </tp>
      <tp t="e">
        <v>#N/A</v>
        <stp/>
        <stp>BDH|17869836117725477295</stp>
        <tr r="T34" s="12"/>
      </tp>
      <tp t="e">
        <v>#N/A</v>
        <stp/>
        <stp>BDH|12105883868641918490</stp>
        <tr r="P8" s="10"/>
      </tp>
      <tp t="e">
        <v>#N/A</v>
        <stp/>
        <stp>BDH|16751839862703246244</stp>
        <tr r="Q139" s="18"/>
      </tp>
      <tp t="e">
        <v>#N/A</v>
        <stp/>
        <stp>BDH|16059305397861109462</stp>
        <tr r="U47" s="18"/>
      </tp>
      <tp t="e">
        <v>#N/A</v>
        <stp/>
        <stp>BDH|16920738520229923333</stp>
        <tr r="I7" s="17"/>
      </tp>
      <tp t="e">
        <v>#N/A</v>
        <stp/>
        <stp>BDH|13351945681339281243</stp>
        <tr r="C10" s="10"/>
      </tp>
      <tp t="e">
        <v>#N/A</v>
        <stp/>
        <stp>BDH|11186937716307145750</stp>
        <tr r="N75" s="18"/>
      </tp>
      <tp t="e">
        <v>#N/A</v>
        <stp/>
        <stp>BDH|10788955657981197445</stp>
        <tr r="X103" s="18"/>
      </tp>
      <tp t="e">
        <v>#N/A</v>
        <stp/>
        <stp>BDH|12176562494191593662</stp>
        <tr r="N39" s="26"/>
      </tp>
      <tp t="e">
        <v>#N/A</v>
        <stp/>
        <stp>BDH|14957078861049733281</stp>
        <tr r="W65" s="12"/>
      </tp>
      <tp t="e">
        <v>#N/A</v>
        <stp/>
        <stp>BDH|13293256153339447407</stp>
        <tr r="U18" s="17"/>
      </tp>
      <tp t="e">
        <v>#N/A</v>
        <stp/>
        <stp>BDH|18113033871923011534</stp>
        <tr r="V148" s="18"/>
      </tp>
      <tp t="e">
        <v>#N/A</v>
        <stp/>
        <stp>BDH|16901366619518096564</stp>
        <tr r="K152" s="18"/>
      </tp>
      <tp t="e">
        <v>#N/A</v>
        <stp/>
        <stp>BDH|15593113280757407203</stp>
        <tr r="G9" s="17"/>
      </tp>
      <tp t="e">
        <v>#N/A</v>
        <stp/>
        <stp>BDH|15605244145209396341</stp>
        <tr r="K16" s="23"/>
      </tp>
      <tp t="e">
        <v>#N/A</v>
        <stp/>
        <stp>BDH|17697543783770862396</stp>
        <tr r="AA8" s="18"/>
      </tp>
      <tp t="e">
        <v>#N/A</v>
        <stp/>
        <stp>BDH|15797879671746821598</stp>
        <tr r="O20" s="23"/>
      </tp>
      <tp t="e">
        <v>#N/A</v>
        <stp/>
        <stp>BDH|11788833333702408131</stp>
        <tr r="Z52" s="12"/>
      </tp>
      <tp t="e">
        <v>#N/A</v>
        <stp/>
        <stp>BDH|17479825516061098606</stp>
        <tr r="R67" s="10"/>
      </tp>
      <tp t="e">
        <v>#N/A</v>
        <stp/>
        <stp>BDH|12032499338085676971</stp>
        <tr r="Y70" s="18"/>
      </tp>
      <tp t="e">
        <v>#N/A</v>
        <stp/>
        <stp>BDH|15958446114151861817</stp>
        <tr r="G29" s="9"/>
      </tp>
      <tp t="e">
        <v>#N/A</v>
        <stp/>
        <stp>BDH|17273813741676132432</stp>
        <tr r="Y97" s="12"/>
      </tp>
      <tp t="e">
        <v>#N/A</v>
        <stp/>
        <stp>BDH|13263225158089194498</stp>
        <tr r="H52" s="12"/>
      </tp>
      <tp t="e">
        <v>#N/A</v>
        <stp/>
        <stp>BDH|13528827731846096765</stp>
        <tr r="T26" s="29"/>
      </tp>
      <tp t="e">
        <v>#N/A</v>
        <stp/>
        <stp>BDH|15657831022172249451</stp>
        <tr r="L144" s="18"/>
      </tp>
      <tp t="e">
        <v>#N/A</v>
        <stp/>
        <stp>BDH|17021356285293380639</stp>
        <tr r="N89" s="12"/>
      </tp>
      <tp t="e">
        <v>#N/A</v>
        <stp/>
        <stp>BDH|17923686308828986003</stp>
        <tr r="U15" s="6"/>
      </tp>
      <tp t="e">
        <v>#N/A</v>
        <stp/>
        <stp>BDH|18260858291857173776</stp>
        <tr r="G31" s="11"/>
        <tr r="G39" s="10"/>
      </tp>
      <tp t="e">
        <v>#N/A</v>
        <stp/>
        <stp>BDH|16781903399796798992</stp>
        <tr r="Y19" s="14"/>
      </tp>
      <tp t="e">
        <v>#N/A</v>
        <stp/>
        <stp>BDH|11652059198967808633</stp>
        <tr r="N170" s="18"/>
      </tp>
      <tp t="e">
        <v>#N/A</v>
        <stp/>
        <stp>BDH|10610705650823288842</stp>
        <tr r="Q124" s="18"/>
      </tp>
      <tp t="e">
        <v>#N/A</v>
        <stp/>
        <stp>BDH|10828407197200666497</stp>
        <tr r="L139" s="18"/>
      </tp>
      <tp t="e">
        <v>#N/A</v>
        <stp/>
        <stp>BDH|15625051914229276450</stp>
        <tr r="W16" s="20"/>
      </tp>
      <tp t="e">
        <v>#N/A</v>
        <stp/>
        <stp>BDH|11411635702346669837</stp>
        <tr r="L55" s="34"/>
      </tp>
      <tp t="e">
        <v>#N/A</v>
        <stp/>
        <stp>BDH|11034347565645470853</stp>
        <tr r="U51" s="24"/>
      </tp>
      <tp t="e">
        <v>#N/A</v>
        <stp/>
        <stp>BDH|17427066995290661716</stp>
        <tr r="M22" s="5"/>
      </tp>
      <tp t="e">
        <v>#N/A</v>
        <stp/>
        <stp>BDH|10135373542489005741</stp>
        <tr r="T41" s="22"/>
      </tp>
      <tp t="e">
        <v>#N/A</v>
        <stp/>
        <stp>BDH|18387538507935146156</stp>
        <tr r="W50" s="18"/>
      </tp>
      <tp t="e">
        <v>#N/A</v>
        <stp/>
        <stp>BDH|18376934991872549374</stp>
        <tr r="T42" s="13"/>
      </tp>
      <tp t="e">
        <v>#N/A</v>
        <stp/>
        <stp>BDH|12934302888898358816</stp>
        <tr r="G8" s="20"/>
        <tr r="G110" s="18"/>
      </tp>
      <tp t="e">
        <v>#N/A</v>
        <stp/>
        <stp>BDH|10951646751529782384</stp>
        <tr r="F17" s="5"/>
        <tr r="F33" s="6"/>
      </tp>
      <tp t="e">
        <v>#N/A</v>
        <stp/>
        <stp>BDH|17965716414438994067</stp>
        <tr r="Z70" s="18"/>
      </tp>
      <tp t="e">
        <v>#N/A</v>
        <stp/>
        <stp>BDH|12369729824278565631</stp>
        <tr r="U47" s="13"/>
      </tp>
      <tp t="e">
        <v>#N/A</v>
        <stp/>
        <stp>BDH|12210343274676583945</stp>
        <tr r="E32" s="11"/>
        <tr r="E40" s="10"/>
      </tp>
      <tp t="e">
        <v>#N/A</v>
        <stp/>
        <stp>BDH|13691412733234734903</stp>
        <tr r="T7" s="8"/>
      </tp>
      <tp t="e">
        <v>#N/A</v>
        <stp/>
        <stp>BDH|17939830965022593293</stp>
        <tr r="K68" s="17"/>
        <tr r="H8" s="9"/>
        <tr r="H8" s="5"/>
      </tp>
      <tp t="e">
        <v>#N/A</v>
        <stp/>
        <stp>BDH|14210869665021694248</stp>
        <tr r="U165" s="18"/>
      </tp>
      <tp t="e">
        <v>#N/A</v>
        <stp/>
        <stp>BDH|16886473048347141855</stp>
        <tr r="G16" s="27"/>
        <tr r="G30" s="25"/>
      </tp>
      <tp t="e">
        <v>#N/A</v>
        <stp/>
        <stp>BDH|10870032849875877892</stp>
        <tr r="S157" s="18"/>
      </tp>
      <tp t="e">
        <v>#N/A</v>
        <stp/>
        <stp>BDH|16660616584823301230</stp>
        <tr r="P38" s="11"/>
        <tr r="P46" s="10"/>
      </tp>
      <tp t="e">
        <v>#N/A</v>
        <stp/>
        <stp>BDH|16649752712061698847</stp>
        <tr r="I56" s="11"/>
        <tr r="I24" s="4"/>
      </tp>
      <tp t="e">
        <v>#N/A</v>
        <stp/>
        <stp>BDH|12595900661251743500</stp>
        <tr r="S20" s="23"/>
      </tp>
      <tp t="e">
        <v>#N/A</v>
        <stp/>
        <stp>BDH|17343391626857769885</stp>
        <tr r="L45" s="17"/>
      </tp>
      <tp t="e">
        <v>#N/A</v>
        <stp/>
        <stp>BDH|15702815496289585461</stp>
        <tr r="Q25" s="11"/>
        <tr r="Q33" s="10"/>
      </tp>
      <tp t="e">
        <v>#N/A</v>
        <stp/>
        <stp>BDH|15095723697151075362</stp>
        <tr r="F70" s="18"/>
      </tp>
      <tp t="e">
        <v>#N/A</v>
        <stp/>
        <stp>BDH|11614303169658895540</stp>
        <tr r="F141" s="18"/>
      </tp>
      <tp t="e">
        <v>#N/A</v>
        <stp/>
        <stp>BDH|15706153361788119318</stp>
        <tr r="R14" s="8"/>
      </tp>
      <tp t="e">
        <v>#N/A</v>
        <stp/>
        <stp>BDH|10195428597610788403</stp>
        <tr r="X100" s="12"/>
      </tp>
      <tp t="e">
        <v>#N/A</v>
        <stp/>
        <stp>BDH|13478868375396453305</stp>
        <tr r="Q102" s="18"/>
      </tp>
      <tp t="e">
        <v>#N/A</v>
        <stp/>
        <stp>BDH|18193929584571215167</stp>
        <tr r="E75" s="12"/>
      </tp>
      <tp t="e">
        <v>#N/A</v>
        <stp/>
        <stp>BDH|17791188736224988839</stp>
        <tr r="D56" s="11"/>
        <tr r="D24" s="4"/>
      </tp>
      <tp t="e">
        <v>#N/A</v>
        <stp/>
        <stp>BDH|10191918712630213134</stp>
        <tr r="X56" s="24"/>
      </tp>
      <tp t="e">
        <v>#N/A</v>
        <stp/>
        <stp>BDH|17443658209978365081</stp>
        <tr r="N23" s="10"/>
      </tp>
      <tp t="e">
        <v>#N/A</v>
        <stp/>
        <stp>BDH|12945945450770872760</stp>
        <tr r="C27" s="18"/>
      </tp>
      <tp t="e">
        <v>#N/A</v>
        <stp/>
        <stp>BDH|12640471621979698455</stp>
        <tr r="S94" s="12"/>
      </tp>
      <tp t="e">
        <v>#N/A</v>
        <stp/>
        <stp>BDH|15705166064989477228</stp>
        <tr r="T8" s="11"/>
      </tp>
      <tp t="e">
        <v>#N/A</v>
        <stp/>
        <stp>BDH|17963443484207822525</stp>
        <tr r="R22" s="7"/>
      </tp>
      <tp t="e">
        <v>#N/A</v>
        <stp/>
        <stp>BDH|11674150080007172610</stp>
        <tr r="AA9" s="18"/>
      </tp>
      <tp t="e">
        <v>#N/A</v>
        <stp/>
        <stp>BDH|15549347611636534861</stp>
        <tr r="W48" s="12"/>
      </tp>
      <tp t="e">
        <v>#N/A</v>
        <stp/>
        <stp>BDH|14782368464311657901</stp>
        <tr r="L11" s="13"/>
      </tp>
      <tp t="e">
        <v>#N/A</v>
        <stp/>
        <stp>BDH|16659820652242645035</stp>
        <tr r="Y142" s="18"/>
      </tp>
      <tp t="e">
        <v>#N/A</v>
        <stp/>
        <stp>BDH|15369595725939975258</stp>
        <tr r="AA31" s="12"/>
      </tp>
      <tp t="e">
        <v>#N/A</v>
        <stp/>
        <stp>BDH|13209712988764828103</stp>
        <tr r="I116" s="18"/>
      </tp>
      <tp t="e">
        <v>#N/A</v>
        <stp/>
        <stp>BDH|10812336414358513391</stp>
        <tr r="Y20" s="22"/>
      </tp>
      <tp t="e">
        <v>#N/A</v>
        <stp/>
        <stp>BDH|14667460217058020040</stp>
        <tr r="E63" s="24"/>
      </tp>
      <tp t="e">
        <v>#N/A</v>
        <stp/>
        <stp>BDH|15709979641372288306</stp>
        <tr r="C38" s="24"/>
      </tp>
      <tp t="e">
        <v>#N/A</v>
        <stp/>
        <stp>BDH|17628788284625104497</stp>
        <tr r="Y16" s="27"/>
        <tr r="Y30" s="25"/>
      </tp>
      <tp t="e">
        <v>#N/A</v>
        <stp/>
        <stp>BDH|12663810805934540750</stp>
        <tr r="P65" s="24"/>
      </tp>
      <tp t="e">
        <v>#N/A</v>
        <stp/>
        <stp>BDH|17760119907886149928</stp>
        <tr r="W7" s="30"/>
      </tp>
      <tp t="e">
        <v>#N/A</v>
        <stp/>
        <stp>BDH|10396774217337030816</stp>
        <tr r="J63" s="10"/>
      </tp>
      <tp t="e">
        <v>#N/A</v>
        <stp/>
        <stp>BDH|17118475757476422978</stp>
        <tr r="Z43" s="12"/>
      </tp>
      <tp t="e">
        <v>#N/A</v>
        <stp/>
        <stp>BDH|17457708680765343454</stp>
        <tr r="V19" s="23"/>
        <tr r="T59" s="11"/>
      </tp>
      <tp t="e">
        <v>#N/A</v>
        <stp/>
        <stp>BDH|13736758593436427277</stp>
        <tr r="L30" s="26"/>
      </tp>
      <tp t="e">
        <v>#N/A</v>
        <stp/>
        <stp>BDH|11488814735256725555</stp>
        <tr r="N46" s="22"/>
      </tp>
      <tp t="e">
        <v>#N/A</v>
        <stp/>
        <stp>BDH|16090301091317534261</stp>
        <tr r="G53" s="6"/>
      </tp>
      <tp t="e">
        <v>#N/A</v>
        <stp/>
        <stp>BDH|18084764102614001263</stp>
        <tr r="O11" s="11"/>
      </tp>
      <tp t="e">
        <v>#N/A</v>
        <stp/>
        <stp>BDH|18177545857730358139</stp>
        <tr r="Y27" s="11"/>
        <tr r="Y47" s="10"/>
        <tr r="Y35" s="10"/>
        <tr r="Y39" s="11"/>
      </tp>
      <tp t="e">
        <v>#N/A</v>
        <stp/>
        <stp>BDH|13079305213098325029</stp>
        <tr r="N8" s="11"/>
      </tp>
      <tp t="e">
        <v>#N/A</v>
        <stp/>
        <stp>BDH|11269841482478632008</stp>
        <tr r="O176" s="18"/>
      </tp>
      <tp t="e">
        <v>#N/A</v>
        <stp/>
        <stp>BDH|13849809346926593095</stp>
        <tr r="O41" s="17"/>
      </tp>
      <tp t="e">
        <v>#N/A</v>
        <stp/>
        <stp>BDH|11162113765787581824</stp>
        <tr r="Q10" s="6"/>
      </tp>
      <tp t="e">
        <v>#N/A</v>
        <stp/>
        <stp>BDH|13062014667399199556</stp>
        <tr r="K54" s="21"/>
      </tp>
      <tp t="e">
        <v>#N/A</v>
        <stp/>
        <stp>BDH|14782534594600553171</stp>
        <tr r="AA85" s="12"/>
      </tp>
      <tp t="e">
        <v>#N/A</v>
        <stp/>
        <stp>BDH|15030209600426647844</stp>
        <tr r="R55" s="34"/>
      </tp>
      <tp t="e">
        <v>#N/A</v>
        <stp/>
        <stp>BDH|10395257085154125700</stp>
        <tr r="AA63" s="21"/>
      </tp>
      <tp t="e">
        <v>#N/A</v>
        <stp/>
        <stp>BDH|17656258580596655271</stp>
        <tr r="C164" s="18"/>
      </tp>
      <tp t="e">
        <v>#N/A</v>
        <stp/>
        <stp>BDH|10846636498542280433</stp>
        <tr r="D8" s="2"/>
      </tp>
      <tp t="e">
        <v>#N/A</v>
        <stp/>
        <stp>BDH|16429559983101853383</stp>
        <tr r="C23" s="13"/>
      </tp>
      <tp t="e">
        <v>#N/A</v>
        <stp/>
        <stp>BDH|11745122618630705883</stp>
        <tr r="Q62" s="12"/>
      </tp>
      <tp t="e">
        <v>#N/A</v>
        <stp/>
        <stp>BDH|18091055313061086147</stp>
        <tr r="R29" s="12"/>
      </tp>
      <tp t="e">
        <v>#N/A</v>
        <stp/>
        <stp>BDH|11011493532478857711</stp>
        <tr r="M103" s="12"/>
      </tp>
      <tp t="e">
        <v>#N/A</v>
        <stp/>
        <stp>BDH|14020822146345268444</stp>
        <tr r="N159" s="18"/>
      </tp>
      <tp t="e">
        <v>#N/A</v>
        <stp/>
        <stp>BDH|15111909882815446855</stp>
        <tr r="V54" s="24"/>
      </tp>
      <tp t="e">
        <v>#N/A</v>
        <stp/>
        <stp>BDH|16308015172641029920</stp>
        <tr r="G19" s="10"/>
      </tp>
      <tp t="e">
        <v>#N/A</v>
        <stp/>
        <stp>BDH|16101982196487872851</stp>
        <tr r="O55" s="18"/>
      </tp>
      <tp t="e">
        <v>#N/A</v>
        <stp/>
        <stp>BDH|18049656565606127731</stp>
        <tr r="P30" s="29"/>
        <tr r="P8" s="29"/>
      </tp>
      <tp t="e">
        <v>#N/A</v>
        <stp/>
        <stp>BDH|10954445595670800421</stp>
        <tr r="O9" s="17"/>
      </tp>
      <tp t="e">
        <v>#N/A</v>
        <stp/>
        <stp>BDH|17706530437828072018</stp>
        <tr r="D60" s="11"/>
      </tp>
      <tp t="e">
        <v>#N/A</v>
        <stp/>
        <stp>BDH|17079335057201017967</stp>
        <tr r="Z40" s="22"/>
      </tp>
      <tp t="e">
        <v>#N/A</v>
        <stp/>
        <stp>BDH|12765664285732717712</stp>
        <tr r="O59" s="12"/>
      </tp>
      <tp t="e">
        <v>#N/A</v>
        <stp/>
        <stp>BDH|16259864337552229633</stp>
        <tr r="R35" s="26"/>
      </tp>
      <tp t="e">
        <v>#N/A</v>
        <stp/>
        <stp>BDH|15575860206941121568</stp>
        <tr r="C160" s="18"/>
      </tp>
      <tp t="e">
        <v>#N/A</v>
        <stp/>
        <stp>BDH|12708928730648713974</stp>
        <tr r="J35" s="22"/>
      </tp>
      <tp t="e">
        <v>#N/A</v>
        <stp/>
        <stp>BDH|18301319718471936264</stp>
        <tr r="W22" s="22"/>
      </tp>
      <tp t="e">
        <v>#N/A</v>
        <stp/>
        <stp>BDH|16322854286636125948</stp>
        <tr r="N25" s="34"/>
      </tp>
      <tp t="e">
        <v>#N/A</v>
        <stp/>
        <stp>BDH|11058107683810305152</stp>
        <tr r="D84" s="17"/>
      </tp>
      <tp t="e">
        <v>#N/A</v>
        <stp/>
        <stp>BDH|13901988830311554111</stp>
        <tr r="X112" s="12"/>
      </tp>
      <tp t="e">
        <v>#N/A</v>
        <stp/>
        <stp>BDH|16623376999107824258</stp>
        <tr r="E30" s="6"/>
      </tp>
      <tp t="e">
        <v>#N/A</v>
        <stp/>
        <stp>BDH|10775950270522149568</stp>
        <tr r="C30" s="34"/>
      </tp>
      <tp t="e">
        <v>#N/A</v>
        <stp/>
        <stp>BDH|13171940555226720029</stp>
        <tr r="V8" s="23"/>
      </tp>
      <tp t="e">
        <v>#N/A</v>
        <stp/>
        <stp>BDH|13176385764106847909</stp>
        <tr r="X38" s="11"/>
        <tr r="X46" s="10"/>
      </tp>
      <tp t="e">
        <v>#N/A</v>
        <stp/>
        <stp>BDH|16498604887919123878</stp>
        <tr r="R67" s="24"/>
      </tp>
      <tp t="e">
        <v>#N/A</v>
        <stp/>
        <stp>BDH|11645895834817807465</stp>
        <tr r="T7" s="11"/>
      </tp>
      <tp t="e">
        <v>#N/A</v>
        <stp/>
        <stp>BDH|13326984382173498882</stp>
        <tr r="N148" s="18"/>
      </tp>
      <tp t="e">
        <v>#N/A</v>
        <stp/>
        <stp>BDH|15194773925668321152</stp>
        <tr r="N69" s="18"/>
      </tp>
      <tp t="e">
        <v>#N/A</v>
        <stp/>
        <stp>BDH|18307121403459348942</stp>
        <tr r="P23" s="6"/>
      </tp>
      <tp t="e">
        <v>#N/A</v>
        <stp/>
        <stp>BDH|12184552725615589917</stp>
        <tr r="Q65" s="17"/>
      </tp>
      <tp t="e">
        <v>#N/A</v>
        <stp/>
        <stp>BDH|12176975114381104263</stp>
        <tr r="W17" s="13"/>
      </tp>
      <tp t="e">
        <v>#N/A</v>
        <stp/>
        <stp>BDH|13859404545789974313</stp>
        <tr r="G23" s="9"/>
      </tp>
      <tp t="e">
        <v>#N/A</v>
        <stp/>
        <stp>BDH|10483005186892476333</stp>
        <tr r="P73" s="24"/>
      </tp>
      <tp t="e">
        <v>#N/A</v>
        <stp/>
        <stp>BDH|16137560044686040860</stp>
        <tr r="C83" s="12"/>
      </tp>
      <tp t="e">
        <v>#N/A</v>
        <stp/>
        <stp>BDH|16755053847213555850</stp>
        <tr r="S28" s="26"/>
      </tp>
      <tp t="e">
        <v>#N/A</v>
        <stp/>
        <stp>BDH|13225966926401517020</stp>
        <tr r="D82" s="12"/>
      </tp>
      <tp t="e">
        <v>#N/A</v>
        <stp/>
        <stp>BDH|15867316983623868471</stp>
        <tr r="R101" s="12"/>
      </tp>
      <tp t="e">
        <v>#N/A</v>
        <stp/>
        <stp>BDH|15002026196202245731</stp>
        <tr r="N40" s="29"/>
      </tp>
      <tp t="e">
        <v>#N/A</v>
        <stp/>
        <stp>BDH|15273021082456275254</stp>
        <tr r="J22" s="12"/>
      </tp>
      <tp t="e">
        <v>#N/A</v>
        <stp/>
        <stp>BDH|17898814669961335167</stp>
        <tr r="E88" s="12"/>
      </tp>
      <tp t="e">
        <v>#N/A</v>
        <stp/>
        <stp>BDH|16256229786354699151</stp>
        <tr r="P12" s="13"/>
      </tp>
      <tp t="e">
        <v>#N/A</v>
        <stp/>
        <stp>BDH|12918988030941433004</stp>
        <tr r="I41" s="34"/>
      </tp>
      <tp t="e">
        <v>#N/A</v>
        <stp/>
        <stp>BDH|14483739165284343840</stp>
        <tr r="Q22" s="11"/>
      </tp>
      <tp t="e">
        <v>#N/A</v>
        <stp/>
        <stp>BDH|17301919873078266869</stp>
        <tr r="U9" s="6"/>
      </tp>
      <tp t="e">
        <v>#N/A</v>
        <stp/>
        <stp>BDH|10641906015574218543</stp>
        <tr r="P41" s="13"/>
        <tr r="N29" s="11"/>
        <tr r="N37" s="10"/>
      </tp>
      <tp t="e">
        <v>#N/A</v>
        <stp/>
        <stp>BDH|15054916566633627042</stp>
        <tr r="U67" s="12"/>
      </tp>
      <tp t="e">
        <v>#N/A</v>
        <stp/>
        <stp>BDH|12726652088671747487</stp>
        <tr r="O46" s="13"/>
      </tp>
      <tp t="e">
        <v>#N/A</v>
        <stp/>
        <stp>BDH|18352653870678658851</stp>
        <tr r="E29" s="18"/>
      </tp>
      <tp t="e">
        <v>#N/A</v>
        <stp/>
        <stp>BDH|11343099800419931171</stp>
        <tr r="V164" s="18"/>
      </tp>
      <tp t="e">
        <v>#N/A</v>
        <stp/>
        <stp>BDH|10775911085469080171</stp>
        <tr r="C64" s="12"/>
      </tp>
      <tp t="e">
        <v>#N/A</v>
        <stp/>
        <stp>BDH|12276823116120084227</stp>
        <tr r="V57" s="17"/>
      </tp>
      <tp t="e">
        <v>#N/A</v>
        <stp/>
        <stp>BDH|12309679184991299460</stp>
        <tr r="W40" s="12"/>
      </tp>
      <tp t="e">
        <v>#N/A</v>
        <stp/>
        <stp>BDH|15237098852229522083</stp>
        <tr r="Z8" s="21"/>
      </tp>
      <tp t="e">
        <v>#N/A</v>
        <stp/>
        <stp>BDH|10981282976029513563</stp>
        <tr r="U13" s="14"/>
      </tp>
      <tp t="e">
        <v>#N/A</v>
        <stp/>
        <stp>BDH|10463308224680761836</stp>
        <tr r="Q19" s="20"/>
      </tp>
      <tp t="e">
        <v>#N/A</v>
        <stp/>
        <stp>BDH|13367018283775195748</stp>
        <tr r="C25" s="11"/>
        <tr r="C33" s="10"/>
      </tp>
      <tp t="e">
        <v>#N/A</v>
        <stp/>
        <stp>BDH|10659675817919641745</stp>
        <tr r="S96" s="18"/>
      </tp>
      <tp t="e">
        <v>#N/A</v>
        <stp/>
        <stp>BDH|11310302664874660955</stp>
        <tr r="H8" s="26"/>
        <tr r="E10" s="9"/>
      </tp>
      <tp t="e">
        <v>#N/A</v>
        <stp/>
        <stp>BDH|12887368663399194785</stp>
        <tr r="E26" s="7"/>
      </tp>
      <tp t="e">
        <v>#N/A</v>
        <stp/>
        <stp>BDH|10630853614755692551</stp>
        <tr r="F83" s="18"/>
      </tp>
      <tp t="e">
        <v>#N/A</v>
        <stp/>
        <stp>BDH|15690909342736211729</stp>
        <tr r="Y90" s="17"/>
        <tr r="Y34" s="25"/>
      </tp>
      <tp t="e">
        <v>#N/A</v>
        <stp/>
        <stp>BDH|16277639777869717758</stp>
        <tr r="K73" s="17"/>
      </tp>
      <tp t="e">
        <v>#N/A</v>
        <stp/>
        <stp>BDH|12343870846123385453</stp>
        <tr r="Z14" s="27"/>
        <tr r="Z28" s="25"/>
      </tp>
      <tp t="e">
        <v>#N/A</v>
        <stp/>
        <stp>BDH|10518987059173596650</stp>
        <tr r="V23" s="18"/>
      </tp>
      <tp t="e">
        <v>#N/A</v>
        <stp/>
        <stp>BDH|16558562978674975968</stp>
        <tr r="J20" s="23"/>
      </tp>
      <tp t="e">
        <v>#N/A</v>
        <stp/>
        <stp>BDH|17513116910538286626</stp>
        <tr r="Z72" s="24"/>
      </tp>
      <tp t="e">
        <v>#N/A</v>
        <stp/>
        <stp>BDH|14961361921439927532</stp>
        <tr r="M24" s="22"/>
      </tp>
      <tp t="e">
        <v>#N/A</v>
        <stp/>
        <stp>BDH|12547529051349580275</stp>
        <tr r="M39" s="24"/>
      </tp>
      <tp t="e">
        <v>#N/A</v>
        <stp/>
        <stp>BDH|16048955878038060994</stp>
        <tr r="C108" s="12"/>
      </tp>
      <tp t="e">
        <v>#N/A</v>
        <stp/>
        <stp>BDH|15629040961983495933</stp>
        <tr r="N65" s="10"/>
        <tr r="N39" s="4"/>
      </tp>
      <tp t="e">
        <v>#N/A</v>
        <stp/>
        <stp>BDH|18338863721189043204</stp>
        <tr r="O8" s="24"/>
      </tp>
      <tp t="e">
        <v>#N/A</v>
        <stp/>
        <stp>BDH|10936482390124760027</stp>
        <tr r="J85" s="12"/>
      </tp>
      <tp t="e">
        <v>#N/A</v>
        <stp/>
        <stp>BDH|18350738743675197763</stp>
        <tr r="K30" s="11"/>
        <tr r="K38" s="10"/>
      </tp>
      <tp t="e">
        <v>#N/A</v>
        <stp/>
        <stp>BDH|14806333875749357091</stp>
        <tr r="M47" s="21"/>
      </tp>
      <tp t="e">
        <v>#N/A</v>
        <stp/>
        <stp>BDH|16719993570738331996</stp>
        <tr r="T19" s="22"/>
      </tp>
      <tp t="e">
        <v>#N/A</v>
        <stp/>
        <stp>BDH|14109307029645427983</stp>
        <tr r="V9" s="23"/>
      </tp>
      <tp t="e">
        <v>#N/A</v>
        <stp/>
        <stp>BDH|13043554007009707610</stp>
        <tr r="K17" s="14"/>
      </tp>
      <tp t="e">
        <v>#N/A</v>
        <stp/>
        <stp>BDH|14354967356913092272</stp>
        <tr r="F8" s="21"/>
      </tp>
      <tp t="e">
        <v>#N/A</v>
        <stp/>
        <stp>BDH|17406964416034655261</stp>
        <tr r="T23" s="6"/>
      </tp>
      <tp t="e">
        <v>#N/A</v>
        <stp/>
        <stp>BDH|15275580995421208193</stp>
        <tr r="V11" s="7"/>
      </tp>
      <tp t="e">
        <v>#N/A</v>
        <stp/>
        <stp>BDH|12448838522152981382</stp>
        <tr r="V33" s="18"/>
      </tp>
      <tp t="e">
        <v>#N/A</v>
        <stp/>
        <stp>BDH|17456872243606244462</stp>
        <tr r="N15" s="5"/>
      </tp>
      <tp t="e">
        <v>#N/A</v>
        <stp/>
        <stp>BDH|12637645292771323575</stp>
        <tr r="Q55" s="24"/>
      </tp>
      <tp t="e">
        <v>#N/A</v>
        <stp/>
        <stp>BDH|12170617605575671874</stp>
        <tr r="Y53" s="13"/>
      </tp>
      <tp t="e">
        <v>#N/A</v>
        <stp/>
        <stp>BDH|14901972286249875541</stp>
        <tr r="X36" s="21"/>
      </tp>
      <tp t="e">
        <v>#N/A</v>
        <stp/>
        <stp>BDH|17438689334478930358</stp>
        <tr r="O24" s="13"/>
      </tp>
      <tp t="e">
        <v>#N/A</v>
        <stp/>
        <stp>BDH|17297702593387049759</stp>
        <tr r="M22" s="27"/>
      </tp>
      <tp t="e">
        <v>#N/A</v>
        <stp/>
        <stp>BDH|16661732836142400931</stp>
        <tr r="T47" s="34"/>
      </tp>
      <tp t="e">
        <v>#N/A</v>
        <stp/>
        <stp>BDH|11420964866230505750</stp>
        <tr r="D9" s="11"/>
      </tp>
      <tp t="e">
        <v>#N/A</v>
        <stp/>
        <stp>BDH|16712448153237249954</stp>
        <tr r="J27" s="21"/>
      </tp>
      <tp t="e">
        <v>#N/A</v>
        <stp/>
        <stp>BDH|13384678615305582830</stp>
        <tr r="J75" s="12"/>
      </tp>
      <tp t="e">
        <v>#N/A</v>
        <stp/>
        <stp>BDH|13070890799912129966</stp>
        <tr r="AA65" s="18"/>
      </tp>
      <tp t="e">
        <v>#N/A</v>
        <stp/>
        <stp>BDH|13572508822104169912</stp>
        <tr r="U8" s="12"/>
      </tp>
      <tp t="e">
        <v>#N/A</v>
        <stp/>
        <stp>BDH|17173526886560285305</stp>
        <tr r="G56" s="12"/>
      </tp>
      <tp t="e">
        <v>#N/A</v>
        <stp/>
        <stp>BDH|11445905705909389859</stp>
        <tr r="L30" s="17"/>
      </tp>
      <tp t="e">
        <v>#N/A</v>
        <stp/>
        <stp>BDH|18211174829680935229</stp>
        <tr r="Q104" s="12"/>
      </tp>
      <tp t="e">
        <v>#N/A</v>
        <stp/>
        <stp>BDH|14135424396462136239</stp>
        <tr r="O44" s="17"/>
      </tp>
      <tp t="e">
        <v>#N/A</v>
        <stp/>
        <stp>BDH|17459825614063786420</stp>
        <tr r="K105" s="18"/>
      </tp>
      <tp t="e">
        <v>#N/A</v>
        <stp/>
        <stp>BDH|12068758233909591641</stp>
        <tr r="E14" s="30"/>
      </tp>
      <tp t="e">
        <v>#N/A</v>
        <stp/>
        <stp>BDH|17818087991926483128</stp>
        <tr r="Z139" s="18"/>
      </tp>
      <tp t="e">
        <v>#N/A</v>
        <stp/>
        <stp>BDH|14861338193981820678</stp>
        <tr r="R20" s="18"/>
      </tp>
      <tp t="e">
        <v>#N/A</v>
        <stp/>
        <stp>BDH|16805489594180313204</stp>
        <tr r="X12" s="13"/>
      </tp>
      <tp t="e">
        <v>#N/A</v>
        <stp/>
        <stp>BDH|10614620842993742860</stp>
        <tr r="Q7" s="23"/>
      </tp>
      <tp t="e">
        <v>#N/A</v>
        <stp/>
        <stp>BDH|15748573969367696881</stp>
        <tr r="H143" s="18"/>
      </tp>
      <tp t="e">
        <v>#N/A</v>
        <stp/>
        <stp>BDH|16288823800201330646</stp>
        <tr r="M12" s="25"/>
      </tp>
      <tp t="e">
        <v>#N/A</v>
        <stp/>
        <stp>BDH|18352991255038001588</stp>
        <tr r="F8" s="10"/>
      </tp>
      <tp t="e">
        <v>#N/A</v>
        <stp/>
        <stp>BDH|12149672265498788339</stp>
        <tr r="Q20" s="25"/>
      </tp>
      <tp t="e">
        <v>#N/A</v>
        <stp/>
        <stp>BDH|15000577692438060826</stp>
        <tr r="R52" s="12"/>
      </tp>
      <tp t="e">
        <v>#N/A</v>
        <stp/>
        <stp>BDH|17959599338841961960</stp>
        <tr r="C28" s="4"/>
      </tp>
      <tp t="e">
        <v>#N/A</v>
        <stp/>
        <stp>BDH|16458764387160545076</stp>
        <tr r="E55" s="13"/>
        <tr r="C48" s="11"/>
        <tr r="C56" s="10"/>
        <tr r="C18" s="7"/>
      </tp>
      <tp t="e">
        <v>#N/A</v>
        <stp/>
        <stp>BDH|16675409494181583305</stp>
        <tr r="L14" s="21"/>
      </tp>
      <tp t="e">
        <v>#N/A</v>
        <stp/>
        <stp>BDH|17190999679516401627</stp>
        <tr r="L10" s="28"/>
      </tp>
      <tp t="e">
        <v>#N/A</v>
        <stp/>
        <stp>BDH|13605312775196489819</stp>
        <tr r="L12" s="12"/>
      </tp>
      <tp t="e">
        <v>#N/A</v>
        <stp/>
        <stp>BDH|16764115488384161287</stp>
        <tr r="Q14" s="8"/>
      </tp>
      <tp t="e">
        <v>#N/A</v>
        <stp/>
        <stp>BDH|11132793053539555391</stp>
        <tr r="I120" s="18"/>
      </tp>
      <tp t="e">
        <v>#N/A</v>
        <stp/>
        <stp>BDH|11695077828133671988</stp>
        <tr r="M63" s="17"/>
      </tp>
      <tp t="e">
        <v>#N/A</v>
        <stp/>
        <stp>BDH|15252602002713672917</stp>
        <tr r="V175" s="18"/>
      </tp>
      <tp t="e">
        <v>#N/A</v>
        <stp/>
        <stp>BDH|15754738054236502828</stp>
        <tr r="G25" s="18"/>
      </tp>
      <tp t="e">
        <v>#N/A</v>
        <stp/>
        <stp>BDH|10969247946878570798</stp>
        <tr r="M88" s="12"/>
      </tp>
      <tp t="e">
        <v>#N/A</v>
        <stp/>
        <stp>BDH|16195738700548413010</stp>
        <tr r="G29" s="34"/>
      </tp>
      <tp t="e">
        <v>#N/A</v>
        <stp/>
        <stp>BDH|13621906731677515756</stp>
        <tr r="J36" s="13"/>
        <tr r="H24" s="10"/>
        <tr r="H46" s="4"/>
      </tp>
      <tp t="e">
        <v>#N/A</v>
        <stp/>
        <stp>BDH|10724338123608504059</stp>
        <tr r="W146" s="18"/>
      </tp>
      <tp t="e">
        <v>#N/A</v>
        <stp/>
        <stp>BDH|13316991421250474180</stp>
        <tr r="L69" s="12"/>
      </tp>
      <tp t="e">
        <v>#N/A</v>
        <stp/>
        <stp>BDH|10828030389870179149</stp>
        <tr r="K145" s="18"/>
      </tp>
      <tp t="e">
        <v>#N/A</v>
        <stp/>
        <stp>BDH|14967942663146163498</stp>
        <tr r="E30" s="34"/>
      </tp>
      <tp t="e">
        <v>#N/A</v>
        <stp/>
        <stp>BDH|17972133118368545618</stp>
        <tr r="P31" s="24"/>
      </tp>
      <tp t="e">
        <v>#N/A</v>
        <stp/>
        <stp>BDH|17786943624723155603</stp>
        <tr r="AA68" s="17"/>
        <tr r="X8" s="9"/>
        <tr r="X8" s="5"/>
      </tp>
      <tp t="e">
        <v>#N/A</v>
        <stp/>
        <stp>BDH|17095116491271409724</stp>
        <tr r="N81" s="18"/>
      </tp>
      <tp t="e">
        <v>#N/A</v>
        <stp/>
        <stp>BDH|16683353964798058210</stp>
        <tr r="P16" s="10"/>
      </tp>
      <tp t="e">
        <v>#N/A</v>
        <stp/>
        <stp>BDH|17503970862524694504</stp>
        <tr r="U124" s="18"/>
      </tp>
      <tp t="e">
        <v>#N/A</v>
        <stp/>
        <stp>BDH|14067756316623179849</stp>
        <tr r="AA102" s="18"/>
      </tp>
      <tp t="e">
        <v>#N/A</v>
        <stp/>
        <stp>BDH|13565908032536060612</stp>
        <tr r="V42" s="21"/>
      </tp>
      <tp t="e">
        <v>#N/A</v>
        <stp/>
        <stp>BDH|10825835738816393469</stp>
        <tr r="S13" s="7"/>
      </tp>
      <tp t="e">
        <v>#N/A</v>
        <stp/>
        <stp>BDH|14777528981058638843</stp>
        <tr r="U86" s="12"/>
      </tp>
      <tp t="e">
        <v>#N/A</v>
        <stp/>
        <stp>BDH|15235279286520568607</stp>
        <tr r="H49" s="24"/>
      </tp>
      <tp t="e">
        <v>#N/A</v>
        <stp/>
        <stp>BDH|14559738956179558637</stp>
        <tr r="L24" s="22"/>
      </tp>
      <tp t="e">
        <v>#N/A</v>
        <stp/>
        <stp>BDH|14669530834688284355</stp>
        <tr r="H34" s="22"/>
      </tp>
      <tp t="e">
        <v>#N/A</v>
        <stp/>
        <stp>BDH|14787704977984313959</stp>
        <tr r="X13" s="24"/>
      </tp>
      <tp t="e">
        <v>#N/A</v>
        <stp/>
        <stp>BDH|15020776689506896505</stp>
        <tr r="D45" s="18"/>
      </tp>
      <tp t="e">
        <v>#N/A</v>
        <stp/>
        <stp>BDH|17587857554051109233</stp>
        <tr r="T35" s="34"/>
      </tp>
      <tp t="e">
        <v>#N/A</v>
        <stp/>
        <stp>BDH|16070151081731256708</stp>
        <tr r="P56" s="17"/>
      </tp>
      <tp t="e">
        <v>#N/A</v>
        <stp/>
        <stp>BDH|16999492859169967760</stp>
        <tr r="AA37" s="22"/>
      </tp>
      <tp t="e">
        <v>#N/A</v>
        <stp/>
        <stp>BDH|17833945670817357797</stp>
        <tr r="X22" s="21"/>
      </tp>
      <tp t="e">
        <v>#N/A</v>
        <stp/>
        <stp>BDH|15464907845281079077</stp>
        <tr r="S49" s="24"/>
      </tp>
      <tp t="e">
        <v>#N/A</v>
        <stp/>
        <stp>BDH|10844562399102338727</stp>
        <tr r="U8" s="23"/>
      </tp>
      <tp t="e">
        <v>#N/A</v>
        <stp/>
        <stp>BDH|18253543655409300861</stp>
        <tr r="W7" s="28"/>
      </tp>
      <tp t="e">
        <v>#N/A</v>
        <stp/>
        <stp>BDH|18140969587450586032</stp>
        <tr r="S43" s="18"/>
      </tp>
      <tp t="e">
        <v>#N/A</v>
        <stp/>
        <stp>BDH|11211969662255195211</stp>
        <tr r="S18" s="14"/>
      </tp>
      <tp t="e">
        <v>#N/A</v>
        <stp/>
        <stp>BDH|15802469098808815982</stp>
        <tr r="O14" s="23"/>
      </tp>
      <tp t="e">
        <v>#N/A</v>
        <stp/>
        <stp>BDH|12361225191353438322</stp>
        <tr r="J18" s="9"/>
      </tp>
      <tp t="e">
        <v>#N/A</v>
        <stp/>
        <stp>BDH|10264713487626239001</stp>
        <tr r="V95" s="12"/>
      </tp>
      <tp t="e">
        <v>#N/A</v>
        <stp/>
        <stp>BDH|16394675591185152529</stp>
        <tr r="T94" s="12"/>
      </tp>
      <tp t="e">
        <v>#N/A</v>
        <stp/>
        <stp>BDH|16108304823568151655</stp>
        <tr r="X50" s="4"/>
      </tp>
      <tp t="e">
        <v>#N/A</v>
        <stp/>
        <stp>BDH|12989278798695824585</stp>
        <tr r="AA44" s="12"/>
      </tp>
      <tp t="e">
        <v>#N/A</v>
        <stp/>
        <stp>BDH|10974173241249167580</stp>
        <tr r="F9" s="27"/>
      </tp>
      <tp t="e">
        <v>#N/A</v>
        <stp/>
        <stp>BDH|10785816881191267839</stp>
        <tr r="E82" s="17"/>
        <tr r="C6" s="7"/>
        <tr r="E20" s="3"/>
      </tp>
      <tp t="e">
        <v>#N/A</v>
        <stp/>
        <stp>BDH|12301800322471507024</stp>
        <tr r="E16" s="14"/>
      </tp>
      <tp t="e">
        <v>#N/A</v>
        <stp/>
        <stp>BDH|14745113195224759127</stp>
        <tr r="O76" s="12"/>
      </tp>
      <tp t="e">
        <v>#N/A</v>
        <stp/>
        <stp>BDH|18281316179553947658</stp>
        <tr r="E70" s="10"/>
        <tr r="E62" s="11"/>
      </tp>
      <tp t="e">
        <v>#N/A</v>
        <stp/>
        <stp>BDH|11806941772786983018</stp>
        <tr r="L79" s="18"/>
      </tp>
      <tp t="e">
        <v>#N/A</v>
        <stp/>
        <stp>BDH|10469930113159368817</stp>
        <tr r="P22" s="7"/>
      </tp>
      <tp t="e">
        <v>#N/A</v>
        <stp/>
        <stp>BDH|15804366788271171615</stp>
        <tr r="W68" s="17"/>
        <tr r="T8" s="9"/>
        <tr r="T8" s="5"/>
      </tp>
      <tp t="e">
        <v>#N/A</v>
        <stp/>
        <stp>BDH|17614641549698854456</stp>
        <tr r="I7" s="21"/>
      </tp>
      <tp t="e">
        <v>#N/A</v>
        <stp/>
        <stp>BDH|13640171573184092848</stp>
        <tr r="C50" s="21"/>
      </tp>
      <tp t="e">
        <v>#N/A</v>
        <stp/>
        <stp>BDH|13824237004168979006</stp>
        <tr r="G87" s="17"/>
      </tp>
      <tp t="e">
        <v>#N/A</v>
        <stp/>
        <stp>BDH|15553971179783518187</stp>
        <tr r="G12" s="27"/>
        <tr r="G26" s="25"/>
      </tp>
      <tp t="e">
        <v>#N/A</v>
        <stp/>
        <stp>BDH|13019051566458445414</stp>
        <tr r="F65" s="34"/>
      </tp>
      <tp t="e">
        <v>#N/A</v>
        <stp/>
        <stp>BDH|11502904257400559411</stp>
        <tr r="G8" s="24"/>
      </tp>
      <tp t="e">
        <v>#N/A</v>
        <stp/>
        <stp>BDH|14620703721551158905</stp>
        <tr r="V34" s="26"/>
      </tp>
      <tp t="e">
        <v>#N/A</v>
        <stp/>
        <stp>BDH|11034449797142266784</stp>
        <tr r="P49" s="22"/>
      </tp>
      <tp t="e">
        <v>#N/A</v>
        <stp/>
        <stp>BDH|15852339052393630964</stp>
        <tr r="T35" s="6"/>
      </tp>
      <tp t="e">
        <v>#N/A</v>
        <stp/>
        <stp>BDH|11148032387990508097</stp>
        <tr r="C30" s="26"/>
      </tp>
      <tp t="e">
        <v>#N/A</v>
        <stp/>
        <stp>BDH|15913450895488159918</stp>
        <tr r="Q31" s="13"/>
        <tr r="O27" s="10"/>
      </tp>
      <tp t="e">
        <v>#N/A</v>
        <stp/>
        <stp>BDH|18407016808094584516</stp>
        <tr r="S49" s="6"/>
        <tr r="U9" s="8"/>
      </tp>
      <tp t="e">
        <v>#N/A</v>
        <stp/>
        <stp>BDH|18125824099436182624</stp>
        <tr r="J54" s="21"/>
      </tp>
      <tp t="e">
        <v>#N/A</v>
        <stp/>
        <stp>BDH|10899512670528465345</stp>
        <tr r="Y27" s="18"/>
      </tp>
      <tp t="e">
        <v>#N/A</v>
        <stp/>
        <stp>BDH|13612209027503069986</stp>
        <tr r="F24" s="12"/>
      </tp>
      <tp t="e">
        <v>#N/A</v>
        <stp/>
        <stp>BDH|14115972466802864010</stp>
        <tr r="E13" s="8"/>
      </tp>
      <tp t="e">
        <v>#N/A</v>
        <stp/>
        <stp>BDH|11252162781418970959</stp>
        <tr r="U161" s="18"/>
      </tp>
      <tp t="e">
        <v>#N/A</v>
        <stp/>
        <stp>BDH|12172162485567281595</stp>
        <tr r="M63" s="24"/>
      </tp>
      <tp t="e">
        <v>#N/A</v>
        <stp/>
        <stp>BDH|15762013015425290885</stp>
        <tr r="H122" s="18"/>
      </tp>
      <tp t="e">
        <v>#N/A</v>
        <stp/>
        <stp>BDH|12789685456519113115</stp>
        <tr r="M48" s="22"/>
      </tp>
      <tp t="e">
        <v>#N/A</v>
        <stp/>
        <stp>BDH|14701204420028884560</stp>
        <tr r="X15" s="4"/>
      </tp>
      <tp t="e">
        <v>#N/A</v>
        <stp/>
        <stp>BDH|13368834537127992679</stp>
        <tr r="T33" s="22"/>
      </tp>
      <tp t="e">
        <v>#N/A</v>
        <stp/>
        <stp>BDH|15925630283136729473</stp>
        <tr r="X144" s="18"/>
      </tp>
      <tp t="e">
        <v>#N/A</v>
        <stp/>
        <stp>BDH|17728041288167702150</stp>
        <tr r="C35" s="22"/>
      </tp>
      <tp t="e">
        <v>#N/A</v>
        <stp/>
        <stp>BDH|17746961204060523796</stp>
        <tr r="S28" s="22"/>
      </tp>
      <tp t="e">
        <v>#N/A</v>
        <stp/>
        <stp>BDH|15068787996091454334</stp>
        <tr r="H87" s="18"/>
      </tp>
      <tp t="e">
        <v>#N/A</v>
        <stp/>
        <stp>BDH|10528264689611657255</stp>
        <tr r="K47" s="34"/>
      </tp>
      <tp t="e">
        <v>#N/A</v>
        <stp/>
        <stp>BDH|16952821578166249681</stp>
        <tr r="I122" s="18"/>
      </tp>
      <tp t="e">
        <v>#N/A</v>
        <stp/>
        <stp>BDH|12302963729841584103</stp>
        <tr r="T120" s="18"/>
      </tp>
      <tp t="e">
        <v>#N/A</v>
        <stp/>
        <stp>BDH|11223855663766525084</stp>
        <tr r="W22" s="20"/>
      </tp>
      <tp t="e">
        <v>#N/A</v>
        <stp/>
        <stp>BDH|13065937232354057482</stp>
        <tr r="X78" s="24"/>
      </tp>
      <tp t="e">
        <v>#N/A</v>
        <stp/>
        <stp>BDH|12522855139226742674</stp>
        <tr r="F54" s="21"/>
      </tp>
      <tp t="e">
        <v>#N/A</v>
        <stp/>
        <stp>BDH|14709625442046956974</stp>
        <tr r="W20" s="25"/>
      </tp>
      <tp t="e">
        <v>#N/A</v>
        <stp/>
        <stp>BDH|15809749560128441518</stp>
        <tr r="P14" s="10"/>
      </tp>
      <tp t="e">
        <v>#N/A</v>
        <stp/>
        <stp>BDH|14726488884989407867</stp>
        <tr r="V37" s="22"/>
      </tp>
      <tp t="e">
        <v>#N/A</v>
        <stp/>
        <stp>BDH|12108377401021992967</stp>
        <tr r="L65" s="17"/>
      </tp>
      <tp t="e">
        <v>#N/A</v>
        <stp/>
        <stp>BDH|12939303599412185395</stp>
        <tr r="E95" s="12"/>
      </tp>
      <tp t="e">
        <v>#N/A</v>
        <stp/>
        <stp>BDH|12238646640878773193</stp>
        <tr r="K25" s="12"/>
      </tp>
      <tp t="e">
        <v>#N/A</v>
        <stp/>
        <stp>BDH|18184629746511456298</stp>
        <tr r="Y62" s="10"/>
      </tp>
      <tp t="e">
        <v>#N/A</v>
        <stp/>
        <stp>BDH|17033577195171846328</stp>
        <tr r="V20" s="25"/>
      </tp>
      <tp t="e">
        <v>#N/A</v>
        <stp/>
        <stp>BDH|13686412454483252893</stp>
        <tr r="U163" s="18"/>
      </tp>
      <tp t="e">
        <v>#N/A</v>
        <stp/>
        <stp>BDH|15844721169439291490</stp>
        <tr r="V9" s="17"/>
      </tp>
      <tp t="e">
        <v>#N/A</v>
        <stp/>
        <stp>BDH|14124914462952813021</stp>
        <tr r="W8" s="18"/>
      </tp>
      <tp t="e">
        <v>#N/A</v>
        <stp/>
        <stp>BDH|15016428728629748355</stp>
        <tr r="K94" s="17"/>
      </tp>
      <tp t="e">
        <v>#N/A</v>
        <stp/>
        <stp>BDH|13971273466608591655</stp>
        <tr r="N21" s="18"/>
      </tp>
      <tp t="e">
        <v>#N/A</v>
        <stp/>
        <stp>BDH|12759245229053353818</stp>
        <tr r="P26" s="21"/>
      </tp>
      <tp t="e">
        <v>#N/A</v>
        <stp/>
        <stp>BDH|16469002619607468919</stp>
        <tr r="U7" s="17"/>
      </tp>
      <tp t="e">
        <v>#N/A</v>
        <stp/>
        <stp>BDH|16868927924561486521</stp>
        <tr r="Q39" s="17"/>
      </tp>
      <tp t="e">
        <v>#N/A</v>
        <stp/>
        <stp>BDH|18152291231739062918</stp>
        <tr r="Q49" s="17"/>
      </tp>
      <tp t="e">
        <v>#N/A</v>
        <stp/>
        <stp>BDH|16513612599876448613</stp>
        <tr r="P48" s="21"/>
      </tp>
      <tp t="e">
        <v>#N/A</v>
        <stp/>
        <stp>BDH|11407035695975970437</stp>
        <tr r="S42" s="21"/>
      </tp>
      <tp t="e">
        <v>#N/A</v>
        <stp/>
        <stp>BDH|15847130051980198837</stp>
        <tr r="L75" s="18"/>
      </tp>
      <tp t="e">
        <v>#N/A</v>
        <stp/>
        <stp>BDH|12040057029571408804</stp>
        <tr r="H25" s="11"/>
        <tr r="H33" s="10"/>
      </tp>
      <tp t="e">
        <v>#N/A</v>
        <stp/>
        <stp>BDH|14178607083280953336</stp>
        <tr r="Q74" s="18"/>
      </tp>
      <tp t="e">
        <v>#N/A</v>
        <stp/>
        <stp>BDH|15866220454248754310</stp>
        <tr r="P37" s="18"/>
      </tp>
      <tp t="e">
        <v>#N/A</v>
        <stp/>
        <stp>BDH|15290634489442688061</stp>
        <tr r="N171" s="18"/>
      </tp>
      <tp t="e">
        <v>#N/A</v>
        <stp/>
        <stp>BDH|14507915803903655799</stp>
        <tr r="R17" s="14"/>
      </tp>
      <tp t="e">
        <v>#N/A</v>
        <stp/>
        <stp>BDH|17594707778107481917</stp>
        <tr r="N41" s="12"/>
      </tp>
      <tp t="e">
        <v>#N/A</v>
        <stp/>
        <stp>BDH|10784788598214913364</stp>
        <tr r="P82" s="12"/>
      </tp>
      <tp t="e">
        <v>#N/A</v>
        <stp/>
        <stp>BDH|14193446382868857977</stp>
        <tr r="C45" s="13"/>
      </tp>
      <tp t="e">
        <v>#N/A</v>
        <stp/>
        <stp>BDH|17232626519429814095</stp>
        <tr r="L59" s="13"/>
      </tp>
      <tp t="e">
        <v>#N/A</v>
        <stp/>
        <stp>BDH|18242431755064418480</stp>
        <tr r="L29" s="5"/>
      </tp>
      <tp t="e">
        <v>#N/A</v>
        <stp/>
        <stp>BDH|11763780283686759131</stp>
        <tr r="Z45" s="22"/>
      </tp>
      <tp t="e">
        <v>#N/A</v>
        <stp/>
        <stp>BDH|14512907949539195961</stp>
        <tr r="U16" s="6"/>
      </tp>
      <tp t="e">
        <v>#N/A</v>
        <stp/>
        <stp>BDH|10227419858879419149</stp>
        <tr r="H50" s="21"/>
      </tp>
      <tp t="e">
        <v>#N/A</v>
        <stp/>
        <stp>BDH|10051874520915946657</stp>
        <tr r="V8" s="22"/>
      </tp>
      <tp t="e">
        <v>#N/A</v>
        <stp/>
        <stp>BDH|17025098040482503877</stp>
        <tr r="G66" s="17"/>
      </tp>
      <tp t="e">
        <v>#N/A</v>
        <stp/>
        <stp>BDH|15849405637523484805</stp>
        <tr r="M68" s="10"/>
      </tp>
      <tp t="e">
        <v>#N/A</v>
        <stp/>
        <stp>BDH|12327247194284864408</stp>
        <tr r="AA31" s="21"/>
      </tp>
      <tp t="e">
        <v>#N/A</v>
        <stp/>
        <stp>BDH|11409491894867340214</stp>
        <tr r="J26" s="22"/>
      </tp>
      <tp t="e">
        <v>#N/A</v>
        <stp/>
        <stp>BDH|15771059137727975877</stp>
        <tr r="E9" s="21"/>
      </tp>
      <tp t="e">
        <v>#N/A</v>
        <stp/>
        <stp>BDH|18275738965745888579</stp>
        <tr r="R46" s="24"/>
      </tp>
      <tp t="e">
        <v>#N/A</v>
        <stp/>
        <stp>BDH|12894036785516324567</stp>
        <tr r="D9" s="24"/>
      </tp>
      <tp t="e">
        <v>#N/A</v>
        <stp/>
        <stp>BDH|10135882323337944489</stp>
        <tr r="T16" s="30"/>
      </tp>
      <tp t="e">
        <v>#N/A</v>
        <stp/>
        <stp>BDH|16598590287226624467</stp>
        <tr r="L10" s="6"/>
      </tp>
      <tp t="e">
        <v>#N/A</v>
        <stp/>
        <stp>BDH|18165987692949008806</stp>
        <tr r="E22" s="27"/>
      </tp>
      <tp t="e">
        <v>#N/A</v>
        <stp/>
        <stp>BDH|17562282935959745647</stp>
        <tr r="X44" s="6"/>
      </tp>
      <tp t="e">
        <v>#N/A</v>
        <stp/>
        <stp>BDH|14537430093992604284</stp>
        <tr r="N8" s="29"/>
        <tr r="N30" s="29"/>
      </tp>
      <tp t="e">
        <v>#N/A</v>
        <stp/>
        <stp>BDH|14932826194359328579</stp>
        <tr r="J8" s="13"/>
      </tp>
      <tp t="e">
        <v>#N/A</v>
        <stp/>
        <stp>BDH|10886364834159820092</stp>
        <tr r="Z34" s="17"/>
      </tp>
      <tp t="e">
        <v>#N/A</v>
        <stp/>
        <stp>BDH|18192788984096145878</stp>
        <tr r="V6" s="15"/>
        <tr r="V6" s="10"/>
        <tr r="V12" s="2"/>
        <tr r="V11" s="4"/>
      </tp>
      <tp t="e">
        <v>#N/A</v>
        <stp/>
        <stp>BDH|11698890811340372160</stp>
        <tr r="K29" s="6"/>
      </tp>
      <tp t="e">
        <v>#N/A</v>
        <stp/>
        <stp>BDH|14289550569368744623</stp>
        <tr r="G71" s="18"/>
      </tp>
      <tp t="e">
        <v>#N/A</v>
        <stp/>
        <stp>BDH|15900203440998047222</stp>
        <tr r="J142" s="18"/>
      </tp>
      <tp t="e">
        <v>#N/A</v>
        <stp/>
        <stp>BDH|12377090855619230761</stp>
        <tr r="Z146" s="18"/>
      </tp>
      <tp t="e">
        <v>#N/A</v>
        <stp/>
        <stp>BDH|16940097273681840903</stp>
        <tr r="AA96" s="18"/>
      </tp>
      <tp t="e">
        <v>#N/A</v>
        <stp/>
        <stp>BDH|10872067196140446077</stp>
        <tr r="Z62" s="17"/>
      </tp>
      <tp t="e">
        <v>#N/A</v>
        <stp/>
        <stp>BDH|12477865338467862792</stp>
        <tr r="T13" s="17"/>
        <tr r="T16" s="28"/>
      </tp>
      <tp t="e">
        <v>#N/A</v>
        <stp/>
        <stp>BDH|10574663859008812294</stp>
        <tr r="S15" s="22"/>
      </tp>
      <tp t="e">
        <v>#N/A</v>
        <stp/>
        <stp>BDH|10116361999536729526</stp>
        <tr r="J35" s="29"/>
        <tr r="J15" s="29"/>
      </tp>
      <tp t="e">
        <v>#N/A</v>
        <stp/>
        <stp>BDH|11106610613396072984</stp>
        <tr r="G51" s="22"/>
      </tp>
      <tp t="e">
        <v>#N/A</v>
        <stp/>
        <stp>BDH|17709048199271134609</stp>
        <tr r="K16" s="20"/>
      </tp>
      <tp t="e">
        <v>#N/A</v>
        <stp/>
        <stp>BDH|13434240969387101930</stp>
        <tr r="W56" s="34"/>
      </tp>
      <tp t="e">
        <v>#N/A</v>
        <stp/>
        <stp>BDH|10999307529538238098</stp>
        <tr r="R152" s="18"/>
      </tp>
      <tp t="e">
        <v>#N/A</v>
        <stp/>
        <stp>BDH|17467076084596401082</stp>
        <tr r="J38" s="11"/>
        <tr r="J46" s="10"/>
      </tp>
      <tp t="e">
        <v>#N/A</v>
        <stp/>
        <stp>BDH|11758615539305057841</stp>
        <tr r="U9" s="13"/>
      </tp>
      <tp t="e">
        <v>#N/A</v>
        <stp/>
        <stp>BDH|10314316775445952851</stp>
        <tr r="I66" s="34"/>
      </tp>
      <tp t="e">
        <v>#N/A</v>
        <stp/>
        <stp>BDH|18083394353336206138</stp>
        <tr r="D14" s="6"/>
      </tp>
      <tp t="e">
        <v>#N/A</v>
        <stp/>
        <stp>BDH|11312647933399735481</stp>
        <tr r="C16" s="30"/>
      </tp>
      <tp t="e">
        <v>#N/A</v>
        <stp/>
        <stp>BDH|16637498380911069242</stp>
        <tr r="S55" s="13"/>
        <tr r="Q48" s="11"/>
        <tr r="Q56" s="10"/>
        <tr r="Q18" s="7"/>
      </tp>
      <tp t="e">
        <v>#N/A</v>
        <stp/>
        <stp>BDH|16814113206616437802</stp>
        <tr r="X21" s="18"/>
      </tp>
      <tp t="e">
        <v>#N/A</v>
        <stp/>
        <stp>BDH|14907513998765954425</stp>
        <tr r="N90" s="17"/>
        <tr r="N34" s="25"/>
      </tp>
      <tp t="e">
        <v>#N/A</v>
        <stp/>
        <stp>BDH|12320384781989531948</stp>
        <tr r="H49" s="12"/>
      </tp>
      <tp t="e">
        <v>#N/A</v>
        <stp/>
        <stp>BDH|13620100236060371881</stp>
        <tr r="N9" s="29"/>
      </tp>
      <tp t="e">
        <v>#N/A</v>
        <stp/>
        <stp>BDH|15064133678549014305</stp>
        <tr r="C6" s="6"/>
      </tp>
      <tp t="e">
        <v>#N/A</v>
        <stp/>
        <stp>BDH|18133222681353111898</stp>
        <tr r="P169" s="18"/>
      </tp>
      <tp t="e">
        <v>#N/A</v>
        <stp/>
        <stp>BDH|10918799596615917255</stp>
        <tr r="K24" s="2"/>
      </tp>
      <tp t="e">
        <v>#N/A</v>
        <stp/>
        <stp>BDH|18097688439554972029</stp>
        <tr r="P40" s="24"/>
      </tp>
      <tp t="e">
        <v>#N/A</v>
        <stp/>
        <stp>BDH|16560245089190618549</stp>
        <tr r="V104" s="12"/>
      </tp>
      <tp t="e">
        <v>#N/A</v>
        <stp/>
        <stp>BDH|11673087083929020974</stp>
        <tr r="P27" s="18"/>
      </tp>
      <tp t="e">
        <v>#N/A</v>
        <stp/>
        <stp>BDH|18144114649074365009</stp>
        <tr r="N39" s="25"/>
        <tr r="N22" s="13"/>
        <tr r="N7" s="13"/>
        <tr r="L18" s="11"/>
        <tr r="N7" s="3"/>
      </tp>
      <tp t="e">
        <v>#N/A</v>
        <stp/>
        <stp>BDH|17749088216507538865</stp>
        <tr r="O74" s="17"/>
      </tp>
      <tp t="e">
        <v>#N/A</v>
        <stp/>
        <stp>BDH|16736918673781933061</stp>
        <tr r="X59" s="21"/>
        <tr r="V54" s="11"/>
      </tp>
      <tp t="e">
        <v>#N/A</v>
        <stp/>
        <stp>BDH|14898040306194706976</stp>
        <tr r="P91" s="18"/>
      </tp>
      <tp t="e">
        <v>#N/A</v>
        <stp/>
        <stp>BDH|15535776097161687390</stp>
        <tr r="K26" s="18"/>
      </tp>
      <tp t="e">
        <v>#N/A</v>
        <stp/>
        <stp>BDH|16565572758668513750</stp>
        <tr r="N57" s="12"/>
      </tp>
      <tp t="e">
        <v>#N/A</v>
        <stp/>
        <stp>BDH|10225915598301024817</stp>
        <tr r="H10" s="18"/>
      </tp>
      <tp t="e">
        <v>#N/A</v>
        <stp/>
        <stp>BDH|16156121182097949121</stp>
        <tr r="AA32" s="21"/>
      </tp>
      <tp t="e">
        <v>#N/A</v>
        <stp/>
        <stp>BDH|16042366758291503810</stp>
        <tr r="T163" s="18"/>
      </tp>
      <tp t="e">
        <v>#N/A</v>
        <stp/>
        <stp>BDH|10624587379678461395</stp>
        <tr r="I72" s="12"/>
      </tp>
      <tp t="e">
        <v>#N/A</v>
        <stp/>
        <stp>BDH|18144509147660982053</stp>
        <tr r="O128" s="18"/>
      </tp>
      <tp t="e">
        <v>#N/A</v>
        <stp/>
        <stp>BDH|14084817007761467489</stp>
        <tr r="L21" s="27"/>
      </tp>
      <tp t="e">
        <v>#N/A</v>
        <stp/>
        <stp>BDH|12900766290343227670</stp>
        <tr r="J23" s="21"/>
      </tp>
      <tp t="e">
        <v>#N/A</v>
        <stp/>
        <stp>BDH|15428195599442957670</stp>
        <tr r="O19" s="17"/>
      </tp>
      <tp t="e">
        <v>#N/A</v>
        <stp/>
        <stp>BDH|13253912770795144182</stp>
        <tr r="R40" s="29"/>
      </tp>
      <tp t="e">
        <v>#N/A</v>
        <stp/>
        <stp>BDH|15027526606278733193</stp>
        <tr r="R37" s="18"/>
      </tp>
      <tp t="e">
        <v>#N/A</v>
        <stp/>
        <stp>BDH|10125964829184377676</stp>
        <tr r="Y14" s="30"/>
      </tp>
      <tp t="e">
        <v>#N/A</v>
        <stp/>
        <stp>BDH|14744870878586227406</stp>
        <tr r="I16" s="14"/>
      </tp>
      <tp t="e">
        <v>#N/A</v>
        <stp/>
        <stp>BDH|11156840388690004808</stp>
        <tr r="T92" s="12"/>
      </tp>
      <tp t="e">
        <v>#N/A</v>
        <stp/>
        <stp>BDH|10868788271491549895</stp>
        <tr r="V105" s="18"/>
      </tp>
      <tp t="e">
        <v>#N/A</v>
        <stp/>
        <stp>BDH|10708379309173208962</stp>
        <tr r="Q22" s="9"/>
      </tp>
      <tp t="e">
        <v>#N/A</v>
        <stp/>
        <stp>BDH|16025335496847862203</stp>
        <tr r="U80" s="12"/>
      </tp>
      <tp t="e">
        <v>#N/A</v>
        <stp/>
        <stp>BDH|14806138344399229101</stp>
        <tr r="L51" s="34"/>
      </tp>
      <tp t="e">
        <v>#N/A</v>
        <stp/>
        <stp>BDH|16439399545758172045</stp>
        <tr r="F38" s="22"/>
      </tp>
      <tp t="e">
        <v>#N/A</v>
        <stp/>
        <stp>BDH|16881339373433725828</stp>
        <tr r="P33" s="21"/>
      </tp>
      <tp t="e">
        <v>#N/A</v>
        <stp/>
        <stp>BDH|14023894333944269257</stp>
        <tr r="G77" s="17"/>
        <tr r="G19" s="3"/>
      </tp>
      <tp t="e">
        <v>#N/A</v>
        <stp/>
        <stp>BDH|11547808977231765686</stp>
        <tr r="X9" s="22"/>
      </tp>
      <tp t="e">
        <v>#N/A</v>
        <stp/>
        <stp>BDH|14013758523191865930</stp>
        <tr r="Z7" s="17"/>
      </tp>
      <tp t="e">
        <v>#N/A</v>
        <stp/>
        <stp>BDH|11082925549236611300</stp>
        <tr r="S60" s="24"/>
      </tp>
      <tp t="e">
        <v>#N/A</v>
        <stp/>
        <stp>BDH|17635883802527139108</stp>
        <tr r="S73" s="24"/>
      </tp>
      <tp t="e">
        <v>#N/A</v>
        <stp/>
        <stp>BDH|12181360293744954504</stp>
        <tr r="D24" s="6"/>
      </tp>
      <tp t="e">
        <v>#N/A</v>
        <stp/>
        <stp>BDH|17535383375669686333</stp>
        <tr r="O6" s="8"/>
        <tr r="M48" s="6"/>
      </tp>
      <tp t="e">
        <v>#N/A</v>
        <stp/>
        <stp>BDH|18407889652344418877</stp>
        <tr r="Y141" s="18"/>
      </tp>
      <tp t="e">
        <v>#N/A</v>
        <stp/>
        <stp>BDH|15432686704239735328</stp>
        <tr r="C92" s="17"/>
        <tr r="C7" s="27"/>
      </tp>
      <tp t="e">
        <v>#N/A</v>
        <stp/>
        <stp>BDH|12840181113452696984</stp>
        <tr r="R145" s="18"/>
      </tp>
      <tp t="e">
        <v>#N/A</v>
        <stp/>
        <stp>BDH|17938020585021636753</stp>
        <tr r="V73" s="17"/>
      </tp>
      <tp t="e">
        <v>#N/A</v>
        <stp/>
        <stp>BDH|15005245970571106882</stp>
        <tr r="L56" s="34"/>
      </tp>
      <tp t="e">
        <v>#N/A</v>
        <stp/>
        <stp>BDH|10558985474411101656</stp>
        <tr r="C7" s="21"/>
      </tp>
      <tp t="e">
        <v>#N/A</v>
        <stp/>
        <stp>BDH|12407884068482177785</stp>
        <tr r="N47" s="24"/>
      </tp>
      <tp t="e">
        <v>#N/A</v>
        <stp/>
        <stp>BDH|14203729518319204278</stp>
        <tr r="G168" s="18"/>
      </tp>
      <tp t="e">
        <v>#N/A</v>
        <stp/>
        <stp>BDH|14245705538711373843</stp>
        <tr r="Y63" s="18"/>
      </tp>
      <tp t="e">
        <v>#N/A</v>
        <stp/>
        <stp>BDH|13953651957448599138</stp>
        <tr r="J106" s="18"/>
      </tp>
      <tp t="e">
        <v>#N/A</v>
        <stp/>
        <stp>BDH|17632649629598460229</stp>
        <tr r="K35" s="21"/>
      </tp>
      <tp t="e">
        <v>#N/A</v>
        <stp/>
        <stp>BDH|10670860159584260064</stp>
        <tr r="Y9" s="20"/>
        <tr r="Y111" s="18"/>
      </tp>
      <tp t="e">
        <v>#N/A</v>
        <stp/>
        <stp>BDH|17079861035656657385</stp>
        <tr r="W38" s="17"/>
      </tp>
      <tp t="e">
        <v>#N/A</v>
        <stp/>
        <stp>BDH|10690148011171992879</stp>
        <tr r="D30" s="29"/>
        <tr r="D8" s="29"/>
      </tp>
      <tp t="e">
        <v>#N/A</v>
        <stp/>
        <stp>BDH|10856900823294125675</stp>
        <tr r="T108" s="12"/>
      </tp>
      <tp t="e">
        <v>#N/A</v>
        <stp/>
        <stp>BDH|13761843344232233484</stp>
        <tr r="U10" s="23"/>
      </tp>
      <tp t="e">
        <v>#N/A</v>
        <stp/>
        <stp>BDH|17678591925259216055</stp>
        <tr r="C10" s="11"/>
      </tp>
      <tp t="e">
        <v>#N/A</v>
        <stp/>
        <stp>BDH|11881049607571747917</stp>
        <tr r="U77" s="24"/>
      </tp>
      <tp t="e">
        <v>#N/A</v>
        <stp/>
        <stp>BDH|11214694790134256347</stp>
        <tr r="D22" s="17"/>
      </tp>
      <tp t="e">
        <v>#N/A</v>
        <stp/>
        <stp>BDH|13967103613718734204</stp>
        <tr r="X46" s="21"/>
      </tp>
      <tp t="e">
        <v>#N/A</v>
        <stp/>
        <stp>BDH|17737781001739786048</stp>
        <tr r="W126" s="18"/>
      </tp>
      <tp t="e">
        <v>#N/A</v>
        <stp/>
        <stp>BDH|12598521665378680097</stp>
        <tr r="F99" s="18"/>
      </tp>
      <tp t="e">
        <v>#N/A</v>
        <stp/>
        <stp>BDH|13424179367138091597</stp>
        <tr r="I61" s="34"/>
      </tp>
      <tp t="e">
        <v>#N/A</v>
        <stp/>
        <stp>BDH|11482894422863356115</stp>
        <tr r="AA40" s="17"/>
      </tp>
      <tp t="e">
        <v>#N/A</v>
        <stp/>
        <stp>BDH|18176215897989279397</stp>
        <tr r="H24" s="29"/>
      </tp>
      <tp t="e">
        <v>#N/A</v>
        <stp/>
        <stp>BDH|16098992161696561610</stp>
        <tr r="AA77" s="18"/>
      </tp>
      <tp t="e">
        <v>#N/A</v>
        <stp/>
        <stp>BDH|11722943355675395195</stp>
        <tr r="E156" s="18"/>
      </tp>
      <tp t="e">
        <v>#N/A</v>
        <stp/>
        <stp>BDH|13109575298453624549</stp>
        <tr r="X10" s="23"/>
      </tp>
      <tp t="e">
        <v>#N/A</v>
        <stp/>
        <stp>BDH|16290604892523532392</stp>
        <tr r="C20" s="25"/>
      </tp>
      <tp t="e">
        <v>#N/A</v>
        <stp/>
        <stp>BDH|13385728887812349795</stp>
        <tr r="X16" s="21"/>
      </tp>
      <tp t="e">
        <v>#N/A</v>
        <stp/>
        <stp>BDH|14392571776136733993</stp>
        <tr r="U60" s="12"/>
      </tp>
      <tp t="e">
        <v>#N/A</v>
        <stp/>
        <stp>BDH|17946211408838967452</stp>
        <tr r="R42" s="11"/>
        <tr r="R50" s="10"/>
        <tr r="R14" s="7"/>
        <tr r="T9" s="3"/>
      </tp>
      <tp t="e">
        <v>#N/A</v>
        <stp/>
        <stp>BDH|14682442955248230493</stp>
        <tr r="J76" s="24"/>
      </tp>
      <tp t="e">
        <v>#N/A</v>
        <stp/>
        <stp>BDH|11483440099435745020</stp>
        <tr r="R7" s="24"/>
      </tp>
      <tp t="e">
        <v>#N/A</v>
        <stp/>
        <stp>BDH|11536978928644245746</stp>
        <tr r="T14" s="8"/>
      </tp>
      <tp t="e">
        <v>#N/A</v>
        <stp/>
        <stp>BDH|12855435881324642309</stp>
        <tr r="K49" s="4"/>
      </tp>
      <tp t="e">
        <v>#N/A</v>
        <stp/>
        <stp>BDH|12252356658515391801</stp>
        <tr r="M137" s="18"/>
      </tp>
      <tp t="e">
        <v>#N/A</v>
        <stp/>
        <stp>BDH|12018356795171981053</stp>
        <tr r="O24" s="10"/>
        <tr r="O46" s="4"/>
        <tr r="Q36" s="13"/>
      </tp>
      <tp t="e">
        <v>#N/A</v>
        <stp/>
        <stp>BDH|16710400143349872609</stp>
        <tr r="Q39" s="18"/>
      </tp>
      <tp t="e">
        <v>#N/A</v>
        <stp/>
        <stp>BDH|18400209965422899758</stp>
        <tr r="Z93" s="12"/>
      </tp>
      <tp t="e">
        <v>#N/A</v>
        <stp/>
        <stp>BDH|10028453248770327927</stp>
        <tr r="U87" s="17"/>
      </tp>
      <tp t="e">
        <v>#N/A</v>
        <stp/>
        <stp>BDH|17403842144832099081</stp>
        <tr r="L39" s="22"/>
      </tp>
      <tp t="e">
        <v>#N/A</v>
        <stp/>
        <stp>BDH|18277086712715548513</stp>
        <tr r="O50" s="21"/>
      </tp>
      <tp t="e">
        <v>#N/A</v>
        <stp/>
        <stp>BDH|17690940619633061578</stp>
        <tr r="T49" s="18"/>
      </tp>
      <tp t="e">
        <v>#N/A</v>
        <stp/>
        <stp>BDH|15967758034189575118</stp>
        <tr r="N101" s="18"/>
      </tp>
      <tp t="e">
        <v>#N/A</v>
        <stp/>
        <stp>BDH|11011212229858190052</stp>
        <tr r="G48" s="12"/>
      </tp>
      <tp t="e">
        <v>#N/A</v>
        <stp/>
        <stp>BDH|15581048443050781898</stp>
        <tr r="W43" s="6"/>
        <tr r="W19" s="5"/>
      </tp>
      <tp t="e">
        <v>#N/A</v>
        <stp/>
        <stp>BDH|16709993073158578942</stp>
        <tr r="Z18" s="25"/>
      </tp>
      <tp t="e">
        <v>#N/A</v>
        <stp/>
        <stp>BDH|11858890000674838457</stp>
        <tr r="V14" s="14"/>
      </tp>
      <tp t="e">
        <v>#N/A</v>
        <stp/>
        <stp>BDH|12318977328755118515</stp>
        <tr r="S46" s="6"/>
      </tp>
      <tp t="e">
        <v>#N/A</v>
        <stp/>
        <stp>BDH|12584546124128825418</stp>
        <tr r="J19" s="34"/>
      </tp>
      <tp t="e">
        <v>#N/A</v>
        <stp/>
        <stp>BDH|15739166479643447903</stp>
        <tr r="J56" s="11"/>
        <tr r="J24" s="4"/>
      </tp>
      <tp t="e">
        <v>#N/A</v>
        <stp/>
        <stp>BDH|14202310393962443589</stp>
        <tr r="I57" s="17"/>
      </tp>
      <tp t="e">
        <v>#N/A</v>
        <stp/>
        <stp>BDH|14102937328297076159</stp>
        <tr r="AA20" s="27"/>
      </tp>
      <tp t="e">
        <v>#N/A</v>
        <stp/>
        <stp>BDH|14956828365766209531</stp>
        <tr r="E57" s="12"/>
      </tp>
      <tp t="e">
        <v>#N/A</v>
        <stp/>
        <stp>BDH|12479828269210716576</stp>
        <tr r="E11" s="17"/>
      </tp>
      <tp t="e">
        <v>#N/A</v>
        <stp/>
        <stp>BDH|17673656769379289770</stp>
        <tr r="D51" s="22"/>
      </tp>
      <tp t="e">
        <v>#N/A</v>
        <stp/>
        <stp>BDH|14648247689283230468</stp>
        <tr r="K22" s="18"/>
      </tp>
      <tp t="e">
        <v>#N/A</v>
        <stp/>
        <stp>BDH|15487219376510898944</stp>
        <tr r="D9" s="20"/>
        <tr r="D111" s="18"/>
      </tp>
      <tp t="e">
        <v>#N/A</v>
        <stp/>
        <stp>BDH|13369129184410873325</stp>
        <tr r="K177" s="18"/>
      </tp>
      <tp t="e">
        <v>#N/A</v>
        <stp/>
        <stp>BDH|12076770167462653899</stp>
        <tr r="E49" s="24"/>
      </tp>
      <tp t="e">
        <v>#N/A</v>
        <stp/>
        <stp>BDH|10893546959339855027</stp>
        <tr r="G29" s="22"/>
      </tp>
      <tp t="e">
        <v>#N/A</v>
        <stp/>
        <stp>BDH|10828147491119322818</stp>
        <tr r="D157" s="18"/>
      </tp>
      <tp t="e">
        <v>#N/A</v>
        <stp/>
        <stp>BDH|12878209467096295929</stp>
        <tr r="K96" s="18"/>
      </tp>
      <tp t="e">
        <v>#N/A</v>
        <stp/>
        <stp>BDH|16635099786266467120</stp>
        <tr r="K102" s="12"/>
      </tp>
      <tp t="e">
        <v>#N/A</v>
        <stp/>
        <stp>BDH|17367679450784378982</stp>
        <tr r="D41" s="22"/>
      </tp>
      <tp t="e">
        <v>#N/A</v>
        <stp/>
        <stp>BDH|11710480266993403924</stp>
        <tr r="S65" s="10"/>
        <tr r="S39" s="4"/>
      </tp>
      <tp t="e">
        <v>#N/A</v>
        <stp/>
        <stp>BDH|11626290135589633037</stp>
        <tr r="F30" s="18"/>
      </tp>
      <tp t="e">
        <v>#N/A</v>
        <stp/>
        <stp>BDH|10384697185512081501</stp>
        <tr r="Z24" s="13"/>
      </tp>
      <tp t="e">
        <v>#N/A</v>
        <stp/>
        <stp>BDH|15531250710358940767</stp>
        <tr r="C17" s="11"/>
      </tp>
      <tp t="e">
        <v>#N/A</v>
        <stp/>
        <stp>BDH|12941765481397064316</stp>
        <tr r="W55" s="24"/>
      </tp>
      <tp t="e">
        <v>#N/A</v>
        <stp/>
        <stp>BDH|13560327498850625069</stp>
        <tr r="S16" s="23"/>
      </tp>
      <tp t="e">
        <v>#N/A</v>
        <stp/>
        <stp>BDH|14266645790640071290</stp>
        <tr r="M84" s="17"/>
      </tp>
      <tp t="e">
        <v>#N/A</v>
        <stp/>
        <stp>BDH|14622017020826982917</stp>
        <tr r="L85" s="18"/>
      </tp>
      <tp t="e">
        <v>#N/A</v>
        <stp/>
        <stp>BDH|13708080504523512915</stp>
        <tr r="V159" s="18"/>
      </tp>
      <tp t="e">
        <v>#N/A</v>
        <stp/>
        <stp>BDH|14719080670723526955</stp>
        <tr r="K19" s="10"/>
      </tp>
      <tp t="e">
        <v>#N/A</v>
        <stp/>
        <stp>BDH|13915217383550407002</stp>
        <tr r="G71" s="17"/>
      </tp>
      <tp t="e">
        <v>#N/A</v>
        <stp/>
        <stp>BDH|17686543748156682933</stp>
        <tr r="Q58" s="18"/>
      </tp>
      <tp t="e">
        <v>#N/A</v>
        <stp/>
        <stp>BDH|10760562514338841523</stp>
        <tr r="V64" s="18"/>
      </tp>
      <tp t="e">
        <v>#N/A</v>
        <stp/>
        <stp>BDH|14269967349529138930</stp>
        <tr r="S7" s="30"/>
      </tp>
      <tp t="e">
        <v>#N/A</v>
        <stp/>
        <stp>BDH|15362287626415206902</stp>
        <tr r="R78" s="18"/>
      </tp>
      <tp t="e">
        <v>#N/A</v>
        <stp/>
        <stp>BDH|13077324289596525712</stp>
        <tr r="L35" s="13"/>
        <tr r="J31" s="10"/>
      </tp>
      <tp t="e">
        <v>#N/A</v>
        <stp/>
        <stp>BDH|18102804389609658811</stp>
        <tr r="Q63" s="11"/>
        <tr r="Q71" s="10"/>
      </tp>
      <tp t="e">
        <v>#N/A</v>
        <stp/>
        <stp>BDH|16312629706289186094</stp>
        <tr r="X13" s="5"/>
      </tp>
      <tp t="e">
        <v>#N/A</v>
        <stp/>
        <stp>BDH|12001455586232823543</stp>
        <tr r="O99" s="12"/>
      </tp>
      <tp t="e">
        <v>#N/A</v>
        <stp/>
        <stp>BDH|15977627345647510941</stp>
        <tr r="S14" s="7"/>
        <tr r="S42" s="11"/>
        <tr r="S50" s="10"/>
        <tr r="U9" s="3"/>
      </tp>
      <tp t="e">
        <v>#N/A</v>
        <stp/>
        <stp>BDH|16980988223997897355</stp>
        <tr r="L64" s="18"/>
      </tp>
      <tp t="e">
        <v>#N/A</v>
        <stp/>
        <stp>BDH|17898006271649183075</stp>
        <tr r="F58" s="12"/>
      </tp>
      <tp t="e">
        <v>#N/A</v>
        <stp/>
        <stp>BDH|13443898842304592252</stp>
        <tr r="C158" s="18"/>
      </tp>
      <tp t="e">
        <v>#N/A</v>
        <stp/>
        <stp>BDH|14558517320523809933</stp>
        <tr r="S51" s="24"/>
      </tp>
      <tp t="e">
        <v>#N/A</v>
        <stp/>
        <stp>BDH|17122091386442476454</stp>
        <tr r="P36" s="21"/>
      </tp>
      <tp t="e">
        <v>#N/A</v>
        <stp/>
        <stp>BDH|11548818405379702984</stp>
        <tr r="R16" s="18"/>
      </tp>
      <tp t="e">
        <v>#N/A</v>
        <stp/>
        <stp>BDH|14207519535122978914</stp>
        <tr r="P26" s="6"/>
      </tp>
      <tp t="e">
        <v>#N/A</v>
        <stp/>
        <stp>BDH|16013863779925671577</stp>
        <tr r="Z9" s="24"/>
      </tp>
      <tp t="e">
        <v>#N/A</v>
        <stp/>
        <stp>BDH|14088177879782019903</stp>
        <tr r="I44" s="12"/>
      </tp>
      <tp t="e">
        <v>#N/A</v>
        <stp/>
        <stp>BDH|18154432446984329596</stp>
        <tr r="G79" s="12"/>
      </tp>
      <tp t="e">
        <v>#N/A</v>
        <stp/>
        <stp>BDH|11735797060098954198</stp>
        <tr r="X64" s="10"/>
        <tr r="X25" s="4"/>
      </tp>
      <tp t="e">
        <v>#N/A</v>
        <stp/>
        <stp>BDH|16979830131854436015</stp>
        <tr r="Q25" s="24"/>
      </tp>
      <tp t="e">
        <v>#N/A</v>
        <stp/>
        <stp>BDH|11880544912589655564</stp>
        <tr r="L127" s="18"/>
      </tp>
      <tp t="e">
        <v>#N/A</v>
        <stp/>
        <stp>BDH|13612357343438735599</stp>
        <tr r="G28" s="12"/>
      </tp>
      <tp t="e">
        <v>#N/A</v>
        <stp/>
        <stp>BDH|18212686535854366027</stp>
        <tr r="AA68" s="12"/>
      </tp>
      <tp t="e">
        <v>#N/A</v>
        <stp/>
        <stp>BDH|12385594815429562642</stp>
        <tr r="AA15" s="13"/>
      </tp>
      <tp t="e">
        <v>#N/A</v>
        <stp/>
        <stp>BDH|13856411248493955969</stp>
        <tr r="R104" s="12"/>
      </tp>
      <tp t="e">
        <v>#N/A</v>
        <stp/>
        <stp>BDH|11530197083910396128</stp>
        <tr r="X42" s="34"/>
      </tp>
      <tp t="e">
        <v>#N/A</v>
        <stp/>
        <stp>BDH|10325942708749771963</stp>
        <tr r="V178" s="18"/>
      </tp>
      <tp t="e">
        <v>#N/A</v>
        <stp/>
        <stp>BDH|13324193685447453452</stp>
        <tr r="E7" s="8"/>
      </tp>
      <tp t="e">
        <v>#N/A</v>
        <stp/>
        <stp>BDH|11097683161968436032</stp>
        <tr r="M13" s="34"/>
      </tp>
      <tp t="e">
        <v>#N/A</v>
        <stp/>
        <stp>BDH|18001891751155130971</stp>
        <tr r="J79" s="18"/>
      </tp>
      <tp t="e">
        <v>#N/A</v>
        <stp/>
        <stp>BDH|16913046825099008466</stp>
        <tr r="X18" s="6"/>
      </tp>
      <tp t="e">
        <v>#N/A</v>
        <stp/>
        <stp>BDH|17755608788130050018</stp>
        <tr r="M25" s="10"/>
      </tp>
      <tp t="e">
        <v>#N/A</v>
        <stp/>
        <stp>BDH|18035942099522228311</stp>
        <tr r="X19" s="20"/>
      </tp>
      <tp t="e">
        <v>#N/A</v>
        <stp/>
        <stp>BDH|14951198429108692612</stp>
        <tr r="N103" s="18"/>
      </tp>
      <tp t="e">
        <v>#N/A</v>
        <stp/>
        <stp>BDH|16480971957494281782</stp>
        <tr r="H7" s="34"/>
      </tp>
      <tp t="e">
        <v>#N/A</v>
        <stp/>
        <stp>BDH|10933549477863531816</stp>
        <tr r="Y23" s="25"/>
        <tr r="W21" s="11"/>
      </tp>
      <tp t="e">
        <v>#N/A</v>
        <stp/>
        <stp>BDH|12820771045079629127</stp>
        <tr r="AA39" s="25"/>
        <tr r="AA7" s="13"/>
        <tr r="AA22" s="13"/>
        <tr r="Y18" s="11"/>
        <tr r="AA7" s="3"/>
      </tp>
      <tp t="e">
        <v>#N/A</v>
        <stp/>
        <stp>BDH|11814194643624445981</stp>
        <tr r="Z49" s="24"/>
      </tp>
      <tp t="e">
        <v>#N/A</v>
        <stp/>
        <stp>BDH|11713016720759871301</stp>
        <tr r="L57" s="12"/>
      </tp>
      <tp t="e">
        <v>#N/A</v>
        <stp/>
        <stp>BDH|12403652762013466892</stp>
        <tr r="K79" s="12"/>
      </tp>
      <tp t="e">
        <v>#N/A</v>
        <stp/>
        <stp>BDH|11349927077512754309</stp>
        <tr r="AA9" s="26"/>
      </tp>
      <tp t="e">
        <v>#N/A</v>
        <stp/>
        <stp>BDH|12294670984953937199</stp>
        <tr r="W50" s="12"/>
      </tp>
      <tp t="e">
        <v>#N/A</v>
        <stp/>
        <stp>BDH|13928492372567692956</stp>
        <tr r="R173" s="18"/>
      </tp>
      <tp t="e">
        <v>#N/A</v>
        <stp/>
        <stp>BDH|16737131821709088247</stp>
        <tr r="I46" s="22"/>
      </tp>
      <tp t="e">
        <v>#N/A</v>
        <stp/>
        <stp>BDH|13694843754162006271</stp>
        <tr r="J154" s="18"/>
      </tp>
      <tp t="e">
        <v>#N/A</v>
        <stp/>
        <stp>BDH|18030407215992322176</stp>
        <tr r="X45" s="18"/>
      </tp>
      <tp t="e">
        <v>#N/A</v>
        <stp/>
        <stp>BDH|18179020897229757629</stp>
        <tr r="D7" s="23"/>
      </tp>
      <tp t="e">
        <v>#N/A</v>
        <stp/>
        <stp>BDH|17166324919682852939</stp>
        <tr r="O63" s="18"/>
      </tp>
      <tp t="e">
        <v>#N/A</v>
        <stp/>
        <stp>BDH|11305079424439265433</stp>
        <tr r="D29" s="13"/>
      </tp>
      <tp t="e">
        <v>#N/A</v>
        <stp/>
        <stp>BDH|10113844570886728737</stp>
        <tr r="Q23" s="11"/>
      </tp>
      <tp t="e">
        <v>#N/A</v>
        <stp/>
        <stp>BDH|12356562390435635528</stp>
        <tr r="Q11" s="21"/>
      </tp>
      <tp t="e">
        <v>#N/A</v>
        <stp/>
        <stp>BDH|12805509018321218934</stp>
        <tr r="T21" s="12"/>
      </tp>
      <tp t="e">
        <v>#N/A</v>
        <stp/>
        <stp>BDH|15966675812334576888</stp>
        <tr r="E21" s="4"/>
      </tp>
      <tp t="e">
        <v>#N/A</v>
        <stp/>
        <stp>BDH|12425948546572501320</stp>
        <tr r="E46" s="17"/>
      </tp>
      <tp t="e">
        <v>#N/A</v>
        <stp/>
        <stp>BDH|17635331466854504875</stp>
        <tr r="R11" s="12"/>
      </tp>
      <tp t="e">
        <v>#N/A</v>
        <stp/>
        <stp>BDH|10688892359203558022</stp>
        <tr r="U46" s="13"/>
      </tp>
      <tp t="e">
        <v>#N/A</v>
        <stp/>
        <stp>BDH|11528744794847662626</stp>
        <tr r="I30" s="5"/>
      </tp>
      <tp t="e">
        <v>#N/A</v>
        <stp/>
        <stp>BDH|14000698188631966596</stp>
        <tr r="M165" s="18"/>
      </tp>
      <tp t="e">
        <v>#N/A</v>
        <stp/>
        <stp>BDH|12193827735470754701</stp>
        <tr r="N12" s="14"/>
      </tp>
      <tp t="e">
        <v>#N/A</v>
        <stp/>
        <stp>BDH|11660937321826560201</stp>
        <tr r="T106" s="18"/>
      </tp>
      <tp t="e">
        <v>#N/A</v>
        <stp/>
        <stp>BDH|16348993706317985641</stp>
        <tr r="E102" s="12"/>
      </tp>
      <tp t="e">
        <v>#N/A</v>
        <stp/>
        <stp>BDH|10022325612238219438</stp>
        <tr r="D104" s="18"/>
      </tp>
      <tp t="e">
        <v>#N/A</v>
        <stp/>
        <stp>BDH|16032050208169868148</stp>
        <tr r="Q47" s="34"/>
      </tp>
      <tp t="e">
        <v>#N/A</v>
        <stp/>
        <stp>BDH|18245398225144619390</stp>
        <tr r="Y7" s="24"/>
      </tp>
      <tp t="e">
        <v>#N/A</v>
        <stp/>
        <stp>BDH|10523033617006449946</stp>
        <tr r="G37" s="24"/>
      </tp>
      <tp t="e">
        <v>#N/A</v>
        <stp/>
        <stp>BDH|12243816934624710316</stp>
        <tr r="E54" s="34"/>
      </tp>
      <tp t="e">
        <v>#N/A</v>
        <stp/>
        <stp>BDH|15730730058728453192</stp>
        <tr r="T105" s="18"/>
      </tp>
      <tp t="e">
        <v>#N/A</v>
        <stp/>
        <stp>BDH|16710822301338063855</stp>
        <tr r="U6" s="6"/>
      </tp>
      <tp t="e">
        <v>#N/A</v>
        <stp/>
        <stp>BDH|13229773135249446055</stp>
        <tr r="P47" s="24"/>
      </tp>
      <tp t="e">
        <v>#N/A</v>
        <stp/>
        <stp>BDH|16572937191600277843</stp>
        <tr r="Z9" s="13"/>
      </tp>
      <tp t="e">
        <v>#N/A</v>
        <stp/>
        <stp>BDH|10539276894657638211</stp>
        <tr r="T164" s="18"/>
      </tp>
      <tp t="e">
        <v>#N/A</v>
        <stp/>
        <stp>BDH|13405975473095320626</stp>
        <tr r="N26" s="7"/>
      </tp>
      <tp t="e">
        <v>#N/A</v>
        <stp/>
        <stp>BDH|17432474085563723601</stp>
        <tr r="E18" s="12"/>
      </tp>
      <tp t="e">
        <v>#N/A</v>
        <stp/>
        <stp>BDH|14142299576379862679</stp>
        <tr r="U71" s="12"/>
      </tp>
      <tp t="e">
        <v>#N/A</v>
        <stp/>
        <stp>BDH|18171714971611931796</stp>
        <tr r="Y9" s="17"/>
      </tp>
      <tp t="e">
        <v>#N/A</v>
        <stp/>
        <stp>BDH|17740166312501366811</stp>
        <tr r="H16" s="17"/>
        <tr r="H19" s="28"/>
      </tp>
      <tp t="e">
        <v>#N/A</v>
        <stp/>
        <stp>BDH|10675313843720438910</stp>
        <tr r="D30" s="26"/>
      </tp>
      <tp t="e">
        <v>#N/A</v>
        <stp/>
        <stp>BDH|16918161582003556292</stp>
        <tr r="S17" s="17"/>
        <tr r="S20" s="28"/>
      </tp>
      <tp t="e">
        <v>#N/A</v>
        <stp/>
        <stp>BDH|12100242080570750635</stp>
        <tr r="K55" s="17"/>
      </tp>
      <tp t="e">
        <v>#N/A</v>
        <stp/>
        <stp>BDH|13245676542108547730</stp>
        <tr r="J86" s="18"/>
      </tp>
      <tp t="e">
        <v>#N/A</v>
        <stp/>
        <stp>BDH|16402361090115575760</stp>
        <tr r="I30" s="26"/>
      </tp>
      <tp t="e">
        <v>#N/A</v>
        <stp/>
        <stp>BDH|12657771541199603673</stp>
        <tr r="D20" s="6"/>
      </tp>
      <tp t="e">
        <v>#N/A</v>
        <stp/>
        <stp>BDH|14221236785352096258</stp>
        <tr r="D137" s="18"/>
      </tp>
      <tp t="e">
        <v>#N/A</v>
        <stp/>
        <stp>BDH|14440953903461418274</stp>
        <tr r="Z41" s="21"/>
      </tp>
      <tp t="e">
        <v>#N/A</v>
        <stp/>
        <stp>BDH|18032203472704470776</stp>
        <tr r="O140" s="18"/>
      </tp>
      <tp t="e">
        <v>#N/A</v>
        <stp/>
        <stp>BDH|13579665204648397358</stp>
        <tr r="S104" s="18"/>
      </tp>
      <tp t="e">
        <v>#N/A</v>
        <stp/>
        <stp>BDH|16495475289166319289</stp>
        <tr r="V15" s="21"/>
      </tp>
      <tp t="e">
        <v>#N/A</v>
        <stp/>
        <stp>BDH|15190873233873536314</stp>
        <tr r="Z40" s="12"/>
      </tp>
      <tp t="e">
        <v>#N/A</v>
        <stp/>
        <stp>BDH|16702937902627327647</stp>
        <tr r="Y156" s="18"/>
      </tp>
      <tp t="e">
        <v>#N/A</v>
        <stp/>
        <stp>BDH|16119027603861265923</stp>
        <tr r="L9" s="11"/>
      </tp>
      <tp t="e">
        <v>#N/A</v>
        <stp/>
        <stp>BDH|15757312145454701848</stp>
        <tr r="P34" s="11"/>
        <tr r="P42" s="10"/>
      </tp>
      <tp t="e">
        <v>#N/A</v>
        <stp/>
        <stp>BDH|13448600391912021055</stp>
        <tr r="H92" s="18"/>
      </tp>
      <tp t="e">
        <v>#N/A</v>
        <stp/>
        <stp>BDH|17048471386775183003</stp>
        <tr r="U58" s="13"/>
      </tp>
      <tp t="e">
        <v>#N/A</v>
        <stp/>
        <stp>BDH|12487964634447300151</stp>
        <tr r="V172" s="18"/>
      </tp>
      <tp t="e">
        <v>#N/A</v>
        <stp/>
        <stp>BDH|16706329342548043771</stp>
        <tr r="E69" s="18"/>
      </tp>
      <tp t="e">
        <v>#N/A</v>
        <stp/>
        <stp>BDH|13682544717231762820</stp>
        <tr r="X39" s="13"/>
        <tr r="V35" s="11"/>
        <tr r="V43" s="10"/>
        <tr r="V52" s="4"/>
        <tr r="X8" s="3"/>
      </tp>
      <tp t="e">
        <v>#N/A</v>
        <stp/>
        <stp>BDH|16266525491970153407</stp>
        <tr r="R11" s="13"/>
      </tp>
      <tp t="e">
        <v>#N/A</v>
        <stp/>
        <stp>BDH|11373671396820532075</stp>
        <tr r="Y98" s="12"/>
      </tp>
      <tp t="e">
        <v>#N/A</v>
        <stp/>
        <stp>BDH|11511184107498219688</stp>
        <tr r="E45" s="12"/>
      </tp>
      <tp t="e">
        <v>#N/A</v>
        <stp/>
        <stp>BDH|14377841284853669957</stp>
        <tr r="F26" s="22"/>
      </tp>
      <tp t="e">
        <v>#N/A</v>
        <stp/>
        <stp>BDH|12049327491470719649</stp>
        <tr r="K61" s="12"/>
      </tp>
      <tp t="e">
        <v>#N/A</v>
        <stp/>
        <stp>BDH|13189711580022130014</stp>
        <tr r="S76" s="12"/>
      </tp>
      <tp t="e">
        <v>#N/A</v>
        <stp/>
        <stp>BDH|14538371689117297694</stp>
        <tr r="D13" s="26"/>
      </tp>
      <tp t="e">
        <v>#N/A</v>
        <stp/>
        <stp>BDH|10393400634501631811</stp>
        <tr r="H66" s="21"/>
      </tp>
      <tp t="e">
        <v>#N/A</v>
        <stp/>
        <stp>BDH|15621826785879926280</stp>
        <tr r="C22" s="21"/>
      </tp>
      <tp t="e">
        <v>#N/A</v>
        <stp/>
        <stp>BDH|11657915792808331765</stp>
        <tr r="D7" s="9"/>
        <tr r="E7" s="2"/>
        <tr r="D7" s="5"/>
        <tr r="G14" s="3"/>
      </tp>
      <tp t="e">
        <v>#N/A</v>
        <stp/>
        <stp>BDH|17662037782386177768</stp>
        <tr r="Q16" s="10"/>
      </tp>
      <tp t="e">
        <v>#N/A</v>
        <stp/>
        <stp>BDH|10911662622622810859</stp>
        <tr r="V6" s="27"/>
      </tp>
      <tp t="e">
        <v>#N/A</v>
        <stp/>
        <stp>BDH|18342009072230440156</stp>
        <tr r="Y46" s="17"/>
      </tp>
      <tp t="e">
        <v>#N/A</v>
        <stp/>
        <stp>BDH|10669354079993978930</stp>
        <tr r="R126" s="18"/>
      </tp>
      <tp t="e">
        <v>#N/A</v>
        <stp/>
        <stp>BDH|15478001784760965394</stp>
        <tr r="O7" s="17"/>
      </tp>
      <tp t="e">
        <v>#N/A</v>
        <stp/>
        <stp>BDH|11657204914534612846</stp>
        <tr r="V44" s="13"/>
      </tp>
      <tp t="e">
        <v>#N/A</v>
        <stp/>
        <stp>BDH|13245981028713172537</stp>
        <tr r="S36" s="13"/>
        <tr r="Q24" s="10"/>
        <tr r="Q46" s="4"/>
      </tp>
      <tp t="e">
        <v>#N/A</v>
        <stp/>
        <stp>BDH|16203550540321413833</stp>
        <tr r="M65" s="10"/>
        <tr r="M39" s="4"/>
      </tp>
      <tp t="e">
        <v>#N/A</v>
        <stp/>
        <stp>BDH|11702126225414327831</stp>
        <tr r="Q73" s="18"/>
      </tp>
      <tp t="e">
        <v>#N/A</v>
        <stp/>
        <stp>BDH|17001967034170000327</stp>
        <tr r="J13" s="27"/>
        <tr r="J27" s="25"/>
      </tp>
      <tp t="e">
        <v>#N/A</v>
        <stp/>
        <stp>BDH|14968495453292587969</stp>
        <tr r="G136" s="18"/>
      </tp>
      <tp t="e">
        <v>#N/A</v>
        <stp/>
        <stp>BDH|13144665361315565833</stp>
        <tr r="O38" s="24"/>
      </tp>
      <tp t="e">
        <v>#N/A</v>
        <stp/>
        <stp>BDH|10065811645480276262</stp>
        <tr r="I38" s="24"/>
      </tp>
      <tp t="e">
        <v>#N/A</v>
        <stp/>
        <stp>BDH|10982908785697910851</stp>
        <tr r="S18" s="34"/>
      </tp>
      <tp t="e">
        <v>#N/A</v>
        <stp/>
        <stp>BDH|14327980946106434196</stp>
        <tr r="J42" s="11"/>
        <tr r="J50" s="10"/>
        <tr r="J14" s="7"/>
        <tr r="L9" s="3"/>
      </tp>
      <tp t="e">
        <v>#N/A</v>
        <stp/>
        <stp>BDH|13537620538810754888</stp>
        <tr r="N58" s="24"/>
      </tp>
      <tp t="e">
        <v>#N/A</v>
        <stp/>
        <stp>BDH|12256917522746045117</stp>
        <tr r="L122" s="18"/>
      </tp>
      <tp t="e">
        <v>#N/A</v>
        <stp/>
        <stp>BDH|17549830872234519212</stp>
        <tr r="K38" s="22"/>
      </tp>
      <tp t="e">
        <v>#N/A</v>
        <stp/>
        <stp>BDH|18127784758601463553</stp>
        <tr r="T98" s="12"/>
      </tp>
      <tp t="e">
        <v>#N/A</v>
        <stp/>
        <stp>BDH|12508929318690630499</stp>
        <tr r="R65" s="18"/>
      </tp>
      <tp t="e">
        <v>#N/A</v>
        <stp/>
        <stp>BDH|14210834290399060214</stp>
        <tr r="O19" s="29"/>
        <tr r="O10" s="29"/>
        <tr r="O25" s="29"/>
        <tr r="P12" s="8"/>
        <tr r="O6" s="2"/>
        <tr r="N6" s="5"/>
        <tr r="N6" s="9"/>
      </tp>
      <tp t="e">
        <v>#N/A</v>
        <stp/>
        <stp>BDH|11087524210449795255</stp>
        <tr r="T131" s="18"/>
      </tp>
      <tp t="e">
        <v>#N/A</v>
        <stp/>
        <stp>BDH|18018532245092615506</stp>
        <tr r="L172" s="18"/>
      </tp>
      <tp t="e">
        <v>#N/A</v>
        <stp/>
        <stp>BDH|15204360582176105675</stp>
        <tr r="T17" s="34"/>
      </tp>
      <tp t="e">
        <v>#N/A</v>
        <stp/>
        <stp>BDH|16487693099471322679</stp>
        <tr r="P75" s="12"/>
      </tp>
      <tp t="e">
        <v>#N/A</v>
        <stp/>
        <stp>BDH|16282600184884194242</stp>
        <tr r="X73" s="12"/>
      </tp>
      <tp t="e">
        <v>#N/A</v>
        <stp/>
        <stp>BDH|12659903405611035409</stp>
        <tr r="X39" s="25"/>
        <tr r="X22" s="13"/>
        <tr r="X7" s="13"/>
        <tr r="V18" s="11"/>
        <tr r="X7" s="3"/>
      </tp>
      <tp t="e">
        <v>#N/A</v>
        <stp/>
        <stp>BDH|16804858579761145661</stp>
        <tr r="I75" s="24"/>
      </tp>
      <tp t="e">
        <v>#N/A</v>
        <stp/>
        <stp>BDH|11779285282701788495</stp>
        <tr r="G100" s="12"/>
      </tp>
      <tp t="e">
        <v>#N/A</v>
        <stp/>
        <stp>BDH|18217799522047311496</stp>
        <tr r="K92" s="17"/>
        <tr r="K7" s="27"/>
      </tp>
      <tp t="e">
        <v>#N/A</v>
        <stp/>
        <stp>BDH|11478718685960580060</stp>
        <tr r="R13" s="25"/>
      </tp>
      <tp t="e">
        <v>#N/A</v>
        <stp/>
        <stp>BDH|16437164557348186472</stp>
        <tr r="J43" s="21"/>
      </tp>
      <tp t="e">
        <v>#N/A</v>
        <stp/>
        <stp>BDH|17792867467722407517</stp>
        <tr r="N22" s="9"/>
      </tp>
      <tp t="e">
        <v>#N/A</v>
        <stp/>
        <stp>BDH|11225932643973362122</stp>
        <tr r="I53" s="13"/>
      </tp>
      <tp t="e">
        <v>#N/A</v>
        <stp/>
        <stp>BDH|16109117490978646856</stp>
        <tr r="P58" s="21"/>
        <tr r="P37" s="25"/>
        <tr r="N53" s="11"/>
        <tr r="N31" s="4"/>
      </tp>
      <tp t="e">
        <v>#N/A</v>
        <stp/>
        <stp>BDH|13607264993912430442</stp>
        <tr r="W37" s="26"/>
      </tp>
      <tp t="e">
        <v>#N/A</v>
        <stp/>
        <stp>BDH|17309979481219406127</stp>
        <tr r="C24" s="12"/>
      </tp>
      <tp t="e">
        <v>#N/A</v>
        <stp/>
        <stp>BDH|10013768087428593978</stp>
        <tr r="I19" s="14"/>
      </tp>
      <tp t="e">
        <v>#N/A</v>
        <stp/>
        <stp>BDH|11153266712524308855</stp>
        <tr r="O54" s="34"/>
      </tp>
      <tp t="e">
        <v>#N/A</v>
        <stp/>
        <stp>BDH|15517847345516430133</stp>
        <tr r="X43" s="11"/>
        <tr r="X51" s="10"/>
        <tr r="X15" s="7"/>
      </tp>
      <tp t="e">
        <v>#N/A</v>
        <stp/>
        <stp>BDH|14452627680572307664</stp>
        <tr r="U64" s="34"/>
      </tp>
      <tp t="e">
        <v>#N/A</v>
        <stp/>
        <stp>BDH|17140841696891295925</stp>
        <tr r="Y43" s="18"/>
      </tp>
      <tp t="e">
        <v>#N/A</v>
        <stp/>
        <stp>BDH|14511887058947692007</stp>
        <tr r="E34" s="6"/>
      </tp>
      <tp t="e">
        <v>#N/A</v>
        <stp/>
        <stp>BDH|17025301498751323287</stp>
        <tr r="Z9" s="8"/>
        <tr r="X49" s="6"/>
      </tp>
      <tp t="e">
        <v>#N/A</v>
        <stp/>
        <stp>BDH|11323892239843492741</stp>
        <tr r="X8" s="6"/>
      </tp>
      <tp t="e">
        <v>#N/A</v>
        <stp/>
        <stp>BDH|15610514334178030500</stp>
        <tr r="Y11" s="24"/>
      </tp>
      <tp t="e">
        <v>#N/A</v>
        <stp/>
        <stp>BDH|14619822224781133120</stp>
        <tr r="D13" s="34"/>
      </tp>
      <tp t="e">
        <v>#N/A</v>
        <stp/>
        <stp>BDH|12312960510134719017</stp>
        <tr r="F23" s="22"/>
      </tp>
      <tp t="e">
        <v>#N/A</v>
        <stp/>
        <stp>BDH|10126549254007498964</stp>
        <tr r="H136" s="18"/>
      </tp>
      <tp t="e">
        <v>#N/A</v>
        <stp/>
        <stp>BDH|12005270133738162567</stp>
        <tr r="L45" s="12"/>
      </tp>
      <tp t="e">
        <v>#N/A</v>
        <stp/>
        <stp>BDH|14635271467798145644</stp>
        <tr r="M63" s="21"/>
      </tp>
      <tp t="e">
        <v>#N/A</v>
        <stp/>
        <stp>BDH|12405836145720266032</stp>
        <tr r="L42" s="11"/>
        <tr r="L50" s="10"/>
        <tr r="L14" s="7"/>
        <tr r="N9" s="3"/>
      </tp>
      <tp t="e">
        <v>#N/A</v>
        <stp/>
        <stp>BDH|14732386291285525581</stp>
        <tr r="Q38" s="26"/>
      </tp>
      <tp t="e">
        <v>#N/A</v>
        <stp/>
        <stp>BDH|16342791265568833147</stp>
        <tr r="S17" s="23"/>
      </tp>
      <tp t="e">
        <v>#N/A</v>
        <stp/>
        <stp>BDH|15541857575091669501</stp>
        <tr r="W58" s="34"/>
      </tp>
      <tp t="e">
        <v>#N/A</v>
        <stp/>
        <stp>BDH|10244646574036135905</stp>
        <tr r="U19" s="24"/>
      </tp>
      <tp t="e">
        <v>#N/A</v>
        <stp/>
        <stp>BDH|17915352455056257982</stp>
        <tr r="I39" s="6"/>
      </tp>
      <tp t="e">
        <v>#N/A</v>
        <stp/>
        <stp>BDH|17297318387165140760</stp>
        <tr r="C62" s="12"/>
      </tp>
      <tp t="e">
        <v>#N/A</v>
        <stp/>
        <stp>BDH|12323413843539594566</stp>
        <tr r="V10" s="26"/>
      </tp>
      <tp t="e">
        <v>#N/A</v>
        <stp/>
        <stp>BDH|18143549342461119643</stp>
        <tr r="N19" s="14"/>
      </tp>
      <tp t="e">
        <v>#N/A</v>
        <stp/>
        <stp>BDH|11112632457884436832</stp>
        <tr r="Q35" s="26"/>
      </tp>
      <tp t="e">
        <v>#N/A</v>
        <stp/>
        <stp>BDH|11629185646522335898</stp>
        <tr r="G15" s="6"/>
      </tp>
      <tp t="e">
        <v>#N/A</v>
        <stp/>
        <stp>BDH|16703240856879642614</stp>
        <tr r="V38" s="12"/>
      </tp>
      <tp t="e">
        <v>#N/A</v>
        <stp/>
        <stp>BDH|17961137286390955078</stp>
        <tr r="M84" s="12"/>
      </tp>
      <tp t="e">
        <v>#N/A</v>
        <stp/>
        <stp>BDH|14772466585482496423</stp>
        <tr r="D95" s="18"/>
      </tp>
      <tp t="e">
        <v>#N/A</v>
        <stp/>
        <stp>BDH|12442988720972623588</stp>
        <tr r="D22" s="4"/>
      </tp>
      <tp t="e">
        <v>#N/A</v>
        <stp/>
        <stp>BDH|11692281758808465009</stp>
        <tr r="S53" s="6"/>
      </tp>
      <tp t="e">
        <v>#N/A</v>
        <stp/>
        <stp>BDH|17054341524861648946</stp>
        <tr r="E10" s="6"/>
      </tp>
      <tp t="e">
        <v>#N/A</v>
        <stp/>
        <stp>BDH|18281421869026240293</stp>
        <tr r="U30" s="9"/>
      </tp>
      <tp t="e">
        <v>#N/A</v>
        <stp/>
        <stp>BDH|11038304006938601420</stp>
        <tr r="I17" s="21"/>
      </tp>
      <tp t="e">
        <v>#N/A</v>
        <stp/>
        <stp>BDH|14446900614211184332</stp>
        <tr r="W34" s="11"/>
        <tr r="W42" s="10"/>
      </tp>
      <tp t="e">
        <v>#N/A</v>
        <stp/>
        <stp>BDH|18116065014617459054</stp>
        <tr r="C66" s="24"/>
      </tp>
      <tp t="e">
        <v>#N/A</v>
        <stp/>
        <stp>BDH|13428068893922763646</stp>
        <tr r="AA89" s="12"/>
      </tp>
      <tp t="e">
        <v>#N/A</v>
        <stp/>
        <stp>BDH|10254513796957288555</stp>
        <tr r="R44" s="17"/>
      </tp>
      <tp t="e">
        <v>#N/A</v>
        <stp/>
        <stp>BDH|15396273536439947398</stp>
        <tr r="Q12" s="26"/>
      </tp>
      <tp t="e">
        <v>#N/A</v>
        <stp/>
        <stp>BDH|18340140314270800697</stp>
        <tr r="H20" s="12"/>
      </tp>
      <tp t="e">
        <v>#N/A</v>
        <stp/>
        <stp>BDH|16404176336708357245</stp>
        <tr r="P23" s="23"/>
      </tp>
      <tp t="e">
        <v>#N/A</v>
        <stp/>
        <stp>BDH|15159133778775053884</stp>
        <tr r="J175" s="18"/>
      </tp>
      <tp t="e">
        <v>#N/A</v>
        <stp/>
        <stp>BDH|12454841553922129308</stp>
        <tr r="E40" s="34"/>
      </tp>
      <tp t="e">
        <v>#N/A</v>
        <stp/>
        <stp>BDH|14127277376669178633</stp>
        <tr r="M24" s="6"/>
      </tp>
      <tp t="e">
        <v>#N/A</v>
        <stp/>
        <stp>BDH|17398555821787143949</stp>
        <tr r="W42" s="4"/>
      </tp>
      <tp t="e">
        <v>#N/A</v>
        <stp/>
        <stp>BDH|10546801640727345540</stp>
        <tr r="AA58" s="18"/>
      </tp>
      <tp t="e">
        <v>#N/A</v>
        <stp/>
        <stp>BDH|18185729613705375514</stp>
        <tr r="D14" s="23"/>
      </tp>
      <tp t="e">
        <v>#N/A</v>
        <stp/>
        <stp>BDH|17240283675278982448</stp>
        <tr r="Y63" s="10"/>
      </tp>
      <tp t="e">
        <v>#N/A</v>
        <stp/>
        <stp>BDH|13578416183733456217</stp>
        <tr r="M78" s="24"/>
      </tp>
      <tp t="e">
        <v>#N/A</v>
        <stp/>
        <stp>BDH|16224974167593712476</stp>
        <tr r="F46" s="17"/>
      </tp>
      <tp t="e">
        <v>#N/A</v>
        <stp/>
        <stp>BDH|13461649502912354937</stp>
        <tr r="Y22" s="24"/>
      </tp>
      <tp t="e">
        <v>#N/A</v>
        <stp/>
        <stp>BDH|16676265293613977087</stp>
        <tr r="S96" s="12"/>
      </tp>
      <tp t="e">
        <v>#N/A</v>
        <stp/>
        <stp>BDH|13836598424079952395</stp>
        <tr r="J37" s="18"/>
      </tp>
      <tp t="e">
        <v>#N/A</v>
        <stp/>
        <stp>BDH|17463740111819464603</stp>
        <tr r="E56" s="12"/>
      </tp>
      <tp t="e">
        <v>#N/A</v>
        <stp/>
        <stp>BDH|16595236597117570412</stp>
        <tr r="J30" s="34"/>
      </tp>
      <tp t="e">
        <v>#N/A</v>
        <stp/>
        <stp>BDH|15382438406886060934</stp>
        <tr r="G16" s="11"/>
      </tp>
      <tp t="e">
        <v>#N/A</v>
        <stp/>
        <stp>BDH|14086867856512625532</stp>
        <tr r="O18" s="14"/>
      </tp>
      <tp t="e">
        <v>#N/A</v>
        <stp/>
        <stp>BDH|18376469856570439722</stp>
        <tr r="M33" s="12"/>
      </tp>
      <tp t="e">
        <v>#N/A</v>
        <stp/>
        <stp>BDH|16183415017235557873</stp>
        <tr r="S35" s="29"/>
        <tr r="S15" s="29"/>
      </tp>
      <tp t="e">
        <v>#N/A</v>
        <stp/>
        <stp>BDH|12624035684655189151</stp>
        <tr r="O51" s="18"/>
      </tp>
      <tp t="e">
        <v>#N/A</v>
        <stp/>
        <stp>BDH|15103020685233088032</stp>
        <tr r="E42" s="34"/>
      </tp>
      <tp t="e">
        <v>#N/A</v>
        <stp/>
        <stp>BDH|12105956660954623775</stp>
        <tr r="I34" s="29"/>
        <tr r="I23" s="29"/>
        <tr r="I14" s="29"/>
      </tp>
      <tp t="e">
        <v>#N/A</v>
        <stp/>
        <stp>BDH|13042989389055760933</stp>
        <tr r="AA29" s="17"/>
      </tp>
      <tp t="e">
        <v>#N/A</v>
        <stp/>
        <stp>BDH|16445509500704440956</stp>
        <tr r="G22" s="18"/>
      </tp>
      <tp t="e">
        <v>#N/A</v>
        <stp/>
        <stp>BDH|10902098547223630946</stp>
        <tr r="J29" s="18"/>
      </tp>
      <tp t="e">
        <v>#N/A</v>
        <stp/>
        <stp>BDH|18216038721450727420</stp>
        <tr r="X146" s="18"/>
      </tp>
      <tp t="e">
        <v>#N/A</v>
        <stp/>
        <stp>BDH|13515627925009784000</stp>
        <tr r="I126" s="18"/>
      </tp>
      <tp t="e">
        <v>#N/A</v>
        <stp/>
        <stp>BDH|11147506372975438824</stp>
        <tr r="K134" s="18"/>
      </tp>
      <tp t="e">
        <v>#N/A</v>
        <stp/>
        <stp>BDH|15341923679974402192</stp>
        <tr r="U43" s="13"/>
      </tp>
      <tp t="e">
        <v>#N/A</v>
        <stp/>
        <stp>BDH|16282058291314330503</stp>
        <tr r="Q60" s="34"/>
      </tp>
      <tp t="e">
        <v>#N/A</v>
        <stp/>
        <stp>BDH|12267917258622712294</stp>
        <tr r="C44" s="6"/>
      </tp>
      <tp t="e">
        <v>#N/A</v>
        <stp/>
        <stp>BDH|17346844564536650102</stp>
        <tr r="F50" s="34"/>
      </tp>
      <tp t="e">
        <v>#N/A</v>
        <stp/>
        <stp>BDH|17330034532719368347</stp>
        <tr r="L105" s="12"/>
      </tp>
      <tp t="e">
        <v>#N/A</v>
        <stp/>
        <stp>BDH|12695687324470881873</stp>
        <tr r="O35" s="24"/>
      </tp>
      <tp t="e">
        <v>#N/A</v>
        <stp/>
        <stp>BDH|14651515124785274840</stp>
        <tr r="E89" s="18"/>
      </tp>
      <tp t="e">
        <v>#N/A</v>
        <stp/>
        <stp>BDH|10024047070901539848</stp>
        <tr r="H68" s="10"/>
      </tp>
      <tp t="e">
        <v>#N/A</v>
        <stp/>
        <stp>BDH|15724366462786137877</stp>
        <tr r="X24" s="2"/>
      </tp>
      <tp t="e">
        <v>#N/A</v>
        <stp/>
        <stp>BDH|17653180038742774942</stp>
        <tr r="O77" s="17"/>
        <tr r="O19" s="3"/>
      </tp>
      <tp t="e">
        <v>#N/A</v>
        <stp/>
        <stp>BDH|10494847970959675836</stp>
        <tr r="W40" s="18"/>
      </tp>
      <tp t="e">
        <v>#N/A</v>
        <stp/>
        <stp>BDH|11717877932575576122</stp>
        <tr r="K18" s="27"/>
        <tr r="K32" s="25"/>
      </tp>
      <tp t="e">
        <v>#N/A</v>
        <stp/>
        <stp>BDH|11267321517428025527</stp>
        <tr r="M49" s="18"/>
      </tp>
      <tp t="e">
        <v>#N/A</v>
        <stp/>
        <stp>BDH|11125023259099748383</stp>
        <tr r="P46" s="11"/>
        <tr r="P54" s="10"/>
        <tr r="P7" s="7"/>
        <tr r="R12" s="3"/>
      </tp>
      <tp t="e">
        <v>#N/A</v>
        <stp/>
        <stp>BDH|16153576217224505817</stp>
        <tr r="E16" s="18"/>
      </tp>
      <tp t="e">
        <v>#N/A</v>
        <stp/>
        <stp>BDH|10907179334878742481</stp>
        <tr r="V60" s="11"/>
      </tp>
      <tp t="e">
        <v>#N/A</v>
        <stp/>
        <stp>BDH|16696914519159278980</stp>
        <tr r="P14" s="14"/>
      </tp>
      <tp t="e">
        <v>#N/A</v>
        <stp/>
        <stp>BDH|11205560737349783001</stp>
        <tr r="X47" s="34"/>
      </tp>
      <tp t="e">
        <v>#N/A</v>
        <stp/>
        <stp>BDH|13571668106499715263</stp>
        <tr r="L47" s="24"/>
      </tp>
      <tp t="e">
        <v>#N/A</v>
        <stp/>
        <stp>BDH|15938632612808491488</stp>
        <tr r="S71" s="24"/>
      </tp>
      <tp t="e">
        <v>#N/A</v>
        <stp/>
        <stp>BDH|14013941130131907199</stp>
        <tr r="E41" s="11"/>
        <tr r="E49" s="10"/>
        <tr r="E8" s="7"/>
        <tr r="G11" s="3"/>
      </tp>
      <tp t="e">
        <v>#N/A</v>
        <stp/>
        <stp>BDH|10755617894420615108</stp>
        <tr r="E36" s="21"/>
      </tp>
      <tp t="e">
        <v>#N/A</v>
        <stp/>
        <stp>BDH|13006102785466790260</stp>
        <tr r="Q42" s="12"/>
      </tp>
      <tp t="e">
        <v>#N/A</v>
        <stp/>
        <stp>BDH|17767545757538712178</stp>
        <tr r="T35" s="22"/>
      </tp>
      <tp t="e">
        <v>#N/A</v>
        <stp/>
        <stp>BDH|17348039696005246507</stp>
        <tr r="H15" s="4"/>
      </tp>
      <tp t="e">
        <v>#N/A</v>
        <stp/>
        <stp>BDH|18112965101717157838</stp>
        <tr r="V78" s="17"/>
      </tp>
      <tp t="e">
        <v>#N/A</v>
        <stp/>
        <stp>BDH|13662477793713192372</stp>
        <tr r="C31" s="11"/>
        <tr r="C39" s="10"/>
      </tp>
      <tp t="e">
        <v>#N/A</v>
        <stp/>
        <stp>BDH|12670640037961467855</stp>
        <tr r="W16" s="14"/>
      </tp>
      <tp t="e">
        <v>#N/A</v>
        <stp/>
        <stp>BDH|17633383964709893562</stp>
        <tr r="N35" s="4"/>
      </tp>
      <tp t="e">
        <v>#N/A</v>
        <stp/>
        <stp>BDH|16391108178359680796</stp>
        <tr r="T60" s="12"/>
      </tp>
      <tp t="e">
        <v>#N/A</v>
        <stp/>
        <stp>BDH|10544088988675268330</stp>
        <tr r="G173" s="18"/>
      </tp>
      <tp t="e">
        <v>#N/A</v>
        <stp/>
        <stp>BDH|15879611337676861825</stp>
        <tr r="R106" s="18"/>
      </tp>
      <tp t="e">
        <v>#N/A</v>
        <stp/>
        <stp>BDH|13269187133799508685</stp>
        <tr r="Y17" s="24"/>
      </tp>
      <tp t="e">
        <v>#N/A</v>
        <stp/>
        <stp>BDH|12977220399333451422</stp>
        <tr r="U10" s="26"/>
      </tp>
      <tp t="e">
        <v>#N/A</v>
        <stp/>
        <stp>BDH|12464100481683163604</stp>
        <tr r="J21" s="24"/>
      </tp>
      <tp t="e">
        <v>#N/A</v>
        <stp/>
        <stp>BDH|13929085860812242979</stp>
        <tr r="I34" s="10"/>
        <tr r="I26" s="11"/>
      </tp>
      <tp t="e">
        <v>#N/A</v>
        <stp/>
        <stp>BDH|12644570986129741840</stp>
        <tr r="V45" s="12"/>
      </tp>
      <tp t="e">
        <v>#N/A</v>
        <stp/>
        <stp>BDH|17923383027428408064</stp>
        <tr r="O78" s="18"/>
      </tp>
      <tp t="e">
        <v>#N/A</v>
        <stp/>
        <stp>BDH|13348074456411655900</stp>
        <tr r="Y18" s="13"/>
      </tp>
      <tp t="e">
        <v>#N/A</v>
        <stp/>
        <stp>BDH|11306676657838376448</stp>
        <tr r="U16" s="22"/>
      </tp>
      <tp t="e">
        <v>#N/A</v>
        <stp/>
        <stp>BDH|10496350073872637803</stp>
        <tr r="V15" s="5"/>
      </tp>
      <tp t="e">
        <v>#N/A</v>
        <stp/>
        <stp>BDH|15107995269766570204</stp>
        <tr r="S30" s="9"/>
      </tp>
      <tp t="e">
        <v>#N/A</v>
        <stp/>
        <stp>BDH|15760533999535829213</stp>
        <tr r="L12" s="13"/>
      </tp>
      <tp t="e">
        <v>#N/A</v>
        <stp/>
        <stp>BDH|15189225490865561525</stp>
        <tr r="O30" s="22"/>
      </tp>
      <tp t="e">
        <v>#N/A</v>
        <stp/>
        <stp>BDH|17523521223386415844</stp>
        <tr r="Q8" s="28"/>
      </tp>
      <tp t="e">
        <v>#N/A</v>
        <stp/>
        <stp>BDH|17848214725770973915</stp>
        <tr r="K31" s="21"/>
      </tp>
      <tp t="e">
        <v>#N/A</v>
        <stp/>
        <stp>BDH|11149217532997086967</stp>
        <tr r="J13" s="18"/>
      </tp>
      <tp t="e">
        <v>#N/A</v>
        <stp/>
        <stp>BDH|17097128377177960883</stp>
        <tr r="P52" s="21"/>
      </tp>
      <tp t="e">
        <v>#N/A</v>
        <stp/>
        <stp>BDH|17975870088309049024</stp>
        <tr r="C28" s="34"/>
      </tp>
      <tp t="e">
        <v>#N/A</v>
        <stp/>
        <stp>BDH|11682615523063192810</stp>
        <tr r="R18" s="34"/>
      </tp>
      <tp t="e">
        <v>#N/A</v>
        <stp/>
        <stp>BDH|15022353097487308651</stp>
        <tr r="F54" s="13"/>
      </tp>
      <tp t="e">
        <v>#N/A</v>
        <stp/>
        <stp>BDH|12516209744662368852</stp>
        <tr r="I45" s="24"/>
      </tp>
      <tp t="e">
        <v>#N/A</v>
        <stp/>
        <stp>BDH|13834064548531408858</stp>
        <tr r="U89" s="18"/>
      </tp>
      <tp t="e">
        <v>#N/A</v>
        <stp/>
        <stp>BDH|14309909447196142126</stp>
        <tr r="H29" s="5"/>
      </tp>
      <tp t="e">
        <v>#N/A</v>
        <stp/>
        <stp>BDH|15989412768800138968</stp>
        <tr r="H14" s="34"/>
      </tp>
      <tp t="e">
        <v>#N/A</v>
        <stp/>
        <stp>BDH|12689448034868142303</stp>
        <tr r="X23" s="10"/>
      </tp>
      <tp t="e">
        <v>#N/A</v>
        <stp/>
        <stp>BDH|13617029122299373622</stp>
        <tr r="AA30" s="12"/>
      </tp>
      <tp t="e">
        <v>#N/A</v>
        <stp/>
        <stp>BDH|14458690367118582282</stp>
        <tr r="G58" s="12"/>
      </tp>
      <tp t="e">
        <v>#N/A</v>
        <stp/>
        <stp>BDH|14563754340931413834</stp>
        <tr r="J20" s="30"/>
      </tp>
      <tp t="e">
        <v>#N/A</v>
        <stp/>
        <stp>BDH|16315477054358082173</stp>
        <tr r="R23" s="20"/>
      </tp>
      <tp t="e">
        <v>#N/A</v>
        <stp/>
        <stp>BDH|12824302004368386787</stp>
        <tr r="Q40" s="18"/>
      </tp>
      <tp t="e">
        <v>#N/A</v>
        <stp/>
        <stp>BDH|14634759301074504906</stp>
        <tr r="Q46" s="13"/>
      </tp>
      <tp t="e">
        <v>#N/A</v>
        <stp/>
        <stp>BDH|14095943343042414547</stp>
        <tr r="I9" s="28"/>
      </tp>
      <tp t="e">
        <v>#N/A</v>
        <stp/>
        <stp>BDH|11079161893471777656</stp>
        <tr r="L108" s="12"/>
      </tp>
      <tp t="e">
        <v>#N/A</v>
        <stp/>
        <stp>BDH|12354023342051043941</stp>
        <tr r="Q68" s="18"/>
      </tp>
      <tp t="e">
        <v>#N/A</v>
        <stp/>
        <stp>BDH|10455917613314231231</stp>
        <tr r="AA26" s="24"/>
      </tp>
      <tp t="e">
        <v>#N/A</v>
        <stp/>
        <stp>BDH|16315543673789178321</stp>
        <tr r="L6" s="15"/>
        <tr r="L6" s="10"/>
        <tr r="L11" s="4"/>
        <tr r="L12" s="2"/>
      </tp>
      <tp t="e">
        <v>#N/A</v>
        <stp/>
        <stp>BDH|14760915905032185159</stp>
        <tr r="G13" s="14"/>
      </tp>
      <tp t="e">
        <v>#N/A</v>
        <stp/>
        <stp>BDH|10608629845104623808</stp>
        <tr r="O11" s="21"/>
      </tp>
      <tp t="e">
        <v>#N/A</v>
        <stp/>
        <stp>BDH|14762493088317030114</stp>
        <tr r="Z17" s="18"/>
      </tp>
      <tp t="e">
        <v>#N/A</v>
        <stp/>
        <stp>BDH|11900113007498817606</stp>
        <tr r="I72" s="18"/>
      </tp>
      <tp t="e">
        <v>#N/A</v>
        <stp/>
        <stp>BDH|16481794862558084186</stp>
        <tr r="V137" s="18"/>
      </tp>
      <tp t="e">
        <v>#N/A</v>
        <stp/>
        <stp>BDH|13459003650060333802</stp>
        <tr r="T48" s="17"/>
      </tp>
      <tp t="e">
        <v>#N/A</v>
        <stp/>
        <stp>BDH|12974685972279301476</stp>
        <tr r="S8" s="20"/>
        <tr r="S110" s="18"/>
      </tp>
      <tp t="e">
        <v>#N/A</v>
        <stp/>
        <stp>BDH|15777903045651326766</stp>
        <tr r="T59" s="21"/>
        <tr r="R54" s="11"/>
      </tp>
      <tp t="e">
        <v>#N/A</v>
        <stp/>
        <stp>BDH|16963876310560910102</stp>
        <tr r="AA76" s="24"/>
      </tp>
      <tp t="e">
        <v>#N/A</v>
        <stp/>
        <stp>BDH|17157842024733441021</stp>
        <tr r="O8" s="2"/>
      </tp>
      <tp t="e">
        <v>#N/A</v>
        <stp/>
        <stp>BDH|15911688296442213628</stp>
        <tr r="T32" s="22"/>
      </tp>
      <tp t="e">
        <v>#N/A</v>
        <stp/>
        <stp>BDH|14921880512154333774</stp>
        <tr r="F6" s="20"/>
        <tr r="F108" s="18"/>
      </tp>
      <tp t="e">
        <v>#N/A</v>
        <stp/>
        <stp>BDH|18281425000545212742</stp>
        <tr r="R84" s="12"/>
      </tp>
      <tp t="e">
        <v>#N/A</v>
        <stp/>
        <stp>BDH|17540571733127583827</stp>
        <tr r="E88" s="17"/>
      </tp>
      <tp t="e">
        <v>#N/A</v>
        <stp/>
        <stp>BDH|12385969422232583541</stp>
        <tr r="I62" s="18"/>
      </tp>
      <tp t="e">
        <v>#N/A</v>
        <stp/>
        <stp>BDH|17349801917225591574</stp>
        <tr r="L45" s="24"/>
      </tp>
      <tp t="e">
        <v>#N/A</v>
        <stp/>
        <stp>BDH|12634099976188848377</stp>
        <tr r="Z52" s="21"/>
      </tp>
      <tp t="e">
        <v>#N/A</v>
        <stp/>
        <stp>BDH|18445232200677503348</stp>
        <tr r="E85" s="17"/>
      </tp>
      <tp t="e">
        <v>#N/A</v>
        <stp/>
        <stp>BDH|16050839437527659443</stp>
        <tr r="E10" s="27"/>
        <tr r="E25" s="25"/>
      </tp>
      <tp t="e">
        <v>#N/A</v>
        <stp/>
        <stp>BDH|15929299361077037877</stp>
        <tr r="P16" s="24"/>
      </tp>
      <tp t="e">
        <v>#N/A</v>
        <stp/>
        <stp>BDH|12642293531329196492</stp>
        <tr r="O110" s="12"/>
      </tp>
      <tp t="e">
        <v>#N/A</v>
        <stp/>
        <stp>BDH|13416548150314021965</stp>
        <tr r="F49" s="24"/>
      </tp>
      <tp t="e">
        <v>#N/A</v>
        <stp/>
        <stp>BDH|10801149607276474990</stp>
        <tr r="J42" s="13"/>
      </tp>
      <tp t="e">
        <v>#N/A</v>
        <stp/>
        <stp>BDH|14783507495020454606</stp>
        <tr r="C148" s="18"/>
      </tp>
      <tp t="e">
        <v>#N/A</v>
        <stp/>
        <stp>BDH|17048821717265039538</stp>
        <tr r="H38" s="25"/>
      </tp>
      <tp t="e">
        <v>#N/A</v>
        <stp/>
        <stp>BDH|15567385015911625884</stp>
        <tr r="H49" s="13"/>
        <tr r="F37" s="11"/>
        <tr r="F45" s="10"/>
        <tr r="F53" s="4"/>
        <tr r="F18" s="2"/>
      </tp>
      <tp t="e">
        <v>#N/A</v>
        <stp/>
        <stp>BDH|13145611175134685850</stp>
        <tr r="T73" s="17"/>
      </tp>
      <tp t="e">
        <v>#N/A</v>
        <stp/>
        <stp>BDH|11830621911059884159</stp>
        <tr r="X174" s="18"/>
      </tp>
      <tp t="e">
        <v>#N/A</v>
        <stp/>
        <stp>BDH|11297185297211892634</stp>
        <tr r="V23" s="24"/>
      </tp>
      <tp t="e">
        <v>#N/A</v>
        <stp/>
        <stp>BDH|16200733347272924990</stp>
        <tr r="F32" s="11"/>
        <tr r="F40" s="10"/>
      </tp>
      <tp t="e">
        <v>#N/A</v>
        <stp/>
        <stp>BDH|17689267909152697994</stp>
        <tr r="J87" s="17"/>
      </tp>
      <tp t="e">
        <v>#N/A</v>
        <stp/>
        <stp>BDH|10366646343414562870</stp>
        <tr r="L43" s="11"/>
        <tr r="L51" s="10"/>
        <tr r="L15" s="7"/>
      </tp>
      <tp t="e">
        <v>#N/A</v>
        <stp/>
        <stp>BDH|16264146792803225308</stp>
        <tr r="Y44" s="21"/>
      </tp>
      <tp t="e">
        <v>#N/A</v>
        <stp/>
        <stp>BDH|15444954587753009906</stp>
        <tr r="AA15" s="25"/>
      </tp>
      <tp t="e">
        <v>#N/A</v>
        <stp/>
        <stp>BDH|17401289628708068129</stp>
        <tr r="U143" s="18"/>
      </tp>
      <tp t="e">
        <v>#N/A</v>
        <stp/>
        <stp>BDH|16377063882199420956</stp>
        <tr r="Q118" s="18"/>
      </tp>
      <tp t="e">
        <v>#N/A</v>
        <stp/>
        <stp>BDH|16211136105640105930</stp>
        <tr r="E49" s="22"/>
      </tp>
      <tp t="e">
        <v>#N/A</v>
        <stp/>
        <stp>BDH|18109915898607822160</stp>
        <tr r="C23" s="10"/>
      </tp>
      <tp t="e">
        <v>#N/A</v>
        <stp/>
        <stp>BDH|13283132876748554348</stp>
        <tr r="P25" s="25"/>
        <tr r="P10" s="27"/>
      </tp>
      <tp t="e">
        <v>#N/A</v>
        <stp/>
        <stp>BDH|16858884166832783477</stp>
        <tr r="O8" s="12"/>
      </tp>
      <tp t="e">
        <v>#N/A</v>
        <stp/>
        <stp>BDH|13273945190424873987</stp>
        <tr r="Y19" s="10"/>
      </tp>
      <tp t="e">
        <v>#N/A</v>
        <stp/>
        <stp>BDH|13413985863460879212</stp>
        <tr r="J37" s="22"/>
      </tp>
      <tp t="e">
        <v>#N/A</v>
        <stp/>
        <stp>BDH|13859256556109568381</stp>
        <tr r="V21" s="17"/>
        <tr r="V15" s="3"/>
      </tp>
      <tp t="e">
        <v>#N/A</v>
        <stp/>
        <stp>BDH|18344315902695753017</stp>
        <tr r="O56" s="11"/>
        <tr r="O24" s="4"/>
      </tp>
      <tp t="e">
        <v>#N/A</v>
        <stp/>
        <stp>BDH|13166972302051781559</stp>
        <tr r="L178" s="18"/>
      </tp>
      <tp t="e">
        <v>#N/A</v>
        <stp/>
        <stp>BDH|12261542911500531846</stp>
        <tr r="C8" s="17"/>
      </tp>
      <tp t="e">
        <v>#N/A</v>
        <stp/>
        <stp>BDH|10543405078575285898</stp>
        <tr r="D33" s="10"/>
        <tr r="D25" s="11"/>
      </tp>
      <tp t="e">
        <v>#N/A</v>
        <stp/>
        <stp>BDH|12190949626343563401</stp>
        <tr r="D11" s="7"/>
      </tp>
      <tp t="e">
        <v>#N/A</v>
        <stp/>
        <stp>BDH|18264510625263967296</stp>
        <tr r="C16" s="10"/>
      </tp>
      <tp t="e">
        <v>#N/A</v>
        <stp/>
        <stp>BDH|15080039800919834220</stp>
        <tr r="AA48" s="12"/>
      </tp>
      <tp t="e">
        <v>#N/A</v>
        <stp/>
        <stp>BDH|15368794286406192244</stp>
        <tr r="Y37" s="21"/>
        <tr r="Y24" s="3"/>
      </tp>
      <tp t="e">
        <v>#N/A</v>
        <stp/>
        <stp>BDH|12617669497145802662</stp>
        <tr r="S62" s="10"/>
      </tp>
      <tp t="e">
        <v>#N/A</v>
        <stp/>
        <stp>BDH|12293965278404148646</stp>
        <tr r="P23" s="21"/>
      </tp>
      <tp t="e">
        <v>#N/A</v>
        <stp/>
        <stp>BDH|15434963528762143229</stp>
        <tr r="W54" s="21"/>
      </tp>
      <tp t="e">
        <v>#N/A</v>
        <stp/>
        <stp>BDH|12003697209829904305</stp>
        <tr r="K8" s="22"/>
      </tp>
      <tp t="e">
        <v>#N/A</v>
        <stp/>
        <stp>BDH|17438999934043018002</stp>
        <tr r="J53" s="12"/>
      </tp>
      <tp t="e">
        <v>#N/A</v>
        <stp/>
        <stp>BDH|17918059153204445827</stp>
        <tr r="W73" s="18"/>
      </tp>
      <tp t="e">
        <v>#N/A</v>
        <stp/>
        <stp>BDH|12682233847893328988</stp>
        <tr r="Z109" s="12"/>
      </tp>
      <tp t="e">
        <v>#N/A</v>
        <stp/>
        <stp>BDH|16355071841545599991</stp>
        <tr r="V31" s="12"/>
      </tp>
      <tp t="e">
        <v>#N/A</v>
        <stp/>
        <stp>BDH|17140363591111906269</stp>
        <tr r="S109" s="12"/>
      </tp>
      <tp t="e">
        <v>#N/A</v>
        <stp/>
        <stp>BDH|15293380785159432925</stp>
        <tr r="K18" s="34"/>
      </tp>
      <tp t="e">
        <v>#N/A</v>
        <stp/>
        <stp>BDH|12902919938086810015</stp>
        <tr r="C45" s="22"/>
      </tp>
      <tp t="e">
        <v>#N/A</v>
        <stp/>
        <stp>BDH|13000839258102270202</stp>
        <tr r="W57" s="13"/>
      </tp>
      <tp t="e">
        <v>#N/A</v>
        <stp/>
        <stp>BDH|16244733399574875299</stp>
        <tr r="V49" s="17"/>
      </tp>
      <tp t="e">
        <v>#N/A</v>
        <stp/>
        <stp>BDH|11806229914869188565</stp>
        <tr r="T22" s="21"/>
      </tp>
      <tp t="e">
        <v>#N/A</v>
        <stp/>
        <stp>BDH|15882573760319574133</stp>
        <tr r="H47" s="18"/>
      </tp>
      <tp t="e">
        <v>#N/A</v>
        <stp/>
        <stp>BDH|16827883121366168497</stp>
        <tr r="AA22" s="24"/>
      </tp>
      <tp t="e">
        <v>#N/A</v>
        <stp/>
        <stp>BDH|10375909469555080430</stp>
        <tr r="S59" s="21"/>
        <tr r="Q54" s="11"/>
      </tp>
      <tp t="e">
        <v>#N/A</v>
        <stp/>
        <stp>BDH|14896944277044663048</stp>
        <tr r="Z47" s="17"/>
      </tp>
      <tp t="e">
        <v>#N/A</v>
        <stp/>
        <stp>BDH|14046160166658051595</stp>
        <tr r="Z69" s="17"/>
      </tp>
      <tp t="e">
        <v>#N/A</v>
        <stp/>
        <stp>BDH|16075060165188363691</stp>
        <tr r="M70" s="24"/>
      </tp>
      <tp t="e">
        <v>#N/A</v>
        <stp/>
        <stp>BDH|17144801899071423956</stp>
        <tr r="L26" s="18"/>
      </tp>
      <tp t="e">
        <v>#N/A</v>
        <stp/>
        <stp>BDH|11340167180255881348</stp>
        <tr r="L38" s="25"/>
      </tp>
      <tp t="e">
        <v>#N/A</v>
        <stp/>
        <stp>BDH|11940845984099137612</stp>
        <tr r="R11" s="17"/>
      </tp>
      <tp t="e">
        <v>#N/A</v>
        <stp/>
        <stp>BDH|17446488194884310022</stp>
        <tr r="Q16" s="25"/>
      </tp>
      <tp t="e">
        <v>#N/A</v>
        <stp/>
        <stp>BDH|18411436757047078097</stp>
        <tr r="L15" s="22"/>
      </tp>
      <tp t="e">
        <v>#N/A</v>
        <stp/>
        <stp>BDH|16462484449939585194</stp>
        <tr r="P70" s="17"/>
      </tp>
      <tp t="e">
        <v>#N/A</v>
        <stp/>
        <stp>BDH|15735180479229728485</stp>
        <tr r="R7" s="34"/>
      </tp>
      <tp t="e">
        <v>#N/A</v>
        <stp/>
        <stp>BDH|14201823088323524944</stp>
        <tr r="W10" s="13"/>
      </tp>
      <tp t="e">
        <v>#N/A</v>
        <stp/>
        <stp>BDH|12539447794645569492</stp>
        <tr r="F138" s="18"/>
      </tp>
      <tp t="e">
        <v>#N/A</v>
        <stp/>
        <stp>BDH|12489886810833060656</stp>
        <tr r="AA46" s="17"/>
      </tp>
      <tp t="e">
        <v>#N/A</v>
        <stp/>
        <stp>BDH|12562195614775801992</stp>
        <tr r="P36" s="4"/>
      </tp>
      <tp t="e">
        <v>#N/A</v>
        <stp/>
        <stp>BDH|16945262023588720024</stp>
        <tr r="K46" s="17"/>
      </tp>
      <tp t="e">
        <v>#N/A</v>
        <stp/>
        <stp>BDH|17578290603542527935</stp>
        <tr r="T168" s="18"/>
      </tp>
      <tp t="e">
        <v>#N/A</v>
        <stp/>
        <stp>BDH|17094010288601288022</stp>
        <tr r="U24" s="17"/>
      </tp>
      <tp t="e">
        <v>#N/A</v>
        <stp/>
        <stp>BDH|15530807860061596498</stp>
        <tr r="L93" s="12"/>
      </tp>
      <tp t="e">
        <v>#N/A</v>
        <stp/>
        <stp>BDH|15198986720747841789</stp>
        <tr r="S18" s="30"/>
      </tp>
      <tp t="e">
        <v>#N/A</v>
        <stp/>
        <stp>BDH|15925770583960593417</stp>
        <tr r="H165" s="18"/>
      </tp>
      <tp t="e">
        <v>#N/A</v>
        <stp/>
        <stp>BDH|15389109647419574786</stp>
        <tr r="Y9" s="22"/>
      </tp>
      <tp t="e">
        <v>#N/A</v>
        <stp/>
        <stp>BDH|11758661459648768460</stp>
        <tr r="P40" s="21"/>
      </tp>
      <tp t="e">
        <v>#N/A</v>
        <stp/>
        <stp>BDH|10168186503886369915</stp>
        <tr r="S14" s="22"/>
      </tp>
      <tp t="e">
        <v>#N/A</v>
        <stp/>
        <stp>BDH|16856035073659049609</stp>
        <tr r="N32" s="22"/>
      </tp>
      <tp t="e">
        <v>#N/A</v>
        <stp/>
        <stp>BDH|14929646997811203407</stp>
        <tr r="H30" s="6"/>
      </tp>
      <tp t="e">
        <v>#N/A</v>
        <stp/>
        <stp>BDH|12273847989868711403</stp>
        <tr r="Q13" s="7"/>
      </tp>
      <tp t="e">
        <v>#N/A</v>
        <stp/>
        <stp>BDH|17245050880165882477</stp>
        <tr r="N30" s="25"/>
        <tr r="N16" s="27"/>
      </tp>
      <tp t="e">
        <v>#N/A</v>
        <stp/>
        <stp>BDH|11658441892600984210</stp>
        <tr r="G133" s="18"/>
      </tp>
      <tp t="e">
        <v>#N/A</v>
        <stp/>
        <stp>BDH|15387422980264138381</stp>
        <tr r="H44" s="13"/>
      </tp>
      <tp t="e">
        <v>#N/A</v>
        <stp/>
        <stp>BDH|14995943326385107420</stp>
        <tr r="N18" s="18"/>
      </tp>
      <tp t="e">
        <v>#N/A</v>
        <stp/>
        <stp>BDH|18060123179555001539</stp>
        <tr r="S54" s="24"/>
      </tp>
      <tp t="e">
        <v>#N/A</v>
        <stp/>
        <stp>BDH|15875700386505791112</stp>
        <tr r="V140" s="18"/>
      </tp>
      <tp t="e">
        <v>#N/A</v>
        <stp/>
        <stp>BDH|17470965023851063395</stp>
        <tr r="U19" s="9"/>
      </tp>
      <tp t="e">
        <v>#N/A</v>
        <stp/>
        <stp>BDH|15329758912749959450</stp>
        <tr r="Y107" s="18"/>
      </tp>
      <tp t="e">
        <v>#N/A</v>
        <stp/>
        <stp>BDH|10610856130444389183</stp>
        <tr r="E57" s="17"/>
      </tp>
      <tp t="e">
        <v>#N/A</v>
        <stp/>
        <stp>BDH|15960538095806699117</stp>
        <tr r="U10" s="24"/>
      </tp>
      <tp t="e">
        <v>#N/A</v>
        <stp/>
        <stp>BDH|16303920753887309390</stp>
        <tr r="H9" s="20"/>
        <tr r="H111" s="18"/>
      </tp>
      <tp t="e">
        <v>#N/A</v>
        <stp/>
        <stp>BDH|11589743188565565547</stp>
        <tr r="E56" s="34"/>
      </tp>
      <tp t="e">
        <v>#N/A</v>
        <stp/>
        <stp>BDH|11958156112496707918</stp>
        <tr r="K37" s="34"/>
      </tp>
      <tp t="e">
        <v>#N/A</v>
        <stp/>
        <stp>BDH|12885075592576015356</stp>
        <tr r="Z24" s="12"/>
      </tp>
      <tp t="e">
        <v>#N/A</v>
        <stp/>
        <stp>BDH|13551831421580769789</stp>
        <tr r="F76" s="18"/>
      </tp>
      <tp t="e">
        <v>#N/A</v>
        <stp/>
        <stp>BDH|12701205757888970317</stp>
        <tr r="N37" s="34"/>
      </tp>
      <tp t="e">
        <v>#N/A</v>
        <stp/>
        <stp>BDH|14945727756549191142</stp>
        <tr r="X66" s="10"/>
      </tp>
      <tp t="e">
        <v>#N/A</v>
        <stp/>
        <stp>BDH|14632285241538390447</stp>
        <tr r="U73" s="24"/>
      </tp>
      <tp t="e">
        <v>#N/A</v>
        <stp/>
        <stp>BDH|13833844850130686022</stp>
        <tr r="H70" s="12"/>
      </tp>
      <tp t="e">
        <v>#N/A</v>
        <stp/>
        <stp>BDH|15970100268494956804</stp>
        <tr r="Y57" s="24"/>
      </tp>
      <tp t="e">
        <v>#N/A</v>
        <stp/>
        <stp>BDH|10520342797523713796</stp>
        <tr r="S36" s="29"/>
        <tr r="S16" s="29"/>
      </tp>
      <tp t="e">
        <v>#N/A</v>
        <stp/>
        <stp>BDH|18089082268956142697</stp>
        <tr r="M123" s="18"/>
      </tp>
      <tp t="e">
        <v>#N/A</v>
        <stp/>
        <stp>BDH|10040380311025752961</stp>
        <tr r="H36" s="29"/>
        <tr r="H16" s="29"/>
      </tp>
      <tp t="e">
        <v>#N/A</v>
        <stp/>
        <stp>BDH|13414816666021385288</stp>
        <tr r="M66" s="24"/>
      </tp>
      <tp t="e">
        <v>#N/A</v>
        <stp/>
        <stp>BDH|14123069789917235546</stp>
        <tr r="S65" s="24"/>
      </tp>
      <tp t="e">
        <v>#N/A</v>
        <stp/>
        <stp>BDH|16678537338366349861</stp>
        <tr r="W43" s="17"/>
        <tr r="W9" s="25"/>
      </tp>
      <tp t="e">
        <v>#N/A</v>
        <stp/>
        <stp>BDH|16945767120434174966</stp>
        <tr r="Z12" s="30"/>
      </tp>
      <tp t="e">
        <v>#N/A</v>
        <stp/>
        <stp>BDH|10843087095056533185</stp>
        <tr r="L63" s="17"/>
      </tp>
      <tp t="e">
        <v>#N/A</v>
        <stp/>
        <stp>BDH|16810326782021521250</stp>
        <tr r="J75" s="18"/>
      </tp>
      <tp t="e">
        <v>#N/A</v>
        <stp/>
        <stp>BDH|12354462358858034559</stp>
        <tr r="F57" s="12"/>
      </tp>
      <tp t="e">
        <v>#N/A</v>
        <stp/>
        <stp>BDH|17995428013758873484</stp>
        <tr r="F67" s="12"/>
      </tp>
      <tp t="e">
        <v>#N/A</v>
        <stp/>
        <stp>BDH|13869730293655011605</stp>
        <tr r="P38" s="29"/>
        <tr r="P18" s="29"/>
      </tp>
      <tp t="e">
        <v>#N/A</v>
        <stp/>
        <stp>BDH|14984179892385071741</stp>
        <tr r="Z135" s="18"/>
      </tp>
      <tp t="e">
        <v>#N/A</v>
        <stp/>
        <stp>BDH|12636132036136815835</stp>
        <tr r="G52" s="12"/>
      </tp>
      <tp t="e">
        <v>#N/A</v>
        <stp/>
        <stp>BDH|17288197383790419072</stp>
        <tr r="J22" s="22"/>
      </tp>
      <tp t="e">
        <v>#N/A</v>
        <stp/>
        <stp>BDH|17440501797586128398</stp>
        <tr r="Y146" s="18"/>
      </tp>
      <tp t="e">
        <v>#N/A</v>
        <stp/>
        <stp>BDH|15236785101864367832</stp>
        <tr r="U56" s="11"/>
        <tr r="U24" s="4"/>
      </tp>
      <tp t="e">
        <v>#N/A</v>
        <stp/>
        <stp>BDH|13562678400358161381</stp>
        <tr r="H22" s="17"/>
      </tp>
      <tp t="e">
        <v>#N/A</v>
        <stp/>
        <stp>BDH|14882853757625149200</stp>
        <tr r="K62" s="34"/>
      </tp>
      <tp t="e">
        <v>#N/A</v>
        <stp/>
        <stp>BDH|18200219279157069416</stp>
        <tr r="N43" s="22"/>
      </tp>
      <tp t="e">
        <v>#N/A</v>
        <stp/>
        <stp>BDH|18084080343625673761</stp>
        <tr r="H24" s="2"/>
      </tp>
      <tp t="e">
        <v>#N/A</v>
        <stp/>
        <stp>BDH|14349907959186928088</stp>
        <tr r="M9" s="20"/>
        <tr r="M111" s="18"/>
      </tp>
      <tp t="e">
        <v>#N/A</v>
        <stp/>
        <stp>BDH|11568164559518712369</stp>
        <tr r="AA17" s="21"/>
      </tp>
      <tp t="e">
        <v>#N/A</v>
        <stp/>
        <stp>BDH|11964600637239691332</stp>
        <tr r="K20" s="23"/>
      </tp>
      <tp t="e">
        <v>#N/A</v>
        <stp/>
        <stp>BDH|17736263568474386913</stp>
        <tr r="F50" s="18"/>
      </tp>
      <tp t="e">
        <v>#N/A</v>
        <stp/>
        <stp>BDH|11902041934138559478</stp>
        <tr r="O81" s="12"/>
      </tp>
      <tp t="e">
        <v>#N/A</v>
        <stp/>
        <stp>BDH|13638692659596517888</stp>
        <tr r="D140" s="18"/>
      </tp>
      <tp t="e">
        <v>#N/A</v>
        <stp/>
        <stp>BDH|10306118795431941754</stp>
        <tr r="C25" s="22"/>
      </tp>
      <tp t="e">
        <v>#N/A</v>
        <stp/>
        <stp>BDH|10737194763849336050</stp>
        <tr r="Y14" s="4"/>
      </tp>
      <tp t="e">
        <v>#N/A</v>
        <stp/>
        <stp>BDH|12875367203716773913</stp>
        <tr r="U21" s="34"/>
      </tp>
      <tp t="e">
        <v>#N/A</v>
        <stp/>
        <stp>BDH|13337334186961955749</stp>
        <tr r="L44" s="12"/>
      </tp>
      <tp t="e">
        <v>#N/A</v>
        <stp/>
        <stp>BDH|18080499237426055752</stp>
        <tr r="G64" s="24"/>
      </tp>
      <tp t="e">
        <v>#N/A</v>
        <stp/>
        <stp>BDH|11437507806458924203</stp>
        <tr r="AA32" s="17"/>
      </tp>
      <tp t="e">
        <v>#N/A</v>
        <stp/>
        <stp>BDH|10668306279683617926</stp>
        <tr r="K16" s="24"/>
      </tp>
      <tp t="e">
        <v>#N/A</v>
        <stp/>
        <stp>BDH|14863520531429200523</stp>
        <tr r="U11" s="28"/>
      </tp>
      <tp t="e">
        <v>#N/A</v>
        <stp/>
        <stp>BDH|14314323336653504995</stp>
        <tr r="L37" s="26"/>
      </tp>
      <tp t="e">
        <v>#N/A</v>
        <stp/>
        <stp>BDH|15878414549712920926</stp>
        <tr r="C44" s="12"/>
      </tp>
      <tp t="e">
        <v>#N/A</v>
        <stp/>
        <stp>BDH|12672510136752988838</stp>
        <tr r="R49" s="18"/>
      </tp>
      <tp t="e">
        <v>#N/A</v>
        <stp/>
        <stp>BDH|12865314661759778042</stp>
        <tr r="G24" s="29"/>
      </tp>
      <tp t="e">
        <v>#N/A</v>
        <stp/>
        <stp>BDH|16986146497445728568</stp>
        <tr r="Y94" s="17"/>
      </tp>
      <tp t="e">
        <v>#N/A</v>
        <stp/>
        <stp>BDH|17640345272329222490</stp>
        <tr r="E8" s="34"/>
      </tp>
      <tp t="e">
        <v>#N/A</v>
        <stp/>
        <stp>BDH|16632660277790413982</stp>
        <tr r="G33" s="6"/>
        <tr r="G17" s="5"/>
      </tp>
      <tp t="e">
        <v>#N/A</v>
        <stp/>
        <stp>BDH|13891806842079808899</stp>
        <tr r="C77" s="17"/>
        <tr r="C19" s="3"/>
      </tp>
      <tp t="e">
        <v>#N/A</v>
        <stp/>
        <stp>BDH|13562656897481462384</stp>
        <tr r="V33" s="17"/>
      </tp>
      <tp t="e">
        <v>#N/A</v>
        <stp/>
        <stp>BDH|13883486633483868909</stp>
        <tr r="T81" s="18"/>
      </tp>
      <tp t="e">
        <v>#N/A</v>
        <stp/>
        <stp>BDH|18084438299148052311</stp>
        <tr r="T34" s="34"/>
      </tp>
      <tp t="e">
        <v>#N/A</v>
        <stp/>
        <stp>BDH|17522946509385593575</stp>
        <tr r="F12" s="13"/>
      </tp>
      <tp t="e">
        <v>#N/A</v>
        <stp/>
        <stp>BDH|14847104574079230548</stp>
        <tr r="L77" s="12"/>
      </tp>
      <tp t="e">
        <v>#N/A</v>
        <stp/>
        <stp>BDH|12589116697856149289</stp>
        <tr r="F67" s="18"/>
      </tp>
      <tp t="e">
        <v>#N/A</v>
        <stp/>
        <stp>BDH|15939558910548607705</stp>
        <tr r="M82" s="17"/>
        <tr r="K6" s="7"/>
        <tr r="M20" s="3"/>
      </tp>
      <tp t="e">
        <v>#N/A</v>
        <stp/>
        <stp>BDH|10726898428294517093</stp>
        <tr r="Q51" s="18"/>
      </tp>
      <tp t="e">
        <v>#N/A</v>
        <stp/>
        <stp>BDH|16712846018588115909</stp>
        <tr r="T28" s="26"/>
      </tp>
      <tp t="e">
        <v>#N/A</v>
        <stp/>
        <stp>BDH|14194981311560733254</stp>
        <tr r="Z17" s="20"/>
      </tp>
      <tp t="e">
        <v>#N/A</v>
        <stp/>
        <stp>BDH|15824928483372794849</stp>
        <tr r="Z43" s="21"/>
      </tp>
      <tp t="e">
        <v>#N/A</v>
        <stp/>
        <stp>BDH|16454349999432371007</stp>
        <tr r="H7" s="23"/>
      </tp>
      <tp t="e">
        <v>#N/A</v>
        <stp/>
        <stp>BDH|12349392376089588136</stp>
        <tr r="M62" s="10"/>
      </tp>
      <tp t="e">
        <v>#N/A</v>
        <stp/>
        <stp>BDH|18278286971546325529</stp>
        <tr r="S18" s="21"/>
        <tr r="Q23" s="2"/>
        <tr r="S23" s="3"/>
      </tp>
      <tp t="e">
        <v>#N/A</v>
        <stp/>
        <stp>BDH|14520588797453447549</stp>
        <tr r="I53" s="6"/>
      </tp>
      <tp t="e">
        <v>#N/A</v>
        <stp/>
        <stp>BDH|11033973353137776494</stp>
        <tr r="Q86" s="17"/>
      </tp>
      <tp t="e">
        <v>#N/A</v>
        <stp/>
        <stp>BDH|12794467698339460879</stp>
        <tr r="M74" s="18"/>
      </tp>
      <tp t="e">
        <v>#N/A</v>
        <stp/>
        <stp>BDH|16864955832774109646</stp>
        <tr r="G78" s="24"/>
      </tp>
      <tp t="e">
        <v>#N/A</v>
        <stp/>
        <stp>BDH|17641063083587844617</stp>
        <tr r="U15" s="25"/>
      </tp>
      <tp t="e">
        <v>#N/A</v>
        <stp/>
        <stp>BDH|13913366728558968445</stp>
        <tr r="R27" s="26"/>
      </tp>
      <tp t="e">
        <v>#N/A</v>
        <stp/>
        <stp>BDH|17660215199122438000</stp>
        <tr r="L62" s="13"/>
        <tr r="J49" s="11"/>
        <tr r="J57" s="10"/>
        <tr r="J19" s="7"/>
        <tr r="J18" s="4"/>
        <tr r="J20" s="2"/>
      </tp>
      <tp t="e">
        <v>#N/A</v>
        <stp/>
        <stp>BDH|13743375772689039085</stp>
        <tr r="E67" s="34"/>
      </tp>
      <tp t="e">
        <v>#N/A</v>
        <stp/>
        <stp>BDH|18229748551111488592</stp>
        <tr r="AA65" s="17"/>
      </tp>
      <tp t="e">
        <v>#N/A</v>
        <stp/>
        <stp>BDH|14694932117356891406</stp>
        <tr r="T39" s="24"/>
      </tp>
      <tp t="e">
        <v>#N/A</v>
        <stp/>
        <stp>BDH|17900951630746609500</stp>
        <tr r="C25" s="13"/>
      </tp>
      <tp t="e">
        <v>#N/A</v>
        <stp/>
        <stp>BDH|15506302808088624016</stp>
        <tr r="Y88" s="17"/>
      </tp>
      <tp t="e">
        <v>#N/A</v>
        <stp/>
        <stp>BDH|16025025396918990972</stp>
        <tr r="C18" s="20"/>
      </tp>
      <tp t="e">
        <v>#N/A</v>
        <stp/>
        <stp>BDH|11234894879128921810</stp>
        <tr r="X17" s="21"/>
      </tp>
      <tp t="e">
        <v>#N/A</v>
        <stp/>
        <stp>BDH|10602405644196863806</stp>
        <tr r="H48" s="13"/>
      </tp>
      <tp t="e">
        <v>#N/A</v>
        <stp/>
        <stp>BDH|10610505074008000480</stp>
        <tr r="H9" s="22"/>
      </tp>
      <tp t="e">
        <v>#N/A</v>
        <stp/>
        <stp>BDH|14335118491113992107</stp>
        <tr r="N20" s="11"/>
      </tp>
      <tp t="e">
        <v>#N/A</v>
        <stp/>
        <stp>BDH|11883757491918694974</stp>
        <tr r="AA116" s="18"/>
      </tp>
      <tp t="e">
        <v>#N/A</v>
        <stp/>
        <stp>BDH|15080377259875453878</stp>
        <tr r="I77" s="17"/>
        <tr r="I19" s="3"/>
      </tp>
      <tp t="e">
        <v>#N/A</v>
        <stp/>
        <stp>BDH|15264087031220287842</stp>
        <tr r="Q78" s="17"/>
      </tp>
      <tp t="e">
        <v>#N/A</v>
        <stp/>
        <stp>BDH|13922269785805436239</stp>
        <tr r="G50" s="18"/>
      </tp>
      <tp t="e">
        <v>#N/A</v>
        <stp/>
        <stp>BDH|13827301305138985693</stp>
        <tr r="S48" s="12"/>
      </tp>
      <tp t="e">
        <v>#N/A</v>
        <stp/>
        <stp>BDH|15742986846995717332</stp>
        <tr r="I20" s="10"/>
      </tp>
      <tp t="e">
        <v>#N/A</v>
        <stp/>
        <stp>BDH|12567495780274577449</stp>
        <tr r="O149" s="18"/>
      </tp>
      <tp t="e">
        <v>#N/A</v>
        <stp/>
        <stp>BDH|17857546080776388222</stp>
        <tr r="U39" s="26"/>
      </tp>
      <tp t="e">
        <v>#N/A</v>
        <stp/>
        <stp>BDH|18091794622086142574</stp>
        <tr r="H11" s="13"/>
      </tp>
      <tp t="e">
        <v>#N/A</v>
        <stp/>
        <stp>BDH|12998552690978260839</stp>
        <tr r="M50" s="21"/>
      </tp>
      <tp t="e">
        <v>#N/A</v>
        <stp/>
        <stp>BDH|17457783742623758948</stp>
        <tr r="S15" s="23"/>
        <tr r="Q58" s="11"/>
      </tp>
      <tp t="e">
        <v>#N/A</v>
        <stp/>
        <stp>BDH|14673084161939166531</stp>
        <tr r="M67" s="17"/>
        <tr r="M18" s="3"/>
      </tp>
      <tp t="e">
        <v>#N/A</v>
        <stp/>
        <stp>BDH|15887193068705322972</stp>
        <tr r="N34" s="26"/>
      </tp>
      <tp t="e">
        <v>#N/A</v>
        <stp/>
        <stp>BDH|12804557898883998315</stp>
        <tr r="T67" s="24"/>
      </tp>
      <tp t="e">
        <v>#N/A</v>
        <stp/>
        <stp>BDH|14808050552426147933</stp>
        <tr r="V61" s="18"/>
      </tp>
      <tp t="e">
        <v>#N/A</v>
        <stp/>
        <stp>BDH|15459359012851624885</stp>
        <tr r="W94" s="12"/>
      </tp>
      <tp t="e">
        <v>#N/A</v>
        <stp/>
        <stp>BDH|11908404411662350864</stp>
        <tr r="S7" s="21"/>
      </tp>
      <tp t="e">
        <v>#N/A</v>
        <stp/>
        <stp>BDH|12438895258585091488</stp>
        <tr r="F63" s="24"/>
      </tp>
      <tp t="e">
        <v>#N/A</v>
        <stp/>
        <stp>BDH|13024102376519914226</stp>
        <tr r="C53" s="18"/>
      </tp>
      <tp t="e">
        <v>#N/A</v>
        <stp/>
        <stp>BDH|12013277882625845305</stp>
        <tr r="D167" s="18"/>
      </tp>
      <tp t="e">
        <v>#N/A</v>
        <stp/>
        <stp>BDH|12534366018569399758</stp>
        <tr r="G22" s="5"/>
      </tp>
      <tp t="e">
        <v>#N/A</v>
        <stp/>
        <stp>BDH|16580230833981835803</stp>
        <tr r="V61" s="13"/>
      </tp>
      <tp t="e">
        <v>#N/A</v>
        <stp/>
        <stp>BDH|10881581872595956968</stp>
        <tr r="M125" s="18"/>
      </tp>
      <tp t="e">
        <v>#N/A</v>
        <stp/>
        <stp>BDH|18228087059425705696</stp>
        <tr r="T33" s="18"/>
      </tp>
      <tp t="e">
        <v>#N/A</v>
        <stp/>
        <stp>BDH|10350296786016718265</stp>
        <tr r="P168" s="18"/>
      </tp>
      <tp t="e">
        <v>#N/A</v>
        <stp/>
        <stp>BDH|10811068486591435718</stp>
        <tr r="O25" s="11"/>
        <tr r="O33" s="10"/>
      </tp>
      <tp t="e">
        <v>#N/A</v>
        <stp/>
        <stp>BDH|15644951638409449822</stp>
        <tr r="I16" s="26"/>
      </tp>
      <tp t="e">
        <v>#N/A</v>
        <stp/>
        <stp>BDH|11634577376444856922</stp>
        <tr r="S40" s="21"/>
      </tp>
      <tp t="e">
        <v>#N/A</v>
        <stp/>
        <stp>BDH|16381579158238206034</stp>
        <tr r="F70" s="12"/>
      </tp>
      <tp t="e">
        <v>#N/A</v>
        <stp/>
        <stp>BDH|18044909457963360995</stp>
        <tr r="C24" s="20"/>
      </tp>
      <tp t="e">
        <v>#N/A</v>
        <stp/>
        <stp>BDH|14621813309257247510</stp>
        <tr r="M6" s="15"/>
        <tr r="M6" s="10"/>
        <tr r="M11" s="4"/>
        <tr r="M12" s="2"/>
      </tp>
      <tp t="e">
        <v>#N/A</v>
        <stp/>
        <stp>BDH|16178691196071452675</stp>
        <tr r="AA66" s="21"/>
      </tp>
      <tp t="e">
        <v>#N/A</v>
        <stp/>
        <stp>BDH|18331003882049953753</stp>
        <tr r="P19" s="22"/>
      </tp>
      <tp t="e">
        <v>#N/A</v>
        <stp/>
        <stp>BDH|12269573718471250922</stp>
        <tr r="Z47" s="21"/>
      </tp>
      <tp t="e">
        <v>#N/A</v>
        <stp/>
        <stp>BDH|18070561228068037933</stp>
        <tr r="N63" s="18"/>
      </tp>
      <tp t="e">
        <v>#N/A</v>
        <stp/>
        <stp>BDH|16138632706249833715</stp>
        <tr r="U56" s="17"/>
      </tp>
      <tp t="e">
        <v>#N/A</v>
        <stp/>
        <stp>BDH|17437970868882380457</stp>
        <tr r="E22" s="22"/>
      </tp>
      <tp t="e">
        <v>#N/A</v>
        <stp/>
        <stp>BDH|15705314360019399796</stp>
        <tr r="G57" s="12"/>
      </tp>
      <tp t="e">
        <v>#N/A</v>
        <stp/>
        <stp>BDH|18129277306575594192</stp>
        <tr r="V21" s="2"/>
      </tp>
      <tp t="e">
        <v>#N/A</v>
        <stp/>
        <stp>BDH|12598907280568068596</stp>
        <tr r="C27" s="21"/>
      </tp>
      <tp t="e">
        <v>#N/A</v>
        <stp/>
        <stp>BDH|17649846466970898709</stp>
        <tr r="Y32" s="17"/>
      </tp>
      <tp t="e">
        <v>#N/A</v>
        <stp/>
        <stp>BDH|13005934087559185593</stp>
        <tr r="AA100" s="18"/>
      </tp>
      <tp t="e">
        <v>#N/A</v>
        <stp/>
        <stp>BDH|16212388384111773255</stp>
        <tr r="U27" s="24"/>
      </tp>
      <tp t="e">
        <v>#N/A</v>
        <stp/>
        <stp>BDH|11345305539807429822</stp>
        <tr r="X7" s="30"/>
      </tp>
      <tp t="e">
        <v>#N/A</v>
        <stp/>
        <stp>BDH|11288043938698172433</stp>
        <tr r="N23" s="20"/>
      </tp>
      <tp t="e">
        <v>#N/A</v>
        <stp/>
        <stp>BDH|10450108894496564096</stp>
        <tr r="V23" s="9"/>
      </tp>
      <tp t="e">
        <v>#N/A</v>
        <stp/>
        <stp>BDH|16299804260003604582</stp>
        <tr r="E10" s="34"/>
      </tp>
      <tp t="e">
        <v>#N/A</v>
        <stp/>
        <stp>BDH|12387172729388669770</stp>
        <tr r="Q67" s="17"/>
        <tr r="Q18" s="3"/>
      </tp>
      <tp t="e">
        <v>#N/A</v>
        <stp/>
        <stp>BDH|16338419652440549995</stp>
        <tr r="L48" s="6"/>
        <tr r="N6" s="8"/>
      </tp>
      <tp t="e">
        <v>#N/A</v>
        <stp/>
        <stp>BDH|13076071596927599388</stp>
        <tr r="P31" s="17"/>
      </tp>
      <tp t="e">
        <v>#N/A</v>
        <stp/>
        <stp>BDH|13742288310347332902</stp>
        <tr r="J13" s="20"/>
        <tr r="J114" s="18"/>
      </tp>
      <tp t="e">
        <v>#N/A</v>
        <stp/>
        <stp>BDH|12022345569868843195</stp>
        <tr r="S28" s="9"/>
        <tr r="S28" s="5"/>
      </tp>
      <tp t="e">
        <v>#N/A</v>
        <stp/>
        <stp>BDH|11766789754588436534</stp>
        <tr r="M37" s="18"/>
      </tp>
      <tp t="e">
        <v>#N/A</v>
        <stp/>
        <stp>BDH|17375738022785805965</stp>
        <tr r="R25" s="7"/>
      </tp>
      <tp t="e">
        <v>#N/A</v>
        <stp/>
        <stp>BDH|17645803112807028781</stp>
        <tr r="Y25" s="17"/>
      </tp>
      <tp t="e">
        <v>#N/A</v>
        <stp/>
        <stp>BDH|14362172275109834555</stp>
        <tr r="L49" s="13"/>
        <tr r="J37" s="11"/>
        <tr r="J45" s="10"/>
        <tr r="J53" s="4"/>
        <tr r="J18" s="2"/>
      </tp>
      <tp t="e">
        <v>#N/A</v>
        <stp/>
        <stp>BDH|13963623510668416231</stp>
        <tr r="Q31" s="24"/>
      </tp>
      <tp t="e">
        <v>#N/A</v>
        <stp/>
        <stp>BDH|10808314448388535186</stp>
        <tr r="C56" s="12"/>
      </tp>
      <tp t="e">
        <v>#N/A</v>
        <stp/>
        <stp>BDH|18224271725720400686</stp>
        <tr r="I30" s="12"/>
      </tp>
      <tp t="e">
        <v>#N/A</v>
        <stp/>
        <stp>BDH|11394727698207354669</stp>
        <tr r="Q56" s="11"/>
        <tr r="Q24" s="4"/>
      </tp>
      <tp t="e">
        <v>#N/A</v>
        <stp/>
        <stp>BDH|11952800333223564736</stp>
        <tr r="H51" s="22"/>
      </tp>
      <tp t="e">
        <v>#N/A</v>
        <stp/>
        <stp>BDH|14757515095713820572</stp>
        <tr r="M40" s="24"/>
      </tp>
      <tp t="e">
        <v>#N/A</v>
        <stp/>
        <stp>BDH|15834826230433736315</stp>
        <tr r="Z89" s="18"/>
      </tp>
      <tp t="e">
        <v>#N/A</v>
        <stp/>
        <stp>BDH|11904932061769336940</stp>
        <tr r="O27" s="21"/>
      </tp>
      <tp t="e">
        <v>#N/A</v>
        <stp/>
        <stp>BDH|14616814615770853361</stp>
        <tr r="T7" s="9"/>
        <tr r="T7" s="5"/>
        <tr r="U7" s="2"/>
        <tr r="W14" s="3"/>
      </tp>
      <tp t="e">
        <v>#N/A</v>
        <stp/>
        <stp>BDH|12865822855454310505</stp>
        <tr r="R32" s="12"/>
      </tp>
      <tp t="e">
        <v>#N/A</v>
        <stp/>
        <stp>BDH|10486074185561891724</stp>
        <tr r="D16" s="17"/>
        <tr r="D19" s="28"/>
      </tp>
      <tp t="e">
        <v>#N/A</v>
        <stp/>
        <stp>BDH|16220012784533877336</stp>
        <tr r="F13" s="24"/>
      </tp>
      <tp t="e">
        <v>#N/A</v>
        <stp/>
        <stp>BDH|13646845549732258368</stp>
        <tr r="P21" s="17"/>
        <tr r="P15" s="3"/>
      </tp>
      <tp t="e">
        <v>#N/A</v>
        <stp/>
        <stp>BDH|13036069004244510982</stp>
        <tr r="O70" s="17"/>
      </tp>
      <tp t="e">
        <v>#N/A</v>
        <stp/>
        <stp>BDH|10103913451100814269</stp>
        <tr r="C52" s="21"/>
      </tp>
      <tp t="e">
        <v>#N/A</v>
        <stp/>
        <stp>BDH|17402251349868335742</stp>
        <tr r="E25" s="12"/>
      </tp>
      <tp t="e">
        <v>#N/A</v>
        <stp/>
        <stp>BDH|13845992327784965209</stp>
        <tr r="O25" s="34"/>
      </tp>
      <tp t="e">
        <v>#N/A</v>
        <stp/>
        <stp>BDH|14761856606834203696</stp>
        <tr r="N20" s="17"/>
      </tp>
      <tp t="e">
        <v>#N/A</v>
        <stp/>
        <stp>BDH|15381470949428136332</stp>
        <tr r="Y11" s="17"/>
      </tp>
      <tp t="e">
        <v>#N/A</v>
        <stp/>
        <stp>BDH|10015209784773270795</stp>
        <tr r="I68" s="24"/>
      </tp>
      <tp t="e">
        <v>#N/A</v>
        <stp/>
        <stp>BDH|11979965052492427169</stp>
        <tr r="R16" s="6"/>
      </tp>
      <tp t="e">
        <v>#N/A</v>
        <stp/>
        <stp>BDH|17078288996594500646</stp>
        <tr r="I28" s="5"/>
        <tr r="I28" s="9"/>
      </tp>
      <tp t="e">
        <v>#N/A</v>
        <stp/>
        <stp>BDH|17806811106043749279</stp>
        <tr r="H30" s="24"/>
      </tp>
      <tp t="e">
        <v>#N/A</v>
        <stp/>
        <stp>BDH|13558078549721308876</stp>
        <tr r="F52" s="21"/>
      </tp>
      <tp t="e">
        <v>#N/A</v>
        <stp/>
        <stp>BDH|16914756412609040719</stp>
        <tr r="H13" s="8"/>
      </tp>
      <tp t="e">
        <v>#N/A</v>
        <stp/>
        <stp>BDH|14914956067757324271</stp>
        <tr r="Z41" s="17"/>
      </tp>
      <tp t="e">
        <v>#N/A</v>
        <stp/>
        <stp>BDH|17561105783572916204</stp>
        <tr r="AA20" s="25"/>
      </tp>
      <tp t="e">
        <v>#N/A</v>
        <stp/>
        <stp>BDH|10133923847656218594</stp>
        <tr r="E8" s="18"/>
      </tp>
      <tp t="e">
        <v>#N/A</v>
        <stp/>
        <stp>BDH|10011699379907641896</stp>
        <tr r="J20" s="24"/>
      </tp>
      <tp t="e">
        <v>#N/A</v>
        <stp/>
        <stp>BDH|14041794837517013916</stp>
        <tr r="N88" s="18"/>
      </tp>
      <tp t="e">
        <v>#N/A</v>
        <stp/>
        <stp>BDH|17172721998207640022</stp>
        <tr r="Q61" s="10"/>
        <tr r="S19" s="13"/>
        <tr r="Q32" s="4"/>
        <tr r="Q16" s="2"/>
      </tp>
      <tp t="e">
        <v>#N/A</v>
        <stp/>
        <stp>BDH|13103614511043726994</stp>
        <tr r="I16" s="21"/>
      </tp>
      <tp t="e">
        <v>#N/A</v>
        <stp/>
        <stp>BDH|16185539859119378175</stp>
        <tr r="L17" s="22"/>
      </tp>
      <tp t="e">
        <v>#N/A</v>
        <stp/>
        <stp>BDH|10225840920282014693</stp>
        <tr r="V26" s="21"/>
      </tp>
      <tp t="e">
        <v>#N/A</v>
        <stp/>
        <stp>BDH|11172864900364965317</stp>
        <tr r="I50" s="34"/>
      </tp>
      <tp t="e">
        <v>#N/A</v>
        <stp/>
        <stp>BDH|12483444903688436088</stp>
        <tr r="U44" s="22"/>
      </tp>
      <tp t="e">
        <v>#N/A</v>
        <stp/>
        <stp>BDH|14065743086577974246</stp>
        <tr r="F58" s="24"/>
      </tp>
      <tp t="e">
        <v>#N/A</v>
        <stp/>
        <stp>BDH|10440805744805913768</stp>
        <tr r="Z47" s="12"/>
      </tp>
      <tp t="e">
        <v>#N/A</v>
        <stp/>
        <stp>BDH|16708819968746973089</stp>
        <tr r="S54" s="18"/>
      </tp>
      <tp t="e">
        <v>#N/A</v>
        <stp/>
        <stp>BDH|17590330979849847482</stp>
        <tr r="D9" s="13"/>
      </tp>
      <tp t="e">
        <v>#N/A</v>
        <stp/>
        <stp>BDH|15242170648578156632</stp>
        <tr r="X92" s="18"/>
      </tp>
      <tp t="e">
        <v>#N/A</v>
        <stp/>
        <stp>BDH|17425397935090204953</stp>
        <tr r="M41" s="6"/>
      </tp>
      <tp t="e">
        <v>#N/A</v>
        <stp/>
        <stp>BDH|12666850398739444400</stp>
        <tr r="K24" s="24"/>
      </tp>
      <tp t="e">
        <v>#N/A</v>
        <stp/>
        <stp>BDH|14179081792597229465</stp>
        <tr r="G13" s="8"/>
      </tp>
      <tp t="e">
        <v>#N/A</v>
        <stp/>
        <stp>BDH|14836163401098211325</stp>
        <tr r="K16" s="10"/>
      </tp>
      <tp t="e">
        <v>#N/A</v>
        <stp/>
        <stp>BDH|11931358586176574209</stp>
        <tr r="Q75" s="17"/>
      </tp>
      <tp t="e">
        <v>#N/A</v>
        <stp/>
        <stp>BDH|14764998584662077945</stp>
        <tr r="T49" s="12"/>
      </tp>
      <tp t="e">
        <v>#N/A</v>
        <stp/>
        <stp>BDH|14185697117449253434</stp>
        <tr r="Z19" s="26"/>
      </tp>
      <tp t="e">
        <v>#N/A</v>
        <stp/>
        <stp>BDH|14454328693741364186</stp>
        <tr r="F71" s="18"/>
      </tp>
      <tp t="e">
        <v>#N/A</v>
        <stp/>
        <stp>BDH|11389595308142831846</stp>
        <tr r="I13" s="12"/>
      </tp>
      <tp t="e">
        <v>#N/A</v>
        <stp/>
        <stp>BDH|11882960914275614222</stp>
        <tr r="R39" s="6"/>
      </tp>
      <tp t="e">
        <v>#N/A</v>
        <stp/>
        <stp>BDH|10551703215921822964</stp>
        <tr r="E59" s="18"/>
      </tp>
      <tp t="e">
        <v>#N/A</v>
        <stp/>
        <stp>BDH|11451415188572644158</stp>
        <tr r="Z22" s="21"/>
      </tp>
      <tp t="e">
        <v>#N/A</v>
        <stp/>
        <stp>BDH|11192432819703413915</stp>
        <tr r="V43" s="17"/>
        <tr r="V9" s="25"/>
      </tp>
      <tp t="e">
        <v>#N/A</v>
        <stp/>
        <stp>BDH|17128673257138993261</stp>
        <tr r="C75" s="24"/>
      </tp>
      <tp t="e">
        <v>#N/A</v>
        <stp/>
        <stp>BDH|14895541780637546072</stp>
        <tr r="G6" s="16"/>
        <tr r="H6" s="11"/>
        <tr r="H10" s="4"/>
        <tr r="J6" s="3"/>
      </tp>
      <tp t="e">
        <v>#N/A</v>
        <stp/>
        <stp>BDH|17424592589863970737</stp>
        <tr r="Z25" s="13"/>
      </tp>
      <tp t="e">
        <v>#N/A</v>
        <stp/>
        <stp>BDH|17715783913977062822</stp>
        <tr r="X15" s="34"/>
      </tp>
      <tp t="e">
        <v>#N/A</v>
        <stp/>
        <stp>BDH|12566106392285157188</stp>
        <tr r="T32" s="26"/>
      </tp>
      <tp t="e">
        <v>#N/A</v>
        <stp/>
        <stp>BDH|16462271297921863227</stp>
        <tr r="J77" s="12"/>
      </tp>
      <tp t="e">
        <v>#N/A</v>
        <stp/>
        <stp>BDH|16241096445475611968</stp>
        <tr r="D19" s="22"/>
      </tp>
      <tp t="e">
        <v>#N/A</v>
        <stp/>
        <stp>BDH|18032651676144452399</stp>
        <tr r="W48" s="13"/>
      </tp>
      <tp t="e">
        <v>#N/A</v>
        <stp/>
        <stp>BDH|14939323606229668059</stp>
        <tr r="K46" s="13"/>
      </tp>
      <tp t="e">
        <v>#N/A</v>
        <stp/>
        <stp>BDH|12974053000508741459</stp>
        <tr r="H12" s="26"/>
      </tp>
      <tp t="e">
        <v>#N/A</v>
        <stp/>
        <stp>BDH|18268282285584193804</stp>
        <tr r="Z60" s="12"/>
      </tp>
      <tp t="e">
        <v>#N/A</v>
        <stp/>
        <stp>BDH|12681569292679924959</stp>
        <tr r="S32" s="13"/>
        <tr r="Q28" s="10"/>
      </tp>
      <tp t="e">
        <v>#N/A</v>
        <stp/>
        <stp>BDH|10437810951045944634</stp>
        <tr r="D35" s="24"/>
      </tp>
      <tp t="e">
        <v>#N/A</v>
        <stp/>
        <stp>BDH|14743832390278846323</stp>
        <tr r="AA169" s="18"/>
      </tp>
      <tp t="e">
        <v>#N/A</v>
        <stp/>
        <stp>BDH|10861504355666456873</stp>
        <tr r="E38" s="24"/>
      </tp>
      <tp t="e">
        <v>#N/A</v>
        <stp/>
        <stp>BDH|18343586861423661621</stp>
        <tr r="F94" s="17"/>
      </tp>
      <tp t="e">
        <v>#N/A</v>
        <stp/>
        <stp>BDH|16883721706357296802</stp>
        <tr r="G34" s="21"/>
      </tp>
      <tp t="e">
        <v>#N/A</v>
        <stp/>
        <stp>BDH|11403888138285825128</stp>
        <tr r="E76" s="17"/>
      </tp>
      <tp t="e">
        <v>#N/A</v>
        <stp/>
        <stp>BDH|10059630489318714837</stp>
        <tr r="X56" s="13"/>
      </tp>
      <tp t="e">
        <v>#N/A</v>
        <stp/>
        <stp>BDH|10173092515506391909</stp>
        <tr r="N32" s="24"/>
      </tp>
      <tp t="e">
        <v>#N/A</v>
        <stp/>
        <stp>BDH|13171580078319741687</stp>
        <tr r="M47" s="12"/>
      </tp>
      <tp t="e">
        <v>#N/A</v>
        <stp/>
        <stp>BDH|14141999159326992060</stp>
        <tr r="V73" s="12"/>
      </tp>
      <tp t="e">
        <v>#N/A</v>
        <stp/>
        <stp>BDH|13387968208813678759</stp>
        <tr r="G37" s="34"/>
      </tp>
      <tp t="e">
        <v>#N/A</v>
        <stp/>
        <stp>BDH|15168275398695113512</stp>
        <tr r="V173" s="18"/>
      </tp>
      <tp t="e">
        <v>#N/A</v>
        <stp/>
        <stp>BDH|18142011051390918362</stp>
        <tr r="W102" s="18"/>
      </tp>
      <tp t="e">
        <v>#N/A</v>
        <stp/>
        <stp>BDH|11713857908052850439</stp>
        <tr r="V10" s="17"/>
      </tp>
      <tp t="e">
        <v>#N/A</v>
        <stp/>
        <stp>BDH|13151908831627724163</stp>
        <tr r="X23" s="13"/>
      </tp>
      <tp t="e">
        <v>#N/A</v>
        <stp/>
        <stp>BDH|10125568764064359817</stp>
        <tr r="E8" s="8"/>
      </tp>
      <tp t="e">
        <v>#N/A</v>
        <stp/>
        <stp>BDH|18089367262811087357</stp>
        <tr r="N31" s="17"/>
      </tp>
      <tp t="e">
        <v>#N/A</v>
        <stp/>
        <stp>BDH|13463714256509798756</stp>
        <tr r="E18" s="9"/>
      </tp>
      <tp t="e">
        <v>#N/A</v>
        <stp/>
        <stp>BDH|14464325905770636848</stp>
        <tr r="D47" s="18"/>
      </tp>
      <tp t="e">
        <v>#N/A</v>
        <stp/>
        <stp>BDH|18397167045241000313</stp>
        <tr r="I20" s="12"/>
      </tp>
      <tp t="e">
        <v>#N/A</v>
        <stp/>
        <stp>BDH|11919366483954487198</stp>
        <tr r="W18" s="17"/>
      </tp>
      <tp t="e">
        <v>#N/A</v>
        <stp/>
        <stp>BDH|11258606631748191333</stp>
        <tr r="P92" s="18"/>
      </tp>
      <tp t="e">
        <v>#N/A</v>
        <stp/>
        <stp>BDH|18097205076637610515</stp>
        <tr r="I16" s="6"/>
      </tp>
      <tp t="e">
        <v>#N/A</v>
        <stp/>
        <stp>BDH|13465767493666683462</stp>
        <tr r="E29" s="6"/>
      </tp>
      <tp t="e">
        <v>#N/A</v>
        <stp/>
        <stp>BDH|15337322782289485867</stp>
        <tr r="C71" s="17"/>
      </tp>
      <tp t="e">
        <v>#N/A</v>
        <stp/>
        <stp>BDH|13081622695742048165</stp>
        <tr r="P95" s="18"/>
      </tp>
      <tp t="e">
        <v>#N/A</v>
        <stp/>
        <stp>BDH|16884318787927855570</stp>
        <tr r="R11" s="21"/>
      </tp>
      <tp t="e">
        <v>#N/A</v>
        <stp/>
        <stp>BDH|16827919504882445284</stp>
        <tr r="G17" s="23"/>
      </tp>
      <tp t="e">
        <v>#N/A</v>
        <stp/>
        <stp>BDH|10061604337098602201</stp>
        <tr r="E138" s="18"/>
      </tp>
      <tp t="e">
        <v>#N/A</v>
        <stp/>
        <stp>BDH|12578800184665140817</stp>
        <tr r="K56" s="17"/>
      </tp>
      <tp t="e">
        <v>#N/A</v>
        <stp/>
        <stp>BDH|11766574217849581330</stp>
        <tr r="O22" s="22"/>
      </tp>
      <tp t="e">
        <v>#N/A</v>
        <stp/>
        <stp>BDH|14026994539278458950</stp>
        <tr r="J23" s="20"/>
      </tp>
      <tp t="e">
        <v>#N/A</v>
        <stp/>
        <stp>BDH|14445081570289856553</stp>
        <tr r="S49" s="4"/>
      </tp>
      <tp t="e">
        <v>#N/A</v>
        <stp/>
        <stp>BDH|16051268996554685671</stp>
        <tr r="W37" s="18"/>
      </tp>
      <tp t="e">
        <v>#N/A</v>
        <stp/>
        <stp>BDH|16309603342783469843</stp>
        <tr r="AA20" s="18"/>
      </tp>
      <tp t="e">
        <v>#N/A</v>
        <stp/>
        <stp>BDH|10676532894117225427</stp>
        <tr r="M35" s="26"/>
      </tp>
      <tp t="e">
        <v>#N/A</v>
        <stp/>
        <stp>BDH|15759411783457515111</stp>
        <tr r="N10" s="13"/>
      </tp>
      <tp t="e">
        <v>#N/A</v>
        <stp/>
        <stp>BDH|18405016012723706511</stp>
        <tr r="C35" s="24"/>
      </tp>
      <tp t="e">
        <v>#N/A</v>
        <stp/>
        <stp>BDH|15140233646218234476</stp>
        <tr r="O58" s="17"/>
      </tp>
      <tp t="e">
        <v>#N/A</v>
        <stp/>
        <stp>BDH|11097178832518440407</stp>
        <tr r="K16" s="14"/>
      </tp>
      <tp t="e">
        <v>#N/A</v>
        <stp/>
        <stp>BDH|13611912167624068714</stp>
        <tr r="S55" s="34"/>
      </tp>
      <tp t="e">
        <v>#N/A</v>
        <stp/>
        <stp>BDH|12682059994363718714</stp>
        <tr r="G69" s="18"/>
      </tp>
      <tp t="e">
        <v>#N/A</v>
        <stp/>
        <stp>BDH|17548014445498161415</stp>
        <tr r="E27" s="17"/>
      </tp>
      <tp t="e">
        <v>#N/A</v>
        <stp/>
        <stp>BDH|15814980744376366163</stp>
        <tr r="E68" s="18"/>
      </tp>
      <tp t="e">
        <v>#N/A</v>
        <stp/>
        <stp>BDH|16351167686341255102</stp>
        <tr r="U38" s="18"/>
      </tp>
      <tp t="e">
        <v>#N/A</v>
        <stp/>
        <stp>BDH|17689118082599358875</stp>
        <tr r="M147" s="18"/>
      </tp>
      <tp t="e">
        <v>#N/A</v>
        <stp/>
        <stp>BDH|14767436695205730374</stp>
        <tr r="AA52" s="13"/>
        <tr r="Y47" s="11"/>
        <tr r="Y55" s="10"/>
        <tr r="Y17" s="7"/>
        <tr r="AA10" s="3"/>
        <tr r="Y17" s="4"/>
      </tp>
      <tp t="e">
        <v>#N/A</v>
        <stp/>
        <stp>BDH|10674477590250404247</stp>
        <tr r="U30" s="5"/>
      </tp>
      <tp t="e">
        <v>#N/A</v>
        <stp/>
        <stp>BDH|16364872312597558720</stp>
        <tr r="W97" s="12"/>
      </tp>
      <tp t="e">
        <v>#N/A</v>
        <stp/>
        <stp>BDH|16669338423449322152</stp>
        <tr r="W34" s="34"/>
      </tp>
      <tp t="e">
        <v>#N/A</v>
        <stp/>
        <stp>BDH|16594007537668206202</stp>
        <tr r="O8" s="26"/>
        <tr r="L10" s="9"/>
      </tp>
      <tp t="e">
        <v>#N/A</v>
        <stp/>
        <stp>BDH|17654238310743110841</stp>
        <tr r="H18" s="24"/>
      </tp>
      <tp t="e">
        <v>#N/A</v>
        <stp/>
        <stp>BDH|17637867242684034028</stp>
        <tr r="H27" s="21"/>
      </tp>
      <tp t="e">
        <v>#N/A</v>
        <stp/>
        <stp>BDH|15268342594800105035</stp>
        <tr r="H38" s="12"/>
      </tp>
      <tp t="e">
        <v>#N/A</v>
        <stp/>
        <stp>BDH|13598059396365030068</stp>
        <tr r="L10" s="24"/>
      </tp>
      <tp t="e">
        <v>#N/A</v>
        <stp/>
        <stp>BDH|16195859727882437173</stp>
        <tr r="Q29" s="4"/>
      </tp>
      <tp t="e">
        <v>#N/A</v>
        <stp/>
        <stp>BDH|12413188618625666821</stp>
        <tr r="W58" s="13"/>
      </tp>
      <tp t="e">
        <v>#N/A</v>
        <stp/>
        <stp>BDH|12831310557522966978</stp>
        <tr r="N17" s="21"/>
      </tp>
      <tp t="e">
        <v>#N/A</v>
        <stp/>
        <stp>BDH|11779340807968691528</stp>
        <tr r="X26" s="18"/>
      </tp>
      <tp t="e">
        <v>#N/A</v>
        <stp/>
        <stp>BDH|16967798952293061825</stp>
        <tr r="X10" s="30"/>
      </tp>
      <tp t="e">
        <v>#N/A</v>
        <stp/>
        <stp>BDH|17787921672210151661</stp>
        <tr r="C16" s="24"/>
      </tp>
      <tp t="e">
        <v>#N/A</v>
        <stp/>
        <stp>BDH|18052842093827120162</stp>
        <tr r="P17" s="22"/>
      </tp>
      <tp t="e">
        <v>#N/A</v>
        <stp/>
        <stp>BDH|15196769344309286014</stp>
        <tr r="Z56" s="12"/>
      </tp>
      <tp t="e">
        <v>#N/A</v>
        <stp/>
        <stp>BDH|11477955478295087596</stp>
        <tr r="Z39" s="13"/>
        <tr r="X35" s="11"/>
        <tr r="X43" s="10"/>
        <tr r="X52" s="4"/>
        <tr r="Z8" s="3"/>
      </tp>
      <tp t="e">
        <v>#N/A</v>
        <stp/>
        <stp>BDH|16550661504329189661</stp>
        <tr r="V19" s="14"/>
      </tp>
      <tp t="e">
        <v>#N/A</v>
        <stp/>
        <stp>BDH|14637973936932237354</stp>
        <tr r="U9" s="22"/>
      </tp>
      <tp t="e">
        <v>#N/A</v>
        <stp/>
        <stp>BDH|13587281714907895817</stp>
        <tr r="E25" s="13"/>
      </tp>
      <tp t="e">
        <v>#N/A</v>
        <stp/>
        <stp>BDH|12564081104619944408</stp>
        <tr r="G7" s="9"/>
        <tr r="J14" s="3"/>
        <tr r="G7" s="5"/>
        <tr r="H7" s="2"/>
      </tp>
      <tp t="e">
        <v>#N/A</v>
        <stp/>
        <stp>BDH|11686179095277168159</stp>
        <tr r="Q40" s="13"/>
        <tr r="O28" s="11"/>
        <tr r="O36" s="10"/>
      </tp>
      <tp t="e">
        <v>#N/A</v>
        <stp/>
        <stp>BDH|14917736219488577568</stp>
        <tr r="X20" s="23"/>
      </tp>
      <tp t="e">
        <v>#N/A</v>
        <stp/>
        <stp>BDH|14123512325808510405</stp>
        <tr r="G125" s="18"/>
      </tp>
      <tp t="e">
        <v>#N/A</v>
        <stp/>
        <stp>BDH|15225755983667332271</stp>
        <tr r="R44" s="24"/>
      </tp>
      <tp t="e">
        <v>#N/A</v>
        <stp/>
        <stp>BDH|11639934558386902447</stp>
        <tr r="S68" s="17"/>
        <tr r="P8" s="5"/>
        <tr r="P8" s="9"/>
      </tp>
      <tp t="e">
        <v>#N/A</v>
        <stp/>
        <stp>BDH|18098160867500571048</stp>
        <tr r="X9" s="18"/>
      </tp>
      <tp t="e">
        <v>#N/A</v>
        <stp/>
        <stp>BDH|15324448988563894574</stp>
        <tr r="W25" s="26"/>
      </tp>
      <tp t="e">
        <v>#N/A</v>
        <stp/>
        <stp>BDH|13131147195303174712</stp>
        <tr r="P14" s="18"/>
      </tp>
      <tp t="e">
        <v>#N/A</v>
        <stp/>
        <stp>BDH|11323813943255539741</stp>
        <tr r="H26" s="29"/>
      </tp>
      <tp t="e">
        <v>#N/A</v>
        <stp/>
        <stp>BDH|17420866137253607037</stp>
        <tr r="O26" s="26"/>
      </tp>
      <tp t="e">
        <v>#N/A</v>
        <stp/>
        <stp>BDH|13493169958590816824</stp>
        <tr r="D15" s="11"/>
      </tp>
      <tp t="e">
        <v>#N/A</v>
        <stp/>
        <stp>BDH|11554544104609111246</stp>
        <tr r="P64" s="17"/>
      </tp>
      <tp t="e">
        <v>#N/A</v>
        <stp/>
        <stp>BDH|14029185519619119200</stp>
        <tr r="D14" s="21"/>
      </tp>
      <tp t="e">
        <v>#N/A</v>
        <stp/>
        <stp>BDH|10966290771043604971</stp>
        <tr r="T30" s="17"/>
      </tp>
      <tp t="e">
        <v>#N/A</v>
        <stp/>
        <stp>BDH|15533794344190054985</stp>
        <tr r="T87" s="17"/>
      </tp>
      <tp t="e">
        <v>#N/A</v>
        <stp/>
        <stp>BDH|16597669877848560018</stp>
        <tr r="U153" s="18"/>
      </tp>
      <tp t="e">
        <v>#N/A</v>
        <stp/>
        <stp>BDH|13550840942851699152</stp>
        <tr r="T52" s="17"/>
        <tr r="T17" s="3"/>
      </tp>
      <tp t="e">
        <v>#N/A</v>
        <stp/>
        <stp>BDH|14311865303274222742</stp>
        <tr r="G17" s="10"/>
      </tp>
      <tp t="e">
        <v>#N/A</v>
        <stp/>
        <stp>BDH|11759335761493216873</stp>
        <tr r="N124" s="18"/>
      </tp>
      <tp t="e">
        <v>#N/A</v>
        <stp/>
        <stp>BDH|13873269591312986563</stp>
        <tr r="X47" s="17"/>
      </tp>
      <tp t="e">
        <v>#N/A</v>
        <stp/>
        <stp>BDH|14258858911502686005</stp>
        <tr r="Q29" s="17"/>
      </tp>
      <tp t="e">
        <v>#N/A</v>
        <stp/>
        <stp>BDH|14626772892120731546</stp>
        <tr r="T78" s="12"/>
      </tp>
      <tp t="e">
        <v>#N/A</v>
        <stp/>
        <stp>BDH|14128107193415296633</stp>
        <tr r="H25" s="7"/>
      </tp>
      <tp t="e">
        <v>#N/A</v>
        <stp/>
        <stp>BDH|14256889003765268686</stp>
        <tr r="R170" s="18"/>
      </tp>
      <tp t="e">
        <v>#N/A</v>
        <stp/>
        <stp>BDH|16602842072853084539</stp>
        <tr r="M20" s="18"/>
      </tp>
      <tp t="e">
        <v>#N/A</v>
        <stp/>
        <stp>BDH|18057540406925343723</stp>
        <tr r="O23" s="18"/>
      </tp>
      <tp t="e">
        <v>#N/A</v>
        <stp/>
        <stp>BDH|15365927513475862799</stp>
        <tr r="I18" s="17"/>
      </tp>
      <tp t="e">
        <v>#N/A</v>
        <stp/>
        <stp>BDH|14087241994921693150</stp>
        <tr r="E91" s="17"/>
      </tp>
      <tp t="e">
        <v>#N/A</v>
        <stp/>
        <stp>BDH|11184195066070557981</stp>
        <tr r="S16" s="22"/>
      </tp>
      <tp t="e">
        <v>#N/A</v>
        <stp/>
        <stp>BDH|12081622421308581158</stp>
        <tr r="K20" s="24"/>
      </tp>
      <tp t="e">
        <v>#N/A</v>
        <stp/>
        <stp>BDH|13500981223390989743</stp>
        <tr r="S68" s="18"/>
      </tp>
      <tp t="e">
        <v>#N/A</v>
        <stp/>
        <stp>BDH|13173991929515496262</stp>
        <tr r="F11" s="13"/>
      </tp>
      <tp t="e">
        <v>#N/A</v>
        <stp/>
        <stp>BDH|16089185542748127480</stp>
        <tr r="I41" s="12"/>
      </tp>
      <tp t="e">
        <v>#N/A</v>
        <stp/>
        <stp>BDH|16977723980124154298</stp>
        <tr r="Z29" s="24"/>
      </tp>
      <tp t="e">
        <v>#N/A</v>
        <stp/>
        <stp>BDH|12304505724253781937</stp>
        <tr r="H30" s="21"/>
      </tp>
      <tp t="e">
        <v>#N/A</v>
        <stp/>
        <stp>BDH|15051655339929827673</stp>
        <tr r="E102" s="18"/>
      </tp>
      <tp t="e">
        <v>#N/A</v>
        <stp/>
        <stp>BDH|13267521484770497131</stp>
        <tr r="O10" s="30"/>
      </tp>
      <tp t="e">
        <v>#N/A</v>
        <stp/>
        <stp>BDH|13915578586760968127</stp>
        <tr r="W20" s="27"/>
      </tp>
      <tp t="e">
        <v>#N/A</v>
        <stp/>
        <stp>BDH|12277235988372962538</stp>
        <tr r="P60" s="24"/>
      </tp>
      <tp t="e">
        <v>#N/A</v>
        <stp/>
        <stp>BDH|15146040690825028661</stp>
        <tr r="L23" s="26"/>
      </tp>
      <tp t="e">
        <v>#N/A</v>
        <stp/>
        <stp>BDH|18320846992340289640</stp>
        <tr r="M17" s="17"/>
        <tr r="M20" s="28"/>
      </tp>
      <tp t="e">
        <v>#N/A</v>
        <stp/>
        <stp>BDH|16196828348000180597</stp>
        <tr r="Q22" s="18"/>
      </tp>
      <tp t="e">
        <v>#N/A</v>
        <stp/>
        <stp>BDH|11653652187834612410</stp>
        <tr r="Q11" s="12"/>
      </tp>
      <tp t="e">
        <v>#N/A</v>
        <stp/>
        <stp>BDH|16844998470753162430</stp>
        <tr r="X14" s="17"/>
        <tr r="X17" s="28"/>
      </tp>
      <tp t="e">
        <v>#N/A</v>
        <stp/>
        <stp>BDH|12366458571059466704</stp>
        <tr r="C161" s="18"/>
      </tp>
      <tp t="e">
        <v>#N/A</v>
        <stp/>
        <stp>BDH|17001854245605234112</stp>
        <tr r="V54" s="34"/>
      </tp>
      <tp t="e">
        <v>#N/A</v>
        <stp/>
        <stp>BDH|11161155464151281819</stp>
        <tr r="J15" s="11"/>
      </tp>
      <tp t="e">
        <v>#N/A</v>
        <stp/>
        <stp>BDH|17048068628958958243</stp>
        <tr r="O83" s="18"/>
      </tp>
      <tp t="e">
        <v>#N/A</v>
        <stp/>
        <stp>BDH|17475035092699565830</stp>
        <tr r="F31" s="26"/>
        <tr r="C14" s="9"/>
      </tp>
      <tp t="e">
        <v>#N/A</v>
        <stp/>
        <stp>BDH|17509809813843548204</stp>
        <tr r="K64" s="34"/>
      </tp>
      <tp t="e">
        <v>#N/A</v>
        <stp/>
        <stp>BDH|14953359249999232547</stp>
        <tr r="Z94" s="18"/>
      </tp>
      <tp t="e">
        <v>#N/A</v>
        <stp/>
        <stp>BDH|12658493081710527184</stp>
        <tr r="Z10" s="18"/>
      </tp>
      <tp t="e">
        <v>#N/A</v>
        <stp/>
        <stp>BDH|15845963351003480588</stp>
        <tr r="S14" s="28"/>
      </tp>
      <tp t="e">
        <v>#N/A</v>
        <stp/>
        <stp>BDH|15289248126479767344</stp>
        <tr r="X19" s="18"/>
      </tp>
      <tp t="e">
        <v>#N/A</v>
        <stp/>
        <stp>BDH|15672756035846390866</stp>
        <tr r="J25" s="27"/>
      </tp>
      <tp t="e">
        <v>#N/A</v>
        <stp/>
        <stp>BDH|16241663785671311616</stp>
        <tr r="E29" s="12"/>
      </tp>
      <tp t="e">
        <v>#N/A</v>
        <stp/>
        <stp>BDH|10628744555728471503</stp>
        <tr r="M14" s="6"/>
      </tp>
      <tp t="e">
        <v>#N/A</v>
        <stp/>
        <stp>BDH|14012010820350021924</stp>
        <tr r="P129" s="18"/>
      </tp>
      <tp t="e">
        <v>#N/A</v>
        <stp/>
        <stp>BDH|17448843301119021920</stp>
        <tr r="J41" s="18"/>
      </tp>
      <tp t="e">
        <v>#N/A</v>
        <stp/>
        <stp>BDH|12599987586538996409</stp>
        <tr r="S17" s="10"/>
      </tp>
      <tp t="e">
        <v>#N/A</v>
        <stp/>
        <stp>BDH|12029815325824628307</stp>
        <tr r="M12" s="24"/>
      </tp>
      <tp t="e">
        <v>#N/A</v>
        <stp/>
        <stp>BDH|10585968847422394054</stp>
        <tr r="O25" s="10"/>
      </tp>
      <tp t="e">
        <v>#N/A</v>
        <stp/>
        <stp>BDH|17393929006643786227</stp>
        <tr r="D33" s="6"/>
        <tr r="D17" s="5"/>
      </tp>
      <tp t="e">
        <v>#N/A</v>
        <stp/>
        <stp>BDH|16757005687643796256</stp>
        <tr r="N8" s="25"/>
        <tr r="K10" s="5"/>
        <tr r="L9" s="2"/>
      </tp>
      <tp t="e">
        <v>#N/A</v>
        <stp/>
        <stp>BDH|14709484979069745138</stp>
        <tr r="T32" s="13"/>
        <tr r="R28" s="10"/>
      </tp>
      <tp t="e">
        <v>#N/A</v>
        <stp/>
        <stp>BDH|10336383622027280990</stp>
        <tr r="T86" s="17"/>
      </tp>
      <tp t="e">
        <v>#N/A</v>
        <stp/>
        <stp>BDH|10132698724738611382</stp>
        <tr r="W22" s="11"/>
      </tp>
      <tp t="e">
        <v>#N/A</v>
        <stp/>
        <stp>BDH|16507952100841265103</stp>
        <tr r="H49" s="17"/>
      </tp>
      <tp t="e">
        <v>#N/A</v>
        <stp/>
        <stp>BDH|12970548104659226194</stp>
        <tr r="Y82" s="17"/>
        <tr r="W6" s="7"/>
        <tr r="Y20" s="3"/>
      </tp>
      <tp t="e">
        <v>#N/A</v>
        <stp/>
        <stp>BDH|13209359860788216171</stp>
        <tr r="S22" s="7"/>
      </tp>
      <tp t="e">
        <v>#N/A</v>
        <stp/>
        <stp>BDH|14260492180884041396</stp>
        <tr r="N25" s="21"/>
      </tp>
      <tp t="e">
        <v>#N/A</v>
        <stp/>
        <stp>BDH|16001489185173766680</stp>
        <tr r="F33" s="12"/>
      </tp>
      <tp t="e">
        <v>#N/A</v>
        <stp/>
        <stp>BDH|16237436021468180737</stp>
        <tr r="G19" s="20"/>
      </tp>
      <tp t="e">
        <v>#N/A</v>
        <stp/>
        <stp>BDH|10273655113899562131</stp>
        <tr r="X34" s="34"/>
      </tp>
      <tp t="e">
        <v>#N/A</v>
        <stp/>
        <stp>BDH|17063049584742148231</stp>
        <tr r="T8" s="34"/>
      </tp>
      <tp t="e">
        <v>#N/A</v>
        <stp/>
        <stp>BDH|14887700288245031124</stp>
        <tr r="D45" s="17"/>
      </tp>
      <tp t="e">
        <v>#N/A</v>
        <stp/>
        <stp>BDH|16996196131109554266</stp>
        <tr r="F24" s="2"/>
      </tp>
      <tp t="e">
        <v>#N/A</v>
        <stp/>
        <stp>BDH|14096851636100191003</stp>
        <tr r="I29" s="24"/>
      </tp>
      <tp t="e">
        <v>#N/A</v>
        <stp/>
        <stp>BDH|15607002439021973846</stp>
        <tr r="Q41" s="24"/>
      </tp>
      <tp t="e">
        <v>#N/A</v>
        <stp/>
        <stp>BDH|12704845653395430567</stp>
        <tr r="D40" s="29"/>
      </tp>
      <tp t="e">
        <v>#N/A</v>
        <stp/>
        <stp>BDH|14629871729220868125</stp>
        <tr r="Q8" s="25"/>
        <tr r="N10" s="5"/>
        <tr r="O9" s="2"/>
      </tp>
      <tp t="e">
        <v>#N/A</v>
        <stp/>
        <stp>BDH|14888195960054690856</stp>
        <tr r="O40" s="6"/>
      </tp>
      <tp t="e">
        <v>#N/A</v>
        <stp/>
        <stp>BDH|12725372491754075332</stp>
        <tr r="Y18" s="22"/>
      </tp>
      <tp t="e">
        <v>#N/A</v>
        <stp/>
        <stp>BDH|14764610413289064573</stp>
        <tr r="H28" s="21"/>
      </tp>
      <tp t="e">
        <v>#N/A</v>
        <stp/>
        <stp>BDH|15794820334484145528</stp>
        <tr r="M87" s="12"/>
      </tp>
      <tp t="e">
        <v>#N/A</v>
        <stp/>
        <stp>BDH|12765992128124040240</stp>
        <tr r="N17" s="9"/>
      </tp>
      <tp t="e">
        <v>#N/A</v>
        <stp/>
        <stp>BDH|12648565093594537547</stp>
        <tr r="O71" s="18"/>
      </tp>
      <tp t="e">
        <v>#N/A</v>
        <stp/>
        <stp>BDH|17222532916358112445</stp>
        <tr r="Z16" s="17"/>
        <tr r="Z19" s="28"/>
      </tp>
      <tp t="e">
        <v>#N/A</v>
        <stp/>
        <stp>BDH|14061583458662266902</stp>
        <tr r="W13" s="22"/>
      </tp>
      <tp t="e">
        <v>#N/A</v>
        <stp/>
        <stp>BDH|11364885249685659767</stp>
        <tr r="N131" s="18"/>
      </tp>
      <tp t="e">
        <v>#N/A</v>
        <stp/>
        <stp>BDH|10068044909828885775</stp>
        <tr r="R19" s="9"/>
      </tp>
      <tp t="e">
        <v>#N/A</v>
        <stp/>
        <stp>BDH|10132187272088975105</stp>
        <tr r="G21" s="22"/>
      </tp>
      <tp t="e">
        <v>#N/A</v>
        <stp/>
        <stp>BDH|13169473090468648923</stp>
        <tr r="H37" s="22"/>
      </tp>
      <tp t="e">
        <v>#N/A</v>
        <stp/>
        <stp>BDH|14829799317448383572</stp>
        <tr r="P58" s="34"/>
      </tp>
      <tp t="e">
        <v>#N/A</v>
        <stp/>
        <stp>BDH|14476867820437633662</stp>
        <tr r="Y23" s="20"/>
      </tp>
      <tp t="e">
        <v>#N/A</v>
        <stp/>
        <stp>BDH|12206427733093605973</stp>
        <tr r="M48" s="13"/>
      </tp>
      <tp t="e">
        <v>#N/A</v>
        <stp/>
        <stp>BDH|17559553415215194969</stp>
        <tr r="E46" s="18"/>
      </tp>
      <tp t="e">
        <v>#N/A</v>
        <stp/>
        <stp>BDH|11368220865273973988</stp>
        <tr r="O131" s="18"/>
      </tp>
      <tp t="e">
        <v>#N/A</v>
        <stp/>
        <stp>BDH|13512025882051475549</stp>
        <tr r="O16" s="29"/>
        <tr r="O36" s="29"/>
      </tp>
      <tp t="e">
        <v>#N/A</v>
        <stp/>
        <stp>BDH|13053736372459270569</stp>
        <tr r="Q18" s="22"/>
      </tp>
      <tp t="e">
        <v>#N/A</v>
        <stp/>
        <stp>BDH|17114934496860914884</stp>
        <tr r="D75" s="17"/>
      </tp>
      <tp t="e">
        <v>#N/A</v>
        <stp/>
        <stp>BDH|10674477128739418088</stp>
        <tr r="X40" s="18"/>
      </tp>
      <tp t="e">
        <v>#N/A</v>
        <stp/>
        <stp>BDH|17935248189126846490</stp>
        <tr r="T9" s="24"/>
      </tp>
      <tp t="e">
        <v>#N/A</v>
        <stp/>
        <stp>BDH|13722482200360355898</stp>
        <tr r="O13" s="23"/>
        <tr r="M57" s="11"/>
        <tr r="M38" s="4"/>
      </tp>
      <tp t="e">
        <v>#N/A</v>
        <stp/>
        <stp>BDH|12643721365374093842</stp>
        <tr r="I91" s="17"/>
      </tp>
      <tp t="e">
        <v>#N/A</v>
        <stp/>
        <stp>BDH|16763994715700989171</stp>
        <tr r="W10" s="10"/>
      </tp>
      <tp t="e">
        <v>#N/A</v>
        <stp/>
        <stp>BDH|11052239521236344846</stp>
        <tr r="P35" s="21"/>
      </tp>
      <tp t="e">
        <v>#N/A</v>
        <stp/>
        <stp>BDH|14248581879578457129</stp>
        <tr r="AA49" s="17"/>
      </tp>
      <tp t="e">
        <v>#N/A</v>
        <stp/>
        <stp>BDH|10839225198121545520</stp>
        <tr r="Z38" s="25"/>
      </tp>
      <tp t="e">
        <v>#N/A</v>
        <stp/>
        <stp>BDH|10198748081477039715</stp>
        <tr r="Y9" s="13"/>
      </tp>
      <tp t="e">
        <v>#N/A</v>
        <stp/>
        <stp>BDH|15870230420909884365</stp>
        <tr r="T142" s="18"/>
      </tp>
      <tp t="e">
        <v>#N/A</v>
        <stp/>
        <stp>BDH|17366410167309447340</stp>
        <tr r="AA55" s="24"/>
      </tp>
      <tp t="e">
        <v>#N/A</v>
        <stp/>
        <stp>BDH|14958921305314237694</stp>
        <tr r="J41" s="11"/>
        <tr r="J8" s="7"/>
        <tr r="J49" s="10"/>
        <tr r="L11" s="3"/>
      </tp>
      <tp t="e">
        <v>#N/A</v>
        <stp/>
        <stp>BDH|15332748004128737519</stp>
        <tr r="X63" s="10"/>
      </tp>
      <tp t="e">
        <v>#N/A</v>
        <stp/>
        <stp>BDH|15507151883170708310</stp>
        <tr r="U12" s="20"/>
        <tr r="U113" s="18"/>
      </tp>
      <tp t="e">
        <v>#N/A</v>
        <stp/>
        <stp>BDH|14032924781512678802</stp>
        <tr r="D41" s="21"/>
      </tp>
      <tp t="e">
        <v>#N/A</v>
        <stp/>
        <stp>BDH|10245816515382076431</stp>
        <tr r="N28" s="4"/>
      </tp>
      <tp t="e">
        <v>#N/A</v>
        <stp/>
        <stp>BDH|10219823817604671244</stp>
        <tr r="H46" s="18"/>
      </tp>
      <tp t="e">
        <v>#N/A</v>
        <stp/>
        <stp>BDH|13898817651133987241</stp>
        <tr r="U92" s="17"/>
        <tr r="U7" s="27"/>
      </tp>
      <tp t="e">
        <v>#N/A</v>
        <stp/>
        <stp>BDH|16419359446879248702</stp>
        <tr r="E44" s="13"/>
      </tp>
      <tp t="e">
        <v>#N/A</v>
        <stp/>
        <stp>BDH|14722631857200545830</stp>
        <tr r="T59" s="17"/>
      </tp>
      <tp t="e">
        <v>#N/A</v>
        <stp/>
        <stp>BDH|10063888905816845107</stp>
        <tr r="G38" s="18"/>
      </tp>
      <tp t="e">
        <v>#N/A</v>
        <stp/>
        <stp>BDH|15943872092683110884</stp>
        <tr r="C35" s="18"/>
      </tp>
      <tp t="e">
        <v>#N/A</v>
        <stp/>
        <stp>BDH|17160043330679940292</stp>
        <tr r="O127" s="18"/>
      </tp>
      <tp t="e">
        <v>#N/A</v>
        <stp/>
        <stp>BDH|16271294612129573390</stp>
        <tr r="V7" s="34"/>
      </tp>
      <tp t="e">
        <v>#N/A</v>
        <stp/>
        <stp>BDH|16634859458736893261</stp>
        <tr r="I30" s="24"/>
      </tp>
      <tp t="e">
        <v>#N/A</v>
        <stp/>
        <stp>BDH|17307105776366536850</stp>
        <tr r="S69" s="24"/>
      </tp>
      <tp t="e">
        <v>#N/A</v>
        <stp/>
        <stp>BDH|10462729402869020111</stp>
        <tr r="F9" s="13"/>
      </tp>
      <tp t="e">
        <v>#N/A</v>
        <stp/>
        <stp>BDH|15082732762212648937</stp>
        <tr r="V50" s="17"/>
      </tp>
      <tp t="e">
        <v>#N/A</v>
        <stp/>
        <stp>BDH|10334826951972625025</stp>
        <tr r="X60" s="17"/>
      </tp>
      <tp t="e">
        <v>#N/A</v>
        <stp/>
        <stp>BDH|11250393575718829229</stp>
        <tr r="E9" s="11"/>
      </tp>
      <tp t="e">
        <v>#N/A</v>
        <stp/>
        <stp>BDH|16435305790250395334</stp>
        <tr r="X40" s="6"/>
      </tp>
      <tp t="e">
        <v>#N/A</v>
        <stp/>
        <stp>BDH|10691260000605248863</stp>
        <tr r="AA70" s="24"/>
      </tp>
      <tp t="e">
        <v>#N/A</v>
        <stp/>
        <stp>BDH|11706649244974317809</stp>
        <tr r="N16" s="23"/>
      </tp>
      <tp t="e">
        <v>#N/A</v>
        <stp/>
        <stp>BDH|13747408567596443802</stp>
        <tr r="V21" s="34"/>
      </tp>
      <tp t="e">
        <v>#N/A</v>
        <stp/>
        <stp>BDH|16592679895093269519</stp>
        <tr r="G47" s="18"/>
      </tp>
      <tp t="e">
        <v>#N/A</v>
        <stp/>
        <stp>BDH|14278249226583755831</stp>
        <tr r="C58" s="34"/>
      </tp>
      <tp t="e">
        <v>#N/A</v>
        <stp/>
        <stp>BDH|12535870712197244368</stp>
        <tr r="O43" s="17"/>
        <tr r="O9" s="25"/>
      </tp>
      <tp t="e">
        <v>#N/A</v>
        <stp/>
        <stp>BDH|10539873164023780254</stp>
        <tr r="U90" s="18"/>
      </tp>
      <tp t="e">
        <v>#N/A</v>
        <stp/>
        <stp>BDH|17055741281122182501</stp>
        <tr r="G154" s="18"/>
      </tp>
      <tp t="e">
        <v>#N/A</v>
        <stp/>
        <stp>BDH|10180964894667112868</stp>
        <tr r="H11" s="24"/>
      </tp>
      <tp t="e">
        <v>#N/A</v>
        <stp/>
        <stp>BDH|11472386888006840386</stp>
        <tr r="X21" s="24"/>
      </tp>
      <tp t="e">
        <v>#N/A</v>
        <stp/>
        <stp>BDH|13176135792591138557</stp>
        <tr r="J66" s="18"/>
      </tp>
      <tp t="e">
        <v>#N/A</v>
        <stp/>
        <stp>BDH|12156656913972517869</stp>
        <tr r="U7" s="9"/>
        <tr r="V7" s="2"/>
        <tr r="X14" s="3"/>
        <tr r="U7" s="5"/>
      </tp>
      <tp t="e">
        <v>#N/A</v>
        <stp/>
        <stp>BDH|12216740202319193319</stp>
        <tr r="AA27" s="26"/>
      </tp>
      <tp t="e">
        <v>#N/A</v>
        <stp/>
        <stp>BDH|15227620139048851755</stp>
        <tr r="F154" s="18"/>
      </tp>
      <tp t="e">
        <v>#N/A</v>
        <stp/>
        <stp>BDH|13057426971107530820</stp>
        <tr r="I83" s="17"/>
      </tp>
      <tp t="e">
        <v>#N/A</v>
        <stp/>
        <stp>BDH|12177417885459741861</stp>
        <tr r="Z76" s="17"/>
        <tr r="W9" s="9"/>
        <tr r="W9" s="5"/>
      </tp>
      <tp t="e">
        <v>#N/A</v>
        <stp/>
        <stp>BDH|16522774407137508940</stp>
        <tr r="AA66" s="24"/>
      </tp>
      <tp t="e">
        <v>#N/A</v>
        <stp/>
        <stp>BDH|18018167629623250792</stp>
        <tr r="V11" s="13"/>
      </tp>
      <tp t="e">
        <v>#N/A</v>
        <stp/>
        <stp>BDH|17439986749735343021</stp>
        <tr r="N165" s="18"/>
      </tp>
      <tp t="e">
        <v>#N/A</v>
        <stp/>
        <stp>BDH|13829021781131925567</stp>
        <tr r="C86" s="18"/>
      </tp>
      <tp t="e">
        <v>#N/A</v>
        <stp/>
        <stp>BDH|10896309696863272688</stp>
        <tr r="G81" s="18"/>
      </tp>
      <tp t="e">
        <v>#N/A</v>
        <stp/>
        <stp>BDH|11075948931737482356</stp>
        <tr r="V30" s="17"/>
      </tp>
      <tp t="e">
        <v>#N/A</v>
        <stp/>
        <stp>BDH|10969457208212201925</stp>
        <tr r="Q24" s="29"/>
      </tp>
      <tp t="e">
        <v>#N/A</v>
        <stp/>
        <stp>BDH|11489814005943733533</stp>
        <tr r="H66" s="24"/>
      </tp>
      <tp t="e">
        <v>#N/A</v>
        <stp/>
        <stp>BDH|14753401590105343304</stp>
        <tr r="H40" s="29"/>
      </tp>
      <tp t="e">
        <v>#N/A</v>
        <stp/>
        <stp>BDH|12919533133122578981</stp>
        <tr r="L26" s="24"/>
      </tp>
      <tp t="e">
        <v>#N/A</v>
        <stp/>
        <stp>BDH|17622810289761358994</stp>
        <tr r="J52" s="17"/>
        <tr r="J17" s="3"/>
      </tp>
      <tp t="e">
        <v>#N/A</v>
        <stp/>
        <stp>BDH|14077821071451033575</stp>
        <tr r="J28" s="5"/>
        <tr r="J28" s="9"/>
      </tp>
      <tp t="e">
        <v>#N/A</v>
        <stp/>
        <stp>BDH|10630969961619417927</stp>
        <tr r="K19" s="22"/>
      </tp>
      <tp t="e">
        <v>#N/A</v>
        <stp/>
        <stp>BDH|12831398695502511565</stp>
        <tr r="S64" s="11"/>
        <tr r="S72" s="10"/>
      </tp>
      <tp t="e">
        <v>#N/A</v>
        <stp/>
        <stp>BDH|14258604181822695729</stp>
        <tr r="O47" s="22"/>
      </tp>
      <tp t="e">
        <v>#N/A</v>
        <stp/>
        <stp>BDH|11400517102989103217</stp>
        <tr r="L30" s="24"/>
      </tp>
      <tp t="e">
        <v>#N/A</v>
        <stp/>
        <stp>BDH|14085164470388073511</stp>
        <tr r="R12" s="30"/>
      </tp>
      <tp t="e">
        <v>#N/A</v>
        <stp/>
        <stp>BDH|12817851443703975209</stp>
        <tr r="E16" s="34"/>
      </tp>
      <tp t="e">
        <v>#N/A</v>
        <stp/>
        <stp>BDH|10851896322194088142</stp>
        <tr r="K59" s="17"/>
      </tp>
      <tp t="e">
        <v>#N/A</v>
        <stp/>
        <stp>BDH|12065739320158497008</stp>
        <tr r="J107" s="18"/>
      </tp>
      <tp t="e">
        <v>#N/A</v>
        <stp/>
        <stp>BDH|12715358480251169743</stp>
        <tr r="Q30" s="9"/>
      </tp>
      <tp t="e">
        <v>#N/A</v>
        <stp/>
        <stp>BDH|12714771985863462160</stp>
        <tr r="V10" s="28"/>
      </tp>
      <tp t="e">
        <v>#N/A</v>
        <stp/>
        <stp>BDH|11580288796606591391</stp>
        <tr r="Q29" s="12"/>
      </tp>
      <tp t="e">
        <v>#N/A</v>
        <stp/>
        <stp>BDH|12785935779862811129</stp>
        <tr r="F34" s="11"/>
        <tr r="F42" s="10"/>
      </tp>
      <tp t="e">
        <v>#N/A</v>
        <stp/>
        <stp>BDH|16089002573006209867</stp>
        <tr r="AA59" s="12"/>
      </tp>
      <tp t="e">
        <v>#N/A</v>
        <stp/>
        <stp>BDH|14815684610325066973</stp>
        <tr r="T7" s="23"/>
      </tp>
      <tp t="e">
        <v>#N/A</v>
        <stp/>
        <stp>BDH|14716200890376139612</stp>
        <tr r="I43" s="18"/>
      </tp>
      <tp t="e">
        <v>#N/A</v>
        <stp/>
        <stp>BDH|13793888135374883358</stp>
        <tr r="E13" s="34"/>
      </tp>
      <tp t="e">
        <v>#N/A</v>
        <stp/>
        <stp>BDH|16548355592283593008</stp>
        <tr r="M97" s="18"/>
      </tp>
      <tp t="e">
        <v>#N/A</v>
        <stp/>
        <stp>BDH|11961523376594832822</stp>
        <tr r="K47" s="22"/>
      </tp>
      <tp t="e">
        <v>#N/A</v>
        <stp/>
        <stp>BDH|11843955970209200982</stp>
        <tr r="J10" s="18"/>
      </tp>
      <tp t="e">
        <v>#N/A</v>
        <stp/>
        <stp>BDH|13365244143813386903</stp>
        <tr r="F26" s="26"/>
      </tp>
      <tp t="e">
        <v>#N/A</v>
        <stp/>
        <stp>BDH|15042008494163352009</stp>
        <tr r="W73" s="12"/>
      </tp>
      <tp t="e">
        <v>#N/A</v>
        <stp/>
        <stp>BDH|12937208838958556437</stp>
        <tr r="I13" s="13"/>
      </tp>
      <tp t="e">
        <v>#N/A</v>
        <stp/>
        <stp>BDH|15058243913118969191</stp>
        <tr r="I14" s="17"/>
        <tr r="I17" s="28"/>
      </tp>
      <tp t="e">
        <v>#N/A</v>
        <stp/>
        <stp>BDH|10073641302218402154</stp>
        <tr r="T12" s="12"/>
      </tp>
      <tp t="e">
        <v>#N/A</v>
        <stp/>
        <stp>BDH|12939934410374464195</stp>
        <tr r="W13" s="20"/>
        <tr r="W114" s="18"/>
      </tp>
      <tp t="e">
        <v>#N/A</v>
        <stp/>
        <stp>BDH|12314087053490674892</stp>
        <tr r="J21" s="17"/>
        <tr r="J15" s="3"/>
      </tp>
      <tp t="e">
        <v>#N/A</v>
        <stp/>
        <stp>BDH|14006068311598824288</stp>
        <tr r="R46" s="17"/>
      </tp>
      <tp t="e">
        <v>#N/A</v>
        <stp/>
        <stp>BDH|13040355151788348205</stp>
        <tr r="U46" s="21"/>
      </tp>
      <tp t="e">
        <v>#N/A</v>
        <stp/>
        <stp>BDH|16401364839309884049</stp>
        <tr r="T9" s="13"/>
      </tp>
      <tp t="e">
        <v>#N/A</v>
        <stp/>
        <stp>BDH|10765853716744461272</stp>
        <tr r="R133" s="18"/>
      </tp>
      <tp t="e">
        <v>#N/A</v>
        <stp/>
        <stp>BDH|15703692677513836862</stp>
        <tr r="S67" s="24"/>
      </tp>
      <tp t="e">
        <v>#N/A</v>
        <stp/>
        <stp>BDH|18180390789139286547</stp>
        <tr r="H21" s="22"/>
      </tp>
      <tp t="e">
        <v>#N/A</v>
        <stp/>
        <stp>BDH|14399356193158721959</stp>
        <tr r="E77" s="12"/>
      </tp>
      <tp t="e">
        <v>#N/A</v>
        <stp/>
        <stp>BDH|12226371888903884527</stp>
        <tr r="N65" s="34"/>
      </tp>
      <tp t="e">
        <v>#N/A</v>
        <stp/>
        <stp>BDH|13573643684200220201</stp>
        <tr r="X41" s="22"/>
      </tp>
      <tp t="e">
        <v>#N/A</v>
        <stp/>
        <stp>BDH|11777532280673535065</stp>
        <tr r="H69" s="10"/>
        <tr r="H61" s="11"/>
        <tr r="H20" s="7"/>
      </tp>
      <tp t="e">
        <v>#N/A</v>
        <stp/>
        <stp>BDH|12508916413761616464</stp>
        <tr r="F22" s="4"/>
      </tp>
      <tp t="e">
        <v>#N/A</v>
        <stp/>
        <stp>BDH|10709967138664940171</stp>
        <tr r="E48" s="18"/>
      </tp>
      <tp t="e">
        <v>#N/A</v>
        <stp/>
        <stp>BDH|17938341692094132695</stp>
        <tr r="O35" s="18"/>
      </tp>
      <tp t="e">
        <v>#N/A</v>
        <stp/>
        <stp>BDH|15694041484721221339</stp>
        <tr r="F55" s="17"/>
      </tp>
      <tp t="e">
        <v>#N/A</v>
        <stp/>
        <stp>BDH|13711075690894030164</stp>
        <tr r="X78" s="18"/>
      </tp>
      <tp t="e">
        <v>#N/A</v>
        <stp/>
        <stp>BDH|17873937440792591784</stp>
        <tr r="I57" s="34"/>
      </tp>
      <tp t="e">
        <v>#N/A</v>
        <stp/>
        <stp>BDH|16694721082242198419</stp>
        <tr r="Y42" s="22"/>
      </tp>
      <tp t="e">
        <v>#N/A</v>
        <stp/>
        <stp>BDH|11648871432277151248</stp>
        <tr r="D24" s="12"/>
      </tp>
      <tp t="e">
        <v>#N/A</v>
        <stp/>
        <stp>BDH|13451106381474444179</stp>
        <tr r="O64" s="17"/>
      </tp>
      <tp t="e">
        <v>#N/A</v>
        <stp/>
        <stp>BDH|18000319756205475456</stp>
        <tr r="I41" s="6"/>
      </tp>
      <tp t="e">
        <v>#N/A</v>
        <stp/>
        <stp>BDH|16924939053385981069</stp>
        <tr r="U34" s="34"/>
      </tp>
      <tp t="e">
        <v>#N/A</v>
        <stp/>
        <stp>BDH|16735080812969304183</stp>
        <tr r="O102" s="18"/>
      </tp>
      <tp t="e">
        <v>#N/A</v>
        <stp/>
        <stp>BDH|12742689400198065392</stp>
        <tr r="AA67" s="24"/>
      </tp>
      <tp t="e">
        <v>#N/A</v>
        <stp/>
        <stp>BDH|18344338107964528048</stp>
        <tr r="D10" s="30"/>
      </tp>
      <tp t="e">
        <v>#N/A</v>
        <stp/>
        <stp>BDH|15297308490901165151</stp>
        <tr r="F76" s="17"/>
        <tr r="C9" s="9"/>
        <tr r="C9" s="5"/>
      </tp>
      <tp t="e">
        <v>#N/A</v>
        <stp/>
        <stp>BDH|12660234816548596600</stp>
        <tr r="N28" s="17"/>
      </tp>
      <tp t="e">
        <v>#N/A</v>
        <stp/>
        <stp>BDH|14655646385155685077</stp>
        <tr r="D74" s="17"/>
      </tp>
      <tp t="e">
        <v>#N/A</v>
        <stp/>
        <stp>BDH|17260824421206398445</stp>
        <tr r="S21" s="6"/>
      </tp>
      <tp t="e">
        <v>#N/A</v>
        <stp/>
        <stp>BDH|12331065097971409503</stp>
        <tr r="G12" s="14"/>
      </tp>
      <tp t="e">
        <v>#N/A</v>
        <stp/>
        <stp>BDH|13308552982097361617</stp>
        <tr r="P25" s="13"/>
      </tp>
      <tp t="e">
        <v>#N/A</v>
        <stp/>
        <stp>BDH|15548356093568126846</stp>
        <tr r="L57" s="18"/>
      </tp>
      <tp t="e">
        <v>#N/A</v>
        <stp/>
        <stp>BDH|15417981228400125135</stp>
        <tr r="Y6" s="20"/>
        <tr r="Y108" s="18"/>
      </tp>
      <tp t="e">
        <v>#N/A</v>
        <stp/>
        <stp>BDH|18290320851582362349</stp>
        <tr r="J92" s="12"/>
      </tp>
      <tp t="e">
        <v>#N/A</v>
        <stp/>
        <stp>BDH|10426943485536556863</stp>
        <tr r="X134" s="18"/>
      </tp>
      <tp t="e">
        <v>#N/A</v>
        <stp/>
        <stp>BDH|12408485529698235312</stp>
        <tr r="S30" s="13"/>
        <tr r="Q26" s="10"/>
      </tp>
      <tp t="e">
        <v>#N/A</v>
        <stp/>
        <stp>BDH|18106039121652392764</stp>
        <tr r="L13" s="13"/>
      </tp>
      <tp t="e">
        <v>#N/A</v>
        <stp/>
        <stp>BDH|15794822162490771469</stp>
        <tr r="M54" s="13"/>
      </tp>
      <tp t="e">
        <v>#N/A</v>
        <stp/>
        <stp>BDH|15098703050409086167</stp>
        <tr r="P34" s="22"/>
      </tp>
      <tp t="e">
        <v>#N/A</v>
        <stp/>
        <stp>BDH|18287777093700798976</stp>
        <tr r="G28" s="18"/>
      </tp>
      <tp t="e">
        <v>#N/A</v>
        <stp/>
        <stp>BDH|10217014059298821243</stp>
        <tr r="F40" s="12"/>
      </tp>
      <tp t="e">
        <v>#N/A</v>
        <stp/>
        <stp>BDH|15180715823507758829</stp>
        <tr r="S76" s="18"/>
      </tp>
      <tp t="e">
        <v>#N/A</v>
        <stp/>
        <stp>BDH|15159906648284885382</stp>
        <tr r="N40" s="34"/>
      </tp>
      <tp t="e">
        <v>#N/A</v>
        <stp/>
        <stp>BDH|16168904756124613188</stp>
        <tr r="U64" s="17"/>
      </tp>
      <tp t="e">
        <v>#N/A</v>
        <stp/>
        <stp>BDH|12704422029953019850</stp>
        <tr r="E150" s="18"/>
      </tp>
      <tp t="e">
        <v>#N/A</v>
        <stp/>
        <stp>BDH|12588814921537858046</stp>
        <tr r="D64" s="21"/>
      </tp>
      <tp t="e">
        <v>#N/A</v>
        <stp/>
        <stp>BDH|16962852377280543678</stp>
        <tr r="M14" s="7"/>
        <tr r="M42" s="11"/>
        <tr r="M50" s="10"/>
        <tr r="O9" s="3"/>
      </tp>
      <tp t="e">
        <v>#N/A</v>
        <stp/>
        <stp>BDH|14212482305727392857</stp>
        <tr r="Y28" s="12"/>
      </tp>
      <tp t="e">
        <v>#N/A</v>
        <stp/>
        <stp>BDH|15199454731299446481</stp>
        <tr r="K20" s="17"/>
      </tp>
      <tp t="e">
        <v>#N/A</v>
        <stp/>
        <stp>BDH|17769492904695098931</stp>
        <tr r="M58" s="34"/>
      </tp>
      <tp t="e">
        <v>#N/A</v>
        <stp/>
        <stp>BDH|10118899126591227457</stp>
        <tr r="P40" s="13"/>
        <tr r="N36" s="10"/>
        <tr r="N28" s="11"/>
      </tp>
      <tp t="e">
        <v>#N/A</v>
        <stp/>
        <stp>BDH|12270029256439812173</stp>
        <tr r="U7" s="24"/>
      </tp>
      <tp t="e">
        <v>#N/A</v>
        <stp/>
        <stp>BDH|15396840544580917632</stp>
        <tr r="C99" s="18"/>
      </tp>
      <tp t="e">
        <v>#N/A</v>
        <stp/>
        <stp>BDH|14268651979132406839</stp>
        <tr r="R123" s="18"/>
      </tp>
      <tp t="e">
        <v>#N/A</v>
        <stp/>
        <stp>BDH|15140458990085825251</stp>
        <tr r="AA122" s="18"/>
      </tp>
      <tp t="e">
        <v>#N/A</v>
        <stp/>
        <stp>BDH|10829661021662530938</stp>
        <tr r="H11" s="20"/>
        <tr r="H112" s="18"/>
      </tp>
      <tp t="e">
        <v>#N/A</v>
        <stp/>
        <stp>BDH|12953668970115184979</stp>
        <tr r="N51" s="18"/>
      </tp>
      <tp t="e">
        <v>#N/A</v>
        <stp/>
        <stp>BDH|11883724771156768856</stp>
        <tr r="N38" s="26"/>
      </tp>
      <tp t="e">
        <v>#N/A</v>
        <stp/>
        <stp>BDH|10734235070059899352</stp>
        <tr r="M53" s="17"/>
        <tr r="M10" s="25"/>
      </tp>
      <tp t="e">
        <v>#N/A</v>
        <stp/>
        <stp>BDH|11515586710668181254</stp>
        <tr r="L30" s="9"/>
      </tp>
      <tp t="e">
        <v>#N/A</v>
        <stp/>
        <stp>BDH|17849528997284136051</stp>
        <tr r="U142" s="18"/>
      </tp>
      <tp t="e">
        <v>#N/A</v>
        <stp/>
        <stp>BDH|17392741686796165195</stp>
        <tr r="C94" s="18"/>
      </tp>
      <tp t="e">
        <v>#N/A</v>
        <stp/>
        <stp>BDH|18221304797134869942</stp>
        <tr r="I84" s="17"/>
      </tp>
      <tp t="e">
        <v>#N/A</v>
        <stp/>
        <stp>BDH|13171024148890218809</stp>
        <tr r="Q20" s="12"/>
      </tp>
      <tp t="e">
        <v>#N/A</v>
        <stp/>
        <stp>BDH|11957967644025709650</stp>
        <tr r="R22" s="9"/>
      </tp>
      <tp t="e">
        <v>#N/A</v>
        <stp/>
        <stp>BDH|11376675713408717195</stp>
        <tr r="L89" s="12"/>
      </tp>
      <tp t="e">
        <v>#N/A</v>
        <stp/>
        <stp>BDH|18269543159695739210</stp>
        <tr r="K12" s="17"/>
      </tp>
      <tp t="e">
        <v>#N/A</v>
        <stp/>
        <stp>BDH|10774810031274806065</stp>
        <tr r="V14" s="34"/>
      </tp>
      <tp t="e">
        <v>#N/A</v>
        <stp/>
        <stp>BDH|16493587399317955258</stp>
        <tr r="G169" s="18"/>
      </tp>
      <tp t="e">
        <v>#N/A</v>
        <stp/>
        <stp>BDH|13806276334659683448</stp>
        <tr r="C76" s="12"/>
      </tp>
      <tp t="e">
        <v>#N/A</v>
        <stp/>
        <stp>BDH|15053021350157978825</stp>
        <tr r="E101" s="18"/>
      </tp>
      <tp t="e">
        <v>#N/A</v>
        <stp/>
        <stp>BDH|14708085786104740776</stp>
        <tr r="H29" s="29"/>
        <tr r="H7" s="29"/>
      </tp>
      <tp t="e">
        <v>#N/A</v>
        <stp/>
        <stp>BDH|17981199894941974149</stp>
        <tr r="Z65" s="21"/>
        <tr r="W28" s="6"/>
      </tp>
      <tp t="e">
        <v>#N/A</v>
        <stp/>
        <stp>BDH|17060071764557905934</stp>
        <tr r="H86" s="18"/>
      </tp>
      <tp t="e">
        <v>#N/A</v>
        <stp/>
        <stp>BDH|13980443922308153278</stp>
        <tr r="M27" s="12"/>
      </tp>
      <tp t="e">
        <v>#N/A</v>
        <stp/>
        <stp>BDH|12252679979658092457</stp>
        <tr r="L18" s="30"/>
      </tp>
      <tp t="e">
        <v>#N/A</v>
        <stp/>
        <stp>BDH|15640455501468246695</stp>
        <tr r="L18" s="12"/>
      </tp>
      <tp t="e">
        <v>#N/A</v>
        <stp/>
        <stp>BDH|13906252096183159422</stp>
        <tr r="D18" s="27"/>
        <tr r="D32" s="25"/>
      </tp>
      <tp t="e">
        <v>#N/A</v>
        <stp/>
        <stp>BDH|10653085817969600772</stp>
        <tr r="I40" s="18"/>
      </tp>
      <tp t="e">
        <v>#N/A</v>
        <stp/>
        <stp>BDH|14679894556180590641</stp>
        <tr r="O178" s="18"/>
      </tp>
      <tp t="e">
        <v>#N/A</v>
        <stp/>
        <stp>BDH|16422295291677535518</stp>
        <tr r="Z16" s="27"/>
        <tr r="Z30" s="25"/>
      </tp>
      <tp t="e">
        <v>#N/A</v>
        <stp/>
        <stp>BDH|12488882971226746425</stp>
        <tr r="N7" s="4"/>
      </tp>
      <tp t="e">
        <v>#N/A</v>
        <stp/>
        <stp>BDH|10532266622736093993</stp>
        <tr r="Q25" s="13"/>
      </tp>
      <tp t="e">
        <v>#N/A</v>
        <stp/>
        <stp>BDH|10610984073830651130</stp>
        <tr r="F41" s="34"/>
      </tp>
      <tp t="e">
        <v>#N/A</v>
        <stp/>
        <stp>BDH|16814819621706321532</stp>
        <tr r="V19" s="18"/>
      </tp>
      <tp t="e">
        <v>#N/A</v>
        <stp/>
        <stp>BDH|11402349689056217336</stp>
        <tr r="H167" s="18"/>
      </tp>
      <tp t="e">
        <v>#N/A</v>
        <stp/>
        <stp>BDH|16290379128459084152</stp>
        <tr r="I72" s="24"/>
      </tp>
      <tp t="e">
        <v>#N/A</v>
        <stp/>
        <stp>BDH|10230347133869461697</stp>
        <tr r="W19" s="25"/>
      </tp>
      <tp t="e">
        <v>#N/A</v>
        <stp/>
        <stp>BDH|12418862662290824300</stp>
        <tr r="F24" s="22"/>
      </tp>
      <tp t="e">
        <v>#N/A</v>
        <stp/>
        <stp>BDH|14466300193161629097</stp>
        <tr r="K8" s="34"/>
      </tp>
      <tp t="e">
        <v>#N/A</v>
        <stp/>
        <stp>BDH|15057979125986905737</stp>
        <tr r="M105" s="12"/>
      </tp>
      <tp t="e">
        <v>#N/A</v>
        <stp/>
        <stp>BDH|13949001098103013697</stp>
        <tr r="K9" s="10"/>
      </tp>
      <tp t="e">
        <v>#N/A</v>
        <stp/>
        <stp>BDH|10960754255204234931</stp>
        <tr r="F42" s="21"/>
      </tp>
      <tp t="e">
        <v>#N/A</v>
        <stp/>
        <stp>BDH|17905672783072767426</stp>
        <tr r="H58" s="18"/>
      </tp>
      <tp t="e">
        <v>#N/A</v>
        <stp/>
        <stp>BDH|14056285891016036612</stp>
        <tr r="N54" s="24"/>
      </tp>
      <tp t="e">
        <v>#N/A</v>
        <stp/>
        <stp>BDH|10551209199636687223</stp>
        <tr r="K13" s="2"/>
      </tp>
      <tp t="e">
        <v>#N/A</v>
        <stp/>
        <stp>BDH|13764272005318421694</stp>
        <tr r="S16" s="21"/>
      </tp>
      <tp t="e">
        <v>#N/A</v>
        <stp/>
        <stp>BDH|13543518588396469708</stp>
        <tr r="Q163" s="18"/>
      </tp>
      <tp t="e">
        <v>#N/A</v>
        <stp/>
        <stp>BDH|17311527100505926800</stp>
        <tr r="M9" s="18"/>
      </tp>
      <tp t="e">
        <v>#N/A</v>
        <stp/>
        <stp>BDH|13770671002519210383</stp>
        <tr r="J34" s="6"/>
      </tp>
      <tp t="e">
        <v>#N/A</v>
        <stp/>
        <stp>BDH|15758250658264453962</stp>
        <tr r="U8" s="17"/>
      </tp>
      <tp t="e">
        <v>#N/A</v>
        <stp/>
        <stp>BDH|15931423323334763875</stp>
        <tr r="H27" s="26"/>
      </tp>
      <tp t="e">
        <v>#N/A</v>
        <stp/>
        <stp>BDH|11642786297525313521</stp>
        <tr r="L49" s="18"/>
      </tp>
      <tp t="e">
        <v>#N/A</v>
        <stp/>
        <stp>BDH|14188277308781392856</stp>
        <tr r="G26" s="11"/>
        <tr r="G34" s="10"/>
      </tp>
      <tp t="e">
        <v>#N/A</v>
        <stp/>
        <stp>BDH|12802814771314707670</stp>
        <tr r="Y38" s="24"/>
      </tp>
      <tp t="e">
        <v>#N/A</v>
        <stp/>
        <stp>BDH|13958981743597961631</stp>
        <tr r="G22" s="24"/>
      </tp>
      <tp t="e">
        <v>#N/A</v>
        <stp/>
        <stp>BDH|17615232777859380495</stp>
        <tr r="U23" s="10"/>
      </tp>
      <tp t="e">
        <v>#N/A</v>
        <stp/>
        <stp>BDH|14671363656414956970</stp>
        <tr r="F101" s="12"/>
      </tp>
      <tp t="e">
        <v>#N/A</v>
        <stp/>
        <stp>BDH|17016223912403002882</stp>
        <tr r="X36" s="34"/>
      </tp>
      <tp t="e">
        <v>#N/A</v>
        <stp/>
        <stp>BDH|16145611351522856811</stp>
        <tr r="AA97" s="12"/>
      </tp>
      <tp t="e">
        <v>#N/A</v>
        <stp/>
        <stp>BDH|10698836339531434533</stp>
        <tr r="G44" s="21"/>
      </tp>
      <tp t="e">
        <v>#N/A</v>
        <stp/>
        <stp>BDH|12050180794634580121</stp>
        <tr r="Z25" s="25"/>
        <tr r="Z10" s="27"/>
      </tp>
      <tp t="e">
        <v>#N/A</v>
        <stp/>
        <stp>BDH|14250261710620707888</stp>
        <tr r="N18" s="12"/>
      </tp>
      <tp t="e">
        <v>#N/A</v>
        <stp/>
        <stp>BDH|14612942432930937123</stp>
        <tr r="K16" s="21"/>
      </tp>
      <tp t="e">
        <v>#N/A</v>
        <stp/>
        <stp>BDH|14994569690090603728</stp>
        <tr r="F64" s="10"/>
        <tr r="F25" s="4"/>
      </tp>
      <tp t="e">
        <v>#N/A</v>
        <stp/>
        <stp>BDH|11921907874667584733</stp>
        <tr r="T152" s="18"/>
      </tp>
      <tp t="e">
        <v>#N/A</v>
        <stp/>
        <stp>BDH|14740177189714081624</stp>
        <tr r="F10" s="22"/>
      </tp>
      <tp t="e">
        <v>#N/A</v>
        <stp/>
        <stp>BDH|16960678774191247934</stp>
        <tr r="AA32" s="12"/>
      </tp>
      <tp t="e">
        <v>#N/A</v>
        <stp/>
        <stp>BDH|17856831175146689132</stp>
        <tr r="D65" s="12"/>
      </tp>
      <tp t="e">
        <v>#N/A</v>
        <stp/>
        <stp>BDH|11285228764859640393</stp>
        <tr r="G9" s="10"/>
      </tp>
      <tp t="e">
        <v>#N/A</v>
        <stp/>
        <stp>BDH|13371172792850955447</stp>
        <tr r="P18" s="26"/>
      </tp>
      <tp t="e">
        <v>#N/A</v>
        <stp/>
        <stp>BDH|10728505257927309881</stp>
        <tr r="H9" s="13"/>
      </tp>
      <tp t="e">
        <v>#N/A</v>
        <stp/>
        <stp>BDH|17615122288569613818</stp>
        <tr r="E23" s="22"/>
      </tp>
      <tp t="e">
        <v>#N/A</v>
        <stp/>
        <stp>BDH|13337423813940173980</stp>
        <tr r="C110" s="12"/>
      </tp>
      <tp t="e">
        <v>#N/A</v>
        <stp/>
        <stp>BDH|11563648685146881679</stp>
        <tr r="U68" s="17"/>
        <tr r="R8" s="5"/>
        <tr r="R8" s="9"/>
      </tp>
      <tp t="e">
        <v>#N/A</v>
        <stp/>
        <stp>BDH|11008273882757936379</stp>
        <tr r="M120" s="18"/>
      </tp>
      <tp t="e">
        <v>#N/A</v>
        <stp/>
        <stp>BDH|12374977478582009178</stp>
        <tr r="Z29" s="21"/>
      </tp>
      <tp t="e">
        <v>#N/A</v>
        <stp/>
        <stp>BDH|16824948658605682099</stp>
        <tr r="G10" s="13"/>
      </tp>
      <tp t="e">
        <v>#N/A</v>
        <stp/>
        <stp>BDH|15383512197695768397</stp>
        <tr r="R20" s="27"/>
      </tp>
      <tp t="e">
        <v>#N/A</v>
        <stp/>
        <stp>BDH|13890892166182962050</stp>
        <tr r="Z16" s="23"/>
      </tp>
      <tp t="e">
        <v>#N/A</v>
        <stp/>
        <stp>BDH|16909804242120035505</stp>
        <tr r="Z22" s="20"/>
      </tp>
      <tp t="e">
        <v>#N/A</v>
        <stp/>
        <stp>BDH|16159824976117777194</stp>
        <tr r="I13" s="18"/>
      </tp>
      <tp t="e">
        <v>#N/A</v>
        <stp/>
        <stp>BDH|16029790984187089168</stp>
        <tr r="Y59" s="24"/>
      </tp>
      <tp t="e">
        <v>#N/A</v>
        <stp/>
        <stp>BDH|13778995943272735310</stp>
        <tr r="M37" s="34"/>
      </tp>
      <tp t="e">
        <v>#N/A</v>
        <stp/>
        <stp>BDH|17750683289536589089</stp>
        <tr r="M26" s="7"/>
      </tp>
      <tp t="e">
        <v>#N/A</v>
        <stp/>
        <stp>BDH|15353951909257158451</stp>
        <tr r="Q9" s="27"/>
      </tp>
      <tp t="e">
        <v>#N/A</v>
        <stp/>
        <stp>BDH|13325737932309124185</stp>
        <tr r="X127" s="18"/>
      </tp>
      <tp t="e">
        <v>#N/A</v>
        <stp/>
        <stp>BDH|18123796546167217375</stp>
        <tr r="V130" s="18"/>
      </tp>
      <tp t="e">
        <v>#N/A</v>
        <stp/>
        <stp>BDH|14611794535668800793</stp>
        <tr r="D59" s="34"/>
      </tp>
      <tp t="e">
        <v>#N/A</v>
        <stp/>
        <stp>BDH|17114712970421807930</stp>
        <tr r="D42" s="4"/>
      </tp>
      <tp t="e">
        <v>#N/A</v>
        <stp/>
        <stp>BDH|16610922877856047188</stp>
        <tr r="E27" s="12"/>
      </tp>
      <tp t="e">
        <v>#N/A</v>
        <stp/>
        <stp>BDH|13935948310192588635</stp>
        <tr r="X8" s="10"/>
      </tp>
      <tp t="e">
        <v>#N/A</v>
        <stp/>
        <stp>BDH|12970678634840043815</stp>
        <tr r="V40" s="21"/>
      </tp>
      <tp t="e">
        <v>#N/A</v>
        <stp/>
        <stp>BDH|12566353100818203698</stp>
        <tr r="V47" s="12"/>
      </tp>
      <tp t="e">
        <v>#N/A</v>
        <stp/>
        <stp>BDH|15078821669375508150</stp>
        <tr r="L93" s="18"/>
      </tp>
      <tp t="e">
        <v>#N/A</v>
        <stp/>
        <stp>BDH|15791956339137032709</stp>
        <tr r="F106" s="18"/>
      </tp>
      <tp t="e">
        <v>#N/A</v>
        <stp/>
        <stp>BDH|12079527608389580150</stp>
        <tr r="U62" s="11"/>
        <tr r="U70" s="10"/>
      </tp>
      <tp t="e">
        <v>#N/A</v>
        <stp/>
        <stp>BDH|15932501143912755975</stp>
        <tr r="L40" s="22"/>
      </tp>
      <tp t="e">
        <v>#N/A</v>
        <stp/>
        <stp>BDH|11554481892087292476</stp>
        <tr r="W26" s="7"/>
      </tp>
      <tp t="e">
        <v>#N/A</v>
        <stp/>
        <stp>BDH|17465080265507209919</stp>
        <tr r="M73" s="12"/>
      </tp>
      <tp t="e">
        <v>#N/A</v>
        <stp/>
        <stp>BDH|11313786592671126129</stp>
        <tr r="Z7" s="20"/>
        <tr r="Z109" s="18"/>
      </tp>
      <tp t="e">
        <v>#N/A</v>
        <stp/>
        <stp>BDH|11027029194286807140</stp>
        <tr r="Z29" s="12"/>
      </tp>
      <tp t="e">
        <v>#N/A</v>
        <stp/>
        <stp>BDH|16976007689918938933</stp>
        <tr r="I70" s="24"/>
      </tp>
      <tp t="e">
        <v>#N/A</v>
        <stp/>
        <stp>BDH|16947119771249412677</stp>
        <tr r="M25" s="12"/>
      </tp>
      <tp t="e">
        <v>#N/A</v>
        <stp/>
        <stp>BDH|14586593862418386079</stp>
        <tr r="S56" s="13"/>
      </tp>
      <tp t="e">
        <v>#N/A</v>
        <stp/>
        <stp>BDH|16603425748049038068</stp>
        <tr r="D44" s="11"/>
        <tr r="D52" s="10"/>
        <tr r="D16" s="7"/>
      </tp>
      <tp t="e">
        <v>#N/A</v>
        <stp/>
        <stp>BDH|13109969959951770139</stp>
        <tr r="I21" s="27"/>
      </tp>
      <tp t="e">
        <v>#N/A</v>
        <stp/>
        <stp>BDH|13733690922831108975</stp>
        <tr r="W71" s="17"/>
      </tp>
      <tp t="e">
        <v>#N/A</v>
        <stp/>
        <stp>BDH|16258796561941019905</stp>
        <tr r="H48" s="6"/>
        <tr r="J6" s="8"/>
      </tp>
      <tp t="e">
        <v>#N/A</v>
        <stp/>
        <stp>BDH|11907667995430913191</stp>
        <tr r="Z44" s="21"/>
      </tp>
      <tp t="e">
        <v>#N/A</v>
        <stp/>
        <stp>BDH|17811173141559033447</stp>
        <tr r="X55" s="18"/>
      </tp>
      <tp t="e">
        <v>#N/A</v>
        <stp/>
        <stp>BDH|10097998967525751533</stp>
        <tr r="W8" s="14"/>
      </tp>
      <tp t="e">
        <v>#N/A</v>
        <stp/>
        <stp>BDH|17879155097248547856</stp>
        <tr r="O50" s="4"/>
      </tp>
      <tp t="e">
        <v>#N/A</v>
        <stp/>
        <stp>BDH|16803955631006023565</stp>
        <tr r="S151" s="18"/>
      </tp>
      <tp t="e">
        <v>#N/A</v>
        <stp/>
        <stp>BDH|13722957619401248535</stp>
        <tr r="C48" s="34"/>
      </tp>
      <tp t="e">
        <v>#N/A</v>
        <stp/>
        <stp>BDH|11459497730271691819</stp>
        <tr r="J31" s="13"/>
        <tr r="H27" s="10"/>
      </tp>
      <tp t="e">
        <v>#N/A</v>
        <stp/>
        <stp>BDH|14678391922182142863</stp>
        <tr r="R23" s="24"/>
      </tp>
      <tp t="e">
        <v>#N/A</v>
        <stp/>
        <stp>BDH|16240436848130232917</stp>
        <tr r="W19" s="20"/>
      </tp>
      <tp t="e">
        <v>#N/A</v>
        <stp/>
        <stp>BDH|15716919662635984071</stp>
        <tr r="F56" s="34"/>
      </tp>
      <tp t="e">
        <v>#N/A</v>
        <stp/>
        <stp>BDH|12409444777509419795</stp>
        <tr r="U69" s="18"/>
      </tp>
      <tp t="e">
        <v>#N/A</v>
        <stp/>
        <stp>BDH|17112809309076791654</stp>
        <tr r="X47" s="18"/>
      </tp>
      <tp t="e">
        <v>#N/A</v>
        <stp/>
        <stp>BDH|11645294456060239917</stp>
        <tr r="I19" s="18"/>
      </tp>
      <tp t="e">
        <v>#N/A</v>
        <stp/>
        <stp>BDH|12906877043196621710</stp>
        <tr r="D28" s="18"/>
      </tp>
      <tp t="e">
        <v>#N/A</v>
        <stp/>
        <stp>BDH|14886719805385403926</stp>
        <tr r="N52" s="13"/>
        <tr r="L47" s="11"/>
        <tr r="L17" s="7"/>
        <tr r="L55" s="10"/>
        <tr r="N10" s="3"/>
        <tr r="L17" s="4"/>
      </tp>
      <tp t="e">
        <v>#N/A</v>
        <stp/>
        <stp>BDH|17876155891590306053</stp>
        <tr r="K22" s="21"/>
      </tp>
      <tp t="e">
        <v>#N/A</v>
        <stp/>
        <stp>BDH|15921996104124810760</stp>
        <tr r="T9" s="29"/>
      </tp>
      <tp t="e">
        <v>#N/A</v>
        <stp/>
        <stp>BDH|16979804739946537482</stp>
        <tr r="U27" s="12"/>
      </tp>
      <tp t="e">
        <v>#N/A</v>
        <stp/>
        <stp>BDH|11990515390637558504</stp>
        <tr r="J24" s="2"/>
      </tp>
      <tp t="e">
        <v>#N/A</v>
        <stp/>
        <stp>BDH|17215849673640153790</stp>
        <tr r="Y42" s="17"/>
      </tp>
      <tp t="e">
        <v>#N/A</v>
        <stp/>
        <stp>BDH|17034999755707605376</stp>
        <tr r="G129" s="18"/>
      </tp>
      <tp t="e">
        <v>#N/A</v>
        <stp/>
        <stp>BDH|17453069584238867832</stp>
        <tr r="X44" s="11"/>
        <tr r="X16" s="7"/>
        <tr r="X52" s="10"/>
      </tp>
      <tp t="e">
        <v>#N/A</v>
        <stp/>
        <stp>BDH|18051720726152140089</stp>
        <tr r="Q125" s="18"/>
      </tp>
      <tp t="e">
        <v>#N/A</v>
        <stp/>
        <stp>BDH|18149935005667271988</stp>
        <tr r="AA67" s="17"/>
        <tr r="AA18" s="3"/>
      </tp>
      <tp t="e">
        <v>#N/A</v>
        <stp/>
        <stp>BDH|14065050509083682876</stp>
        <tr r="L83" s="12"/>
      </tp>
      <tp t="e">
        <v>#N/A</v>
        <stp/>
        <stp>BDH|18382275365815434689</stp>
        <tr r="H21" s="24"/>
      </tp>
      <tp t="e">
        <v>#N/A</v>
        <stp/>
        <stp>BDH|12596601138070303837</stp>
        <tr r="N42" s="12"/>
      </tp>
      <tp t="e">
        <v>#N/A</v>
        <stp/>
        <stp>BDH|12551973088545654918</stp>
        <tr r="H8" s="22"/>
      </tp>
      <tp t="e">
        <v>#N/A</v>
        <stp/>
        <stp>BDH|14196190285967270529</stp>
        <tr r="AA70" s="18"/>
      </tp>
      <tp t="e">
        <v>#N/A</v>
        <stp/>
        <stp>BDH|17438661528004461839</stp>
        <tr r="F8" s="23"/>
      </tp>
      <tp t="e">
        <v>#N/A</v>
        <stp/>
        <stp>BDH|16295189190475207459</stp>
        <tr r="I40" s="24"/>
      </tp>
      <tp t="e">
        <v>#N/A</v>
        <stp/>
        <stp>BDH|10624231299984678070</stp>
        <tr r="N69" s="12"/>
      </tp>
      <tp t="e">
        <v>#N/A</v>
        <stp/>
        <stp>BDH|12057944333901937636</stp>
        <tr r="C23" s="24"/>
      </tp>
      <tp t="e">
        <v>#N/A</v>
        <stp/>
        <stp>BDH|12095982840692128243</stp>
        <tr r="X43" s="13"/>
      </tp>
      <tp t="e">
        <v>#N/A</v>
        <stp/>
        <stp>BDH|13391955131122343495</stp>
        <tr r="V12" s="26"/>
      </tp>
      <tp t="e">
        <v>#N/A</v>
        <stp/>
        <stp>BDH|10641612169096512964</stp>
        <tr r="Y35" s="26"/>
      </tp>
      <tp t="e">
        <v>#N/A</v>
        <stp/>
        <stp>BDH|13587723034638771099</stp>
        <tr r="U34" s="18"/>
      </tp>
      <tp t="e">
        <v>#N/A</v>
        <stp/>
        <stp>BDH|11642723541939047488</stp>
        <tr r="K68" s="34"/>
      </tp>
      <tp t="e">
        <v>#N/A</v>
        <stp/>
        <stp>BDH|17832225247076308837</stp>
        <tr r="H29" s="18"/>
      </tp>
      <tp t="e">
        <v>#N/A</v>
        <stp/>
        <stp>BDH|16549830719202732255</stp>
        <tr r="N10" s="34"/>
      </tp>
      <tp t="e">
        <v>#N/A</v>
        <stp/>
        <stp>BDH|11718462699273456014</stp>
        <tr r="L24" s="23"/>
        <tr r="L21" s="30"/>
      </tp>
      <tp t="e">
        <v>#N/A</v>
        <stp/>
        <stp>BDH|13575801514394519194</stp>
        <tr r="U69" s="17"/>
      </tp>
      <tp t="e">
        <v>#N/A</v>
        <stp/>
        <stp>BDH|15270504985412980538</stp>
        <tr r="O13" s="26"/>
      </tp>
      <tp t="e">
        <v>#N/A</v>
        <stp/>
        <stp>BDH|12252492796424410445</stp>
        <tr r="O7" s="14"/>
      </tp>
      <tp t="e">
        <v>#N/A</v>
        <stp/>
        <stp>BDH|12409181680453141707</stp>
        <tr r="D15" s="24"/>
      </tp>
      <tp t="e">
        <v>#N/A</v>
        <stp/>
        <stp>BDH|10028897184047938890</stp>
        <tr r="M30" s="17"/>
      </tp>
      <tp t="e">
        <v>#N/A</v>
        <stp/>
        <stp>BDH|11510164748379773217</stp>
        <tr r="I52" s="10"/>
        <tr r="I44" s="11"/>
        <tr r="I16" s="7"/>
      </tp>
      <tp t="e">
        <v>#N/A</v>
        <stp/>
        <stp>BDH|10222647563179162696</stp>
        <tr r="H12" s="20"/>
        <tr r="H113" s="18"/>
      </tp>
      <tp t="e">
        <v>#N/A</v>
        <stp/>
        <stp>BDH|14771968150630941759</stp>
        <tr r="D20" s="22"/>
      </tp>
      <tp t="e">
        <v>#N/A</v>
        <stp/>
        <stp>BDH|13472759550057551980</stp>
        <tr r="V54" s="6"/>
      </tp>
      <tp t="e">
        <v>#N/A</v>
        <stp/>
        <stp>BDH|17266799431459222543</stp>
        <tr r="V39" s="22"/>
      </tp>
      <tp t="e">
        <v>#N/A</v>
        <stp/>
        <stp>BDH|16727119390587851622</stp>
        <tr r="E103" s="12"/>
      </tp>
      <tp t="e">
        <v>#N/A</v>
        <stp/>
        <stp>BDH|11222527394952872002</stp>
        <tr r="E64" s="17"/>
      </tp>
      <tp t="e">
        <v>#N/A</v>
        <stp/>
        <stp>BDH|17386971169705106207</stp>
        <tr r="C15" s="22"/>
      </tp>
      <tp t="e">
        <v>#N/A</v>
        <stp/>
        <stp>BDH|11516388558069827112</stp>
        <tr r="U40" s="17"/>
      </tp>
      <tp t="e">
        <v>#N/A</v>
        <stp/>
        <stp>BDH|12914542290507493657</stp>
        <tr r="H18" s="12"/>
      </tp>
      <tp t="e">
        <v>#N/A</v>
        <stp/>
        <stp>BDH|16671361428999158152</stp>
        <tr r="P38" s="24"/>
      </tp>
      <tp t="e">
        <v>#N/A</v>
        <stp/>
        <stp>BDH|15121957148571968699</stp>
        <tr r="P18" s="14"/>
      </tp>
      <tp t="e">
        <v>#N/A</v>
        <stp/>
        <stp>BDH|16353756934415891861</stp>
        <tr r="G16" s="21"/>
      </tp>
      <tp t="e">
        <v>#N/A</v>
        <stp/>
        <stp>BDH|15634253252214888954</stp>
        <tr r="W23" s="21"/>
      </tp>
      <tp t="e">
        <v>#N/A</v>
        <stp/>
        <stp>BDH|13591758147019244698</stp>
        <tr r="J145" s="18"/>
      </tp>
      <tp t="e">
        <v>#N/A</v>
        <stp/>
        <stp>BDH|18402474939026297641</stp>
        <tr r="H43" s="4"/>
      </tp>
      <tp t="e">
        <v>#N/A</v>
        <stp/>
        <stp>BDH|14585222499585123531</stp>
        <tr r="R31" s="29"/>
        <tr r="R39" s="29"/>
        <tr r="Q11" s="5"/>
        <tr r="Q52" s="6"/>
        <tr r="R10" s="2"/>
      </tp>
      <tp t="e">
        <v>#N/A</v>
        <stp/>
        <stp>BDH|10055788542755472921</stp>
        <tr r="X49" s="4"/>
      </tp>
      <tp t="e">
        <v>#N/A</v>
        <stp/>
        <stp>BDH|14401595182821421773</stp>
        <tr r="W40" s="13"/>
        <tr r="U28" s="11"/>
        <tr r="U36" s="10"/>
      </tp>
      <tp t="e">
        <v>#N/A</v>
        <stp/>
        <stp>BDH|14923496729829275477</stp>
        <tr r="AA41" s="17"/>
      </tp>
      <tp t="e">
        <v>#N/A</v>
        <stp/>
        <stp>BDH|15763226885738865842</stp>
        <tr r="H46" s="6"/>
      </tp>
      <tp t="e">
        <v>#N/A</v>
        <stp/>
        <stp>BDH|18286162850350920318</stp>
        <tr r="R7" s="5"/>
        <tr r="R7" s="9"/>
        <tr r="S7" s="2"/>
        <tr r="U14" s="3"/>
      </tp>
      <tp t="e">
        <v>#N/A</v>
        <stp/>
        <stp>BDH|11288567723069948028</stp>
        <tr r="C54" s="18"/>
      </tp>
      <tp t="e">
        <v>#N/A</v>
        <stp/>
        <stp>BDH|17834882408597456700</stp>
        <tr r="T45" s="6"/>
      </tp>
      <tp t="e">
        <v>#N/A</v>
        <stp/>
        <stp>BDH|17842786948333519811</stp>
        <tr r="H9" s="10"/>
      </tp>
      <tp t="e">
        <v>#N/A</v>
        <stp/>
        <stp>BDH|12164897659079825952</stp>
        <tr r="Y52" s="17"/>
        <tr r="Y17" s="3"/>
      </tp>
      <tp t="e">
        <v>#N/A</v>
        <stp/>
        <stp>BDH|17073564652789111195</stp>
        <tr r="AA55" s="18"/>
      </tp>
      <tp t="e">
        <v>#N/A</v>
        <stp/>
        <stp>BDH|17647816831915228689</stp>
        <tr r="J16" s="21"/>
      </tp>
      <tp t="e">
        <v>#N/A</v>
        <stp/>
        <stp>BDH|17231142385059894878</stp>
        <tr r="V105" s="12"/>
      </tp>
      <tp t="e">
        <v>#N/A</v>
        <stp/>
        <stp>BDH|13433206292114975334</stp>
        <tr r="S63" s="24"/>
      </tp>
      <tp t="e">
        <v>#N/A</v>
        <stp/>
        <stp>BDH|12996532147128978488</stp>
        <tr r="C168" s="18"/>
      </tp>
      <tp t="e">
        <v>#N/A</v>
        <stp/>
        <stp>BDH|14074993063244068065</stp>
        <tr r="N11" s="12"/>
      </tp>
      <tp t="e">
        <v>#N/A</v>
        <stp/>
        <stp>BDH|14227880477834196006</stp>
        <tr r="X32" s="12"/>
      </tp>
      <tp t="e">
        <v>#N/A</v>
        <stp/>
        <stp>BDH|10221208229189066679</stp>
        <tr r="C27" s="17"/>
      </tp>
      <tp t="e">
        <v>#N/A</v>
        <stp/>
        <stp>BDH|17631520138449838780</stp>
        <tr r="H22" s="5"/>
      </tp>
      <tp t="e">
        <v>#N/A</v>
        <stp/>
        <stp>BDH|17204031687105979533</stp>
        <tr r="Z7" s="30"/>
      </tp>
      <tp t="e">
        <v>#N/A</v>
        <stp/>
        <stp>BDH|17284227012853655886</stp>
        <tr r="L67" s="10"/>
      </tp>
      <tp t="e">
        <v>#N/A</v>
        <stp/>
        <stp>BDH|16940682985650831738</stp>
        <tr r="O174" s="18"/>
      </tp>
      <tp t="e">
        <v>#N/A</v>
        <stp/>
        <stp>BDH|15252047009699661369</stp>
        <tr r="Q51" s="17"/>
      </tp>
      <tp t="e">
        <v>#N/A</v>
        <stp/>
        <stp>BDH|14671730896897972251</stp>
        <tr r="X12" s="26"/>
      </tp>
      <tp t="e">
        <v>#N/A</v>
        <stp/>
        <stp>BDH|12587529037473940869</stp>
        <tr r="K66" s="12"/>
      </tp>
      <tp t="e">
        <v>#N/A</v>
        <stp/>
        <stp>BDH|12187486384712075321</stp>
        <tr r="G17" s="9"/>
      </tp>
      <tp t="e">
        <v>#N/A</v>
        <stp/>
        <stp>BDH|15821938121540707120</stp>
        <tr r="X15" s="11"/>
      </tp>
      <tp t="e">
        <v>#N/A</v>
        <stp/>
        <stp>BDH|16980767457568131366</stp>
        <tr r="K60" s="11"/>
      </tp>
      <tp t="e">
        <v>#N/A</v>
        <stp/>
        <stp>BDH|17556164694802107297</stp>
        <tr r="V34" s="22"/>
      </tp>
      <tp t="e">
        <v>#N/A</v>
        <stp/>
        <stp>BDH|18168125209126284077</stp>
        <tr r="G56" s="17"/>
      </tp>
      <tp t="e">
        <v>#N/A</v>
        <stp/>
        <stp>BDH|15836891379846713307</stp>
        <tr r="O68" s="34"/>
      </tp>
      <tp t="e">
        <v>#N/A</v>
        <stp/>
        <stp>BDH|12875263612446603853</stp>
        <tr r="W69" s="12"/>
      </tp>
      <tp t="e">
        <v>#N/A</v>
        <stp/>
        <stp>BDH|11064992126167152213</stp>
        <tr r="D93" s="18"/>
      </tp>
      <tp t="e">
        <v>#N/A</v>
        <stp/>
        <stp>BDH|14285704993275844068</stp>
        <tr r="F36" s="18"/>
      </tp>
      <tp t="e">
        <v>#N/A</v>
        <stp/>
        <stp>BDH|18268686761852792533</stp>
        <tr r="X152" s="18"/>
      </tp>
      <tp t="e">
        <v>#N/A</v>
        <stp/>
        <stp>BDH|11840503700272045973</stp>
        <tr r="U9" s="28"/>
      </tp>
      <tp t="e">
        <v>#N/A</v>
        <stp/>
        <stp>BDH|17756854218129512803</stp>
        <tr r="M81" s="18"/>
      </tp>
      <tp t="e">
        <v>#N/A</v>
        <stp/>
        <stp>BDH|15081974421320191184</stp>
        <tr r="J25" s="6"/>
      </tp>
      <tp t="e">
        <v>#N/A</v>
        <stp/>
        <stp>BDH|17689025846655996940</stp>
        <tr r="E15" s="34"/>
      </tp>
      <tp t="e">
        <v>#N/A</v>
        <stp/>
        <stp>BDH|10002344510975949828</stp>
        <tr r="T162" s="18"/>
      </tp>
      <tp t="e">
        <v>#N/A</v>
        <stp/>
        <stp>BDH|15801581439314636800</stp>
        <tr r="C38" s="11"/>
        <tr r="C46" s="10"/>
      </tp>
      <tp t="e">
        <v>#N/A</v>
        <stp/>
        <stp>BDH|16369196477758210706</stp>
        <tr r="J7" s="21"/>
      </tp>
      <tp t="e">
        <v>#N/A</v>
        <stp/>
        <stp>BDH|18048975447332957860</stp>
        <tr r="E171" s="18"/>
      </tp>
      <tp t="e">
        <v>#N/A</v>
        <stp/>
        <stp>BDH|10727530186257929545</stp>
        <tr r="AA69" s="18"/>
      </tp>
      <tp t="e">
        <v>#N/A</v>
        <stp/>
        <stp>BDH|14945991359327475026</stp>
        <tr r="D16" s="12"/>
      </tp>
      <tp t="e">
        <v>#N/A</v>
        <stp/>
        <stp>BDH|17544582444071504831</stp>
        <tr r="M8" s="20"/>
        <tr r="M110" s="18"/>
      </tp>
      <tp t="e">
        <v>#N/A</v>
        <stp/>
        <stp>BDH|11296973970951848120</stp>
        <tr r="L31" s="13"/>
        <tr r="J27" s="10"/>
      </tp>
      <tp t="e">
        <v>#N/A</v>
        <stp/>
        <stp>BDH|16817222082530418331</stp>
        <tr r="Y7" s="11"/>
      </tp>
      <tp t="e">
        <v>#N/A</v>
        <stp/>
        <stp>BDH|10640040495762945411</stp>
        <tr r="E99" s="18"/>
      </tp>
      <tp t="e">
        <v>#N/A</v>
        <stp/>
        <stp>BDH|12095168118414832990</stp>
        <tr r="E15" s="11"/>
      </tp>
      <tp t="e">
        <v>#N/A</v>
        <stp/>
        <stp>BDH|16697388685347603524</stp>
        <tr r="E10" s="22"/>
      </tp>
      <tp t="e">
        <v>#N/A</v>
        <stp/>
        <stp>BDH|13903189938569602709</stp>
        <tr r="F25" s="21"/>
      </tp>
      <tp t="e">
        <v>#N/A</v>
        <stp/>
        <stp>BDH|16358490172509052370</stp>
        <tr r="G31" s="24"/>
      </tp>
      <tp t="e">
        <v>#N/A</v>
        <stp/>
        <stp>BDH|18337572211465361697</stp>
        <tr r="Y88" s="18"/>
      </tp>
      <tp t="e">
        <v>#N/A</v>
        <stp/>
        <stp>BDH|17354975209399189820</stp>
        <tr r="Z19" s="20"/>
      </tp>
      <tp t="e">
        <v>#N/A</v>
        <stp/>
        <stp>BDH|15418319710879928129</stp>
        <tr r="G25" s="3"/>
      </tp>
      <tp t="e">
        <v>#N/A</v>
        <stp/>
        <stp>BDH|16976410221506683910</stp>
        <tr r="I55" s="6"/>
      </tp>
      <tp t="e">
        <v>#N/A</v>
        <stp/>
        <stp>BDH|17484932812269332982</stp>
        <tr r="X25" s="13"/>
      </tp>
      <tp t="e">
        <v>#N/A</v>
        <stp/>
        <stp>BDH|12991930339145413290</stp>
        <tr r="E49" s="13"/>
        <tr r="C45" s="10"/>
        <tr r="C53" s="4"/>
        <tr r="C37" s="11"/>
        <tr r="C18" s="2"/>
      </tp>
      <tp t="e">
        <v>#N/A</v>
        <stp/>
        <stp>BDH|17353941668227882096</stp>
        <tr r="X10" s="34"/>
      </tp>
      <tp t="e">
        <v>#N/A</v>
        <stp/>
        <stp>BDH|12411306445029786380</stp>
        <tr r="I41" s="24"/>
      </tp>
      <tp t="e">
        <v>#N/A</v>
        <stp/>
        <stp>BDH|13014881183968470411</stp>
        <tr r="Q64" s="11"/>
        <tr r="Q72" s="10"/>
      </tp>
      <tp t="e">
        <v>#N/A</v>
        <stp/>
        <stp>BDH|11205959749180623364</stp>
        <tr r="N63" s="17"/>
      </tp>
      <tp t="e">
        <v>#N/A</v>
        <stp/>
        <stp>BDH|17903073288852165293</stp>
        <tr r="U63" s="10"/>
      </tp>
      <tp t="e">
        <v>#N/A</v>
        <stp/>
        <stp>BDH|10118293148229941079</stp>
        <tr r="H11" s="21"/>
      </tp>
      <tp t="e">
        <v>#N/A</v>
        <stp/>
        <stp>BDH|18277611609789799835</stp>
        <tr r="H16" s="26"/>
      </tp>
      <tp t="e">
        <v>#N/A</v>
        <stp/>
        <stp>BDH|17392481284381357522</stp>
        <tr r="G103" s="18"/>
      </tp>
      <tp t="e">
        <v>#N/A</v>
        <stp/>
        <stp>BDH|11828498289683659105</stp>
        <tr r="V83" s="17"/>
      </tp>
      <tp t="e">
        <v>#N/A</v>
        <stp/>
        <stp>BDH|13533764101873851846</stp>
        <tr r="F15" s="12"/>
      </tp>
      <tp t="e">
        <v>#N/A</v>
        <stp/>
        <stp>BDH|13615219080532876419</stp>
        <tr r="H48" s="18"/>
      </tp>
      <tp t="e">
        <v>#N/A</v>
        <stp/>
        <stp>BDH|13107207380620755687</stp>
        <tr r="H40" s="21"/>
      </tp>
      <tp t="e">
        <v>#N/A</v>
        <stp/>
        <stp>BDH|10834951011136371116</stp>
        <tr r="I59" s="18"/>
      </tp>
      <tp t="e">
        <v>#N/A</v>
        <stp/>
        <stp>BDH|12378949236201887674</stp>
        <tr r="O24" s="20"/>
      </tp>
      <tp t="e">
        <v>#N/A</v>
        <stp/>
        <stp>BDH|10812022490015201363</stp>
        <tr r="H23" s="20"/>
      </tp>
      <tp t="e">
        <v>#N/A</v>
        <stp/>
        <stp>BDH|16927021936389637354</stp>
        <tr r="L87" s="12"/>
      </tp>
      <tp t="e">
        <v>#N/A</v>
        <stp/>
        <stp>BDH|11671069668831497928</stp>
        <tr r="E92" s="17"/>
        <tr r="E7" s="27"/>
      </tp>
      <tp t="e">
        <v>#N/A</v>
        <stp/>
        <stp>BDH|13145904041164750593</stp>
        <tr r="Y64" s="24"/>
      </tp>
      <tp t="e">
        <v>#N/A</v>
        <stp/>
        <stp>BDH|16650066798193457321</stp>
        <tr r="I55" s="11"/>
      </tp>
      <tp t="e">
        <v>#N/A</v>
        <stp/>
        <stp>BDH|14483450883010872749</stp>
        <tr r="C66" s="12"/>
      </tp>
      <tp t="e">
        <v>#N/A</v>
        <stp/>
        <stp>BDH|14473264368069179651</stp>
        <tr r="U42" s="17"/>
      </tp>
      <tp t="e">
        <v>#N/A</v>
        <stp/>
        <stp>BDH|12142320822764703887</stp>
        <tr r="W149" s="18"/>
      </tp>
      <tp t="e">
        <v>#N/A</v>
        <stp/>
        <stp>BDH|11817924775481610174</stp>
        <tr r="O15" s="25"/>
      </tp>
      <tp t="e">
        <v>#N/A</v>
        <stp/>
        <stp>BDH|16057177359629003400</stp>
        <tr r="D28" s="34"/>
      </tp>
      <tp t="e">
        <v>#N/A</v>
        <stp/>
        <stp>BDH|13767848358760236281</stp>
        <tr r="T52" s="18"/>
      </tp>
      <tp t="e">
        <v>#N/A</v>
        <stp/>
        <stp>BDH|14462812070805562211</stp>
        <tr r="K26" s="12"/>
      </tp>
      <tp t="e">
        <v>#N/A</v>
        <stp/>
        <stp>BDH|13324837440690994380</stp>
        <tr r="H103" s="12"/>
      </tp>
      <tp t="e">
        <v>#N/A</v>
        <stp/>
        <stp>BDH|13028950280326780833</stp>
        <tr r="S18" s="22"/>
      </tp>
      <tp t="e">
        <v>#N/A</v>
        <stp/>
        <stp>BDH|16620062440797299934</stp>
        <tr r="N15" s="23"/>
        <tr r="L58" s="11"/>
      </tp>
      <tp t="e">
        <v>#N/A</v>
        <stp/>
        <stp>BDH|12307828063063457377</stp>
        <tr r="C10" s="30"/>
      </tp>
      <tp t="e">
        <v>#N/A</v>
        <stp/>
        <stp>BDH|17504733537689392635</stp>
        <tr r="AA27" s="24"/>
      </tp>
      <tp t="e">
        <v>#N/A</v>
        <stp/>
        <stp>BDH|13800641983939980879</stp>
        <tr r="R35" s="22"/>
      </tp>
      <tp t="e">
        <v>#N/A</v>
        <stp/>
        <stp>BDH|12124719205831388873</stp>
        <tr r="N104" s="18"/>
      </tp>
      <tp t="e">
        <v>#N/A</v>
        <stp/>
        <stp>BDH|17539997115554067788</stp>
        <tr r="T57" s="13"/>
      </tp>
      <tp t="e">
        <v>#N/A</v>
        <stp/>
        <stp>BDH|17986480289102956501</stp>
        <tr r="S44" s="22"/>
      </tp>
      <tp t="e">
        <v>#N/A</v>
        <stp/>
        <stp>BDH|10905985664531708233</stp>
        <tr r="C41" s="24"/>
      </tp>
      <tp t="e">
        <v>#N/A</v>
        <stp/>
        <stp>BDH|10274936956733234346</stp>
        <tr r="S20" s="34"/>
      </tp>
      <tp t="e">
        <v>#N/A</v>
        <stp/>
        <stp>BDH|14411896471027933047</stp>
        <tr r="AA24" s="17"/>
      </tp>
      <tp t="e">
        <v>#N/A</v>
        <stp/>
        <stp>BDH|14366884606150826042</stp>
        <tr r="P24" s="22"/>
      </tp>
      <tp t="e">
        <v>#N/A</v>
        <stp/>
        <stp>BDH|14032915675106320067</stp>
        <tr r="X101" s="18"/>
      </tp>
      <tp t="e">
        <v>#N/A</v>
        <stp/>
        <stp>BDH|17211884223670012183</stp>
        <tr r="G39" s="22"/>
      </tp>
      <tp t="e">
        <v>#N/A</v>
        <stp/>
        <stp>BDH|16618512263129716023</stp>
        <tr r="E62" s="18"/>
      </tp>
      <tp t="e">
        <v>#N/A</v>
        <stp/>
        <stp>BDH|13050742081846663629</stp>
        <tr r="W35" s="6"/>
      </tp>
      <tp t="e">
        <v>#N/A</v>
        <stp/>
        <stp>BDH|13927602977458606693</stp>
        <tr r="V16" s="11"/>
      </tp>
      <tp t="e">
        <v>#N/A</v>
        <stp/>
        <stp>BDH|14679894861404911261</stp>
        <tr r="R8" s="4"/>
      </tp>
      <tp t="e">
        <v>#N/A</v>
        <stp/>
        <stp>BDH|17266726797641486429</stp>
        <tr r="L43" s="12"/>
      </tp>
      <tp t="e">
        <v>#N/A</v>
        <stp/>
        <stp>BDH|16859870924264924433</stp>
        <tr r="V18" s="22"/>
      </tp>
      <tp t="e">
        <v>#N/A</v>
        <stp/>
        <stp>BDH|14127377483764553712</stp>
        <tr r="S25" s="6"/>
      </tp>
      <tp t="e">
        <v>#N/A</v>
        <stp/>
        <stp>BDH|15261574197081537465</stp>
        <tr r="S28" s="12"/>
      </tp>
      <tp t="e">
        <v>#N/A</v>
        <stp/>
        <stp>BDH|17321948121120678018</stp>
        <tr r="S34" s="12"/>
      </tp>
      <tp t="e">
        <v>#N/A</v>
        <stp/>
        <stp>BDH|14858300092241241388</stp>
        <tr r="S152" s="18"/>
      </tp>
      <tp t="e">
        <v>#N/A</v>
        <stp/>
        <stp>BDH|18078461326332465048</stp>
        <tr r="X24" s="34"/>
      </tp>
      <tp t="e">
        <v>#N/A</v>
        <stp/>
        <stp>BDH|11476323336168079509</stp>
        <tr r="V87" s="18"/>
      </tp>
      <tp t="e">
        <v>#N/A</v>
        <stp/>
        <stp>BDH|11531533563796271879</stp>
        <tr r="W19" s="11"/>
      </tp>
      <tp t="e">
        <v>#N/A</v>
        <stp/>
        <stp>BDH|17146741583794325059</stp>
        <tr r="W14" s="27"/>
        <tr r="W28" s="25"/>
      </tp>
      <tp t="e">
        <v>#N/A</v>
        <stp/>
        <stp>BDH|10811776127801973811</stp>
        <tr r="P21" s="20"/>
      </tp>
      <tp t="e">
        <v>#N/A</v>
        <stp/>
        <stp>BDH|12185806603377246100</stp>
        <tr r="Y8" s="28"/>
      </tp>
      <tp t="e">
        <v>#N/A</v>
        <stp/>
        <stp>BDH|10901143278913207972</stp>
        <tr r="T18" s="23"/>
      </tp>
      <tp t="e">
        <v>#N/A</v>
        <stp/>
        <stp>BDH|13057929409315316386</stp>
        <tr r="I65" s="12"/>
      </tp>
      <tp t="e">
        <v>#N/A</v>
        <stp/>
        <stp>BDH|16332848037235857484</stp>
        <tr r="V13" s="22"/>
      </tp>
      <tp t="e">
        <v>#N/A</v>
        <stp/>
        <stp>BDH|15128535170789513279</stp>
        <tr r="Q60" s="17"/>
      </tp>
      <tp t="e">
        <v>#N/A</v>
        <stp/>
        <stp>BDH|11659973450915121402</stp>
        <tr r="AA78" s="17"/>
      </tp>
      <tp t="e">
        <v>#N/A</v>
        <stp/>
        <stp>BDH|14526949700285340422</stp>
        <tr r="E23" s="5"/>
      </tp>
      <tp t="e">
        <v>#N/A</v>
        <stp/>
        <stp>BDH|10388612686432685029</stp>
        <tr r="I76" s="18"/>
      </tp>
      <tp t="e">
        <v>#N/A</v>
        <stp/>
        <stp>BDH|18040483127716784487</stp>
        <tr r="X44" s="24"/>
      </tp>
      <tp t="e">
        <v>#N/A</v>
        <stp/>
        <stp>BDH|12933859447347322584</stp>
        <tr r="Q25" s="12"/>
      </tp>
      <tp t="e">
        <v>#N/A</v>
        <stp/>
        <stp>BDH|14793312189432797188</stp>
        <tr r="Z165" s="18"/>
      </tp>
      <tp t="e">
        <v>#N/A</v>
        <stp/>
        <stp>BDH|18019648333295173462</stp>
        <tr r="Z24" s="22"/>
      </tp>
      <tp t="e">
        <v>#N/A</v>
        <stp/>
        <stp>BDH|14510045886253284353</stp>
        <tr r="O154" s="18"/>
      </tp>
      <tp t="e">
        <v>#N/A</v>
        <stp/>
        <stp>BDH|12107962147566622568</stp>
        <tr r="N14" s="17"/>
        <tr r="N17" s="28"/>
      </tp>
      <tp t="e">
        <v>#N/A</v>
        <stp/>
        <stp>BDH|13881145543503774983</stp>
        <tr r="I17" s="12"/>
      </tp>
      <tp t="e">
        <v>#N/A</v>
        <stp/>
        <stp>BDH|18164313564385200465</stp>
        <tr r="O54" s="24"/>
      </tp>
      <tp t="e">
        <v>#N/A</v>
        <stp/>
        <stp>BDH|13571323461288754211</stp>
        <tr r="H14" s="28"/>
      </tp>
      <tp t="e">
        <v>#N/A</v>
        <stp/>
        <stp>BDH|10219674663034174873</stp>
        <tr r="I48" s="6"/>
        <tr r="K6" s="8"/>
      </tp>
      <tp t="e">
        <v>#N/A</v>
        <stp/>
        <stp>BDH|12818274858319317046</stp>
        <tr r="I48" s="17"/>
      </tp>
      <tp t="e">
        <v>#N/A</v>
        <stp/>
        <stp>BDH|18151812943649184129</stp>
        <tr r="Y14" s="10"/>
      </tp>
      <tp t="e">
        <v>#N/A</v>
        <stp/>
        <stp>BDH|11765612295110573262</stp>
        <tr r="E43" s="17"/>
        <tr r="E9" s="25"/>
      </tp>
      <tp t="e">
        <v>#N/A</v>
        <stp/>
        <stp>BDH|13314854146407939495</stp>
        <tr r="O86" s="17"/>
      </tp>
      <tp t="e">
        <v>#N/A</v>
        <stp/>
        <stp>BDH|15958939032806136590</stp>
        <tr r="G46" s="22"/>
      </tp>
      <tp t="e">
        <v>#N/A</v>
        <stp/>
        <stp>BDH|14696527847359735048</stp>
        <tr r="L78" s="24"/>
      </tp>
      <tp t="e">
        <v>#N/A</v>
        <stp/>
        <stp>BDH|12861664030102715994</stp>
        <tr r="J44" s="11"/>
        <tr r="J16" s="7"/>
        <tr r="J52" s="10"/>
      </tp>
      <tp t="e">
        <v>#N/A</v>
        <stp/>
        <stp>BDH|13389479457709659755</stp>
        <tr r="V176" s="18"/>
      </tp>
      <tp t="e">
        <v>#N/A</v>
        <stp/>
        <stp>BDH|15581419695755085118</stp>
        <tr r="J62" s="21"/>
      </tp>
      <tp t="e">
        <v>#N/A</v>
        <stp/>
        <stp>BDH|15252057737972053808</stp>
        <tr r="T58" s="34"/>
      </tp>
      <tp t="e">
        <v>#N/A</v>
        <stp/>
        <stp>BDH|10209816259699909835</stp>
        <tr r="AA16" s="22"/>
      </tp>
      <tp t="e">
        <v>#N/A</v>
        <stp/>
        <stp>BDH|16307826750327869096</stp>
        <tr r="E43" s="4"/>
      </tp>
      <tp t="e">
        <v>#N/A</v>
        <stp/>
        <stp>BDH|11035121730479442667</stp>
        <tr r="O138" s="18"/>
      </tp>
      <tp t="e">
        <v>#N/A</v>
        <stp/>
        <stp>BDH|13299632441848848582</stp>
        <tr r="W36" s="34"/>
      </tp>
      <tp t="e">
        <v>#N/A</v>
        <stp/>
        <stp>BDH|13210152447699401341</stp>
        <tr r="U162" s="18"/>
      </tp>
      <tp t="e">
        <v>#N/A</v>
        <stp/>
        <stp>BDH|10182154687797783247</stp>
        <tr r="D24" s="13"/>
      </tp>
      <tp t="e">
        <v>#N/A</v>
        <stp/>
        <stp>BDH|14084968882309714036</stp>
        <tr r="X8" s="27"/>
      </tp>
      <tp t="e">
        <v>#N/A</v>
        <stp/>
        <stp>BDH|16089058577349339414</stp>
        <tr r="T68" s="17"/>
        <tr r="Q8" s="9"/>
        <tr r="Q8" s="5"/>
      </tp>
      <tp t="e">
        <v>#N/A</v>
        <stp/>
        <stp>BDH|12475521754068264604</stp>
        <tr r="C75" s="18"/>
      </tp>
      <tp t="e">
        <v>#N/A</v>
        <stp/>
        <stp>BDH|10366982518233941799</stp>
        <tr r="T21" s="22"/>
      </tp>
      <tp t="e">
        <v>#N/A</v>
        <stp/>
        <stp>BDH|12996906512372915416</stp>
        <tr r="Q21" s="17"/>
        <tr r="Q15" s="3"/>
      </tp>
      <tp t="e">
        <v>#N/A</v>
        <stp/>
        <stp>BDH|10970528099419319923</stp>
        <tr r="E17" s="13"/>
      </tp>
      <tp t="e">
        <v>#N/A</v>
        <stp/>
        <stp>BDH|13736859078659806915</stp>
        <tr r="K16" s="17"/>
        <tr r="K19" s="28"/>
      </tp>
      <tp t="e">
        <v>#N/A</v>
        <stp/>
        <stp>BDH|15850839145375962041</stp>
        <tr r="N33" s="34"/>
      </tp>
      <tp t="e">
        <v>#N/A</v>
        <stp/>
        <stp>BDH|10634302373500181874</stp>
        <tr r="U77" s="18"/>
      </tp>
      <tp t="e">
        <v>#N/A</v>
        <stp/>
        <stp>BDH|10146755217492730879</stp>
        <tr r="K23" s="10"/>
      </tp>
      <tp t="e">
        <v>#N/A</v>
        <stp/>
        <stp>BDH|10450518582091659027</stp>
        <tr r="F73" s="24"/>
      </tp>
      <tp t="e">
        <v>#N/A</v>
        <stp/>
        <stp>BDH|14015838733264045730</stp>
        <tr r="C19" s="6"/>
      </tp>
      <tp t="e">
        <v>#N/A</v>
        <stp/>
        <stp>BDH|12212952572456318658</stp>
        <tr r="Y86" s="17"/>
      </tp>
      <tp t="e">
        <v>#N/A</v>
        <stp/>
        <stp>BDH|16132070697932238104</stp>
        <tr r="U131" s="18"/>
      </tp>
      <tp t="e">
        <v>#N/A</v>
        <stp/>
        <stp>BDH|11779836474132284015</stp>
        <tr r="P148" s="18"/>
      </tp>
      <tp t="e">
        <v>#N/A</v>
        <stp/>
        <stp>BDH|13648149131558908595</stp>
        <tr r="S51" s="18"/>
      </tp>
      <tp t="e">
        <v>#N/A</v>
        <stp/>
        <stp>BDH|17186755242651678930</stp>
        <tr r="F20" s="23"/>
      </tp>
      <tp t="e">
        <v>#N/A</v>
        <stp/>
        <stp>BDH|16509709583037478212</stp>
        <tr r="K18" s="5"/>
        <tr r="K38" s="6"/>
      </tp>
      <tp t="e">
        <v>#N/A</v>
        <stp/>
        <stp>BDH|14516366235731349967</stp>
        <tr r="O43" s="24"/>
      </tp>
      <tp t="e">
        <v>#N/A</v>
        <stp/>
        <stp>BDH|16865647336017959807</stp>
        <tr r="AA93" s="18"/>
      </tp>
      <tp t="e">
        <v>#N/A</v>
        <stp/>
        <stp>BDH|11937758912212427998</stp>
        <tr r="Q10" s="10"/>
      </tp>
      <tp t="e">
        <v>#N/A</v>
        <stp/>
        <stp>BDH|14058306181925281601</stp>
        <tr r="X10" s="6"/>
      </tp>
      <tp t="e">
        <v>#N/A</v>
        <stp/>
        <stp>BDH|12722691298835615439</stp>
        <tr r="R57" s="13"/>
      </tp>
      <tp t="e">
        <v>#N/A</v>
        <stp/>
        <stp>BDH|11362428155858679413</stp>
        <tr r="W13" s="17"/>
        <tr r="W16" s="28"/>
      </tp>
      <tp t="e">
        <v>#N/A</v>
        <stp/>
        <stp>BDH|12703313286314659157</stp>
        <tr r="O52" s="22"/>
      </tp>
      <tp t="e">
        <v>#N/A</v>
        <stp/>
        <stp>BDH|18348711112432385008</stp>
        <tr r="E18" s="30"/>
      </tp>
      <tp t="e">
        <v>#N/A</v>
        <stp/>
        <stp>BDH|17830452699815306348</stp>
        <tr r="H105" s="12"/>
      </tp>
      <tp t="e">
        <v>#N/A</v>
        <stp/>
        <stp>BDH|10222644976604346904</stp>
        <tr r="Y46" s="13"/>
      </tp>
      <tp t="e">
        <v>#N/A</v>
        <stp/>
        <stp>BDH|13667371498893895626</stp>
        <tr r="U91" s="12"/>
      </tp>
      <tp t="e">
        <v>#N/A</v>
        <stp/>
        <stp>BDH|12771375758030365884</stp>
        <tr r="H67" s="34"/>
      </tp>
      <tp t="e">
        <v>#N/A</v>
        <stp/>
        <stp>BDH|10012964056186079633</stp>
        <tr r="V97" s="18"/>
      </tp>
      <tp t="e">
        <v>#N/A</v>
        <stp/>
        <stp>BDH|11377443597023416372</stp>
        <tr r="E13" s="18"/>
      </tp>
      <tp t="e">
        <v>#N/A</v>
        <stp/>
        <stp>BDH|13048322676779678210</stp>
        <tr r="X15" s="25"/>
      </tp>
      <tp t="e">
        <v>#N/A</v>
        <stp/>
        <stp>BDH|10590612123938614026</stp>
        <tr r="K76" s="18"/>
      </tp>
      <tp t="e">
        <v>#N/A</v>
        <stp/>
        <stp>BDH|14764840257542334745</stp>
        <tr r="Q30" s="24"/>
      </tp>
      <tp t="e">
        <v>#N/A</v>
        <stp/>
        <stp>BDH|15761747211289744663</stp>
        <tr r="R74" s="17"/>
      </tp>
      <tp t="e">
        <v>#N/A</v>
        <stp/>
        <stp>BDH|17422276801608425154</stp>
        <tr r="W158" s="18"/>
      </tp>
      <tp t="e">
        <v>#N/A</v>
        <stp/>
        <stp>BDH|11108601109412390988</stp>
        <tr r="P23" s="5"/>
      </tp>
      <tp t="e">
        <v>#N/A</v>
        <stp/>
        <stp>BDH|16094668244218440053</stp>
        <tr r="Y38" s="17"/>
      </tp>
      <tp t="e">
        <v>#N/A</v>
        <stp/>
        <stp>BDH|14837236129510323839</stp>
        <tr r="T64" s="18"/>
      </tp>
      <tp t="e">
        <v>#N/A</v>
        <stp/>
        <stp>BDH|17317322981439359919</stp>
        <tr r="E86" s="17"/>
      </tp>
      <tp t="e">
        <v>#N/A</v>
        <stp/>
        <stp>BDH|17883381147445202976</stp>
        <tr r="D11" s="20"/>
        <tr r="D112" s="18"/>
      </tp>
      <tp t="e">
        <v>#N/A</v>
        <stp/>
        <stp>BDH|15908278947328892739</stp>
        <tr r="T31" s="18"/>
      </tp>
      <tp t="e">
        <v>#N/A</v>
        <stp/>
        <stp>BDH|15794367513459068206</stp>
        <tr r="P7" s="17"/>
      </tp>
      <tp t="e">
        <v>#N/A</v>
        <stp/>
        <stp>BDH|10716830151474089577</stp>
        <tr r="Y68" s="12"/>
      </tp>
      <tp t="e">
        <v>#N/A</v>
        <stp/>
        <stp>BDH|17921048586535160683</stp>
        <tr r="Z19" s="17"/>
      </tp>
      <tp t="e">
        <v>#N/A</v>
        <stp/>
        <stp>BDH|17980828416685895776</stp>
        <tr r="L49" s="22"/>
      </tp>
      <tp t="e">
        <v>#N/A</v>
        <stp/>
        <stp>BDH|10775928960687044474</stp>
        <tr r="X89" s="18"/>
      </tp>
      <tp t="e">
        <v>#N/A</v>
        <stp/>
        <stp>BDH|13535766117081353858</stp>
        <tr r="G35" s="22"/>
      </tp>
      <tp t="e">
        <v>#N/A</v>
        <stp/>
        <stp>BDH|13710512530169722038</stp>
        <tr r="U41" s="34"/>
      </tp>
      <tp t="e">
        <v>#N/A</v>
        <stp/>
        <stp>BDH|14593162256244046875</stp>
        <tr r="Q66" s="34"/>
      </tp>
      <tp t="e">
        <v>#N/A</v>
        <stp/>
        <stp>BDH|18199730954647752135</stp>
        <tr r="C35" s="21"/>
      </tp>
      <tp t="e">
        <v>#N/A</v>
        <stp/>
        <stp>BDH|17599180429619521133</stp>
        <tr r="P82" s="17"/>
        <tr r="N6" s="7"/>
        <tr r="P20" s="3"/>
      </tp>
      <tp t="e">
        <v>#N/A</v>
        <stp/>
        <stp>BDH|15422995305306828628</stp>
        <tr r="O24" s="21"/>
      </tp>
      <tp t="e">
        <v>#N/A</v>
        <stp/>
        <stp>BDH|11079858056379747965</stp>
        <tr r="W17" s="10"/>
      </tp>
      <tp t="e">
        <v>#N/A</v>
        <stp/>
        <stp>BDH|17105329353674617943</stp>
        <tr r="F10" s="28"/>
      </tp>
      <tp t="e">
        <v>#N/A</v>
        <stp/>
        <stp>BDH|10651960650933368316</stp>
        <tr r="E85" s="12"/>
      </tp>
      <tp t="e">
        <v>#N/A</v>
        <stp/>
        <stp>BDH|16599678870132859989</stp>
        <tr r="J18" s="18"/>
      </tp>
      <tp t="e">
        <v>#N/A</v>
        <stp/>
        <stp>BDH|10948761740438861754</stp>
        <tr r="F11" s="20"/>
        <tr r="F112" s="18"/>
      </tp>
      <tp t="e">
        <v>#N/A</v>
        <stp/>
        <stp>BDH|10648522632143364972</stp>
        <tr r="R9" s="12"/>
      </tp>
      <tp t="e">
        <v>#N/A</v>
        <stp/>
        <stp>BDH|10567040393472335732</stp>
        <tr r="J70" s="12"/>
      </tp>
      <tp t="e">
        <v>#N/A</v>
        <stp/>
        <stp>BDH|16521291088020580039</stp>
        <tr r="AA43" s="22"/>
      </tp>
      <tp t="e">
        <v>#N/A</v>
        <stp/>
        <stp>BDH|14466868139401005298</stp>
        <tr r="V16" s="20"/>
      </tp>
      <tp t="e">
        <v>#N/A</v>
        <stp/>
        <stp>BDH|16407926919036940443</stp>
        <tr r="G18" s="6"/>
      </tp>
      <tp t="e">
        <v>#N/A</v>
        <stp/>
        <stp>BDH|18404654779281851422</stp>
        <tr r="D63" s="24"/>
      </tp>
      <tp t="e">
        <v>#N/A</v>
        <stp/>
        <stp>BDH|11376102052708322101</stp>
        <tr r="U30" s="18"/>
      </tp>
      <tp t="e">
        <v>#N/A</v>
        <stp/>
        <stp>BDH|16007966467116563360</stp>
        <tr r="N136" s="18"/>
      </tp>
      <tp t="e">
        <v>#N/A</v>
        <stp/>
        <stp>BDH|15960062498585132542</stp>
        <tr r="Q47" s="21"/>
      </tp>
      <tp t="e">
        <v>#N/A</v>
        <stp/>
        <stp>BDH|13815351626718013696</stp>
        <tr r="W166" s="18"/>
      </tp>
      <tp t="e">
        <v>#N/A</v>
        <stp/>
        <stp>BDH|18428462725687063557</stp>
        <tr r="D53" s="6"/>
      </tp>
      <tp t="e">
        <v>#N/A</v>
        <stp/>
        <stp>BDH|13371465688171836277</stp>
        <tr r="O13" s="9"/>
      </tp>
      <tp t="e">
        <v>#N/A</v>
        <stp/>
        <stp>BDH|14861255783096964453</stp>
        <tr r="W21" s="4"/>
      </tp>
      <tp t="e">
        <v>#N/A</v>
        <stp/>
        <stp>BDH|17008908161644087030</stp>
        <tr r="P153" s="18"/>
      </tp>
      <tp t="e">
        <v>#N/A</v>
        <stp/>
        <stp>BDH|14366380443258977735</stp>
        <tr r="I7" s="29"/>
        <tr r="I29" s="29"/>
      </tp>
      <tp t="e">
        <v>#N/A</v>
        <stp/>
        <stp>BDH|10026923441884491555</stp>
        <tr r="P30" s="13"/>
        <tr r="N26" s="10"/>
      </tp>
      <tp t="e">
        <v>#N/A</v>
        <stp/>
        <stp>BDH|11359709784817168546</stp>
        <tr r="Z128" s="18"/>
      </tp>
      <tp t="e">
        <v>#N/A</v>
        <stp/>
        <stp>BDH|12028302183294270131</stp>
        <tr r="W29" s="5"/>
      </tp>
      <tp t="e">
        <v>#N/A</v>
        <stp/>
        <stp>BDH|15900345199442116174</stp>
        <tr r="Z29" s="17"/>
      </tp>
      <tp t="e">
        <v>#N/A</v>
        <stp/>
        <stp>BDH|14292681822609830557</stp>
        <tr r="R8" s="28"/>
      </tp>
      <tp t="e">
        <v>#N/A</v>
        <stp/>
        <stp>BDH|13193742432728552373</stp>
        <tr r="P30" s="17"/>
      </tp>
      <tp t="e">
        <v>#N/A</v>
        <stp/>
        <stp>BDH|17691019602133493842</stp>
        <tr r="G21" s="24"/>
      </tp>
      <tp t="e">
        <v>#N/A</v>
        <stp/>
        <stp>BDH|16390536674121614975</stp>
        <tr r="U40" s="34"/>
      </tp>
      <tp t="e">
        <v>#N/A</v>
        <stp/>
        <stp>BDH|15181920937215340627</stp>
        <tr r="J37" s="34"/>
      </tp>
      <tp t="e">
        <v>#N/A</v>
        <stp/>
        <stp>BDH|10858624361814900870</stp>
        <tr r="X8" s="22"/>
      </tp>
      <tp t="e">
        <v>#N/A</v>
        <stp/>
        <stp>BDH|10265862455879000845</stp>
        <tr r="N29" s="9"/>
      </tp>
      <tp t="e">
        <v>#N/A</v>
        <stp/>
        <stp>BDH|12689072098606929157</stp>
        <tr r="O177" s="18"/>
      </tp>
      <tp t="e">
        <v>#N/A</v>
        <stp/>
        <stp>BDH|17224440740893709843</stp>
        <tr r="T65" s="34"/>
      </tp>
      <tp t="e">
        <v>#N/A</v>
        <stp/>
        <stp>BDH|10240947271860531270</stp>
        <tr r="X7" s="24"/>
      </tp>
      <tp t="e">
        <v>#N/A</v>
        <stp/>
        <stp>BDH|10520925554173476329</stp>
        <tr r="R25" s="11"/>
        <tr r="R33" s="10"/>
      </tp>
      <tp t="e">
        <v>#N/A</v>
        <stp/>
        <stp>BDH|10618980528480681752</stp>
        <tr r="Y12" s="7"/>
      </tp>
      <tp t="e">
        <v>#N/A</v>
        <stp/>
        <stp>BDH|16160024841157280955</stp>
        <tr r="AA178" s="18"/>
      </tp>
      <tp t="e">
        <v>#N/A</v>
        <stp/>
        <stp>BDH|15395216917688901297</stp>
        <tr r="E10" s="17"/>
      </tp>
      <tp t="e">
        <v>#N/A</v>
        <stp/>
        <stp>BDH|10328228500339403704</stp>
        <tr r="C19" s="10"/>
      </tp>
      <tp t="e">
        <v>#N/A</v>
        <stp/>
        <stp>BDH|10360455695102568339</stp>
        <tr r="L20" s="29"/>
      </tp>
      <tp t="e">
        <v>#N/A</v>
        <stp/>
        <stp>BDH|17670806312946029417</stp>
        <tr r="W35" s="29"/>
        <tr r="W15" s="29"/>
      </tp>
      <tp t="e">
        <v>#N/A</v>
        <stp/>
        <stp>BDH|12135496132951669897</stp>
        <tr r="T75" s="12"/>
      </tp>
      <tp t="e">
        <v>#N/A</v>
        <stp/>
        <stp>BDH|12569817874941224077</stp>
        <tr r="R12" s="27"/>
        <tr r="R26" s="25"/>
      </tp>
      <tp t="e">
        <v>#N/A</v>
        <stp/>
        <stp>BDH|14104812463635010369</stp>
        <tr r="L34" s="18"/>
      </tp>
      <tp t="e">
        <v>#N/A</v>
        <stp/>
        <stp>BDH|11726010453990017809</stp>
        <tr r="Q134" s="18"/>
      </tp>
      <tp t="e">
        <v>#N/A</v>
        <stp/>
        <stp>BDH|15259999315946922724</stp>
        <tr r="W24" s="29"/>
      </tp>
      <tp t="e">
        <v>#N/A</v>
        <stp/>
        <stp>BDH|11582825651172089237</stp>
        <tr r="I43" s="12"/>
      </tp>
      <tp t="e">
        <v>#N/A</v>
        <stp/>
        <stp>BDH|14820520147048071186</stp>
        <tr r="Q8" s="4"/>
      </tp>
      <tp t="e">
        <v>#N/A</v>
        <stp/>
        <stp>BDH|15143077370719060731</stp>
        <tr r="S15" s="25"/>
      </tp>
      <tp t="e">
        <v>#N/A</v>
        <stp/>
        <stp>BDH|14013246640118539647</stp>
        <tr r="V26" s="13"/>
        <tr r="V16" s="13"/>
        <tr r="T18" s="10"/>
      </tp>
      <tp t="e">
        <v>#N/A</v>
        <stp/>
        <stp>BDH|18085321223437468209</stp>
        <tr r="R163" s="18"/>
      </tp>
      <tp t="e">
        <v>#N/A</v>
        <stp/>
        <stp>BDH|14737100584664230547</stp>
        <tr r="L60" s="13"/>
      </tp>
      <tp t="e">
        <v>#N/A</v>
        <stp/>
        <stp>BDH|17934696782157676212</stp>
        <tr r="U139" s="18"/>
      </tp>
      <tp t="e">
        <v>#N/A</v>
        <stp/>
        <stp>BDH|16500443265359228132</stp>
        <tr r="C16" s="14"/>
      </tp>
      <tp t="e">
        <v>#N/A</v>
        <stp/>
        <stp>BDH|11247923334746426152</stp>
        <tr r="X21" s="17"/>
        <tr r="X15" s="3"/>
      </tp>
      <tp t="e">
        <v>#N/A</v>
        <stp/>
        <stp>BDH|17592555203818637607</stp>
        <tr r="T7" s="20"/>
        <tr r="T109" s="18"/>
      </tp>
      <tp t="e">
        <v>#N/A</v>
        <stp/>
        <stp>BDH|14391598584860213598</stp>
        <tr r="M18" s="18"/>
      </tp>
      <tp t="e">
        <v>#N/A</v>
        <stp/>
        <stp>BDH|13781822742410087326</stp>
        <tr r="P62" s="34"/>
      </tp>
      <tp t="e">
        <v>#N/A</v>
        <stp/>
        <stp>BDH|15113907760623575517</stp>
        <tr r="T16" s="12"/>
      </tp>
      <tp t="e">
        <v>#N/A</v>
        <stp/>
        <stp>BDH|17132965460843470769</stp>
        <tr r="Z13" s="23"/>
        <tr r="X57" s="11"/>
        <tr r="X38" s="4"/>
      </tp>
      <tp t="e">
        <v>#N/A</v>
        <stp/>
        <stp>BDH|13049440841958035709</stp>
        <tr r="D9" s="23"/>
      </tp>
      <tp t="e">
        <v>#N/A</v>
        <stp/>
        <stp>BDH|14149141796968436829</stp>
        <tr r="M41" s="11"/>
        <tr r="M8" s="7"/>
        <tr r="M49" s="10"/>
        <tr r="O11" s="3"/>
      </tp>
      <tp t="e">
        <v>#N/A</v>
        <stp/>
        <stp>BDH|12896339017795135982</stp>
        <tr r="O23" s="23"/>
      </tp>
      <tp t="e">
        <v>#N/A</v>
        <stp/>
        <stp>BDH|17925385356345018823</stp>
        <tr r="E28" s="26"/>
      </tp>
      <tp t="e">
        <v>#N/A</v>
        <stp/>
        <stp>BDH|17357655339459904732</stp>
        <tr r="U14" s="21"/>
      </tp>
      <tp t="e">
        <v>#N/A</v>
        <stp/>
        <stp>BDH|10986301633624696890</stp>
        <tr r="P57" s="13"/>
      </tp>
      <tp t="e">
        <v>#N/A</v>
        <stp/>
        <stp>BDH|15037812231083534107</stp>
        <tr r="K49" s="34"/>
      </tp>
      <tp t="e">
        <v>#N/A</v>
        <stp/>
        <stp>BDH|14362361306512630904</stp>
        <tr r="P7" s="20"/>
        <tr r="P109" s="18"/>
      </tp>
      <tp t="e">
        <v>#N/A</v>
        <stp/>
        <stp>BDH|12742744988524902571</stp>
        <tr r="P105" s="18"/>
      </tp>
      <tp t="e">
        <v>#N/A</v>
        <stp/>
        <stp>BDH|13257273852170423861</stp>
        <tr r="P83" s="17"/>
      </tp>
      <tp t="e">
        <v>#N/A</v>
        <stp/>
        <stp>BDH|13459566892711321262</stp>
        <tr r="M46" s="24"/>
      </tp>
      <tp t="e">
        <v>#N/A</v>
        <stp/>
        <stp>BDH|17843904539219283871</stp>
        <tr r="Y78" s="17"/>
      </tp>
      <tp t="e">
        <v>#N/A</v>
        <stp/>
        <stp>BDH|16454594465151489882</stp>
        <tr r="F51" s="34"/>
      </tp>
      <tp t="e">
        <v>#N/A</v>
        <stp/>
        <stp>BDH|12798628560398082610</stp>
        <tr r="H22" s="21"/>
      </tp>
      <tp t="e">
        <v>#N/A</v>
        <stp/>
        <stp>BDH|15501656970318751039</stp>
        <tr r="T48" s="6"/>
        <tr r="V6" s="8"/>
      </tp>
      <tp t="e">
        <v>#N/A</v>
        <stp/>
        <stp>BDH|14459969977595254334</stp>
        <tr r="Y33" s="11"/>
        <tr r="Y41" s="10"/>
      </tp>
      <tp t="e">
        <v>#N/A</v>
        <stp/>
        <stp>BDH|10408959850610137044</stp>
        <tr r="U87" s="18"/>
      </tp>
      <tp t="e">
        <v>#N/A</v>
        <stp/>
        <stp>BDH|13438299279342742872</stp>
        <tr r="O47" s="24"/>
      </tp>
      <tp t="e">
        <v>#N/A</v>
        <stp/>
        <stp>BDH|16371177585044381767</stp>
        <tr r="C53" s="17"/>
        <tr r="C10" s="25"/>
      </tp>
      <tp t="e">
        <v>#N/A</v>
        <stp/>
        <stp>BDH|18112602335621121019</stp>
        <tr r="G30" s="34"/>
      </tp>
      <tp t="e">
        <v>#N/A</v>
        <stp/>
        <stp>BDH|18190154027995195260</stp>
        <tr r="Z23" s="18"/>
      </tp>
      <tp t="e">
        <v>#N/A</v>
        <stp/>
        <stp>BDH|12636492178919428477</stp>
        <tr r="U15" s="26"/>
      </tp>
      <tp t="e">
        <v>#N/A</v>
        <stp/>
        <stp>BDH|13936411879974330865</stp>
        <tr r="L10" s="13"/>
      </tp>
      <tp t="e">
        <v>#N/A</v>
        <stp/>
        <stp>BDH|15509405687906037362</stp>
        <tr r="Q24" s="20"/>
      </tp>
      <tp t="e">
        <v>#N/A</v>
        <stp/>
        <stp>BDH|17382445265501723817</stp>
        <tr r="H140" s="18"/>
      </tp>
      <tp t="e">
        <v>#N/A</v>
        <stp/>
        <stp>BDH|11469023582964313131</stp>
        <tr r="E92" s="12"/>
      </tp>
      <tp t="e">
        <v>#N/A</v>
        <stp/>
        <stp>BDH|16358407820388265455</stp>
        <tr r="O14" s="10"/>
      </tp>
      <tp t="e">
        <v>#N/A</v>
        <stp/>
        <stp>BDH|12403078476459463058</stp>
        <tr r="AA107" s="12"/>
      </tp>
      <tp t="e">
        <v>#N/A</v>
        <stp/>
        <stp>BDH|10764366227198590579</stp>
        <tr r="T12" s="13"/>
      </tp>
      <tp t="e">
        <v>#N/A</v>
        <stp/>
        <stp>BDH|18381455402827058701</stp>
        <tr r="O105" s="12"/>
      </tp>
      <tp t="e">
        <v>#N/A</v>
        <stp/>
        <stp>BDH|17281538579641868841</stp>
        <tr r="Y87" s="18"/>
      </tp>
      <tp t="e">
        <v>#N/A</v>
        <stp/>
        <stp>BDH|12568797995625917547</stp>
        <tr r="D64" s="18"/>
      </tp>
      <tp t="e">
        <v>#N/A</v>
        <stp/>
        <stp>BDH|13980283876989467374</stp>
        <tr r="Y8" s="2"/>
      </tp>
      <tp t="e">
        <v>#N/A</v>
        <stp/>
        <stp>BDH|16502607695125041042</stp>
        <tr r="X40" s="12"/>
      </tp>
      <tp t="e">
        <v>#N/A</v>
        <stp/>
        <stp>BDH|12162810587146693859</stp>
        <tr r="O63" s="12"/>
      </tp>
      <tp t="e">
        <v>#N/A</v>
        <stp/>
        <stp>BDH|15371301696020625373</stp>
        <tr r="R14" s="28"/>
      </tp>
      <tp t="e">
        <v>#N/A</v>
        <stp/>
        <stp>BDH|10760440915980202908</stp>
        <tr r="S23" s="9"/>
      </tp>
      <tp t="e">
        <v>#N/A</v>
        <stp/>
        <stp>BDH|15043990722143774184</stp>
        <tr r="K38" s="12"/>
      </tp>
      <tp t="e">
        <v>#N/A</v>
        <stp/>
        <stp>BDH|17477517697734146375</stp>
        <tr r="G38" s="17"/>
      </tp>
      <tp t="e">
        <v>#N/A</v>
        <stp/>
        <stp>BDH|17567260595244192438</stp>
        <tr r="I19" s="17"/>
      </tp>
      <tp t="e">
        <v>#N/A</v>
        <stp/>
        <stp>BDH|14441884959592649775</stp>
        <tr r="X24" s="23"/>
        <tr r="X21" s="30"/>
      </tp>
      <tp t="e">
        <v>#N/A</v>
        <stp/>
        <stp>BDH|10855302619096640808</stp>
        <tr r="F16" s="30"/>
      </tp>
      <tp t="e">
        <v>#N/A</v>
        <stp/>
        <stp>BDH|17844940471547931239</stp>
        <tr r="Z60" s="24"/>
      </tp>
      <tp t="e">
        <v>#N/A</v>
        <stp/>
        <stp>BDH|10027160813998650445</stp>
        <tr r="H33" s="22"/>
      </tp>
      <tp t="e">
        <v>#N/A</v>
        <stp/>
        <stp>BDH|14329577072879575340</stp>
        <tr r="O27" s="25"/>
        <tr r="O13" s="27"/>
      </tp>
      <tp t="e">
        <v>#N/A</v>
        <stp/>
        <stp>BDH|12424525200482504949</stp>
        <tr r="F9" s="10"/>
      </tp>
      <tp t="e">
        <v>#N/A</v>
        <stp/>
        <stp>BDH|16330385195132982205</stp>
        <tr r="AA94" s="17"/>
      </tp>
      <tp t="e">
        <v>#N/A</v>
        <stp/>
        <stp>BDH|17038771877612183966</stp>
        <tr r="R15" s="25"/>
      </tp>
      <tp t="e">
        <v>#N/A</v>
        <stp/>
        <stp>BDH|17312464592316267028</stp>
        <tr r="G8" s="21"/>
      </tp>
      <tp t="e">
        <v>#N/A</v>
        <stp/>
        <stp>BDH|10121418298990997165</stp>
        <tr r="P8" s="18"/>
      </tp>
      <tp t="e">
        <v>#N/A</v>
        <stp/>
        <stp>BDH|15390397669094755834</stp>
        <tr r="K50" s="10"/>
        <tr r="K14" s="7"/>
        <tr r="K42" s="11"/>
        <tr r="M9" s="3"/>
      </tp>
      <tp t="e">
        <v>#N/A</v>
        <stp/>
        <stp>BDH|11163848343603571240</stp>
        <tr r="E44" s="11"/>
        <tr r="E16" s="7"/>
        <tr r="E52" s="10"/>
      </tp>
      <tp t="e">
        <v>#N/A</v>
        <stp/>
        <stp>BDH|16371665695583690610</stp>
        <tr r="Z75" s="17"/>
      </tp>
      <tp t="e">
        <v>#N/A</v>
        <stp/>
        <stp>BDH|17930743419629138428</stp>
        <tr r="Q30" s="18"/>
      </tp>
      <tp t="e">
        <v>#N/A</v>
        <stp/>
        <stp>BDH|13061775611189648075</stp>
        <tr r="M38" s="24"/>
      </tp>
      <tp t="e">
        <v>#N/A</v>
        <stp/>
        <stp>BDH|14283909432585229755</stp>
        <tr r="Z7" s="24"/>
      </tp>
      <tp t="e">
        <v>#N/A</v>
        <stp/>
        <stp>BDH|14024651695540107764</stp>
        <tr r="H20" s="17"/>
      </tp>
      <tp t="e">
        <v>#N/A</v>
        <stp/>
        <stp>BDH|11825577958645617863</stp>
        <tr r="T54" s="6"/>
      </tp>
      <tp t="e">
        <v>#N/A</v>
        <stp/>
        <stp>BDH|17727822942200837780</stp>
        <tr r="C17" s="27"/>
        <tr r="C31" s="25"/>
      </tp>
      <tp t="e">
        <v>#N/A</v>
        <stp/>
        <stp>BDH|14776881374463538490</stp>
        <tr r="AA45" s="21"/>
      </tp>
      <tp t="e">
        <v>#N/A</v>
        <stp/>
        <stp>BDH|10020232312056243945</stp>
        <tr r="C65" s="18"/>
      </tp>
      <tp t="e">
        <v>#N/A</v>
        <stp/>
        <stp>BDH|12937624184043867300</stp>
        <tr r="T22" s="18"/>
      </tp>
      <tp t="e">
        <v>#N/A</v>
        <stp/>
        <stp>BDH|16827101096312876016</stp>
        <tr r="C39" s="26"/>
      </tp>
      <tp t="e">
        <v>#N/A</v>
        <stp/>
        <stp>BDH|13346592689751588319</stp>
        <tr r="N48" s="22"/>
      </tp>
      <tp t="e">
        <v>#N/A</v>
        <stp/>
        <stp>BDH|11834191545159234110</stp>
        <tr r="M24" s="13"/>
      </tp>
      <tp t="e">
        <v>#N/A</v>
        <stp/>
        <stp>BDH|17209065789911238288</stp>
        <tr r="T7" s="30"/>
      </tp>
      <tp t="e">
        <v>#N/A</v>
        <stp/>
        <stp>BDH|11177586589626211651</stp>
        <tr r="AA158" s="18"/>
      </tp>
      <tp t="e">
        <v>#N/A</v>
        <stp/>
        <stp>BDH|14817862818214302524</stp>
        <tr r="N23" s="23"/>
      </tp>
      <tp t="e">
        <v>#N/A</v>
        <stp/>
        <stp>BDH|16139117275528623446</stp>
        <tr r="R32" s="21"/>
      </tp>
      <tp t="e">
        <v>#N/A</v>
        <stp/>
        <stp>BDH|15169516011214133975</stp>
        <tr r="U40" s="24"/>
      </tp>
      <tp t="e">
        <v>#N/A</v>
        <stp/>
        <stp>BDH|14919013101491976975</stp>
        <tr r="F21" s="3"/>
      </tp>
      <tp t="e">
        <v>#N/A</v>
        <stp/>
        <stp>BDH|10714902927862163576</stp>
        <tr r="N20" s="10"/>
      </tp>
      <tp t="e">
        <v>#N/A</v>
        <stp/>
        <stp>BDH|12772315096375425128</stp>
        <tr r="M22" s="10"/>
      </tp>
      <tp t="e">
        <v>#N/A</v>
        <stp/>
        <stp>BDH|16903211258575495827</stp>
        <tr r="E23" s="21"/>
      </tp>
      <tp t="e">
        <v>#N/A</v>
        <stp/>
        <stp>BDH|11704023569542971938</stp>
        <tr r="Z59" s="18"/>
      </tp>
      <tp t="e">
        <v>#N/A</v>
        <stp/>
        <stp>BDH|14285344093134656651</stp>
        <tr r="U27" s="7"/>
      </tp>
      <tp t="e">
        <v>#N/A</v>
        <stp/>
        <stp>BDH|16153147347786447909</stp>
        <tr r="C63" s="18"/>
      </tp>
      <tp t="e">
        <v>#N/A</v>
        <stp/>
        <stp>BDH|14494430717119729415</stp>
        <tr r="D19" s="6"/>
      </tp>
      <tp t="e">
        <v>#N/A</v>
        <stp/>
        <stp>BDH|14688918224925663630</stp>
        <tr r="L86" s="18"/>
      </tp>
      <tp t="e">
        <v>#N/A</v>
        <stp/>
        <stp>BDH|18132477213803254216</stp>
        <tr r="L91" s="12"/>
      </tp>
      <tp t="e">
        <v>#N/A</v>
        <stp/>
        <stp>BDH|12090652611561652844</stp>
        <tr r="Y45" s="18"/>
      </tp>
      <tp t="e">
        <v>#N/A</v>
        <stp/>
        <stp>BDH|11207873522192050519</stp>
        <tr r="V75" s="24"/>
      </tp>
      <tp t="e">
        <v>#N/A</v>
        <stp/>
        <stp>BDH|11703999936643814460</stp>
        <tr r="Y18" s="30"/>
      </tp>
      <tp t="e">
        <v>#N/A</v>
        <stp/>
        <stp>BDH|15983679394232440489</stp>
        <tr r="G37" s="21"/>
        <tr r="G24" s="3"/>
      </tp>
      <tp t="e">
        <v>#N/A</v>
        <stp/>
        <stp>BDH|10331337611629699716</stp>
        <tr r="N70" s="24"/>
      </tp>
      <tp t="e">
        <v>#N/A</v>
        <stp/>
        <stp>BDH|12745054910016555918</stp>
        <tr r="C154" s="18"/>
      </tp>
      <tp t="e">
        <v>#N/A</v>
        <stp/>
        <stp>BDH|12630425902233308939</stp>
        <tr r="J14" s="10"/>
      </tp>
      <tp t="e">
        <v>#N/A</v>
        <stp/>
        <stp>BDH|13570201887760758537</stp>
        <tr r="N8" s="26"/>
        <tr r="K10" s="9"/>
      </tp>
      <tp t="e">
        <v>#N/A</v>
        <stp/>
        <stp>BDH|14178939667362697555</stp>
        <tr r="S29" s="5"/>
      </tp>
      <tp t="e">
        <v>#N/A</v>
        <stp/>
        <stp>BDH|18009637194539663275</stp>
        <tr r="O28" s="9"/>
        <tr r="O28" s="5"/>
      </tp>
      <tp t="e">
        <v>#N/A</v>
        <stp/>
        <stp>BDH|12625033356322750926</stp>
        <tr r="L44" s="11"/>
        <tr r="L52" s="10"/>
        <tr r="L16" s="7"/>
      </tp>
      <tp t="e">
        <v>#N/A</v>
        <stp/>
        <stp>BDH|10506078851581384864</stp>
        <tr r="Z30" s="22"/>
      </tp>
      <tp t="e">
        <v>#N/A</v>
        <stp/>
        <stp>BDH|17482215235818475222</stp>
        <tr r="C60" s="11"/>
      </tp>
      <tp t="e">
        <v>#N/A</v>
        <stp/>
        <stp>BDH|17706793239277133802</stp>
        <tr r="L8" s="12"/>
      </tp>
      <tp t="e">
        <v>#N/A</v>
        <stp/>
        <stp>BDH|17903296186595902494</stp>
        <tr r="E153" s="18"/>
      </tp>
      <tp t="e">
        <v>#N/A</v>
        <stp/>
        <stp>BDH|17687879610391543321</stp>
        <tr r="I21" s="24"/>
      </tp>
      <tp t="e">
        <v>#N/A</v>
        <stp/>
        <stp>BDH|10721122184705025072</stp>
        <tr r="V46" s="18"/>
      </tp>
      <tp t="e">
        <v>#N/A</v>
        <stp/>
        <stp>BDH|10581840224421037738</stp>
        <tr r="E9" s="6"/>
      </tp>
      <tp t="e">
        <v>#N/A</v>
        <stp/>
        <stp>BDH|13615710388059935905</stp>
        <tr r="D24" s="22"/>
      </tp>
      <tp t="e">
        <v>#N/A</v>
        <stp/>
        <stp>BDH|14104847920094595669</stp>
        <tr r="L15" s="23"/>
        <tr r="J58" s="11"/>
      </tp>
      <tp t="e">
        <v>#N/A</v>
        <stp/>
        <stp>BDH|10252764145329322647</stp>
        <tr r="N49" s="13"/>
        <tr r="L37" s="11"/>
        <tr r="L45" s="10"/>
        <tr r="L53" s="4"/>
        <tr r="L18" s="2"/>
      </tp>
      <tp t="e">
        <v>#N/A</v>
        <stp/>
        <stp>BDH|13218829781918472730</stp>
        <tr r="Y32" s="21"/>
      </tp>
      <tp t="e">
        <v>#N/A</v>
        <stp/>
        <stp>BDH|10375174962479056207</stp>
        <tr r="Y77" s="24"/>
      </tp>
      <tp t="e">
        <v>#N/A</v>
        <stp/>
        <stp>BDH|14880306097633857118</stp>
        <tr r="E25" s="34"/>
      </tp>
      <tp t="e">
        <v>#N/A</v>
        <stp/>
        <stp>BDH|10177274486673685508</stp>
        <tr r="O19" s="18"/>
      </tp>
      <tp t="e">
        <v>#N/A</v>
        <stp/>
        <stp>BDH|14721305783480237304</stp>
        <tr r="W80" s="18"/>
      </tp>
      <tp t="e">
        <v>#N/A</v>
        <stp/>
        <stp>BDH|18399766383449467249</stp>
        <tr r="K29" s="5"/>
      </tp>
      <tp t="e">
        <v>#N/A</v>
        <stp/>
        <stp>BDH|10957695651326770900</stp>
        <tr r="P23" s="10"/>
      </tp>
      <tp t="e">
        <v>#N/A</v>
        <stp/>
        <stp>BDH|12897447063638779414</stp>
        <tr r="T6" s="20"/>
        <tr r="T108" s="18"/>
      </tp>
      <tp t="e">
        <v>#N/A</v>
        <stp/>
        <stp>BDH|16755141983970922304</stp>
        <tr r="S69" s="34"/>
      </tp>
      <tp t="e">
        <v>#N/A</v>
        <stp/>
        <stp>BDH|11847086780956091399</stp>
        <tr r="G63" s="34"/>
      </tp>
      <tp t="e">
        <v>#N/A</v>
        <stp/>
        <stp>BDH|16852062880996133466</stp>
        <tr r="U62" s="18"/>
      </tp>
      <tp t="e">
        <v>#N/A</v>
        <stp/>
        <stp>BDH|14553426182096996250</stp>
        <tr r="Y169" s="18"/>
      </tp>
      <tp t="e">
        <v>#N/A</v>
        <stp/>
        <stp>BDH|12937383668843058804</stp>
        <tr r="H28" s="12"/>
      </tp>
      <tp t="e">
        <v>#N/A</v>
        <stp/>
        <stp>BDH|16612837991268584385</stp>
        <tr r="L14" s="18"/>
      </tp>
      <tp t="e">
        <v>#N/A</v>
        <stp/>
        <stp>BDH|15385964531834941749</stp>
        <tr r="R47" s="18"/>
      </tp>
      <tp t="e">
        <v>#N/A</v>
        <stp/>
        <stp>BDH|18256476700913849346</stp>
        <tr r="O68" s="12"/>
      </tp>
      <tp t="e">
        <v>#N/A</v>
        <stp/>
        <stp>BDH|11102717438830465956</stp>
        <tr r="P14" s="20"/>
        <tr r="P115" s="18"/>
      </tp>
      <tp t="e">
        <v>#N/A</v>
        <stp/>
        <stp>BDH|11396622781530924302</stp>
        <tr r="AA73" s="17"/>
      </tp>
      <tp t="e">
        <v>#N/A</v>
        <stp/>
        <stp>BDH|10063111278888978296</stp>
        <tr r="V25" s="21"/>
      </tp>
      <tp t="e">
        <v>#N/A</v>
        <stp/>
        <stp>BDH|13210073688157397077</stp>
        <tr r="N42" s="24"/>
      </tp>
      <tp t="e">
        <v>#N/A</v>
        <stp/>
        <stp>BDH|15476176633458015399</stp>
        <tr r="M44" s="6"/>
      </tp>
      <tp t="e">
        <v>#N/A</v>
        <stp/>
        <stp>BDH|16284437295404575381</stp>
        <tr r="S64" s="21"/>
        <tr r="Q23" s="7"/>
      </tp>
      <tp t="e">
        <v>#N/A</v>
        <stp/>
        <stp>BDH|13556140181483172585</stp>
        <tr r="S24" s="12"/>
      </tp>
      <tp t="e">
        <v>#N/A</v>
        <stp/>
        <stp>BDH|16687999865554034134</stp>
        <tr r="M15" s="5"/>
      </tp>
      <tp t="e">
        <v>#N/A</v>
        <stp/>
        <stp>BDH|11784853304255888072</stp>
        <tr r="L41" s="12"/>
      </tp>
      <tp t="e">
        <v>#N/A</v>
        <stp/>
        <stp>BDH|17904010537869483123</stp>
        <tr r="N35" s="6"/>
      </tp>
      <tp t="e">
        <v>#N/A</v>
        <stp/>
        <stp>BDH|12973180515287850952</stp>
        <tr r="U12" s="12"/>
      </tp>
      <tp t="e">
        <v>#N/A</v>
        <stp/>
        <stp>BDH|17925993608744043610</stp>
        <tr r="L24" s="17"/>
      </tp>
      <tp t="e">
        <v>#N/A</v>
        <stp/>
        <stp>BDH|11230642795443864121</stp>
        <tr r="H76" s="24"/>
      </tp>
      <tp t="e">
        <v>#N/A</v>
        <stp/>
        <stp>BDH|17901626775333739907</stp>
        <tr r="O11" s="28"/>
      </tp>
      <tp t="e">
        <v>#N/A</v>
        <stp/>
        <stp>BDH|13297450291854803670</stp>
        <tr r="T10" s="24"/>
      </tp>
      <tp t="e">
        <v>#N/A</v>
        <stp/>
        <stp>BDH|13006409488886767567</stp>
        <tr r="W50" s="21"/>
      </tp>
      <tp t="e">
        <v>#N/A</v>
        <stp/>
        <stp>BDH|17876350103329100164</stp>
        <tr r="K14" s="21"/>
      </tp>
      <tp t="e">
        <v>#N/A</v>
        <stp/>
        <stp>BDH|12436982722245139067</stp>
        <tr r="V62" s="10"/>
      </tp>
      <tp t="e">
        <v>#N/A</v>
        <stp/>
        <stp>BDH|18306372315796087088</stp>
        <tr r="U29" s="6"/>
      </tp>
      <tp t="e">
        <v>#N/A</v>
        <stp/>
        <stp>BDH|14606996258364674087</stp>
        <tr r="J140" s="18"/>
      </tp>
      <tp t="e">
        <v>#N/A</v>
        <stp/>
        <stp>BDH|18007560352945443198</stp>
        <tr r="J18" s="14"/>
      </tp>
      <tp t="e">
        <v>#N/A</v>
        <stp/>
        <stp>BDH|11181535418338329108</stp>
        <tr r="E15" s="25"/>
      </tp>
      <tp t="e">
        <v>#N/A</v>
        <stp/>
        <stp>BDH|11420637307603948803</stp>
        <tr r="D18" s="14"/>
      </tp>
      <tp t="e">
        <v>#N/A</v>
        <stp/>
        <stp>BDH|13025719718319658069</stp>
        <tr r="K7" s="17"/>
      </tp>
      <tp t="e">
        <v>#N/A</v>
        <stp/>
        <stp>BDH|14952850601530311075</stp>
        <tr r="C8" s="26"/>
      </tp>
      <tp t="e">
        <v>#N/A</v>
        <stp/>
        <stp>BDH|12587148621774034990</stp>
        <tr r="S71" s="18"/>
      </tp>
      <tp t="e">
        <v>#N/A</v>
        <stp/>
        <stp>BDH|14209854085028973038</stp>
        <tr r="L13" s="14"/>
      </tp>
      <tp t="e">
        <v>#N/A</v>
        <stp/>
        <stp>BDH|15405125983138966848</stp>
        <tr r="L160" s="18"/>
      </tp>
      <tp t="e">
        <v>#N/A</v>
        <stp/>
        <stp>BDH|11432902733533688494</stp>
        <tr r="E16" s="6"/>
      </tp>
      <tp t="e">
        <v>#N/A</v>
        <stp/>
        <stp>BDH|11085742748396305876</stp>
        <tr r="H64" s="18"/>
      </tp>
      <tp t="e">
        <v>#N/A</v>
        <stp/>
        <stp>BDH|10986865769517958572</stp>
        <tr r="V17" s="12"/>
      </tp>
      <tp t="e">
        <v>#N/A</v>
        <stp/>
        <stp>BDH|16580459028478423449</stp>
        <tr r="V39" s="29"/>
        <tr r="V31" s="29"/>
        <tr r="U52" s="6"/>
        <tr r="V10" s="2"/>
        <tr r="U11" s="5"/>
      </tp>
      <tp t="e">
        <v>#N/A</v>
        <stp/>
        <stp>BDH|11825549536729798258</stp>
        <tr r="U36" s="21"/>
      </tp>
      <tp t="e">
        <v>#N/A</v>
        <stp/>
        <stp>BDH|10974235332095072809</stp>
        <tr r="R16" s="22"/>
      </tp>
      <tp t="e">
        <v>#N/A</v>
        <stp/>
        <stp>BDH|18244174968202210170</stp>
        <tr r="Z42" s="22"/>
      </tp>
      <tp t="e">
        <v>#N/A</v>
        <stp/>
        <stp>BDH|15091647379969331166</stp>
        <tr r="U19" s="10"/>
      </tp>
      <tp t="e">
        <v>#N/A</v>
        <stp/>
        <stp>BDH|12948552936429480168</stp>
        <tr r="X11" s="21"/>
      </tp>
      <tp t="e">
        <v>#N/A</v>
        <stp/>
        <stp>BDH|13765597191273470035</stp>
        <tr r="D77" s="18"/>
      </tp>
      <tp t="e">
        <v>#N/A</v>
        <stp/>
        <stp>BDH|13504714788486481608</stp>
        <tr r="M7" s="28"/>
      </tp>
      <tp t="e">
        <v>#N/A</v>
        <stp/>
        <stp>BDH|18270736909252421146</stp>
        <tr r="T28" s="5"/>
        <tr r="T28" s="9"/>
      </tp>
      <tp t="e">
        <v>#N/A</v>
        <stp/>
        <stp>BDH|14851420463159835390</stp>
        <tr r="F151" s="18"/>
      </tp>
      <tp t="e">
        <v>#N/A</v>
        <stp/>
        <stp>BDH|14573976415316810674</stp>
        <tr r="S28" s="18"/>
      </tp>
      <tp t="e">
        <v>#N/A</v>
        <stp/>
        <stp>BDH|18361927507605649885</stp>
        <tr r="C10" s="24"/>
      </tp>
      <tp t="e">
        <v>#N/A</v>
        <stp/>
        <stp>BDH|13434611796675211593</stp>
        <tr r="I76" s="17"/>
        <tr r="F9" s="9"/>
        <tr r="F9" s="5"/>
      </tp>
      <tp t="e">
        <v>#N/A</v>
        <stp/>
        <stp>BDH|13904604890663039317</stp>
        <tr r="Z94" s="12"/>
      </tp>
      <tp t="e">
        <v>#N/A</v>
        <stp/>
        <stp>BDH|14326123279219277722</stp>
        <tr r="P60" s="17"/>
      </tp>
      <tp t="e">
        <v>#N/A</v>
        <stp/>
        <stp>BDH|10721883842637646736</stp>
        <tr r="K48" s="17"/>
      </tp>
      <tp t="e">
        <v>#N/A</v>
        <stp/>
        <stp>BDH|15040328582802957014</stp>
        <tr r="U21" s="22"/>
      </tp>
      <tp t="e">
        <v>#N/A</v>
        <stp/>
        <stp>BDH|17671563695052420593</stp>
        <tr r="L124" s="18"/>
      </tp>
      <tp t="e">
        <v>#N/A</v>
        <stp/>
        <stp>BDH|15463939382591982946</stp>
        <tr r="R61" s="34"/>
      </tp>
      <tp t="e">
        <v>#N/A</v>
        <stp/>
        <stp>BDH|11557512309221467928</stp>
        <tr r="K15" s="12"/>
      </tp>
      <tp t="e">
        <v>#N/A</v>
        <stp/>
        <stp>BDH|16927909316223306172</stp>
        <tr r="C10" s="34"/>
      </tp>
      <tp t="e">
        <v>#N/A</v>
        <stp/>
        <stp>BDH|12086856315461958625</stp>
        <tr r="S14" s="21"/>
      </tp>
      <tp t="e">
        <v>#N/A</v>
        <stp/>
        <stp>BDH|10963533899375958519</stp>
        <tr r="N74" s="17"/>
      </tp>
      <tp t="e">
        <v>#N/A</v>
        <stp/>
        <stp>BDH|12554660862956357890</stp>
        <tr r="J31" s="21"/>
      </tp>
      <tp t="e">
        <v>#N/A</v>
        <stp/>
        <stp>BDH|10839058731196615912</stp>
        <tr r="R40" s="6"/>
      </tp>
      <tp t="e">
        <v>#N/A</v>
        <stp/>
        <stp>BDH|10428966908120741569</stp>
        <tr r="D16" s="26"/>
      </tp>
      <tp t="e">
        <v>#N/A</v>
        <stp/>
        <stp>BDH|10467787447398495744</stp>
        <tr r="K121" s="18"/>
      </tp>
      <tp t="e">
        <v>#N/A</v>
        <stp/>
        <stp>BDH|15138388447607015953</stp>
        <tr r="P48" s="17"/>
      </tp>
      <tp t="e">
        <v>#N/A</v>
        <stp/>
        <stp>BDH|16620033877335895815</stp>
        <tr r="O13" s="34"/>
      </tp>
      <tp t="e">
        <v>#N/A</v>
        <stp/>
        <stp>BDH|18293231095327718884</stp>
        <tr r="I54" s="6"/>
      </tp>
      <tp t="e">
        <v>#N/A</v>
        <stp/>
        <stp>BDH|16911149283795612630</stp>
        <tr r="X19" s="29"/>
        <tr r="X25" s="29"/>
        <tr r="X10" s="29"/>
        <tr r="Y12" s="8"/>
        <tr r="W6" s="9"/>
        <tr r="W6" s="5"/>
        <tr r="X6" s="2"/>
      </tp>
      <tp t="e">
        <v>#N/A</v>
        <stp/>
        <stp>BDH|15513879407120652180</stp>
        <tr r="L28" s="21"/>
      </tp>
      <tp t="e">
        <v>#N/A</v>
        <stp/>
        <stp>BDH|12707926519822356447</stp>
        <tr r="U33" s="21"/>
      </tp>
      <tp t="e">
        <v>#N/A</v>
        <stp/>
        <stp>BDH|16095593580176265101</stp>
        <tr r="H37" s="12"/>
      </tp>
      <tp t="e">
        <v>#N/A</v>
        <stp/>
        <stp>BDH|14881913019852221292</stp>
        <tr r="Y8" s="27"/>
      </tp>
      <tp t="e">
        <v>#N/A</v>
        <stp/>
        <stp>BDH|17731007697050975220</stp>
        <tr r="E83" s="18"/>
      </tp>
      <tp t="e">
        <v>#N/A</v>
        <stp/>
        <stp>BDH|10051564273659959770</stp>
        <tr r="H8" s="28"/>
      </tp>
      <tp t="e">
        <v>#N/A</v>
        <stp/>
        <stp>BDH|10849043585805153138</stp>
        <tr r="F136" s="18"/>
      </tp>
      <tp t="e">
        <v>#N/A</v>
        <stp/>
        <stp>BDH|12567305880121664486</stp>
        <tr r="E18" s="27"/>
        <tr r="E32" s="25"/>
      </tp>
      <tp t="e">
        <v>#N/A</v>
        <stp/>
        <stp>BDH|17217936133143827216</stp>
        <tr r="F60" s="11"/>
      </tp>
      <tp t="e">
        <v>#N/A</v>
        <stp/>
        <stp>BDH|13648682633478707213</stp>
        <tr r="O47" s="34"/>
      </tp>
      <tp t="e">
        <v>#N/A</v>
        <stp/>
        <stp>BDH|10656864969034045624</stp>
        <tr r="U164" s="18"/>
      </tp>
      <tp t="e">
        <v>#N/A</v>
        <stp/>
        <stp>BDH|15708857344393945641</stp>
        <tr r="Z51" s="12"/>
      </tp>
      <tp t="e">
        <v>#N/A</v>
        <stp/>
        <stp>BDH|11773936033866416189</stp>
        <tr r="Q30" s="12"/>
      </tp>
      <tp t="e">
        <v>#N/A</v>
        <stp/>
        <stp>BDH|17036802641022859524</stp>
        <tr r="W30" s="5"/>
      </tp>
      <tp t="e">
        <v>#N/A</v>
        <stp/>
        <stp>BDH|11526838187535283887</stp>
        <tr r="G10" s="10"/>
      </tp>
      <tp t="e">
        <v>#N/A</v>
        <stp/>
        <stp>BDH|13474484287023644067</stp>
        <tr r="R151" s="18"/>
      </tp>
      <tp t="e">
        <v>#N/A</v>
        <stp/>
        <stp>BDH|11903205341568249313</stp>
        <tr r="E14" s="14"/>
      </tp>
      <tp t="e">
        <v>#N/A</v>
        <stp/>
        <stp>BDH|17575937639089144853</stp>
        <tr r="O11" s="10"/>
        <tr r="O14" s="2"/>
      </tp>
      <tp t="e">
        <v>#N/A</v>
        <stp/>
        <stp>BDH|18333010346925650598</stp>
        <tr r="O153" s="18"/>
      </tp>
      <tp t="e">
        <v>#N/A</v>
        <stp/>
        <stp>BDH|10004672450968993754</stp>
        <tr r="M19" s="11"/>
      </tp>
      <tp t="e">
        <v>#N/A</v>
        <stp/>
        <stp>BDH|17980429385053345463</stp>
        <tr r="W65" s="21"/>
        <tr r="T28" s="6"/>
      </tp>
      <tp t="e">
        <v>#N/A</v>
        <stp/>
        <stp>BDH|11018301500519374787</stp>
        <tr r="D59" s="21"/>
      </tp>
      <tp t="e">
        <v>#N/A</v>
        <stp/>
        <stp>BDH|15349943120310411280</stp>
        <tr r="D48" s="24"/>
      </tp>
      <tp t="e">
        <v>#N/A</v>
        <stp/>
        <stp>BDH|15564931053703923677</stp>
        <tr r="R12" s="17"/>
      </tp>
      <tp t="e">
        <v>#N/A</v>
        <stp/>
        <stp>BDH|12161412780091889339</stp>
        <tr r="D57" s="12"/>
      </tp>
      <tp t="e">
        <v>#N/A</v>
        <stp/>
        <stp>BDH|11362346786510927633</stp>
        <tr r="H21" s="2"/>
      </tp>
      <tp t="e">
        <v>#N/A</v>
        <stp/>
        <stp>BDH|14509982521566649508</stp>
        <tr r="S41" s="24"/>
      </tp>
      <tp t="e">
        <v>#N/A</v>
        <stp/>
        <stp>BDH|17370838999663605953</stp>
        <tr r="N23" s="21"/>
      </tp>
      <tp t="e">
        <v>#N/A</v>
        <stp/>
        <stp>BDH|11456563759735886891</stp>
        <tr r="Z13" s="14"/>
      </tp>
      <tp t="e">
        <v>#N/A</v>
        <stp/>
        <stp>BDH|15834740940512468828</stp>
        <tr r="G26" s="29"/>
      </tp>
      <tp t="e">
        <v>#N/A</v>
        <stp/>
        <stp>BDH|16336999734521127155</stp>
        <tr r="R45" s="21"/>
      </tp>
      <tp t="e">
        <v>#N/A</v>
        <stp/>
        <stp>BDH|10669990655742095207</stp>
        <tr r="H28" s="4"/>
      </tp>
      <tp t="e">
        <v>#N/A</v>
        <stp/>
        <stp>BDH|12755671024848616282</stp>
        <tr r="S37" s="22"/>
      </tp>
      <tp t="e">
        <v>#N/A</v>
        <stp/>
        <stp>BDH|18260221938481345419</stp>
        <tr r="G34" s="17"/>
      </tp>
      <tp t="e">
        <v>#N/A</v>
        <stp/>
        <stp>BDH|17081023079519092519</stp>
        <tr r="O39" s="6"/>
      </tp>
      <tp t="e">
        <v>#N/A</v>
        <stp/>
        <stp>BDH|14887755590424457231</stp>
        <tr r="D21" s="21"/>
      </tp>
      <tp t="e">
        <v>#N/A</v>
        <stp/>
        <stp>BDH|11861330162720246816</stp>
        <tr r="V15" s="13"/>
      </tp>
      <tp t="e">
        <v>#N/A</v>
        <stp/>
        <stp>BDH|11334815078586485449</stp>
        <tr r="O30" s="26"/>
      </tp>
      <tp t="e">
        <v>#N/A</v>
        <stp/>
        <stp>BDH|12407891430833488633</stp>
        <tr r="M65" s="21"/>
        <tr r="J28" s="6"/>
      </tp>
      <tp t="e">
        <v>#N/A</v>
        <stp/>
        <stp>BDH|15611111249419709536</stp>
        <tr r="M9" s="12"/>
      </tp>
      <tp t="e">
        <v>#N/A</v>
        <stp/>
        <stp>BDH|17443086040749416626</stp>
        <tr r="Y18" s="14"/>
      </tp>
      <tp t="e">
        <v>#N/A</v>
        <stp/>
        <stp>BDH|16923557569610927960</stp>
        <tr r="K71" s="12"/>
      </tp>
      <tp t="e">
        <v>#N/A</v>
        <stp/>
        <stp>BDH|13564715389266698618</stp>
        <tr r="H56" s="11"/>
        <tr r="H24" s="4"/>
      </tp>
      <tp t="e">
        <v>#N/A</v>
        <stp/>
        <stp>BDH|12092929207560769784</stp>
        <tr r="T93" s="12"/>
      </tp>
      <tp t="e">
        <v>#N/A</v>
        <stp/>
        <stp>BDH|14942911213294183408</stp>
        <tr r="W136" s="18"/>
      </tp>
      <tp t="e">
        <v>#N/A</v>
        <stp/>
        <stp>BDH|18345658033274688591</stp>
        <tr r="O53" s="12"/>
      </tp>
      <tp t="e">
        <v>#N/A</v>
        <stp/>
        <stp>BDH|17897018113392972893</stp>
        <tr r="W56" s="12"/>
      </tp>
      <tp t="e">
        <v>#N/A</v>
        <stp/>
        <stp>BDH|10688397582967205053</stp>
        <tr r="G10" s="28"/>
      </tp>
      <tp t="e">
        <v>#N/A</v>
        <stp/>
        <stp>BDH|13902022995151339774</stp>
        <tr r="Q19" s="12"/>
      </tp>
      <tp t="e">
        <v>#N/A</v>
        <stp/>
        <stp>BDH|11104152339899587658</stp>
        <tr r="J32" s="22"/>
      </tp>
      <tp t="e">
        <v>#N/A</v>
        <stp/>
        <stp>BDH|16907245492186142739</stp>
        <tr r="S172" s="18"/>
      </tp>
      <tp t="e">
        <v>#N/A</v>
        <stp/>
        <stp>BDH|10992941974226726430</stp>
        <tr r="O34" s="29"/>
        <tr r="O14" s="29"/>
        <tr r="O23" s="29"/>
      </tp>
      <tp t="e">
        <v>#N/A</v>
        <stp/>
        <stp>BDH|16457568332204951842</stp>
        <tr r="U104" s="18"/>
      </tp>
      <tp t="e">
        <v>#N/A</v>
        <stp/>
        <stp>BDH|10388203251392676990</stp>
        <tr r="F17" s="27"/>
        <tr r="F31" s="25"/>
        <tr r="C14" s="5"/>
      </tp>
      <tp t="e">
        <v>#N/A</v>
        <stp/>
        <stp>BDH|16443999030612030207</stp>
        <tr r="O36" s="6"/>
      </tp>
      <tp t="e">
        <v>#N/A</v>
        <stp/>
        <stp>BDH|14580058553764788991</stp>
        <tr r="U13" s="18"/>
      </tp>
      <tp t="e">
        <v>#N/A</v>
        <stp/>
        <stp>BDH|15764407826108589796</stp>
        <tr r="AA21" s="3"/>
      </tp>
      <tp t="e">
        <v>#N/A</v>
        <stp/>
        <stp>BDH|11244882433421741738</stp>
        <tr r="Z41" s="22"/>
      </tp>
      <tp t="e">
        <v>#N/A</v>
        <stp/>
        <stp>BDH|15886652232464667845</stp>
        <tr r="P61" s="18"/>
      </tp>
      <tp t="e">
        <v>#N/A</v>
        <stp/>
        <stp>BDH|10234898275047708447</stp>
        <tr r="R21" s="20"/>
      </tp>
      <tp t="e">
        <v>#N/A</v>
        <stp/>
        <stp>BDH|16915920777935513145</stp>
        <tr r="S12" s="18"/>
      </tp>
      <tp t="e">
        <v>#N/A</v>
        <stp/>
        <stp>BDH|12315786614871083924</stp>
        <tr r="I65" s="24"/>
      </tp>
      <tp t="e">
        <v>#N/A</v>
        <stp/>
        <stp>BDH|17961842142500010723</stp>
        <tr r="R42" s="17"/>
      </tp>
      <tp t="e">
        <v>#N/A</v>
        <stp/>
        <stp>BDH|14222857258041163431</stp>
        <tr r="O14" s="17"/>
        <tr r="O17" s="28"/>
      </tp>
      <tp t="e">
        <v>#N/A</v>
        <stp/>
        <stp>BDH|16545573978391633915</stp>
        <tr r="X82" s="12"/>
      </tp>
      <tp t="e">
        <v>#N/A</v>
        <stp/>
        <stp>BDH|15878725611379183678</stp>
        <tr r="S9" s="12"/>
      </tp>
      <tp t="e">
        <v>#N/A</v>
        <stp/>
        <stp>BDH|13852466613133702973</stp>
        <tr r="K14" s="14"/>
      </tp>
      <tp t="e">
        <v>#N/A</v>
        <stp/>
        <stp>BDH|11171830735446247087</stp>
        <tr r="G37" s="18"/>
      </tp>
      <tp t="e">
        <v>#N/A</v>
        <stp/>
        <stp>BDH|18073995637117141927</stp>
        <tr r="Y8" s="11"/>
      </tp>
      <tp t="e">
        <v>#N/A</v>
        <stp/>
        <stp>BDH|13392888731150548423</stp>
        <tr r="I44" s="22"/>
      </tp>
      <tp t="e">
        <v>#N/A</v>
        <stp/>
        <stp>BDH|15526863364462833521</stp>
        <tr r="U123" s="18"/>
      </tp>
      <tp t="e">
        <v>#N/A</v>
        <stp/>
        <stp>BDH|16336667217408844573</stp>
        <tr r="I42" s="22"/>
      </tp>
      <tp t="e">
        <v>#N/A</v>
        <stp/>
        <stp>BDH|12808980764214011595</stp>
        <tr r="P13" s="23"/>
        <tr r="N57" s="11"/>
        <tr r="N38" s="4"/>
      </tp>
      <tp t="e">
        <v>#N/A</v>
        <stp/>
        <stp>BDH|14125438575208868328</stp>
        <tr r="J90" s="12"/>
      </tp>
      <tp t="e">
        <v>#N/A</v>
        <stp/>
        <stp>BDH|15320088424899765252</stp>
        <tr r="W13" s="2"/>
      </tp>
      <tp t="e">
        <v>#N/A</v>
        <stp/>
        <stp>BDH|14131956106017621691</stp>
        <tr r="U62" s="12"/>
      </tp>
      <tp t="e">
        <v>#N/A</v>
        <stp/>
        <stp>BDH|13152090964809305028</stp>
        <tr r="C40" s="6"/>
      </tp>
      <tp t="e">
        <v>#N/A</v>
        <stp/>
        <stp>BDH|18143964521926282994</stp>
        <tr r="N63" s="11"/>
        <tr r="N71" s="10"/>
      </tp>
      <tp t="e">
        <v>#N/A</v>
        <stp/>
        <stp>BDH|11386999745642278204</stp>
        <tr r="J30" s="21"/>
      </tp>
      <tp t="e">
        <v>#N/A</v>
        <stp/>
        <stp>BDH|13849682415930025889</stp>
        <tr r="E42" s="17"/>
      </tp>
      <tp t="e">
        <v>#N/A</v>
        <stp/>
        <stp>BDH|16085784895710661476</stp>
        <tr r="P14" s="22"/>
      </tp>
      <tp t="e">
        <v>#N/A</v>
        <stp/>
        <stp>BDH|17908981416247380480</stp>
        <tr r="E42" s="13"/>
      </tp>
      <tp t="e">
        <v>#N/A</v>
        <stp/>
        <stp>BDH|13020892036446172228</stp>
        <tr r="X18" s="34"/>
      </tp>
      <tp t="e">
        <v>#N/A</v>
        <stp/>
        <stp>BDH|11816328136465162811</stp>
        <tr r="P23" s="13"/>
      </tp>
      <tp t="e">
        <v>#N/A</v>
        <stp/>
        <stp>BDH|13048909349672111043</stp>
        <tr r="H130" s="18"/>
      </tp>
      <tp t="e">
        <v>#N/A</v>
        <stp/>
        <stp>BDH|17835110105359413348</stp>
        <tr r="F96" s="18"/>
      </tp>
      <tp t="e">
        <v>#N/A</v>
        <stp/>
        <stp>BDH|11366071183781887430</stp>
        <tr r="Z10" s="26"/>
      </tp>
      <tp t="e">
        <v>#N/A</v>
        <stp/>
        <stp>BDH|12767582101508468368</stp>
        <tr r="O70" s="12"/>
      </tp>
      <tp t="e">
        <v>#N/A</v>
        <stp/>
        <stp>BDH|11555334159989575260</stp>
        <tr r="V19" s="9"/>
      </tp>
      <tp t="e">
        <v>#N/A</v>
        <stp/>
        <stp>BDH|10087165058460434865</stp>
        <tr r="R23" s="11"/>
      </tp>
      <tp t="e">
        <v>#N/A</v>
        <stp/>
        <stp>BDH|18053482329822805050</stp>
        <tr r="J34" s="34"/>
      </tp>
      <tp t="e">
        <v>#N/A</v>
        <stp/>
        <stp>BDH|11913213486803765452</stp>
        <tr r="Q7" s="24"/>
      </tp>
      <tp t="e">
        <v>#N/A</v>
        <stp/>
        <stp>BDH|15473840358763559718</stp>
        <tr r="G14" s="13"/>
      </tp>
      <tp t="e">
        <v>#N/A</v>
        <stp/>
        <stp>BDH|18286733118430002253</stp>
        <tr r="O8" s="23"/>
      </tp>
      <tp t="e">
        <v>#N/A</v>
        <stp/>
        <stp>BDH|14834070195134090568</stp>
        <tr r="F13" s="9"/>
      </tp>
      <tp t="e">
        <v>#N/A</v>
        <stp/>
        <stp>BDH|15927117480873186356</stp>
        <tr r="E13" s="11"/>
      </tp>
      <tp t="e">
        <v>#N/A</v>
        <stp/>
        <stp>BDH|14844292189506568417</stp>
        <tr r="AA121" s="18"/>
      </tp>
      <tp t="e">
        <v>#N/A</v>
        <stp/>
        <stp>BDH|16853568737048189447</stp>
        <tr r="F30" s="26"/>
      </tp>
      <tp t="e">
        <v>#N/A</v>
        <stp/>
        <stp>BDH|18225282341496129467</stp>
        <tr r="F107" s="12"/>
      </tp>
      <tp t="e">
        <v>#N/A</v>
        <stp/>
        <stp>BDH|17900981388929483311</stp>
        <tr r="H51" s="34"/>
      </tp>
      <tp t="e">
        <v>#N/A</v>
        <stp/>
        <stp>BDH|17348065246009740685</stp>
        <tr r="J44" s="22"/>
      </tp>
      <tp t="e">
        <v>#N/A</v>
        <stp/>
        <stp>BDH|15431964318114584539</stp>
        <tr r="U48" s="6"/>
        <tr r="W6" s="8"/>
      </tp>
      <tp t="e">
        <v>#N/A</v>
        <stp/>
        <stp>BDH|10121613824781113991</stp>
        <tr r="I63" s="21"/>
      </tp>
      <tp t="e">
        <v>#N/A</v>
        <stp/>
        <stp>BDH|15209296960384570927</stp>
        <tr r="G13" s="6"/>
      </tp>
      <tp t="e">
        <v>#N/A</v>
        <stp/>
        <stp>BDH|10737515999391503161</stp>
        <tr r="I30" s="34"/>
      </tp>
      <tp t="e">
        <v>#N/A</v>
        <stp/>
        <stp>BDH|10205539652125742988</stp>
        <tr r="K13" s="18"/>
      </tp>
      <tp t="e">
        <v>#N/A</v>
        <stp/>
        <stp>BDH|13659576092152981151</stp>
        <tr r="S42" s="24"/>
      </tp>
      <tp t="e">
        <v>#N/A</v>
        <stp/>
        <stp>BDH|10865181179702685803</stp>
        <tr r="AA14" s="14"/>
      </tp>
      <tp t="e">
        <v>#N/A</v>
        <stp/>
        <stp>BDH|15588500338639059622</stp>
        <tr r="I35" s="18"/>
      </tp>
      <tp t="e">
        <v>#N/A</v>
        <stp/>
        <stp>BDH|10697653702882988873</stp>
        <tr r="K15" s="21"/>
      </tp>
      <tp t="e">
        <v>#N/A</v>
        <stp/>
        <stp>BDH|15842048284474337542</stp>
        <tr r="C71" s="12"/>
      </tp>
      <tp t="e">
        <v>#N/A</v>
        <stp/>
        <stp>BDH|11966522787028350808</stp>
        <tr r="M18" s="14"/>
      </tp>
      <tp t="e">
        <v>#N/A</v>
        <stp/>
        <stp>BDH|18005030605172998607</stp>
        <tr r="U13" s="25"/>
      </tp>
      <tp t="e">
        <v>#N/A</v>
        <stp/>
        <stp>BDH|14213518490380524497</stp>
        <tr r="D7" s="34"/>
      </tp>
      <tp t="e">
        <v>#N/A</v>
        <stp/>
        <stp>BDH|11384276442658945303</stp>
        <tr r="M7" s="4"/>
      </tp>
      <tp t="e">
        <v>#N/A</v>
        <stp/>
        <stp>BDH|13578894735780435428</stp>
        <tr r="T39" s="6"/>
      </tp>
      <tp t="e">
        <v>#N/A</v>
        <stp/>
        <stp>BDH|14875288191232934170</stp>
        <tr r="Y32" s="26"/>
      </tp>
      <tp t="e">
        <v>#N/A</v>
        <stp/>
        <stp>BDH|17441096515522090872</stp>
        <tr r="Q77" s="18"/>
      </tp>
      <tp t="e">
        <v>#N/A</v>
        <stp/>
        <stp>BDH|16786777580173955667</stp>
        <tr r="R18" s="30"/>
      </tp>
      <tp t="e">
        <v>#N/A</v>
        <stp/>
        <stp>BDH|15415083017818506016</stp>
        <tr r="M19" s="22"/>
      </tp>
      <tp t="e">
        <v>#N/A</v>
        <stp/>
        <stp>BDH|15168860379720605672</stp>
        <tr r="L19" s="6"/>
      </tp>
      <tp t="e">
        <v>#N/A</v>
        <stp/>
        <stp>BDH|13216995641543209173</stp>
        <tr r="V30" s="24"/>
      </tp>
      <tp t="e">
        <v>#N/A</v>
        <stp/>
        <stp>BDH|14694511407884874975</stp>
        <tr r="P25" s="26"/>
      </tp>
      <tp t="e">
        <v>#N/A</v>
        <stp/>
        <stp>BDH|13957944973760350121</stp>
        <tr r="S12" s="14"/>
      </tp>
      <tp t="e">
        <v>#N/A</v>
        <stp/>
        <stp>BDH|10641682013649455264</stp>
        <tr r="I69" s="34"/>
      </tp>
      <tp t="e">
        <v>#N/A</v>
        <stp/>
        <stp>BDH|12998539692456302444</stp>
        <tr r="Z80" s="12"/>
      </tp>
      <tp t="e">
        <v>#N/A</v>
        <stp/>
        <stp>BDH|10726693390140290339</stp>
        <tr r="AA60" s="18"/>
      </tp>
      <tp t="e">
        <v>#N/A</v>
        <stp/>
        <stp>BDH|13943612983974610529</stp>
        <tr r="R66" s="17"/>
      </tp>
      <tp t="e">
        <v>#N/A</v>
        <stp/>
        <stp>BDH|16079346349668588578</stp>
        <tr r="K17" s="18"/>
      </tp>
      <tp t="e">
        <v>#N/A</v>
        <stp/>
        <stp>BDH|15501885739577346582</stp>
        <tr r="X33" s="22"/>
      </tp>
      <tp t="e">
        <v>#N/A</v>
        <stp/>
        <stp>BDH|16360024537710924901</stp>
        <tr r="S45" s="24"/>
      </tp>
      <tp t="e">
        <v>#N/A</v>
        <stp/>
        <stp>BDH|11681360033124971958</stp>
        <tr r="T153" s="18"/>
      </tp>
      <tp t="e">
        <v>#N/A</v>
        <stp/>
        <stp>BDH|17024585891314285349</stp>
        <tr r="T50" s="21"/>
      </tp>
      <tp t="e">
        <v>#N/A</v>
        <stp/>
        <stp>BDH|17898775082682384617</stp>
        <tr r="O32" s="12"/>
      </tp>
      <tp t="e">
        <v>#N/A</v>
        <stp/>
        <stp>BDH|13374511936058218192</stp>
        <tr r="X84" s="18"/>
      </tp>
      <tp t="e">
        <v>#N/A</v>
        <stp/>
        <stp>BDH|12331290580477774324</stp>
        <tr r="G94" s="12"/>
      </tp>
      <tp t="e">
        <v>#N/A</v>
        <stp/>
        <stp>BDH|13284332972778908359</stp>
        <tr r="Q107" s="18"/>
      </tp>
      <tp t="e">
        <v>#N/A</v>
        <stp/>
        <stp>BDH|16802425014086774979</stp>
        <tr r="R63" s="18"/>
      </tp>
      <tp t="e">
        <v>#N/A</v>
        <stp/>
        <stp>BDH|11789992859092082398</stp>
        <tr r="H32" s="24"/>
      </tp>
      <tp t="e">
        <v>#N/A</v>
        <stp/>
        <stp>BDH|12855426086761056329</stp>
        <tr r="W13" s="9"/>
      </tp>
      <tp t="e">
        <v>#N/A</v>
        <stp/>
        <stp>BDH|13101759539438623350</stp>
        <tr r="H36" s="6"/>
      </tp>
      <tp t="e">
        <v>#N/A</v>
        <stp/>
        <stp>BDH|11193372319569845695</stp>
        <tr r="M10" s="34"/>
      </tp>
      <tp t="e">
        <v>#N/A</v>
        <stp/>
        <stp>BDH|11168669582871827238</stp>
        <tr r="J74" s="18"/>
      </tp>
      <tp t="e">
        <v>#N/A</v>
        <stp/>
        <stp>BDH|16421973197618290283</stp>
        <tr r="Y49" s="22"/>
      </tp>
      <tp t="e">
        <v>#N/A</v>
        <stp/>
        <stp>BDH|15120352083470888210</stp>
        <tr r="O10" s="11"/>
      </tp>
      <tp t="e">
        <v>#N/A</v>
        <stp/>
        <stp>BDH|17208538088591631712</stp>
        <tr r="E74" s="12"/>
      </tp>
      <tp t="e">
        <v>#N/A</v>
        <stp/>
        <stp>BDH|12380352690926119291</stp>
        <tr r="X72" s="18"/>
      </tp>
      <tp t="e">
        <v>#N/A</v>
        <stp/>
        <stp>BDH|17639937745355725397</stp>
        <tr r="D12" s="17"/>
      </tp>
      <tp t="e">
        <v>#N/A</v>
        <stp/>
        <stp>BDH|16875307294569346913</stp>
        <tr r="C45" s="6"/>
      </tp>
      <tp t="e">
        <v>#N/A</v>
        <stp/>
        <stp>BDH|13711006319958496645</stp>
        <tr r="P42" s="21"/>
      </tp>
      <tp t="e">
        <v>#N/A</v>
        <stp/>
        <stp>BDH|15399598190175351074</stp>
        <tr r="E26" s="13"/>
        <tr r="E16" s="13"/>
        <tr r="C18" s="10"/>
      </tp>
      <tp t="e">
        <v>#N/A</v>
        <stp/>
        <stp>BDH|12687647420233583994</stp>
        <tr r="N52" s="12"/>
      </tp>
      <tp t="e">
        <v>#N/A</v>
        <stp/>
        <stp>BDH|12042122844518071384</stp>
        <tr r="X98" s="18"/>
      </tp>
      <tp t="e">
        <v>#N/A</v>
        <stp/>
        <stp>BDH|18126623237104311591</stp>
        <tr r="U50" s="4"/>
      </tp>
      <tp t="e">
        <v>#N/A</v>
        <stp/>
        <stp>BDH|14808334127760320916</stp>
        <tr r="S19" s="20"/>
      </tp>
      <tp t="e">
        <v>#N/A</v>
        <stp/>
        <stp>BDH|15596569095651199498</stp>
        <tr r="X12" s="7"/>
      </tp>
      <tp t="e">
        <v>#N/A</v>
        <stp/>
        <stp>BDH|12700698296653492220</stp>
        <tr r="L15" s="13"/>
      </tp>
      <tp t="e">
        <v>#N/A</v>
        <stp/>
        <stp>BDH|15463641491695638395</stp>
        <tr r="P10" s="11"/>
      </tp>
      <tp t="e">
        <v>#N/A</v>
        <stp/>
        <stp>BDH|13560207351529939131</stp>
        <tr r="L19" s="9"/>
      </tp>
      <tp t="e">
        <v>#N/A</v>
        <stp/>
        <stp>BDH|16715985011401572351</stp>
        <tr r="P16" s="30"/>
      </tp>
      <tp t="e">
        <v>#N/A</v>
        <stp/>
        <stp>BDH|17741204936618754286</stp>
        <tr r="V91" s="12"/>
      </tp>
      <tp t="e">
        <v>#N/A</v>
        <stp/>
        <stp>BDH|15464672689544252361</stp>
        <tr r="E6" s="6"/>
      </tp>
      <tp t="e">
        <v>#N/A</v>
        <stp/>
        <stp>BDH|11227581080278565813</stp>
        <tr r="V27" s="12"/>
      </tp>
      <tp t="e">
        <v>#N/A</v>
        <stp/>
        <stp>BDH|12296701545385434923</stp>
        <tr r="D51" s="18"/>
      </tp>
      <tp t="e">
        <v>#N/A</v>
        <stp/>
        <stp>BDH|14669932409257447799</stp>
        <tr r="H7" s="28"/>
      </tp>
      <tp t="e">
        <v>#N/A</v>
        <stp/>
        <stp>BDH|16868387606910029871</stp>
        <tr r="O9" s="13"/>
      </tp>
      <tp t="e">
        <v>#N/A</v>
        <stp/>
        <stp>BDH|16263681798237477379</stp>
        <tr r="S70" s="18"/>
      </tp>
      <tp t="e">
        <v>#N/A</v>
        <stp/>
        <stp>BDH|11253665487183322119</stp>
        <tr r="G47" s="21"/>
      </tp>
      <tp t="e">
        <v>#N/A</v>
        <stp/>
        <stp>BDH|12572779694310441133</stp>
        <tr r="H8" s="29"/>
        <tr r="H30" s="29"/>
      </tp>
      <tp t="e">
        <v>#N/A</v>
        <stp/>
        <stp>BDH|15696896646506087288</stp>
        <tr r="T174" s="18"/>
      </tp>
      <tp t="e">
        <v>#N/A</v>
        <stp/>
        <stp>BDH|17590948263361016439</stp>
        <tr r="E13" s="21"/>
      </tp>
      <tp t="e">
        <v>#N/A</v>
        <stp/>
        <stp>BDH|14613289442047946845</stp>
        <tr r="N154" s="18"/>
      </tp>
      <tp t="e">
        <v>#N/A</v>
        <stp/>
        <stp>BDH|11200011889081217598</stp>
        <tr r="P122" s="18"/>
      </tp>
      <tp t="e">
        <v>#N/A</v>
        <stp/>
        <stp>BDH|17411026892000618339</stp>
        <tr r="I47" s="17"/>
      </tp>
      <tp t="e">
        <v>#N/A</v>
        <stp/>
        <stp>BDH|12660899908542241540</stp>
        <tr r="H42" s="12"/>
      </tp>
      <tp t="e">
        <v>#N/A</v>
        <stp/>
        <stp>BDH|11795933475881987394</stp>
        <tr r="AA83" s="12"/>
      </tp>
      <tp t="e">
        <v>#N/A</v>
        <stp/>
        <stp>BDH|18172915285973642721</stp>
        <tr r="Z82" s="12"/>
      </tp>
      <tp t="e">
        <v>#N/A</v>
        <stp/>
        <stp>BDH|17353314085309799816</stp>
        <tr r="H13" s="6"/>
      </tp>
      <tp t="e">
        <v>#N/A</v>
        <stp/>
        <stp>BDH|15436181330608812258</stp>
        <tr r="T48" s="34"/>
      </tp>
      <tp t="e">
        <v>#N/A</v>
        <stp/>
        <stp>BDH|15513881408266791636</stp>
        <tr r="AA56" s="12"/>
      </tp>
      <tp t="e">
        <v>#N/A</v>
        <stp/>
        <stp>BDH|18192828692084481045</stp>
        <tr r="G8" s="10"/>
      </tp>
      <tp t="e">
        <v>#N/A</v>
        <stp/>
        <stp>BDH|15394831159791879404</stp>
        <tr r="E10" s="18"/>
      </tp>
      <tp t="e">
        <v>#N/A</v>
        <stp/>
        <stp>BDH|17878546968851491812</stp>
        <tr r="T93" s="17"/>
        <tr r="T13" s="28"/>
      </tp>
      <tp t="e">
        <v>#N/A</v>
        <stp/>
        <stp>BDH|16548262390197532776</stp>
        <tr r="V32" s="26"/>
      </tp>
      <tp t="e">
        <v>#N/A</v>
        <stp/>
        <stp>BDH|13167833407676559017</stp>
        <tr r="R41" s="17"/>
      </tp>
      <tp t="e">
        <v>#N/A</v>
        <stp/>
        <stp>BDH|12672465686785319645</stp>
        <tr r="V47" s="34"/>
      </tp>
      <tp t="e">
        <v>#N/A</v>
        <stp/>
        <stp>BDH|13512944412520243605</stp>
        <tr r="S74" s="18"/>
      </tp>
      <tp t="e">
        <v>#N/A</v>
        <stp/>
        <stp>BDH|16232950244720420667</stp>
        <tr r="H10" s="12"/>
      </tp>
      <tp t="e">
        <v>#N/A</v>
        <stp/>
        <stp>BDH|12286644173819709734</stp>
        <tr r="K35" s="26"/>
      </tp>
      <tp t="e">
        <v>#N/A</v>
        <stp/>
        <stp>BDH|13259052693176433115</stp>
        <tr r="K65" s="24"/>
      </tp>
      <tp t="e">
        <v>#N/A</v>
        <stp/>
        <stp>BDH|15808619423905920925</stp>
        <tr r="O63" s="24"/>
      </tp>
      <tp t="e">
        <v>#N/A</v>
        <stp/>
        <stp>BDH|12026667682288140944</stp>
        <tr r="W61" s="12"/>
      </tp>
      <tp t="e">
        <v>#N/A</v>
        <stp/>
        <stp>BDH|12694669687907375659</stp>
        <tr r="S30" s="18"/>
      </tp>
      <tp t="e">
        <v>#N/A</v>
        <stp/>
        <stp>BDH|10439410537768134221</stp>
        <tr r="G20" s="29"/>
      </tp>
      <tp t="e">
        <v>#N/A</v>
        <stp/>
        <stp>BDH|10158012892784718044</stp>
        <tr r="I19" s="10"/>
      </tp>
      <tp t="e">
        <v>#N/A</v>
        <stp/>
        <stp>BDH|13527814252310437333</stp>
        <tr r="T41" s="21"/>
      </tp>
      <tp t="e">
        <v>#N/A</v>
        <stp/>
        <stp>BDH|15034644065099862185</stp>
        <tr r="K58" s="21"/>
        <tr r="K37" s="25"/>
        <tr r="I53" s="11"/>
        <tr r="I31" s="4"/>
      </tp>
      <tp t="e">
        <v>#N/A</v>
        <stp/>
        <stp>BDH|11458186112639610590</stp>
        <tr r="AA52" s="22"/>
      </tp>
      <tp t="e">
        <v>#N/A</v>
        <stp/>
        <stp>BDH|14725412580477561226</stp>
        <tr r="K42" s="34"/>
      </tp>
      <tp t="e">
        <v>#N/A</v>
        <stp/>
        <stp>BDH|11092464467169290721</stp>
        <tr r="I90" s="17"/>
        <tr r="I34" s="25"/>
      </tp>
      <tp t="e">
        <v>#N/A</v>
        <stp/>
        <stp>BDH|15507311764859541456</stp>
        <tr r="R117" s="18"/>
      </tp>
      <tp t="e">
        <v>#N/A</v>
        <stp/>
        <stp>BDH|15881116399438410840</stp>
        <tr r="I58" s="24"/>
      </tp>
      <tp t="e">
        <v>#N/A</v>
        <stp/>
        <stp>BDH|10625847758212845229</stp>
        <tr r="R41" s="10"/>
        <tr r="R33" s="11"/>
      </tp>
      <tp t="e">
        <v>#N/A</v>
        <stp/>
        <stp>BDH|12175938429381205595</stp>
        <tr r="G63" s="10"/>
      </tp>
      <tp t="e">
        <v>#N/A</v>
        <stp/>
        <stp>BDH|16008956243682198470</stp>
        <tr r="X55" s="17"/>
      </tp>
      <tp t="e">
        <v>#N/A</v>
        <stp/>
        <stp>BDH|10735554046535125959</stp>
        <tr r="W67" s="34"/>
      </tp>
      <tp t="e">
        <v>#N/A</v>
        <stp/>
        <stp>BDH|13667252090402385701</stp>
        <tr r="C9" s="20"/>
        <tr r="C111" s="18"/>
      </tp>
      <tp t="e">
        <v>#N/A</v>
        <stp/>
        <stp>BDH|14302663941689356278</stp>
        <tr r="Q135" s="18"/>
      </tp>
      <tp t="e">
        <v>#N/A</v>
        <stp/>
        <stp>BDH|15818131187619490880</stp>
        <tr r="C48" s="18"/>
      </tp>
      <tp t="e">
        <v>#N/A</v>
        <stp/>
        <stp>BDH|13975985726156383344</stp>
        <tr r="E173" s="18"/>
      </tp>
      <tp t="e">
        <v>#N/A</v>
        <stp/>
        <stp>BDH|13708378922417462865</stp>
        <tr r="M14" s="34"/>
      </tp>
      <tp t="e">
        <v>#N/A</v>
        <stp/>
        <stp>BDH|15350571695914865094</stp>
        <tr r="W58" s="18"/>
      </tp>
      <tp t="e">
        <v>#N/A</v>
        <stp/>
        <stp>BDH|15845152844885008890</stp>
        <tr r="F11" s="18"/>
      </tp>
      <tp t="e">
        <v>#N/A</v>
        <stp/>
        <stp>BDH|10584035181686017374</stp>
        <tr r="K63" s="17"/>
      </tp>
      <tp t="e">
        <v>#N/A</v>
        <stp/>
        <stp>BDH|10454213680233584402</stp>
        <tr r="G31" s="6"/>
      </tp>
      <tp t="e">
        <v>#N/A</v>
        <stp/>
        <stp>BDH|15652713192096326069</stp>
        <tr r="R89" s="18"/>
      </tp>
      <tp t="e">
        <v>#N/A</v>
        <stp/>
        <stp>BDH|10703377613139380603</stp>
        <tr r="Q171" s="18"/>
      </tp>
      <tp t="e">
        <v>#N/A</v>
        <stp/>
        <stp>BDH|15357046848845653992</stp>
        <tr r="W18" s="21"/>
        <tr r="U23" s="2"/>
        <tr r="W23" s="3"/>
      </tp>
      <tp t="e">
        <v>#N/A</v>
        <stp/>
        <stp>BDH|12613329437758051736</stp>
        <tr r="M29" s="6"/>
      </tp>
      <tp t="e">
        <v>#N/A</v>
        <stp/>
        <stp>BDH|10232570458825488890</stp>
        <tr r="Z61" s="13"/>
      </tp>
      <tp t="e">
        <v>#N/A</v>
        <stp/>
        <stp>BDH|17394228599395196498</stp>
        <tr r="E59" s="34"/>
      </tp>
      <tp t="e">
        <v>#N/A</v>
        <stp/>
        <stp>BDH|10669179994992741721</stp>
        <tr r="W97" s="18"/>
      </tp>
      <tp t="e">
        <v>#N/A</v>
        <stp/>
        <stp>BDH|10733043587121222460</stp>
        <tr r="E24" s="2"/>
      </tp>
      <tp t="e">
        <v>#N/A</v>
        <stp/>
        <stp>BDH|10089913818372096792</stp>
        <tr r="L22" s="20"/>
      </tp>
      <tp t="e">
        <v>#N/A</v>
        <stp/>
        <stp>BDH|15767135090256123651</stp>
        <tr r="N98" s="12"/>
      </tp>
      <tp t="e">
        <v>#N/A</v>
        <stp/>
        <stp>BDH|16292722383852009632</stp>
        <tr r="C8" s="28"/>
      </tp>
      <tp t="e">
        <v>#N/A</v>
        <stp/>
        <stp>BDH|15739546299325261180</stp>
        <tr r="K55" s="18"/>
      </tp>
      <tp t="e">
        <v>#N/A</v>
        <stp/>
        <stp>BDH|15414458517648212549</stp>
        <tr r="D16" s="27"/>
        <tr r="D30" s="25"/>
      </tp>
      <tp t="e">
        <v>#N/A</v>
        <stp/>
        <stp>BDH|17056511460380147906</stp>
        <tr r="D63" s="17"/>
      </tp>
      <tp t="e">
        <v>#N/A</v>
        <stp/>
        <stp>BDH|14989202799874624664</stp>
        <tr r="S58" s="34"/>
      </tp>
      <tp t="e">
        <v>#N/A</v>
        <stp/>
        <stp>BDH|15766978844551261469</stp>
        <tr r="F8" s="26"/>
        <tr r="C10" s="9"/>
      </tp>
      <tp t="e">
        <v>#N/A</v>
        <stp/>
        <stp>BDH|12121203268838883315</stp>
        <tr r="P64" s="10"/>
        <tr r="P25" s="4"/>
      </tp>
      <tp t="e">
        <v>#N/A</v>
        <stp/>
        <stp>BDH|12618377116755498802</stp>
        <tr r="H34" s="12"/>
      </tp>
      <tp t="e">
        <v>#N/A</v>
        <stp/>
        <stp>BDH|13590974661433004200</stp>
        <tr r="O31" s="21"/>
      </tp>
      <tp t="e">
        <v>#N/A</v>
        <stp/>
        <stp>BDH|15773474787542381677</stp>
        <tr r="L101" s="12"/>
      </tp>
      <tp t="e">
        <v>#N/A</v>
        <stp/>
        <stp>BDH|11902118818069282518</stp>
        <tr r="R40" s="24"/>
      </tp>
      <tp t="e">
        <v>#N/A</v>
        <stp/>
        <stp>BDH|15727554226528792702</stp>
        <tr r="J51" s="12"/>
      </tp>
      <tp t="e">
        <v>#N/A</v>
        <stp/>
        <stp>BDH|14402904507468011809</stp>
        <tr r="F68" s="18"/>
      </tp>
      <tp t="e">
        <v>#N/A</v>
        <stp/>
        <stp>BDH|18403755846027532119</stp>
        <tr r="AA67" s="12"/>
      </tp>
      <tp t="e">
        <v>#N/A</v>
        <stp/>
        <stp>BDH|14246104783437328719</stp>
        <tr r="T112" s="12"/>
      </tp>
      <tp t="e">
        <v>#N/A</v>
        <stp/>
        <stp>BDH|16782964378116931331</stp>
        <tr r="T60" s="13"/>
      </tp>
      <tp t="e">
        <v>#N/A</v>
        <stp/>
        <stp>BDH|11188905666356741537</stp>
        <tr r="G37" s="26"/>
      </tp>
      <tp t="e">
        <v>#N/A</v>
        <stp/>
        <stp>BDH|14862665127608915538</stp>
        <tr r="X9" s="34"/>
      </tp>
      <tp t="e">
        <v>#N/A</v>
        <stp/>
        <stp>BDH|16265482898657270137</stp>
        <tr r="O45" s="6"/>
      </tp>
      <tp t="e">
        <v>#N/A</v>
        <stp/>
        <stp>BDH|17396747595506493250</stp>
        <tr r="I37" s="12"/>
      </tp>
      <tp t="e">
        <v>#N/A</v>
        <stp/>
        <stp>BDH|12753673653818557459</stp>
        <tr r="P16" s="12"/>
      </tp>
      <tp t="e">
        <v>#N/A</v>
        <stp/>
        <stp>BDH|13222101695840313678</stp>
        <tr r="M45" s="6"/>
      </tp>
      <tp t="e">
        <v>#N/A</v>
        <stp/>
        <stp>BDH|10425924403622308651</stp>
        <tr r="T14" s="30"/>
      </tp>
      <tp t="e">
        <v>#N/A</v>
        <stp/>
        <stp>BDH|16372903938345035485</stp>
        <tr r="P107" s="18"/>
      </tp>
      <tp t="e">
        <v>#N/A</v>
        <stp/>
        <stp>BDH|15083788687677425085</stp>
        <tr r="H47" s="17"/>
      </tp>
      <tp t="e">
        <v>#N/A</v>
        <stp/>
        <stp>BDH|14428087688844254558</stp>
        <tr r="W84" s="17"/>
      </tp>
      <tp t="e">
        <v>#N/A</v>
        <stp/>
        <stp>BDH|15006965552237453332</stp>
        <tr r="Q36" s="34"/>
      </tp>
      <tp t="e">
        <v>#N/A</v>
        <stp/>
        <stp>BDH|11324849763383287157</stp>
        <tr r="M43" s="6"/>
        <tr r="M19" s="5"/>
      </tp>
      <tp t="e">
        <v>#N/A</v>
        <stp/>
        <stp>BDH|15427482880320674492</stp>
        <tr r="Z49" s="17"/>
      </tp>
      <tp t="e">
        <v>#N/A</v>
        <stp/>
        <stp>BDH|16100915492588825396</stp>
        <tr r="M62" s="17"/>
      </tp>
      <tp t="e">
        <v>#N/A</v>
        <stp/>
        <stp>BDH|17025055995783570063</stp>
        <tr r="S76" s="24"/>
      </tp>
      <tp t="e">
        <v>#N/A</v>
        <stp/>
        <stp>BDH|14839699291315317313</stp>
        <tr r="W15" s="34"/>
      </tp>
      <tp t="e">
        <v>#N/A</v>
        <stp/>
        <stp>BDH|15982617497475985248</stp>
        <tr r="I99" s="18"/>
      </tp>
      <tp t="e">
        <v>#N/A</v>
        <stp/>
        <stp>BDH|11584817376316741573</stp>
        <tr r="L40" s="34"/>
      </tp>
      <tp t="e">
        <v>#N/A</v>
        <stp/>
        <stp>BDH|16703871561261197421</stp>
        <tr r="R97" s="12"/>
      </tp>
      <tp t="e">
        <v>#N/A</v>
        <stp/>
        <stp>BDH|10949881490725316909</stp>
        <tr r="M33" s="21"/>
      </tp>
      <tp t="e">
        <v>#N/A</v>
        <stp/>
        <stp>BDH|16272379178729738680</stp>
        <tr r="Q75" s="24"/>
      </tp>
      <tp t="e">
        <v>#N/A</v>
        <stp/>
        <stp>BDH|17408985250422781493</stp>
        <tr r="K10" s="27"/>
        <tr r="K25" s="25"/>
      </tp>
      <tp t="e">
        <v>#N/A</v>
        <stp/>
        <stp>BDH|14415705746369464348</stp>
        <tr r="D35" s="18"/>
      </tp>
      <tp t="e">
        <v>#N/A</v>
        <stp/>
        <stp>BDH|15095600203557038917</stp>
        <tr r="F9" s="26"/>
      </tp>
      <tp t="e">
        <v>#N/A</v>
        <stp/>
        <stp>BDH|14168450255298696055</stp>
        <tr r="I9" s="17"/>
      </tp>
      <tp t="e">
        <v>#N/A</v>
        <stp/>
        <stp>BDH|16343916744867349171</stp>
        <tr r="L8" s="17"/>
      </tp>
      <tp t="e">
        <v>#N/A</v>
        <stp/>
        <stp>BDH|17466051611983442865</stp>
        <tr r="K21" s="2"/>
      </tp>
      <tp t="e">
        <v>#N/A</v>
        <stp/>
        <stp>BDH|10017549555275730847</stp>
        <tr r="M42" s="17"/>
      </tp>
      <tp t="e">
        <v>#N/A</v>
        <stp/>
        <stp>BDH|13070424061129681574</stp>
        <tr r="H8" s="20"/>
        <tr r="H110" s="18"/>
      </tp>
      <tp t="e">
        <v>#N/A</v>
        <stp/>
        <stp>BDH|17712308462257318847</stp>
        <tr r="J12" s="21"/>
      </tp>
      <tp t="e">
        <v>#N/A</v>
        <stp/>
        <stp>BDH|18305112163560181223</stp>
        <tr r="J7" s="28"/>
      </tp>
      <tp t="e">
        <v>#N/A</v>
        <stp/>
        <stp>BDH|10430832973982438028</stp>
        <tr r="U14" s="8"/>
      </tp>
      <tp t="e">
        <v>#N/A</v>
        <stp/>
        <stp>BDH|14269218686255291656</stp>
        <tr r="W39" s="25"/>
        <tr r="W22" s="13"/>
        <tr r="W7" s="13"/>
        <tr r="U18" s="11"/>
        <tr r="W7" s="3"/>
      </tp>
      <tp t="e">
        <v>#N/A</v>
        <stp/>
        <stp>BDH|12204833284227300842</stp>
        <tr r="M30" s="5"/>
      </tp>
      <tp t="e">
        <v>#N/A</v>
        <stp/>
        <stp>BDH|11849984771385615751</stp>
        <tr r="J12" s="7"/>
      </tp>
      <tp t="e">
        <v>#N/A</v>
        <stp/>
        <stp>BDH|16332003345697603824</stp>
        <tr r="S135" s="18"/>
      </tp>
      <tp t="e">
        <v>#N/A</v>
        <stp/>
        <stp>BDH|15194976615644537448</stp>
        <tr r="T27" s="12"/>
      </tp>
      <tp t="e">
        <v>#N/A</v>
        <stp/>
        <stp>BDH|11628767280824045728</stp>
        <tr r="R26" s="21"/>
      </tp>
      <tp t="e">
        <v>#N/A</v>
        <stp/>
        <stp>BDH|17593764485471214469</stp>
        <tr r="L59" s="12"/>
      </tp>
      <tp t="e">
        <v>#N/A</v>
        <stp/>
        <stp>BDH|10202401075466067852</stp>
        <tr r="O64" s="10"/>
        <tr r="O25" s="4"/>
      </tp>
      <tp t="e">
        <v>#N/A</v>
        <stp/>
        <stp>BDH|17346283189666392639</stp>
        <tr r="N177" s="18"/>
      </tp>
      <tp t="e">
        <v>#N/A</v>
        <stp/>
        <stp>BDH|17461396578748235654</stp>
        <tr r="T55" s="24"/>
      </tp>
      <tp t="e">
        <v>#N/A</v>
        <stp/>
        <stp>BDH|14184598011035844834</stp>
        <tr r="U65" s="24"/>
      </tp>
      <tp t="e">
        <v>#N/A</v>
        <stp/>
        <stp>BDH|10958853557337876715</stp>
        <tr r="W13" s="7"/>
      </tp>
      <tp t="e">
        <v>#N/A</v>
        <stp/>
        <stp>BDH|14043225846306673903</stp>
        <tr r="X93" s="17"/>
        <tr r="X13" s="28"/>
      </tp>
      <tp t="e">
        <v>#N/A</v>
        <stp/>
        <stp>BDH|12307823654554181668</stp>
        <tr r="V48" s="13"/>
      </tp>
      <tp t="e">
        <v>#N/A</v>
        <stp/>
        <stp>BDH|10769392881262427492</stp>
        <tr r="P8" s="11"/>
      </tp>
      <tp t="e">
        <v>#N/A</v>
        <stp/>
        <stp>BDH|13828591855846744819</stp>
        <tr r="K54" s="6"/>
      </tp>
      <tp t="e">
        <v>#N/A</v>
        <stp/>
        <stp>BDH|12071438652277032938</stp>
        <tr r="V89" s="18"/>
      </tp>
      <tp t="e">
        <v>#N/A</v>
        <stp/>
        <stp>BDH|18286844351108699031</stp>
        <tr r="K6" s="19"/>
        <tr r="K35" s="17"/>
        <tr r="K16" s="3"/>
      </tp>
      <tp t="e">
        <v>#N/A</v>
        <stp/>
        <stp>BDH|17534363292655229510</stp>
        <tr r="Q74" s="17"/>
      </tp>
      <tp t="e">
        <v>#N/A</v>
        <stp/>
        <stp>BDH|16926997323549144900</stp>
        <tr r="D51" s="12"/>
      </tp>
      <tp t="e">
        <v>#N/A</v>
        <stp/>
        <stp>BDH|10645956413407467264</stp>
        <tr r="X50" s="18"/>
      </tp>
      <tp t="e">
        <v>#N/A</v>
        <stp/>
        <stp>BDH|11171476636453444865</stp>
        <tr r="L36" s="6"/>
      </tp>
      <tp t="e">
        <v>#N/A</v>
        <stp/>
        <stp>BDH|12689737983915727530</stp>
        <tr r="C15" s="21"/>
      </tp>
      <tp t="e">
        <v>#N/A</v>
        <stp/>
        <stp>BDH|13818678993765927478</stp>
        <tr r="T12" s="18"/>
      </tp>
      <tp t="e">
        <v>#N/A</v>
        <stp/>
        <stp>BDH|16040376370108053752</stp>
        <tr r="P13" s="18"/>
      </tp>
      <tp t="e">
        <v>#N/A</v>
        <stp/>
        <stp>BDH|12718940734665648048</stp>
        <tr r="V26" s="18"/>
      </tp>
      <tp t="e">
        <v>#N/A</v>
        <stp/>
        <stp>BDH|14045018832358778212</stp>
        <tr r="T6" s="6"/>
      </tp>
      <tp t="e">
        <v>#N/A</v>
        <stp/>
        <stp>BDH|17985951306403726086</stp>
        <tr r="G52" s="21"/>
      </tp>
      <tp t="e">
        <v>#N/A</v>
        <stp/>
        <stp>BDH|17766623605888724427</stp>
        <tr r="I77" s="12"/>
      </tp>
      <tp t="e">
        <v>#N/A</v>
        <stp/>
        <stp>BDH|17192766343549112003</stp>
        <tr r="C46" s="11"/>
        <tr r="C7" s="7"/>
        <tr r="C54" s="10"/>
        <tr r="E12" s="3"/>
      </tp>
      <tp t="e">
        <v>#N/A</v>
        <stp/>
        <stp>BDH|12244932861224248478</stp>
        <tr r="F23" s="26"/>
      </tp>
      <tp t="e">
        <v>#N/A</v>
        <stp/>
        <stp>BDH|15973192593581671108</stp>
        <tr r="K40" s="29"/>
      </tp>
      <tp t="e">
        <v>#N/A</v>
        <stp/>
        <stp>BDH|13028124480202582523</stp>
        <tr r="D12" s="24"/>
      </tp>
      <tp t="e">
        <v>#N/A</v>
        <stp/>
        <stp>BDH|14326630654812308825</stp>
        <tr r="I158" s="18"/>
      </tp>
      <tp t="e">
        <v>#N/A</v>
        <stp/>
        <stp>BDH|11757709931320797849</stp>
        <tr r="I30" s="18"/>
      </tp>
      <tp t="e">
        <v>#N/A</v>
        <stp/>
        <stp>BDH|13205877974168500919</stp>
        <tr r="L72" s="12"/>
      </tp>
      <tp t="e">
        <v>#N/A</v>
        <stp/>
        <stp>BDH|16713153264555408979</stp>
        <tr r="X25" s="25"/>
        <tr r="X10" s="27"/>
      </tp>
      <tp t="e">
        <v>#N/A</v>
        <stp/>
        <stp>BDH|17028550882815265201</stp>
        <tr r="I48" s="22"/>
      </tp>
      <tp t="e">
        <v>#N/A</v>
        <stp/>
        <stp>BDH|16423681528076674978</stp>
        <tr r="I35" s="13"/>
        <tr r="G31" s="10"/>
      </tp>
      <tp t="e">
        <v>#N/A</v>
        <stp/>
        <stp>BDH|13342422154456467948</stp>
        <tr r="C63" s="21"/>
      </tp>
      <tp t="e">
        <v>#N/A</v>
        <stp/>
        <stp>BDH|14481734627509614534</stp>
        <tr r="T9" s="20"/>
        <tr r="T111" s="18"/>
      </tp>
      <tp t="e">
        <v>#N/A</v>
        <stp/>
        <stp>BDH|15546918852245218113</stp>
        <tr r="I42" s="11"/>
        <tr r="I50" s="10"/>
        <tr r="I14" s="7"/>
        <tr r="K9" s="3"/>
      </tp>
      <tp t="e">
        <v>#N/A</v>
        <stp/>
        <stp>BDH|12556950684619926782</stp>
        <tr r="G41" s="13"/>
        <tr r="E29" s="11"/>
        <tr r="E37" s="10"/>
      </tp>
      <tp t="e">
        <v>#N/A</v>
        <stp/>
        <stp>BDH|14261920716170077133</stp>
        <tr r="U15" s="24"/>
      </tp>
      <tp t="e">
        <v>#N/A</v>
        <stp/>
        <stp>BDH|18035675431495182528</stp>
        <tr r="C15" s="26"/>
      </tp>
      <tp t="e">
        <v>#N/A</v>
        <stp/>
        <stp>BDH|14890184040784332868</stp>
        <tr r="M22" s="21"/>
      </tp>
      <tp t="e">
        <v>#N/A</v>
        <stp/>
        <stp>BDH|14467978323843201177</stp>
        <tr r="R84" s="17"/>
      </tp>
      <tp t="e">
        <v>#N/A</v>
        <stp/>
        <stp>BDH|10343755883551027306</stp>
        <tr r="Y28" s="22"/>
      </tp>
      <tp t="e">
        <v>#N/A</v>
        <stp/>
        <stp>BDH|18141728168686993273</stp>
        <tr r="M44" s="24"/>
      </tp>
      <tp t="e">
        <v>#N/A</v>
        <stp/>
        <stp>BDH|10067730279729642495</stp>
        <tr r="O88" s="17"/>
      </tp>
      <tp t="e">
        <v>#N/A</v>
        <stp/>
        <stp>BDH|11941407989763031350</stp>
        <tr r="X79" s="18"/>
      </tp>
      <tp t="e">
        <v>#N/A</v>
        <stp/>
        <stp>BDH|18073626016171341323</stp>
        <tr r="L20" s="10"/>
      </tp>
      <tp t="e">
        <v>#N/A</v>
        <stp/>
        <stp>BDH|15004961205744662507</stp>
        <tr r="F25" s="27"/>
      </tp>
      <tp t="e">
        <v>#N/A</v>
        <stp/>
        <stp>BDH|12166748870648563758</stp>
        <tr r="M27" s="11"/>
        <tr r="M39" s="11"/>
        <tr r="M35" s="10"/>
        <tr r="M47" s="10"/>
      </tp>
      <tp t="e">
        <v>#N/A</v>
        <stp/>
        <stp>BDH|11152831136037405051</stp>
        <tr r="P29" s="24"/>
      </tp>
      <tp t="e">
        <v>#N/A</v>
        <stp/>
        <stp>BDH|14132293598407232572</stp>
        <tr r="Q12" s="10"/>
      </tp>
      <tp t="e">
        <v>#N/A</v>
        <stp/>
        <stp>BDH|14491216545137639839</stp>
        <tr r="K102" s="18"/>
      </tp>
      <tp t="e">
        <v>#N/A</v>
        <stp/>
        <stp>BDH|14830854759842826699</stp>
        <tr r="Y29" s="17"/>
      </tp>
      <tp t="e">
        <v>#N/A</v>
        <stp/>
        <stp>BDH|12628615015169019173</stp>
        <tr r="T57" s="24"/>
      </tp>
      <tp t="e">
        <v>#N/A</v>
        <stp/>
        <stp>BDH|13348087530679967468</stp>
        <tr r="F28" s="34"/>
      </tp>
      <tp t="e">
        <v>#N/A</v>
        <stp/>
        <stp>BDH|17133663679982201982</stp>
        <tr r="H14" s="10"/>
      </tp>
      <tp t="e">
        <v>#N/A</v>
        <stp/>
        <stp>BDH|14244707540892620802</stp>
        <tr r="J44" s="17"/>
      </tp>
      <tp t="e">
        <v>#N/A</v>
        <stp/>
        <stp>BDH|10656416546428747528</stp>
        <tr r="O20" s="6"/>
      </tp>
      <tp t="e">
        <v>#N/A</v>
        <stp/>
        <stp>BDH|15728971275033409558</stp>
        <tr r="R130" s="18"/>
      </tp>
      <tp t="e">
        <v>#N/A</v>
        <stp/>
        <stp>BDH|10578304781063497540</stp>
        <tr r="T14" s="17"/>
        <tr r="T17" s="28"/>
      </tp>
      <tp t="e">
        <v>#N/A</v>
        <stp/>
        <stp>BDH|12656519658819395687</stp>
        <tr r="U15" s="9"/>
      </tp>
      <tp t="e">
        <v>#N/A</v>
        <stp/>
        <stp>BDH|12447575873918019543</stp>
        <tr r="I14" s="8"/>
      </tp>
      <tp t="e">
        <v>#N/A</v>
        <stp/>
        <stp>BDH|15535900225317431409</stp>
        <tr r="D138" s="18"/>
      </tp>
      <tp t="e">
        <v>#N/A</v>
        <stp/>
        <stp>BDH|13572614805391425918</stp>
        <tr r="J8" s="29"/>
        <tr r="J30" s="29"/>
      </tp>
      <tp t="e">
        <v>#N/A</v>
        <stp/>
        <stp>BDH|17343884488008693210</stp>
        <tr r="Y176" s="18"/>
      </tp>
      <tp t="e">
        <v>#N/A</v>
        <stp/>
        <stp>BDH|10680353597650311735</stp>
        <tr r="N95" s="12"/>
      </tp>
      <tp t="e">
        <v>#N/A</v>
        <stp/>
        <stp>BDH|16664171105708704279</stp>
        <tr r="G71" s="12"/>
      </tp>
      <tp t="e">
        <v>#N/A</v>
        <stp/>
        <stp>BDH|13147760489894878522</stp>
        <tr r="L63" s="34"/>
      </tp>
      <tp t="e">
        <v>#N/A</v>
        <stp/>
        <stp>BDH|14536510583072596663</stp>
        <tr r="W34" s="12"/>
      </tp>
      <tp t="e">
        <v>#N/A</v>
        <stp/>
        <stp>BDH|10637823900870264521</stp>
        <tr r="Y170" s="18"/>
      </tp>
      <tp t="e">
        <v>#N/A</v>
        <stp/>
        <stp>BDH|11293327896210477664</stp>
        <tr r="N52" s="17"/>
        <tr r="N17" s="3"/>
      </tp>
      <tp t="e">
        <v>#N/A</v>
        <stp/>
        <stp>BDH|10207423835903706965</stp>
        <tr r="N31" s="11"/>
        <tr r="N39" s="10"/>
      </tp>
      <tp t="e">
        <v>#N/A</v>
        <stp/>
        <stp>BDH|10901498629312872953</stp>
        <tr r="AA151" s="18"/>
      </tp>
      <tp t="e">
        <v>#N/A</v>
        <stp/>
        <stp>BDH|14159141693013330219</stp>
        <tr r="AA61" s="12"/>
      </tp>
      <tp t="e">
        <v>#N/A</v>
        <stp/>
        <stp>BDH|18400536753231782471</stp>
        <tr r="T33" s="11"/>
        <tr r="T41" s="10"/>
      </tp>
      <tp t="e">
        <v>#N/A</v>
        <stp/>
        <stp>BDH|13216372422679117629</stp>
        <tr r="G59" s="34"/>
      </tp>
      <tp t="e">
        <v>#N/A</v>
        <stp/>
        <stp>BDH|13824619851435533890</stp>
        <tr r="C17" s="5"/>
        <tr r="C33" s="6"/>
      </tp>
      <tp t="e">
        <v>#N/A</v>
        <stp/>
        <stp>BDH|10658911645096296641</stp>
        <tr r="S58" s="17"/>
      </tp>
      <tp t="e">
        <v>#N/A</v>
        <stp/>
        <stp>BDH|16607566392482471526</stp>
        <tr r="N28" s="34"/>
      </tp>
      <tp t="e">
        <v>#N/A</v>
        <stp/>
        <stp>BDH|15945891700635495509</stp>
        <tr r="L19" s="25"/>
      </tp>
      <tp t="e">
        <v>#N/A</v>
        <stp/>
        <stp>BDH|10530489207941911871</stp>
        <tr r="Y50" s="4"/>
      </tp>
      <tp t="e">
        <v>#N/A</v>
        <stp/>
        <stp>BDH|12016233584273453676</stp>
        <tr r="C151" s="18"/>
      </tp>
      <tp t="e">
        <v>#N/A</v>
        <stp/>
        <stp>BDH|17127408263409288144</stp>
        <tr r="Y44" s="13"/>
      </tp>
      <tp t="e">
        <v>#N/A</v>
        <stp/>
        <stp>BDH|17715233829899099391</stp>
        <tr r="E36" s="12"/>
      </tp>
      <tp t="e">
        <v>#N/A</v>
        <stp/>
        <stp>BDH|16570857705442748162</stp>
        <tr r="S61" s="10"/>
        <tr r="U19" s="13"/>
        <tr r="S16" s="2"/>
        <tr r="S32" s="4"/>
      </tp>
      <tp t="e">
        <v>#N/A</v>
        <stp/>
        <stp>BDH|17482165257889319726</stp>
        <tr r="D152" s="18"/>
      </tp>
      <tp t="e">
        <v>#N/A</v>
        <stp/>
        <stp>BDH|16271801452696067047</stp>
        <tr r="W21" s="34"/>
      </tp>
      <tp t="e">
        <v>#N/A</v>
        <stp/>
        <stp>BDH|11650003980197724354</stp>
        <tr r="G140" s="18"/>
      </tp>
      <tp t="e">
        <v>#N/A</v>
        <stp/>
        <stp>BDH|10504020090491129526</stp>
        <tr r="F8" s="4"/>
      </tp>
      <tp t="e">
        <v>#N/A</v>
        <stp/>
        <stp>BDH|16884835305974911735</stp>
        <tr r="N19" s="18"/>
      </tp>
      <tp t="e">
        <v>#N/A</v>
        <stp/>
        <stp>BDH|13307364964209353264</stp>
        <tr r="X31" s="18"/>
      </tp>
      <tp t="e">
        <v>#N/A</v>
        <stp/>
        <stp>BDH|12581410178169988516</stp>
        <tr r="R131" s="18"/>
      </tp>
      <tp t="e">
        <v>#N/A</v>
        <stp/>
        <stp>BDH|16785369995668782978</stp>
        <tr r="N92" s="12"/>
      </tp>
      <tp t="e">
        <v>#N/A</v>
        <stp/>
        <stp>BDH|11848951033364257285</stp>
        <tr r="F71" s="17"/>
      </tp>
      <tp t="e">
        <v>#N/A</v>
        <stp/>
        <stp>BDH|17319890065600862437</stp>
        <tr r="P10" s="24"/>
      </tp>
      <tp t="e">
        <v>#N/A</v>
        <stp/>
        <stp>BDH|12526647693255556534</stp>
        <tr r="E39" s="26"/>
      </tp>
      <tp t="e">
        <v>#N/A</v>
        <stp/>
        <stp>BDH|18413539113076054708</stp>
        <tr r="W36" s="29"/>
        <tr r="W16" s="29"/>
      </tp>
      <tp t="e">
        <v>#N/A</v>
        <stp/>
        <stp>BDH|13436070395726427163</stp>
        <tr r="J23" s="17"/>
      </tp>
      <tp t="e">
        <v>#N/A</v>
        <stp/>
        <stp>BDH|14878240131560835815</stp>
        <tr r="D71" s="12"/>
      </tp>
      <tp t="e">
        <v>#N/A</v>
        <stp/>
        <stp>BDH|17104842750176561141</stp>
        <tr r="D35" s="6"/>
      </tp>
      <tp t="e">
        <v>#N/A</v>
        <stp/>
        <stp>BDH|17928936879114191068</stp>
        <tr r="AA30" s="13"/>
        <tr r="Y26" s="10"/>
      </tp>
      <tp t="e">
        <v>#N/A</v>
        <stp/>
        <stp>BDH|11875989723411460638</stp>
        <tr r="V10" s="18"/>
      </tp>
      <tp t="e">
        <v>#N/A</v>
        <stp/>
        <stp>BDH|11079355673501684974</stp>
        <tr r="AA22" s="17"/>
      </tp>
      <tp t="e">
        <v>#N/A</v>
        <stp/>
        <stp>BDH|12812360171199091282</stp>
        <tr r="V16" s="12"/>
      </tp>
      <tp t="e">
        <v>#N/A</v>
        <stp/>
        <stp>BDH|16471062287217147438</stp>
        <tr r="O9" s="10"/>
      </tp>
      <tp t="e">
        <v>#N/A</v>
        <stp/>
        <stp>BDH|10582836566581385249</stp>
        <tr r="Q20" s="18"/>
      </tp>
      <tp t="e">
        <v>#N/A</v>
        <stp/>
        <stp>BDH|17595966316347778551</stp>
        <tr r="F61" s="11"/>
        <tr r="F69" s="10"/>
        <tr r="F20" s="7"/>
      </tp>
      <tp t="e">
        <v>#N/A</v>
        <stp/>
        <stp>BDH|17258416150668099346</stp>
        <tr r="K7" s="24"/>
      </tp>
      <tp t="e">
        <v>#N/A</v>
        <stp/>
        <stp>BDH|14546379691146269563</stp>
        <tr r="L19" s="14"/>
      </tp>
      <tp t="e">
        <v>#N/A</v>
        <stp/>
        <stp>BDH|14548161805888836097</stp>
        <tr r="W20" s="29"/>
      </tp>
      <tp t="e">
        <v>#N/A</v>
        <stp/>
        <stp>BDH|13549965828992903751</stp>
        <tr r="Z13" s="25"/>
      </tp>
      <tp t="e">
        <v>#N/A</v>
        <stp/>
        <stp>BDH|17002328002748427134</stp>
        <tr r="G18" s="12"/>
      </tp>
      <tp t="e">
        <v>#N/A</v>
        <stp/>
        <stp>BDH|11696266670088448132</stp>
        <tr r="K162" s="18"/>
      </tp>
      <tp t="e">
        <v>#N/A</v>
        <stp/>
        <stp>BDH|13689879715126107128</stp>
        <tr r="T63" s="18"/>
      </tp>
      <tp t="e">
        <v>#N/A</v>
        <stp/>
        <stp>BDH|16756410977040050868</stp>
        <tr r="I78" s="18"/>
      </tp>
      <tp t="e">
        <v>#N/A</v>
        <stp/>
        <stp>BDH|12586910355735157672</stp>
        <tr r="O14" s="6"/>
      </tp>
      <tp t="e">
        <v>#N/A</v>
        <stp/>
        <stp>BDH|17008978433561006132</stp>
        <tr r="O22" s="20"/>
      </tp>
      <tp t="e">
        <v>#N/A</v>
        <stp/>
        <stp>BDH|14636462951030467828</stp>
        <tr r="S16" s="34"/>
      </tp>
      <tp t="e">
        <v>#N/A</v>
        <stp/>
        <stp>BDH|11758974507891312437</stp>
        <tr r="N45" s="24"/>
      </tp>
      <tp t="e">
        <v>#N/A</v>
        <stp/>
        <stp>BDH|16668779678659959273</stp>
        <tr r="H88" s="18"/>
      </tp>
      <tp t="e">
        <v>#N/A</v>
        <stp/>
        <stp>BDH|18144774324227581704</stp>
        <tr r="T15" s="13"/>
      </tp>
      <tp t="e">
        <v>#N/A</v>
        <stp/>
        <stp>BDH|16116319492758490918</stp>
        <tr r="H94" s="18"/>
      </tp>
      <tp t="e">
        <v>#N/A</v>
        <stp/>
        <stp>BDH|17319024837651394824</stp>
        <tr r="AA167" s="18"/>
      </tp>
      <tp t="e">
        <v>#N/A</v>
        <stp/>
        <stp>BDH|10426854982958169557</stp>
        <tr r="X27" s="26"/>
      </tp>
      <tp t="e">
        <v>#N/A</v>
        <stp/>
        <stp>BDH|12683472764139135436</stp>
        <tr r="T49" s="21"/>
      </tp>
      <tp t="e">
        <v>#N/A</v>
        <stp/>
        <stp>BDH|14173527827929437777</stp>
        <tr r="Z44" s="13"/>
      </tp>
      <tp t="e">
        <v>#N/A</v>
        <stp/>
        <stp>BDH|16143357280853077331</stp>
        <tr r="D15" s="22"/>
      </tp>
      <tp t="e">
        <v>#N/A</v>
        <stp/>
        <stp>BDH|16629138189740345285</stp>
        <tr r="Q8" s="6"/>
      </tp>
      <tp t="e">
        <v>#N/A</v>
        <stp/>
        <stp>BDH|18060197555797226698</stp>
        <tr r="K64" s="10"/>
        <tr r="K25" s="4"/>
      </tp>
      <tp t="e">
        <v>#N/A</v>
        <stp/>
        <stp>BDH|10401233153933131925</stp>
        <tr r="P37" s="22"/>
      </tp>
      <tp t="e">
        <v>#N/A</v>
        <stp/>
        <stp>BDH|12332452730031468954</stp>
        <tr r="AA45" s="17"/>
      </tp>
      <tp t="e">
        <v>#N/A</v>
        <stp/>
        <stp>BDH|15334661955302279955</stp>
        <tr r="P22" s="12"/>
      </tp>
      <tp t="e">
        <v>#N/A</v>
        <stp/>
        <stp>BDH|16477068690840372263</stp>
        <tr r="AA168" s="18"/>
      </tp>
      <tp t="e">
        <v>#N/A</v>
        <stp/>
        <stp>BDH|17778859857163556479</stp>
        <tr r="V44" s="17"/>
      </tp>
      <tp t="e">
        <v>#N/A</v>
        <stp/>
        <stp>BDH|13539575374045475953</stp>
        <tr r="I26" s="22"/>
      </tp>
      <tp t="e">
        <v>#N/A</v>
        <stp/>
        <stp>BDH|13356485269048205472</stp>
        <tr r="S20" s="12"/>
      </tp>
      <tp t="e">
        <v>#N/A</v>
        <stp/>
        <stp>BDH|13639690992411214084</stp>
        <tr r="F44" s="21"/>
      </tp>
      <tp t="e">
        <v>#N/A</v>
        <stp/>
        <stp>BDH|17170385189342799309</stp>
        <tr r="C62" s="17"/>
      </tp>
      <tp t="e">
        <v>#N/A</v>
        <stp/>
        <stp>BDH|12598423044029725639</stp>
        <tr r="O82" s="17"/>
        <tr r="M6" s="7"/>
        <tr r="O20" s="3"/>
      </tp>
      <tp t="e">
        <v>#N/A</v>
        <stp/>
        <stp>BDH|16310379962806886898</stp>
        <tr r="L50" s="12"/>
      </tp>
      <tp t="e">
        <v>#N/A</v>
        <stp/>
        <stp>BDH|17663647892145715001</stp>
        <tr r="S19" s="24"/>
      </tp>
      <tp t="e">
        <v>#N/A</v>
        <stp/>
        <stp>BDH|10162531726753003930</stp>
        <tr r="AA62" s="12"/>
      </tp>
      <tp t="e">
        <v>#N/A</v>
        <stp/>
        <stp>BDH|11611954716830031429</stp>
        <tr r="L30" s="12"/>
      </tp>
      <tp t="e">
        <v>#N/A</v>
        <stp/>
        <stp>BDH|15790034525952257846</stp>
        <tr r="W16" s="11"/>
      </tp>
      <tp t="e">
        <v>#N/A</v>
        <stp/>
        <stp>BDH|10792389330605101891</stp>
        <tr r="G23" s="26"/>
      </tp>
      <tp t="e">
        <v>#N/A</v>
        <stp/>
        <stp>BDH|13957151730055248996</stp>
        <tr r="G178" s="18"/>
      </tp>
      <tp t="e">
        <v>#N/A</v>
        <stp/>
        <stp>BDH|17651359983513674218</stp>
        <tr r="S80" s="18"/>
      </tp>
      <tp t="e">
        <v>#N/A</v>
        <stp/>
        <stp>BDH|10880039759060015856</stp>
        <tr r="P28" s="4"/>
      </tp>
      <tp t="e">
        <v>#N/A</v>
        <stp/>
        <stp>BDH|15227206782090737202</stp>
        <tr r="I27" s="24"/>
      </tp>
      <tp t="e">
        <v>#N/A</v>
        <stp/>
        <stp>BDH|16320909231402728328</stp>
        <tr r="V21" s="20"/>
      </tp>
      <tp t="e">
        <v>#N/A</v>
        <stp/>
        <stp>BDH|10062857696535072946</stp>
        <tr r="L42" s="34"/>
      </tp>
      <tp t="e">
        <v>#N/A</v>
        <stp/>
        <stp>BDH|15253612687350527662</stp>
        <tr r="S35" s="26"/>
      </tp>
      <tp t="e">
        <v>#N/A</v>
        <stp/>
        <stp>BDH|17026302937902725860</stp>
        <tr r="S17" s="13"/>
      </tp>
      <tp t="e">
        <v>#N/A</v>
        <stp/>
        <stp>BDH|10368864672831649375</stp>
        <tr r="Q17" s="13"/>
      </tp>
      <tp t="e">
        <v>#N/A</v>
        <stp/>
        <stp>BDH|12580923712505034236</stp>
        <tr r="U83" s="12"/>
      </tp>
      <tp t="e">
        <v>#N/A</v>
        <stp/>
        <stp>BDH|18042293650392963068</stp>
        <tr r="G58" s="24"/>
      </tp>
      <tp t="e">
        <v>#N/A</v>
        <stp/>
        <stp>BDH|11023359082563640470</stp>
        <tr r="R7" s="20"/>
        <tr r="R109" s="18"/>
      </tp>
      <tp t="e">
        <v>#N/A</v>
        <stp/>
        <stp>BDH|10129954083965873991</stp>
        <tr r="J103" s="18"/>
      </tp>
      <tp t="e">
        <v>#N/A</v>
        <stp/>
        <stp>BDH|16924790996052093702</stp>
        <tr r="K67" s="17"/>
        <tr r="K18" s="3"/>
      </tp>
      <tp t="e">
        <v>#N/A</v>
        <stp/>
        <stp>BDH|11426198489501477461</stp>
        <tr r="M26" s="6"/>
      </tp>
      <tp t="e">
        <v>#N/A</v>
        <stp/>
        <stp>BDH|10040285647348885313</stp>
        <tr r="Y67" s="18"/>
      </tp>
      <tp t="e">
        <v>#N/A</v>
        <stp/>
        <stp>BDH|12193090256608151293</stp>
        <tr r="Z45" s="24"/>
      </tp>
      <tp t="e">
        <v>#N/A</v>
        <stp/>
        <stp>BDH|13912039980163993558</stp>
        <tr r="N41" s="21"/>
      </tp>
      <tp t="e">
        <v>#N/A</v>
        <stp/>
        <stp>BDH|14791416579012801817</stp>
        <tr r="E21" s="21"/>
      </tp>
      <tp t="e">
        <v>#N/A</v>
        <stp/>
        <stp>BDH|13280228111865520822</stp>
        <tr r="V60" s="24"/>
      </tp>
      <tp t="e">
        <v>#N/A</v>
        <stp/>
        <stp>BDH|14415365766415415969</stp>
        <tr r="K27" s="24"/>
      </tp>
      <tp t="e">
        <v>#N/A</v>
        <stp/>
        <stp>BDH|11074359862671199809</stp>
        <tr r="P78" s="24"/>
      </tp>
      <tp t="e">
        <v>#N/A</v>
        <stp/>
        <stp>BDH|17068079102153672957</stp>
        <tr r="AA54" s="24"/>
      </tp>
      <tp t="e">
        <v>#N/A</v>
        <stp/>
        <stp>BDH|17656838668171803532</stp>
        <tr r="T121" s="18"/>
      </tp>
      <tp t="e">
        <v>#N/A</v>
        <stp/>
        <stp>BDH|15951274388044898685</stp>
        <tr r="W28" s="34"/>
      </tp>
      <tp t="e">
        <v>#N/A</v>
        <stp/>
        <stp>BDH|13381156620704415945</stp>
        <tr r="S15" s="24"/>
      </tp>
      <tp t="e">
        <v>#N/A</v>
        <stp/>
        <stp>BDH|16815349782065119595</stp>
        <tr r="Z52" s="18"/>
      </tp>
      <tp t="e">
        <v>#N/A</v>
        <stp/>
        <stp>BDH|17866049768504322814</stp>
        <tr r="K33" s="34"/>
      </tp>
      <tp t="e">
        <v>#N/A</v>
        <stp/>
        <stp>BDH|10653467837029844395</stp>
        <tr r="I12" s="17"/>
      </tp>
      <tp t="e">
        <v>#N/A</v>
        <stp/>
        <stp>BDH|13467255887327552356</stp>
        <tr r="C125" s="18"/>
      </tp>
      <tp t="e">
        <v>#N/A</v>
        <stp/>
        <stp>BDH|12041124493446149163</stp>
        <tr r="K10" s="26"/>
      </tp>
      <tp t="e">
        <v>#N/A</v>
        <stp/>
        <stp>BDH|11205643356146749914</stp>
        <tr r="S84" s="12"/>
      </tp>
      <tp t="e">
        <v>#N/A</v>
        <stp/>
        <stp>BDH|14554480888824474178</stp>
        <tr r="X19" s="9"/>
      </tp>
      <tp t="e">
        <v>#N/A</v>
        <stp/>
        <stp>BDH|15320788904896905900</stp>
        <tr r="P47" s="17"/>
      </tp>
      <tp t="e">
        <v>#N/A</v>
        <stp/>
        <stp>BDH|15170623754323643871</stp>
        <tr r="T87" s="18"/>
      </tp>
      <tp t="e">
        <v>#N/A</v>
        <stp/>
        <stp>BDH|14027941251423559663</stp>
        <tr r="D23" s="11"/>
      </tp>
      <tp t="e">
        <v>#N/A</v>
        <stp/>
        <stp>BDH|14552853774687106131</stp>
        <tr r="O44" s="13"/>
      </tp>
      <tp t="e">
        <v>#N/A</v>
        <stp/>
        <stp>BDH|14561360408183868950</stp>
        <tr r="I41" s="18"/>
      </tp>
      <tp t="e">
        <v>#N/A</v>
        <stp/>
        <stp>BDH|12055056791935390312</stp>
        <tr r="U26" s="24"/>
      </tp>
      <tp t="e">
        <v>#N/A</v>
        <stp/>
        <stp>BDH|15399879507752016256</stp>
        <tr r="F42" s="11"/>
        <tr r="F14" s="7"/>
        <tr r="F50" s="10"/>
        <tr r="H9" s="3"/>
      </tp>
      <tp t="e">
        <v>#N/A</v>
        <stp/>
        <stp>BDH|18020955485072739614</stp>
        <tr r="L97" s="12"/>
      </tp>
      <tp t="e">
        <v>#N/A</v>
        <stp/>
        <stp>BDH|17391522930899443530</stp>
        <tr r="T25" s="26"/>
      </tp>
      <tp t="e">
        <v>#N/A</v>
        <stp/>
        <stp>BDH|15307879903778587840</stp>
        <tr r="F29" s="21"/>
      </tp>
      <tp t="e">
        <v>#N/A</v>
        <stp/>
        <stp>BDH|15987859768875661349</stp>
        <tr r="W83" s="18"/>
      </tp>
      <tp t="e">
        <v>#N/A</v>
        <stp/>
        <stp>BDH|10166611387485873691</stp>
        <tr r="T15" s="10"/>
      </tp>
      <tp t="e">
        <v>#N/A</v>
        <stp/>
        <stp>BDH|12721939073017862698</stp>
        <tr r="K30" s="34"/>
      </tp>
      <tp t="e">
        <v>#N/A</v>
        <stp/>
        <stp>BDH|11772987080888158589</stp>
        <tr r="S89" s="17"/>
      </tp>
      <tp t="e">
        <v>#N/A</v>
        <stp/>
        <stp>BDH|12538469929880097931</stp>
        <tr r="U22" s="9"/>
      </tp>
      <tp t="e">
        <v>#N/A</v>
        <stp/>
        <stp>BDH|12947980483529833738</stp>
        <tr r="N19" s="13"/>
        <tr r="L61" s="10"/>
        <tr r="L32" s="4"/>
        <tr r="L16" s="2"/>
      </tp>
      <tp t="e">
        <v>#N/A</v>
        <stp/>
        <stp>BDH|10066057923189792680</stp>
        <tr r="Q71" s="17"/>
      </tp>
      <tp t="e">
        <v>#N/A</v>
        <stp/>
        <stp>BDH|10590973552692058390</stp>
        <tr r="F32" s="17"/>
      </tp>
      <tp t="e">
        <v>#N/A</v>
        <stp/>
        <stp>BDH|17092907657140757693</stp>
        <tr r="T59" s="24"/>
      </tp>
      <tp t="e">
        <v>#N/A</v>
        <stp/>
        <stp>BDH|17209644200598793481</stp>
        <tr r="E37" s="29"/>
        <tr r="E17" s="29"/>
      </tp>
      <tp t="e">
        <v>#N/A</v>
        <stp/>
        <stp>BDH|14477737894505997234</stp>
        <tr r="D172" s="18"/>
      </tp>
      <tp t="e">
        <v>#N/A</v>
        <stp/>
        <stp>BDH|15065754988733687425</stp>
        <tr r="P23" s="22"/>
      </tp>
      <tp t="e">
        <v>#N/A</v>
        <stp/>
        <stp>BDH|10609985602837647331</stp>
        <tr r="T47" s="21"/>
      </tp>
      <tp t="e">
        <v>#N/A</v>
        <stp/>
        <stp>BDH|13913919520513762663</stp>
        <tr r="H33" s="21"/>
      </tp>
      <tp t="e">
        <v>#N/A</v>
        <stp/>
        <stp>BDH|16930927020114684445</stp>
        <tr r="W103" s="18"/>
      </tp>
      <tp t="e">
        <v>#N/A</v>
        <stp/>
        <stp>BDH|16580210501900517998</stp>
        <tr r="J14" s="8"/>
      </tp>
      <tp t="e">
        <v>#N/A</v>
        <stp/>
        <stp>BDH|15222353785516880533</stp>
        <tr r="F22" s="5"/>
      </tp>
      <tp t="e">
        <v>#N/A</v>
        <stp/>
        <stp>BDH|17578138040408843771</stp>
        <tr r="E62" s="10"/>
      </tp>
      <tp t="e">
        <v>#N/A</v>
        <stp/>
        <stp>BDH|10837501242828460471</stp>
        <tr r="W64" s="17"/>
      </tp>
      <tp t="e">
        <v>#N/A</v>
        <stp/>
        <stp>BDH|17140963455161281793</stp>
        <tr r="F44" s="13"/>
      </tp>
      <tp t="e">
        <v>#N/A</v>
        <stp/>
        <stp>BDH|16626040788760078331</stp>
        <tr r="Z174" s="18"/>
      </tp>
      <tp t="e">
        <v>#N/A</v>
        <stp/>
        <stp>BDH|17900543280756403107</stp>
        <tr r="T28" s="34"/>
      </tp>
      <tp t="e">
        <v>#N/A</v>
        <stp/>
        <stp>BDH|14236879110822545295</stp>
        <tr r="C33" s="12"/>
      </tp>
      <tp t="e">
        <v>#N/A</v>
        <stp/>
        <stp>BDH|18422225220271762482</stp>
        <tr r="P42" s="22"/>
      </tp>
      <tp t="e">
        <v>#N/A</v>
        <stp/>
        <stp>BDH|15799723856012830828</stp>
        <tr r="S11" s="10"/>
        <tr r="S14" s="2"/>
      </tp>
      <tp t="e">
        <v>#N/A</v>
        <stp/>
        <stp>BDH|15523207009352425814</stp>
        <tr r="N72" s="18"/>
      </tp>
      <tp t="e">
        <v>#N/A</v>
        <stp/>
        <stp>BDH|10258834568571135210</stp>
        <tr r="Q56" s="12"/>
      </tp>
      <tp t="e">
        <v>#N/A</v>
        <stp/>
        <stp>BDH|14020116428788962292</stp>
        <tr r="F60" s="34"/>
      </tp>
      <tp t="e">
        <v>#N/A</v>
        <stp/>
        <stp>BDH|17814407518617906807</stp>
        <tr r="L8" s="10"/>
      </tp>
      <tp t="e">
        <v>#N/A</v>
        <stp/>
        <stp>BDH|13761237611529503492</stp>
        <tr r="Q69" s="34"/>
      </tp>
      <tp t="e">
        <v>#N/A</v>
        <stp/>
        <stp>BDH|12400940076409918860</stp>
        <tr r="G50" s="17"/>
      </tp>
      <tp t="e">
        <v>#N/A</v>
        <stp/>
        <stp>BDH|18248678399172516808</stp>
        <tr r="I21" s="6"/>
      </tp>
      <tp t="e">
        <v>#N/A</v>
        <stp/>
        <stp>BDH|12854507090600785368</stp>
        <tr r="K72" s="17"/>
      </tp>
      <tp t="e">
        <v>#N/A</v>
        <stp/>
        <stp>BDH|10326309056399512282</stp>
        <tr r="D44" s="22"/>
      </tp>
      <tp t="e">
        <v>#N/A</v>
        <stp/>
        <stp>BDH|12876965202306798033</stp>
        <tr r="D83" s="17"/>
      </tp>
      <tp t="e">
        <v>#N/A</v>
        <stp/>
        <stp>BDH|11164675650498791795</stp>
        <tr r="M11" s="29"/>
      </tp>
      <tp t="e">
        <v>#N/A</v>
        <stp/>
        <stp>BDH|14788139449955769924</stp>
        <tr r="S40" s="17"/>
      </tp>
      <tp t="e">
        <v>#N/A</v>
        <stp/>
        <stp>BDH|16965412286425390250</stp>
        <tr r="AA9" s="27"/>
      </tp>
      <tp t="e">
        <v>#N/A</v>
        <stp/>
        <stp>BDH|11328918859007373705</stp>
        <tr r="H16" s="22"/>
      </tp>
      <tp t="e">
        <v>#N/A</v>
        <stp/>
        <stp>BDH|10015747668404054848</stp>
        <tr r="H52" s="18"/>
      </tp>
      <tp t="e">
        <v>#N/A</v>
        <stp/>
        <stp>BDH|15053482258600171999</stp>
        <tr r="Q150" s="18"/>
      </tp>
      <tp t="e">
        <v>#N/A</v>
        <stp/>
        <stp>BDH|15427820758646137378</stp>
        <tr r="Y11" s="20"/>
        <tr r="Y112" s="18"/>
      </tp>
      <tp t="e">
        <v>#N/A</v>
        <stp/>
        <stp>BDH|13593913440530445385</stp>
        <tr r="D29" s="22"/>
      </tp>
      <tp t="e">
        <v>#N/A</v>
        <stp/>
        <stp>BDH|16588541459139075202</stp>
        <tr r="J164" s="18"/>
      </tp>
      <tp t="e">
        <v>#N/A</v>
        <stp/>
        <stp>BDH|15362803239092283101</stp>
        <tr r="K31" s="13"/>
        <tr r="I27" s="10"/>
      </tp>
      <tp t="e">
        <v>#N/A</v>
        <stp/>
        <stp>BDH|14549942903122283283</stp>
        <tr r="R41" s="24"/>
      </tp>
      <tp t="e">
        <v>#N/A</v>
        <stp/>
        <stp>BDH|17860112920300304924</stp>
        <tr r="M11" s="12"/>
      </tp>
      <tp t="e">
        <v>#N/A</v>
        <stp/>
        <stp>BDH|17920721623187082809</stp>
        <tr r="V18" s="23"/>
      </tp>
      <tp t="e">
        <v>#N/A</v>
        <stp/>
        <stp>BDH|16566088257496603849</stp>
        <tr r="Q15" s="17"/>
        <tr r="Q18" s="28"/>
      </tp>
      <tp t="e">
        <v>#N/A</v>
        <stp/>
        <stp>BDH|13338972234617103394</stp>
        <tr r="Z57" s="12"/>
      </tp>
      <tp t="e">
        <v>#N/A</v>
        <stp/>
        <stp>BDH|10842660784233067023</stp>
        <tr r="G30" s="13"/>
        <tr r="E26" s="10"/>
      </tp>
      <tp t="e">
        <v>#N/A</v>
        <stp/>
        <stp>BDH|15353926712315356586</stp>
        <tr r="C46" s="24"/>
      </tp>
      <tp t="e">
        <v>#N/A</v>
        <stp/>
        <stp>BDH|15029801274506936154</stp>
        <tr r="H39" s="29"/>
        <tr r="H31" s="29"/>
        <tr r="G52" s="6"/>
        <tr r="G11" s="5"/>
        <tr r="H10" s="2"/>
      </tp>
      <tp t="e">
        <v>#N/A</v>
        <stp/>
        <stp>BDH|15780368400423051890</stp>
        <tr r="V13" s="34"/>
      </tp>
      <tp t="e">
        <v>#N/A</v>
        <stp/>
        <stp>BDH|17530448765908940057</stp>
        <tr r="E24" s="6"/>
      </tp>
      <tp t="e">
        <v>#N/A</v>
        <stp/>
        <stp>BDH|15981168282951584000</stp>
        <tr r="G48" s="21"/>
      </tp>
      <tp t="e">
        <v>#N/A</v>
        <stp/>
        <stp>BDH|12768754229018454270</stp>
        <tr r="G29" s="5"/>
      </tp>
      <tp t="e">
        <v>#N/A</v>
        <stp/>
        <stp>BDH|16952367782113720326</stp>
        <tr r="L10" s="22"/>
      </tp>
      <tp t="e">
        <v>#N/A</v>
        <stp/>
        <stp>BDH|17109763198540500423</stp>
        <tr r="R47" s="24"/>
      </tp>
      <tp t="e">
        <v>#N/A</v>
        <stp/>
        <stp>BDH|13325427908723276930</stp>
        <tr r="AA16" s="30"/>
      </tp>
      <tp t="e">
        <v>#N/A</v>
        <stp/>
        <stp>BDH|12405703693620886179</stp>
        <tr r="W6" s="6"/>
      </tp>
      <tp t="e">
        <v>#N/A</v>
        <stp/>
        <stp>BDH|11589377928029520479</stp>
        <tr r="O58" s="34"/>
      </tp>
      <tp t="e">
        <v>#N/A</v>
        <stp/>
        <stp>BDH|17335446297246131190</stp>
        <tr r="P56" s="24"/>
      </tp>
      <tp t="e">
        <v>#N/A</v>
        <stp/>
        <stp>BDH|17871473981220581607</stp>
        <tr r="E47" s="12"/>
      </tp>
      <tp t="e">
        <v>#N/A</v>
        <stp/>
        <stp>BDH|11082998112980524453</stp>
        <tr r="W20" s="11"/>
      </tp>
      <tp t="e">
        <v>#N/A</v>
        <stp/>
        <stp>BDH|15571136768886477916</stp>
        <tr r="J71" s="12"/>
      </tp>
      <tp t="e">
        <v>#N/A</v>
        <stp/>
        <stp>BDH|15377921649470780542</stp>
        <tr r="O35" s="6"/>
      </tp>
      <tp t="e">
        <v>#N/A</v>
        <stp/>
        <stp>BDH|11659402904111980906</stp>
        <tr r="T66" s="24"/>
      </tp>
      <tp t="e">
        <v>#N/A</v>
        <stp/>
        <stp>BDH|13592185698701955776</stp>
        <tr r="J15" s="34"/>
      </tp>
      <tp t="e">
        <v>#N/A</v>
        <stp/>
        <stp>BDH|18315458009691524013</stp>
        <tr r="F47" s="22"/>
      </tp>
      <tp t="e">
        <v>#N/A</v>
        <stp/>
        <stp>BDH|13753494407088783254</stp>
        <tr r="U19" s="18"/>
      </tp>
      <tp t="e">
        <v>#N/A</v>
        <stp/>
        <stp>BDH|14057809690788876031</stp>
        <tr r="C106" s="12"/>
      </tp>
      <tp t="e">
        <v>#N/A</v>
        <stp/>
        <stp>BDH|14360465581363651698</stp>
        <tr r="Q6" s="27"/>
      </tp>
      <tp t="e">
        <v>#N/A</v>
        <stp/>
        <stp>BDH|10536329838715236862</stp>
        <tr r="T60" s="18"/>
      </tp>
      <tp t="e">
        <v>#N/A</v>
        <stp/>
        <stp>BDH|16095000930239366181</stp>
        <tr r="G67" s="10"/>
      </tp>
      <tp t="e">
        <v>#N/A</v>
        <stp/>
        <stp>BDH|12348820392908810600</stp>
        <tr r="K13" s="6"/>
      </tp>
      <tp t="e">
        <v>#N/A</v>
        <stp/>
        <stp>BDH|12459789575848476760</stp>
        <tr r="O21" s="6"/>
      </tp>
      <tp t="e">
        <v>#N/A</v>
        <stp/>
        <stp>BDH|18103562018385472405</stp>
        <tr r="G49" s="22"/>
      </tp>
      <tp t="e">
        <v>#N/A</v>
        <stp/>
        <stp>BDH|15851128884858417917</stp>
        <tr r="P16" s="14"/>
      </tp>
      <tp t="e">
        <v>#N/A</v>
        <stp/>
        <stp>BDH|18446456449187668254</stp>
        <tr r="M64" s="18"/>
      </tp>
      <tp t="e">
        <v>#N/A</v>
        <stp/>
        <stp>BDH|14018047298913677318</stp>
        <tr r="C14" s="4"/>
      </tp>
      <tp t="e">
        <v>#N/A</v>
        <stp/>
        <stp>BDH|16639283036729355302</stp>
        <tr r="O15" s="17"/>
        <tr r="O18" s="28"/>
      </tp>
      <tp t="e">
        <v>#N/A</v>
        <stp/>
        <stp>BDH|13965735781303979297</stp>
        <tr r="O13" s="21"/>
      </tp>
      <tp t="e">
        <v>#N/A</v>
        <stp/>
        <stp>BDH|15123662627189916520</stp>
        <tr r="S103" s="18"/>
      </tp>
      <tp t="e">
        <v>#N/A</v>
        <stp/>
        <stp>BDH|16868977211661227275</stp>
        <tr r="K34" s="6"/>
      </tp>
      <tp t="e">
        <v>#N/A</v>
        <stp/>
        <stp>BDH|13303786862506009923</stp>
        <tr r="G42" s="17"/>
      </tp>
      <tp t="e">
        <v>#N/A</v>
        <stp/>
        <stp>BDH|12082629902931389887</stp>
        <tr r="E30" s="9"/>
      </tp>
      <tp t="e">
        <v>#N/A</v>
        <stp/>
        <stp>BDH|14865950394170741954</stp>
        <tr r="AA7" s="21"/>
      </tp>
      <tp t="e">
        <v>#N/A</v>
        <stp/>
        <stp>BDH|10251273068690115977</stp>
        <tr r="C22" s="7"/>
      </tp>
      <tp t="e">
        <v>#N/A</v>
        <stp/>
        <stp>BDH|12502223619839189545</stp>
        <tr r="Y50" s="18"/>
      </tp>
      <tp t="e">
        <v>#N/A</v>
        <stp/>
        <stp>BDH|11732143577648620292</stp>
        <tr r="I56" s="17"/>
      </tp>
      <tp t="e">
        <v>#N/A</v>
        <stp/>
        <stp>BDH|17289191296161151378</stp>
        <tr r="D31" s="18"/>
      </tp>
      <tp t="e">
        <v>#N/A</v>
        <stp/>
        <stp>BDH|15930807253330178505</stp>
        <tr r="F52" s="22"/>
      </tp>
      <tp t="e">
        <v>#N/A</v>
        <stp/>
        <stp>BDH|17650841669157778377</stp>
        <tr r="AA145" s="18"/>
      </tp>
      <tp t="e">
        <v>#N/A</v>
        <stp/>
        <stp>BDH|10789880455851739167</stp>
        <tr r="P104" s="12"/>
      </tp>
      <tp t="e">
        <v>#N/A</v>
        <stp/>
        <stp>BDH|16661598183290742613</stp>
        <tr r="K22" s="4"/>
      </tp>
      <tp t="e">
        <v>#N/A</v>
        <stp/>
        <stp>BDH|12169204198850788449</stp>
        <tr r="Z15" s="24"/>
      </tp>
      <tp t="e">
        <v>#N/A</v>
        <stp/>
        <stp>BDH|13581428736919920021</stp>
        <tr r="N14" s="14"/>
      </tp>
      <tp t="e">
        <v>#N/A</v>
        <stp/>
        <stp>BDH|16428692561732598934</stp>
        <tr r="Y26" s="26"/>
      </tp>
      <tp t="e">
        <v>#N/A</v>
        <stp/>
        <stp>BDH|17678457075299907058</stp>
        <tr r="O42" s="21"/>
      </tp>
      <tp t="e">
        <v>#N/A</v>
        <stp/>
        <stp>BDH|11941023492947768241</stp>
        <tr r="L17" s="9"/>
      </tp>
      <tp t="e">
        <v>#N/A</v>
        <stp/>
        <stp>BDH|10094497113759568156</stp>
        <tr r="L94" s="18"/>
      </tp>
      <tp t="e">
        <v>#N/A</v>
        <stp/>
        <stp>BDH|14872556057879854085</stp>
        <tr r="R17" s="22"/>
      </tp>
      <tp t="e">
        <v>#N/A</v>
        <stp/>
        <stp>BDH|15173989458667958325</stp>
        <tr r="L51" s="22"/>
      </tp>
      <tp t="e">
        <v>#N/A</v>
        <stp/>
        <stp>BDH|16090896585462237940</stp>
        <tr r="T87" s="12"/>
      </tp>
      <tp t="e">
        <v>#N/A</v>
        <stp/>
        <stp>BDH|10385992756298245943</stp>
        <tr r="Q42" s="17"/>
      </tp>
      <tp t="e">
        <v>#N/A</v>
        <stp/>
        <stp>BDH|11401171188377295234</stp>
        <tr r="Y103" s="12"/>
      </tp>
      <tp t="e">
        <v>#N/A</v>
        <stp/>
        <stp>BDH|12623783138872977950</stp>
        <tr r="Z57" s="13"/>
      </tp>
      <tp t="e">
        <v>#N/A</v>
        <stp/>
        <stp>BDH|12314719633363228894</stp>
        <tr r="E48" s="21"/>
      </tp>
      <tp t="e">
        <v>#N/A</v>
        <stp/>
        <stp>BDH|14388909913295964438</stp>
        <tr r="H70" s="18"/>
      </tp>
      <tp t="e">
        <v>#N/A</v>
        <stp/>
        <stp>BDH|18217256066838335981</stp>
        <tr r="E59" s="17"/>
      </tp>
      <tp t="e">
        <v>#N/A</v>
        <stp/>
        <stp>BDH|17546389283203524210</stp>
        <tr r="K173" s="18"/>
      </tp>
      <tp t="e">
        <v>#N/A</v>
        <stp/>
        <stp>BDH|14097639850702893812</stp>
        <tr r="AA27" s="12"/>
      </tp>
      <tp t="e">
        <v>#N/A</v>
        <stp/>
        <stp>BDH|10949532753264054932</stp>
        <tr r="J34" s="21"/>
      </tp>
      <tp t="e">
        <v>#N/A</v>
        <stp/>
        <stp>BDH|15928331986684151773</stp>
        <tr r="Q40" s="22"/>
      </tp>
      <tp t="e">
        <v>#N/A</v>
        <stp/>
        <stp>BDH|15200393461265656867</stp>
        <tr r="I14" s="14"/>
      </tp>
      <tp t="e">
        <v>#N/A</v>
        <stp/>
        <stp>BDH|13630099551248636328</stp>
        <tr r="O107" s="12"/>
      </tp>
      <tp t="e">
        <v>#N/A</v>
        <stp/>
        <stp>BDH|13909969872692448238</stp>
        <tr r="S78" s="18"/>
      </tp>
      <tp t="e">
        <v>#N/A</v>
        <stp/>
        <stp>BDH|17210980152784029227</stp>
        <tr r="F89" s="12"/>
      </tp>
      <tp t="e">
        <v>#N/A</v>
        <stp/>
        <stp>BDH|12349477589663370040</stp>
        <tr r="M45" s="13"/>
      </tp>
      <tp t="e">
        <v>#N/A</v>
        <stp/>
        <stp>BDH|10025472455374119893</stp>
        <tr r="D10" s="13"/>
      </tp>
      <tp t="e">
        <v>#N/A</v>
        <stp/>
        <stp>BDH|15302152032279940375</stp>
        <tr r="Q51" s="34"/>
      </tp>
      <tp t="e">
        <v>#N/A</v>
        <stp/>
        <stp>BDH|11507683500662360842</stp>
        <tr r="H19" s="34"/>
      </tp>
      <tp t="e">
        <v>#N/A</v>
        <stp/>
        <stp>BDH|15976247668118931463</stp>
        <tr r="G26" s="24"/>
      </tp>
      <tp t="e">
        <v>#N/A</v>
        <stp/>
        <stp>BDH|17549915267000905501</stp>
        <tr r="J18" s="21"/>
        <tr r="H23" s="2"/>
        <tr r="J23" s="3"/>
      </tp>
      <tp t="e">
        <v>#N/A</v>
        <stp/>
        <stp>BDH|14574260694715497799</stp>
        <tr r="Y31" s="17"/>
      </tp>
      <tp t="e">
        <v>#N/A</v>
        <stp/>
        <stp>BDH|16368160459699445623</stp>
        <tr r="J38" s="25"/>
      </tp>
      <tp t="e">
        <v>#N/A</v>
        <stp/>
        <stp>BDH|13053141487101038690</stp>
        <tr r="S37" s="34"/>
      </tp>
      <tp t="e">
        <v>#N/A</v>
        <stp/>
        <stp>BDH|16062216099982282207</stp>
        <tr r="J45" s="21"/>
      </tp>
      <tp t="e">
        <v>#N/A</v>
        <stp/>
        <stp>BDH|17433620665349034396</stp>
        <tr r="D15" s="17"/>
        <tr r="D18" s="28"/>
      </tp>
      <tp t="e">
        <v>#N/A</v>
        <stp/>
        <stp>BDH|11805594253574036887</stp>
        <tr r="K105" s="12"/>
      </tp>
      <tp t="e">
        <v>#N/A</v>
        <stp/>
        <stp>BDH|13122203513455043884</stp>
        <tr r="C59" s="12"/>
      </tp>
      <tp t="e">
        <v>#N/A</v>
        <stp/>
        <stp>BDH|16263212508699170001</stp>
        <tr r="AA12" s="21"/>
      </tp>
      <tp t="e">
        <v>#N/A</v>
        <stp/>
        <stp>BDH|10541468644058918549</stp>
        <tr r="M31" s="22"/>
      </tp>
      <tp t="e">
        <v>#N/A</v>
        <stp/>
        <stp>BDH|13595495836260728978</stp>
        <tr r="T16" s="21"/>
      </tp>
      <tp t="e">
        <v>#N/A</v>
        <stp/>
        <stp>BDH|17948990319052695026</stp>
        <tr r="Z15" s="25"/>
      </tp>
      <tp t="e">
        <v>#N/A</v>
        <stp/>
        <stp>BDH|15777930988588996181</stp>
        <tr r="K34" s="29"/>
        <tr r="K14" s="29"/>
        <tr r="K23" s="29"/>
      </tp>
      <tp t="e">
        <v>#N/A</v>
        <stp/>
        <stp>BDH|17752767799263181742</stp>
        <tr r="J13" s="8"/>
      </tp>
      <tp t="e">
        <v>#N/A</v>
        <stp/>
        <stp>BDH|15832750021408483557</stp>
        <tr r="L33" s="18"/>
      </tp>
      <tp t="e">
        <v>#N/A</v>
        <stp/>
        <stp>BDH|15051973765410727788</stp>
        <tr r="Y118" s="18"/>
      </tp>
      <tp t="e">
        <v>#N/A</v>
        <stp/>
        <stp>BDH|14821128212361605836</stp>
        <tr r="G8" s="6"/>
      </tp>
      <tp t="e">
        <v>#N/A</v>
        <stp/>
        <stp>BDH|15463499079303870815</stp>
        <tr r="W26" s="6"/>
      </tp>
      <tp t="e">
        <v>#N/A</v>
        <stp/>
        <stp>BDH|16544302092884963535</stp>
        <tr r="X22" s="29"/>
        <tr r="X13" s="29"/>
        <tr r="X33" s="29"/>
      </tp>
      <tp t="e">
        <v>#N/A</v>
        <stp/>
        <stp>BDH|16734515878169091033</stp>
        <tr r="F18" s="30"/>
      </tp>
      <tp t="e">
        <v>#N/A</v>
        <stp/>
        <stp>BDH|14402962419171074069</stp>
        <tr r="T8" s="27"/>
      </tp>
      <tp t="e">
        <v>#N/A</v>
        <stp/>
        <stp>BDH|14023012237109341388</stp>
        <tr r="H71" s="12"/>
      </tp>
      <tp t="e">
        <v>#N/A</v>
        <stp/>
        <stp>BDH|17990053852868595767</stp>
        <tr r="Q44" s="6"/>
      </tp>
      <tp t="e">
        <v>#N/A</v>
        <stp/>
        <stp>BDH|13330204758508289149</stp>
        <tr r="W60" s="21"/>
      </tp>
      <tp t="e">
        <v>#N/A</v>
        <stp/>
        <stp>BDH|14358747605187981968</stp>
        <tr r="W15" s="11"/>
      </tp>
      <tp t="e">
        <v>#N/A</v>
        <stp/>
        <stp>BDH|15907447408379068580</stp>
        <tr r="L83" s="18"/>
      </tp>
      <tp t="e">
        <v>#N/A</v>
        <stp/>
        <stp>BDH|10611937688409857585</stp>
        <tr r="K32" s="11"/>
        <tr r="K40" s="10"/>
      </tp>
      <tp t="e">
        <v>#N/A</v>
        <stp/>
        <stp>BDH|14935912513697353653</stp>
        <tr r="L11" s="28"/>
      </tp>
      <tp t="e">
        <v>#N/A</v>
        <stp/>
        <stp>BDH|11091599111160776826</stp>
        <tr r="G52" s="13"/>
        <tr r="E55" s="10"/>
        <tr r="E47" s="11"/>
        <tr r="E17" s="7"/>
        <tr r="E17" s="4"/>
        <tr r="G10" s="3"/>
      </tp>
      <tp t="e">
        <v>#N/A</v>
        <stp/>
        <stp>BDH|12615495852297608961</stp>
        <tr r="J25" s="21"/>
      </tp>
      <tp t="e">
        <v>#N/A</v>
        <stp/>
        <stp>BDH|14948472890221109523</stp>
        <tr r="E94" s="18"/>
      </tp>
      <tp t="e">
        <v>#N/A</v>
        <stp/>
        <stp>BDH|13403486203992209808</stp>
        <tr r="H73" s="12"/>
      </tp>
      <tp t="e">
        <v>#N/A</v>
        <stp/>
        <stp>BDH|13984418225680147814</stp>
        <tr r="O11" s="20"/>
        <tr r="O112" s="18"/>
      </tp>
      <tp t="e">
        <v>#N/A</v>
        <stp/>
        <stp>BDH|15944053642729741542</stp>
        <tr r="U26" s="22"/>
      </tp>
      <tp t="e">
        <v>#N/A</v>
        <stp/>
        <stp>BDH|14764163693822990362</stp>
        <tr r="N94" s="18"/>
      </tp>
      <tp t="e">
        <v>#N/A</v>
        <stp/>
        <stp>BDH|17641093572728904596</stp>
        <tr r="Y15" s="24"/>
      </tp>
      <tp t="e">
        <v>#N/A</v>
        <stp/>
        <stp>BDH|16117480091480012651</stp>
        <tr r="L9" s="12"/>
      </tp>
      <tp t="e">
        <v>#N/A</v>
        <stp/>
        <stp>BDH|11620462949639055546</stp>
        <tr r="N29" s="34"/>
      </tp>
      <tp t="e">
        <v>#N/A</v>
        <stp/>
        <stp>BDH|11866931767525036614</stp>
        <tr r="U14" s="4"/>
      </tp>
      <tp t="e">
        <v>#N/A</v>
        <stp/>
        <stp>BDH|11196090466753093932</stp>
        <tr r="H82" s="12"/>
      </tp>
      <tp t="e">
        <v>#N/A</v>
        <stp/>
        <stp>BDH|12828684847974980932</stp>
        <tr r="L21" s="10"/>
      </tp>
      <tp t="e">
        <v>#N/A</v>
        <stp/>
        <stp>BDH|13248283625299690749</stp>
        <tr r="V40" s="24"/>
      </tp>
      <tp t="e">
        <v>#N/A</v>
        <stp/>
        <stp>BDH|14458934119705428470</stp>
        <tr r="V55" s="10"/>
        <tr r="V47" s="11"/>
        <tr r="X52" s="13"/>
        <tr r="V17" s="7"/>
        <tr r="V17" s="4"/>
        <tr r="X10" s="3"/>
      </tp>
      <tp t="e">
        <v>#N/A</v>
        <stp/>
        <stp>BDH|17762303379306571865</stp>
        <tr r="Z33" s="17"/>
      </tp>
      <tp t="e">
        <v>#N/A</v>
        <stp/>
        <stp>BDH|18415394056430074362</stp>
        <tr r="D68" s="34"/>
      </tp>
      <tp t="e">
        <v>#N/A</v>
        <stp/>
        <stp>BDH|17134108928611103847</stp>
        <tr r="U31" s="12"/>
      </tp>
      <tp t="e">
        <v>#N/A</v>
        <stp/>
        <stp>BDH|10651899314560322441</stp>
        <tr r="H52" s="21"/>
      </tp>
      <tp t="e">
        <v>#N/A</v>
        <stp/>
        <stp>BDH|12053698282645466437</stp>
        <tr r="C9" s="12"/>
      </tp>
      <tp t="e">
        <v>#N/A</v>
        <stp/>
        <stp>BDH|15860045680896513653</stp>
        <tr r="E67" s="10"/>
      </tp>
      <tp t="e">
        <v>#N/A</v>
        <stp/>
        <stp>BDH|17839570134139531528</stp>
        <tr r="S52" s="13"/>
        <tr r="Q47" s="11"/>
        <tr r="Q17" s="7"/>
        <tr r="Q55" s="10"/>
        <tr r="S10" s="3"/>
        <tr r="Q17" s="4"/>
      </tp>
      <tp t="e">
        <v>#N/A</v>
        <stp/>
        <stp>BDH|15196799311907031953</stp>
        <tr r="V87" s="17"/>
      </tp>
      <tp t="e">
        <v>#N/A</v>
        <stp/>
        <stp>BDH|11391221529294432801</stp>
        <tr r="L58" s="24"/>
      </tp>
      <tp t="e">
        <v>#N/A</v>
        <stp/>
        <stp>BDH|10888945231547400050</stp>
        <tr r="Q19" s="24"/>
      </tp>
      <tp t="e">
        <v>#N/A</v>
        <stp/>
        <stp>BDH|13555196183016430178</stp>
        <tr r="H13" s="21"/>
      </tp>
      <tp t="e">
        <v>#N/A</v>
        <stp/>
        <stp>BDH|15373103707480888900</stp>
        <tr r="O69" s="17"/>
      </tp>
      <tp t="e">
        <v>#N/A</v>
        <stp/>
        <stp>BDH|18073979593132184799</stp>
        <tr r="C18" s="24"/>
      </tp>
      <tp t="e">
        <v>#N/A</v>
        <stp/>
        <stp>BDH|12351663867957642886</stp>
        <tr r="U28" s="21"/>
      </tp>
      <tp t="e">
        <v>#N/A</v>
        <stp/>
        <stp>BDH|17641839452336358186</stp>
        <tr r="T12" s="27"/>
        <tr r="T26" s="25"/>
      </tp>
      <tp t="e">
        <v>#N/A</v>
        <stp/>
        <stp>BDH|17980862097253753830</stp>
        <tr r="R64" s="24"/>
      </tp>
      <tp t="e">
        <v>#N/A</v>
        <stp/>
        <stp>BDH|11397893248506835660</stp>
        <tr r="X43" s="24"/>
      </tp>
      <tp t="e">
        <v>#N/A</v>
        <stp/>
        <stp>BDH|17008884032435065464</stp>
        <tr r="Q35" s="22"/>
      </tp>
      <tp t="e">
        <v>#N/A</v>
        <stp/>
        <stp>BDH|11979837083205636930</stp>
        <tr r="S119" s="18"/>
      </tp>
      <tp t="e">
        <v>#N/A</v>
        <stp/>
        <stp>BDH|18099229714101239783</stp>
        <tr r="W39" s="17"/>
      </tp>
      <tp t="e">
        <v>#N/A</v>
        <stp/>
        <stp>BDH|17825656590662636770</stp>
        <tr r="W88" s="18"/>
      </tp>
      <tp t="e">
        <v>#N/A</v>
        <stp/>
        <stp>BDH|18435874296721924505</stp>
        <tr r="J57" s="24"/>
      </tp>
      <tp t="e">
        <v>#N/A</v>
        <stp/>
        <stp>BDH|12240072290203166584</stp>
        <tr r="E151" s="18"/>
      </tp>
      <tp t="e">
        <v>#N/A</v>
        <stp/>
        <stp>BDH|15761397875339209554</stp>
        <tr r="T10" s="26"/>
      </tp>
      <tp t="e">
        <v>#N/A</v>
        <stp/>
        <stp>BDH|12159721328162000870</stp>
        <tr r="E10" s="30"/>
      </tp>
      <tp t="e">
        <v>#N/A</v>
        <stp/>
        <stp>BDH|17972631584264795058</stp>
        <tr r="D48" s="21"/>
      </tp>
      <tp t="e">
        <v>#N/A</v>
        <stp/>
        <stp>BDH|14962424335658009620</stp>
        <tr r="Q37" s="12"/>
      </tp>
      <tp t="e">
        <v>#N/A</v>
        <stp/>
        <stp>BDH|15494583090470687462</stp>
        <tr r="F47" s="34"/>
      </tp>
      <tp t="e">
        <v>#N/A</v>
        <stp/>
        <stp>BDH|11888298249499101350</stp>
        <tr r="D41" s="17"/>
      </tp>
      <tp t="e">
        <v>#N/A</v>
        <stp/>
        <stp>BDH|14344497163488450329</stp>
        <tr r="W74" s="18"/>
      </tp>
      <tp t="e">
        <v>#N/A</v>
        <stp/>
        <stp>BDH|11585117680291215497</stp>
        <tr r="M16" s="23"/>
      </tp>
      <tp t="e">
        <v>#N/A</v>
        <stp/>
        <stp>BDH|18138135692599783480</stp>
        <tr r="U38" s="10"/>
        <tr r="U30" s="11"/>
      </tp>
      <tp t="e">
        <v>#N/A</v>
        <stp/>
        <stp>BDH|12632645326413396880</stp>
        <tr r="D19" s="23"/>
      </tp>
      <tp t="e">
        <v>#N/A</v>
        <stp/>
        <stp>BDH|18350708649603625532</stp>
        <tr r="D21" s="10"/>
      </tp>
      <tp t="e">
        <v>#N/A</v>
        <stp/>
        <stp>BDH|15780185113671135922</stp>
        <tr r="K41" s="17"/>
      </tp>
      <tp t="e">
        <v>#N/A</v>
        <stp/>
        <stp>BDH|10730031153638184095</stp>
        <tr r="C82" s="17"/>
        <tr r="C20" s="3"/>
      </tp>
      <tp t="e">
        <v>#N/A</v>
        <stp/>
        <stp>BDH|13680881854882216179</stp>
        <tr r="K14" s="18"/>
      </tp>
      <tp t="e">
        <v>#N/A</v>
        <stp/>
        <stp>BDH|12680833196156534891</stp>
        <tr r="T54" s="18"/>
      </tp>
      <tp t="e">
        <v>#N/A</v>
        <stp/>
        <stp>BDH|15916809501794294458</stp>
        <tr r="O85" s="17"/>
      </tp>
      <tp t="e">
        <v>#N/A</v>
        <stp/>
        <stp>BDH|14850918642940608429</stp>
        <tr r="I121" s="18"/>
      </tp>
      <tp t="e">
        <v>#N/A</v>
        <stp/>
        <stp>BDH|11694727788341440274</stp>
        <tr r="K65" s="12"/>
      </tp>
      <tp t="e">
        <v>#N/A</v>
        <stp/>
        <stp>BDH|12043283768899646297</stp>
        <tr r="J66" s="17"/>
      </tp>
      <tp t="e">
        <v>#N/A</v>
        <stp/>
        <stp>BDH|17291945561685916018</stp>
        <tr r="F65" s="12"/>
      </tp>
      <tp t="e">
        <v>#N/A</v>
        <stp/>
        <stp>BDH|16909443752483542950</stp>
        <tr r="C13" s="27"/>
        <tr r="C27" s="25"/>
      </tp>
      <tp t="e">
        <v>#N/A</v>
        <stp/>
        <stp>BDH|16884977373974177122</stp>
        <tr r="I10" s="6"/>
      </tp>
      <tp t="e">
        <v>#N/A</v>
        <stp/>
        <stp>BDH|16749981454452158557</stp>
        <tr r="T25" s="11"/>
        <tr r="T33" s="10"/>
      </tp>
      <tp t="e">
        <v>#N/A</v>
        <stp/>
        <stp>BDH|14822536994915962099</stp>
        <tr r="Z116" s="18"/>
      </tp>
      <tp t="e">
        <v>#N/A</v>
        <stp/>
        <stp>BDH|17365948238770683060</stp>
        <tr r="I13" s="10"/>
      </tp>
      <tp t="e">
        <v>#N/A</v>
        <stp/>
        <stp>BDH|14832227444349270631</stp>
        <tr r="T81" s="12"/>
      </tp>
      <tp t="e">
        <v>#N/A</v>
        <stp/>
        <stp>BDH|11147260489591988789</stp>
        <tr r="M37" s="26"/>
      </tp>
      <tp t="e">
        <v>#N/A</v>
        <stp/>
        <stp>BDH|14400921474147542084</stp>
        <tr r="E71" s="12"/>
      </tp>
      <tp t="e">
        <v>#N/A</v>
        <stp/>
        <stp>BDH|15908380238148135075</stp>
        <tr r="S25" s="7"/>
      </tp>
      <tp t="e">
        <v>#N/A</v>
        <stp/>
        <stp>BDH|17255936440394859362</stp>
        <tr r="F102" s="18"/>
      </tp>
      <tp t="e">
        <v>#N/A</v>
        <stp/>
        <stp>BDH|10350929679362697113</stp>
        <tr r="U47" s="24"/>
      </tp>
      <tp t="e">
        <v>#N/A</v>
        <stp/>
        <stp>BDH|15889434391167101249</stp>
        <tr r="C35" s="4"/>
      </tp>
      <tp t="e">
        <v>#N/A</v>
        <stp/>
        <stp>BDH|17959921752606708016</stp>
        <tr r="F41" s="22"/>
      </tp>
      <tp t="e">
        <v>#N/A</v>
        <stp/>
        <stp>BDH|10589538188233048312</stp>
        <tr r="U19" s="14"/>
      </tp>
      <tp t="e">
        <v>#N/A</v>
        <stp/>
        <stp>BDH|11230332066749057087</stp>
        <tr r="M55" s="24"/>
      </tp>
      <tp t="e">
        <v>#N/A</v>
        <stp/>
        <stp>BDH|15594097575197043870</stp>
        <tr r="I133" s="18"/>
      </tp>
      <tp t="e">
        <v>#N/A</v>
        <stp/>
        <stp>BDH|16468745311939613490</stp>
        <tr r="E93" s="12"/>
      </tp>
      <tp t="e">
        <v>#N/A</v>
        <stp/>
        <stp>BDH|15237389887295376605</stp>
        <tr r="J56" s="17"/>
      </tp>
      <tp t="e">
        <v>#N/A</v>
        <stp/>
        <stp>BDH|11899843302104614063</stp>
        <tr r="W101" s="12"/>
      </tp>
      <tp t="e">
        <v>#N/A</v>
        <stp/>
        <stp>BDH|16940839626545076426</stp>
        <tr r="Z90" s="12"/>
      </tp>
      <tp t="e">
        <v>#N/A</v>
        <stp/>
        <stp>BDH|17527924724309597884</stp>
        <tr r="E21" s="18"/>
      </tp>
      <tp t="e">
        <v>#N/A</v>
        <stp/>
        <stp>BDH|16310212662759993675</stp>
        <tr r="G16" s="14"/>
      </tp>
      <tp t="e">
        <v>#N/A</v>
        <stp/>
        <stp>BDH|13889799929278057369</stp>
        <tr r="F8" s="25"/>
        <tr r="C10" s="5"/>
        <tr r="D9" s="2"/>
      </tp>
      <tp t="e">
        <v>#N/A</v>
        <stp/>
        <stp>BDH|12189944500385907320</stp>
        <tr r="I23" s="21"/>
      </tp>
      <tp t="e">
        <v>#N/A</v>
        <stp/>
        <stp>BDH|13533858793969947648</stp>
        <tr r="U21" s="20"/>
      </tp>
      <tp t="e">
        <v>#N/A</v>
        <stp/>
        <stp>BDH|13174514019613532928</stp>
        <tr r="C14" s="34"/>
      </tp>
      <tp t="e">
        <v>#N/A</v>
        <stp/>
        <stp>BDH|11655782113663142928</stp>
        <tr r="L168" s="18"/>
      </tp>
      <tp t="e">
        <v>#N/A</v>
        <stp/>
        <stp>BDH|13333549399350069203</stp>
        <tr r="J12" s="14"/>
      </tp>
      <tp t="e">
        <v>#N/A</v>
        <stp/>
        <stp>BDH|16705891804140640328</stp>
        <tr r="V92" s="18"/>
      </tp>
      <tp t="e">
        <v>#N/A</v>
        <stp/>
        <stp>BDH|16853663460012722977</stp>
        <tr r="V25" s="29"/>
        <tr r="V19" s="29"/>
        <tr r="V10" s="29"/>
        <tr r="W12" s="8"/>
        <tr r="U6" s="9"/>
        <tr r="U6" s="5"/>
        <tr r="V6" s="2"/>
      </tp>
      <tp t="e">
        <v>#N/A</v>
        <stp/>
        <stp>BDH|12864925234465573053</stp>
        <tr r="M16" s="25"/>
      </tp>
      <tp t="e">
        <v>#N/A</v>
        <stp/>
        <stp>BDH|17588313659304026838</stp>
        <tr r="E10" s="28"/>
      </tp>
      <tp t="e">
        <v>#N/A</v>
        <stp/>
        <stp>BDH|14721861310926810679</stp>
        <tr r="O17" s="14"/>
      </tp>
      <tp t="e">
        <v>#N/A</v>
        <stp/>
        <stp>BDH|16111043389237099428</stp>
        <tr r="V51" s="12"/>
      </tp>
      <tp t="e">
        <v>#N/A</v>
        <stp/>
        <stp>BDH|13764951874841193197</stp>
        <tr r="X9" s="17"/>
      </tp>
      <tp t="e">
        <v>#N/A</v>
        <stp/>
        <stp>BDH|13561307778143155924</stp>
        <tr r="Z73" s="17"/>
      </tp>
      <tp t="e">
        <v>#N/A</v>
        <stp/>
        <stp>BDH|17663191793170404267</stp>
        <tr r="S35" s="25"/>
      </tp>
      <tp t="e">
        <v>#N/A</v>
        <stp/>
        <stp>BDH|15713879305378234899</stp>
        <tr r="R64" s="10"/>
        <tr r="R25" s="4"/>
      </tp>
      <tp t="e">
        <v>#N/A</v>
        <stp/>
        <stp>BDH|13288895975996754771</stp>
        <tr r="K86" s="12"/>
      </tp>
      <tp t="e">
        <v>#N/A</v>
        <stp/>
        <stp>BDH|14432351918438042372</stp>
        <tr r="S19" s="9"/>
      </tp>
      <tp t="e">
        <v>#N/A</v>
        <stp/>
        <stp>BDH|17329525494272246496</stp>
        <tr r="R16" s="25"/>
      </tp>
      <tp t="e">
        <v>#N/A</v>
        <stp/>
        <stp>BDH|13875808627116199200</stp>
        <tr r="F92" s="17"/>
        <tr r="F7" s="27"/>
      </tp>
      <tp t="e">
        <v>#N/A</v>
        <stp/>
        <stp>BDH|18239237765557240682</stp>
        <tr r="Q13" s="12"/>
      </tp>
      <tp t="e">
        <v>#N/A</v>
        <stp/>
        <stp>BDH|13133488052879462612</stp>
        <tr r="F78" s="12"/>
      </tp>
      <tp t="e">
        <v>#N/A</v>
        <stp/>
        <stp>BDH|14667340093125996669</stp>
        <tr r="E81" s="18"/>
      </tp>
      <tp t="e">
        <v>#N/A</v>
        <stp/>
        <stp>BDH|12297418033160819867</stp>
        <tr r="P28" s="34"/>
      </tp>
      <tp t="e">
        <v>#N/A</v>
        <stp/>
        <stp>BDH|13860406762374036846</stp>
        <tr r="S17" s="21"/>
      </tp>
      <tp t="e">
        <v>#N/A</v>
        <stp/>
        <stp>BDH|17803885038063764215</stp>
        <tr r="U23" s="26"/>
      </tp>
      <tp t="e">
        <v>#N/A</v>
        <stp/>
        <stp>BDH|14656023097025921541</stp>
        <tr r="N57" s="34"/>
      </tp>
      <tp t="e">
        <v>#N/A</v>
        <stp/>
        <stp>BDH|11851876230554150306</stp>
        <tr r="D40" s="22"/>
      </tp>
      <tp t="e">
        <v>#N/A</v>
        <stp/>
        <stp>BDH|12032121869621609931</stp>
        <tr r="D43" s="13"/>
      </tp>
      <tp t="e">
        <v>#N/A</v>
        <stp/>
        <stp>BDH|13961789992609415662</stp>
        <tr r="X23" s="25"/>
        <tr r="V21" s="11"/>
      </tp>
      <tp t="e">
        <v>#N/A</v>
        <stp/>
        <stp>BDH|13704559575374712711</stp>
        <tr r="L37" s="24"/>
      </tp>
      <tp t="e">
        <v>#N/A</v>
        <stp/>
        <stp>BDH|12174962836678008209</stp>
        <tr r="L68" s="10"/>
      </tp>
      <tp t="e">
        <v>#N/A</v>
        <stp/>
        <stp>BDH|16748000849876929667</stp>
        <tr r="G10" s="26"/>
      </tp>
      <tp t="e">
        <v>#N/A</v>
        <stp/>
        <stp>BDH|17979339780768361686</stp>
        <tr r="J12" s="30"/>
      </tp>
      <tp t="e">
        <v>#N/A</v>
        <stp/>
        <stp>BDH|12525137006248275939</stp>
        <tr r="S11" s="18"/>
      </tp>
      <tp t="e">
        <v>#N/A</v>
        <stp/>
        <stp>BDH|13774746901833069536</stp>
        <tr r="F73" s="12"/>
      </tp>
      <tp t="e">
        <v>#N/A</v>
        <stp/>
        <stp>BDH|13585643469299868816</stp>
        <tr r="P40" s="22"/>
      </tp>
      <tp t="e">
        <v>#N/A</v>
        <stp/>
        <stp>BDH|14539844007148594627</stp>
        <tr r="R14" s="34"/>
      </tp>
      <tp t="e">
        <v>#N/A</v>
        <stp/>
        <stp>BDH|12710601353983601031</stp>
        <tr r="H92" s="12"/>
      </tp>
      <tp t="e">
        <v>#N/A</v>
        <stp/>
        <stp>BDH|11533572264356091673</stp>
        <tr r="M52" s="17"/>
        <tr r="M17" s="3"/>
      </tp>
      <tp t="e">
        <v>#N/A</v>
        <stp/>
        <stp>BDH|14117683359723986685</stp>
        <tr r="M17" s="22"/>
      </tp>
      <tp t="e">
        <v>#N/A</v>
        <stp/>
        <stp>BDH|11732763256815221445</stp>
        <tr r="H8" s="23"/>
      </tp>
      <tp t="e">
        <v>#N/A</v>
        <stp/>
        <stp>BDH|15622338155794943587</stp>
        <tr r="C52" s="12"/>
      </tp>
      <tp t="e">
        <v>#N/A</v>
        <stp/>
        <stp>BDH|15993880067728566126</stp>
        <tr r="W53" s="18"/>
      </tp>
      <tp t="e">
        <v>#N/A</v>
        <stp/>
        <stp>BDH|10586611251182175352</stp>
        <tr r="O28" s="4"/>
      </tp>
      <tp t="e">
        <v>#N/A</v>
        <stp/>
        <stp>BDH|17719156014002393743</stp>
        <tr r="M135" s="18"/>
      </tp>
      <tp t="e">
        <v>#N/A</v>
        <stp/>
        <stp>BDH|11295542563205325576</stp>
        <tr r="V100" s="12"/>
      </tp>
      <tp t="e">
        <v>#N/A</v>
        <stp/>
        <stp>BDH|16307661136517090620</stp>
        <tr r="F34" s="22"/>
      </tp>
      <tp t="e">
        <v>#N/A</v>
        <stp/>
        <stp>BDH|16111239864448081878</stp>
        <tr r="Y58" s="12"/>
      </tp>
      <tp t="e">
        <v>#N/A</v>
        <stp/>
        <stp>BDH|16111179506617711263</stp>
        <tr r="G47" s="22"/>
      </tp>
      <tp t="e">
        <v>#N/A</v>
        <stp/>
        <stp>BDH|15416384698514090955</stp>
        <tr r="U16" s="10"/>
      </tp>
      <tp t="e">
        <v>#N/A</v>
        <stp/>
        <stp>BDH|15523217950157552703</stp>
        <tr r="D8" s="8"/>
      </tp>
      <tp t="e">
        <v>#N/A</v>
        <stp/>
        <stp>BDH|17158971251709268047</stp>
        <tr r="C166" s="18"/>
      </tp>
      <tp t="e">
        <v>#N/A</v>
        <stp/>
        <stp>BDH|15755375444297205773</stp>
        <tr r="U40" s="6"/>
      </tp>
      <tp t="e">
        <v>#N/A</v>
        <stp/>
        <stp>BDH|14127505505377611434</stp>
        <tr r="O22" s="5"/>
      </tp>
      <tp t="e">
        <v>#N/A</v>
        <stp/>
        <stp>BDH|18206151782561303275</stp>
        <tr r="N68" s="24"/>
      </tp>
      <tp t="e">
        <v>#N/A</v>
        <stp/>
        <stp>BDH|15632112292519606625</stp>
        <tr r="M158" s="18"/>
      </tp>
      <tp t="e">
        <v>#N/A</v>
        <stp/>
        <stp>BDH|15156214620802196501</stp>
        <tr r="K13" s="29"/>
        <tr r="K33" s="29"/>
        <tr r="K22" s="29"/>
      </tp>
      <tp t="e">
        <v>#N/A</v>
        <stp/>
        <stp>BDH|12777745464156577735</stp>
        <tr r="P23" s="17"/>
      </tp>
      <tp t="e">
        <v>#N/A</v>
        <stp/>
        <stp>BDH|16055065067895015709</stp>
        <tr r="Z51" s="18"/>
      </tp>
      <tp t="e">
        <v>#N/A</v>
        <stp/>
        <stp>BDH|17021546269000950651</stp>
        <tr r="K20" s="27"/>
      </tp>
      <tp t="e">
        <v>#N/A</v>
        <stp/>
        <stp>BDH|13164822351515738945</stp>
        <tr r="S38" s="29"/>
        <tr r="S18" s="29"/>
      </tp>
      <tp t="e">
        <v>#N/A</v>
        <stp/>
        <stp>BDH|17038714431169041815</stp>
        <tr r="M16" s="26"/>
      </tp>
      <tp t="e">
        <v>#N/A</v>
        <stp/>
        <stp>BDH|11975823723719877013</stp>
        <tr r="V7" s="20"/>
        <tr r="V109" s="18"/>
      </tp>
      <tp t="e">
        <v>#N/A</v>
        <stp/>
        <stp>BDH|17092426376820067656</stp>
        <tr r="W61" s="13"/>
      </tp>
      <tp t="e">
        <v>#N/A</v>
        <stp/>
        <stp>BDH|15541374110753256615</stp>
        <tr r="Y49" s="17"/>
      </tp>
      <tp t="e">
        <v>#N/A</v>
        <stp/>
        <stp>BDH|17188422970234290207</stp>
        <tr r="J63" s="24"/>
      </tp>
      <tp t="e">
        <v>#N/A</v>
        <stp/>
        <stp>BDH|12131621303487430150</stp>
        <tr r="AA107" s="18"/>
      </tp>
      <tp t="e">
        <v>#N/A</v>
        <stp/>
        <stp>BDH|13326716405600037664</stp>
        <tr r="Y91" s="18"/>
      </tp>
      <tp t="e">
        <v>#N/A</v>
        <stp/>
        <stp>BDH|16846522529030157336</stp>
        <tr r="P8" s="28"/>
      </tp>
      <tp t="e">
        <v>#N/A</v>
        <stp/>
        <stp>BDH|10602307261311791618</stp>
        <tr r="G29" s="29"/>
        <tr r="G7" s="29"/>
      </tp>
      <tp t="e">
        <v>#N/A</v>
        <stp/>
        <stp>BDH|17643713857837436058</stp>
        <tr r="E24" s="20"/>
      </tp>
      <tp t="e">
        <v>#N/A</v>
        <stp/>
        <stp>BDH|14594024738066985371</stp>
        <tr r="M176" s="18"/>
      </tp>
      <tp t="e">
        <v>#N/A</v>
        <stp/>
        <stp>BDH|14195953089624953342</stp>
        <tr r="Q123" s="18"/>
      </tp>
      <tp t="e">
        <v>#N/A</v>
        <stp/>
        <stp>BDH|16806711648425282236</stp>
        <tr r="T19" s="17"/>
      </tp>
      <tp t="e">
        <v>#N/A</v>
        <stp/>
        <stp>BDH|15094607925510610330</stp>
        <tr r="I155" s="18"/>
      </tp>
      <tp t="e">
        <v>#N/A</v>
        <stp/>
        <stp>BDH|12896718733185897123</stp>
        <tr r="X16" s="12"/>
      </tp>
      <tp t="e">
        <v>#N/A</v>
        <stp/>
        <stp>BDH|16782043722486577042</stp>
        <tr r="H46" s="24"/>
      </tp>
      <tp t="e">
        <v>#N/A</v>
        <stp/>
        <stp>BDH|13860747089866340867</stp>
        <tr r="S52" s="10"/>
        <tr r="S44" s="11"/>
        <tr r="S16" s="7"/>
      </tp>
      <tp t="e">
        <v>#N/A</v>
        <stp/>
        <stp>BDH|14064533103432784173</stp>
        <tr r="N26" s="17"/>
      </tp>
      <tp t="e">
        <v>#N/A</v>
        <stp/>
        <stp>BDH|15444533823843145352</stp>
        <tr r="E17" s="5"/>
        <tr r="E33" s="6"/>
      </tp>
      <tp t="e">
        <v>#N/A</v>
        <stp/>
        <stp>BDH|13560488374434945607</stp>
        <tr r="X38" s="22"/>
      </tp>
      <tp t="e">
        <v>#N/A</v>
        <stp/>
        <stp>BDH|18169274095315518469</stp>
        <tr r="L18" s="13"/>
      </tp>
      <tp t="e">
        <v>#N/A</v>
        <stp/>
        <stp>BDH|10229414706362234479</stp>
        <tr r="M94" s="12"/>
      </tp>
      <tp t="e">
        <v>#N/A</v>
        <stp/>
        <stp>BDH|10549147002607281412</stp>
        <tr r="Q7" s="21"/>
      </tp>
      <tp t="e">
        <v>#N/A</v>
        <stp/>
        <stp>BDH|10419016778896456395</stp>
        <tr r="E28" s="12"/>
      </tp>
      <tp t="e">
        <v>#N/A</v>
        <stp/>
        <stp>BDH|10422289562485626383</stp>
        <tr r="J9" s="34"/>
      </tp>
      <tp t="e">
        <v>#N/A</v>
        <stp/>
        <stp>BDH|13998142199941255869</stp>
        <tr r="D38" s="12"/>
      </tp>
      <tp t="e">
        <v>#N/A</v>
        <stp/>
        <stp>BDH|13757146601946463662</stp>
        <tr r="P157" s="18"/>
      </tp>
      <tp t="e">
        <v>#N/A</v>
        <stp/>
        <stp>BDH|14979439949066707040</stp>
        <tr r="N55" s="6"/>
      </tp>
      <tp t="e">
        <v>#N/A</v>
        <stp/>
        <stp>BDH|10195443553601135272</stp>
        <tr r="Q157" s="18"/>
      </tp>
      <tp t="e">
        <v>#N/A</v>
        <stp/>
        <stp>BDH|15508262927030281767</stp>
        <tr r="J38" s="26"/>
      </tp>
      <tp t="e">
        <v>#N/A</v>
        <stp/>
        <stp>BDH|13406017084708689174</stp>
        <tr r="F81" s="18"/>
      </tp>
      <tp t="e">
        <v>#N/A</v>
        <stp/>
        <stp>BDH|12057648774194561556</stp>
        <tr r="Q65" s="34"/>
      </tp>
      <tp t="e">
        <v>#N/A</v>
        <stp/>
        <stp>BDH|17207400973747082113</stp>
        <tr r="K69" s="34"/>
      </tp>
      <tp t="e">
        <v>#N/A</v>
        <stp/>
        <stp>BDH|18312466298254407399</stp>
        <tr r="F15" s="26"/>
      </tp>
      <tp t="e">
        <v>#N/A</v>
        <stp/>
        <stp>BDH|13356358934553184233</stp>
        <tr r="V64" s="12"/>
      </tp>
      <tp t="e">
        <v>#N/A</v>
        <stp/>
        <stp>BDH|12413207472204744113</stp>
        <tr r="R7" s="11"/>
      </tp>
      <tp t="e">
        <v>#N/A</v>
        <stp/>
        <stp>BDH|17542624275292726652</stp>
        <tr r="H21" s="9"/>
        <tr r="H21" s="5"/>
      </tp>
      <tp t="e">
        <v>#N/A</v>
        <stp/>
        <stp>BDH|12478151932185711744</stp>
        <tr r="N19" s="23"/>
        <tr r="L59" s="11"/>
      </tp>
      <tp t="e">
        <v>#N/A</v>
        <stp/>
        <stp>BDH|11786335007832111226</stp>
        <tr r="L50" s="17"/>
      </tp>
      <tp t="e">
        <v>#N/A</v>
        <stp/>
        <stp>BDH|16441326033061771527</stp>
        <tr r="T40" s="29"/>
      </tp>
      <tp t="e">
        <v>#N/A</v>
        <stp/>
        <stp>BDH|18203701651610716844</stp>
        <tr r="M56" s="17"/>
      </tp>
      <tp t="e">
        <v>#N/A</v>
        <stp/>
        <stp>BDH|12123634965271167163</stp>
        <tr r="R43" s="12"/>
      </tp>
      <tp t="e">
        <v>#N/A</v>
        <stp/>
        <stp>BDH|15037588591262091991</stp>
        <tr r="W23" s="22"/>
      </tp>
      <tp t="e">
        <v>#N/A</v>
        <stp/>
        <stp>BDH|11663442877682337260</stp>
        <tr r="F38" s="24"/>
      </tp>
      <tp t="e">
        <v>#N/A</v>
        <stp/>
        <stp>BDH|16015113643960292103</stp>
        <tr r="T75" s="18"/>
      </tp>
      <tp t="e">
        <v>#N/A</v>
        <stp/>
        <stp>BDH|14231641799789643091</stp>
        <tr r="X67" s="12"/>
      </tp>
      <tp t="e">
        <v>#N/A</v>
        <stp/>
        <stp>BDH|10023783767986687590</stp>
        <tr r="L36" s="12"/>
      </tp>
      <tp t="e">
        <v>#N/A</v>
        <stp/>
        <stp>BDH|14832292271804895780</stp>
        <tr r="Y16" s="17"/>
        <tr r="Y19" s="28"/>
      </tp>
      <tp t="e">
        <v>#N/A</v>
        <stp/>
        <stp>BDH|18298341493838332864</stp>
        <tr r="F173" s="18"/>
      </tp>
      <tp t="e">
        <v>#N/A</v>
        <stp/>
        <stp>BDH|12551880189151769135</stp>
        <tr r="K29" s="21"/>
      </tp>
      <tp t="e">
        <v>#N/A</v>
        <stp/>
        <stp>BDH|17850453923304966774</stp>
        <tr r="Y14" s="27"/>
        <tr r="Y28" s="25"/>
      </tp>
      <tp t="e">
        <v>#N/A</v>
        <stp/>
        <stp>BDH|15306646815772477261</stp>
        <tr r="I8" s="23"/>
      </tp>
      <tp t="e">
        <v>#N/A</v>
        <stp/>
        <stp>BDH|11434636445525309417</stp>
        <tr r="M38" s="26"/>
      </tp>
      <tp t="e">
        <v>#N/A</v>
        <stp/>
        <stp>BDH|16321824840339301122</stp>
        <tr r="V14" s="30"/>
      </tp>
      <tp t="e">
        <v>#N/A</v>
        <stp/>
        <stp>BDH|11304196147030545685</stp>
        <tr r="H10" s="13"/>
      </tp>
      <tp t="e">
        <v>#N/A</v>
        <stp/>
        <stp>BDH|12163441154275529441</stp>
        <tr r="L18" s="9"/>
      </tp>
      <tp t="e">
        <v>#N/A</v>
        <stp/>
        <stp>BDH|14066643393019268055</stp>
        <tr r="Q18" s="30"/>
      </tp>
      <tp t="e">
        <v>#N/A</v>
        <stp/>
        <stp>BDH|16292900672883138914</stp>
        <tr r="AA52" s="17"/>
        <tr r="AA17" s="3"/>
      </tp>
      <tp t="e">
        <v>#N/A</v>
        <stp/>
        <stp>BDH|17186751167231587565</stp>
        <tr r="R32" s="24"/>
      </tp>
      <tp t="e">
        <v>#N/A</v>
        <stp/>
        <stp>BDH|10678053195039443225</stp>
        <tr r="G12" s="12"/>
      </tp>
      <tp t="e">
        <v>#N/A</v>
        <stp/>
        <stp>BDH|11525201400788571906</stp>
        <tr r="AA47" s="17"/>
      </tp>
      <tp t="e">
        <v>#N/A</v>
        <stp/>
        <stp>BDH|11527327963086769037</stp>
        <tr r="U8" s="21"/>
      </tp>
      <tp t="e">
        <v>#N/A</v>
        <stp/>
        <stp>BDH|12797655662961538152</stp>
        <tr r="W21" s="6"/>
      </tp>
      <tp t="e">
        <v>#N/A</v>
        <stp/>
        <stp>BDH|14701895128539747510</stp>
        <tr r="Q9" s="18"/>
      </tp>
      <tp t="e">
        <v>#N/A</v>
        <stp/>
        <stp>BDH|16561148871404137622</stp>
        <tr r="F18" s="25"/>
      </tp>
      <tp t="e">
        <v>#N/A</v>
        <stp/>
        <stp>BDH|13818053825062309188</stp>
        <tr r="S19" s="6"/>
      </tp>
      <tp t="e">
        <v>#N/A</v>
        <stp/>
        <stp>BDH|15659739338772616183</stp>
        <tr r="X31" s="11"/>
        <tr r="X39" s="10"/>
      </tp>
      <tp t="e">
        <v>#N/A</v>
        <stp/>
        <stp>BDH|17845527395211401889</stp>
        <tr r="K27" s="26"/>
      </tp>
      <tp t="e">
        <v>#N/A</v>
        <stp/>
        <stp>BDH|16985790778522821637</stp>
        <tr r="T34" s="22"/>
      </tp>
      <tp t="e">
        <v>#N/A</v>
        <stp/>
        <stp>BDH|17068328148482851017</stp>
        <tr r="W13" s="14"/>
      </tp>
      <tp t="e">
        <v>#N/A</v>
        <stp/>
        <stp>BDH|10129465775633191207</stp>
        <tr r="J20" s="11"/>
      </tp>
      <tp t="e">
        <v>#N/A</v>
        <stp/>
        <stp>BDH|14016483826281479198</stp>
        <tr r="L11" s="10"/>
        <tr r="L14" s="2"/>
      </tp>
      <tp t="e">
        <v>#N/A</v>
        <stp/>
        <stp>BDH|10898674412082722790</stp>
        <tr r="O6" s="15"/>
        <tr r="O6" s="10"/>
        <tr r="O11" s="4"/>
        <tr r="O12" s="2"/>
      </tp>
      <tp t="e">
        <v>#N/A</v>
        <stp/>
        <stp>BDH|10274399917443859370</stp>
        <tr r="R70" s="18"/>
      </tp>
      <tp t="e">
        <v>#N/A</v>
        <stp/>
        <stp>BDH|12848729456735736787</stp>
        <tr r="G55" s="34"/>
      </tp>
      <tp t="e">
        <v>#N/A</v>
        <stp/>
        <stp>BDH|15614749296881186866</stp>
        <tr r="S15" s="13"/>
      </tp>
      <tp t="e">
        <v>#N/A</v>
        <stp/>
        <stp>BDH|11541161054657190054</stp>
        <tr r="X62" s="11"/>
        <tr r="X70" s="10"/>
      </tp>
      <tp t="e">
        <v>#N/A</v>
        <stp/>
        <stp>BDH|12817735866399817868</stp>
        <tr r="C147" s="18"/>
      </tp>
      <tp t="e">
        <v>#N/A</v>
        <stp/>
        <stp>BDH|17611813549048968149</stp>
        <tr r="T64" s="10"/>
        <tr r="T25" s="4"/>
      </tp>
      <tp t="e">
        <v>#N/A</v>
        <stp/>
        <stp>BDH|17417999387781957507</stp>
        <tr r="E9" s="12"/>
      </tp>
      <tp t="e">
        <v>#N/A</v>
        <stp/>
        <stp>BDH|16317069864490502271</stp>
        <tr r="K130" s="18"/>
      </tp>
      <tp t="e">
        <v>#N/A</v>
        <stp/>
        <stp>BDH|16516393603655985250</stp>
        <tr r="H150" s="18"/>
      </tp>
      <tp t="e">
        <v>#N/A</v>
        <stp/>
        <stp>BDH|11443765300842667673</stp>
        <tr r="Q25" s="10"/>
      </tp>
      <tp t="e">
        <v>#N/A</v>
        <stp/>
        <stp>BDH|15374912400196566841</stp>
        <tr r="C30" s="17"/>
      </tp>
      <tp t="e">
        <v>#N/A</v>
        <stp/>
        <stp>BDH|15210457516263757152</stp>
        <tr r="N31" s="13"/>
        <tr r="L27" s="10"/>
      </tp>
      <tp t="e">
        <v>#N/A</v>
        <stp/>
        <stp>BDH|10634532046100426341</stp>
        <tr r="W104" s="18"/>
      </tp>
      <tp t="e">
        <v>#N/A</v>
        <stp/>
        <stp>BDH|13775076120237029433</stp>
        <tr r="U6" s="20"/>
        <tr r="U108" s="18"/>
      </tp>
      <tp t="e">
        <v>#N/A</v>
        <stp/>
        <stp>BDH|11183314817951106057</stp>
        <tr r="E47" s="21"/>
      </tp>
      <tp t="e">
        <v>#N/A</v>
        <stp/>
        <stp>BDH|12918114014753817371</stp>
        <tr r="I18" s="20"/>
      </tp>
      <tp t="e">
        <v>#N/A</v>
        <stp/>
        <stp>BDH|13020760706443769542</stp>
        <tr r="I20" s="17"/>
      </tp>
      <tp t="e">
        <v>#N/A</v>
        <stp/>
        <stp>BDH|10499402393488457708</stp>
        <tr r="V17" s="18"/>
      </tp>
      <tp t="e">
        <v>#N/A</v>
        <stp/>
        <stp>BDH|17256689819984835684</stp>
        <tr r="P65" s="21"/>
        <tr r="M28" s="6"/>
      </tp>
      <tp t="e">
        <v>#N/A</v>
        <stp/>
        <stp>BDH|12418774170359849983</stp>
        <tr r="AA31" s="25"/>
        <tr r="AA17" s="27"/>
        <tr r="X14" s="5"/>
      </tp>
      <tp t="e">
        <v>#N/A</v>
        <stp/>
        <stp>BDH|16334593127032881169</stp>
        <tr r="T13" s="22"/>
      </tp>
      <tp t="e">
        <v>#N/A</v>
        <stp/>
        <stp>BDH|17876230667993666298</stp>
        <tr r="N50" s="12"/>
      </tp>
      <tp t="e">
        <v>#N/A</v>
        <stp/>
        <stp>BDH|11559807816639403344</stp>
        <tr r="M10" s="24"/>
      </tp>
      <tp t="e">
        <v>#N/A</v>
        <stp/>
        <stp>BDH|12008123455693715734</stp>
        <tr r="F66" s="18"/>
      </tp>
      <tp t="e">
        <v>#N/A</v>
        <stp/>
        <stp>BDH|17176004702263157613</stp>
        <tr r="N8" s="20"/>
        <tr r="N110" s="18"/>
      </tp>
      <tp t="e">
        <v>#N/A</v>
        <stp/>
        <stp>BDH|17312840193655735103</stp>
        <tr r="W8" s="34"/>
      </tp>
      <tp t="e">
        <v>#N/A</v>
        <stp/>
        <stp>BDH|12113308982888730375</stp>
        <tr r="T47" s="13"/>
      </tp>
      <tp t="e">
        <v>#N/A</v>
        <stp/>
        <stp>BDH|13949793194876707909</stp>
        <tr r="S60" s="34"/>
      </tp>
      <tp t="e">
        <v>#N/A</v>
        <stp/>
        <stp>BDH|16859713368892098721</stp>
        <tr r="I136" s="18"/>
      </tp>
      <tp t="e">
        <v>#N/A</v>
        <stp/>
        <stp>BDH|17584166047507642719</stp>
        <tr r="L102" s="18"/>
      </tp>
      <tp t="e">
        <v>#N/A</v>
        <stp/>
        <stp>BDH|11501059151280258608</stp>
        <tr r="M17" s="9"/>
      </tp>
      <tp t="e">
        <v>#N/A</v>
        <stp/>
        <stp>BDH|12589199561482784598</stp>
        <tr r="V8" s="6"/>
      </tp>
      <tp t="e">
        <v>#N/A</v>
        <stp/>
        <stp>BDH|13706528235931764642</stp>
        <tr r="M43" s="13"/>
      </tp>
      <tp t="e">
        <v>#N/A</v>
        <stp/>
        <stp>BDH|18196020966285289947</stp>
        <tr r="AA21" s="21"/>
      </tp>
      <tp t="e">
        <v>#N/A</v>
        <stp/>
        <stp>BDH|16163375167715546474</stp>
        <tr r="K88" s="18"/>
      </tp>
      <tp t="e">
        <v>#N/A</v>
        <stp/>
        <stp>BDH|11617958334538510119</stp>
        <tr r="C13" s="18"/>
      </tp>
      <tp t="e">
        <v>#N/A</v>
        <stp/>
        <stp>BDH|18360402196723714416</stp>
        <tr r="O64" s="24"/>
      </tp>
      <tp t="e">
        <v>#N/A</v>
        <stp/>
        <stp>BDH|11012644380679330444</stp>
        <tr r="N11" s="20"/>
        <tr r="N112" s="18"/>
      </tp>
      <tp t="e">
        <v>#N/A</v>
        <stp/>
        <stp>BDH|12429161449072939714</stp>
        <tr r="R55" s="6"/>
      </tp>
      <tp t="e">
        <v>#N/A</v>
        <stp/>
        <stp>BDH|18278353709840426985</stp>
        <tr r="R31" s="12"/>
      </tp>
      <tp t="e">
        <v>#N/A</v>
        <stp/>
        <stp>BDH|15355089613150343692</stp>
        <tr r="L36" s="34"/>
      </tp>
      <tp t="e">
        <v>#N/A</v>
        <stp/>
        <stp>BDH|15857379799745458804</stp>
        <tr r="L28" s="12"/>
      </tp>
      <tp t="e">
        <v>#N/A</v>
        <stp/>
        <stp>BDH|10188500281507166832</stp>
        <tr r="D53" s="17"/>
        <tr r="D10" s="25"/>
      </tp>
      <tp t="e">
        <v>#N/A</v>
        <stp/>
        <stp>BDH|17032454307516999795</stp>
        <tr r="F43" s="21"/>
      </tp>
      <tp t="e">
        <v>#N/A</v>
        <stp/>
        <stp>BDH|17388077222326187159</stp>
        <tr r="V146" s="18"/>
      </tp>
      <tp t="e">
        <v>#N/A</v>
        <stp/>
        <stp>BDH|14041946481883573420</stp>
        <tr r="N20" s="30"/>
      </tp>
      <tp t="e">
        <v>#N/A</v>
        <stp/>
        <stp>BDH|18012185498080485261</stp>
        <tr r="I9" s="27"/>
      </tp>
      <tp t="e">
        <v>#N/A</v>
        <stp/>
        <stp>BDH|16295880599921656478</stp>
        <tr r="Y10" s="26"/>
      </tp>
      <tp t="e">
        <v>#N/A</v>
        <stp/>
        <stp>BDH|16134774261361781421</stp>
        <tr r="L163" s="18"/>
      </tp>
      <tp t="e">
        <v>#N/A</v>
        <stp/>
        <stp>BDH|14987595821671707047</stp>
        <tr r="AA57" s="17"/>
      </tp>
      <tp t="e">
        <v>#N/A</v>
        <stp/>
        <stp>BDH|17087732131025032405</stp>
        <tr r="F149" s="18"/>
      </tp>
      <tp t="e">
        <v>#N/A</v>
        <stp/>
        <stp>BDH|14944679427953287190</stp>
        <tr r="H11" s="12"/>
      </tp>
      <tp t="e">
        <v>#N/A</v>
        <stp/>
        <stp>BDH|13052966484680031005</stp>
        <tr r="J82" s="12"/>
      </tp>
      <tp t="e">
        <v>#N/A</v>
        <stp/>
        <stp>BDH|10652764971075262714</stp>
        <tr r="T12" s="17"/>
      </tp>
      <tp t="e">
        <v>#N/A</v>
        <stp/>
        <stp>BDH|10438736795065530955</stp>
        <tr r="V24" s="21"/>
      </tp>
      <tp t="e">
        <v>#N/A</v>
        <stp/>
        <stp>BDH|17112703478040209591</stp>
        <tr r="V27" s="21"/>
      </tp>
      <tp t="e">
        <v>#N/A</v>
        <stp/>
        <stp>BDH|13979860978047711925</stp>
        <tr r="K125" s="18"/>
      </tp>
      <tp t="e">
        <v>#N/A</v>
        <stp/>
        <stp>BDH|14365886512879383683</stp>
        <tr r="W40" s="24"/>
      </tp>
      <tp t="e">
        <v>#N/A</v>
        <stp/>
        <stp>BDH|11326033813467614576</stp>
        <tr r="D62" s="13"/>
      </tp>
      <tp t="e">
        <v>#N/A</v>
        <stp/>
        <stp>BDH|12000327082488097328</stp>
        <tr r="O20" s="11"/>
      </tp>
      <tp t="e">
        <v>#N/A</v>
        <stp/>
        <stp>BDH|15894463119985239772</stp>
        <tr r="W58" s="24"/>
      </tp>
      <tp t="e">
        <v>#N/A</v>
        <stp/>
        <stp>BDH|11257974322131210973</stp>
        <tr r="Y43" s="4"/>
      </tp>
      <tp t="e">
        <v>#N/A</v>
        <stp/>
        <stp>BDH|17944137636711651683</stp>
        <tr r="F102" s="12"/>
      </tp>
      <tp t="e">
        <v>#N/A</v>
        <stp/>
        <stp>BDH|13024014612041932184</stp>
        <tr r="J61" s="13"/>
      </tp>
      <tp t="e">
        <v>#N/A</v>
        <stp/>
        <stp>BDH|12168477976176236502</stp>
        <tr r="H22" s="20"/>
      </tp>
      <tp t="e">
        <v>#N/A</v>
        <stp/>
        <stp>BDH|10574730206406365314</stp>
        <tr r="J27" s="18"/>
      </tp>
      <tp t="e">
        <v>#N/A</v>
        <stp/>
        <stp>BDH|11560341289309371192</stp>
        <tr r="D38" s="26"/>
      </tp>
      <tp t="e">
        <v>#N/A</v>
        <stp/>
        <stp>BDH|10859589753713496155</stp>
        <tr r="Q18" s="18"/>
      </tp>
      <tp t="e">
        <v>#N/A</v>
        <stp/>
        <stp>BDH|11438292460276723186</stp>
        <tr r="F47" s="18"/>
      </tp>
      <tp t="e">
        <v>#N/A</v>
        <stp/>
        <stp>BDH|15887097512115498350</stp>
        <tr r="Q15" s="5"/>
      </tp>
      <tp t="e">
        <v>#N/A</v>
        <stp/>
        <stp>BDH|15119640537125369731</stp>
        <tr r="F46" s="21"/>
      </tp>
      <tp t="e">
        <v>#N/A</v>
        <stp/>
        <stp>BDH|11655106425844983484</stp>
        <tr r="G18" s="21"/>
        <tr r="G23" s="3"/>
        <tr r="E23" s="2"/>
      </tp>
      <tp t="e">
        <v>#N/A</v>
        <stp/>
        <stp>BDH|15792253674573100158</stp>
        <tr r="AA91" s="17"/>
      </tp>
      <tp t="e">
        <v>#N/A</v>
        <stp/>
        <stp>BDH|13166642113440461601</stp>
        <tr r="V46" s="13"/>
      </tp>
      <tp t="e">
        <v>#N/A</v>
        <stp/>
        <stp>BDH|13277314423582266206</stp>
        <tr r="P40" s="6"/>
      </tp>
      <tp t="e">
        <v>#N/A</v>
        <stp/>
        <stp>BDH|10122202853010310537</stp>
        <tr r="C10" s="12"/>
      </tp>
      <tp t="e">
        <v>#N/A</v>
        <stp/>
        <stp>BDH|11278610768885999603</stp>
        <tr r="T84" s="17"/>
      </tp>
      <tp t="e">
        <v>#N/A</v>
        <stp/>
        <stp>BDH|10792286927516973438</stp>
        <tr r="F177" s="18"/>
      </tp>
      <tp t="e">
        <v>#N/A</v>
        <stp/>
        <stp>BDH|17308641311723751136</stp>
        <tr r="W28" s="18"/>
      </tp>
      <tp t="e">
        <v>#N/A</v>
        <stp/>
        <stp>BDH|11581429034734577044</stp>
        <tr r="E31" s="21"/>
      </tp>
      <tp t="e">
        <v>#N/A</v>
        <stp/>
        <stp>BDH|12064218876717281275</stp>
        <tr r="G45" s="12"/>
      </tp>
      <tp t="e">
        <v>#N/A</v>
        <stp/>
        <stp>BDH|13155402841445322415</stp>
        <tr r="O15" s="21"/>
      </tp>
      <tp t="e">
        <v>#N/A</v>
        <stp/>
        <stp>BDH|11979636464743403082</stp>
        <tr r="D14" s="17"/>
        <tr r="D17" s="28"/>
      </tp>
      <tp t="e">
        <v>#N/A</v>
        <stp/>
        <stp>BDH|13227401320725574257</stp>
        <tr r="Y17" s="12"/>
      </tp>
      <tp t="e">
        <v>#N/A</v>
        <stp/>
        <stp>BDH|10886921183164516792</stp>
        <tr r="Y139" s="18"/>
      </tp>
      <tp t="e">
        <v>#N/A</v>
        <stp/>
        <stp>BDH|15974155728977877397</stp>
        <tr r="L11" s="21"/>
      </tp>
      <tp t="e">
        <v>#N/A</v>
        <stp/>
        <stp>BDH|14144853764410616838</stp>
        <tr r="I42" s="24"/>
      </tp>
      <tp t="e">
        <v>#N/A</v>
        <stp/>
        <stp>BDH|14440003831647698262</stp>
        <tr r="O33" s="13"/>
        <tr r="M29" s="10"/>
      </tp>
      <tp t="e">
        <v>#N/A</v>
        <stp/>
        <stp>BDH|11082514536556101333</stp>
        <tr r="U10" s="18"/>
      </tp>
      <tp t="e">
        <v>#N/A</v>
        <stp/>
        <stp>BDH|17698372335503556642</stp>
        <tr r="D88" s="12"/>
      </tp>
      <tp t="e">
        <v>#N/A</v>
        <stp/>
        <stp>BDH|17473947852951154865</stp>
        <tr r="C138" s="18"/>
      </tp>
      <tp t="e">
        <v>#N/A</v>
        <stp/>
        <stp>BDH|16776093264917833577</stp>
        <tr r="C19" s="20"/>
      </tp>
      <tp t="e">
        <v>#N/A</v>
        <stp/>
        <stp>BDH|16433682772645962028</stp>
        <tr r="X14" s="4"/>
      </tp>
      <tp t="e">
        <v>#N/A</v>
        <stp/>
        <stp>BDH|17397522666502746452</stp>
        <tr r="X19" s="5"/>
        <tr r="X43" s="6"/>
      </tp>
      <tp t="e">
        <v>#N/A</v>
        <stp/>
        <stp>BDH|15793433660341671471</stp>
        <tr r="T14" s="4"/>
      </tp>
      <tp t="e">
        <v>#N/A</v>
        <stp/>
        <stp>BDH|10240478177219473836</stp>
        <tr r="K7" s="11"/>
      </tp>
      <tp t="e">
        <v>#N/A</v>
        <stp/>
        <stp>BDH|11175213554844526041</stp>
        <tr r="L22" s="21"/>
      </tp>
      <tp t="e">
        <v>#N/A</v>
        <stp/>
        <stp>BDH|17252930732696140979</stp>
        <tr r="W33" s="11"/>
        <tr r="W41" s="10"/>
      </tp>
      <tp t="e">
        <v>#N/A</v>
        <stp/>
        <stp>BDH|11561040505892067116</stp>
        <tr r="Y8" s="22"/>
      </tp>
      <tp t="e">
        <v>#N/A</v>
        <stp/>
        <stp>BDH|10016677183818997489</stp>
        <tr r="J55" s="11"/>
      </tp>
      <tp t="e">
        <v>#N/A</v>
        <stp/>
        <stp>BDH|14887437804141967335</stp>
        <tr r="AA32" s="22"/>
      </tp>
      <tp t="e">
        <v>#N/A</v>
        <stp/>
        <stp>BDH|12074019233365178667</stp>
        <tr r="Z168" s="18"/>
      </tp>
      <tp t="e">
        <v>#N/A</v>
        <stp/>
        <stp>BDH|13802894374348887682</stp>
        <tr r="V14" s="4"/>
      </tp>
      <tp t="e">
        <v>#N/A</v>
        <stp/>
        <stp>BDH|17771271062746357749</stp>
        <tr r="G10" s="12"/>
      </tp>
      <tp t="e">
        <v>#N/A</v>
        <stp/>
        <stp>BDH|11658031471332021619</stp>
        <tr r="M164" s="18"/>
      </tp>
      <tp t="e">
        <v>#N/A</v>
        <stp/>
        <stp>BDH|16675034617280595524</stp>
        <tr r="Q33" s="12"/>
      </tp>
      <tp t="e">
        <v>#N/A</v>
        <stp/>
        <stp>BDH|13428606698829983707</stp>
        <tr r="E51" s="17"/>
      </tp>
      <tp t="e">
        <v>#N/A</v>
        <stp/>
        <stp>BDH|10557006930033943294</stp>
        <tr r="L8" s="18"/>
      </tp>
      <tp t="e">
        <v>#N/A</v>
        <stp/>
        <stp>BDH|15894265615240798494</stp>
        <tr r="F21" s="27"/>
      </tp>
      <tp t="e">
        <v>#N/A</v>
        <stp/>
        <stp>BDH|15875361547012529297</stp>
        <tr r="O48" s="12"/>
      </tp>
      <tp t="e">
        <v>#N/A</v>
        <stp/>
        <stp>BDH|15835641079173447544</stp>
        <tr r="E23" s="20"/>
      </tp>
      <tp t="e">
        <v>#N/A</v>
        <stp/>
        <stp>BDH|12643742152453416110</stp>
        <tr r="T25" s="21"/>
      </tp>
      <tp t="e">
        <v>#N/A</v>
        <stp/>
        <stp>BDH|13400253951952192441</stp>
        <tr r="Y33" s="21"/>
      </tp>
      <tp t="e">
        <v>#N/A</v>
        <stp/>
        <stp>BDH|16254444236743129046</stp>
        <tr r="M18" s="17"/>
      </tp>
      <tp t="e">
        <v>#N/A</v>
        <stp/>
        <stp>BDH|12009389178365289170</stp>
        <tr r="C35" s="34"/>
      </tp>
      <tp t="e">
        <v>#N/A</v>
        <stp/>
        <stp>BDH|11275602987505539852</stp>
        <tr r="Q35" s="13"/>
        <tr r="O31" s="10"/>
      </tp>
      <tp t="e">
        <v>#N/A</v>
        <stp/>
        <stp>BDH|13301754749541242384</stp>
        <tr r="N38" s="12"/>
      </tp>
      <tp t="e">
        <v>#N/A</v>
        <stp/>
        <stp>BDH|16208505893361305977</stp>
        <tr r="F41" s="6"/>
      </tp>
      <tp t="e">
        <v>#N/A</v>
        <stp/>
        <stp>BDH|17423368923610085444</stp>
        <tr r="V32" s="22"/>
      </tp>
      <tp t="e">
        <v>#N/A</v>
        <stp/>
        <stp>BDH|14169904155743834996</stp>
        <tr r="X15" s="17"/>
        <tr r="X18" s="28"/>
      </tp>
      <tp t="e">
        <v>#N/A</v>
        <stp/>
        <stp>BDH|15060881389411231660</stp>
        <tr r="X36" s="29"/>
        <tr r="X16" s="29"/>
      </tp>
      <tp t="e">
        <v>#N/A</v>
        <stp/>
        <stp>BDH|13227876421869592242</stp>
        <tr r="Q65" s="12"/>
      </tp>
      <tp t="e">
        <v>#N/A</v>
        <stp/>
        <stp>BDH|11541074306220440351</stp>
        <tr r="E17" s="17"/>
        <tr r="E20" s="28"/>
      </tp>
      <tp t="e">
        <v>#N/A</v>
        <stp/>
        <stp>BDH|15045400617331160336</stp>
        <tr r="K19" s="23"/>
        <tr r="I59" s="11"/>
      </tp>
      <tp t="e">
        <v>#N/A</v>
        <stp/>
        <stp>BDH|14921873024859768589</stp>
        <tr r="L51" s="17"/>
      </tp>
      <tp t="e">
        <v>#N/A</v>
        <stp/>
        <stp>BDH|16490765800730447339</stp>
        <tr r="Y45" s="17"/>
      </tp>
      <tp t="e">
        <v>#N/A</v>
        <stp/>
        <stp>BDH|10190563264888444920</stp>
        <tr r="F109" s="12"/>
      </tp>
      <tp t="e">
        <v>#N/A</v>
        <stp/>
        <stp>BDH|16775262504634336236</stp>
        <tr r="Z37" s="18"/>
      </tp>
      <tp t="e">
        <v>#N/A</v>
        <stp/>
        <stp>BDH|14190923547628581342</stp>
        <tr r="D68" s="24"/>
      </tp>
      <tp t="e">
        <v>#N/A</v>
        <stp/>
        <stp>BDH|13397468449306003794</stp>
        <tr r="Q16" s="6"/>
      </tp>
      <tp t="e">
        <v>#N/A</v>
        <stp/>
        <stp>BDH|15808892132158130475</stp>
        <tr r="E65" s="10"/>
        <tr r="E39" s="4"/>
      </tp>
      <tp t="e">
        <v>#N/A</v>
        <stp/>
        <stp>BDH|16696506016082639239</stp>
        <tr r="D33" s="22"/>
      </tp>
      <tp t="e">
        <v>#N/A</v>
        <stp/>
        <stp>BDH|18324244410709547070</stp>
        <tr r="Q79" s="12"/>
      </tp>
      <tp t="e">
        <v>#N/A</v>
        <stp/>
        <stp>BDH|16089368634294530024</stp>
        <tr r="N45" s="13"/>
      </tp>
      <tp t="e">
        <v>#N/A</v>
        <stp/>
        <stp>BDH|11107179164843103764</stp>
        <tr r="O68" s="18"/>
      </tp>
      <tp t="e">
        <v>#N/A</v>
        <stp/>
        <stp>BDH|13025056891108184009</stp>
        <tr r="P13" s="13"/>
      </tp>
      <tp t="e">
        <v>#N/A</v>
        <stp/>
        <stp>BDH|13588522693094797967</stp>
        <tr r="Y10" s="30"/>
      </tp>
      <tp t="e">
        <v>#N/A</v>
        <stp/>
        <stp>BDH|16488787858446469046</stp>
        <tr r="K7" s="28"/>
      </tp>
      <tp t="e">
        <v>#N/A</v>
        <stp/>
        <stp>BDH|11251600017611399521</stp>
        <tr r="K11" s="21"/>
      </tp>
      <tp t="e">
        <v>#N/A</v>
        <stp/>
        <stp>BDH|11345763667415716719</stp>
        <tr r="S169" s="18"/>
      </tp>
      <tp t="e">
        <v>#N/A</v>
        <stp/>
        <stp>BDH|16270447379907840036</stp>
        <tr r="K22" s="20"/>
      </tp>
      <tp t="e">
        <v>#N/A</v>
        <stp/>
        <stp>BDH|16786220180779519744</stp>
        <tr r="S8" s="17"/>
      </tp>
      <tp t="e">
        <v>#N/A</v>
        <stp/>
        <stp>BDH|11750069411293335177</stp>
        <tr r="V35" s="34"/>
      </tp>
      <tp t="e">
        <v>#N/A</v>
        <stp/>
        <stp>BDH|10689552276048598849</stp>
        <tr r="AA21" s="12"/>
      </tp>
      <tp t="e">
        <v>#N/A</v>
        <stp/>
        <stp>BDH|12371121156613732749</stp>
        <tr r="N64" s="18"/>
      </tp>
      <tp t="e">
        <v>#N/A</v>
        <stp/>
        <stp>BDH|18210818864037278314</stp>
        <tr r="K7" s="21"/>
      </tp>
      <tp t="e">
        <v>#N/A</v>
        <stp/>
        <stp>BDH|15266967416556188975</stp>
        <tr r="Q42" s="13"/>
      </tp>
      <tp t="e">
        <v>#N/A</v>
        <stp/>
        <stp>BDH|12087554953306100636</stp>
        <tr r="N8" s="4"/>
      </tp>
      <tp t="e">
        <v>#N/A</v>
        <stp/>
        <stp>BDH|12182252817724508724</stp>
        <tr r="V13" s="2"/>
      </tp>
      <tp t="e">
        <v>#N/A</v>
        <stp/>
        <stp>BDH|11442431312656586042</stp>
        <tr r="C13" s="7"/>
      </tp>
      <tp t="e">
        <v>#N/A</v>
        <stp/>
        <stp>BDH|12718254207407692570</stp>
        <tr r="F124" s="18"/>
      </tp>
      <tp t="e">
        <v>#N/A</v>
        <stp/>
        <stp>BDH|15806253772753341188</stp>
        <tr r="J52" s="18"/>
      </tp>
      <tp t="e">
        <v>#N/A</v>
        <stp/>
        <stp>BDH|12690456302822587607</stp>
        <tr r="J176" s="18"/>
      </tp>
      <tp t="e">
        <v>#N/A</v>
        <stp/>
        <stp>BDH|16213814537756794974</stp>
        <tr r="K64" s="11"/>
        <tr r="K72" s="10"/>
      </tp>
      <tp t="e">
        <v>#N/A</v>
        <stp/>
        <stp>BDH|17572586313173297286</stp>
        <tr r="X13" s="13"/>
      </tp>
      <tp t="e">
        <v>#N/A</v>
        <stp/>
        <stp>BDH|17620177092829229451</stp>
        <tr r="C29" s="18"/>
      </tp>
      <tp t="e">
        <v>#N/A</v>
        <stp/>
        <stp>BDH|16786063043274445423</stp>
        <tr r="Y9" s="8"/>
        <tr r="W49" s="6"/>
      </tp>
      <tp t="e">
        <v>#N/A</v>
        <stp/>
        <stp>BDH|16517359304641991699</stp>
        <tr r="P104" s="18"/>
      </tp>
      <tp t="e">
        <v>#N/A</v>
        <stp/>
        <stp>BDH|15714449829931688084</stp>
        <tr r="P8" s="13"/>
      </tp>
      <tp t="e">
        <v>#N/A</v>
        <stp/>
        <stp>BDH|12106100708246585787</stp>
        <tr r="G31" s="26"/>
        <tr r="D14" s="9"/>
      </tp>
      <tp t="e">
        <v>#N/A</v>
        <stp/>
        <stp>BDH|13224933895837372632</stp>
        <tr r="P36" s="34"/>
      </tp>
      <tp t="e">
        <v>#N/A</v>
        <stp/>
        <stp>BDH|10755251809841982168</stp>
        <tr r="W69" s="24"/>
      </tp>
      <tp t="e">
        <v>#N/A</v>
        <stp/>
        <stp>BDH|11149607291694294860</stp>
        <tr r="L60" s="17"/>
      </tp>
      <tp t="e">
        <v>#N/A</v>
        <stp/>
        <stp>BDH|13550590155097955643</stp>
        <tr r="R7" s="21"/>
      </tp>
      <tp t="e">
        <v>#N/A</v>
        <stp/>
        <stp>BDH|18435490587465811365</stp>
        <tr r="P63" s="21"/>
      </tp>
      <tp t="e">
        <v>#N/A</v>
        <stp/>
        <stp>BDH|10435282656757630286</stp>
        <tr r="X29" s="9"/>
      </tp>
      <tp t="e">
        <v>#N/A</v>
        <stp/>
        <stp>BDH|12434345249732573585</stp>
        <tr r="Q39" s="13"/>
        <tr r="O43" s="10"/>
        <tr r="O35" s="11"/>
        <tr r="O52" s="4"/>
        <tr r="Q8" s="3"/>
      </tp>
      <tp t="e">
        <v>#N/A</v>
        <stp/>
        <stp>BDH|14231885529639777504</stp>
        <tr r="C39" s="18"/>
      </tp>
      <tp t="e">
        <v>#N/A</v>
        <stp/>
        <stp>BDH|10538130323353671275</stp>
        <tr r="N12" s="21"/>
      </tp>
      <tp t="e">
        <v>#N/A</v>
        <stp/>
        <stp>BDH|13003665811942385406</stp>
        <tr r="X48" s="12"/>
      </tp>
      <tp t="e">
        <v>#N/A</v>
        <stp/>
        <stp>BDH|17734827509615165896</stp>
        <tr r="C123" s="18"/>
      </tp>
      <tp t="e">
        <v>#N/A</v>
        <stp/>
        <stp>BDH|16599527511861519175</stp>
        <tr r="P94" s="17"/>
      </tp>
      <tp t="e">
        <v>#N/A</v>
        <stp/>
        <stp>BDH|12952493071775442614</stp>
        <tr r="S7" s="34"/>
      </tp>
      <tp t="e">
        <v>#N/A</v>
        <stp/>
        <stp>BDH|13324611666454907596</stp>
        <tr r="G24" s="34"/>
      </tp>
      <tp t="e">
        <v>#N/A</v>
        <stp/>
        <stp>BDH|13329227335166525656</stp>
        <tr r="L60" s="21"/>
      </tp>
      <tp t="e">
        <v>#N/A</v>
        <stp/>
        <stp>BDH|14110050239435969003</stp>
        <tr r="H27" s="7"/>
      </tp>
      <tp t="e">
        <v>#N/A</v>
        <stp/>
        <stp>BDH|15862524017634956701</stp>
        <tr r="G30" s="21"/>
      </tp>
      <tp t="e">
        <v>#N/A</v>
        <stp/>
        <stp>BDH|14880609067577354181</stp>
        <tr r="Y70" s="17"/>
      </tp>
      <tp t="e">
        <v>#N/A</v>
        <stp/>
        <stp>BDH|16214455313403860281</stp>
        <tr r="U18" s="12"/>
      </tp>
      <tp t="e">
        <v>#N/A</v>
        <stp/>
        <stp>BDH|10175585988528551704</stp>
        <tr r="X41" s="6"/>
      </tp>
      <tp t="e">
        <v>#N/A</v>
        <stp/>
        <stp>BDH|11600165526497212705</stp>
        <tr r="H12" s="14"/>
      </tp>
      <tp t="e">
        <v>#N/A</v>
        <stp/>
        <stp>BDH|13993578441655257597</stp>
        <tr r="T19" s="11"/>
      </tp>
      <tp t="e">
        <v>#N/A</v>
        <stp/>
        <stp>BDH|16688559001093463222</stp>
        <tr r="D68" s="10"/>
      </tp>
      <tp t="e">
        <v>#N/A</v>
        <stp/>
        <stp>BDH|18111261900548458074</stp>
        <tr r="P31" s="26"/>
        <tr r="M14" s="9"/>
      </tp>
      <tp t="e">
        <v>#N/A</v>
        <stp/>
        <stp>BDH|12285521898929982563</stp>
        <tr r="U46" s="11"/>
        <tr r="U54" s="10"/>
        <tr r="U7" s="7"/>
        <tr r="W12" s="3"/>
      </tp>
      <tp t="e">
        <v>#N/A</v>
        <stp/>
        <stp>BDH|17014115111246054378</stp>
        <tr r="F22" s="22"/>
      </tp>
      <tp t="e">
        <v>#N/A</v>
        <stp/>
        <stp>BDH|12733029400162471267</stp>
        <tr r="M29" s="22"/>
      </tp>
      <tp t="e">
        <v>#N/A</v>
        <stp/>
        <stp>BDH|15445718274703774416</stp>
        <tr r="O11" s="12"/>
      </tp>
      <tp t="e">
        <v>#N/A</v>
        <stp/>
        <stp>BDH|15349595068517785325</stp>
        <tr r="V19" s="20"/>
      </tp>
      <tp t="e">
        <v>#N/A</v>
        <stp/>
        <stp>BDH|12025614795349048638</stp>
        <tr r="C13" s="22"/>
      </tp>
      <tp t="e">
        <v>#N/A</v>
        <stp/>
        <stp>BDH|17319072502143081613</stp>
        <tr r="S52" s="12"/>
      </tp>
      <tp t="e">
        <v>#N/A</v>
        <stp/>
        <stp>BDH|15795346303857561328</stp>
        <tr r="R27" s="7"/>
      </tp>
      <tp t="e">
        <v>#N/A</v>
        <stp/>
        <stp>BDH|14252015435800828592</stp>
        <tr r="K10" s="22"/>
      </tp>
      <tp t="e">
        <v>#N/A</v>
        <stp/>
        <stp>BDH|14519721727560342349</stp>
        <tr r="E57" s="34"/>
      </tp>
      <tp t="e">
        <v>#N/A</v>
        <stp/>
        <stp>BDH|13177389342750935652</stp>
        <tr r="H16" s="14"/>
      </tp>
      <tp t="e">
        <v>#N/A</v>
        <stp/>
        <stp>BDH|14833239485308023494</stp>
        <tr r="F89" s="18"/>
      </tp>
      <tp t="e">
        <v>#N/A</v>
        <stp/>
        <stp>BDH|11670030707904316760</stp>
        <tr r="I22" s="10"/>
      </tp>
      <tp t="e">
        <v>#N/A</v>
        <stp/>
        <stp>BDH|16077543619911820120</stp>
        <tr r="J26" s="11"/>
        <tr r="J34" s="10"/>
      </tp>
      <tp t="e">
        <v>#N/A</v>
        <stp/>
        <stp>BDH|16312676854406657118</stp>
        <tr r="U56" s="12"/>
      </tp>
      <tp t="e">
        <v>#N/A</v>
        <stp/>
        <stp>BDH|13453594953135883416</stp>
        <tr r="J31" s="24"/>
      </tp>
      <tp t="e">
        <v>#N/A</v>
        <stp/>
        <stp>BDH|14330501476113543779</stp>
        <tr r="U26" s="10"/>
        <tr r="W30" s="13"/>
      </tp>
      <tp t="e">
        <v>#N/A</v>
        <stp/>
        <stp>BDH|13328448965192648131</stp>
        <tr r="I38" s="11"/>
        <tr r="I46" s="10"/>
      </tp>
      <tp t="e">
        <v>#N/A</v>
        <stp/>
        <stp>BDH|15547413163736377339</stp>
        <tr r="K178" s="18"/>
      </tp>
      <tp t="e">
        <v>#N/A</v>
        <stp/>
        <stp>BDH|11844162290503998807</stp>
        <tr r="L46" s="10"/>
        <tr r="L38" s="11"/>
      </tp>
      <tp t="e">
        <v>#N/A</v>
        <stp/>
        <stp>BDH|13351047570516891083</stp>
        <tr r="F148" s="18"/>
      </tp>
      <tp t="e">
        <v>#N/A</v>
        <stp/>
        <stp>BDH|13646329147094418201</stp>
        <tr r="J7" s="17"/>
      </tp>
      <tp t="e">
        <v>#N/A</v>
        <stp/>
        <stp>BDH|10672781823056239189</stp>
        <tr r="Z175" s="18"/>
      </tp>
      <tp t="e">
        <v>#N/A</v>
        <stp/>
        <stp>BDH|17789335567350349076</stp>
        <tr r="N125" s="18"/>
      </tp>
      <tp t="e">
        <v>#N/A</v>
        <stp/>
        <stp>BDH|18049548216509469713</stp>
        <tr r="R38" s="18"/>
      </tp>
      <tp t="e">
        <v>#N/A</v>
        <stp/>
        <stp>BDH|14390608448793566793</stp>
        <tr r="O35" s="22"/>
      </tp>
      <tp t="e">
        <v>#N/A</v>
        <stp/>
        <stp>BDH|12133059560955269316</stp>
        <tr r="I66" s="21"/>
      </tp>
      <tp t="e">
        <v>#N/A</v>
        <stp/>
        <stp>BDH|16081378251025835790</stp>
        <tr r="O66" s="12"/>
      </tp>
      <tp t="e">
        <v>#N/A</v>
        <stp/>
        <stp>BDH|13648022033915248728</stp>
        <tr r="Y48" s="13"/>
      </tp>
      <tp t="e">
        <v>#N/A</v>
        <stp/>
        <stp>BDH|12716378501640591334</stp>
        <tr r="O17" s="34"/>
      </tp>
      <tp t="e">
        <v>#N/A</v>
        <stp/>
        <stp>BDH|11422255057130170403</stp>
        <tr r="N73" s="18"/>
      </tp>
      <tp t="e">
        <v>#N/A</v>
        <stp/>
        <stp>BDH|16956026847427932725</stp>
        <tr r="M58" s="21"/>
        <tr r="M37" s="25"/>
        <tr r="K53" s="11"/>
        <tr r="K31" s="4"/>
      </tp>
      <tp t="e">
        <v>#N/A</v>
        <stp/>
        <stp>BDH|10340631929493739593</stp>
        <tr r="L21" s="4"/>
      </tp>
      <tp t="e">
        <v>#N/A</v>
        <stp/>
        <stp>BDH|11714399589508357039</stp>
        <tr r="I11" s="20"/>
        <tr r="I112" s="18"/>
      </tp>
      <tp t="e">
        <v>#N/A</v>
        <stp/>
        <stp>BDH|11362911037639599078</stp>
        <tr r="J17" s="12"/>
      </tp>
      <tp t="e">
        <v>#N/A</v>
        <stp/>
        <stp>BDH|16027362954562463013</stp>
        <tr r="W18" s="30"/>
      </tp>
      <tp t="e">
        <v>#N/A</v>
        <stp/>
        <stp>BDH|17334500285450406857</stp>
        <tr r="Y14" s="14"/>
      </tp>
      <tp t="e">
        <v>#N/A</v>
        <stp/>
        <stp>BDH|11174451490966277818</stp>
        <tr r="R68" s="12"/>
      </tp>
      <tp t="e">
        <v>#N/A</v>
        <stp/>
        <stp>BDH|16064060118516124381</stp>
        <tr r="V46" s="24"/>
      </tp>
      <tp t="e">
        <v>#N/A</v>
        <stp/>
        <stp>BDH|16423016627482736424</stp>
        <tr r="C109" s="12"/>
      </tp>
      <tp t="e">
        <v>#N/A</v>
        <stp/>
        <stp>BDH|13179575110713933681</stp>
        <tr r="L162" s="18"/>
      </tp>
      <tp t="e">
        <v>#N/A</v>
        <stp/>
        <stp>BDH|15254218342322297340</stp>
        <tr r="X40" s="24"/>
      </tp>
      <tp t="e">
        <v>#N/A</v>
        <stp/>
        <stp>BDH|11218902354107269832</stp>
        <tr r="W20" s="12"/>
      </tp>
      <tp t="e">
        <v>#N/A</v>
        <stp/>
        <stp>BDH|17614724903205850787</stp>
        <tr r="L17" s="34"/>
      </tp>
      <tp t="e">
        <v>#N/A</v>
        <stp/>
        <stp>BDH|10000138703863240051</stp>
        <tr r="F10" s="21"/>
      </tp>
      <tp t="e">
        <v>#N/A</v>
        <stp/>
        <stp>BDH|17943646718407778555</stp>
        <tr r="W6" s="20"/>
        <tr r="W108" s="18"/>
      </tp>
      <tp t="e">
        <v>#N/A</v>
        <stp/>
        <stp>BDH|14114041382187171912</stp>
        <tr r="J16" s="34"/>
      </tp>
      <tp t="e">
        <v>#N/A</v>
        <stp/>
        <stp>BDH|11706752377360757350</stp>
        <tr r="O45" s="13"/>
      </tp>
      <tp t="e">
        <v>#N/A</v>
        <stp/>
        <stp>BDH|15622925465290288849</stp>
        <tr r="Y43" s="21"/>
      </tp>
      <tp t="e">
        <v>#N/A</v>
        <stp/>
        <stp>BDH|17244694347574288386</stp>
        <tr r="V16" s="30"/>
      </tp>
      <tp t="e">
        <v>#N/A</v>
        <stp/>
        <stp>BDH|11611684148840505156</stp>
        <tr r="K25" s="24"/>
      </tp>
      <tp t="e">
        <v>#N/A</v>
        <stp/>
        <stp>BDH|12112748056654758620</stp>
        <tr r="E51" s="22"/>
      </tp>
      <tp t="e">
        <v>#N/A</v>
        <stp/>
        <stp>BDH|12092861120382292828</stp>
        <tr r="AA21" s="18"/>
      </tp>
      <tp t="e">
        <v>#N/A</v>
        <stp/>
        <stp>BDH|10386043441787171111</stp>
        <tr r="L49" s="21"/>
      </tp>
      <tp t="e">
        <v>#N/A</v>
        <stp/>
        <stp>BDH|15346303063782034069</stp>
        <tr r="H60" s="12"/>
      </tp>
      <tp t="e">
        <v>#N/A</v>
        <stp/>
        <stp>BDH|10823737238157592107</stp>
        <tr r="V127" s="18"/>
      </tp>
      <tp t="e">
        <v>#N/A</v>
        <stp/>
        <stp>BDH|17897509003446990647</stp>
        <tr r="K18" s="22"/>
      </tp>
      <tp t="e">
        <v>#N/A</v>
        <stp/>
        <stp>BDH|12394796986298811725</stp>
        <tr r="Y58" s="24"/>
      </tp>
      <tp t="e">
        <v>#N/A</v>
        <stp/>
        <stp>BDH|10112433149963415192</stp>
        <tr r="N11" s="22"/>
      </tp>
      <tp t="e">
        <v>#N/A</v>
        <stp/>
        <stp>BDH|10980823042258926663</stp>
        <tr r="Z89" s="12"/>
      </tp>
      <tp t="e">
        <v>#N/A</v>
        <stp/>
        <stp>BDH|11920871213903251997</stp>
        <tr r="K80" s="12"/>
      </tp>
      <tp t="e">
        <v>#N/A</v>
        <stp/>
        <stp>BDH|11415519104585630311</stp>
        <tr r="D41" s="34"/>
      </tp>
      <tp t="e">
        <v>#N/A</v>
        <stp/>
        <stp>BDH|14285232945253222305</stp>
        <tr r="L29" s="22"/>
      </tp>
      <tp t="e">
        <v>#N/A</v>
        <stp/>
        <stp>BDH|10527453613173483417</stp>
        <tr r="H12" s="10"/>
      </tp>
      <tp t="e">
        <v>#N/A</v>
        <stp/>
        <stp>BDH|14414423423306564669</stp>
        <tr r="AA123" s="18"/>
      </tp>
      <tp t="e">
        <v>#N/A</v>
        <stp/>
        <stp>BDH|17805089147140876192</stp>
        <tr r="P56" s="11"/>
        <tr r="P24" s="4"/>
      </tp>
      <tp t="e">
        <v>#N/A</v>
        <stp/>
        <stp>BDH|16863018267723949111</stp>
        <tr r="N129" s="18"/>
      </tp>
      <tp t="e">
        <v>#N/A</v>
        <stp/>
        <stp>BDH|15236406335858288836</stp>
        <tr r="Z48" s="24"/>
      </tp>
      <tp t="e">
        <v>#N/A</v>
        <stp/>
        <stp>BDH|13011033893118323052</stp>
        <tr r="C34" s="21"/>
      </tp>
      <tp t="e">
        <v>#N/A</v>
        <stp/>
        <stp>BDH|11164024039043584399</stp>
        <tr r="T18" s="9"/>
      </tp>
      <tp t="e">
        <v>#N/A</v>
        <stp/>
        <stp>BDH|10216870696465701626</stp>
        <tr r="Y20" s="26"/>
      </tp>
      <tp t="e">
        <v>#N/A</v>
        <stp/>
        <stp>BDH|11268221154476712250</stp>
        <tr r="H155" s="18"/>
      </tp>
      <tp t="e">
        <v>#N/A</v>
        <stp/>
        <stp>BDH|11411865632308071062</stp>
        <tr r="G46" s="13"/>
      </tp>
      <tp t="e">
        <v>#N/A</v>
        <stp/>
        <stp>BDH|13536604055300206246</stp>
        <tr r="Z6" s="27"/>
      </tp>
      <tp t="e">
        <v>#N/A</v>
        <stp/>
        <stp>BDH|10794828744286056877</stp>
        <tr r="F77" s="18"/>
      </tp>
      <tp t="e">
        <v>#N/A</v>
        <stp/>
        <stp>BDH|10450226406807291743</stp>
        <tr r="W22" s="17"/>
      </tp>
      <tp t="e">
        <v>#N/A</v>
        <stp/>
        <stp>BDH|15894376342952912226</stp>
        <tr r="J45" s="22"/>
      </tp>
      <tp t="e">
        <v>#N/A</v>
        <stp/>
        <stp>BDH|13589100110230094133</stp>
        <tr r="X25" s="7"/>
      </tp>
      <tp t="e">
        <v>#N/A</v>
        <stp/>
        <stp>BDH|15045541855620631710</stp>
        <tr r="E16" s="21"/>
      </tp>
      <tp t="e">
        <v>#N/A</v>
        <stp/>
        <stp>BDH|17094428693758502026</stp>
        <tr r="Q13" s="8"/>
      </tp>
      <tp t="e">
        <v>#N/A</v>
        <stp/>
        <stp>BDH|16839632210666929545</stp>
        <tr r="Q47" s="22"/>
      </tp>
      <tp t="e">
        <v>#N/A</v>
        <stp/>
        <stp>BDH|15334277413305602177</stp>
        <tr r="X66" s="34"/>
      </tp>
      <tp t="e">
        <v>#N/A</v>
        <stp/>
        <stp>BDH|13238046950073403742</stp>
        <tr r="O9" s="18"/>
      </tp>
      <tp t="e">
        <v>#N/A</v>
        <stp/>
        <stp>BDH|12834182716831577159</stp>
        <tr r="K19" s="6"/>
      </tp>
      <tp t="e">
        <v>#N/A</v>
        <stp/>
        <stp>BDH|11510383972491851614</stp>
        <tr r="C18" s="17"/>
      </tp>
      <tp t="e">
        <v>#N/A</v>
        <stp/>
        <stp>BDH|14605556140244267374</stp>
        <tr r="S17" s="34"/>
      </tp>
      <tp t="e">
        <v>#N/A</v>
        <stp/>
        <stp>BDH|12217737403143663424</stp>
        <tr r="X60" s="34"/>
      </tp>
      <tp t="e">
        <v>#N/A</v>
        <stp/>
        <stp>BDH|16302144462347660454</stp>
        <tr r="E14" s="28"/>
      </tp>
      <tp t="e">
        <v>#N/A</v>
        <stp/>
        <stp>BDH|13013488944418143942</stp>
        <tr r="D22" s="21"/>
      </tp>
      <tp t="e">
        <v>#N/A</v>
        <stp/>
        <stp>BDH|13922881688249424848</stp>
        <tr r="L20" s="26"/>
      </tp>
      <tp t="e">
        <v>#N/A</v>
        <stp/>
        <stp>BDH|15917531405700043268</stp>
        <tr r="H169" s="18"/>
      </tp>
      <tp t="e">
        <v>#N/A</v>
        <stp/>
        <stp>BDH|14713195351625300759</stp>
        <tr r="U121" s="18"/>
      </tp>
      <tp t="e">
        <v>#N/A</v>
        <stp/>
        <stp>BDH|10846578900392317554</stp>
        <tr r="J66" s="24"/>
      </tp>
      <tp t="e">
        <v>#N/A</v>
        <stp/>
        <stp>BDH|15863461000944065772</stp>
        <tr r="I10" s="10"/>
      </tp>
      <tp t="e">
        <v>#N/A</v>
        <stp/>
        <stp>BDH|14414578301182343185</stp>
        <tr r="C54" s="6"/>
      </tp>
      <tp t="e">
        <v>#N/A</v>
        <stp/>
        <stp>BDH|11266984079949241487</stp>
        <tr r="D19" s="11"/>
      </tp>
      <tp t="e">
        <v>#N/A</v>
        <stp/>
        <stp>BDH|11173787808246841209</stp>
        <tr r="L9" s="18"/>
      </tp>
      <tp t="e">
        <v>#N/A</v>
        <stp/>
        <stp>BDH|11422640678976340420</stp>
        <tr r="O23" s="22"/>
      </tp>
      <tp t="e">
        <v>#N/A</v>
        <stp/>
        <stp>BDH|14253750733521593387</stp>
        <tr r="AA62" s="13"/>
        <tr r="Y49" s="11"/>
        <tr r="Y57" s="10"/>
        <tr r="Y19" s="7"/>
        <tr r="Y18" s="4"/>
        <tr r="Y20" s="2"/>
      </tp>
      <tp t="e">
        <v>#N/A</v>
        <stp/>
        <stp>BDH|14592046003273840534</stp>
        <tr r="Y34" s="22"/>
      </tp>
      <tp t="e">
        <v>#N/A</v>
        <stp/>
        <stp>BDH|14237611937284990744</stp>
        <tr r="M8" s="8"/>
      </tp>
      <tp t="e">
        <v>#N/A</v>
        <stp/>
        <stp>BDH|15958362390255592830</stp>
        <tr r="W30" s="34"/>
      </tp>
      <tp t="e">
        <v>#N/A</v>
        <stp/>
        <stp>BDH|11611160019503599051</stp>
        <tr r="AA33" s="13"/>
        <tr r="Y29" s="10"/>
      </tp>
      <tp t="e">
        <v>#N/A</v>
        <stp/>
        <stp>BDH|14280999714376678809</stp>
        <tr r="M16" s="27"/>
        <tr r="M30" s="25"/>
      </tp>
      <tp t="e">
        <v>#N/A</v>
        <stp/>
        <stp>BDH|10272184280883549863</stp>
        <tr r="Z23" s="17"/>
      </tp>
      <tp t="e">
        <v>#N/A</v>
        <stp/>
        <stp>BDH|10840085156054654398</stp>
        <tr r="R24" s="23"/>
        <tr r="R21" s="30"/>
      </tp>
      <tp t="e">
        <v>#N/A</v>
        <stp/>
        <stp>BDH|10355362076415930333</stp>
        <tr r="S59" s="13"/>
      </tp>
      <tp t="e">
        <v>#N/A</v>
        <stp/>
        <stp>BDH|17913557614915295435</stp>
        <tr r="N10" s="24"/>
      </tp>
      <tp t="e">
        <v>#N/A</v>
        <stp/>
        <stp>BDH|17646955412428848503</stp>
        <tr r="H16" s="10"/>
      </tp>
      <tp t="e">
        <v>#N/A</v>
        <stp/>
        <stp>BDH|16715266788376353830</stp>
        <tr r="E18" s="18"/>
      </tp>
      <tp t="e">
        <v>#N/A</v>
        <stp/>
        <stp>BDH|11929902175025579806</stp>
        <tr r="R12" s="21"/>
      </tp>
      <tp t="e">
        <v>#N/A</v>
        <stp/>
        <stp>BDH|12100690468115124583</stp>
        <tr r="R78" s="17"/>
      </tp>
      <tp t="e">
        <v>#N/A</v>
        <stp/>
        <stp>BDH|11258588260052082232</stp>
        <tr r="D142" s="18"/>
      </tp>
      <tp t="e">
        <v>#N/A</v>
        <stp/>
        <stp>BDH|17846049292114599822</stp>
        <tr r="S67" s="10"/>
      </tp>
      <tp t="e">
        <v>#N/A</v>
        <stp/>
        <stp>BDH|13431785261795322574</stp>
        <tr r="Q49" s="22"/>
      </tp>
      <tp t="e">
        <v>#N/A</v>
        <stp/>
        <stp>BDH|12020947995935139598</stp>
        <tr r="G51" s="24"/>
      </tp>
      <tp t="e">
        <v>#N/A</v>
        <stp/>
        <stp>BDH|18326407798116313112</stp>
        <tr r="AA56" s="13"/>
      </tp>
      <tp t="e">
        <v>#N/A</v>
        <stp/>
        <stp>BDH|16866519541173112609</stp>
        <tr r="P39" s="12"/>
      </tp>
      <tp t="e">
        <v>#N/A</v>
        <stp/>
        <stp>BDH|10866076798732722993</stp>
        <tr r="N10" s="28"/>
      </tp>
      <tp t="e">
        <v>#N/A</v>
        <stp/>
        <stp>BDH|16897603938246095794</stp>
        <tr r="K60" s="12"/>
      </tp>
      <tp t="e">
        <v>#N/A</v>
        <stp/>
        <stp>BDH|17253753511490836374</stp>
        <tr r="Q41" s="34"/>
      </tp>
      <tp t="e">
        <v>#N/A</v>
        <stp/>
        <stp>BDH|17341839996770886477</stp>
        <tr r="N13" s="7"/>
      </tp>
      <tp t="e">
        <v>#N/A</v>
        <stp/>
        <stp>BDH|13845806682014165521</stp>
        <tr r="I23" s="10"/>
      </tp>
      <tp t="e">
        <v>#N/A</v>
        <stp/>
        <stp>BDH|11561242602100353194</stp>
        <tr r="Y26" s="7"/>
      </tp>
      <tp t="e">
        <v>#N/A</v>
        <stp/>
        <stp>BDH|14543227469851080377</stp>
        <tr r="U27" s="18"/>
      </tp>
      <tp t="e">
        <v>#N/A</v>
        <stp/>
        <stp>BDH|11949785603473375799</stp>
        <tr r="H25" s="12"/>
      </tp>
      <tp t="e">
        <v>#N/A</v>
        <stp/>
        <stp>BDH|12957088720081916307</stp>
        <tr r="W8" s="20"/>
        <tr r="W110" s="18"/>
      </tp>
      <tp t="e">
        <v>#N/A</v>
        <stp/>
        <stp>BDH|14994551159396407090</stp>
        <tr r="P45" s="6"/>
      </tp>
      <tp t="e">
        <v>#N/A</v>
        <stp/>
        <stp>BDH|14597753376004934272</stp>
        <tr r="L15" s="11"/>
      </tp>
      <tp t="e">
        <v>#N/A</v>
        <stp/>
        <stp>BDH|11829217123325555679</stp>
        <tr r="O31" s="6"/>
      </tp>
      <tp t="e">
        <v>#N/A</v>
        <stp/>
        <stp>BDH|11323542020943618791</stp>
        <tr r="R58" s="24"/>
      </tp>
      <tp t="e">
        <v>#N/A</v>
        <stp/>
        <stp>BDH|15750162368450290033</stp>
        <tr r="S66" s="18"/>
      </tp>
      <tp t="e">
        <v>#N/A</v>
        <stp/>
        <stp>BDH|14375794530877606542</stp>
        <tr r="G70" s="12"/>
      </tp>
      <tp t="e">
        <v>#N/A</v>
        <stp/>
        <stp>BDH|15520394271587625439</stp>
        <tr r="L46" s="21"/>
      </tp>
      <tp t="e">
        <v>#N/A</v>
        <stp/>
        <stp>BDH|13565102643560783491</stp>
        <tr r="D139" s="18"/>
      </tp>
      <tp t="e">
        <v>#N/A</v>
        <stp/>
        <stp>BDH|15221149563128870855</stp>
        <tr r="K35" s="34"/>
      </tp>
      <tp t="e">
        <v>#N/A</v>
        <stp/>
        <stp>BDH|13923838391660535067</stp>
        <tr r="J30" s="11"/>
        <tr r="J38" s="10"/>
      </tp>
      <tp t="e">
        <v>#N/A</v>
        <stp/>
        <stp>BDH|17251747668995412125</stp>
        <tr r="M35" s="6"/>
      </tp>
      <tp t="e">
        <v>#N/A</v>
        <stp/>
        <stp>BDH|17987328772279653878</stp>
        <tr r="G8" s="27"/>
      </tp>
      <tp t="e">
        <v>#N/A</v>
        <stp/>
        <stp>BDH|14166720693579154199</stp>
        <tr r="C13" s="26"/>
      </tp>
      <tp t="e">
        <v>#N/A</v>
        <stp/>
        <stp>BDH|18099283091547174606</stp>
        <tr r="W39" s="29"/>
        <tr r="W31" s="29"/>
        <tr r="V52" s="6"/>
        <tr r="V11" s="5"/>
        <tr r="W10" s="2"/>
      </tp>
      <tp t="e">
        <v>#N/A</v>
        <stp/>
        <stp>BDH|13350474628796198151</stp>
        <tr r="P19" s="14"/>
      </tp>
      <tp t="e">
        <v>#N/A</v>
        <stp/>
        <stp>BDH|15834333836160706722</stp>
        <tr r="E28" s="4"/>
      </tp>
      <tp t="e">
        <v>#N/A</v>
        <stp/>
        <stp>BDH|10320196872623719770</stp>
        <tr r="R9" s="29"/>
      </tp>
      <tp t="e">
        <v>#N/A</v>
        <stp/>
        <stp>BDH|17542290778069533995</stp>
        <tr r="S46" s="18"/>
      </tp>
      <tp t="e">
        <v>#N/A</v>
        <stp/>
        <stp>BDH|10225196076340545402</stp>
        <tr r="P12" s="7"/>
      </tp>
      <tp t="e">
        <v>#N/A</v>
        <stp/>
        <stp>BDH|14973905263821287803</stp>
        <tr r="O52" s="18"/>
      </tp>
      <tp t="e">
        <v>#N/A</v>
        <stp/>
        <stp>BDH|16323833328419750771</stp>
        <tr r="G53" s="12"/>
      </tp>
      <tp t="e">
        <v>#N/A</v>
        <stp/>
        <stp>BDH|17050786576124568134</stp>
        <tr r="X167" s="18"/>
      </tp>
      <tp t="e">
        <v>#N/A</v>
        <stp/>
        <stp>BDH|15176914796880997772</stp>
        <tr r="Y52" s="10"/>
        <tr r="Y44" s="11"/>
        <tr r="Y16" s="7"/>
      </tp>
      <tp t="e">
        <v>#N/A</v>
        <stp/>
        <stp>BDH|14070352484039063493</stp>
        <tr r="Q10" s="12"/>
      </tp>
      <tp t="e">
        <v>#N/A</v>
        <stp/>
        <stp>BDH|16746162028636056115</stp>
        <tr r="S35" s="4"/>
      </tp>
      <tp t="e">
        <v>#N/A</v>
        <stp/>
        <stp>BDH|15035970268279178161</stp>
        <tr r="H23" s="24"/>
      </tp>
      <tp t="e">
        <v>#N/A</v>
        <stp/>
        <stp>BDH|14281255313600541598</stp>
        <tr r="V35" s="22"/>
      </tp>
      <tp t="e">
        <v>#N/A</v>
        <stp/>
        <stp>BDH|12415796470991607138</stp>
        <tr r="X37" s="24"/>
      </tp>
      <tp t="e">
        <v>#N/A</v>
        <stp/>
        <stp>BDH|12961025519730886129</stp>
        <tr r="L106" s="12"/>
      </tp>
      <tp t="e">
        <v>#N/A</v>
        <stp/>
        <stp>BDH|14218496886059749327</stp>
        <tr r="G18" s="9"/>
      </tp>
      <tp t="e">
        <v>#N/A</v>
        <stp/>
        <stp>BDH|14228897546673536904</stp>
        <tr r="H14" s="22"/>
      </tp>
      <tp t="e">
        <v>#N/A</v>
        <stp/>
        <stp>BDH|10816650074094664773</stp>
        <tr r="R8" s="23"/>
      </tp>
      <tp t="e">
        <v>#N/A</v>
        <stp/>
        <stp>BDH|17520206637736852222</stp>
        <tr r="G24" s="12"/>
      </tp>
      <tp t="e">
        <v>#N/A</v>
        <stp/>
        <stp>BDH|18151208649988158415</stp>
        <tr r="G59" s="18"/>
      </tp>
      <tp t="e">
        <v>#N/A</v>
        <stp/>
        <stp>BDH|15372346378545007670</stp>
        <tr r="H15" s="6"/>
      </tp>
      <tp t="e">
        <v>#N/A</v>
        <stp/>
        <stp>BDH|16340924138198335619</stp>
        <tr r="M177" s="18"/>
      </tp>
      <tp t="e">
        <v>#N/A</v>
        <stp/>
        <stp>BDH|13831906217970460901</stp>
        <tr r="N14" s="8"/>
      </tp>
      <tp t="e">
        <v>#N/A</v>
        <stp/>
        <stp>BDH|13269699246217215446</stp>
        <tr r="N17" s="11"/>
      </tp>
      <tp t="e">
        <v>#N/A</v>
        <stp/>
        <stp>BDH|10194912620281343887</stp>
        <tr r="N24" s="29"/>
      </tp>
      <tp t="e">
        <v>#N/A</v>
        <stp/>
        <stp>BDH|18240434722388923418</stp>
        <tr r="X6" s="20"/>
        <tr r="X108" s="18"/>
      </tp>
      <tp t="e">
        <v>#N/A</v>
        <stp/>
        <stp>BDH|13601393519872944146</stp>
        <tr r="H87" s="17"/>
      </tp>
      <tp t="e">
        <v>#N/A</v>
        <stp/>
        <stp>BDH|12897332577241457535</stp>
        <tr r="J47" s="22"/>
      </tp>
      <tp t="e">
        <v>#N/A</v>
        <stp/>
        <stp>BDH|14945724009803897218</stp>
        <tr r="G82" s="17"/>
        <tr r="E6" s="7"/>
        <tr r="G20" s="3"/>
      </tp>
      <tp t="e">
        <v>#N/A</v>
        <stp/>
        <stp>BDH|16113202421800922421</stp>
        <tr r="K29" s="24"/>
      </tp>
      <tp t="e">
        <v>#N/A</v>
        <stp/>
        <stp>BDH|13805432400994566153</stp>
        <tr r="W18" s="29"/>
        <tr r="W38" s="29"/>
      </tp>
      <tp t="e">
        <v>#N/A</v>
        <stp/>
        <stp>BDH|16592172069680563355</stp>
        <tr r="E134" s="18"/>
      </tp>
      <tp t="e">
        <v>#N/A</v>
        <stp/>
        <stp>BDH|16759782422129119879</stp>
        <tr r="L66" s="17"/>
      </tp>
      <tp t="e">
        <v>#N/A</v>
        <stp/>
        <stp>BDH|17581286977060516042</stp>
        <tr r="S29" s="6"/>
      </tp>
      <tp t="e">
        <v>#N/A</v>
        <stp/>
        <stp>BDH|12929429150716312731</stp>
        <tr r="H13" s="12"/>
      </tp>
      <tp t="e">
        <v>#N/A</v>
        <stp/>
        <stp>BDH|16766125983879928445</stp>
        <tr r="M67" s="18"/>
      </tp>
      <tp t="e">
        <v>#N/A</v>
        <stp/>
        <stp>BDH|13242547427173964537</stp>
        <tr r="Q32" s="26"/>
      </tp>
      <tp t="e">
        <v>#N/A</v>
        <stp/>
        <stp>BDH|12745887482203450327</stp>
        <tr r="R47" s="13"/>
      </tp>
      <tp t="e">
        <v>#N/A</v>
        <stp/>
        <stp>BDH|10425317218837274748</stp>
        <tr r="V15" s="4"/>
      </tp>
      <tp t="e">
        <v>#N/A</v>
        <stp/>
        <stp>BDH|17874838455811749922</stp>
        <tr r="T74" s="12"/>
      </tp>
      <tp t="e">
        <v>#N/A</v>
        <stp/>
        <stp>BDH|13777302615124067793</stp>
        <tr r="P81" s="12"/>
      </tp>
      <tp t="e">
        <v>#N/A</v>
        <stp/>
        <stp>BDH|16432558311966836630</stp>
        <tr r="L35" s="21"/>
      </tp>
      <tp t="e">
        <v>#N/A</v>
        <stp/>
        <stp>BDH|17868953943898249078</stp>
        <tr r="L13" s="5"/>
      </tp>
      <tp t="e">
        <v>#N/A</v>
        <stp/>
        <stp>BDH|13410951263377145986</stp>
        <tr r="V30" s="25"/>
        <tr r="V16" s="27"/>
      </tp>
      <tp t="e">
        <v>#N/A</v>
        <stp/>
        <stp>BDH|15317425534298811860</stp>
        <tr r="J22" s="11"/>
      </tp>
      <tp t="e">
        <v>#N/A</v>
        <stp/>
        <stp>BDH|13872731475757535605</stp>
        <tr r="H20" s="22"/>
      </tp>
      <tp t="e">
        <v>#N/A</v>
        <stp/>
        <stp>BDH|17704548864013582596</stp>
        <tr r="R75" s="17"/>
      </tp>
      <tp t="e">
        <v>#N/A</v>
        <stp/>
        <stp>BDH|18094348468759602610</stp>
        <tr r="G65" s="10"/>
        <tr r="G39" s="4"/>
      </tp>
      <tp t="e">
        <v>#N/A</v>
        <stp/>
        <stp>BDH|13803882116008411095</stp>
        <tr r="C8" s="25"/>
      </tp>
      <tp t="e">
        <v>#N/A</v>
        <stp/>
        <stp>BDH|17022460027704239783</stp>
        <tr r="AA117" s="18"/>
      </tp>
      <tp t="e">
        <v>#N/A</v>
        <stp/>
        <stp>BDH|14823071635727118201</stp>
        <tr r="O51" s="17"/>
      </tp>
      <tp t="e">
        <v>#N/A</v>
        <stp/>
        <stp>BDH|16899750831628428826</stp>
        <tr r="M75" s="18"/>
      </tp>
      <tp t="e">
        <v>#N/A</v>
        <stp/>
        <stp>BDH|17356438129680648354</stp>
        <tr r="M25" s="11"/>
        <tr r="M33" s="10"/>
      </tp>
      <tp t="e">
        <v>#N/A</v>
        <stp/>
        <stp>BDH|18383972723448411994</stp>
        <tr r="E77" s="17"/>
        <tr r="E19" s="3"/>
      </tp>
      <tp t="e">
        <v>#N/A</v>
        <stp/>
        <stp>BDH|10316639110730234587</stp>
        <tr r="N12" s="10"/>
      </tp>
      <tp t="e">
        <v>#N/A</v>
        <stp/>
        <stp>BDH|13692012904416824717</stp>
        <tr r="E63" s="12"/>
      </tp>
      <tp t="e">
        <v>#N/A</v>
        <stp/>
        <stp>BDH|17197601519343487169</stp>
        <tr r="V13" s="12"/>
      </tp>
      <tp t="e">
        <v>#N/A</v>
        <stp/>
        <stp>BDH|13737669311045350395</stp>
        <tr r="J8" s="27"/>
      </tp>
      <tp t="e">
        <v>#N/A</v>
        <stp/>
        <stp>BDH|13841368255621050616</stp>
        <tr r="N160" s="18"/>
      </tp>
      <tp t="e">
        <v>#N/A</v>
        <stp/>
        <stp>BDH|13774796550826371577</stp>
        <tr r="K69" s="17"/>
      </tp>
      <tp t="e">
        <v>#N/A</v>
        <stp/>
        <stp>BDH|14458400068720329458</stp>
        <tr r="F40" s="6"/>
      </tp>
      <tp t="e">
        <v>#N/A</v>
        <stp/>
        <stp>BDH|17343058288144607925</stp>
        <tr r="U32" s="24"/>
      </tp>
      <tp t="e">
        <v>#N/A</v>
        <stp/>
        <stp>BDH|13415123389240069859</stp>
        <tr r="S8" s="27"/>
      </tp>
      <tp t="e">
        <v>#N/A</v>
        <stp/>
        <stp>BDH|14156497234010149178</stp>
        <tr r="Y42" s="13"/>
      </tp>
      <tp t="e">
        <v>#N/A</v>
        <stp/>
        <stp>BDH|17182476510682453283</stp>
        <tr r="I49" s="12"/>
      </tp>
      <tp t="e">
        <v>#N/A</v>
        <stp/>
        <stp>BDH|16676475270254374389</stp>
        <tr r="AA34" s="12"/>
      </tp>
      <tp t="e">
        <v>#N/A</v>
        <stp/>
        <stp>BDH|18431504669819262057</stp>
        <tr r="P176" s="18"/>
      </tp>
      <tp t="e">
        <v>#N/A</v>
        <stp/>
        <stp>BDH|18268965201934948760</stp>
        <tr r="G25" s="27"/>
      </tp>
      <tp t="e">
        <v>#N/A</v>
        <stp/>
        <stp>BDH|17457459627654859742</stp>
        <tr r="C85" s="18"/>
      </tp>
      <tp t="e">
        <v>#N/A</v>
        <stp/>
        <stp>BDH|15774213410692871648</stp>
        <tr r="M17" s="14"/>
      </tp>
      <tp t="e">
        <v>#N/A</v>
        <stp/>
        <stp>BDH|16424327637193896731</stp>
        <tr r="D99" s="18"/>
      </tp>
      <tp t="e">
        <v>#N/A</v>
        <stp/>
        <stp>BDH|11211611945612431389</stp>
        <tr r="AA12" s="14"/>
      </tp>
      <tp t="e">
        <v>#N/A</v>
        <stp/>
        <stp>BDH|17152490956224731038</stp>
        <tr r="J42" s="34"/>
      </tp>
      <tp t="e">
        <v>#N/A</v>
        <stp/>
        <stp>BDH|10426427867629966929</stp>
        <tr r="I84" s="18"/>
      </tp>
      <tp t="e">
        <v>#N/A</v>
        <stp/>
        <stp>BDH|15173793761364736248</stp>
        <tr r="Z77" s="24"/>
      </tp>
      <tp t="e">
        <v>#N/A</v>
        <stp/>
        <stp>BDH|17541380079389731897</stp>
        <tr r="Z60" s="17"/>
      </tp>
      <tp t="e">
        <v>#N/A</v>
        <stp/>
        <stp>BDH|11483521722712884665</stp>
        <tr r="H17" s="13"/>
      </tp>
      <tp t="e">
        <v>#N/A</v>
        <stp/>
        <stp>BDH|15448748747422501689</stp>
        <tr r="M30" s="13"/>
        <tr r="K26" s="10"/>
      </tp>
      <tp t="e">
        <v>#N/A</v>
        <stp/>
        <stp>BDH|10362545940523846053</stp>
        <tr r="H46" s="17"/>
      </tp>
      <tp t="e">
        <v>#N/A</v>
        <stp/>
        <stp>BDH|13737223545105205280</stp>
        <tr r="W22" s="12"/>
      </tp>
      <tp t="e">
        <v>#N/A</v>
        <stp/>
        <stp>BDH|17713252299438151603</stp>
        <tr r="R23" s="23"/>
      </tp>
      <tp t="e">
        <v>#N/A</v>
        <stp/>
        <stp>BDH|13965985094177610692</stp>
        <tr r="W26" s="18"/>
      </tp>
      <tp t="e">
        <v>#N/A</v>
        <stp/>
        <stp>BDH|16009593751657751357</stp>
        <tr r="F178" s="18"/>
      </tp>
      <tp t="e">
        <v>#N/A</v>
        <stp/>
        <stp>BDH|17801496040310363584</stp>
        <tr r="Z35" s="18"/>
      </tp>
      <tp t="e">
        <v>#N/A</v>
        <stp/>
        <stp>BDH|12205035163047179194</stp>
        <tr r="U10" s="22"/>
      </tp>
      <tp t="e">
        <v>#N/A</v>
        <stp/>
        <stp>BDH|16461990892377225372</stp>
        <tr r="I15" s="34"/>
      </tp>
      <tp t="e">
        <v>#N/A</v>
        <stp/>
        <stp>BDH|15850314687355374971</stp>
        <tr r="V46" s="11"/>
        <tr r="V54" s="10"/>
        <tr r="V7" s="7"/>
        <tr r="X12" s="3"/>
      </tp>
      <tp t="e">
        <v>#N/A</v>
        <stp/>
        <stp>BDH|17791691916113705122</stp>
        <tr r="T76" s="24"/>
      </tp>
      <tp t="e">
        <v>#N/A</v>
        <stp/>
        <stp>BDH|12084608848347406518</stp>
        <tr r="J67" s="17"/>
        <tr r="J18" s="3"/>
      </tp>
      <tp t="e">
        <v>#N/A</v>
        <stp/>
        <stp>BDH|13800349177474409127</stp>
        <tr r="D63" s="18"/>
      </tp>
      <tp t="e">
        <v>#N/A</v>
        <stp/>
        <stp>BDH|13237592774803269005</stp>
        <tr r="W145" s="18"/>
      </tp>
      <tp t="e">
        <v>#N/A</v>
        <stp/>
        <stp>BDH|10791627209634153007</stp>
        <tr r="W168" s="18"/>
      </tp>
      <tp t="e">
        <v>#N/A</v>
        <stp/>
        <stp>BDH|16364508361385948260</stp>
        <tr r="U14" s="13"/>
      </tp>
      <tp t="e">
        <v>#N/A</v>
        <stp/>
        <stp>BDH|17616398397167721823</stp>
        <tr r="AA38" s="26"/>
      </tp>
      <tp t="e">
        <v>#N/A</v>
        <stp/>
        <stp>BDH|13360790927737804389</stp>
        <tr r="E46" s="24"/>
      </tp>
      <tp t="e">
        <v>#N/A</v>
        <stp/>
        <stp>BDH|14782539398903810991</stp>
        <tr r="S99" s="18"/>
      </tp>
      <tp t="e">
        <v>#N/A</v>
        <stp/>
        <stp>BDH|11911327826731693367</stp>
        <tr r="O34" s="13"/>
        <tr r="M30" s="10"/>
      </tp>
      <tp t="e">
        <v>#N/A</v>
        <stp/>
        <stp>BDH|11593365158931630409</stp>
        <tr r="O49" s="4"/>
      </tp>
      <tp t="e">
        <v>#N/A</v>
        <stp/>
        <stp>BDH|17213986081613263748</stp>
        <tr r="AA16" s="27"/>
        <tr r="AA30" s="25"/>
      </tp>
      <tp t="e">
        <v>#N/A</v>
        <stp/>
        <stp>BDH|16689573047394200197</stp>
        <tr r="L91" s="18"/>
      </tp>
      <tp t="e">
        <v>#N/A</v>
        <stp/>
        <stp>BDH|10834537593419273779</stp>
        <tr r="AA52" s="18"/>
      </tp>
      <tp t="e">
        <v>#N/A</v>
        <stp/>
        <stp>BDH|13763400967994503782</stp>
        <tr r="K41" s="12"/>
      </tp>
      <tp t="e">
        <v>#N/A</v>
        <stp/>
        <stp>BDH|11191736327724142291</stp>
        <tr r="G36" s="13"/>
        <tr r="E24" s="10"/>
        <tr r="E46" s="4"/>
      </tp>
      <tp t="e">
        <v>#N/A</v>
        <stp/>
        <stp>BDH|14476527545972750590</stp>
        <tr r="Y66" s="17"/>
      </tp>
      <tp t="e">
        <v>#N/A</v>
        <stp/>
        <stp>BDH|17747692707236003548</stp>
        <tr r="L8" s="26"/>
        <tr r="I10" s="9"/>
      </tp>
      <tp t="e">
        <v>#N/A</v>
        <stp/>
        <stp>BDH|12076457112570912538</stp>
        <tr r="R56" s="34"/>
      </tp>
      <tp t="e">
        <v>#N/A</v>
        <stp/>
        <stp>BDH|11485763238530180765</stp>
        <tr r="AA59" s="17"/>
      </tp>
      <tp t="e">
        <v>#N/A</v>
        <stp/>
        <stp>BDH|13495209337673726397</stp>
        <tr r="R62" s="24"/>
      </tp>
      <tp t="e">
        <v>#N/A</v>
        <stp/>
        <stp>BDH|15951299580378444598</stp>
        <tr r="L14" s="27"/>
        <tr r="L28" s="25"/>
      </tp>
      <tp t="e">
        <v>#N/A</v>
        <stp/>
        <stp>BDH|11822591523153623793</stp>
        <tr r="K18" s="6"/>
      </tp>
      <tp t="e">
        <v>#N/A</v>
        <stp/>
        <stp>BDH|13177329497618838319</stp>
        <tr r="T43" s="21"/>
      </tp>
      <tp t="e">
        <v>#N/A</v>
        <stp/>
        <stp>BDH|11989376148897234397</stp>
        <tr r="G64" s="34"/>
      </tp>
      <tp t="e">
        <v>#N/A</v>
        <stp/>
        <stp>BDH|18297303926899043294</stp>
        <tr r="F23" s="24"/>
      </tp>
      <tp t="e">
        <v>#N/A</v>
        <stp/>
        <stp>BDH|16208096267437298539</stp>
        <tr r="I16" s="30"/>
      </tp>
      <tp t="e">
        <v>#N/A</v>
        <stp/>
        <stp>BDH|10008623552145519481</stp>
        <tr r="C40" s="24"/>
      </tp>
      <tp t="e">
        <v>#N/A</v>
        <stp/>
        <stp>BDH|15896766456316693337</stp>
        <tr r="W93" s="12"/>
      </tp>
      <tp t="e">
        <v>#N/A</v>
        <stp/>
        <stp>BDH|11958459823015682046</stp>
        <tr r="E25" s="10"/>
      </tp>
      <tp t="e">
        <v>#N/A</v>
        <stp/>
        <stp>BDH|17444418844753937659</stp>
        <tr r="E47" s="18"/>
      </tp>
      <tp t="e">
        <v>#N/A</v>
        <stp/>
        <stp>BDH|12684865079026049949</stp>
        <tr r="H25" s="34"/>
      </tp>
      <tp t="e">
        <v>#N/A</v>
        <stp/>
        <stp>BDH|16582149679656354462</stp>
        <tr r="F12" s="14"/>
      </tp>
      <tp t="e">
        <v>#N/A</v>
        <stp/>
        <stp>BDH|17711690472163445754</stp>
        <tr r="H17" s="27"/>
        <tr r="H31" s="25"/>
        <tr r="E14" s="5"/>
      </tp>
      <tp t="e">
        <v>#N/A</v>
        <stp/>
        <stp>BDH|17426135148163500376</stp>
        <tr r="Z20" s="23"/>
      </tp>
      <tp t="e">
        <v>#N/A</v>
        <stp/>
        <stp>BDH|16234798749824941367</stp>
        <tr r="S12" s="27"/>
        <tr r="S26" s="25"/>
      </tp>
      <tp t="e">
        <v>#N/A</v>
        <stp/>
        <stp>BDH|11322633148507528601</stp>
        <tr r="Q49" s="12"/>
      </tp>
      <tp t="e">
        <v>#N/A</v>
        <stp/>
        <stp>BDH|11333938868988209475</stp>
        <tr r="S8" s="26"/>
        <tr r="P10" s="9"/>
      </tp>
      <tp t="e">
        <v>#N/A</v>
        <stp/>
        <stp>BDH|15110274247436873741</stp>
        <tr r="H124" s="18"/>
      </tp>
      <tp t="e">
        <v>#N/A</v>
        <stp/>
        <stp>BDH|14550399594035333969</stp>
        <tr r="Z69" s="24"/>
      </tp>
      <tp t="e">
        <v>#N/A</v>
        <stp/>
        <stp>BDH|14267170918291583759</stp>
        <tr r="V95" s="18"/>
      </tp>
      <tp t="e">
        <v>#N/A</v>
        <stp/>
        <stp>BDH|10678151770601969573</stp>
        <tr r="F37" s="34"/>
      </tp>
      <tp t="e">
        <v>#N/A</v>
        <stp/>
        <stp>BDH|13142113252005831071</stp>
        <tr r="Q55" s="34"/>
      </tp>
      <tp t="e">
        <v>#N/A</v>
        <stp/>
        <stp>BDH|15739837382422356581</stp>
        <tr r="F54" s="17"/>
      </tp>
      <tp t="e">
        <v>#N/A</v>
        <stp/>
        <stp>BDH|13481495073554349617</stp>
        <tr r="G14" s="8"/>
      </tp>
      <tp t="e">
        <v>#N/A</v>
        <stp/>
        <stp>BDH|17330589626724644672</stp>
        <tr r="F90" s="12"/>
      </tp>
      <tp t="e">
        <v>#N/A</v>
        <stp/>
        <stp>BDH|17460799417056637506</stp>
        <tr r="R148" s="18"/>
      </tp>
      <tp t="e">
        <v>#N/A</v>
        <stp/>
        <stp>BDH|11142056184159997250</stp>
        <tr r="K17" s="23"/>
      </tp>
      <tp t="e">
        <v>#N/A</v>
        <stp/>
        <stp>BDH|13682279648327096051</stp>
        <tr r="H156" s="18"/>
      </tp>
      <tp t="e">
        <v>#N/A</v>
        <stp/>
        <stp>BDH|13874736886936266837</stp>
        <tr r="Q42" s="4"/>
      </tp>
      <tp t="e">
        <v>#N/A</v>
        <stp/>
        <stp>BDH|15049769789129579162</stp>
        <tr r="Q30" s="34"/>
      </tp>
      <tp t="e">
        <v>#N/A</v>
        <stp/>
        <stp>BDH|11080334925766808422</stp>
        <tr r="R59" s="21"/>
        <tr r="P54" s="11"/>
      </tp>
      <tp t="e">
        <v>#N/A</v>
        <stp/>
        <stp>BDH|14495897595720623723</stp>
        <tr r="U39" s="13"/>
        <tr r="S35" s="11"/>
        <tr r="S43" s="10"/>
        <tr r="S52" s="4"/>
        <tr r="U8" s="3"/>
      </tp>
      <tp t="e">
        <v>#N/A</v>
        <stp/>
        <stp>BDH|15420886252533488966</stp>
        <tr r="C17" s="21"/>
      </tp>
      <tp t="e">
        <v>#N/A</v>
        <stp/>
        <stp>BDH|12583628509171365718</stp>
        <tr r="T20" s="12"/>
      </tp>
      <tp t="e">
        <v>#N/A</v>
        <stp/>
        <stp>BDH|18133769520449246695</stp>
        <tr r="E26" s="24"/>
      </tp>
      <tp t="e">
        <v>#N/A</v>
        <stp/>
        <stp>BDH|12173888858245410892</stp>
        <tr r="T63" s="34"/>
      </tp>
      <tp t="e">
        <v>#N/A</v>
        <stp/>
        <stp>BDH|13514539625125928366</stp>
        <tr r="E18" s="20"/>
      </tp>
      <tp t="e">
        <v>#N/A</v>
        <stp/>
        <stp>BDH|16059110458692171248</stp>
        <tr r="J10" s="22"/>
      </tp>
      <tp t="e">
        <v>#N/A</v>
        <stp/>
        <stp>BDH|13839472748905931428</stp>
        <tr r="R13" s="17"/>
        <tr r="R16" s="28"/>
      </tp>
      <tp t="e">
        <v>#N/A</v>
        <stp/>
        <stp>BDH|16294012401573882765</stp>
        <tr r="U22" s="18"/>
      </tp>
      <tp t="e">
        <v>#N/A</v>
        <stp/>
        <stp>BDH|10107523499378335651</stp>
        <tr r="J43" s="4"/>
      </tp>
      <tp t="e">
        <v>#N/A</v>
        <stp/>
        <stp>BDH|12787167799960006844</stp>
        <tr r="R43" s="21"/>
      </tp>
      <tp t="e">
        <v>#N/A</v>
        <stp/>
        <stp>BDH|18097663458829240007</stp>
        <tr r="R8" s="12"/>
      </tp>
      <tp t="e">
        <v>#N/A</v>
        <stp/>
        <stp>BDH|10803203061084663235</stp>
        <tr r="M25" s="7"/>
      </tp>
      <tp t="e">
        <v>#N/A</v>
        <stp/>
        <stp>BDH|11168960779129308417</stp>
        <tr r="X39" s="24"/>
      </tp>
      <tp t="e">
        <v>#N/A</v>
        <stp/>
        <stp>BDH|13711537240473159390</stp>
        <tr r="D66" s="12"/>
      </tp>
      <tp t="e">
        <v>#N/A</v>
        <stp/>
        <stp>BDH|16773975722496622983</stp>
        <tr r="H18" s="25"/>
      </tp>
      <tp t="e">
        <v>#N/A</v>
        <stp/>
        <stp>BDH|14724034063059828933</stp>
        <tr r="F34" s="29"/>
        <tr r="F14" s="29"/>
        <tr r="F23" s="29"/>
      </tp>
      <tp t="e">
        <v>#N/A</v>
        <stp/>
        <stp>BDH|11285116864704966028</stp>
        <tr r="T48" s="12"/>
      </tp>
      <tp t="e">
        <v>#N/A</v>
        <stp/>
        <stp>BDH|16092634777472964718</stp>
        <tr r="R11" s="29"/>
      </tp>
      <tp t="e">
        <v>#N/A</v>
        <stp/>
        <stp>BDH|11902201619535926551</stp>
        <tr r="C42" s="4"/>
      </tp>
      <tp t="e">
        <v>#N/A</v>
        <stp/>
        <stp>BDH|15222374262390375284</stp>
        <tr r="W13" s="24"/>
      </tp>
      <tp t="e">
        <v>#N/A</v>
        <stp/>
        <stp>BDH|10748723071353057187</stp>
        <tr r="N109" s="12"/>
      </tp>
      <tp t="e">
        <v>#N/A</v>
        <stp/>
        <stp>BDH|13402222249582601552</stp>
        <tr r="L13" s="27"/>
        <tr r="L27" s="25"/>
      </tp>
      <tp t="e">
        <v>#N/A</v>
        <stp/>
        <stp>BDH|12075599015533271729</stp>
        <tr r="C170" s="18"/>
      </tp>
      <tp t="e">
        <v>#N/A</v>
        <stp/>
        <stp>BDH|17114111044338141892</stp>
        <tr r="D43" s="11"/>
        <tr r="D51" s="10"/>
        <tr r="D15" s="7"/>
      </tp>
      <tp t="e">
        <v>#N/A</v>
        <stp/>
        <stp>BDH|13825530804690495478</stp>
        <tr r="H7" s="10"/>
      </tp>
      <tp t="e">
        <v>#N/A</v>
        <stp/>
        <stp>BDH|17449726406082933055</stp>
        <tr r="V20" s="30"/>
      </tp>
      <tp t="e">
        <v>#N/A</v>
        <stp/>
        <stp>BDH|14842887478478422101</stp>
        <tr r="K73" s="24"/>
      </tp>
      <tp t="e">
        <v>#N/A</v>
        <stp/>
        <stp>BDH|10696483201634211226</stp>
        <tr r="W45" s="22"/>
      </tp>
      <tp t="e">
        <v>#N/A</v>
        <stp/>
        <stp>BDH|10357698757615273407</stp>
        <tr r="S29" s="34"/>
      </tp>
      <tp t="e">
        <v>#N/A</v>
        <stp/>
        <stp>BDH|10662719922014945331</stp>
        <tr r="R23" s="26"/>
      </tp>
      <tp t="e">
        <v>#N/A</v>
        <stp/>
        <stp>BDH|11842426027493745658</stp>
        <tr r="T128" s="18"/>
      </tp>
      <tp t="e">
        <v>#N/A</v>
        <stp/>
        <stp>BDH|11017535698486083942</stp>
        <tr r="D22" s="5"/>
      </tp>
      <tp t="e">
        <v>#N/A</v>
        <stp/>
        <stp>BDH|14896591254374859224</stp>
        <tr r="Z63" s="18"/>
      </tp>
      <tp t="e">
        <v>#N/A</v>
        <stp/>
        <stp>BDH|10545677706960901420</stp>
        <tr r="R30" s="24"/>
      </tp>
      <tp t="e">
        <v>#N/A</v>
        <stp/>
        <stp>BDH|17672928614074755980</stp>
        <tr r="U28" s="22"/>
      </tp>
      <tp t="e">
        <v>#N/A</v>
        <stp/>
        <stp>BDH|18333976359655431369</stp>
        <tr r="T80" s="12"/>
      </tp>
      <tp t="e">
        <v>#N/A</v>
        <stp/>
        <stp>BDH|14147118279611163175</stp>
        <tr r="N27" s="7"/>
      </tp>
      <tp t="e">
        <v>#N/A</v>
        <stp/>
        <stp>BDH|17699107149778048804</stp>
        <tr r="L49" s="12"/>
      </tp>
      <tp t="e">
        <v>#N/A</v>
        <stp/>
        <stp>BDH|13147435372912685099</stp>
        <tr r="U15" s="22"/>
      </tp>
      <tp t="e">
        <v>#N/A</v>
        <stp/>
        <stp>BDH|10381536853306922457</stp>
        <tr r="K143" s="18"/>
      </tp>
      <tp t="e">
        <v>#N/A</v>
        <stp/>
        <stp>BDH|14651097271591191006</stp>
        <tr r="W43" s="11"/>
        <tr r="W51" s="10"/>
        <tr r="W15" s="7"/>
      </tp>
      <tp t="e">
        <v>#N/A</v>
        <stp/>
        <stp>BDH|14822168742252036133</stp>
        <tr r="K57" s="34"/>
      </tp>
      <tp t="e">
        <v>#N/A</v>
        <stp/>
        <stp>BDH|10813708644910262119</stp>
        <tr r="M30" s="18"/>
      </tp>
      <tp t="e">
        <v>#N/A</v>
        <stp/>
        <stp>BDH|17436493606519782832</stp>
        <tr r="J20" s="22"/>
      </tp>
      <tp t="e">
        <v>#N/A</v>
        <stp/>
        <stp>BDH|16370198046640273113</stp>
        <tr r="E9" s="23"/>
      </tp>
      <tp t="e">
        <v>#N/A</v>
        <stp/>
        <stp>BDH|14680235622637814107</stp>
        <tr r="R22" s="22"/>
      </tp>
      <tp t="e">
        <v>#N/A</v>
        <stp/>
        <stp>BDH|16473808455571650882</stp>
        <tr r="Y66" s="21"/>
      </tp>
      <tp t="e">
        <v>#N/A</v>
        <stp/>
        <stp>BDH|10067689154303084239</stp>
        <tr r="X47" s="24"/>
      </tp>
      <tp t="e">
        <v>#N/A</v>
        <stp/>
        <stp>BDH|15742541391568992345</stp>
        <tr r="X9" s="24"/>
      </tp>
      <tp t="e">
        <v>#N/A</v>
        <stp/>
        <stp>BDH|16845040042866894699</stp>
        <tr r="K14" s="8"/>
      </tp>
      <tp t="e">
        <v>#N/A</v>
        <stp/>
        <stp>BDH|17977612110682636013</stp>
        <tr r="AA71" s="24"/>
      </tp>
      <tp t="e">
        <v>#N/A</v>
        <stp/>
        <stp>BDH|10916123164456070302</stp>
        <tr r="F14" s="30"/>
      </tp>
      <tp t="e">
        <v>#N/A</v>
        <stp/>
        <stp>BDH|15940421606437507472</stp>
        <tr r="V41" s="12"/>
      </tp>
      <tp t="e">
        <v>#N/A</v>
        <stp/>
        <stp>BDH|11742413569253474240</stp>
        <tr r="P22" s="22"/>
      </tp>
      <tp t="e">
        <v>#N/A</v>
        <stp/>
        <stp>BDH|10527105039578611851</stp>
        <tr r="J92" s="18"/>
      </tp>
      <tp t="e">
        <v>#N/A</v>
        <stp/>
        <stp>BDH|11677051759225110347</stp>
        <tr r="O45" s="18"/>
      </tp>
      <tp t="e">
        <v>#N/A</v>
        <stp/>
        <stp>BDH|15107185941523703101</stp>
        <tr r="I64" s="24"/>
      </tp>
      <tp t="e">
        <v>#N/A</v>
        <stp/>
        <stp>BDH|13485424809212768779</stp>
        <tr r="C106" s="18"/>
      </tp>
      <tp t="e">
        <v>#N/A</v>
        <stp/>
        <stp>BDH|13326834557359951511</stp>
        <tr r="E50" s="4"/>
      </tp>
      <tp t="e">
        <v>#N/A</v>
        <stp/>
        <stp>BDH|15904820894187048105</stp>
        <tr r="AA84" s="17"/>
      </tp>
      <tp t="e">
        <v>#N/A</v>
        <stp/>
        <stp>BDH|12998518042078196948</stp>
        <tr r="V27" s="17"/>
      </tp>
      <tp t="e">
        <v>#N/A</v>
        <stp/>
        <stp>BDH|12301586574136345433</stp>
        <tr r="Q17" s="21"/>
      </tp>
      <tp t="e">
        <v>#N/A</v>
        <stp/>
        <stp>BDH|18250975677163527784</stp>
        <tr r="X68" s="10"/>
      </tp>
      <tp t="e">
        <v>#N/A</v>
        <stp/>
        <stp>BDH|13012591896288034506</stp>
        <tr r="Y22" s="11"/>
      </tp>
      <tp t="e">
        <v>#N/A</v>
        <stp/>
        <stp>BDH|10268945839651944996</stp>
        <tr r="AA10" s="12"/>
      </tp>
      <tp t="e">
        <v>#N/A</v>
        <stp/>
        <stp>BDH|14197755484909828071</stp>
        <tr r="M54" s="10"/>
        <tr r="M46" s="11"/>
        <tr r="M7" s="7"/>
        <tr r="O12" s="3"/>
      </tp>
      <tp t="e">
        <v>#N/A</v>
        <stp/>
        <stp>BDH|10638779819536305249</stp>
        <tr r="L27" s="24"/>
      </tp>
      <tp t="e">
        <v>#N/A</v>
        <stp/>
        <stp>BDH|15916281911580712481</stp>
        <tr r="W15" s="9"/>
      </tp>
      <tp t="e">
        <v>#N/A</v>
        <stp/>
        <stp>BDH|10939453943697009503</stp>
        <tr r="H47" s="13"/>
      </tp>
      <tp t="e">
        <v>#N/A</v>
        <stp/>
        <stp>BDH|16970874194676794329</stp>
        <tr r="H15" s="23"/>
        <tr r="F58" s="11"/>
      </tp>
      <tp t="e">
        <v>#N/A</v>
        <stp/>
        <stp>BDH|18377224799326310744</stp>
        <tr r="N7" s="11"/>
      </tp>
      <tp t="e">
        <v>#N/A</v>
        <stp/>
        <stp>BDH|17715078173356824453</stp>
        <tr r="I48" s="34"/>
      </tp>
      <tp t="e">
        <v>#N/A</v>
        <stp/>
        <stp>BDH|16234194169761495282</stp>
        <tr r="Z82" s="17"/>
        <tr r="X6" s="7"/>
        <tr r="Z20" s="3"/>
      </tp>
      <tp t="e">
        <v>#N/A</v>
        <stp/>
        <stp>BDH|12243149200037833605</stp>
        <tr r="L90" s="17"/>
        <tr r="L34" s="25"/>
      </tp>
      <tp t="e">
        <v>#N/A</v>
        <stp/>
        <stp>BDH|11620687316101383557</stp>
        <tr r="AA143" s="18"/>
      </tp>
      <tp t="e">
        <v>#N/A</v>
        <stp/>
        <stp>BDH|11155339732335928677</stp>
        <tr r="K43" s="22"/>
      </tp>
      <tp t="e">
        <v>#N/A</v>
        <stp/>
        <stp>BDH|11307846828521530849</stp>
        <tr r="D57" s="17"/>
      </tp>
      <tp t="e">
        <v>#N/A</v>
        <stp/>
        <stp>BDH|15078217957161119199</stp>
        <tr r="W125" s="18"/>
      </tp>
      <tp t="e">
        <v>#N/A</v>
        <stp/>
        <stp>BDH|15380454412603860125</stp>
        <tr r="G15" s="26"/>
      </tp>
      <tp t="e">
        <v>#N/A</v>
        <stp/>
        <stp>BDH|10834498032344574187</stp>
        <tr r="M20" s="6"/>
      </tp>
      <tp t="e">
        <v>#N/A</v>
        <stp/>
        <stp>BDH|14149335838121215769</stp>
        <tr r="T8" s="18"/>
      </tp>
      <tp t="e">
        <v>#N/A</v>
        <stp/>
        <stp>BDH|12772051110946817746</stp>
        <tr r="T11" s="20"/>
        <tr r="T112" s="18"/>
      </tp>
      <tp t="e">
        <v>#N/A</v>
        <stp/>
        <stp>BDH|14308959688831687666</stp>
        <tr r="J75" s="24"/>
      </tp>
      <tp t="e">
        <v>#N/A</v>
        <stp/>
        <stp>BDH|10951944534230492835</stp>
        <tr r="L48" s="17"/>
      </tp>
      <tp t="e">
        <v>#N/A</v>
        <stp/>
        <stp>BDH|16437408147823596785</stp>
        <tr r="C12" s="8"/>
      </tp>
      <tp t="e">
        <v>#N/A</v>
        <stp/>
        <stp>BDH|12402376828356628739</stp>
        <tr r="Q11" s="6"/>
      </tp>
      <tp t="e">
        <v>#N/A</v>
        <stp/>
        <stp>BDH|15120871287431800679</stp>
        <tr r="W60" s="11"/>
      </tp>
      <tp t="e">
        <v>#N/A</v>
        <stp/>
        <stp>BDH|17816887188093234648</stp>
        <tr r="N16" s="12"/>
      </tp>
      <tp t="e">
        <v>#N/A</v>
        <stp/>
        <stp>BDH|13627656314303121588</stp>
        <tr r="Q64" s="24"/>
      </tp>
      <tp t="e">
        <v>#N/A</v>
        <stp/>
        <stp>BDH|13780845430472914845</stp>
        <tr r="L62" s="34"/>
      </tp>
      <tp t="e">
        <v>#N/A</v>
        <stp/>
        <stp>BDH|14389371736203869540</stp>
        <tr r="G10" s="11"/>
      </tp>
      <tp t="e">
        <v>#N/A</v>
        <stp/>
        <stp>BDH|15425026889137332825</stp>
        <tr r="H29" s="12"/>
      </tp>
      <tp t="e">
        <v>#N/A</v>
        <stp/>
        <stp>BDH|13609977488719335940</stp>
        <tr r="T7" s="21"/>
      </tp>
      <tp t="e">
        <v>#N/A</v>
        <stp/>
        <stp>BDH|13920333952242524532</stp>
        <tr r="G59" s="21"/>
        <tr r="E54" s="11"/>
      </tp>
      <tp t="e">
        <v>#N/A</v>
        <stp/>
        <stp>BDH|15872916431388518531</stp>
        <tr r="J21" s="6"/>
      </tp>
      <tp t="e">
        <v>#N/A</v>
        <stp/>
        <stp>BDH|13871705548606920477</stp>
        <tr r="C93" s="18"/>
      </tp>
      <tp t="e">
        <v>#N/A</v>
        <stp/>
        <stp>BDH|15587998790515036227</stp>
        <tr r="F34" s="17"/>
      </tp>
      <tp t="e">
        <v>#N/A</v>
        <stp/>
        <stp>BDH|14368758728920130314</stp>
        <tr r="G36" s="12"/>
      </tp>
      <tp t="e">
        <v>#N/A</v>
        <stp/>
        <stp>BDH|17954705822966004659</stp>
        <tr r="I61" s="13"/>
      </tp>
      <tp t="e">
        <v>#N/A</v>
        <stp/>
        <stp>BDH|14383215059457712628</stp>
        <tr r="V30" s="34"/>
      </tp>
      <tp t="e">
        <v>#N/A</v>
        <stp/>
        <stp>BDH|14990251352303320239</stp>
        <tr r="N55" s="17"/>
      </tp>
      <tp t="e">
        <v>#N/A</v>
        <stp/>
        <stp>BDH|16462813547999587193</stp>
        <tr r="P57" s="34"/>
      </tp>
      <tp t="e">
        <v>#N/A</v>
        <stp/>
        <stp>BDH|18337677958579323014</stp>
        <tr r="N17" s="10"/>
      </tp>
      <tp t="e">
        <v>#N/A</v>
        <stp/>
        <stp>BDH|12562534564136402584</stp>
        <tr r="N62" s="24"/>
      </tp>
      <tp t="e">
        <v>#N/A</v>
        <stp/>
        <stp>BDH|16706422616941455099</stp>
        <tr r="C165" s="18"/>
      </tp>
      <tp t="e">
        <v>#N/A</v>
        <stp/>
        <stp>BDH|10720274787291049996</stp>
        <tr r="U12" s="13"/>
      </tp>
      <tp t="e">
        <v>#N/A</v>
        <stp/>
        <stp>BDH|10009020545993997506</stp>
        <tr r="M52" s="13"/>
        <tr r="K55" s="10"/>
        <tr r="K47" s="11"/>
        <tr r="K17" s="7"/>
        <tr r="K17" s="4"/>
        <tr r="M10" s="3"/>
      </tp>
      <tp t="e">
        <v>#N/A</v>
        <stp/>
        <stp>BDH|16262764588638208301</stp>
        <tr r="R13" s="27"/>
        <tr r="R27" s="25"/>
      </tp>
      <tp t="e">
        <v>#N/A</v>
        <stp/>
        <stp>BDH|16301505449810018549</stp>
        <tr r="M18" s="13"/>
      </tp>
      <tp t="e">
        <v>#N/A</v>
        <stp/>
        <stp>BDH|14385284750939035853</stp>
        <tr r="F18" s="12"/>
      </tp>
      <tp t="e">
        <v>#N/A</v>
        <stp/>
        <stp>BDH|17023860841881974808</stp>
        <tr r="X34" s="21"/>
      </tp>
      <tp t="e">
        <v>#N/A</v>
        <stp/>
        <stp>BDH|10614546465370193189</stp>
        <tr r="G11" s="9"/>
      </tp>
      <tp t="e">
        <v>#N/A</v>
        <stp/>
        <stp>BDH|14196497612990619322</stp>
        <tr r="L7" s="8"/>
      </tp>
      <tp t="e">
        <v>#N/A</v>
        <stp/>
        <stp>BDH|14901729031743853030</stp>
        <tr r="P15" s="22"/>
      </tp>
      <tp t="e">
        <v>#N/A</v>
        <stp/>
        <stp>BDH|11637907186473791062</stp>
        <tr r="AA12" s="22"/>
      </tp>
      <tp t="e">
        <v>#N/A</v>
        <stp/>
        <stp>BDH|17236213005475798307</stp>
        <tr r="K13" s="23"/>
        <tr r="I57" s="11"/>
        <tr r="I38" s="4"/>
      </tp>
      <tp t="e">
        <v>#N/A</v>
        <stp/>
        <stp>BDH|13428784569393187257</stp>
        <tr r="T22" s="22"/>
      </tp>
      <tp t="e">
        <v>#N/A</v>
        <stp/>
        <stp>BDH|12222057707521919088</stp>
        <tr r="I69" s="10"/>
        <tr r="I20" s="7"/>
        <tr r="I61" s="11"/>
      </tp>
      <tp t="e">
        <v>#N/A</v>
        <stp/>
        <stp>BDH|14011858227394154926</stp>
        <tr r="X17" s="10"/>
      </tp>
      <tp t="e">
        <v>#N/A</v>
        <stp/>
        <stp>BDH|15815266049193475328</stp>
        <tr r="M21" s="10"/>
      </tp>
      <tp t="e">
        <v>#N/A</v>
        <stp/>
        <stp>BDH|14633961785271687721</stp>
        <tr r="Q151" s="18"/>
      </tp>
      <tp t="e">
        <v>#N/A</v>
        <stp/>
        <stp>BDH|13989337559975385316</stp>
        <tr r="N65" s="21"/>
        <tr r="K28" s="6"/>
      </tp>
      <tp t="e">
        <v>#N/A</v>
        <stp/>
        <stp>BDH|13310419265645231742</stp>
        <tr r="W9" s="21"/>
      </tp>
      <tp t="e">
        <v>#N/A</v>
        <stp/>
        <stp>BDH|11926894341637080907</stp>
        <tr r="W15" s="25"/>
      </tp>
      <tp t="e">
        <v>#N/A</v>
        <stp/>
        <stp>BDH|16714873388503807618</stp>
        <tr r="C56" s="13"/>
      </tp>
      <tp t="e">
        <v>#N/A</v>
        <stp/>
        <stp>BDH|10620909443539708730</stp>
        <tr r="D130" s="18"/>
      </tp>
      <tp t="e">
        <v>#N/A</v>
        <stp/>
        <stp>BDH|14595887670381833943</stp>
        <tr r="E11" s="9"/>
      </tp>
      <tp t="e">
        <v>#N/A</v>
        <stp/>
        <stp>BDH|12160653675019102918</stp>
        <tr r="D81" s="18"/>
      </tp>
      <tp t="e">
        <v>#N/A</v>
        <stp/>
        <stp>BDH|11317075874862679776</stp>
        <tr r="E76" s="12"/>
      </tp>
      <tp t="e">
        <v>#N/A</v>
        <stp/>
        <stp>BDH|15788272351731158015</stp>
        <tr r="U70" s="18"/>
      </tp>
      <tp t="e">
        <v>#N/A</v>
        <stp/>
        <stp>BDH|14363111560960602053</stp>
        <tr r="S47" s="22"/>
      </tp>
      <tp t="e">
        <v>#N/A</v>
        <stp/>
        <stp>BDH|13097136225081574224</stp>
        <tr r="X15" s="24"/>
      </tp>
      <tp t="e">
        <v>#N/A</v>
        <stp/>
        <stp>BDH|11648356842811419447</stp>
        <tr r="L14" s="17"/>
        <tr r="L17" s="28"/>
      </tp>
      <tp t="e">
        <v>#N/A</v>
        <stp/>
        <stp>BDH|12131471383265026841</stp>
        <tr r="W22" s="29"/>
        <tr r="W13" s="29"/>
        <tr r="W33" s="29"/>
      </tp>
      <tp t="e">
        <v>#N/A</v>
        <stp/>
        <stp>BDH|13800733726740549591</stp>
        <tr r="X12" s="11"/>
      </tp>
      <tp t="e">
        <v>#N/A</v>
        <stp/>
        <stp>BDH|13589143270990022601</stp>
        <tr r="G27" s="11"/>
        <tr r="G39" s="11"/>
        <tr r="G35" s="10"/>
        <tr r="G47" s="10"/>
      </tp>
      <tp t="e">
        <v>#N/A</v>
        <stp/>
        <stp>BDH|10251495023406104384</stp>
        <tr r="L42" s="10"/>
        <tr r="L34" s="11"/>
      </tp>
      <tp t="e">
        <v>#N/A</v>
        <stp/>
        <stp>BDH|12647576778222134193</stp>
        <tr r="M65" s="12"/>
      </tp>
      <tp t="e">
        <v>#N/A</v>
        <stp/>
        <stp>BDH|11874684450487777667</stp>
        <tr r="W157" s="18"/>
      </tp>
      <tp t="e">
        <v>#N/A</v>
        <stp/>
        <stp>BDH|14863196333196727344</stp>
        <tr r="Y61" s="13"/>
      </tp>
      <tp t="e">
        <v>#N/A</v>
        <stp/>
        <stp>BDH|14959397098059879412</stp>
        <tr r="Q33" s="6"/>
        <tr r="Q17" s="5"/>
      </tp>
      <tp t="e">
        <v>#N/A</v>
        <stp/>
        <stp>BDH|10342580842496802407</stp>
        <tr r="C9" s="13"/>
      </tp>
      <tp t="e">
        <v>#N/A</v>
        <stp/>
        <stp>BDH|16246791407694864653</stp>
        <tr r="R15" s="10"/>
      </tp>
      <tp t="e">
        <v>#N/A</v>
        <stp/>
        <stp>BDH|11662655661372664050</stp>
        <tr r="U87" s="12"/>
      </tp>
      <tp t="e">
        <v>#N/A</v>
        <stp/>
        <stp>BDH|14010786209255546557</stp>
        <tr r="I45" s="17"/>
      </tp>
      <tp t="e">
        <v>#N/A</v>
        <stp/>
        <stp>BDH|15791796838746545429</stp>
        <tr r="F37" s="26"/>
      </tp>
      <tp t="e">
        <v>#N/A</v>
        <stp/>
        <stp>BDH|10577323102707370771</stp>
        <tr r="J152" s="18"/>
      </tp>
      <tp t="e">
        <v>#N/A</v>
        <stp/>
        <stp>BDH|16314692211824809630</stp>
        <tr r="Q23" s="25"/>
        <tr r="O21" s="11"/>
      </tp>
      <tp t="e">
        <v>#N/A</v>
        <stp/>
        <stp>BDH|12784853494379302953</stp>
        <tr r="K26" s="21"/>
      </tp>
      <tp t="e">
        <v>#N/A</v>
        <stp/>
        <stp>BDH|15705309740704647511</stp>
        <tr r="AA41" s="24"/>
      </tp>
      <tp t="e">
        <v>#N/A</v>
        <stp/>
        <stp>BDH|10232526412211340618</stp>
        <tr r="S106" s="12"/>
      </tp>
      <tp t="e">
        <v>#N/A</v>
        <stp/>
        <stp>BDH|17736921846050315909</stp>
        <tr r="N25" s="27"/>
      </tp>
      <tp t="e">
        <v>#N/A</v>
        <stp/>
        <stp>BDH|12696511204642742640</stp>
        <tr r="Z34" s="26"/>
      </tp>
      <tp t="e">
        <v>#N/A</v>
        <stp/>
        <stp>BDH|17028202612532280504</stp>
        <tr r="R33" s="21"/>
      </tp>
      <tp t="e">
        <v>#N/A</v>
        <stp/>
        <stp>BDH|13859283679446187383</stp>
        <tr r="C46" s="21"/>
      </tp>
      <tp t="e">
        <v>#N/A</v>
        <stp/>
        <stp>BDH|14864585857852031571</stp>
        <tr r="C10" s="26"/>
      </tp>
      <tp t="e">
        <v>#N/A</v>
        <stp/>
        <stp>BDH|12265058285911283806</stp>
        <tr r="L8" s="4"/>
      </tp>
      <tp t="e">
        <v>#N/A</v>
        <stp/>
        <stp>BDH|12052700170461791071</stp>
        <tr r="U12" s="7"/>
      </tp>
      <tp t="e">
        <v>#N/A</v>
        <stp/>
        <stp>BDH|12140699001217875011</stp>
        <tr r="P117" s="18"/>
      </tp>
      <tp t="e">
        <v>#N/A</v>
        <stp/>
        <stp>BDH|11471119624240424157</stp>
        <tr r="Q32" s="11"/>
        <tr r="Q40" s="10"/>
      </tp>
      <tp t="e">
        <v>#N/A</v>
        <stp/>
        <stp>BDH|16837320378339195830</stp>
        <tr r="I6" s="16"/>
        <tr r="J6" s="11"/>
        <tr r="J10" s="4"/>
        <tr r="L6" s="3"/>
      </tp>
      <tp t="e">
        <v>#N/A</v>
        <stp/>
        <stp>BDH|17460124841920345147</stp>
        <tr r="D16" s="34"/>
      </tp>
      <tp t="e">
        <v>#N/A</v>
        <stp/>
        <stp>BDH|13865269023556879655</stp>
        <tr r="C42" s="12"/>
      </tp>
      <tp t="e">
        <v>#N/A</v>
        <stp/>
        <stp>BDH|17001508913483545360</stp>
        <tr r="G144" s="18"/>
      </tp>
      <tp t="e">
        <v>#N/A</v>
        <stp/>
        <stp>BDH|18200671080804680139</stp>
        <tr r="X149" s="18"/>
      </tp>
      <tp t="e">
        <v>#N/A</v>
        <stp/>
        <stp>BDH|18435454531169811589</stp>
        <tr r="H26" s="24"/>
      </tp>
      <tp t="e">
        <v>#N/A</v>
        <stp/>
        <stp>BDH|17869083018911191498</stp>
        <tr r="P60" s="11"/>
      </tp>
      <tp t="e">
        <v>#N/A</v>
        <stp/>
        <stp>BDH|17063461302055681523</stp>
        <tr r="S21" s="4"/>
      </tp>
      <tp t="e">
        <v>#N/A</v>
        <stp/>
        <stp>BDH|10493854658667872910</stp>
        <tr r="C36" s="21"/>
      </tp>
      <tp t="e">
        <v>#N/A</v>
        <stp/>
        <stp>BDH|13864281165394504007</stp>
        <tr r="C95" s="18"/>
      </tp>
      <tp t="e">
        <v>#N/A</v>
        <stp/>
        <stp>BDH|11781649117506354372</stp>
        <tr r="H54" s="21"/>
      </tp>
      <tp t="e">
        <v>#N/A</v>
        <stp/>
        <stp>BDH|10236151309765855763</stp>
        <tr r="H15" s="13"/>
      </tp>
      <tp t="e">
        <v>#N/A</v>
        <stp/>
        <stp>BDH|10240490763629965817</stp>
        <tr r="Y39" s="24"/>
      </tp>
      <tp t="e">
        <v>#N/A</v>
        <stp/>
        <stp>BDH|13264511517284432004</stp>
        <tr r="D29" s="34"/>
      </tp>
      <tp t="e">
        <v>#N/A</v>
        <stp/>
        <stp>BDH|12732967400779510140</stp>
        <tr r="M75" s="17"/>
      </tp>
      <tp t="e">
        <v>#N/A</v>
        <stp/>
        <stp>BDH|11290359792800290870</stp>
        <tr r="D66" s="18"/>
      </tp>
      <tp t="e">
        <v>#N/A</v>
        <stp/>
        <stp>BDH|11544026010772075173</stp>
        <tr r="S52" s="22"/>
      </tp>
      <tp t="e">
        <v>#N/A</v>
        <stp/>
        <stp>BDH|12037702127297071374</stp>
        <tr r="Y40" s="12"/>
      </tp>
      <tp t="e">
        <v>#N/A</v>
        <stp/>
        <stp>BDH|13350072139717516481</stp>
        <tr r="U17" s="12"/>
      </tp>
      <tp t="e">
        <v>#N/A</v>
        <stp/>
        <stp>BDH|16518090269891587206</stp>
        <tr r="S107" s="12"/>
      </tp>
      <tp t="e">
        <v>#N/A</v>
        <stp/>
        <stp>BDH|17020156007814536178</stp>
        <tr r="V38" s="10"/>
        <tr r="V30" s="11"/>
      </tp>
      <tp t="e">
        <v>#N/A</v>
        <stp/>
        <stp>BDH|12190726865248786813</stp>
        <tr r="P175" s="18"/>
      </tp>
      <tp t="e">
        <v>#N/A</v>
        <stp/>
        <stp>BDH|14258113764777103764</stp>
        <tr r="N33" s="11"/>
        <tr r="N41" s="10"/>
      </tp>
      <tp t="e">
        <v>#N/A</v>
        <stp/>
        <stp>BDH|11091623293689108408</stp>
        <tr r="S53" s="18"/>
      </tp>
      <tp t="e">
        <v>#N/A</v>
        <stp/>
        <stp>BDH|15395371322923027467</stp>
        <tr r="V33" s="12"/>
      </tp>
      <tp t="e">
        <v>#N/A</v>
        <stp/>
        <stp>BDH|10085134664566619223</stp>
        <tr r="N17" s="18"/>
      </tp>
      <tp t="e">
        <v>#N/A</v>
        <stp/>
        <stp>BDH|14248108473679402863</stp>
        <tr r="N7" s="23"/>
      </tp>
      <tp t="e">
        <v>#N/A</v>
        <stp/>
        <stp>BDH|12023953007148894090</stp>
        <tr r="N10" s="18"/>
      </tp>
      <tp t="e">
        <v>#N/A</v>
        <stp/>
        <stp>BDH|11257052664960540452</stp>
        <tr r="F174" s="18"/>
      </tp>
      <tp t="e">
        <v>#N/A</v>
        <stp/>
        <stp>BDH|13672309737585174533</stp>
        <tr r="P59" s="24"/>
      </tp>
      <tp t="e">
        <v>#N/A</v>
        <stp/>
        <stp>BDH|17546007310186494324</stp>
        <tr r="S12" s="25"/>
      </tp>
      <tp t="e">
        <v>#N/A</v>
        <stp/>
        <stp>BDH|14398390203190903437</stp>
        <tr r="X96" s="12"/>
      </tp>
      <tp t="e">
        <v>#N/A</v>
        <stp/>
        <stp>BDH|13649343314960444214</stp>
        <tr r="L12" s="21"/>
      </tp>
      <tp t="e">
        <v>#N/A</v>
        <stp/>
        <stp>BDH|15673754762467396010</stp>
        <tr r="T15" s="6"/>
      </tp>
      <tp t="e">
        <v>#N/A</v>
        <stp/>
        <stp>BDH|10424948665708320451</stp>
        <tr r="M55" s="6"/>
      </tp>
      <tp t="e">
        <v>#N/A</v>
        <stp/>
        <stp>BDH|16383054710584740020</stp>
        <tr r="S72" s="12"/>
      </tp>
      <tp t="e">
        <v>#N/A</v>
        <stp/>
        <stp>BDH|13921917998646678659</stp>
        <tr r="J11" s="13"/>
      </tp>
      <tp t="e">
        <v>#N/A</v>
        <stp/>
        <stp>BDH|14649024424921068432</stp>
        <tr r="C87" s="17"/>
      </tp>
      <tp t="e">
        <v>#N/A</v>
        <stp/>
        <stp>BDH|10524323409233880356</stp>
        <tr r="D20" s="26"/>
      </tp>
      <tp t="e">
        <v>#N/A</v>
        <stp/>
        <stp>BDH|17791923190673754714</stp>
        <tr r="U65" s="34"/>
      </tp>
      <tp t="e">
        <v>#N/A</v>
        <stp/>
        <stp>BDH|12339524651994538561</stp>
        <tr r="S63" s="12"/>
      </tp>
      <tp t="e">
        <v>#N/A</v>
        <stp/>
        <stp>BDH|14135726006595622501</stp>
        <tr r="O17" s="27"/>
        <tr r="O31" s="25"/>
        <tr r="L14" s="5"/>
      </tp>
      <tp t="e">
        <v>#N/A</v>
        <stp/>
        <stp>BDH|16144433469403958415</stp>
        <tr r="Z70" s="17"/>
      </tp>
      <tp t="e">
        <v>#N/A</v>
        <stp/>
        <stp>BDH|18123052996816320429</stp>
        <tr r="H60" s="13"/>
      </tp>
      <tp t="e">
        <v>#N/A</v>
        <stp/>
        <stp>BDH|11025572441540500306</stp>
        <tr r="Q46" s="11"/>
        <tr r="Q54" s="10"/>
        <tr r="Q7" s="7"/>
        <tr r="S12" s="3"/>
      </tp>
      <tp t="e">
        <v>#N/A</v>
        <stp/>
        <stp>BDH|13038617064739556934</stp>
        <tr r="J23" s="22"/>
      </tp>
      <tp t="e">
        <v>#N/A</v>
        <stp/>
        <stp>BDH|16104661025037200630</stp>
        <tr r="T37" s="12"/>
      </tp>
      <tp t="e">
        <v>#N/A</v>
        <stp/>
        <stp>BDH|12933429048895865484</stp>
        <tr r="M69" s="17"/>
      </tp>
      <tp t="e">
        <v>#N/A</v>
        <stp/>
        <stp>BDH|11182978449578478782</stp>
        <tr r="Y8" s="20"/>
        <tr r="Y110" s="18"/>
      </tp>
      <tp t="e">
        <v>#N/A</v>
        <stp/>
        <stp>BDH|12535363902166203401</stp>
        <tr r="O14" s="13"/>
      </tp>
      <tp t="e">
        <v>#N/A</v>
        <stp/>
        <stp>BDH|11164792979060343210</stp>
        <tr r="E136" s="18"/>
      </tp>
      <tp t="e">
        <v>#N/A</v>
        <stp/>
        <stp>BDH|15231596602531831223</stp>
        <tr r="I33" s="18"/>
      </tp>
      <tp t="e">
        <v>#N/A</v>
        <stp/>
        <stp>BDH|14154061134251561557</stp>
        <tr r="P7" s="23"/>
      </tp>
      <tp t="e">
        <v>#N/A</v>
        <stp/>
        <stp>BDH|10333563047501927381</stp>
        <tr r="P49" s="34"/>
      </tp>
      <tp t="e">
        <v>#N/A</v>
        <stp/>
        <stp>BDH|11013887416023429891</stp>
        <tr r="L110" s="12"/>
      </tp>
      <tp t="e">
        <v>#N/A</v>
        <stp/>
        <stp>BDH|12905033456642739683</stp>
        <tr r="E44" s="22"/>
      </tp>
      <tp t="e">
        <v>#N/A</v>
        <stp/>
        <stp>BDH|14050114666930259068</stp>
        <tr r="V142" s="18"/>
      </tp>
      <tp t="e">
        <v>#N/A</v>
        <stp/>
        <stp>BDH|11540943671485534965</stp>
        <tr r="U21" s="10"/>
      </tp>
      <tp t="e">
        <v>#N/A</v>
        <stp/>
        <stp>BDH|16537415644206022333</stp>
        <tr r="V52" s="13"/>
        <tr r="T47" s="11"/>
        <tr r="T55" s="10"/>
        <tr r="T17" s="4"/>
        <tr r="T17" s="7"/>
        <tr r="V10" s="3"/>
      </tp>
      <tp t="e">
        <v>#N/A</v>
        <stp/>
        <stp>BDH|14536922590243769431</stp>
        <tr r="G22" s="22"/>
      </tp>
      <tp t="e">
        <v>#N/A</v>
        <stp/>
        <stp>BDH|14357735163463869586</stp>
        <tr r="AA11" s="14"/>
      </tp>
      <tp t="e">
        <v>#N/A</v>
        <stp/>
        <stp>BDH|11785371870370075626</stp>
        <tr r="AA46" s="18"/>
      </tp>
      <tp t="e">
        <v>#N/A</v>
        <stp/>
        <stp>BDH|11927746845875277480</stp>
        <tr r="U38" s="17"/>
      </tp>
      <tp t="e">
        <v>#N/A</v>
        <stp/>
        <stp>BDH|14080568761602342669</stp>
        <tr r="Z6" s="20"/>
        <tr r="Z108" s="18"/>
      </tp>
      <tp t="e">
        <v>#N/A</v>
        <stp/>
        <stp>BDH|14842598633870086107</stp>
        <tr r="C17" s="12"/>
      </tp>
      <tp t="e">
        <v>#N/A</v>
        <stp/>
        <stp>BDH|13523287219761609208</stp>
        <tr r="E37" s="12"/>
      </tp>
      <tp t="e">
        <v>#N/A</v>
        <stp/>
        <stp>BDH|10847388905631476137</stp>
        <tr r="R92" s="12"/>
      </tp>
      <tp t="e">
        <v>#N/A</v>
        <stp/>
        <stp>BDH|13080578602990544524</stp>
        <tr r="S61" s="21"/>
        <tr r="Q25" s="2"/>
      </tp>
      <tp t="e">
        <v>#N/A</v>
        <stp/>
        <stp>BDH|12398255423234078570</stp>
        <tr r="E60" s="24"/>
      </tp>
      <tp t="e">
        <v>#N/A</v>
        <stp/>
        <stp>BDH|15338039945427462531</stp>
        <tr r="K16" s="18"/>
      </tp>
      <tp t="e">
        <v>#N/A</v>
        <stp/>
        <stp>BDH|12481456165641369256</stp>
        <tr r="T33" s="6"/>
        <tr r="T17" s="5"/>
      </tp>
      <tp t="e">
        <v>#N/A</v>
        <stp/>
        <stp>BDH|10451115677675988096</stp>
        <tr r="R43" s="17"/>
        <tr r="R9" s="25"/>
      </tp>
      <tp t="e">
        <v>#N/A</v>
        <stp/>
        <stp>BDH|12165429275770247263</stp>
        <tr r="I68" s="34"/>
      </tp>
      <tp t="e">
        <v>#N/A</v>
        <stp/>
        <stp>BDH|10504131421988257873</stp>
        <tr r="AA29" s="18"/>
      </tp>
      <tp t="e">
        <v>#N/A</v>
        <stp/>
        <stp>BDH|14147041020014224159</stp>
        <tr r="C17" s="10"/>
      </tp>
      <tp t="e">
        <v>#N/A</v>
        <stp/>
        <stp>BDH|17519861041641599952</stp>
        <tr r="V10" s="21"/>
      </tp>
      <tp t="e">
        <v>#N/A</v>
        <stp/>
        <stp>BDH|10215604050987222722</stp>
        <tr r="V85" s="17"/>
      </tp>
      <tp t="e">
        <v>#N/A</v>
        <stp/>
        <stp>BDH|17201618852875391205</stp>
        <tr r="J29" s="4"/>
      </tp>
      <tp t="e">
        <v>#N/A</v>
        <stp/>
        <stp>BDH|18148476185843724464</stp>
        <tr r="Q66" s="17"/>
      </tp>
      <tp t="e">
        <v>#N/A</v>
        <stp/>
        <stp>BDH|10270291602574981527</stp>
        <tr r="T47" s="24"/>
      </tp>
      <tp t="e">
        <v>#N/A</v>
        <stp/>
        <stp>BDH|14004605863073933485</stp>
        <tr r="D173" s="18"/>
      </tp>
      <tp t="e">
        <v>#N/A</v>
        <stp/>
        <stp>BDH|14851726129770626275</stp>
        <tr r="G68" s="17"/>
        <tr r="D8" s="9"/>
        <tr r="D8" s="5"/>
      </tp>
      <tp t="e">
        <v>#N/A</v>
        <stp/>
        <stp>BDH|14717472333212268235</stp>
        <tr r="Y69" s="18"/>
      </tp>
      <tp t="e">
        <v>#N/A</v>
        <stp/>
        <stp>BDH|12170783566226462692</stp>
        <tr r="F21" s="24"/>
      </tp>
      <tp t="e">
        <v>#N/A</v>
        <stp/>
        <stp>BDH|16341066072477171543</stp>
        <tr r="R49" s="13"/>
        <tr r="P37" s="11"/>
        <tr r="P45" s="10"/>
        <tr r="P53" s="4"/>
        <tr r="P18" s="2"/>
      </tp>
      <tp t="e">
        <v>#N/A</v>
        <stp/>
        <stp>BDH|12663114165752121415</stp>
        <tr r="D73" s="17"/>
      </tp>
      <tp t="e">
        <v>#N/A</v>
        <stp/>
        <stp>BDH|17245564785760742941</stp>
        <tr r="I78" s="12"/>
      </tp>
      <tp t="e">
        <v>#N/A</v>
        <stp/>
        <stp>BDH|10729554737991366448</stp>
        <tr r="I57" s="12"/>
      </tp>
      <tp t="e">
        <v>#N/A</v>
        <stp/>
        <stp>BDH|13677990618658578001</stp>
        <tr r="C46" s="18"/>
      </tp>
      <tp t="e">
        <v>#N/A</v>
        <stp/>
        <stp>BDH|17595780429860125174</stp>
        <tr r="R30" s="22"/>
      </tp>
      <tp t="e">
        <v>#N/A</v>
        <stp/>
        <stp>BDH|15876084870427143635</stp>
        <tr r="T23" s="5"/>
      </tp>
      <tp t="e">
        <v>#N/A</v>
        <stp/>
        <stp>BDH|17932427059001646466</stp>
        <tr r="O13" s="18"/>
      </tp>
      <tp t="e">
        <v>#N/A</v>
        <stp/>
        <stp>BDH|12817131968166168001</stp>
        <tr r="F91" s="17"/>
      </tp>
      <tp t="e">
        <v>#N/A</v>
        <stp/>
        <stp>BDH|18061257882039048853</stp>
        <tr r="L164" s="18"/>
      </tp>
      <tp t="e">
        <v>#N/A</v>
        <stp/>
        <stp>BDH|15821324781385073897</stp>
        <tr r="W24" s="20"/>
      </tp>
      <tp t="e">
        <v>#N/A</v>
        <stp/>
        <stp>BDH|16622350140192779061</stp>
        <tr r="T47" s="12"/>
      </tp>
      <tp t="e">
        <v>#N/A</v>
        <stp/>
        <stp>BDH|15655626920043435124</stp>
        <tr r="H14" s="17"/>
        <tr r="H17" s="28"/>
      </tp>
      <tp t="e">
        <v>#N/A</v>
        <stp/>
        <stp>BDH|16148601430620334004</stp>
        <tr r="X25" s="6"/>
      </tp>
      <tp t="e">
        <v>#N/A</v>
        <stp/>
        <stp>BDH|13603976326242581908</stp>
        <tr r="U112" s="12"/>
      </tp>
      <tp t="e">
        <v>#N/A</v>
        <stp/>
        <stp>BDH|13425221163782291626</stp>
        <tr r="D10" s="21"/>
      </tp>
      <tp t="e">
        <v>#N/A</v>
        <stp/>
        <stp>BDH|14871329782314447892</stp>
        <tr r="H17" s="24"/>
      </tp>
      <tp t="e">
        <v>#N/A</v>
        <stp/>
        <stp>BDH|17447202205880708634</stp>
        <tr r="O116" s="18"/>
      </tp>
      <tp t="e">
        <v>#N/A</v>
        <stp/>
        <stp>BDH|13542505803412292715</stp>
        <tr r="C19" s="22"/>
      </tp>
      <tp t="e">
        <v>#N/A</v>
        <stp/>
        <stp>BDH|13027869217231181858</stp>
        <tr r="Y23" s="17"/>
      </tp>
      <tp t="e">
        <v>#N/A</v>
        <stp/>
        <stp>BDH|16278774040484673269</stp>
        <tr r="E13" s="6"/>
      </tp>
      <tp t="e">
        <v>#N/A</v>
        <stp/>
        <stp>BDH|11254434745610470259</stp>
        <tr r="O49" s="24"/>
      </tp>
      <tp t="e">
        <v>#N/A</v>
        <stp/>
        <stp>BDH|16612591138781363219</stp>
        <tr r="J78" s="17"/>
      </tp>
      <tp t="e">
        <v>#N/A</v>
        <stp/>
        <stp>BDH|10669537967636599626</stp>
        <tr r="R38" s="24"/>
      </tp>
      <tp t="e">
        <v>#N/A</v>
        <stp/>
        <stp>BDH|10947581055445613678</stp>
        <tr r="I46" s="21"/>
      </tp>
      <tp t="e">
        <v>#N/A</v>
        <stp/>
        <stp>BDH|10874854700782137998</stp>
        <tr r="W170" s="18"/>
      </tp>
      <tp t="e">
        <v>#N/A</v>
        <stp/>
        <stp>BDH|14609140301507434129</stp>
        <tr r="M49" s="13"/>
        <tr r="K37" s="11"/>
        <tr r="K45" s="10"/>
        <tr r="K53" s="4"/>
        <tr r="K18" s="2"/>
      </tp>
      <tp t="e">
        <v>#N/A</v>
        <stp/>
        <stp>BDH|15928884983936537023</stp>
        <tr r="J21" s="34"/>
      </tp>
      <tp t="e">
        <v>#N/A</v>
        <stp/>
        <stp>BDH|11380756171427150530</stp>
        <tr r="P34" s="21"/>
      </tp>
      <tp t="e">
        <v>#N/A</v>
        <stp/>
        <stp>BDH|16865693140175798233</stp>
        <tr r="C82" s="18"/>
      </tp>
      <tp t="e">
        <v>#N/A</v>
        <stp/>
        <stp>BDH|12139551270963859090</stp>
        <tr r="AA73" s="12"/>
      </tp>
      <tp t="e">
        <v>#N/A</v>
        <stp/>
        <stp>BDH|12643657913861238776</stp>
        <tr r="D43" s="22"/>
      </tp>
      <tp t="e">
        <v>#N/A</v>
        <stp/>
        <stp>BDH|12804797773570783104</stp>
        <tr r="G7" s="8"/>
      </tp>
      <tp t="e">
        <v>#N/A</v>
        <stp/>
        <stp>BDH|11442838686076555417</stp>
        <tr r="T123" s="18"/>
      </tp>
      <tp t="e">
        <v>#N/A</v>
        <stp/>
        <stp>BDH|13916797633271184572</stp>
        <tr r="Y60" s="12"/>
      </tp>
      <tp t="e">
        <v>#N/A</v>
        <stp/>
        <stp>BDH|15221521965565323039</stp>
        <tr r="W163" s="18"/>
      </tp>
      <tp t="e">
        <v>#N/A</v>
        <stp/>
        <stp>BDH|10635453465862403375</stp>
        <tr r="M98" s="18"/>
      </tp>
      <tp t="e">
        <v>#N/A</v>
        <stp/>
        <stp>BDH|14816577698619158239</stp>
        <tr r="P9" s="26"/>
      </tp>
      <tp t="e">
        <v>#N/A</v>
        <stp/>
        <stp>BDH|16670813859608263098</stp>
        <tr r="I13" s="14"/>
      </tp>
      <tp t="e">
        <v>#N/A</v>
        <stp/>
        <stp>BDH|12440697038843072700</stp>
        <tr r="E52" s="22"/>
      </tp>
      <tp t="e">
        <v>#N/A</v>
        <stp/>
        <stp>BDH|14240000311173714518</stp>
        <tr r="E63" s="17"/>
      </tp>
      <tp t="e">
        <v>#N/A</v>
        <stp/>
        <stp>BDH|16831333842064426681</stp>
        <tr r="P73" s="17"/>
      </tp>
      <tp t="e">
        <v>#N/A</v>
        <stp/>
        <stp>BDH|12217255671356468273</stp>
        <tr r="W24" s="12"/>
      </tp>
      <tp t="e">
        <v>#N/A</v>
        <stp/>
        <stp>BDH|14807772506094463486</stp>
        <tr r="N59" s="12"/>
      </tp>
      <tp t="e">
        <v>#N/A</v>
        <stp/>
        <stp>BDH|17665955236449559750</stp>
        <tr r="G27" s="21"/>
      </tp>
      <tp t="e">
        <v>#N/A</v>
        <stp/>
        <stp>BDH|14897336907766894210</stp>
        <tr r="S21" s="21"/>
      </tp>
      <tp t="e">
        <v>#N/A</v>
        <stp/>
        <stp>BDH|16329533668305550386</stp>
        <tr r="K17" s="17"/>
        <tr r="K20" s="28"/>
      </tp>
      <tp t="e">
        <v>#N/A</v>
        <stp/>
        <stp>BDH|12687416131791206718</stp>
        <tr r="W21" s="12"/>
      </tp>
      <tp t="e">
        <v>#N/A</v>
        <stp/>
        <stp>BDH|10611523576791135067</stp>
        <tr r="N71" s="17"/>
      </tp>
      <tp t="e">
        <v>#N/A</v>
        <stp/>
        <stp>BDH|12320997607629971115</stp>
        <tr r="O61" s="12"/>
      </tp>
      <tp t="e">
        <v>#N/A</v>
        <stp/>
        <stp>BDH|11502141721799478810</stp>
        <tr r="F8" s="20"/>
        <tr r="F110" s="18"/>
      </tp>
      <tp t="e">
        <v>#N/A</v>
        <stp/>
        <stp>BDH|12174516222502123466</stp>
        <tr r="V11" s="29"/>
      </tp>
      <tp t="e">
        <v>#N/A</v>
        <stp/>
        <stp>BDH|15012663710262127322</stp>
        <tr r="P118" s="18"/>
      </tp>
      <tp t="e">
        <v>#N/A</v>
        <stp/>
        <stp>BDH|15528637051434040123</stp>
        <tr r="I36" s="6"/>
      </tp>
      <tp t="e">
        <v>#N/A</v>
        <stp/>
        <stp>BDH|17738953096103179700</stp>
        <tr r="N71" s="24"/>
      </tp>
      <tp t="e">
        <v>#N/A</v>
        <stp/>
        <stp>BDH|17004607377035644045</stp>
        <tr r="V65" s="34"/>
      </tp>
      <tp t="e">
        <v>#N/A</v>
        <stp/>
        <stp>BDH|11605263570372125544</stp>
        <tr r="Q17" s="27"/>
        <tr r="Q31" s="25"/>
        <tr r="N14" s="5"/>
      </tp>
      <tp t="e">
        <v>#N/A</v>
        <stp/>
        <stp>BDH|15197107950841001343</stp>
        <tr r="H26" s="7"/>
      </tp>
      <tp t="e">
        <v>#N/A</v>
        <stp/>
        <stp>BDH|15737920083150446773</stp>
        <tr r="F16" s="14"/>
      </tp>
      <tp t="e">
        <v>#N/A</v>
        <stp/>
        <stp>BDH|10136570956053052052</stp>
        <tr r="Q86" s="12"/>
      </tp>
      <tp t="e">
        <v>#N/A</v>
        <stp/>
        <stp>BDH|11867589945651890284</stp>
        <tr r="V48" s="22"/>
      </tp>
      <tp t="e">
        <v>#N/A</v>
        <stp/>
        <stp>BDH|13009275777972798721</stp>
        <tr r="Y82" s="18"/>
      </tp>
      <tp t="e">
        <v>#N/A</v>
        <stp/>
        <stp>BDH|16610215075358559839</stp>
        <tr r="F87" s="17"/>
      </tp>
      <tp t="e">
        <v>#N/A</v>
        <stp/>
        <stp>BDH|11449850606749283310</stp>
        <tr r="Q21" s="20"/>
      </tp>
      <tp t="e">
        <v>#N/A</v>
        <stp/>
        <stp>BDH|16116727454276260119</stp>
        <tr r="V62" s="11"/>
        <tr r="V70" s="10"/>
      </tp>
      <tp t="e">
        <v>#N/A</v>
        <stp/>
        <stp>BDH|13436112102580467178</stp>
        <tr r="K33" s="17"/>
      </tp>
      <tp t="e">
        <v>#N/A</v>
        <stp/>
        <stp>BDH|11273050718231872238</stp>
        <tr r="T33" s="17"/>
      </tp>
      <tp t="e">
        <v>#N/A</v>
        <stp/>
        <stp>BDH|17579788514521967345</stp>
        <tr r="W29" s="22"/>
      </tp>
      <tp t="e">
        <v>#N/A</v>
        <stp/>
        <stp>BDH|18391273786477318656</stp>
        <tr r="Y152" s="18"/>
      </tp>
      <tp t="e">
        <v>#N/A</v>
        <stp/>
        <stp>BDH|13977372658904052220</stp>
        <tr r="G14" s="21"/>
      </tp>
      <tp t="e">
        <v>#N/A</v>
        <stp/>
        <stp>BDH|15630638081078424040</stp>
        <tr r="E26" s="11"/>
        <tr r="E34" s="10"/>
      </tp>
      <tp t="e">
        <v>#N/A</v>
        <stp/>
        <stp>BDH|16076044264141722239</stp>
        <tr r="C43" s="21"/>
      </tp>
      <tp t="e">
        <v>#N/A</v>
        <stp/>
        <stp>BDH|12970803373219761798</stp>
        <tr r="X9" s="23"/>
      </tp>
      <tp t="e">
        <v>#N/A</v>
        <stp/>
        <stp>BDH|13259085008927268747</stp>
        <tr r="T29" s="34"/>
      </tp>
      <tp t="e">
        <v>#N/A</v>
        <stp/>
        <stp>BDH|12191493348577107657</stp>
        <tr r="W21" s="2"/>
      </tp>
      <tp t="e">
        <v>#N/A</v>
        <stp/>
        <stp>BDH|15092572506494190749</stp>
        <tr r="N44" s="6"/>
      </tp>
      <tp t="e">
        <v>#N/A</v>
        <stp/>
        <stp>BDH|14344918871641130866</stp>
        <tr r="X48" s="24"/>
      </tp>
      <tp t="e">
        <v>#N/A</v>
        <stp/>
        <stp>BDH|16091989344958863000</stp>
        <tr r="U13" s="10"/>
      </tp>
      <tp t="e">
        <v>#N/A</v>
        <stp/>
        <stp>BDH|14931796069745594384</stp>
        <tr r="J66" s="12"/>
      </tp>
      <tp t="e">
        <v>#N/A</v>
        <stp/>
        <stp>BDH|15232802297733987482</stp>
        <tr r="Q103" s="18"/>
      </tp>
      <tp t="e">
        <v>#N/A</v>
        <stp/>
        <stp>BDH|11794166527239240805</stp>
        <tr r="E12" s="27"/>
        <tr r="E26" s="25"/>
      </tp>
      <tp t="e">
        <v>#N/A</v>
        <stp/>
        <stp>BDH|10758286556650950443</stp>
        <tr r="E65" s="21"/>
      </tp>
      <tp t="e">
        <v>#N/A</v>
        <stp/>
        <stp>BDH|11272737386765160822</stp>
        <tr r="G19" s="6"/>
      </tp>
      <tp t="e">
        <v>#N/A</v>
        <stp/>
        <stp>BDH|12860151771064058380</stp>
        <tr r="X93" s="18"/>
      </tp>
      <tp t="e">
        <v>#N/A</v>
        <stp/>
        <stp>BDH|17134409811084510519</stp>
        <tr r="I60" s="34"/>
      </tp>
      <tp t="e">
        <v>#N/A</v>
        <stp/>
        <stp>BDH|12233610035535577173</stp>
        <tr r="L149" s="18"/>
      </tp>
      <tp t="e">
        <v>#N/A</v>
        <stp/>
        <stp>BDH|16644422124172232165</stp>
        <tr r="L73" s="24"/>
      </tp>
      <tp t="e">
        <v>#N/A</v>
        <stp/>
        <stp>BDH|17986004279980141351</stp>
        <tr r="R36" s="6"/>
      </tp>
      <tp t="e">
        <v>#N/A</v>
        <stp/>
        <stp>BDH|14729666099548442085</stp>
        <tr r="E77" s="18"/>
      </tp>
      <tp t="e">
        <v>#N/A</v>
        <stp/>
        <stp>BDH|12299359872111598448</stp>
        <tr r="M39" s="6"/>
      </tp>
      <tp t="e">
        <v>#N/A</v>
        <stp/>
        <stp>BDH|17549255824480920490</stp>
        <tr r="Y46" s="22"/>
      </tp>
      <tp t="e">
        <v>#N/A</v>
        <stp/>
        <stp>BDH|11798329323284479762</stp>
        <tr r="X41" s="17"/>
      </tp>
      <tp t="e">
        <v>#N/A</v>
        <stp/>
        <stp>BDH|17191532388550602989</stp>
        <tr r="S117" s="18"/>
      </tp>
      <tp t="e">
        <v>#N/A</v>
        <stp/>
        <stp>BDH|14330141658455805631</stp>
        <tr r="N10" s="6"/>
      </tp>
      <tp t="e">
        <v>#N/A</v>
        <stp/>
        <stp>BDH|15488967092975527312</stp>
        <tr r="G104" s="18"/>
      </tp>
      <tp t="e">
        <v>#N/A</v>
        <stp/>
        <stp>BDH|11343271547664422037</stp>
        <tr r="Q24" s="34"/>
      </tp>
      <tp t="e">
        <v>#N/A</v>
        <stp/>
        <stp>BDH|10073314666311132726</stp>
        <tr r="E23" s="24"/>
      </tp>
      <tp t="e">
        <v>#N/A</v>
        <stp/>
        <stp>BDH|14303586977595032085</stp>
        <tr r="V63" s="10"/>
      </tp>
      <tp t="e">
        <v>#N/A</v>
        <stp/>
        <stp>BDH|15864217126473813531</stp>
        <tr r="H84" s="18"/>
      </tp>
      <tp t="e">
        <v>#N/A</v>
        <stp/>
        <stp>BDH|16376366957256224545</stp>
        <tr r="AA12" s="26"/>
      </tp>
      <tp t="e">
        <v>#N/A</v>
        <stp/>
        <stp>BDH|10882109005852328090</stp>
        <tr r="W10" s="26"/>
      </tp>
      <tp t="e">
        <v>#N/A</v>
        <stp/>
        <stp>BDH|16196041735234035272</stp>
        <tr r="K77" s="18"/>
      </tp>
      <tp t="e">
        <v>#N/A</v>
        <stp/>
        <stp>BDH|12126966344954460800</stp>
        <tr r="C20" s="29"/>
      </tp>
      <tp t="e">
        <v>#N/A</v>
        <stp/>
        <stp>BDH|12989500832147425080</stp>
        <tr r="K16" s="26"/>
      </tp>
      <tp t="e">
        <v>#N/A</v>
        <stp/>
        <stp>BDH|13704309276445440122</stp>
        <tr r="N36" s="18"/>
      </tp>
      <tp t="e">
        <v>#N/A</v>
        <stp/>
        <stp>BDH|13289504027957363019</stp>
        <tr r="N8" s="2"/>
      </tp>
      <tp t="e">
        <v>#N/A</v>
        <stp/>
        <stp>BDH|12897124502670915060</stp>
        <tr r="S38" s="12"/>
      </tp>
      <tp t="e">
        <v>#N/A</v>
        <stp/>
        <stp>BDH|17290110804247513253</stp>
        <tr r="K20" s="26"/>
      </tp>
      <tp t="e">
        <v>#N/A</v>
        <stp/>
        <stp>BDH|11290293259603174643</stp>
        <tr r="L12" s="20"/>
        <tr r="L113" s="18"/>
      </tp>
      <tp t="e">
        <v>#N/A</v>
        <stp/>
        <stp>BDH|17763271887317287923</stp>
        <tr r="E70" s="24"/>
      </tp>
      <tp t="e">
        <v>#N/A</v>
        <stp/>
        <stp>BDH|10154911219968811363</stp>
        <tr r="L40" s="21"/>
      </tp>
      <tp t="e">
        <v>#N/A</v>
        <stp/>
        <stp>BDH|10839489935234363011</stp>
        <tr r="P88" s="18"/>
      </tp>
      <tp t="e">
        <v>#N/A</v>
        <stp/>
        <stp>BDH|12487037523261475274</stp>
        <tr r="M36" s="21"/>
      </tp>
      <tp t="e">
        <v>#N/A</v>
        <stp/>
        <stp>BDH|10500674748943564286</stp>
        <tr r="U42" s="10"/>
        <tr r="U34" s="11"/>
      </tp>
      <tp t="e">
        <v>#N/A</v>
        <stp/>
        <stp>BDH|17697315106574651301</stp>
        <tr r="W59" s="17"/>
      </tp>
      <tp t="e">
        <v>#N/A</v>
        <stp/>
        <stp>BDH|10304448344554099748</stp>
        <tr r="U109" s="12"/>
      </tp>
      <tp t="e">
        <v>#N/A</v>
        <stp/>
        <stp>BDH|15536124431473888798</stp>
        <tr r="I127" s="18"/>
      </tp>
      <tp t="e">
        <v>#N/A</v>
        <stp/>
        <stp>BDH|10543520892216762953</stp>
        <tr r="Q15" s="29"/>
        <tr r="Q35" s="29"/>
      </tp>
      <tp t="e">
        <v>#N/A</v>
        <stp/>
        <stp>BDH|16781444073831559723</stp>
        <tr r="AA99" s="12"/>
      </tp>
      <tp t="e">
        <v>#N/A</v>
        <stp/>
        <stp>BDH|13479305953295207321</stp>
        <tr r="C57" s="34"/>
      </tp>
      <tp t="e">
        <v>#N/A</v>
        <stp/>
        <stp>BDH|10885566209281387735</stp>
        <tr r="D105" s="12"/>
      </tp>
      <tp t="e">
        <v>#N/A</v>
        <stp/>
        <stp>BDH|18062333510341317876</stp>
        <tr r="W33" s="34"/>
      </tp>
      <tp t="e">
        <v>#N/A</v>
        <stp/>
        <stp>BDH|10007979622258235009</stp>
        <tr r="L31" s="25"/>
        <tr r="L17" s="27"/>
        <tr r="I14" s="5"/>
      </tp>
      <tp t="e">
        <v>#N/A</v>
        <stp/>
        <stp>BDH|10257351215704646536</stp>
        <tr r="AA45" s="13"/>
      </tp>
      <tp t="e">
        <v>#N/A</v>
        <stp/>
        <stp>BDH|10315302514503329234</stp>
        <tr r="D66" s="17"/>
      </tp>
      <tp t="e">
        <v>#N/A</v>
        <stp/>
        <stp>BDH|10675890990512165094</stp>
        <tr r="G65" s="18"/>
      </tp>
      <tp t="e">
        <v>#N/A</v>
        <stp/>
        <stp>BDH|12215505335056218125</stp>
        <tr r="S75" s="24"/>
      </tp>
      <tp t="e">
        <v>#N/A</v>
        <stp/>
        <stp>BDH|17169084773831439299</stp>
        <tr r="Q177" s="18"/>
      </tp>
      <tp t="e">
        <v>#N/A</v>
        <stp/>
        <stp>BDH|14205099560087498680</stp>
        <tr r="F17" s="20"/>
      </tp>
      <tp t="e">
        <v>#N/A</v>
        <stp/>
        <stp>BDH|17009844270308187328</stp>
        <tr r="R73" s="24"/>
      </tp>
      <tp t="e">
        <v>#N/A</v>
        <stp/>
        <stp>BDH|17838485479211806663</stp>
        <tr r="K34" s="17"/>
      </tp>
      <tp t="e">
        <v>#N/A</v>
        <stp/>
        <stp>BDH|17554956134167576962</stp>
        <tr r="K81" s="12"/>
      </tp>
      <tp t="e">
        <v>#N/A</v>
        <stp/>
        <stp>BDH|15624866423348060446</stp>
        <tr r="W33" s="6"/>
        <tr r="W17" s="5"/>
      </tp>
      <tp t="e">
        <v>#N/A</v>
        <stp/>
        <stp>BDH|10207697111205554187</stp>
        <tr r="L45" s="13"/>
      </tp>
      <tp t="e">
        <v>#N/A</v>
        <stp/>
        <stp>BDH|14236385635941116699</stp>
        <tr r="Q16" s="12"/>
      </tp>
      <tp t="e">
        <v>#N/A</v>
        <stp/>
        <stp>BDH|15829371378812146019</stp>
        <tr r="S42" s="34"/>
      </tp>
      <tp t="e">
        <v>#N/A</v>
        <stp/>
        <stp>BDH|11193643427883605534</stp>
        <tr r="X12" s="25"/>
      </tp>
      <tp t="e">
        <v>#N/A</v>
        <stp/>
        <stp>BDH|16659162816202864795</stp>
        <tr r="G18" s="20"/>
      </tp>
      <tp t="e">
        <v>#N/A</v>
        <stp/>
        <stp>BDH|11042689374317804438</stp>
        <tr r="M14" s="22"/>
      </tp>
      <tp t="e">
        <v>#N/A</v>
        <stp/>
        <stp>BDH|13460976098826895647</stp>
        <tr r="L30" s="18"/>
      </tp>
      <tp t="e">
        <v>#N/A</v>
        <stp/>
        <stp>BDH|16138613326595435450</stp>
        <tr r="T97" s="18"/>
      </tp>
      <tp t="e">
        <v>#N/A</v>
        <stp/>
        <stp>BDH|10676563835254648144</stp>
        <tr r="X13" s="34"/>
      </tp>
      <tp t="e">
        <v>#N/A</v>
        <stp/>
        <stp>BDH|14417961983742449425</stp>
        <tr r="O14" s="28"/>
      </tp>
      <tp t="e">
        <v>#N/A</v>
        <stp/>
        <stp>BDH|17971066518383318636</stp>
        <tr r="W29" s="12"/>
      </tp>
      <tp t="e">
        <v>#N/A</v>
        <stp/>
        <stp>BDH|15276336735563648554</stp>
        <tr r="F25" s="17"/>
      </tp>
      <tp t="e">
        <v>#N/A</v>
        <stp/>
        <stp>BDH|11225306705836718779</stp>
        <tr r="R22" s="5"/>
      </tp>
      <tp t="e">
        <v>#N/A</v>
        <stp/>
        <stp>BDH|17212328022146483314</stp>
        <tr r="I71" s="12"/>
      </tp>
      <tp t="e">
        <v>#N/A</v>
        <stp/>
        <stp>BDH|16089126404027599343</stp>
        <tr r="G72" s="17"/>
      </tp>
      <tp t="e">
        <v>#N/A</v>
        <stp/>
        <stp>BDH|10651725841997274715</stp>
        <tr r="G107" s="12"/>
      </tp>
      <tp t="e">
        <v>#N/A</v>
        <stp/>
        <stp>BDH|16920018045176825732</stp>
        <tr r="O67" s="24"/>
      </tp>
      <tp t="e">
        <v>#N/A</v>
        <stp/>
        <stp>BDH|15377896620528561498</stp>
        <tr r="K9" s="26"/>
      </tp>
      <tp t="e">
        <v>#N/A</v>
        <stp/>
        <stp>BDH|16118668541990009709</stp>
        <tr r="Z49" s="22"/>
      </tp>
      <tp t="e">
        <v>#N/A</v>
        <stp/>
        <stp>BDH|12361442671362792077</stp>
        <tr r="R18" s="6"/>
      </tp>
      <tp t="e">
        <v>#N/A</v>
        <stp/>
        <stp>BDH|12482478303130301558</stp>
        <tr r="E26" s="12"/>
      </tp>
      <tp t="e">
        <v>#N/A</v>
        <stp/>
        <stp>BDH|17383053671562231134</stp>
        <tr r="C18" s="18"/>
      </tp>
      <tp t="e">
        <v>#N/A</v>
        <stp/>
        <stp>BDH|14144127969195998553</stp>
        <tr r="D22" s="24"/>
      </tp>
      <tp t="e">
        <v>#N/A</v>
        <stp/>
        <stp>BDH|14252433761250189574</stp>
        <tr r="AA13" s="26"/>
      </tp>
      <tp t="e">
        <v>#N/A</v>
        <stp/>
        <stp>BDH|11619445853032192165</stp>
        <tr r="P73" s="12"/>
      </tp>
      <tp t="e">
        <v>#N/A</v>
        <stp/>
        <stp>BDH|15241008162328702817</stp>
        <tr r="W75" s="17"/>
      </tp>
      <tp t="e">
        <v>#N/A</v>
        <stp/>
        <stp>BDH|11551545274746519669</stp>
        <tr r="K15" s="22"/>
      </tp>
      <tp t="e">
        <v>#N/A</v>
        <stp/>
        <stp>BDH|13227845578846878907</stp>
        <tr r="U32" s="21"/>
      </tp>
      <tp t="e">
        <v>#N/A</v>
        <stp/>
        <stp>BDH|17195263920087774362</stp>
        <tr r="I8" s="8"/>
      </tp>
      <tp t="e">
        <v>#N/A</v>
        <stp/>
        <stp>BDH|16532042997919362530</stp>
        <tr r="F9" s="22"/>
      </tp>
      <tp t="e">
        <v>#N/A</v>
        <stp/>
        <stp>BDH|17801001170413989073</stp>
        <tr r="P128" s="18"/>
      </tp>
      <tp t="e">
        <v>#N/A</v>
        <stp/>
        <stp>BDH|13180104010611467132</stp>
        <tr r="U34" s="26"/>
      </tp>
      <tp t="e">
        <v>#N/A</v>
        <stp/>
        <stp>BDH|13763282008150494252</stp>
        <tr r="I56" s="13"/>
      </tp>
      <tp t="e">
        <v>#N/A</v>
        <stp/>
        <stp>BDH|14594425771006927293</stp>
        <tr r="D33" s="21"/>
      </tp>
      <tp t="e">
        <v>#N/A</v>
        <stp/>
        <stp>BDH|14056681017958841814</stp>
        <tr r="J16" s="22"/>
      </tp>
      <tp t="e">
        <v>#N/A</v>
        <stp/>
        <stp>BDH|17695475667752934495</stp>
        <tr r="N18" s="22"/>
      </tp>
      <tp t="e">
        <v>#N/A</v>
        <stp/>
        <stp>BDH|15060007495086350908</stp>
        <tr r="O29" s="24"/>
      </tp>
      <tp t="e">
        <v>#N/A</v>
        <stp/>
        <stp>BDH|13324620451776308559</stp>
        <tr r="I24" s="29"/>
      </tp>
      <tp t="e">
        <v>#N/A</v>
        <stp/>
        <stp>BDH|17131542814157552726</stp>
        <tr r="S56" s="17"/>
      </tp>
      <tp t="e">
        <v>#N/A</v>
        <stp/>
        <stp>BDH|12825141290138343195</stp>
        <tr r="J16" s="11"/>
      </tp>
      <tp t="e">
        <v>#N/A</v>
        <stp/>
        <stp>BDH|15667683538190379330</stp>
        <tr r="S71" s="12"/>
      </tp>
      <tp t="e">
        <v>#N/A</v>
        <stp/>
        <stp>BDH|14795749670721118644</stp>
        <tr r="X92" s="17"/>
        <tr r="X7" s="27"/>
      </tp>
      <tp t="e">
        <v>#N/A</v>
        <stp/>
        <stp>BDH|17239737175003362710</stp>
        <tr r="X69" s="10"/>
        <tr r="X61" s="11"/>
        <tr r="X20" s="7"/>
      </tp>
      <tp t="e">
        <v>#N/A</v>
        <stp/>
        <stp>BDH|17644392608916749169</stp>
        <tr r="E28" s="17"/>
      </tp>
      <tp t="e">
        <v>#N/A</v>
        <stp/>
        <stp>BDH|15487870663659740118</stp>
        <tr r="T141" s="18"/>
      </tp>
      <tp t="e">
        <v>#N/A</v>
        <stp/>
        <stp>BDH|16333550639055142685</stp>
        <tr r="K12" s="21"/>
      </tp>
      <tp t="e">
        <v>#N/A</v>
        <stp/>
        <stp>BDH|18296126466084848889</stp>
        <tr r="Q55" s="6"/>
      </tp>
      <tp t="e">
        <v>#N/A</v>
        <stp/>
        <stp>BDH|10892647443448888913</stp>
        <tr r="L22" s="4"/>
      </tp>
      <tp t="e">
        <v>#N/A</v>
        <stp/>
        <stp>BDH|13501717325727481239</stp>
        <tr r="S15" s="11"/>
      </tp>
      <tp t="e">
        <v>#N/A</v>
        <stp/>
        <stp>BDH|16839292455403071122</stp>
        <tr r="C48" s="22"/>
      </tp>
      <tp t="e">
        <v>#N/A</v>
        <stp/>
        <stp>BDH|12250737426652533647</stp>
        <tr r="G146" s="18"/>
      </tp>
      <tp t="e">
        <v>#N/A</v>
        <stp/>
        <stp>BDH|14327207431377799138</stp>
        <tr r="C42" s="21"/>
      </tp>
      <tp t="e">
        <v>#N/A</v>
        <stp/>
        <stp>BDH|17439600524859544938</stp>
        <tr r="I18" s="13"/>
      </tp>
      <tp t="e">
        <v>#N/A</v>
        <stp/>
        <stp>BDH|10743209512471464178</stp>
        <tr r="S27" s="18"/>
      </tp>
      <tp t="e">
        <v>#N/A</v>
        <stp/>
        <stp>BDH|17814881258448902173</stp>
        <tr r="P66" s="10"/>
      </tp>
      <tp t="e">
        <v>#N/A</v>
        <stp/>
        <stp>BDH|14199997187495950309</stp>
        <tr r="I88" s="17"/>
      </tp>
      <tp t="e">
        <v>#N/A</v>
        <stp/>
        <stp>BDH|10567646805181317416</stp>
        <tr r="R12" s="24"/>
      </tp>
      <tp t="e">
        <v>#N/A</v>
        <stp/>
        <stp>BDH|11747329893071400948</stp>
        <tr r="T58" s="24"/>
      </tp>
      <tp t="e">
        <v>#N/A</v>
        <stp/>
        <stp>BDH|16877432152086656295</stp>
        <tr r="J102" s="12"/>
      </tp>
      <tp t="e">
        <v>#N/A</v>
        <stp/>
        <stp>BDH|12417435167531432227</stp>
        <tr r="K82" s="18"/>
      </tp>
      <tp t="e">
        <v>#N/A</v>
        <stp/>
        <stp>BDH|10341001301244675725</stp>
        <tr r="C49" s="17"/>
      </tp>
      <tp t="e">
        <v>#N/A</v>
        <stp/>
        <stp>BDH|11206606595528332525</stp>
        <tr r="P8" s="22"/>
      </tp>
      <tp t="e">
        <v>#N/A</v>
        <stp/>
        <stp>BDH|15929546558342245417</stp>
        <tr r="V165" s="18"/>
      </tp>
      <tp t="e">
        <v>#N/A</v>
        <stp/>
        <stp>BDH|16699036274233391140</stp>
        <tr r="V26" s="11"/>
        <tr r="V34" s="10"/>
      </tp>
      <tp t="e">
        <v>#N/A</v>
        <stp/>
        <stp>BDH|17305499764721188792</stp>
        <tr r="U88" s="18"/>
      </tp>
      <tp t="e">
        <v>#N/A</v>
        <stp/>
        <stp>BDH|11573875147639255715</stp>
        <tr r="F64" s="21"/>
        <tr r="D23" s="7"/>
      </tp>
      <tp t="e">
        <v>#N/A</v>
        <stp/>
        <stp>BDH|12945330433016950765</stp>
        <tr r="G23" s="25"/>
        <tr r="E21" s="11"/>
      </tp>
      <tp t="e">
        <v>#N/A</v>
        <stp/>
        <stp>BDH|17594736119616146489</stp>
        <tr r="Z164" s="18"/>
      </tp>
      <tp t="e">
        <v>#N/A</v>
        <stp/>
        <stp>BDH|15216024122317889335</stp>
        <tr r="Q41" s="6"/>
      </tp>
      <tp t="e">
        <v>#N/A</v>
        <stp/>
        <stp>BDH|13982652106055756344</stp>
        <tr r="Z112" s="12"/>
      </tp>
      <tp t="e">
        <v>#N/A</v>
        <stp/>
        <stp>BDH|11620079813304873735</stp>
        <tr r="T20" s="25"/>
      </tp>
      <tp t="e">
        <v>#N/A</v>
        <stp/>
        <stp>BDH|10926751132022188562</stp>
        <tr r="Q64" s="34"/>
      </tp>
      <tp t="e">
        <v>#N/A</v>
        <stp/>
        <stp>BDH|15864819154979098246</stp>
        <tr r="J177" s="18"/>
      </tp>
      <tp t="e">
        <v>#N/A</v>
        <stp/>
        <stp>BDH|11211999437269503103</stp>
        <tr r="M15" s="34"/>
      </tp>
      <tp t="e">
        <v>#N/A</v>
        <stp/>
        <stp>BDH|14280697604286342751</stp>
        <tr r="L45" s="22"/>
      </tp>
      <tp t="e">
        <v>#N/A</v>
        <stp/>
        <stp>BDH|16817219158287117593</stp>
        <tr r="F15" s="23"/>
        <tr r="D58" s="11"/>
      </tp>
      <tp t="e">
        <v>#N/A</v>
        <stp/>
        <stp>BDH|10838151474695741078</stp>
        <tr r="Q31" s="26"/>
        <tr r="N14" s="9"/>
      </tp>
      <tp t="e">
        <v>#N/A</v>
        <stp/>
        <stp>BDH|12832505020823172501</stp>
        <tr r="AA87" s="17"/>
      </tp>
      <tp t="e">
        <v>#N/A</v>
        <stp/>
        <stp>BDH|11335382607597396663</stp>
        <tr r="J39" s="17"/>
      </tp>
      <tp t="e">
        <v>#N/A</v>
        <stp/>
        <stp>BDH|16977728094838788311</stp>
        <tr r="R26" s="29"/>
      </tp>
      <tp t="e">
        <v>#N/A</v>
        <stp/>
        <stp>BDH|17930019313897386214</stp>
        <tr r="R22" s="10"/>
      </tp>
      <tp t="e">
        <v>#N/A</v>
        <stp/>
        <stp>BDH|14289054234006278285</stp>
        <tr r="J47" s="13"/>
      </tp>
      <tp t="e">
        <v>#N/A</v>
        <stp/>
        <stp>BDH|11950693670883951006</stp>
        <tr r="H18" s="14"/>
      </tp>
      <tp t="e">
        <v>#N/A</v>
        <stp/>
        <stp>BDH|10062420741547399497</stp>
        <tr r="C38" s="18"/>
      </tp>
      <tp t="e">
        <v>#N/A</v>
        <stp/>
        <stp>BDH|14799497106196759567</stp>
        <tr r="E6" s="15"/>
        <tr r="E6" s="10"/>
        <tr r="E11" s="4"/>
        <tr r="E12" s="2"/>
      </tp>
      <tp t="e">
        <v>#N/A</v>
        <stp/>
        <stp>BDH|17349530728510199305</stp>
        <tr r="X85" s="17"/>
      </tp>
      <tp t="e">
        <v>#N/A</v>
        <stp/>
        <stp>BDH|13525503639125691334</stp>
        <tr r="J17" s="24"/>
      </tp>
      <tp t="e">
        <v>#N/A</v>
        <stp/>
        <stp>BDH|15433447140511043798</stp>
        <tr r="H19" s="29"/>
        <tr r="H25" s="29"/>
        <tr r="H10" s="29"/>
        <tr r="I12" s="8"/>
        <tr r="G6" s="9"/>
        <tr r="G6" s="5"/>
        <tr r="H6" s="2"/>
      </tp>
      <tp t="e">
        <v>#N/A</v>
        <stp/>
        <stp>BDH|11528397885790776979</stp>
        <tr r="Y10" s="23"/>
      </tp>
      <tp t="e">
        <v>#N/A</v>
        <stp/>
        <stp>BDH|13263144661801912677</stp>
        <tr r="Z141" s="18"/>
      </tp>
      <tp t="e">
        <v>#N/A</v>
        <stp/>
        <stp>BDH|18355611734936960867</stp>
        <tr r="W109" s="12"/>
      </tp>
      <tp t="e">
        <v>#N/A</v>
        <stp/>
        <stp>BDH|13433499114872088709</stp>
        <tr r="U9" s="34"/>
      </tp>
      <tp t="e">
        <v>#N/A</v>
        <stp/>
        <stp>BDH|14386678519729653921</stp>
        <tr r="R13" s="7"/>
      </tp>
      <tp t="e">
        <v>#N/A</v>
        <stp/>
        <stp>BDH|17028405179633974494</stp>
        <tr r="J19" s="24"/>
      </tp>
      <tp t="e">
        <v>#N/A</v>
        <stp/>
        <stp>BDH|16061118609492285630</stp>
        <tr r="I67" s="34"/>
      </tp>
      <tp t="e">
        <v>#N/A</v>
        <stp/>
        <stp>BDH|10541709007822319686</stp>
        <tr r="Y28" s="26"/>
      </tp>
      <tp t="e">
        <v>#N/A</v>
        <stp/>
        <stp>BDH|12528166144034950073</stp>
        <tr r="L14" s="8"/>
      </tp>
      <tp t="e">
        <v>#N/A</v>
        <stp/>
        <stp>BDH|16870661635329365911</stp>
        <tr r="Y50" s="17"/>
      </tp>
      <tp t="e">
        <v>#N/A</v>
        <stp/>
        <stp>BDH|12459483460261264273</stp>
        <tr r="I16" s="29"/>
        <tr r="I36" s="29"/>
      </tp>
      <tp t="e">
        <v>#N/A</v>
        <stp/>
        <stp>BDH|16520710760304988048</stp>
        <tr r="Z82" s="18"/>
      </tp>
      <tp t="e">
        <v>#N/A</v>
        <stp/>
        <stp>BDH|15135467173354908146</stp>
        <tr r="O15" s="23"/>
        <tr r="M58" s="11"/>
      </tp>
      <tp t="e">
        <v>#N/A</v>
        <stp/>
        <stp>BDH|14629321068556631435</stp>
        <tr r="F7" s="4"/>
      </tp>
      <tp t="e">
        <v>#N/A</v>
        <stp/>
        <stp>BDH|16933793986838794286</stp>
        <tr r="X18" s="25"/>
      </tp>
      <tp t="e">
        <v>#N/A</v>
        <stp/>
        <stp>BDH|13713665158155121610</stp>
        <tr r="Y106" s="12"/>
      </tp>
      <tp t="e">
        <v>#N/A</v>
        <stp/>
        <stp>BDH|10026541101684963255</stp>
        <tr r="I151" s="18"/>
      </tp>
      <tp t="e">
        <v>#N/A</v>
        <stp/>
        <stp>BDH|12325696424466762300</stp>
        <tr r="C121" s="18"/>
      </tp>
      <tp t="e">
        <v>#N/A</v>
        <stp/>
        <stp>BDH|11838122552726213032</stp>
        <tr r="W22" s="18"/>
      </tp>
      <tp t="e">
        <v>#N/A</v>
        <stp/>
        <stp>BDH|17267317148741329211</stp>
        <tr r="L29" s="4"/>
      </tp>
      <tp t="e">
        <v>#N/A</v>
        <stp/>
        <stp>BDH|10420481698198543682</stp>
        <tr r="N7" s="28"/>
      </tp>
      <tp t="e">
        <v>#N/A</v>
        <stp/>
        <stp>BDH|15051825610556336982</stp>
        <tr r="O42" s="34"/>
      </tp>
      <tp t="e">
        <v>#N/A</v>
        <stp/>
        <stp>BDH|12649683200643296442</stp>
        <tr r="W49" s="13"/>
        <tr r="U37" s="11"/>
        <tr r="U45" s="10"/>
        <tr r="U18" s="2"/>
        <tr r="U53" s="4"/>
      </tp>
      <tp t="e">
        <v>#N/A</v>
        <stp/>
        <stp>BDH|11927540002783759409</stp>
        <tr r="J77" s="18"/>
      </tp>
      <tp t="e">
        <v>#N/A</v>
        <stp/>
        <stp>BDH|12510538742597518794</stp>
        <tr r="Z31" s="21"/>
      </tp>
      <tp t="e">
        <v>#N/A</v>
        <stp/>
        <stp>BDH|16686345136471924454</stp>
        <tr r="M60" s="13"/>
      </tp>
      <tp t="e">
        <v>#N/A</v>
        <stp/>
        <stp>BDH|12751902895256220789</stp>
        <tr r="C52" s="13"/>
        <tr r="C10" s="3"/>
      </tp>
      <tp t="e">
        <v>#N/A</v>
        <stp/>
        <stp>BDH|15179006603407987133</stp>
        <tr r="D40" s="17"/>
      </tp>
      <tp t="e">
        <v>#N/A</v>
        <stp/>
        <stp>BDH|17937055622806289048</stp>
        <tr r="L20" s="6"/>
      </tp>
      <tp t="e">
        <v>#N/A</v>
        <stp/>
        <stp>BDH|14842877947883768873</stp>
        <tr r="Z36" s="13"/>
        <tr r="X24" s="10"/>
        <tr r="X46" s="4"/>
      </tp>
      <tp t="e">
        <v>#N/A</v>
        <stp/>
        <stp>BDH|11440478717352932552</stp>
        <tr r="X64" s="17"/>
      </tp>
      <tp t="e">
        <v>#N/A</v>
        <stp/>
        <stp>BDH|16795684554686564060</stp>
        <tr r="AA90" s="12"/>
      </tp>
      <tp t="e">
        <v>#N/A</v>
        <stp/>
        <stp>BDH|15683496290009738200</stp>
        <tr r="E35" s="34"/>
      </tp>
      <tp t="e">
        <v>#N/A</v>
        <stp/>
        <stp>BDH|16070453780888839152</stp>
        <tr r="W77" s="12"/>
      </tp>
      <tp t="e">
        <v>#N/A</v>
        <stp/>
        <stp>BDH|15278158133872880643</stp>
        <tr r="T22" s="17"/>
      </tp>
      <tp t="e">
        <v>#N/A</v>
        <stp/>
        <stp>BDH|14726748911049903836</stp>
        <tr r="L53" s="12"/>
      </tp>
      <tp t="e">
        <v>#N/A</v>
        <stp/>
        <stp>BDH|17817548752035406125</stp>
        <tr r="M10" s="6"/>
      </tp>
      <tp t="e">
        <v>#N/A</v>
        <stp/>
        <stp>BDH|16827046475643191107</stp>
        <tr r="Y35" s="22"/>
      </tp>
      <tp t="e">
        <v>#N/A</v>
        <stp/>
        <stp>BDH|10991967992767036458</stp>
        <tr r="Q13" s="2"/>
      </tp>
      <tp t="e">
        <v>#N/A</v>
        <stp/>
        <stp>BDH|12930892469109302622</stp>
        <tr r="O31" s="18"/>
      </tp>
      <tp t="e">
        <v>#N/A</v>
        <stp/>
        <stp>BDH|17142421327623971156</stp>
        <tr r="T22" s="24"/>
      </tp>
      <tp t="e">
        <v>#N/A</v>
        <stp/>
        <stp>BDH|15317568142672998567</stp>
        <tr r="Q9" s="11"/>
      </tp>
      <tp t="e">
        <v>#N/A</v>
        <stp/>
        <stp>BDH|13959421490314548962</stp>
        <tr r="M101" s="18"/>
      </tp>
      <tp t="e">
        <v>#N/A</v>
        <stp/>
        <stp>BDH|12988640141635611628</stp>
        <tr r="R17" s="12"/>
      </tp>
      <tp t="e">
        <v>#N/A</v>
        <stp/>
        <stp>BDH|12609574176024630791</stp>
        <tr r="N43" s="21"/>
      </tp>
      <tp t="e">
        <v>#N/A</v>
        <stp/>
        <stp>BDH|17230772972496615292</stp>
        <tr r="I103" s="12"/>
      </tp>
      <tp t="e">
        <v>#N/A</v>
        <stp/>
        <stp>BDH|14781917712469987655</stp>
        <tr r="L141" s="18"/>
      </tp>
      <tp t="e">
        <v>#N/A</v>
        <stp/>
        <stp>BDH|16180269644755295699</stp>
        <tr r="T31" s="22"/>
      </tp>
      <tp t="e">
        <v>#N/A</v>
        <stp/>
        <stp>BDH|15165073166658131896</stp>
        <tr r="V62" s="13"/>
        <tr r="T49" s="11"/>
        <tr r="T57" s="10"/>
        <tr r="T19" s="7"/>
        <tr r="T20" s="2"/>
        <tr r="T18" s="4"/>
      </tp>
      <tp t="e">
        <v>#N/A</v>
        <stp/>
        <stp>BDH|13642338422237907668</stp>
        <tr r="Y39" s="26"/>
      </tp>
      <tp t="e">
        <v>#N/A</v>
        <stp/>
        <stp>BDH|11727125581083576895</stp>
        <tr r="T17" s="23"/>
      </tp>
      <tp t="e">
        <v>#N/A</v>
        <stp/>
        <stp>BDH|14009661186040906914</stp>
        <tr r="F14" s="17"/>
        <tr r="F17" s="28"/>
      </tp>
      <tp t="e">
        <v>#N/A</v>
        <stp/>
        <stp>BDH|11236493781199257700</stp>
        <tr r="T91" s="12"/>
      </tp>
      <tp t="e">
        <v>#N/A</v>
        <stp/>
        <stp>BDH|11327513221554869136</stp>
        <tr r="G99" s="12"/>
      </tp>
      <tp t="e">
        <v>#N/A</v>
        <stp/>
        <stp>BDH|10340731998269156429</stp>
        <tr r="P31" s="11"/>
        <tr r="P39" s="10"/>
      </tp>
      <tp t="e">
        <v>#N/A</v>
        <stp/>
        <stp>BDH|12015898994623226346</stp>
        <tr r="U31" s="21"/>
      </tp>
      <tp t="e">
        <v>#N/A</v>
        <stp/>
        <stp>BDH|11588966928530501951</stp>
        <tr r="O63" s="34"/>
      </tp>
      <tp t="e">
        <v>#N/A</v>
        <stp/>
        <stp>BDH|11427689632356500100</stp>
        <tr r="O41" s="18"/>
      </tp>
      <tp t="e">
        <v>#N/A</v>
        <stp/>
        <stp>BDH|13662429554282319384</stp>
        <tr r="W13" s="12"/>
      </tp>
      <tp t="e">
        <v>#N/A</v>
        <stp/>
        <stp>BDH|13463681046065266739</stp>
        <tr r="I30" s="9"/>
      </tp>
      <tp t="e">
        <v>#N/A</v>
        <stp/>
        <stp>BDH|16091803564332875976</stp>
        <tr r="C7" s="17"/>
      </tp>
      <tp t="e">
        <v>#N/A</v>
        <stp/>
        <stp>BDH|15401666648350337429</stp>
        <tr r="D30" s="9"/>
      </tp>
      <tp t="e">
        <v>#N/A</v>
        <stp/>
        <stp>BDH|16798956622427273992</stp>
        <tr r="X16" s="25"/>
      </tp>
      <tp t="e">
        <v>#N/A</v>
        <stp/>
        <stp>BDH|10333320333513918009</stp>
        <tr r="H31" s="26"/>
        <tr r="E14" s="9"/>
      </tp>
      <tp t="e">
        <v>#N/A</v>
        <stp/>
        <stp>BDH|16058697430228697847</stp>
        <tr r="F129" s="18"/>
      </tp>
      <tp t="e">
        <v>#N/A</v>
        <stp/>
        <stp>BDH|15592661003539819932</stp>
        <tr r="M39" s="17"/>
      </tp>
      <tp t="e">
        <v>#N/A</v>
        <stp/>
        <stp>BDH|13024706801742983535</stp>
        <tr r="X88" s="17"/>
      </tp>
      <tp t="e">
        <v>#N/A</v>
        <stp/>
        <stp>BDH|13688115619401054152</stp>
        <tr r="M60" s="18"/>
      </tp>
      <tp t="e">
        <v>#N/A</v>
        <stp/>
        <stp>BDH|14405286141029428829</stp>
        <tr r="O12" s="21"/>
      </tp>
      <tp t="e">
        <v>#N/A</v>
        <stp/>
        <stp>BDH|15689237157649043891</stp>
        <tr r="Y49" s="13"/>
        <tr r="W37" s="11"/>
        <tr r="W45" s="10"/>
        <tr r="W18" s="2"/>
        <tr r="W53" s="4"/>
      </tp>
      <tp t="e">
        <v>#N/A</v>
        <stp/>
        <stp>BDH|18062594180043279509</stp>
        <tr r="U35" s="24"/>
      </tp>
      <tp t="e">
        <v>#N/A</v>
        <stp/>
        <stp>BDH|13722189113577210753</stp>
        <tr r="D74" s="12"/>
      </tp>
      <tp t="e">
        <v>#N/A</v>
        <stp/>
        <stp>BDH|10177793702144496050</stp>
        <tr r="G48" s="17"/>
      </tp>
      <tp t="e">
        <v>#N/A</v>
        <stp/>
        <stp>BDH|10216329366436524082</stp>
        <tr r="H11" s="28"/>
      </tp>
      <tp t="e">
        <v>#N/A</v>
        <stp/>
        <stp>BDH|16290178419203798608</stp>
        <tr r="Q48" s="12"/>
      </tp>
      <tp t="e">
        <v>#N/A</v>
        <stp/>
        <stp>BDH|14388518849504058202</stp>
        <tr r="G86" s="17"/>
      </tp>
      <tp t="e">
        <v>#N/A</v>
        <stp/>
        <stp>BDH|13630656357010715386</stp>
        <tr r="R14" s="18"/>
      </tp>
      <tp t="e">
        <v>#N/A</v>
        <stp/>
        <stp>BDH|17678554008196977797</stp>
        <tr r="Q26" s="17"/>
      </tp>
      <tp t="e">
        <v>#N/A</v>
        <stp/>
        <stp>BDH|10557414878942601219</stp>
        <tr r="E64" s="34"/>
      </tp>
      <tp t="e">
        <v>#N/A</v>
        <stp/>
        <stp>BDH|14967814302629062613</stp>
        <tr r="G11" s="13"/>
      </tp>
      <tp t="e">
        <v>#N/A</v>
        <stp/>
        <stp>BDH|15862460816227279412</stp>
        <tr r="M98" s="12"/>
      </tp>
      <tp t="e">
        <v>#N/A</v>
        <stp/>
        <stp>BDH|16809611769794332183</stp>
        <tr r="W56" s="13"/>
      </tp>
      <tp t="e">
        <v>#N/A</v>
        <stp/>
        <stp>BDH|14369153976604366583</stp>
        <tr r="O42" s="17"/>
      </tp>
      <tp t="e">
        <v>#N/A</v>
        <stp/>
        <stp>BDH|14242600441072961717</stp>
        <tr r="F48" s="17"/>
      </tp>
      <tp t="e">
        <v>#N/A</v>
        <stp/>
        <stp>BDH|10030886107893587811</stp>
        <tr r="X136" s="18"/>
      </tp>
      <tp t="e">
        <v>#N/A</v>
        <stp/>
        <stp>BDH|17465426647093933737</stp>
        <tr r="W13" s="11"/>
      </tp>
      <tp t="e">
        <v>#N/A</v>
        <stp/>
        <stp>BDH|12091603648595126629</stp>
        <tr r="G56" s="13"/>
      </tp>
      <tp t="e">
        <v>#N/A</v>
        <stp/>
        <stp>BDH|15012184359730974231</stp>
        <tr r="G18" s="29"/>
        <tr r="G38" s="29"/>
      </tp>
      <tp t="e">
        <v>#N/A</v>
        <stp/>
        <stp>BDH|12801706664095188575</stp>
        <tr r="W42" s="22"/>
      </tp>
      <tp t="e">
        <v>#N/A</v>
        <stp/>
        <stp>BDH|17302858701769902544</stp>
        <tr r="M20" s="22"/>
      </tp>
      <tp t="e">
        <v>#N/A</v>
        <stp/>
        <stp>BDH|18142418679408475074</stp>
        <tr r="Q16" s="22"/>
      </tp>
      <tp t="e">
        <v>#N/A</v>
        <stp/>
        <stp>BDH|17869664132039209849</stp>
        <tr r="J9" s="21"/>
      </tp>
      <tp t="e">
        <v>#N/A</v>
        <stp/>
        <stp>BDH|14026089469163218291</stp>
        <tr r="E11" s="21"/>
      </tp>
      <tp t="e">
        <v>#N/A</v>
        <stp/>
        <stp>BDH|13907710746016485502</stp>
        <tr r="AA34" s="21"/>
      </tp>
      <tp t="e">
        <v>#N/A</v>
        <stp/>
        <stp>BDH|13817240460006330258</stp>
        <tr r="O33" s="6"/>
        <tr r="O17" s="5"/>
      </tp>
      <tp t="e">
        <v>#N/A</v>
        <stp/>
        <stp>BDH|11463215736571965209</stp>
        <tr r="W91" s="12"/>
      </tp>
      <tp t="e">
        <v>#N/A</v>
        <stp/>
        <stp>BDH|12640389153167636016</stp>
        <tr r="O108" s="12"/>
      </tp>
      <tp t="e">
        <v>#N/A</v>
        <stp/>
        <stp>BDH|15469728954617917311</stp>
        <tr r="P50" s="18"/>
      </tp>
      <tp t="e">
        <v>#N/A</v>
        <stp/>
        <stp>BDH|16226934798065086036</stp>
        <tr r="H9" s="18"/>
      </tp>
      <tp t="e">
        <v>#N/A</v>
        <stp/>
        <stp>BDH|11979232606709294944</stp>
        <tr r="R10" s="17"/>
      </tp>
      <tp t="e">
        <v>#N/A</v>
        <stp/>
        <stp>BDH|12970768065803285320</stp>
        <tr r="F24" s="34"/>
      </tp>
      <tp t="e">
        <v>#N/A</v>
        <stp/>
        <stp>BDH|11047761938173029548</stp>
        <tr r="J34" s="11"/>
        <tr r="J42" s="10"/>
      </tp>
      <tp t="e">
        <v>#N/A</v>
        <stp/>
        <stp>BDH|13285868101971820976</stp>
        <tr r="D35" s="26"/>
      </tp>
      <tp t="e">
        <v>#N/A</v>
        <stp/>
        <stp>BDH|15193781020676627551</stp>
        <tr r="AA38" s="22"/>
      </tp>
      <tp t="e">
        <v>#N/A</v>
        <stp/>
        <stp>BDH|15316080179195120491</stp>
        <tr r="G67" s="17"/>
        <tr r="G18" s="3"/>
      </tp>
      <tp t="e">
        <v>#N/A</v>
        <stp/>
        <stp>BDH|15083950275628848029</stp>
        <tr r="V31" s="18"/>
      </tp>
      <tp t="e">
        <v>#N/A</v>
        <stp/>
        <stp>BDH|12410593117632340733</stp>
        <tr r="I85" s="12"/>
      </tp>
      <tp t="e">
        <v>#N/A</v>
        <stp/>
        <stp>BDH|12821448270196098461</stp>
        <tr r="M22" s="17"/>
      </tp>
      <tp t="e">
        <v>#N/A</v>
        <stp/>
        <stp>BDH|13623892466759377702</stp>
        <tr r="C46" s="22"/>
      </tp>
      <tp t="e">
        <v>#N/A</v>
        <stp/>
        <stp>BDH|13410108760420897765</stp>
        <tr r="T98" s="18"/>
      </tp>
      <tp t="e">
        <v>#N/A</v>
        <stp/>
        <stp>BDH|10324359900829434980</stp>
        <tr r="I119" s="18"/>
      </tp>
      <tp t="e">
        <v>#N/A</v>
        <stp/>
        <stp>BDH|11584088645242336411</stp>
        <tr r="R35" s="6"/>
      </tp>
      <tp t="e">
        <v>#N/A</v>
        <stp/>
        <stp>BDH|14116283917226111256</stp>
        <tr r="Z93" s="17"/>
        <tr r="Z13" s="28"/>
      </tp>
      <tp t="e">
        <v>#N/A</v>
        <stp/>
        <stp>BDH|11567619363793862159</stp>
        <tr r="X24" s="13"/>
      </tp>
      <tp t="e">
        <v>#N/A</v>
        <stp/>
        <stp>BDH|17341682959185838203</stp>
        <tr r="D20" s="34"/>
      </tp>
      <tp t="e">
        <v>#N/A</v>
        <stp/>
        <stp>BDH|14655960013366982908</stp>
        <tr r="Y9" s="23"/>
      </tp>
      <tp t="e">
        <v>#N/A</v>
        <stp/>
        <stp>BDH|17242194744014444512</stp>
        <tr r="I21" s="2"/>
      </tp>
      <tp t="e">
        <v>#N/A</v>
        <stp/>
        <stp>BDH|15162466069500021441</stp>
        <tr r="L92" s="18"/>
      </tp>
      <tp t="e">
        <v>#N/A</v>
        <stp/>
        <stp>BDH|16391894894193688721</stp>
        <tr r="Q18" s="27"/>
        <tr r="Q32" s="25"/>
      </tp>
      <tp t="e">
        <v>#N/A</v>
        <stp/>
        <stp>BDH|10878562047106172426</stp>
        <tr r="W123" s="18"/>
      </tp>
      <tp t="e">
        <v>#N/A</v>
        <stp/>
        <stp>BDH|11790010870570819548</stp>
        <tr r="K10" s="18"/>
      </tp>
      <tp t="e">
        <v>#N/A</v>
        <stp/>
        <stp>BDH|17573125933220829667</stp>
        <tr r="X12" s="10"/>
      </tp>
      <tp t="e">
        <v>#N/A</v>
        <stp/>
        <stp>BDH|11769173936271574195</stp>
        <tr r="M52" s="22"/>
      </tp>
      <tp t="e">
        <v>#N/A</v>
        <stp/>
        <stp>BDH|12918574103265727101</stp>
        <tr r="G106" s="12"/>
      </tp>
      <tp t="e">
        <v>#N/A</v>
        <stp/>
        <stp>BDH|10956472061967460663</stp>
        <tr r="U137" s="18"/>
      </tp>
      <tp t="e">
        <v>#N/A</v>
        <stp/>
        <stp>BDH|11084566079688641845</stp>
        <tr r="I40" s="17"/>
      </tp>
      <tp t="e">
        <v>#N/A</v>
        <stp/>
        <stp>BDH|13865313926996702755</stp>
        <tr r="G10" s="27"/>
        <tr r="G25" s="25"/>
      </tp>
      <tp t="e">
        <v>#N/A</v>
        <stp/>
        <stp>BDH|13521068241142941667</stp>
        <tr r="M104" s="12"/>
      </tp>
      <tp t="e">
        <v>#N/A</v>
        <stp/>
        <stp>BDH|14568108846597612585</stp>
        <tr r="L120" s="18"/>
      </tp>
      <tp t="e">
        <v>#N/A</v>
        <stp/>
        <stp>BDH|15764492978817277295</stp>
        <tr r="H47" s="24"/>
      </tp>
      <tp t="e">
        <v>#N/A</v>
        <stp/>
        <stp>BDH|14190125552687920455</stp>
        <tr r="G60" s="12"/>
      </tp>
      <tp t="e">
        <v>#N/A</v>
        <stp/>
        <stp>BDH|12945977277998526715</stp>
        <tr r="Y87" s="12"/>
      </tp>
      <tp t="e">
        <v>#N/A</v>
        <stp/>
        <stp>BDH|12575043440890920552</stp>
        <tr r="D8" s="34"/>
      </tp>
      <tp t="e">
        <v>#N/A</v>
        <stp/>
        <stp>BDH|17113489205560271036</stp>
        <tr r="M11" s="17"/>
      </tp>
      <tp t="e">
        <v>#N/A</v>
        <stp/>
        <stp>BDH|17866325462105098458</stp>
        <tr r="J13" s="7"/>
      </tp>
      <tp t="e">
        <v>#N/A</v>
        <stp/>
        <stp>BDH|15240589301733586031</stp>
        <tr r="P30" s="12"/>
      </tp>
      <tp t="e">
        <v>#N/A</v>
        <stp/>
        <stp>BDH|16367191012876251379</stp>
        <tr r="Y66" s="12"/>
      </tp>
      <tp t="e">
        <v>#N/A</v>
        <stp/>
        <stp>BDH|15545329556988564890</stp>
        <tr r="S34" s="11"/>
        <tr r="S42" s="10"/>
      </tp>
      <tp t="e">
        <v>#N/A</v>
        <stp/>
        <stp>BDH|13636881141778241403</stp>
        <tr r="U36" s="12"/>
      </tp>
      <tp t="e">
        <v>#N/A</v>
        <stp/>
        <stp>BDH|10766796854411173062</stp>
        <tr r="D93" s="12"/>
      </tp>
      <tp t="e">
        <v>#N/A</v>
        <stp/>
        <stp>BDH|12270282919256743492</stp>
        <tr r="O32" s="21"/>
      </tp>
      <tp t="e">
        <v>#N/A</v>
        <stp/>
        <stp>BDH|17584887376803208847</stp>
        <tr r="Y76" s="18"/>
      </tp>
      <tp t="e">
        <v>#N/A</v>
        <stp/>
        <stp>BDH|14363731219479403803</stp>
        <tr r="V131" s="18"/>
      </tp>
      <tp t="e">
        <v>#N/A</v>
        <stp/>
        <stp>BDH|15303336745155063481</stp>
        <tr r="J50" s="4"/>
      </tp>
      <tp t="e">
        <v>#N/A</v>
        <stp/>
        <stp>BDH|16125308329890562403</stp>
        <tr r="R13" s="10"/>
      </tp>
      <tp t="e">
        <v>#N/A</v>
        <stp/>
        <stp>BDH|13801461536071032655</stp>
        <tr r="V96" s="12"/>
      </tp>
      <tp t="e">
        <v>#N/A</v>
        <stp/>
        <stp>BDH|15852471850516458163</stp>
        <tr r="G34" s="34"/>
      </tp>
      <tp t="e">
        <v>#N/A</v>
        <stp/>
        <stp>BDH|14699828434169944542</stp>
        <tr r="T58" s="21"/>
        <tr r="T37" s="25"/>
        <tr r="R53" s="11"/>
        <tr r="R31" s="4"/>
      </tp>
      <tp t="e">
        <v>#N/A</v>
        <stp/>
        <stp>BDH|15298199373174173440</stp>
        <tr r="Q49" s="18"/>
      </tp>
      <tp t="e">
        <v>#N/A</v>
        <stp/>
        <stp>BDH|11650632529535778363</stp>
        <tr r="X45" s="12"/>
      </tp>
      <tp t="e">
        <v>#N/A</v>
        <stp/>
        <stp>BDH|17503984667869136269</stp>
        <tr r="W76" s="18"/>
      </tp>
      <tp t="e">
        <v>#N/A</v>
        <stp/>
        <stp>BDH|10471505311553945415</stp>
        <tr r="G55" s="18"/>
      </tp>
      <tp t="e">
        <v>#N/A</v>
        <stp/>
        <stp>BDH|17058738679514182065</stp>
        <tr r="Y15" s="4"/>
      </tp>
      <tp t="e">
        <v>#N/A</v>
        <stp/>
        <stp>BDH|12791382800947564571</stp>
        <tr r="P65" s="18"/>
      </tp>
      <tp t="e">
        <v>#N/A</v>
        <stp/>
        <stp>BDH|18111566217537458893</stp>
        <tr r="Q24" s="22"/>
      </tp>
      <tp t="e">
        <v>#N/A</v>
        <stp/>
        <stp>BDH|14188090803042494525</stp>
        <tr r="M36" s="6"/>
      </tp>
      <tp t="e">
        <v>#N/A</v>
        <stp/>
        <stp>BDH|15838507029856917746</stp>
        <tr r="J8" s="11"/>
      </tp>
      <tp t="e">
        <v>#N/A</v>
        <stp/>
        <stp>BDH|17623546584229997034</stp>
        <tr r="J56" s="24"/>
      </tp>
      <tp t="e">
        <v>#N/A</v>
        <stp/>
        <stp>BDH|15229838509377015942</stp>
        <tr r="P29" s="6"/>
      </tp>
      <tp t="e">
        <v>#N/A</v>
        <stp/>
        <stp>BDH|11900225415893054222</stp>
        <tr r="F7" s="8"/>
      </tp>
      <tp t="e">
        <v>#N/A</v>
        <stp/>
        <stp>BDH|10746998266774026843</stp>
        <tr r="H139" s="18"/>
      </tp>
      <tp t="e">
        <v>#N/A</v>
        <stp/>
        <stp>BDH|13108414196594836928</stp>
        <tr r="G123" s="18"/>
      </tp>
      <tp t="e">
        <v>#N/A</v>
        <stp/>
        <stp>BDH|12486466233744860255</stp>
        <tr r="N15" s="10"/>
      </tp>
      <tp t="e">
        <v>#N/A</v>
        <stp/>
        <stp>BDH|13017868933788809317</stp>
        <tr r="F25" s="26"/>
      </tp>
      <tp t="e">
        <v>#N/A</v>
        <stp/>
        <stp>BDH|10441150242590700688</stp>
        <tr r="V34" s="21"/>
      </tp>
      <tp t="e">
        <v>#N/A</v>
        <stp/>
        <stp>BDH|11536483803770273609</stp>
        <tr r="W70" s="12"/>
      </tp>
      <tp t="e">
        <v>#N/A</v>
        <stp/>
        <stp>BDH|13043385735586998684</stp>
        <tr r="E162" s="18"/>
      </tp>
      <tp t="e">
        <v>#N/A</v>
        <stp/>
        <stp>BDH|13827578107133325670</stp>
        <tr r="P22" s="18"/>
      </tp>
      <tp t="e">
        <v>#N/A</v>
        <stp/>
        <stp>BDH|16949333697298093714</stp>
        <tr r="D39" s="26"/>
      </tp>
      <tp t="e">
        <v>#N/A</v>
        <stp/>
        <stp>BDH|16408344909375601338</stp>
        <tr r="L91" s="17"/>
      </tp>
      <tp t="e">
        <v>#N/A</v>
        <stp/>
        <stp>BDH|15603890097207643029</stp>
        <tr r="W24" s="17"/>
      </tp>
      <tp t="e">
        <v>#N/A</v>
        <stp/>
        <stp>BDH|14555296556037389755</stp>
        <tr r="O35" s="21"/>
      </tp>
      <tp t="e">
        <v>#N/A</v>
        <stp/>
        <stp>BDH|10424108749831496755</stp>
        <tr r="V83" s="18"/>
      </tp>
      <tp t="e">
        <v>#N/A</v>
        <stp/>
        <stp>BDH|11652892031828606141</stp>
        <tr r="Q24" s="6"/>
      </tp>
      <tp t="e">
        <v>#N/A</v>
        <stp/>
        <stp>BDH|15630656208611650118</stp>
        <tr r="T49" s="13"/>
        <tr r="R45" s="10"/>
        <tr r="R37" s="11"/>
        <tr r="R53" s="4"/>
        <tr r="R18" s="2"/>
      </tp>
      <tp t="e">
        <v>#N/A</v>
        <stp/>
        <stp>BDH|17528280497609514638</stp>
        <tr r="Y7" s="10"/>
      </tp>
      <tp t="e">
        <v>#N/A</v>
        <stp/>
        <stp>BDH|16020613160280465599</stp>
        <tr r="H53" s="13"/>
      </tp>
      <tp t="e">
        <v>#N/A</v>
        <stp/>
        <stp>BDH|16104547579472788577</stp>
        <tr r="G29" s="24"/>
      </tp>
      <tp t="e">
        <v>#N/A</v>
        <stp/>
        <stp>BDH|13789085329920843223</stp>
        <tr r="AA27" s="18"/>
      </tp>
      <tp t="e">
        <v>#N/A</v>
        <stp/>
        <stp>BDH|10369152467786812250</stp>
        <tr r="G151" s="18"/>
      </tp>
      <tp t="e">
        <v>#N/A</v>
        <stp/>
        <stp>BDH|10598339454283713691</stp>
        <tr r="P38" s="22"/>
      </tp>
      <tp t="e">
        <v>#N/A</v>
        <stp/>
        <stp>BDH|10753800806072426997</stp>
        <tr r="M9" s="27"/>
      </tp>
      <tp t="e">
        <v>#N/A</v>
        <stp/>
        <stp>BDH|12936754096269157670</stp>
        <tr r="N65" s="17"/>
      </tp>
      <tp t="e">
        <v>#N/A</v>
        <stp/>
        <stp>BDH|13783299412904610769</stp>
        <tr r="E22" s="11"/>
      </tp>
      <tp t="e">
        <v>#N/A</v>
        <stp/>
        <stp>BDH|17926085701242533696</stp>
        <tr r="D146" s="18"/>
      </tp>
      <tp t="e">
        <v>#N/A</v>
        <stp/>
        <stp>BDH|17374483565537093128</stp>
        <tr r="V8" s="11"/>
      </tp>
      <tp t="e">
        <v>#N/A</v>
        <stp/>
        <stp>BDH|11850011656964639359</stp>
        <tr r="E174" s="18"/>
      </tp>
      <tp t="e">
        <v>#N/A</v>
        <stp/>
        <stp>BDH|16711681853477126111</stp>
        <tr r="I29" s="17"/>
      </tp>
      <tp t="e">
        <v>#N/A</v>
        <stp/>
        <stp>BDH|17163171275392833070</stp>
        <tr r="W13" s="23"/>
        <tr r="U57" s="11"/>
        <tr r="U38" s="4"/>
      </tp>
      <tp t="e">
        <v>#N/A</v>
        <stp/>
        <stp>BDH|10739697145333787209</stp>
        <tr r="U8" s="6"/>
      </tp>
      <tp t="e">
        <v>#N/A</v>
        <stp/>
        <stp>BDH|12898022049206980367</stp>
        <tr r="V12" s="27"/>
        <tr r="V26" s="25"/>
      </tp>
      <tp t="e">
        <v>#N/A</v>
        <stp/>
        <stp>BDH|16726036303224992129</stp>
        <tr r="F47" s="21"/>
      </tp>
      <tp t="e">
        <v>#N/A</v>
        <stp/>
        <stp>BDH|17253257775265767490</stp>
        <tr r="J12" s="11"/>
      </tp>
      <tp t="e">
        <v>#N/A</v>
        <stp/>
        <stp>BDH|15659597785282320954</stp>
        <tr r="M103" s="18"/>
      </tp>
      <tp t="e">
        <v>#N/A</v>
        <stp/>
        <stp>BDH|16720884621906085921</stp>
        <tr r="T68" s="12"/>
      </tp>
      <tp t="e">
        <v>#N/A</v>
        <stp/>
        <stp>BDH|13883159047494403120</stp>
        <tr r="W45" s="6"/>
      </tp>
      <tp t="e">
        <v>#N/A</v>
        <stp/>
        <stp>BDH|18137727644711874931</stp>
        <tr r="O98" s="18"/>
      </tp>
      <tp t="e">
        <v>#N/A</v>
        <stp/>
        <stp>BDH|17673232371845919418</stp>
        <tr r="F17" s="34"/>
      </tp>
      <tp t="e">
        <v>#N/A</v>
        <stp/>
        <stp>BDH|16919258413566784040</stp>
        <tr r="Y38" s="25"/>
      </tp>
      <tp t="e">
        <v>#N/A</v>
        <stp/>
        <stp>BDH|16996638736278509857</stp>
        <tr r="S9" s="10"/>
      </tp>
      <tp t="e">
        <v>#N/A</v>
        <stp/>
        <stp>BDH|17827216211645700236</stp>
        <tr r="C26" s="29"/>
      </tp>
      <tp t="e">
        <v>#N/A</v>
        <stp/>
        <stp>BDH|11347374451723061795</stp>
        <tr r="C6" s="20"/>
        <tr r="C108" s="18"/>
      </tp>
      <tp t="e">
        <v>#N/A</v>
        <stp/>
        <stp>BDH|12914748274594217546</stp>
        <tr r="H77" s="17"/>
        <tr r="H19" s="3"/>
      </tp>
      <tp t="e">
        <v>#N/A</v>
        <stp/>
        <stp>BDH|14697795855397543200</stp>
        <tr r="K20" s="25"/>
      </tp>
      <tp t="e">
        <v>#N/A</v>
        <stp/>
        <stp>BDH|12765368266401973516</stp>
        <tr r="W155" s="18"/>
      </tp>
      <tp t="e">
        <v>#N/A</v>
        <stp/>
        <stp>BDH|16211781621922072245</stp>
        <tr r="G6" s="19"/>
        <tr r="G35" s="17"/>
        <tr r="G16" s="3"/>
      </tp>
      <tp t="e">
        <v>#N/A</v>
        <stp/>
        <stp>BDH|11967827694856344536</stp>
        <tr r="E121" s="18"/>
      </tp>
      <tp t="e">
        <v>#N/A</v>
        <stp/>
        <stp>BDH|12951806420933284849</stp>
        <tr r="P170" s="18"/>
      </tp>
      <tp t="e">
        <v>#N/A</v>
        <stp/>
        <stp>BDH|14494103067085483588</stp>
        <tr r="F10" s="27"/>
        <tr r="F25" s="25"/>
      </tp>
      <tp t="e">
        <v>#N/A</v>
        <stp/>
        <stp>BDH|17877335409917927043</stp>
        <tr r="L57" s="24"/>
      </tp>
      <tp t="e">
        <v>#N/A</v>
        <stp/>
        <stp>BDH|13026763366056781783</stp>
        <tr r="Z136" s="18"/>
      </tp>
      <tp t="e">
        <v>#N/A</v>
        <stp/>
        <stp>BDH|11999027534507903692</stp>
        <tr r="C48" s="24"/>
      </tp>
      <tp t="e">
        <v>#N/A</v>
        <stp/>
        <stp>BDH|11391744129531752664</stp>
        <tr r="D45" s="22"/>
      </tp>
      <tp t="e">
        <v>#N/A</v>
        <stp/>
        <stp>BDH|13923341347236318168</stp>
        <tr r="D24" s="2"/>
      </tp>
      <tp t="e">
        <v>#N/A</v>
        <stp/>
        <stp>BDH|17795485026492557035</stp>
        <tr r="X40" s="13"/>
        <tr r="V36" s="10"/>
        <tr r="V28" s="11"/>
      </tp>
      <tp t="e">
        <v>#N/A</v>
        <stp/>
        <stp>BDH|17676197634542282465</stp>
        <tr r="M18" s="21"/>
        <tr r="M23" s="3"/>
        <tr r="K23" s="2"/>
      </tp>
      <tp t="e">
        <v>#N/A</v>
        <stp/>
        <stp>BDH|12185670813153359594</stp>
        <tr r="R31" s="18"/>
      </tp>
      <tp t="e">
        <v>#N/A</v>
        <stp/>
        <stp>BDH|12454083033940865286</stp>
        <tr r="F104" s="18"/>
      </tp>
      <tp t="e">
        <v>#N/A</v>
        <stp/>
        <stp>BDH|13199510299195673900</stp>
        <tr r="J8" s="6"/>
      </tp>
      <tp t="e">
        <v>#N/A</v>
        <stp/>
        <stp>BDH|17256049315184514192</stp>
        <tr r="V10" s="10"/>
      </tp>
      <tp t="e">
        <v>#N/A</v>
        <stp/>
        <stp>BDH|14007078068155418446</stp>
        <tr r="H31" s="12"/>
      </tp>
      <tp t="e">
        <v>#N/A</v>
        <stp/>
        <stp>BDH|11628125536880818053</stp>
        <tr r="F31" s="17"/>
      </tp>
      <tp t="e">
        <v>#N/A</v>
        <stp/>
        <stp>BDH|11141248412399840806</stp>
        <tr r="Q50" s="34"/>
      </tp>
      <tp t="e">
        <v>#N/A</v>
        <stp/>
        <stp>BDH|15647392931664843299</stp>
        <tr r="N16" s="21"/>
      </tp>
      <tp t="e">
        <v>#N/A</v>
        <stp/>
        <stp>BDH|15891123717650620643</stp>
        <tr r="M12" s="10"/>
      </tp>
      <tp t="e">
        <v>#N/A</v>
        <stp/>
        <stp>BDH|18415849344023279493</stp>
        <tr r="I41" s="21"/>
      </tp>
      <tp t="e">
        <v>#N/A</v>
        <stp/>
        <stp>BDH|16714342782536933879</stp>
        <tr r="D86" s="12"/>
      </tp>
      <tp t="e">
        <v>#N/A</v>
        <stp/>
        <stp>BDH|11098496122844405004</stp>
        <tr r="D26" s="17"/>
      </tp>
      <tp t="e">
        <v>#N/A</v>
        <stp/>
        <stp>BDH|17617796877427067376</stp>
        <tr r="Y38" s="22"/>
      </tp>
      <tp t="e">
        <v>#N/A</v>
        <stp/>
        <stp>BDH|17310548154540491487</stp>
        <tr r="Y15" s="13"/>
      </tp>
      <tp t="e">
        <v>#N/A</v>
        <stp/>
        <stp>BDH|15806696904392257282</stp>
        <tr r="S160" s="18"/>
      </tp>
      <tp t="e">
        <v>#N/A</v>
        <stp/>
        <stp>BDH|12617536501633803733</stp>
        <tr r="X39" s="26"/>
      </tp>
      <tp t="e">
        <v>#N/A</v>
        <stp/>
        <stp>BDH|14978401855495457376</stp>
        <tr r="X139" s="18"/>
      </tp>
      <tp t="e">
        <v>#N/A</v>
        <stp/>
        <stp>BDH|16839133541264558406</stp>
        <tr r="Y21" s="18"/>
      </tp>
      <tp t="e">
        <v>#N/A</v>
        <stp/>
        <stp>BDH|15387825900477783991</stp>
        <tr r="M30" s="11"/>
        <tr r="M38" s="10"/>
      </tp>
      <tp t="e">
        <v>#N/A</v>
        <stp/>
        <stp>BDH|17128195907536255327</stp>
        <tr r="N36" s="13"/>
        <tr r="L24" s="10"/>
        <tr r="L46" s="4"/>
      </tp>
      <tp t="e">
        <v>#N/A</v>
        <stp/>
        <stp>BDH|10036460360617812614</stp>
        <tr r="S22" s="21"/>
      </tp>
      <tp t="e">
        <v>#N/A</v>
        <stp/>
        <stp>BDH|13771261268730058463</stp>
        <tr r="M14" s="23"/>
      </tp>
      <tp t="e">
        <v>#N/A</v>
        <stp/>
        <stp>BDH|16902476001788555952</stp>
        <tr r="S13" s="8"/>
      </tp>
      <tp t="e">
        <v>#N/A</v>
        <stp/>
        <stp>BDH|12945937585764374435</stp>
        <tr r="R75" s="12"/>
      </tp>
      <tp t="e">
        <v>#N/A</v>
        <stp/>
        <stp>BDH|12712419009215264029</stp>
        <tr r="S37" s="26"/>
      </tp>
      <tp t="e">
        <v>#N/A</v>
        <stp/>
        <stp>BDH|13701790707335343252</stp>
        <tr r="X145" s="18"/>
      </tp>
      <tp t="e">
        <v>#N/A</v>
        <stp/>
        <stp>BDH|10220779552808106997</stp>
        <tr r="N17" s="23"/>
      </tp>
      <tp t="e">
        <v>#N/A</v>
        <stp/>
        <stp>BDH|18059885011811170364</stp>
        <tr r="I33" s="34"/>
      </tp>
      <tp t="e">
        <v>#N/A</v>
        <stp/>
        <stp>BDH|10318020714313295190</stp>
        <tr r="H12" s="25"/>
      </tp>
      <tp t="e">
        <v>#N/A</v>
        <stp/>
        <stp>BDH|17691162643600924144</stp>
        <tr r="AA41" s="18"/>
      </tp>
      <tp t="e">
        <v>#N/A</v>
        <stp/>
        <stp>BDH|15155733918483436308</stp>
        <tr r="E43" s="13"/>
      </tp>
      <tp t="e">
        <v>#N/A</v>
        <stp/>
        <stp>BDH|14294735811484629582</stp>
        <tr r="G9" s="18"/>
      </tp>
      <tp t="e">
        <v>#N/A</v>
        <stp/>
        <stp>BDH|11654249204929898904</stp>
        <tr r="P7" s="10"/>
      </tp>
      <tp t="e">
        <v>#N/A</v>
        <stp/>
        <stp>BDH|16434041949901505023</stp>
        <tr r="X46" s="24"/>
      </tp>
      <tp t="e">
        <v>#N/A</v>
        <stp/>
        <stp>BDH|16110668538638011816</stp>
        <tr r="V13" s="9"/>
      </tp>
      <tp t="e">
        <v>#N/A</v>
        <stp/>
        <stp>BDH|16986493009439585828</stp>
        <tr r="V31" s="17"/>
      </tp>
      <tp t="e">
        <v>#N/A</v>
        <stp/>
        <stp>BDH|15923468876483540625</stp>
        <tr r="U44" s="18"/>
      </tp>
      <tp t="e">
        <v>#N/A</v>
        <stp/>
        <stp>BDH|15346591500506787536</stp>
        <tr r="J43" s="24"/>
      </tp>
      <tp t="e">
        <v>#N/A</v>
        <stp/>
        <stp>BDH|14500318478595316611</stp>
        <tr r="E49" s="18"/>
      </tp>
      <tp t="e">
        <v>#N/A</v>
        <stp/>
        <stp>BDH|12584445207641013486</stp>
        <tr r="S54" s="34"/>
      </tp>
      <tp t="e">
        <v>#N/A</v>
        <stp/>
        <stp>BDH|17102890750419448023</stp>
        <tr r="E54" s="18"/>
      </tp>
      <tp t="e">
        <v>#N/A</v>
        <stp/>
        <stp>BDH|14860320284429684569</stp>
        <tr r="I138" s="18"/>
      </tp>
      <tp t="e">
        <v>#N/A</v>
        <stp/>
        <stp>BDH|16523107441217359790</stp>
        <tr r="H60" s="21"/>
      </tp>
      <tp t="e">
        <v>#N/A</v>
        <stp/>
        <stp>BDH|10364414669439037857</stp>
        <tr r="X44" s="18"/>
      </tp>
      <tp t="e">
        <v>#N/A</v>
        <stp/>
        <stp>BDH|13328231376330817500</stp>
        <tr r="Q158" s="18"/>
      </tp>
      <tp t="e">
        <v>#N/A</v>
        <stp/>
        <stp>BDH|16978443200156145720</stp>
        <tr r="S91" s="17"/>
      </tp>
      <tp t="e">
        <v>#N/A</v>
        <stp/>
        <stp>BDH|17990618405787226515</stp>
        <tr r="C53" s="6"/>
      </tp>
      <tp t="e">
        <v>#N/A</v>
        <stp/>
        <stp>BDH|11781294702911413165</stp>
        <tr r="R62" s="10"/>
      </tp>
      <tp t="e">
        <v>#N/A</v>
        <stp/>
        <stp>BDH|10674042310270801247</stp>
        <tr r="W40" s="17"/>
      </tp>
      <tp t="e">
        <v>#N/A</v>
        <stp/>
        <stp>BDH|10560441345454264785</stp>
        <tr r="V22" s="4"/>
      </tp>
      <tp t="e">
        <v>#N/A</v>
        <stp/>
        <stp>BDH|17662528233141066399</stp>
        <tr r="I45" s="6"/>
      </tp>
      <tp t="e">
        <v>#N/A</v>
        <stp/>
        <stp>BDH|16071133637187960034</stp>
        <tr r="W8" s="6"/>
      </tp>
      <tp t="e">
        <v>#N/A</v>
        <stp/>
        <stp>BDH|17822763696378229247</stp>
        <tr r="M23" s="24"/>
      </tp>
      <tp t="e">
        <v>#N/A</v>
        <stp/>
        <stp>BDH|18148931615271920203</stp>
        <tr r="E62" s="24"/>
      </tp>
      <tp t="e">
        <v>#N/A</v>
        <stp/>
        <stp>BDH|11647752874454161681</stp>
        <tr r="R10" s="28"/>
      </tp>
      <tp t="e">
        <v>#N/A</v>
        <stp/>
        <stp>BDH|15921680537891096286</stp>
        <tr r="X16" s="17"/>
        <tr r="X19" s="28"/>
      </tp>
      <tp t="e">
        <v>#N/A</v>
        <stp/>
        <stp>BDH|11105613404722900631</stp>
        <tr r="M51" s="24"/>
      </tp>
      <tp t="e">
        <v>#N/A</v>
        <stp/>
        <stp>BDH|14566277640597446684</stp>
        <tr r="K68" s="18"/>
      </tp>
      <tp t="e">
        <v>#N/A</v>
        <stp/>
        <stp>BDH|16516263416083245592</stp>
        <tr r="Y89" s="12"/>
      </tp>
      <tp t="e">
        <v>#N/A</v>
        <stp/>
        <stp>BDH|16008667379576135205</stp>
        <tr r="U18" s="18"/>
      </tp>
      <tp t="e">
        <v>#N/A</v>
        <stp/>
        <stp>BDH|16026678925545539498</stp>
        <tr r="K43" s="13"/>
      </tp>
      <tp t="e">
        <v>#N/A</v>
        <stp/>
        <stp>BDH|17309188663100114083</stp>
        <tr r="E10" s="21"/>
      </tp>
      <tp t="e">
        <v>#N/A</v>
        <stp/>
        <stp>BDH|12575738645406095729</stp>
        <tr r="I9" s="24"/>
      </tp>
      <tp t="e">
        <v>#N/A</v>
        <stp/>
        <stp>BDH|12180168834592061228</stp>
        <tr r="U25" s="21"/>
      </tp>
      <tp t="e">
        <v>#N/A</v>
        <stp/>
        <stp>BDH|13581523773981397062</stp>
        <tr r="E47" s="10"/>
        <tr r="E39" s="11"/>
        <tr r="E35" s="10"/>
        <tr r="E27" s="11"/>
      </tp>
      <tp t="e">
        <v>#N/A</v>
        <stp/>
        <stp>BDH|15691638711975714720</stp>
        <tr r="F17" s="9"/>
      </tp>
      <tp t="e">
        <v>#N/A</v>
        <stp/>
        <stp>BDH|16477736263426640138</stp>
        <tr r="J8" s="17"/>
      </tp>
      <tp t="e">
        <v>#N/A</v>
        <stp/>
        <stp>BDH|16669009326762645674</stp>
        <tr r="C80" s="18"/>
      </tp>
      <tp t="e">
        <v>#N/A</v>
        <stp/>
        <stp>BDH|12444203108464837458</stp>
        <tr r="L166" s="18"/>
      </tp>
      <tp t="e">
        <v>#N/A</v>
        <stp/>
        <stp>BDH|12075016867953135764</stp>
        <tr r="Q108" s="12"/>
      </tp>
      <tp t="e">
        <v>#N/A</v>
        <stp/>
        <stp>BDH|16069702269090196792</stp>
        <tr r="W15" s="10"/>
      </tp>
      <tp t="e">
        <v>#N/A</v>
        <stp/>
        <stp>BDH|17593261040545122431</stp>
        <tr r="V18" s="12"/>
      </tp>
      <tp t="e">
        <v>#N/A</v>
        <stp/>
        <stp>BDH|17192351418055552083</stp>
        <tr r="Z44" s="24"/>
      </tp>
      <tp t="e">
        <v>#N/A</v>
        <stp/>
        <stp>BDH|12557016234338985986</stp>
        <tr r="P41" s="21"/>
      </tp>
      <tp t="e">
        <v>#N/A</v>
        <stp/>
        <stp>BDH|17585415741592275563</stp>
        <tr r="L47" s="21"/>
      </tp>
      <tp t="e">
        <v>#N/A</v>
        <stp/>
        <stp>BDH|17983193676773734203</stp>
        <tr r="U16" s="18"/>
      </tp>
      <tp t="e">
        <v>#N/A</v>
        <stp/>
        <stp>BDH|10286627609517910117</stp>
        <tr r="C40" s="13"/>
      </tp>
      <tp t="e">
        <v>#N/A</v>
        <stp/>
        <stp>BDH|13454071647433351469</stp>
        <tr r="X70" s="12"/>
      </tp>
      <tp t="e">
        <v>#N/A</v>
        <stp/>
        <stp>BDH|13105409648912969115</stp>
        <tr r="U6" s="27"/>
      </tp>
      <tp t="e">
        <v>#N/A</v>
        <stp/>
        <stp>BDH|17537419487959382218</stp>
        <tr r="J28" s="12"/>
      </tp>
      <tp t="e">
        <v>#N/A</v>
        <stp/>
        <stp>BDH|11853390124541127151</stp>
        <tr r="E93" s="18"/>
      </tp>
      <tp t="e">
        <v>#N/A</v>
        <stp/>
        <stp>BDH|13316657440512697318</stp>
        <tr r="H9" s="34"/>
      </tp>
      <tp t="e">
        <v>#N/A</v>
        <stp/>
        <stp>BDH|11291242163785640029</stp>
        <tr r="C63" s="12"/>
      </tp>
      <tp t="e">
        <v>#N/A</v>
        <stp/>
        <stp>BDH|17552117046223048135</stp>
        <tr r="S39" s="11"/>
        <tr r="S27" s="11"/>
        <tr r="S47" s="10"/>
        <tr r="S35" s="10"/>
      </tp>
      <tp t="e">
        <v>#N/A</v>
        <stp/>
        <stp>BDH|10390582429710280715</stp>
        <tr r="N21" s="3"/>
      </tp>
      <tp t="e">
        <v>#N/A</v>
        <stp/>
        <stp>BDH|16031947596746165024</stp>
        <tr r="J61" s="12"/>
      </tp>
      <tp t="e">
        <v>#N/A</v>
        <stp/>
        <stp>BDH|17015701221073407141</stp>
        <tr r="X24" s="20"/>
      </tp>
      <tp t="e">
        <v>#N/A</v>
        <stp/>
        <stp>BDH|10375614574536263751</stp>
        <tr r="E15" s="17"/>
        <tr r="E18" s="28"/>
      </tp>
      <tp t="e">
        <v>#N/A</v>
        <stp/>
        <stp>BDH|17950192951372246127</stp>
        <tr r="P42" s="17"/>
      </tp>
      <tp t="e">
        <v>#N/A</v>
        <stp/>
        <stp>BDH|16985126863618187987</stp>
        <tr r="C21" s="12"/>
      </tp>
      <tp t="e">
        <v>#N/A</v>
        <stp/>
        <stp>BDH|14442404764541241736</stp>
        <tr r="U133" s="18"/>
      </tp>
      <tp t="e">
        <v>#N/A</v>
        <stp/>
        <stp>BDH|17055687504670875154</stp>
        <tr r="R34" s="17"/>
      </tp>
      <tp t="e">
        <v>#N/A</v>
        <stp/>
        <stp>BDH|11688018738326835466</stp>
        <tr r="S36" s="34"/>
      </tp>
      <tp t="e">
        <v>#N/A</v>
        <stp/>
        <stp>BDH|13842910522319327193</stp>
        <tr r="T6" s="27"/>
      </tp>
      <tp t="e">
        <v>#N/A</v>
        <stp/>
        <stp>BDH|14786549792358455041</stp>
        <tr r="N47" s="18"/>
      </tp>
      <tp t="e">
        <v>#N/A</v>
        <stp/>
        <stp>BDH|11889315711992860117</stp>
        <tr r="I43" s="4"/>
      </tp>
      <tp t="e">
        <v>#N/A</v>
        <stp/>
        <stp>BDH|17061013693417264912</stp>
        <tr r="F49" s="34"/>
      </tp>
      <tp t="e">
        <v>#N/A</v>
        <stp/>
        <stp>BDH|16082449631795402402</stp>
        <tr r="AA7" s="28"/>
      </tp>
      <tp t="e">
        <v>#N/A</v>
        <stp/>
        <stp>BDH|16019787518366563647</stp>
        <tr r="E34" s="17"/>
      </tp>
      <tp t="e">
        <v>#N/A</v>
        <stp/>
        <stp>BDH|14769023332370638701</stp>
        <tr r="P24" s="24"/>
      </tp>
      <tp t="e">
        <v>#N/A</v>
        <stp/>
        <stp>BDH|10102016635240292369</stp>
        <tr r="X71" s="24"/>
      </tp>
      <tp t="e">
        <v>#N/A</v>
        <stp/>
        <stp>BDH|15593237657334708666</stp>
        <tr r="K50" s="17"/>
      </tp>
      <tp t="e">
        <v>#N/A</v>
        <stp/>
        <stp>BDH|17964375885174815838</stp>
        <tr r="E100" s="18"/>
      </tp>
      <tp t="e">
        <v>#N/A</v>
        <stp/>
        <stp>BDH|12682152870367126320</stp>
        <tr r="I9" s="8"/>
        <tr r="G49" s="6"/>
      </tp>
      <tp t="e">
        <v>#N/A</v>
        <stp/>
        <stp>BDH|14278737664970013553</stp>
        <tr r="Z122" s="18"/>
      </tp>
      <tp t="e">
        <v>#N/A</v>
        <stp/>
        <stp>BDH|11093845080508761934</stp>
        <tr r="T85" s="17"/>
      </tp>
      <tp t="e">
        <v>#N/A</v>
        <stp/>
        <stp>BDH|13598974214489574234</stp>
        <tr r="W60" s="34"/>
      </tp>
      <tp t="e">
        <v>#N/A</v>
        <stp/>
        <stp>BDH|14381740351746262040</stp>
        <tr r="K9" s="34"/>
      </tp>
      <tp t="e">
        <v>#N/A</v>
        <stp/>
        <stp>BDH|12714205348860603495</stp>
        <tr r="O41" s="21"/>
      </tp>
      <tp t="e">
        <v>#N/A</v>
        <stp/>
        <stp>BDH|15717078411341069514</stp>
        <tr r="C175" s="18"/>
      </tp>
      <tp t="e">
        <v>#N/A</v>
        <stp/>
        <stp>BDH|16225021612901659647</stp>
        <tr r="N18" s="23"/>
      </tp>
      <tp t="e">
        <v>#N/A</v>
        <stp/>
        <stp>BDH|16494270499319216483</stp>
        <tr r="J26" s="7"/>
      </tp>
      <tp t="e">
        <v>#N/A</v>
        <stp/>
        <stp>BDH|11638354129059813929</stp>
        <tr r="S19" s="18"/>
      </tp>
      <tp t="e">
        <v>#N/A</v>
        <stp/>
        <stp>BDH|15199767449922911479</stp>
        <tr r="L72" s="17"/>
      </tp>
      <tp t="e">
        <v>#N/A</v>
        <stp/>
        <stp>BDH|13286620444316543710</stp>
        <tr r="O19" s="10"/>
      </tp>
      <tp t="e">
        <v>#N/A</v>
        <stp/>
        <stp>BDH|16286243890345356853</stp>
        <tr r="D67" s="12"/>
      </tp>
      <tp t="e">
        <v>#N/A</v>
        <stp/>
        <stp>BDH|17210387359802170327</stp>
        <tr r="U10" s="34"/>
      </tp>
      <tp t="e">
        <v>#N/A</v>
        <stp/>
        <stp>BDH|18135143632632237858</stp>
        <tr r="V13" s="27"/>
        <tr r="V27" s="25"/>
      </tp>
      <tp t="e">
        <v>#N/A</v>
        <stp/>
        <stp>BDH|11699006466524450343</stp>
        <tr r="E14" s="20"/>
        <tr r="E115" s="18"/>
      </tp>
      <tp t="e">
        <v>#N/A</v>
        <stp/>
        <stp>BDH|12479712730856005051</stp>
        <tr r="I22" s="21"/>
      </tp>
      <tp t="e">
        <v>#N/A</v>
        <stp/>
        <stp>BDH|15163631032836134610</stp>
        <tr r="Z13" s="22"/>
      </tp>
      <tp t="e">
        <v>#N/A</v>
        <stp/>
        <stp>BDH|14769689908882536027</stp>
        <tr r="N93" s="17"/>
        <tr r="N13" s="28"/>
      </tp>
      <tp t="e">
        <v>#N/A</v>
        <stp/>
        <stp>BDH|18267331206048364342</stp>
        <tr r="C8" s="27"/>
      </tp>
      <tp t="e">
        <v>#N/A</v>
        <stp/>
        <stp>BDH|12546046643537367112</stp>
        <tr r="G45" s="18"/>
      </tp>
      <tp t="e">
        <v>#N/A</v>
        <stp/>
        <stp>BDH|16647338221856114156</stp>
        <tr r="C11" s="13"/>
      </tp>
      <tp t="e">
        <v>#N/A</v>
        <stp/>
        <stp>BDH|17125665994329548163</stp>
        <tr r="AA177" s="18"/>
      </tp>
      <tp t="e">
        <v>#N/A</v>
        <stp/>
        <stp>BDH|10608747426824680125</stp>
        <tr r="T69" s="12"/>
      </tp>
      <tp t="e">
        <v>#N/A</v>
        <stp/>
        <stp>BDH|15469312480146562801</stp>
        <tr r="G60" s="24"/>
      </tp>
      <tp t="e">
        <v>#N/A</v>
        <stp/>
        <stp>BDH|13715850482607662463</stp>
        <tr r="U26" s="21"/>
      </tp>
      <tp t="e">
        <v>#N/A</v>
        <stp/>
        <stp>BDH|17435531327766240620</stp>
        <tr r="K42" s="12"/>
      </tp>
      <tp t="e">
        <v>#N/A</v>
        <stp/>
        <stp>BDH|11745290634360919036</stp>
        <tr r="S44" s="6"/>
      </tp>
      <tp t="e">
        <v>#N/A</v>
        <stp/>
        <stp>BDH|15021910987415662100</stp>
        <tr r="M55" s="18"/>
      </tp>
      <tp t="e">
        <v>#N/A</v>
        <stp/>
        <stp>BDH|15067033408501829432</stp>
        <tr r="Q23" s="17"/>
      </tp>
      <tp t="e">
        <v>#N/A</v>
        <stp/>
        <stp>BDH|13249479631122198655</stp>
        <tr r="T10" s="28"/>
      </tp>
      <tp t="e">
        <v>#N/A</v>
        <stp/>
        <stp>BDH|10209422768683152191</stp>
        <tr r="D13" s="7"/>
      </tp>
      <tp t="e">
        <v>#N/A</v>
        <stp/>
        <stp>BDH|13215187010497201485</stp>
        <tr r="N41" s="18"/>
      </tp>
      <tp t="e">
        <v>#N/A</v>
        <stp/>
        <stp>BDH|11959448475983919112</stp>
        <tr r="AA8" s="21"/>
      </tp>
      <tp t="e">
        <v>#N/A</v>
        <stp/>
        <stp>BDH|18369015491409783848</stp>
        <tr r="T100" s="18"/>
      </tp>
      <tp t="e">
        <v>#N/A</v>
        <stp/>
        <stp>BDH|12827673763637876547</stp>
        <tr r="N107" s="12"/>
      </tp>
      <tp t="e">
        <v>#N/A</v>
        <stp/>
        <stp>BDH|12885268615411323081</stp>
        <tr r="O43" s="22"/>
      </tp>
      <tp t="e">
        <v>#N/A</v>
        <stp/>
        <stp>BDH|10834393333419205903</stp>
        <tr r="D30" s="18"/>
      </tp>
      <tp t="e">
        <v>#N/A</v>
        <stp/>
        <stp>BDH|15139714165134039052</stp>
        <tr r="M21" s="34"/>
      </tp>
      <tp t="e">
        <v>#N/A</v>
        <stp/>
        <stp>BDH|15076530876511542600</stp>
        <tr r="O18" s="12"/>
      </tp>
      <tp t="e">
        <v>#N/A</v>
        <stp/>
        <stp>BDH|16436360868563963036</stp>
        <tr r="W9" s="27"/>
      </tp>
      <tp t="e">
        <v>#N/A</v>
        <stp/>
        <stp>BDH|16486970080752494570</stp>
        <tr r="G112" s="12"/>
      </tp>
      <tp t="e">
        <v>#N/A</v>
        <stp/>
        <stp>BDH|16638075943960393213</stp>
        <tr r="J128" s="18"/>
      </tp>
      <tp t="e">
        <v>#N/A</v>
        <stp/>
        <stp>BDH|18254283569529454573</stp>
        <tr r="D45" s="13"/>
      </tp>
      <tp t="e">
        <v>#N/A</v>
        <stp/>
        <stp>BDH|15741452371347480178</stp>
        <tr r="I50" s="18"/>
      </tp>
      <tp t="e">
        <v>#N/A</v>
        <stp/>
        <stp>BDH|10200367167320452574</stp>
        <tr r="Q12" s="13"/>
      </tp>
      <tp t="e">
        <v>#N/A</v>
        <stp/>
        <stp>BDH|14065212671569905894</stp>
        <tr r="I52" s="21"/>
      </tp>
      <tp t="e">
        <v>#N/A</v>
        <stp/>
        <stp>BDH|13592526410153220459</stp>
        <tr r="C28" s="17"/>
      </tp>
      <tp t="e">
        <v>#N/A</v>
        <stp/>
        <stp>BDH|11961972314321922830</stp>
        <tr r="O150" s="18"/>
      </tp>
      <tp t="e">
        <v>#N/A</v>
        <stp/>
        <stp>BDH|14059608434800060147</stp>
        <tr r="M111" s="12"/>
      </tp>
      <tp t="e">
        <v>#N/A</v>
        <stp/>
        <stp>BDH|15278036638257292181</stp>
        <tr r="R72" s="17"/>
      </tp>
      <tp t="e">
        <v>#N/A</v>
        <stp/>
        <stp>BDH|11940540664407290582</stp>
        <tr r="D28" s="21"/>
      </tp>
      <tp t="e">
        <v>#N/A</v>
        <stp/>
        <stp>BDH|16870115781647385887</stp>
        <tr r="J41" s="34"/>
      </tp>
      <tp t="e">
        <v>#N/A</v>
        <stp/>
        <stp>BDH|11843360713221986275</stp>
        <tr r="E107" s="12"/>
      </tp>
      <tp t="e">
        <v>#N/A</v>
        <stp/>
        <stp>BDH|18019011145999078574</stp>
        <tr r="X26" s="29"/>
      </tp>
      <tp t="e">
        <v>#N/A</v>
        <stp/>
        <stp>BDH|10365196319916200623</stp>
        <tr r="D23" s="9"/>
      </tp>
      <tp t="e">
        <v>#N/A</v>
        <stp/>
        <stp>BDH|13953423268976736776</stp>
        <tr r="C10" s="6"/>
      </tp>
      <tp t="e">
        <v>#N/A</v>
        <stp/>
        <stp>BDH|10532490788464177869</stp>
        <tr r="G21" s="34"/>
      </tp>
      <tp t="e">
        <v>#N/A</v>
        <stp/>
        <stp>BDH|12288989849989368636</stp>
        <tr r="D64" s="11"/>
        <tr r="D72" s="10"/>
      </tp>
      <tp t="e">
        <v>#N/A</v>
        <stp/>
        <stp>BDH|16433008394268606756</stp>
        <tr r="S85" s="17"/>
      </tp>
      <tp t="e">
        <v>#N/A</v>
        <stp/>
        <stp>BDH|10159311816677085555</stp>
        <tr r="Z10" s="17"/>
      </tp>
      <tp t="e">
        <v>#N/A</v>
        <stp/>
        <stp>BDH|14788528406025272429</stp>
        <tr r="E73" s="17"/>
      </tp>
      <tp t="e">
        <v>#N/A</v>
        <stp/>
        <stp>BDH|11539526916674251108</stp>
        <tr r="E13" s="2"/>
      </tp>
      <tp t="e">
        <v>#N/A</v>
        <stp/>
        <stp>BDH|14656708504635351620</stp>
        <tr r="I57" s="18"/>
      </tp>
      <tp t="e">
        <v>#N/A</v>
        <stp/>
        <stp>BDH|18445968193140450866</stp>
        <tr r="H17" s="20"/>
      </tp>
      <tp t="e">
        <v>#N/A</v>
        <stp/>
        <stp>BDH|14658349544066666537</stp>
        <tr r="Q41" s="11"/>
        <tr r="Q8" s="7"/>
        <tr r="Q49" s="10"/>
        <tr r="S11" s="3"/>
      </tp>
      <tp t="e">
        <v>#N/A</v>
        <stp/>
        <stp>BDH|12636129392983661938</stp>
        <tr r="Y8" s="23"/>
      </tp>
      <tp t="e">
        <v>#N/A</v>
        <stp/>
        <stp>BDH|12412670707496085270</stp>
        <tr r="L8" s="23"/>
      </tp>
      <tp t="e">
        <v>#N/A</v>
        <stp/>
        <stp>BDH|16417758322147163413</stp>
        <tr r="S12" s="24"/>
      </tp>
      <tp t="e">
        <v>#N/A</v>
        <stp/>
        <stp>BDH|14795047940580434044</stp>
        <tr r="Y11" s="18"/>
      </tp>
      <tp t="e">
        <v>#N/A</v>
        <stp/>
        <stp>BDH|16929673238735767623</stp>
        <tr r="P24" s="23"/>
        <tr r="P21" s="30"/>
      </tp>
      <tp t="e">
        <v>#N/A</v>
        <stp/>
        <stp>BDH|12950903959988799645</stp>
        <tr r="L48" s="24"/>
      </tp>
      <tp t="e">
        <v>#N/A</v>
        <stp/>
        <stp>BDH|11296879281365070477</stp>
        <tr r="I100" s="12"/>
      </tp>
      <tp t="e">
        <v>#N/A</v>
        <stp/>
        <stp>BDH|13743339060221699714</stp>
        <tr r="T132" s="18"/>
      </tp>
      <tp t="e">
        <v>#N/A</v>
        <stp/>
        <stp>BDH|12565861075544355965</stp>
        <tr r="W30" s="26"/>
      </tp>
      <tp t="e">
        <v>#N/A</v>
        <stp/>
        <stp>BDH|14153382355667916562</stp>
        <tr r="Q34" s="18"/>
      </tp>
      <tp t="e">
        <v>#N/A</v>
        <stp/>
        <stp>BDH|13632182112751648293</stp>
        <tr r="C47" s="34"/>
      </tp>
      <tp t="e">
        <v>#N/A</v>
        <stp/>
        <stp>BDH|10813348951813692589</stp>
        <tr r="J78" s="18"/>
      </tp>
      <tp t="e">
        <v>#N/A</v>
        <stp/>
        <stp>BDH|17994761056501898424</stp>
        <tr r="Q8" s="10"/>
      </tp>
      <tp t="e">
        <v>#N/A</v>
        <stp/>
        <stp>BDH|13259645668921412298</stp>
        <tr r="K10" s="24"/>
      </tp>
      <tp t="e">
        <v>#N/A</v>
        <stp/>
        <stp>BDH|10741624956784870780</stp>
        <tr r="S22" s="11"/>
      </tp>
      <tp t="e">
        <v>#N/A</v>
        <stp/>
        <stp>BDH|11687549873523042027</stp>
        <tr r="J11" s="20"/>
        <tr r="J112" s="18"/>
      </tp>
      <tp t="e">
        <v>#N/A</v>
        <stp/>
        <stp>BDH|17953582733751954082</stp>
        <tr r="R83" s="17"/>
      </tp>
      <tp t="e">
        <v>#N/A</v>
        <stp/>
        <stp>BDH|13952784672692509150</stp>
        <tr r="U37" s="29"/>
        <tr r="U17" s="29"/>
      </tp>
      <tp t="e">
        <v>#N/A</v>
        <stp/>
        <stp>BDH|18174737361411832880</stp>
        <tr r="E52" s="13"/>
        <tr r="C47" s="11"/>
        <tr r="C17" s="7"/>
        <tr r="C55" s="10"/>
        <tr r="C17" s="4"/>
        <tr r="E10" s="3"/>
      </tp>
      <tp t="e">
        <v>#N/A</v>
        <stp/>
        <stp>BDH|13226614008173096689</stp>
        <tr r="D176" s="18"/>
      </tp>
      <tp t="e">
        <v>#N/A</v>
        <stp/>
        <stp>BDH|12961214058175013034</stp>
        <tr r="U25" s="12"/>
      </tp>
      <tp t="e">
        <v>#N/A</v>
        <stp/>
        <stp>BDH|10259808841169697563</stp>
        <tr r="F26" s="11"/>
        <tr r="F34" s="10"/>
      </tp>
      <tp t="e">
        <v>#N/A</v>
        <stp/>
        <stp>BDH|12939245938765408624</stp>
        <tr r="P27" s="11"/>
        <tr r="P39" s="11"/>
        <tr r="P47" s="10"/>
        <tr r="P35" s="10"/>
      </tp>
      <tp t="e">
        <v>#N/A</v>
        <stp/>
        <stp>BDH|16502092098067062871</stp>
        <tr r="AA61" s="18"/>
      </tp>
      <tp t="e">
        <v>#N/A</v>
        <stp/>
        <stp>BDH|11090500013280267529</stp>
        <tr r="Z70" s="24"/>
      </tp>
      <tp t="e">
        <v>#N/A</v>
        <stp/>
        <stp>BDH|14615769706182326170</stp>
        <tr r="I21" s="20"/>
      </tp>
      <tp t="e">
        <v>#N/A</v>
        <stp/>
        <stp>BDH|13181096283203002897</stp>
        <tr r="L61" s="34"/>
      </tp>
      <tp t="e">
        <v>#N/A</v>
        <stp/>
        <stp>BDH|18356928079177373190</stp>
        <tr r="E36" s="18"/>
      </tp>
      <tp t="e">
        <v>#N/A</v>
        <stp/>
        <stp>BDH|15150653427892541340</stp>
        <tr r="U79" s="18"/>
      </tp>
      <tp t="e">
        <v>#N/A</v>
        <stp/>
        <stp>BDH|18168703587150097747</stp>
        <tr r="Q67" s="18"/>
      </tp>
      <tp t="e">
        <v>#N/A</v>
        <stp/>
        <stp>BDH|11546424708837934241</stp>
        <tr r="Y27" s="12"/>
      </tp>
      <tp t="e">
        <v>#N/A</v>
        <stp/>
        <stp>BDH|15045448355550061435</stp>
        <tr r="D55" s="13"/>
      </tp>
      <tp t="e">
        <v>#N/A</v>
        <stp/>
        <stp>BDH|12779538067380514144</stp>
        <tr r="C14" s="27"/>
        <tr r="C28" s="25"/>
      </tp>
      <tp t="e">
        <v>#N/A</v>
        <stp/>
        <stp>BDH|12789650804056533212</stp>
        <tr r="F26" s="18"/>
      </tp>
      <tp t="e">
        <v>#N/A</v>
        <stp/>
        <stp>BDH|18079720993533734548</stp>
        <tr r="T41" s="12"/>
      </tp>
      <tp t="e">
        <v>#N/A</v>
        <stp/>
        <stp>BDH|17751447746435563228</stp>
        <tr r="V21" s="21"/>
      </tp>
      <tp t="e">
        <v>#N/A</v>
        <stp/>
        <stp>BDH|15479170806657486331</stp>
        <tr r="D74" s="18"/>
      </tp>
      <tp t="e">
        <v>#N/A</v>
        <stp/>
        <stp>BDH|13283544127137045336</stp>
        <tr r="P54" s="17"/>
      </tp>
      <tp t="e">
        <v>#N/A</v>
        <stp/>
        <stp>BDH|16687675508144837430</stp>
        <tr r="O8" s="28"/>
      </tp>
      <tp t="e">
        <v>#N/A</v>
        <stp/>
        <stp>BDH|11180270260775315071</stp>
        <tr r="K35" s="22"/>
      </tp>
      <tp t="e">
        <v>#N/A</v>
        <stp/>
        <stp>BDH|11922769963320656083</stp>
        <tr r="H8" s="11"/>
      </tp>
      <tp t="e">
        <v>#N/A</v>
        <stp/>
        <stp>BDH|13358581278212094311</stp>
        <tr r="E37" s="22"/>
      </tp>
      <tp t="e">
        <v>#N/A</v>
        <stp/>
        <stp>BDH|12689273368012841431</stp>
        <tr r="V34" s="18"/>
      </tp>
      <tp t="e">
        <v>#N/A</v>
        <stp/>
        <stp>BDH|12355470413651647639</stp>
        <tr r="G130" s="18"/>
      </tp>
      <tp t="e">
        <v>#N/A</v>
        <stp/>
        <stp>BDH|14948041795978271586</stp>
        <tr r="V30" s="18"/>
      </tp>
      <tp t="e">
        <v>#N/A</v>
        <stp/>
        <stp>BDH|12606559610542882499</stp>
        <tr r="G45" s="22"/>
      </tp>
      <tp t="e">
        <v>#N/A</v>
        <stp/>
        <stp>BDH|16710705000350125148</stp>
        <tr r="Z15" s="21"/>
      </tp>
      <tp t="e">
        <v>#N/A</v>
        <stp/>
        <stp>BDH|12985801915368625384</stp>
        <tr r="J35" s="13"/>
        <tr r="H31" s="10"/>
      </tp>
      <tp t="e">
        <v>#N/A</v>
        <stp/>
        <stp>BDH|15476178397399076467</stp>
        <tr r="M63" s="18"/>
      </tp>
      <tp t="e">
        <v>#N/A</v>
        <stp/>
        <stp>BDH|11224267743170191741</stp>
        <tr r="P21" s="27"/>
      </tp>
      <tp t="e">
        <v>#N/A</v>
        <stp/>
        <stp>BDH|12043101046147583010</stp>
        <tr r="F18" s="24"/>
      </tp>
      <tp t="e">
        <v>#N/A</v>
        <stp/>
        <stp>BDH|17784640500474467556</stp>
        <tr r="I48" s="13"/>
      </tp>
      <tp t="e">
        <v>#N/A</v>
        <stp/>
        <stp>BDH|13700362522971530344</stp>
        <tr r="K28" s="26"/>
      </tp>
      <tp t="e">
        <v>#N/A</v>
        <stp/>
        <stp>BDH|13525668967443495024</stp>
        <tr r="W27" s="26"/>
      </tp>
      <tp t="e">
        <v>#N/A</v>
        <stp/>
        <stp>BDH|17540827985621244622</stp>
        <tr r="C13" s="14"/>
      </tp>
      <tp t="e">
        <v>#N/A</v>
        <stp/>
        <stp>BDH|13738026401395305655</stp>
        <tr r="K34" s="13"/>
        <tr r="I30" s="10"/>
      </tp>
      <tp t="e">
        <v>#N/A</v>
        <stp/>
        <stp>BDH|13390381468660990685</stp>
        <tr r="V46" s="22"/>
      </tp>
      <tp t="e">
        <v>#N/A</v>
        <stp/>
        <stp>BDH|13245368315593790241</stp>
        <tr r="W16" s="6"/>
      </tp>
      <tp t="e">
        <v>#N/A</v>
        <stp/>
        <stp>BDH|11086634862210377108</stp>
        <tr r="N22" s="5"/>
      </tp>
      <tp t="e">
        <v>#N/A</v>
        <stp/>
        <stp>BDH|17520297048928097964</stp>
        <tr r="T9" s="12"/>
      </tp>
      <tp t="e">
        <v>#N/A</v>
        <stp/>
        <stp>BDH|17266650130413441117</stp>
        <tr r="U13" s="23"/>
        <tr r="S57" s="11"/>
        <tr r="S38" s="4"/>
      </tp>
      <tp t="e">
        <v>#N/A</v>
        <stp/>
        <stp>BDH|16090148026616943392</stp>
        <tr r="O55" s="17"/>
      </tp>
      <tp t="e">
        <v>#N/A</v>
        <stp/>
        <stp>BDH|14216235334707374244</stp>
        <tr r="T43" s="6"/>
        <tr r="T19" s="5"/>
      </tp>
      <tp t="e">
        <v>#N/A</v>
        <stp/>
        <stp>BDH|14889982865649047278</stp>
        <tr r="P46" s="24"/>
      </tp>
      <tp t="e">
        <v>#N/A</v>
        <stp/>
        <stp>BDH|14892530009480036109</stp>
        <tr r="E33" s="34"/>
      </tp>
      <tp t="e">
        <v>#N/A</v>
        <stp/>
        <stp>BDH|13709466064076330742</stp>
        <tr r="K104" s="12"/>
      </tp>
      <tp t="e">
        <v>#N/A</v>
        <stp/>
        <stp>BDH|13152305066522554407</stp>
        <tr r="K141" s="18"/>
      </tp>
      <tp t="e">
        <v>#N/A</v>
        <stp/>
        <stp>BDH|14518075547201199168</stp>
        <tr r="Y8" s="21"/>
      </tp>
      <tp t="e">
        <v>#N/A</v>
        <stp/>
        <stp>BDH|17143017237705737120</stp>
        <tr r="X118" s="18"/>
      </tp>
      <tp t="e">
        <v>#N/A</v>
        <stp/>
        <stp>BDH|12955430834527553293</stp>
        <tr r="C139" s="18"/>
      </tp>
      <tp t="e">
        <v>#N/A</v>
        <stp/>
        <stp>BDH|10472863150008021500</stp>
        <tr r="C128" s="18"/>
      </tp>
      <tp t="e">
        <v>#N/A</v>
        <stp/>
        <stp>BDH|16880988243388635375</stp>
        <tr r="W27" s="25"/>
        <tr r="W13" s="27"/>
      </tp>
      <tp t="e">
        <v>#N/A</v>
        <stp/>
        <stp>BDH|10970452681944989860</stp>
        <tr r="H81" s="12"/>
      </tp>
      <tp t="e">
        <v>#N/A</v>
        <stp/>
        <stp>BDH|18253470802398308462</stp>
        <tr r="P59" s="17"/>
      </tp>
      <tp t="e">
        <v>#N/A</v>
        <stp/>
        <stp>BDH|10010307204063022060</stp>
        <tr r="P89" s="18"/>
      </tp>
      <tp t="e">
        <v>#N/A</v>
        <stp/>
        <stp>BDH|11982617314673947579</stp>
        <tr r="J84" s="17"/>
      </tp>
      <tp t="e">
        <v>#N/A</v>
        <stp/>
        <stp>BDH|13026897374209916562</stp>
        <tr r="I18" s="34"/>
      </tp>
      <tp t="e">
        <v>#N/A</v>
        <stp/>
        <stp>BDH|11094566418972898734</stp>
        <tr r="AA105" s="18"/>
      </tp>
      <tp t="e">
        <v>#N/A</v>
        <stp/>
        <stp>BDH|10882635365657945724</stp>
        <tr r="C78" s="18"/>
      </tp>
      <tp t="e">
        <v>#N/A</v>
        <stp/>
        <stp>BDH|12824055075884421197</stp>
        <tr r="G21" s="18"/>
      </tp>
      <tp t="e">
        <v>#N/A</v>
        <stp/>
        <stp>BDH|16479330540269064829</stp>
        <tr r="N30" s="9"/>
      </tp>
      <tp t="e">
        <v>#N/A</v>
        <stp/>
        <stp>BDH|16040958453868487276</stp>
        <tr r="Q40" s="24"/>
      </tp>
      <tp t="e">
        <v>#N/A</v>
        <stp/>
        <stp>BDH|15470929279429937233</stp>
        <tr r="L63" s="24"/>
      </tp>
      <tp t="e">
        <v>#N/A</v>
        <stp/>
        <stp>BDH|12648969910173716927</stp>
        <tr r="K71" s="10"/>
        <tr r="K63" s="11"/>
      </tp>
      <tp t="e">
        <v>#N/A</v>
        <stp/>
        <stp>BDH|11581284954354951252</stp>
        <tr r="N10" s="30"/>
      </tp>
      <tp t="e">
        <v>#N/A</v>
        <stp/>
        <stp>BDH|11432564363097371578</stp>
        <tr r="O8" s="14"/>
      </tp>
      <tp t="e">
        <v>#N/A</v>
        <stp/>
        <stp>BDH|13392747962657544554</stp>
        <tr r="Z62" s="12"/>
      </tp>
      <tp t="e">
        <v>#N/A</v>
        <stp/>
        <stp>BDH|10477773323190648539</stp>
        <tr r="T18" s="17"/>
      </tp>
      <tp t="e">
        <v>#N/A</v>
        <stp/>
        <stp>BDH|11289359196442595913</stp>
        <tr r="P21" s="9"/>
        <tr r="P21" s="5"/>
      </tp>
      <tp t="e">
        <v>#N/A</v>
        <stp/>
        <stp>BDH|12504779801626332352</stp>
        <tr r="C173" s="18"/>
      </tp>
      <tp t="e">
        <v>#N/A</v>
        <stp/>
        <stp>BDH|11850219703365777686</stp>
        <tr r="H60" s="18"/>
      </tp>
      <tp t="e">
        <v>#N/A</v>
        <stp/>
        <stp>BDH|11650815494904349451</stp>
        <tr r="P10" s="21"/>
      </tp>
      <tp t="e">
        <v>#N/A</v>
        <stp/>
        <stp>BDH|18146508495244179005</stp>
        <tr r="N78" s="18"/>
      </tp>
      <tp t="e">
        <v>#N/A</v>
        <stp/>
        <stp>BDH|10143715603767098063</stp>
        <tr r="T16" s="34"/>
      </tp>
      <tp t="e">
        <v>#N/A</v>
        <stp/>
        <stp>BDH|18039748953199112337</stp>
        <tr r="K39" s="4"/>
        <tr r="K65" s="10"/>
      </tp>
      <tp t="e">
        <v>#N/A</v>
        <stp/>
        <stp>BDH|14100014814995434052</stp>
        <tr r="P25" s="17"/>
      </tp>
      <tp t="e">
        <v>#N/A</v>
        <stp/>
        <stp>BDH|11210342721883119336</stp>
        <tr r="G21" s="17"/>
        <tr r="G15" s="3"/>
      </tp>
      <tp t="e">
        <v>#N/A</v>
        <stp/>
        <stp>BDH|13103776602067231339</stp>
        <tr r="U18" s="29"/>
        <tr r="U38" s="29"/>
      </tp>
      <tp t="e">
        <v>#N/A</v>
        <stp/>
        <stp>BDH|15731058381088087560</stp>
        <tr r="X62" s="12"/>
      </tp>
      <tp t="e">
        <v>#N/A</v>
        <stp/>
        <stp>BDH|16249395916195063185</stp>
        <tr r="S42" s="4"/>
      </tp>
      <tp t="e">
        <v>#N/A</v>
        <stp/>
        <stp>BDH|10156711807985170239</stp>
        <tr r="AA14" s="13"/>
      </tp>
      <tp t="e">
        <v>#N/A</v>
        <stp/>
        <stp>BDH|12122329544844259104</stp>
        <tr r="O58" s="24"/>
      </tp>
      <tp t="e">
        <v>#N/A</v>
        <stp/>
        <stp>BDH|15062588121614827648</stp>
        <tr r="X57" s="34"/>
      </tp>
      <tp t="e">
        <v>#N/A</v>
        <stp/>
        <stp>BDH|17313753416395071457</stp>
        <tr r="G32" s="24"/>
      </tp>
      <tp t="e">
        <v>#N/A</v>
        <stp/>
        <stp>BDH|17436915962461630940</stp>
        <tr r="L8" s="6"/>
      </tp>
      <tp t="e">
        <v>#N/A</v>
        <stp/>
        <stp>BDH|17145745237200571325</stp>
        <tr r="D8" s="22"/>
      </tp>
      <tp t="e">
        <v>#N/A</v>
        <stp/>
        <stp>BDH|17012998267130386880</stp>
        <tr r="E7" s="17"/>
      </tp>
      <tp t="e">
        <v>#N/A</v>
        <stp/>
        <stp>BDH|14433337192967783975</stp>
        <tr r="AA7" s="30"/>
      </tp>
      <tp t="e">
        <v>#N/A</v>
        <stp/>
        <stp>BDH|15274570457682467730</stp>
        <tr r="Y23" s="11"/>
      </tp>
      <tp t="e">
        <v>#N/A</v>
        <stp/>
        <stp>BDH|11033564786315450916</stp>
        <tr r="L8" s="34"/>
      </tp>
      <tp t="e">
        <v>#N/A</v>
        <stp/>
        <stp>BDH|14491228149906991436</stp>
        <tr r="P50" s="21"/>
      </tp>
      <tp t="e">
        <v>#N/A</v>
        <stp/>
        <stp>BDH|13241641563645953691</stp>
        <tr r="V59" s="21"/>
        <tr r="T54" s="11"/>
      </tp>
      <tp t="e">
        <v>#N/A</v>
        <stp/>
        <stp>BDH|17906776518780547163</stp>
        <tr r="M12" s="26"/>
      </tp>
      <tp t="e">
        <v>#N/A</v>
        <stp/>
        <stp>BDH|11345423796588461462</stp>
        <tr r="Q61" s="21"/>
        <tr r="O25" s="2"/>
      </tp>
      <tp t="e">
        <v>#N/A</v>
        <stp/>
        <stp>BDH|14634065309923591790</stp>
        <tr r="R36" s="13"/>
        <tr r="P24" s="10"/>
        <tr r="P46" s="4"/>
      </tp>
      <tp t="e">
        <v>#N/A</v>
        <stp/>
        <stp>BDH|14526065576285534653</stp>
        <tr r="E10" s="23"/>
      </tp>
      <tp t="e">
        <v>#N/A</v>
        <stp/>
        <stp>BDH|17388540612417606469</stp>
        <tr r="W59" s="21"/>
        <tr r="U54" s="11"/>
      </tp>
      <tp t="e">
        <v>#N/A</v>
        <stp/>
        <stp>BDH|16258665530462933182</stp>
        <tr r="P9" s="23"/>
      </tp>
      <tp t="e">
        <v>#N/A</v>
        <stp/>
        <stp>BDH|13780588149672418073</stp>
        <tr r="M10" s="28"/>
      </tp>
      <tp t="e">
        <v>#N/A</v>
        <stp/>
        <stp>BDH|12932119425983847203</stp>
        <tr r="G108" s="12"/>
      </tp>
      <tp t="e">
        <v>#N/A</v>
        <stp/>
        <stp>BDH|14679823251708142113</stp>
        <tr r="S13" s="11"/>
      </tp>
      <tp t="e">
        <v>#N/A</v>
        <stp/>
        <stp>BDH|18172238891652244149</stp>
        <tr r="O7" s="8"/>
      </tp>
      <tp t="e">
        <v>#N/A</v>
        <stp/>
        <stp>BDH|14604705671977790351</stp>
        <tr r="Q15" s="4"/>
      </tp>
      <tp t="e">
        <v>#N/A</v>
        <stp/>
        <stp>BDH|16811641985289941152</stp>
        <tr r="T32" s="24"/>
      </tp>
      <tp t="e">
        <v>#N/A</v>
        <stp/>
        <stp>BDH|11457317173254633157</stp>
        <tr r="M33" s="11"/>
        <tr r="M41" s="10"/>
      </tp>
      <tp t="e">
        <v>#N/A</v>
        <stp/>
        <stp>BDH|15643570864541430759</stp>
        <tr r="G25" s="6"/>
      </tp>
      <tp t="e">
        <v>#N/A</v>
        <stp/>
        <stp>BDH|12346123371945373170</stp>
        <tr r="G13" s="22"/>
      </tp>
      <tp t="e">
        <v>#N/A</v>
        <stp/>
        <stp>BDH|13067495496956874834</stp>
        <tr r="O86" s="12"/>
      </tp>
      <tp t="e">
        <v>#N/A</v>
        <stp/>
        <stp>BDH|15878349009777510140</stp>
        <tr r="C34" s="26"/>
      </tp>
      <tp t="e">
        <v>#N/A</v>
        <stp/>
        <stp>BDH|12661226462872796459</stp>
        <tr r="Y121" s="18"/>
      </tp>
      <tp t="e">
        <v>#N/A</v>
        <stp/>
        <stp>BDH|12880426229261310545</stp>
        <tr r="F33" s="10"/>
        <tr r="F25" s="11"/>
      </tp>
      <tp t="e">
        <v>#N/A</v>
        <stp/>
        <stp>BDH|16603488335712737384</stp>
        <tr r="I89" s="18"/>
      </tp>
      <tp t="e">
        <v>#N/A</v>
        <stp/>
        <stp>BDH|16238057852114883795</stp>
        <tr r="W21" s="24"/>
      </tp>
      <tp t="e">
        <v>#N/A</v>
        <stp/>
        <stp>BDH|17150484520566851759</stp>
        <tr r="L8" s="21"/>
      </tp>
      <tp t="e">
        <v>#N/A</v>
        <stp/>
        <stp>BDH|15023943173933016836</stp>
        <tr r="AA23" s="20"/>
      </tp>
      <tp t="e">
        <v>#N/A</v>
        <stp/>
        <stp>BDH|10846488624145766374</stp>
        <tr r="R8" s="27"/>
      </tp>
      <tp t="e">
        <v>#N/A</v>
        <stp/>
        <stp>BDH|15639954460179482330</stp>
        <tr r="M9" s="24"/>
      </tp>
      <tp t="e">
        <v>#N/A</v>
        <stp/>
        <stp>BDH|14293132751476774636</stp>
        <tr r="Q17" s="14"/>
      </tp>
      <tp t="e">
        <v>#N/A</v>
        <stp/>
        <stp>BDH|12711034925393398362</stp>
        <tr r="X17" s="17"/>
        <tr r="X20" s="28"/>
      </tp>
      <tp t="e">
        <v>#N/A</v>
        <stp/>
        <stp>BDH|14774728556594729205</stp>
        <tr r="Q130" s="18"/>
      </tp>
      <tp t="e">
        <v>#N/A</v>
        <stp/>
        <stp>BDH|10614597708823658657</stp>
        <tr r="L86" s="17"/>
      </tp>
      <tp t="e">
        <v>#N/A</v>
        <stp/>
        <stp>BDH|17070822945942135923</stp>
        <tr r="J32" s="12"/>
      </tp>
      <tp t="e">
        <v>#N/A</v>
        <stp/>
        <stp>BDH|10508604829222189692</stp>
        <tr r="Q23" s="26"/>
      </tp>
      <tp t="e">
        <v>#N/A</v>
        <stp/>
        <stp>BDH|16180159096066185875</stp>
        <tr r="L15" s="26"/>
      </tp>
      <tp t="e">
        <v>#N/A</v>
        <stp/>
        <stp>BDH|10191101844826457356</stp>
        <tr r="T73" s="12"/>
      </tp>
      <tp t="e">
        <v>#N/A</v>
        <stp/>
        <stp>BDH|11285428714883020709</stp>
        <tr r="W49" s="34"/>
      </tp>
      <tp t="e">
        <v>#N/A</v>
        <stp/>
        <stp>BDH|15049413325495309630</stp>
        <tr r="N66" s="17"/>
      </tp>
      <tp t="e">
        <v>#N/A</v>
        <stp/>
        <stp>BDH|15752559570863643403</stp>
        <tr r="Q34" s="21"/>
      </tp>
      <tp t="e">
        <v>#N/A</v>
        <stp/>
        <stp>BDH|16176412110716669526</stp>
        <tr r="T22" s="4"/>
      </tp>
      <tp t="e">
        <v>#N/A</v>
        <stp/>
        <stp>BDH|10002150640166269335</stp>
        <tr r="Q30" s="5"/>
      </tp>
      <tp t="e">
        <v>#N/A</v>
        <stp/>
        <stp>BDH|15228343786329709730</stp>
        <tr r="R20" s="17"/>
      </tp>
      <tp t="e">
        <v>#N/A</v>
        <stp/>
        <stp>BDH|16178771629166816537</stp>
        <tr r="S8" s="14"/>
      </tp>
      <tp t="e">
        <v>#N/A</v>
        <stp/>
        <stp>BDH|13019110227298418863</stp>
        <tr r="M8" s="27"/>
      </tp>
      <tp t="e">
        <v>#N/A</v>
        <stp/>
        <stp>BDH|16697686126972429084</stp>
        <tr r="K137" s="18"/>
      </tp>
      <tp t="e">
        <v>#N/A</v>
        <stp/>
        <stp>BDH|14805496220863791127</stp>
        <tr r="AA47" s="18"/>
      </tp>
      <tp t="e">
        <v>#N/A</v>
        <stp/>
        <stp>BDH|11009664457437534504</stp>
        <tr r="AA14" s="27"/>
        <tr r="AA28" s="25"/>
      </tp>
      <tp t="e">
        <v>#N/A</v>
        <stp/>
        <stp>BDH|15729841317518501451</stp>
        <tr r="T67" s="10"/>
      </tp>
      <tp t="e">
        <v>#N/A</v>
        <stp/>
        <stp>BDH|18179713096272559474</stp>
        <tr r="G29" s="6"/>
      </tp>
      <tp t="e">
        <v>#N/A</v>
        <stp/>
        <stp>BDH|11925597633564051373</stp>
        <tr r="V32" s="11"/>
        <tr r="V40" s="10"/>
      </tp>
      <tp t="e">
        <v>#N/A</v>
        <stp/>
        <stp>BDH|13083312263823213545</stp>
        <tr r="E80" s="12"/>
      </tp>
      <tp t="e">
        <v>#N/A</v>
        <stp/>
        <stp>BDH|14558344770772011252</stp>
        <tr r="V50" s="18"/>
      </tp>
      <tp t="e">
        <v>#N/A</v>
        <stp/>
        <stp>BDH|18345879481381082913</stp>
        <tr r="R9" s="27"/>
      </tp>
      <tp t="e">
        <v>#N/A</v>
        <stp/>
        <stp>BDH|17626141372258543910</stp>
        <tr r="T170" s="18"/>
      </tp>
      <tp t="e">
        <v>#N/A</v>
        <stp/>
        <stp>BDH|10381830085705089513</stp>
        <tr r="T14" s="28"/>
      </tp>
      <tp t="e">
        <v>#N/A</v>
        <stp/>
        <stp>BDH|18168432933106079956</stp>
        <tr r="F64" s="17"/>
      </tp>
      <tp t="e">
        <v>#N/A</v>
        <stp/>
        <stp>BDH|10878258030012983303</stp>
        <tr r="M38" s="22"/>
      </tp>
      <tp t="e">
        <v>#N/A</v>
        <stp/>
        <stp>BDH|15576612858063142595</stp>
        <tr r="S21" s="20"/>
      </tp>
      <tp t="e">
        <v>#N/A</v>
        <stp/>
        <stp>BDH|13907587433133076665</stp>
        <tr r="G24" s="21"/>
      </tp>
      <tp t="e">
        <v>#N/A</v>
        <stp/>
        <stp>BDH|11282420483765520829</stp>
        <tr r="C24" s="21"/>
      </tp>
      <tp t="e">
        <v>#N/A</v>
        <stp/>
        <stp>BDH|13742043820381375079</stp>
        <tr r="O7" s="21"/>
      </tp>
      <tp t="e">
        <v>#N/A</v>
        <stp/>
        <stp>BDH|15091276190608557656</stp>
        <tr r="L11" s="7"/>
      </tp>
      <tp t="e">
        <v>#N/A</v>
        <stp/>
        <stp>BDH|12654019946273008564</stp>
        <tr r="V45" s="17"/>
      </tp>
      <tp t="e">
        <v>#N/A</v>
        <stp/>
        <stp>BDH|12315109835466403653</stp>
        <tr r="Q16" s="30"/>
      </tp>
      <tp t="e">
        <v>#N/A</v>
        <stp/>
        <stp>BDH|16208546477251092562</stp>
        <tr r="T57" s="12"/>
      </tp>
      <tp t="e">
        <v>#N/A</v>
        <stp/>
        <stp>BDH|10281533138037756191</stp>
        <tr r="M70" s="18"/>
      </tp>
      <tp t="e">
        <v>#N/A</v>
        <stp/>
        <stp>BDH|15149226400801558610</stp>
        <tr r="J104" s="12"/>
      </tp>
      <tp t="e">
        <v>#N/A</v>
        <stp/>
        <stp>BDH|15074528236486002535</stp>
        <tr r="R62" s="17"/>
      </tp>
      <tp t="e">
        <v>#N/A</v>
        <stp/>
        <stp>BDH|15318933291861370450</stp>
        <tr r="I33" s="11"/>
        <tr r="I41" s="10"/>
      </tp>
      <tp t="e">
        <v>#N/A</v>
        <stp/>
        <stp>BDH|11128331274866523344</stp>
        <tr r="R14" s="6"/>
      </tp>
      <tp t="e">
        <v>#N/A</v>
        <stp/>
        <stp>BDH|15389561972503634462</stp>
        <tr r="I65" s="10"/>
        <tr r="I39" s="4"/>
      </tp>
      <tp t="e">
        <v>#N/A</v>
        <stp/>
        <stp>BDH|15781843677083528964</stp>
        <tr r="X19" s="13"/>
        <tr r="V61" s="10"/>
        <tr r="V16" s="2"/>
        <tr r="V32" s="4"/>
      </tp>
      <tp t="e">
        <v>#N/A</v>
        <stp/>
        <stp>BDH|13193305708987781791</stp>
        <tr r="S174" s="18"/>
      </tp>
      <tp t="e">
        <v>#N/A</v>
        <stp/>
        <stp>BDH|12653218043087344305</stp>
        <tr r="U58" s="12"/>
      </tp>
      <tp t="e">
        <v>#N/A</v>
        <stp/>
        <stp>BDH|13533557836306399322</stp>
        <tr r="R24" s="6"/>
      </tp>
      <tp t="e">
        <v>#N/A</v>
        <stp/>
        <stp>BDH|13506760008394983058</stp>
        <tr r="G138" s="18"/>
      </tp>
      <tp t="e">
        <v>#N/A</v>
        <stp/>
        <stp>BDH|11582916567189384774</stp>
        <tr r="W7" s="24"/>
      </tp>
      <tp t="e">
        <v>#N/A</v>
        <stp/>
        <stp>BDH|12942493011514632302</stp>
        <tr r="Q21" s="10"/>
      </tp>
      <tp t="e">
        <v>#N/A</v>
        <stp/>
        <stp>BDH|16655626750671420475</stp>
        <tr r="Q14" s="13"/>
      </tp>
      <tp t="e">
        <v>#N/A</v>
        <stp/>
        <stp>BDH|16158288697124868918</stp>
        <tr r="I47" s="24"/>
      </tp>
      <tp t="e">
        <v>#N/A</v>
        <stp/>
        <stp>BDH|16415034233512245716</stp>
        <tr r="Q81" s="12"/>
      </tp>
      <tp t="e">
        <v>#N/A</v>
        <stp/>
        <stp>BDH|11681646513304158279</stp>
        <tr r="O46" s="10"/>
        <tr r="O38" s="11"/>
      </tp>
      <tp t="e">
        <v>#N/A</v>
        <stp/>
        <stp>BDH|14310420962174702231</stp>
        <tr r="I6" s="27"/>
      </tp>
      <tp t="e">
        <v>#N/A</v>
        <stp/>
        <stp>BDH|12237460392968599742</stp>
        <tr r="H96" s="12"/>
      </tp>
      <tp t="e">
        <v>#N/A</v>
        <stp/>
        <stp>BDH|13848204280049955064</stp>
        <tr r="V49" s="13"/>
        <tr r="T45" s="10"/>
        <tr r="T37" s="11"/>
        <tr r="T53" s="4"/>
        <tr r="T18" s="2"/>
      </tp>
      <tp t="e">
        <v>#N/A</v>
        <stp/>
        <stp>BDH|17550351144963486374</stp>
        <tr r="C34" s="22"/>
      </tp>
      <tp t="e">
        <v>#N/A</v>
        <stp/>
        <stp>BDH|14229351203535773241</stp>
        <tr r="E65" s="12"/>
      </tp>
      <tp t="e">
        <v>#N/A</v>
        <stp/>
        <stp>BDH|14898898380794745012</stp>
        <tr r="U54" s="18"/>
      </tp>
      <tp t="e">
        <v>#N/A</v>
        <stp/>
        <stp>BDH|14772357050611565300</stp>
        <tr r="Y127" s="18"/>
      </tp>
      <tp t="e">
        <v>#N/A</v>
        <stp/>
        <stp>BDH|14218224087997640968</stp>
        <tr r="L58" s="12"/>
      </tp>
      <tp t="e">
        <v>#N/A</v>
        <stp/>
        <stp>BDH|11209592166433283189</stp>
        <tr r="T143" s="18"/>
      </tp>
      <tp t="e">
        <v>#N/A</v>
        <stp/>
        <stp>BDH|15577246310042146472</stp>
        <tr r="Q101" s="18"/>
      </tp>
      <tp t="e">
        <v>#N/A</v>
        <stp/>
        <stp>BDH|11791254627617196635</stp>
        <tr r="N11" s="13"/>
      </tp>
      <tp t="e">
        <v>#N/A</v>
        <stp/>
        <stp>BDH|10243793273298677894</stp>
        <tr r="K21" s="34"/>
      </tp>
      <tp t="e">
        <v>#N/A</v>
        <stp/>
        <stp>BDH|11611920215269121077</stp>
        <tr r="S62" s="18"/>
      </tp>
      <tp t="e">
        <v>#N/A</v>
        <stp/>
        <stp>BDH|11817487991685575931</stp>
        <tr r="L24" s="13"/>
      </tp>
      <tp t="e">
        <v>#N/A</v>
        <stp/>
        <stp>BDH|13322907717058303303</stp>
        <tr r="Y178" s="18"/>
      </tp>
      <tp t="e">
        <v>#N/A</v>
        <stp/>
        <stp>BDH|12326490224684116081</stp>
        <tr r="K70" s="18"/>
      </tp>
      <tp t="e">
        <v>#N/A</v>
        <stp/>
        <stp>BDH|17003263274151051353</stp>
        <tr r="U105" s="12"/>
      </tp>
      <tp t="e">
        <v>#N/A</v>
        <stp/>
        <stp>BDH|12575138761480977587</stp>
        <tr r="AA156" s="18"/>
      </tp>
      <tp t="e">
        <v>#N/A</v>
        <stp/>
        <stp>BDH|17189282919872539638</stp>
        <tr r="D67" s="24"/>
      </tp>
      <tp t="e">
        <v>#N/A</v>
        <stp/>
        <stp>BDH|15070286783206935949</stp>
        <tr r="W40" s="22"/>
      </tp>
      <tp t="e">
        <v>#N/A</v>
        <stp/>
        <stp>BDH|14886775799648239220</stp>
        <tr r="P7" s="8"/>
      </tp>
      <tp t="e">
        <v>#N/A</v>
        <stp/>
        <stp>BDH|12323425406197897197</stp>
        <tr r="Q59" s="12"/>
      </tp>
      <tp t="e">
        <v>#N/A</v>
        <stp/>
        <stp>BDH|16295575879201326594</stp>
        <tr r="X31" s="12"/>
      </tp>
      <tp t="e">
        <v>#N/A</v>
        <stp/>
        <stp>BDH|13553022516642086076</stp>
        <tr r="N42" s="4"/>
      </tp>
      <tp t="e">
        <v>#N/A</v>
        <stp/>
        <stp>BDH|11084942907629000152</stp>
        <tr r="R34" s="6"/>
      </tp>
      <tp t="e">
        <v>#N/A</v>
        <stp/>
        <stp>BDH|10075562957638695814</stp>
        <tr r="F13" s="11"/>
      </tp>
      <tp t="e">
        <v>#N/A</v>
        <stp/>
        <stp>BDH|13925109148450750604</stp>
        <tr r="L12" s="7"/>
      </tp>
      <tp t="e">
        <v>#N/A</v>
        <stp/>
        <stp>BDH|13008352268302897435</stp>
        <tr r="R78" s="12"/>
      </tp>
      <tp t="e">
        <v>#N/A</v>
        <stp/>
        <stp>BDH|11406716779780297185</stp>
        <tr r="G62" s="34"/>
      </tp>
      <tp t="e">
        <v>#N/A</v>
        <stp/>
        <stp>BDH|13270776293929137416</stp>
        <tr r="M13" s="7"/>
      </tp>
      <tp t="e">
        <v>#N/A</v>
        <stp/>
        <stp>BDH|17285730924436779446</stp>
        <tr r="W94" s="17"/>
      </tp>
      <tp t="e">
        <v>#N/A</v>
        <stp/>
        <stp>BDH|17300433874285050128</stp>
        <tr r="G12" s="13"/>
      </tp>
      <tp t="e">
        <v>#N/A</v>
        <stp/>
        <stp>BDH|16956311957672934202</stp>
        <tr r="I66" s="12"/>
      </tp>
      <tp t="e">
        <v>#N/A</v>
        <stp/>
        <stp>BDH|10769999137822866873</stp>
        <tr r="P21" s="22"/>
      </tp>
      <tp t="e">
        <v>#N/A</v>
        <stp/>
        <stp>BDH|10675341450023659521</stp>
        <tr r="C130" s="18"/>
      </tp>
      <tp t="e">
        <v>#N/A</v>
        <stp/>
        <stp>BDH|10393892726468284285</stp>
        <tr r="Q9" s="24"/>
      </tp>
      <tp t="e">
        <v>#N/A</v>
        <stp/>
        <stp>BDH|13046051126651453014</stp>
        <tr r="L20" s="24"/>
      </tp>
      <tp t="e">
        <v>#N/A</v>
        <stp/>
        <stp>BDH|15488472208969525880</stp>
        <tr r="Z26" s="12"/>
      </tp>
      <tp t="e">
        <v>#N/A</v>
        <stp/>
        <stp>BDH|15040108202503218769</stp>
        <tr r="S22" s="17"/>
      </tp>
      <tp t="e">
        <v>#N/A</v>
        <stp/>
        <stp>BDH|11704062558207872376</stp>
        <tr r="Z88" s="18"/>
      </tp>
      <tp t="e">
        <v>#N/A</v>
        <stp/>
        <stp>BDH|11147227397078379214</stp>
        <tr r="C42" s="24"/>
      </tp>
      <tp t="e">
        <v>#N/A</v>
        <stp/>
        <stp>BDH|17718614349564129182</stp>
        <tr r="O148" s="18"/>
      </tp>
      <tp t="e">
        <v>#N/A</v>
        <stp/>
        <stp>BDH|18376780692674903261</stp>
        <tr r="Z16" s="25"/>
      </tp>
      <tp t="e">
        <v>#N/A</v>
        <stp/>
        <stp>BDH|13360391608251115154</stp>
        <tr r="N40" s="24"/>
      </tp>
      <tp t="e">
        <v>#N/A</v>
        <stp/>
        <stp>BDH|10577876864359121717</stp>
        <tr r="G14" s="30"/>
      </tp>
      <tp t="e">
        <v>#N/A</v>
        <stp/>
        <stp>BDH|16815069713440983723</stp>
        <tr r="D26" s="11"/>
        <tr r="D34" s="10"/>
      </tp>
      <tp t="e">
        <v>#N/A</v>
        <stp/>
        <stp>BDH|16722951905346859992</stp>
        <tr r="V145" s="18"/>
      </tp>
      <tp t="e">
        <v>#N/A</v>
        <stp/>
        <stp>BDH|14137678639988054991</stp>
        <tr r="K13" s="14"/>
      </tp>
      <tp t="e">
        <v>#N/A</v>
        <stp/>
        <stp>BDH|15721083473710875227</stp>
        <tr r="V38" s="11"/>
        <tr r="V46" s="10"/>
      </tp>
      <tp t="e">
        <v>#N/A</v>
        <stp/>
        <stp>BDH|15564355314430358717</stp>
        <tr r="W60" s="18"/>
      </tp>
      <tp t="e">
        <v>#N/A</v>
        <stp/>
        <stp>BDH|18373954802356047721</stp>
        <tr r="J13" s="25"/>
      </tp>
      <tp t="e">
        <v>#N/A</v>
        <stp/>
        <stp>BDH|14380560676677220187</stp>
        <tr r="D34" s="22"/>
      </tp>
      <tp t="e">
        <v>#N/A</v>
        <stp/>
        <stp>BDH|16290011565374603490</stp>
        <tr r="O55" s="11"/>
      </tp>
      <tp t="e">
        <v>#N/A</v>
        <stp/>
        <stp>BDH|10913098210211120083</stp>
        <tr r="E167" s="18"/>
      </tp>
      <tp t="e">
        <v>#N/A</v>
        <stp/>
        <stp>BDH|12235243459935556035</stp>
        <tr r="X21" s="27"/>
      </tp>
      <tp t="e">
        <v>#N/A</v>
        <stp/>
        <stp>BDH|11662695506225409249</stp>
        <tr r="T24" s="20"/>
      </tp>
      <tp t="e">
        <v>#N/A</v>
        <stp/>
        <stp>BDH|16273136938657163319</stp>
        <tr r="H13" s="10"/>
      </tp>
      <tp t="e">
        <v>#N/A</v>
        <stp/>
        <stp>BDH|11552863948394187935</stp>
        <tr r="K53" s="17"/>
        <tr r="K10" s="25"/>
      </tp>
      <tp t="e">
        <v>#N/A</v>
        <stp/>
        <stp>BDH|10494332911163677192</stp>
        <tr r="Z20" s="24"/>
      </tp>
      <tp t="e">
        <v>#N/A</v>
        <stp/>
        <stp>BDH|16620294551251624019</stp>
        <tr r="D7" s="14"/>
      </tp>
      <tp t="e">
        <v>#N/A</v>
        <stp/>
        <stp>BDH|12246068354215962207</stp>
        <tr r="Y38" s="18"/>
      </tp>
      <tp t="e">
        <v>#N/A</v>
        <stp/>
        <stp>BDH|13988121229394305485</stp>
        <tr r="E33" s="11"/>
        <tr r="E41" s="10"/>
      </tp>
      <tp t="e">
        <v>#N/A</v>
        <stp/>
        <stp>BDH|16884115649131143287</stp>
        <tr r="K21" s="6"/>
      </tp>
      <tp t="e">
        <v>#N/A</v>
        <stp/>
        <stp>BDH|17786504447467049192</stp>
        <tr r="K23" s="17"/>
      </tp>
      <tp t="e">
        <v>#N/A</v>
        <stp/>
        <stp>BDH|11638215457057036199</stp>
        <tr r="G14" s="6"/>
      </tp>
      <tp t="e">
        <v>#N/A</v>
        <stp/>
        <stp>BDH|17193922878310568972</stp>
        <tr r="H64" s="11"/>
        <tr r="H72" s="10"/>
      </tp>
      <tp t="e">
        <v>#N/A</v>
        <stp/>
        <stp>BDH|17215583075000508530</stp>
        <tr r="O11" s="9"/>
      </tp>
      <tp t="e">
        <v>#N/A</v>
        <stp/>
        <stp>BDH|17254538488889311336</stp>
        <tr r="R17" s="11"/>
      </tp>
      <tp t="e">
        <v>#N/A</v>
        <stp/>
        <stp>BDH|15922042126033325410</stp>
        <tr r="O34" s="22"/>
      </tp>
      <tp t="e">
        <v>#N/A</v>
        <stp/>
        <stp>BDH|12130234663586860005</stp>
        <tr r="W68" s="34"/>
      </tp>
      <tp t="e">
        <v>#N/A</v>
        <stp/>
        <stp>BDH|15104203629471846492</stp>
        <tr r="P7" s="34"/>
      </tp>
      <tp t="e">
        <v>#N/A</v>
        <stp/>
        <stp>BDH|16152551556471244794</stp>
        <tr r="G11" s="17"/>
      </tp>
      <tp t="e">
        <v>#N/A</v>
        <stp/>
        <stp>BDH|17767597831258158976</stp>
        <tr r="AA41" s="13"/>
        <tr r="Y37" s="10"/>
        <tr r="Y29" s="11"/>
      </tp>
      <tp t="e">
        <v>#N/A</v>
        <stp/>
        <stp>BDH|11074396733028719947</stp>
        <tr r="Z34" s="13"/>
        <tr r="X30" s="10"/>
      </tp>
      <tp t="e">
        <v>#N/A</v>
        <stp/>
        <stp>BDH|14169367667568802912</stp>
        <tr r="L11" s="14"/>
      </tp>
      <tp t="e">
        <v>#N/A</v>
        <stp/>
        <stp>BDH|18439603096877875039</stp>
        <tr r="K8" s="8"/>
      </tp>
      <tp t="e">
        <v>#N/A</v>
        <stp/>
        <stp>BDH|10839009628094956609</stp>
        <tr r="E38" s="12"/>
      </tp>
      <tp t="e">
        <v>#N/A</v>
        <stp/>
        <stp>BDH|14747632720489518985</stp>
        <tr r="X54" s="13"/>
      </tp>
      <tp t="e">
        <v>#N/A</v>
        <stp/>
        <stp>BDH|14119682279645972007</stp>
        <tr r="W19" s="23"/>
        <tr r="U59" s="11"/>
      </tp>
      <tp t="e">
        <v>#N/A</v>
        <stp/>
        <stp>BDH|17219082531671257505</stp>
        <tr r="L64" s="12"/>
      </tp>
      <tp t="e">
        <v>#N/A</v>
        <stp/>
        <stp>BDH|12061565832690474497</stp>
        <tr r="H42" s="34"/>
      </tp>
      <tp t="e">
        <v>#N/A</v>
        <stp/>
        <stp>BDH|15902790140050940601</stp>
        <tr r="L69" s="18"/>
      </tp>
      <tp t="e">
        <v>#N/A</v>
        <stp/>
        <stp>BDH|15164665025357919625</stp>
        <tr r="J101" s="12"/>
      </tp>
      <tp t="e">
        <v>#N/A</v>
        <stp/>
        <stp>BDH|17880238661611343206</stp>
        <tr r="Q69" s="18"/>
      </tp>
      <tp t="e">
        <v>#N/A</v>
        <stp/>
        <stp>BDH|16195639777422957555</stp>
        <tr r="J18" s="17"/>
      </tp>
      <tp t="e">
        <v>#N/A</v>
        <stp/>
        <stp>BDH|11284198286279147152</stp>
        <tr r="R60" s="17"/>
      </tp>
      <tp t="e">
        <v>#N/A</v>
        <stp/>
        <stp>BDH|12386363839476454401</stp>
        <tr r="Y11" s="7"/>
      </tp>
      <tp t="e">
        <v>#N/A</v>
        <stp/>
        <stp>BDH|14385521839717825587</stp>
        <tr r="R70" s="10"/>
        <tr r="R62" s="11"/>
      </tp>
      <tp t="e">
        <v>#N/A</v>
        <stp/>
        <stp>BDH|10338604726232584686</stp>
        <tr r="V24" s="24"/>
      </tp>
      <tp t="e">
        <v>#N/A</v>
        <stp/>
        <stp>BDH|17327397532095098207</stp>
        <tr r="G11" s="7"/>
      </tp>
      <tp t="e">
        <v>#N/A</v>
        <stp/>
        <stp>BDH|15379074429374786322</stp>
        <tr r="P15" s="12"/>
      </tp>
      <tp t="e">
        <v>#N/A</v>
        <stp/>
        <stp>BDH|17688931493833781490</stp>
        <tr r="O14" s="30"/>
      </tp>
      <tp t="e">
        <v>#N/A</v>
        <stp/>
        <stp>BDH|10191294358573862407</stp>
        <tr r="F172" s="18"/>
      </tp>
      <tp t="e">
        <v>#N/A</v>
        <stp/>
        <stp>BDH|12526597462946761713</stp>
        <tr r="I50" s="21"/>
      </tp>
      <tp t="e">
        <v>#N/A</v>
        <stp/>
        <stp>BDH|14011180150276498642</stp>
        <tr r="S143" s="18"/>
      </tp>
      <tp t="e">
        <v>#N/A</v>
        <stp/>
        <stp>BDH|13852020643350491750</stp>
        <tr r="Y154" s="18"/>
      </tp>
      <tp t="e">
        <v>#N/A</v>
        <stp/>
        <stp>BDH|12089879407998045282</stp>
        <tr r="F128" s="18"/>
      </tp>
      <tp t="e">
        <v>#N/A</v>
        <stp/>
        <stp>BDH|11896741661468424810</stp>
        <tr r="V29" s="12"/>
      </tp>
      <tp t="e">
        <v>#N/A</v>
        <stp/>
        <stp>BDH|13002443308591530618</stp>
        <tr r="Z12" s="17"/>
      </tp>
      <tp t="e">
        <v>#N/A</v>
        <stp/>
        <stp>BDH|12967514586458520739</stp>
        <tr r="AA48" s="13"/>
      </tp>
      <tp t="e">
        <v>#N/A</v>
        <stp/>
        <stp>BDH|10903987293266281680</stp>
        <tr r="K15" s="5"/>
      </tp>
      <tp t="e">
        <v>#N/A</v>
        <stp/>
        <stp>BDH|12357611969386220418</stp>
        <tr r="Y106" s="18"/>
      </tp>
      <tp t="e">
        <v>#N/A</v>
        <stp/>
        <stp>BDH|10331657154953346094</stp>
        <tr r="S64" s="10"/>
        <tr r="S25" s="4"/>
      </tp>
      <tp t="e">
        <v>#N/A</v>
        <stp/>
        <stp>BDH|12665988265144354906</stp>
        <tr r="J64" s="17"/>
      </tp>
      <tp t="e">
        <v>#N/A</v>
        <stp/>
        <stp>BDH|13449981818229430288</stp>
        <tr r="F13" s="25"/>
      </tp>
      <tp t="e">
        <v>#N/A</v>
        <stp/>
        <stp>BDH|17480932612946891956</stp>
        <tr r="S21" s="27"/>
      </tp>
      <tp t="e">
        <v>#N/A</v>
        <stp/>
        <stp>BDH|15626091406772002717</stp>
        <tr r="S18" s="26"/>
      </tp>
      <tp t="e">
        <v>#N/A</v>
        <stp/>
        <stp>BDH|15504398531582365769</stp>
        <tr r="C38" s="22"/>
      </tp>
      <tp t="e">
        <v>#N/A</v>
        <stp/>
        <stp>BDH|14046601561423149787</stp>
        <tr r="Q31" s="29"/>
        <tr r="Q39" s="29"/>
        <tr r="P52" s="6"/>
        <tr r="P11" s="5"/>
        <tr r="Q10" s="2"/>
      </tp>
      <tp t="e">
        <v>#N/A</v>
        <stp/>
        <stp>BDH|12912912785675715626</stp>
        <tr r="Q85" s="12"/>
      </tp>
      <tp t="e">
        <v>#N/A</v>
        <stp/>
        <stp>BDH|17325602978550700644</stp>
        <tr r="L43" s="18"/>
      </tp>
      <tp t="e">
        <v>#N/A</v>
        <stp/>
        <stp>BDH|12859883089666706460</stp>
        <tr r="M167" s="18"/>
      </tp>
      <tp t="e">
        <v>#N/A</v>
        <stp/>
        <stp>BDH|18357457907704916804</stp>
        <tr r="Q17" s="17"/>
        <tr r="Q20" s="28"/>
      </tp>
      <tp t="e">
        <v>#N/A</v>
        <stp/>
        <stp>BDH|17077505011492914107</stp>
        <tr r="Q40" s="12"/>
      </tp>
      <tp t="e">
        <v>#N/A</v>
        <stp/>
        <stp>BDH|13780104842987419193</stp>
        <tr r="S8" s="13"/>
      </tp>
      <tp t="e">
        <v>#N/A</v>
        <stp/>
        <stp>BDH|10195241036697896630</stp>
        <tr r="N55" s="18"/>
      </tp>
      <tp t="e">
        <v>#N/A</v>
        <stp/>
        <stp>BDH|10828754528984902148</stp>
        <tr r="I26" s="7"/>
      </tp>
      <tp t="e">
        <v>#N/A</v>
        <stp/>
        <stp>BDH|15083552403924921477</stp>
        <tr r="R67" s="18"/>
      </tp>
      <tp t="e">
        <v>#N/A</v>
        <stp/>
        <stp>BDH|13015564755726973523</stp>
        <tr r="H9" s="12"/>
      </tp>
      <tp t="e">
        <v>#N/A</v>
        <stp/>
        <stp>BDH|14784395265832067335</stp>
        <tr r="C50" s="12"/>
      </tp>
      <tp t="e">
        <v>#N/A</v>
        <stp/>
        <stp>BDH|14478969969282204919</stp>
        <tr r="U60" s="17"/>
      </tp>
      <tp t="e">
        <v>#N/A</v>
        <stp/>
        <stp>BDH|17382435869267693273</stp>
        <tr r="R8" s="21"/>
      </tp>
      <tp t="e">
        <v>#N/A</v>
        <stp/>
        <stp>BDH|17158227884785974859</stp>
        <tr r="G75" s="18"/>
      </tp>
      <tp t="e">
        <v>#N/A</v>
        <stp/>
        <stp>BDH|13938320603625364508</stp>
        <tr r="D24" s="20"/>
      </tp>
      <tp t="e">
        <v>#N/A</v>
        <stp/>
        <stp>BDH|13144129836806889766</stp>
        <tr r="S75" s="17"/>
      </tp>
      <tp t="e">
        <v>#N/A</v>
        <stp/>
        <stp>BDH|11849778429743868756</stp>
        <tr r="X8" s="34"/>
      </tp>
      <tp t="e">
        <v>#N/A</v>
        <stp/>
        <stp>BDH|17597695692750026852</stp>
        <tr r="U25" s="6"/>
      </tp>
      <tp t="e">
        <v>#N/A</v>
        <stp/>
        <stp>BDH|17498415406657982418</stp>
        <tr r="H18" s="29"/>
        <tr r="H38" s="29"/>
      </tp>
      <tp t="e">
        <v>#N/A</v>
        <stp/>
        <stp>BDH|15978675718871977344</stp>
        <tr r="AA23" s="23"/>
      </tp>
      <tp t="e">
        <v>#N/A</v>
        <stp/>
        <stp>BDH|14104221564152495280</stp>
        <tr r="AA19" s="20"/>
      </tp>
      <tp t="e">
        <v>#N/A</v>
        <stp/>
        <stp>BDH|10515696865021573178</stp>
        <tr r="D134" s="18"/>
      </tp>
      <tp t="e">
        <v>#N/A</v>
        <stp/>
        <stp>BDH|13436370749974268034</stp>
        <tr r="K55" s="6"/>
      </tp>
      <tp t="e">
        <v>#N/A</v>
        <stp/>
        <stp>BDH|15111981682387735378</stp>
        <tr r="G13" s="12"/>
      </tp>
      <tp t="e">
        <v>#N/A</v>
        <stp/>
        <stp>BDH|12587369811633899316</stp>
        <tr r="S63" s="10"/>
      </tp>
      <tp t="e">
        <v>#N/A</v>
        <stp/>
        <stp>BDH|14484563884598945142</stp>
        <tr r="N127" s="18"/>
      </tp>
      <tp t="e">
        <v>#N/A</v>
        <stp/>
        <stp>BDH|15672070873544849619</stp>
        <tr r="M18" s="34"/>
      </tp>
      <tp t="e">
        <v>#N/A</v>
        <stp/>
        <stp>BDH|12726747968945444646</stp>
        <tr r="P12" s="18"/>
      </tp>
      <tp t="e">
        <v>#N/A</v>
        <stp/>
        <stp>BDH|15208147133936622182</stp>
        <tr r="W47" s="22"/>
      </tp>
      <tp t="e">
        <v>#N/A</v>
        <stp/>
        <stp>BDH|10404499645043624355</stp>
        <tr r="P9" s="12"/>
      </tp>
      <tp t="e">
        <v>#N/A</v>
        <stp/>
        <stp>BDH|11674543074812547186</stp>
        <tr r="O106" s="18"/>
      </tp>
      <tp t="e">
        <v>#N/A</v>
        <stp/>
        <stp>BDH|14523793129421715099</stp>
        <tr r="S111" s="12"/>
      </tp>
      <tp t="e">
        <v>#N/A</v>
        <stp/>
        <stp>BDH|14200980115854307875</stp>
        <tr r="X68" s="17"/>
        <tr r="U8" s="9"/>
        <tr r="U8" s="5"/>
      </tp>
      <tp t="e">
        <v>#N/A</v>
        <stp/>
        <stp>BDH|13947618713090201420</stp>
        <tr r="O35" s="34"/>
      </tp>
      <tp t="e">
        <v>#N/A</v>
        <stp/>
        <stp>BDH|13433251638117475568</stp>
        <tr r="X85" s="18"/>
      </tp>
      <tp t="e">
        <v>#N/A</v>
        <stp/>
        <stp>BDH|11712184973110709708</stp>
        <tr r="J12" s="24"/>
      </tp>
      <tp t="e">
        <v>#N/A</v>
        <stp/>
        <stp>BDH|15726743511623028096</stp>
        <tr r="D58" s="34"/>
      </tp>
      <tp t="e">
        <v>#N/A</v>
        <stp/>
        <stp>BDH|17840978686197176139</stp>
        <tr r="P45" s="18"/>
      </tp>
      <tp t="e">
        <v>#N/A</v>
        <stp/>
        <stp>BDH|14338227475912697397</stp>
        <tr r="F16" s="26"/>
      </tp>
      <tp t="e">
        <v>#N/A</v>
        <stp/>
        <stp>BDH|15275538275233974469</stp>
        <tr r="N21" s="6"/>
      </tp>
      <tp t="e">
        <v>#N/A</v>
        <stp/>
        <stp>BDH|15311671761617625287</stp>
        <tr r="J27" s="12"/>
      </tp>
      <tp t="e">
        <v>#N/A</v>
        <stp/>
        <stp>BDH|17572227143964889573</stp>
        <tr r="U60" s="18"/>
      </tp>
      <tp t="e">
        <v>#N/A</v>
        <stp/>
        <stp>BDH|16234535131244878431</stp>
        <tr r="P79" s="18"/>
      </tp>
      <tp t="e">
        <v>#N/A</v>
        <stp/>
        <stp>BDH|17130022275028954846</stp>
        <tr r="H76" s="17"/>
        <tr r="E9" s="9"/>
        <tr r="E9" s="5"/>
      </tp>
      <tp t="e">
        <v>#N/A</v>
        <stp/>
        <stp>BDH|13943169834999311837</stp>
        <tr r="T15" s="9"/>
      </tp>
      <tp t="e">
        <v>#N/A</v>
        <stp/>
        <stp>BDH|15738401779441054752</stp>
        <tr r="V33" s="22"/>
      </tp>
      <tp t="e">
        <v>#N/A</v>
        <stp/>
        <stp>BDH|11131880593188352826</stp>
        <tr r="W52" s="17"/>
        <tr r="W17" s="3"/>
      </tp>
      <tp t="e">
        <v>#N/A</v>
        <stp/>
        <stp>BDH|13449185136425331427</stp>
        <tr r="H144" s="18"/>
      </tp>
      <tp t="e">
        <v>#N/A</v>
        <stp/>
        <stp>BDH|11132658187478991717</stp>
        <tr r="J17" s="10"/>
      </tp>
      <tp t="e">
        <v>#N/A</v>
        <stp/>
        <stp>BDH|11477877204578405184</stp>
        <tr r="K19" s="18"/>
      </tp>
      <tp t="e">
        <v>#N/A</v>
        <stp/>
        <stp>BDH|14241103802603298699</stp>
        <tr r="N76" s="24"/>
      </tp>
      <tp t="e">
        <v>#N/A</v>
        <stp/>
        <stp>BDH|17222620099518502076</stp>
        <tr r="Z40" s="13"/>
        <tr r="X28" s="11"/>
        <tr r="X36" s="10"/>
      </tp>
      <tp t="e">
        <v>#N/A</v>
        <stp/>
        <stp>BDH|17755514298523739820</stp>
        <tr r="D178" s="18"/>
      </tp>
      <tp t="e">
        <v>#N/A</v>
        <stp/>
        <stp>BDH|13226536548767702554</stp>
        <tr r="G38" s="24"/>
      </tp>
      <tp t="e">
        <v>#N/A</v>
        <stp/>
        <stp>BDH|11602270695678751284</stp>
        <tr r="J35" s="34"/>
      </tp>
      <tp t="e">
        <v>#N/A</v>
        <stp/>
        <stp>BDH|14924007673685905685</stp>
        <tr r="C44" s="18"/>
      </tp>
      <tp t="e">
        <v>#N/A</v>
        <stp/>
        <stp>BDH|16696978017747489998</stp>
        <tr r="V31" s="22"/>
      </tp>
      <tp t="e">
        <v>#N/A</v>
        <stp/>
        <stp>BDH|11399459752974878478</stp>
        <tr r="Q43" s="6"/>
        <tr r="Q19" s="5"/>
      </tp>
      <tp t="e">
        <v>#N/A</v>
        <stp/>
        <stp>BDH|18108820697331659893</stp>
        <tr r="S63" s="18"/>
      </tp>
      <tp t="e">
        <v>#N/A</v>
        <stp/>
        <stp>BDH|17970454741264076363</stp>
        <tr r="S57" s="13"/>
      </tp>
      <tp t="e">
        <v>#N/A</v>
        <stp/>
        <stp>BDH|16170697177013429406</stp>
        <tr r="C62" s="10"/>
      </tp>
      <tp t="e">
        <v>#N/A</v>
        <stp/>
        <stp>BDH|10341994289423140294</stp>
        <tr r="K29" s="29"/>
        <tr r="K7" s="29"/>
      </tp>
      <tp t="e">
        <v>#N/A</v>
        <stp/>
        <stp>BDH|12300517043036303593</stp>
        <tr r="O30" s="9"/>
      </tp>
      <tp t="e">
        <v>#N/A</v>
        <stp/>
        <stp>BDH|16224870609919793706</stp>
        <tr r="W36" s="21"/>
      </tp>
      <tp t="e">
        <v>#N/A</v>
        <stp/>
        <stp>BDH|15032618929440035126</stp>
        <tr r="O18" s="18"/>
      </tp>
      <tp t="e">
        <v>#N/A</v>
        <stp/>
        <stp>BDH|16973560367910555571</stp>
        <tr r="T20" s="29"/>
      </tp>
      <tp t="e">
        <v>#N/A</v>
        <stp/>
        <stp>BDH|11350792174524784530</stp>
        <tr r="Z131" s="18"/>
      </tp>
      <tp t="e">
        <v>#N/A</v>
        <stp/>
        <stp>BDH|18053702592926162092</stp>
        <tr r="Q83" s="12"/>
      </tp>
      <tp t="e">
        <v>#N/A</v>
        <stp/>
        <stp>BDH|17549328130240563781</stp>
        <tr r="K39" s="6"/>
      </tp>
      <tp t="e">
        <v>#N/A</v>
        <stp/>
        <stp>BDH|10102612798916325911</stp>
        <tr r="L58" s="13"/>
      </tp>
      <tp t="e">
        <v>#N/A</v>
        <stp/>
        <stp>BDH|16013587659641965729</stp>
        <tr r="W10" s="18"/>
      </tp>
      <tp t="e">
        <v>#N/A</v>
        <stp/>
        <stp>BDH|15162825098656485252</stp>
        <tr r="G70" s="17"/>
      </tp>
      <tp t="e">
        <v>#N/A</v>
        <stp/>
        <stp>BDH|11803305093998811393</stp>
        <tr r="K93" s="12"/>
      </tp>
      <tp t="e">
        <v>#N/A</v>
        <stp/>
        <stp>BDH|10388490919427853217</stp>
        <tr r="T53" s="12"/>
      </tp>
      <tp t="e">
        <v>#N/A</v>
        <stp/>
        <stp>BDH|17302390167694687613</stp>
        <tr r="G8" s="25"/>
        <tr r="D10" s="5"/>
        <tr r="E9" s="2"/>
      </tp>
      <tp t="e">
        <v>#N/A</v>
        <stp/>
        <stp>BDH|17929066826641692456</stp>
        <tr r="Q33" s="18"/>
      </tp>
      <tp t="e">
        <v>#N/A</v>
        <stp/>
        <stp>BDH|17256031459836523473</stp>
        <tr r="R28" s="21"/>
      </tp>
      <tp t="e">
        <v>#N/A</v>
        <stp/>
        <stp>BDH|17197376878216113550</stp>
        <tr r="O75" s="18"/>
      </tp>
      <tp t="e">
        <v>#N/A</v>
        <stp/>
        <stp>BDH|18299674583171484788</stp>
        <tr r="T54" s="21"/>
      </tp>
      <tp t="e">
        <v>#N/A</v>
        <stp/>
        <stp>BDH|17960491937712814252</stp>
        <tr r="J40" s="12"/>
      </tp>
      <tp t="e">
        <v>#N/A</v>
        <stp/>
        <stp>BDH|12584772954820924053</stp>
        <tr r="H40" s="6"/>
      </tp>
      <tp t="e">
        <v>#N/A</v>
        <stp/>
        <stp>BDH|15106795565715489139</stp>
        <tr r="Q23" s="23"/>
      </tp>
      <tp t="e">
        <v>#N/A</v>
        <stp/>
        <stp>BDH|13844678397005093926</stp>
        <tr r="S29" s="9"/>
      </tp>
      <tp t="e">
        <v>#N/A</v>
        <stp/>
        <stp>BDH|15719302072577821676</stp>
        <tr r="F93" s="18"/>
      </tp>
      <tp t="e">
        <v>#N/A</v>
        <stp/>
        <stp>BDH|11537171958820497541</stp>
        <tr r="N67" s="34"/>
      </tp>
      <tp t="e">
        <v>#N/A</v>
        <stp/>
        <stp>BDH|13007117502630155286</stp>
        <tr r="F60" s="24"/>
      </tp>
      <tp t="e">
        <v>#N/A</v>
        <stp/>
        <stp>BDH|15627984487637700342</stp>
        <tr r="E166" s="18"/>
      </tp>
      <tp t="e">
        <v>#N/A</v>
        <stp/>
        <stp>BDH|17642385434043371434</stp>
        <tr r="Z12" s="26"/>
      </tp>
      <tp t="e">
        <v>#N/A</v>
        <stp/>
        <stp>BDH|16073780753003408756</stp>
        <tr r="O29" s="18"/>
      </tp>
      <tp t="e">
        <v>#N/A</v>
        <stp/>
        <stp>BDH|10506456169004702647</stp>
        <tr r="X13" s="14"/>
      </tp>
      <tp t="e">
        <v>#N/A</v>
        <stp/>
        <stp>BDH|15622762760057227383</stp>
        <tr r="S33" s="6"/>
        <tr r="S17" s="5"/>
      </tp>
      <tp t="e">
        <v>#N/A</v>
        <stp/>
        <stp>BDH|13901603606310000551</stp>
        <tr r="X90" s="18"/>
      </tp>
      <tp t="e">
        <v>#N/A</v>
        <stp/>
        <stp>BDH|16112593003722542140</stp>
        <tr r="M15" s="25"/>
      </tp>
      <tp t="e">
        <v>#N/A</v>
        <stp/>
        <stp>BDH|17418450453904017289</stp>
        <tr r="H77" s="18"/>
      </tp>
      <tp t="e">
        <v>#N/A</v>
        <stp/>
        <stp>BDH|11065366933172816377</stp>
        <tr r="I85" s="17"/>
      </tp>
      <tp t="e">
        <v>#N/A</v>
        <stp/>
        <stp>BDH|10165257949706655014</stp>
        <tr r="Y22" s="7"/>
      </tp>
      <tp t="e">
        <v>#N/A</v>
        <stp/>
        <stp>BDH|10971328850513252538</stp>
        <tr r="E99" s="12"/>
      </tp>
      <tp t="e">
        <v>#N/A</v>
        <stp/>
        <stp>BDH|10967442406713370723</stp>
        <tr r="V65" s="17"/>
      </tp>
      <tp t="e">
        <v>#N/A</v>
        <stp/>
        <stp>BDH|11925354971427441230</stp>
        <tr r="N34" s="22"/>
      </tp>
      <tp t="e">
        <v>#N/A</v>
        <stp/>
        <stp>BDH|14250671409100524231</stp>
        <tr r="U86" s="18"/>
      </tp>
      <tp t="e">
        <v>#N/A</v>
        <stp/>
        <stp>BDH|10655106935760897218</stp>
        <tr r="M19" s="13"/>
        <tr r="K61" s="10"/>
        <tr r="K32" s="4"/>
        <tr r="K16" s="2"/>
      </tp>
      <tp t="e">
        <v>#N/A</v>
        <stp/>
        <stp>BDH|10385726915701750799</stp>
        <tr r="X40" s="21"/>
      </tp>
      <tp t="e">
        <v>#N/A</v>
        <stp/>
        <stp>BDH|11531484042286308760</stp>
        <tr r="W63" s="11"/>
        <tr r="W71" s="10"/>
      </tp>
      <tp t="e">
        <v>#N/A</v>
        <stp/>
        <stp>BDH|10405144230885884720</stp>
        <tr r="AA86" s="17"/>
      </tp>
      <tp t="e">
        <v>#N/A</v>
        <stp/>
        <stp>BDH|11321150438052673121</stp>
        <tr r="I20" s="22"/>
      </tp>
      <tp t="e">
        <v>#N/A</v>
        <stp/>
        <stp>BDH|15281389821874564034</stp>
        <tr r="Z16" s="21"/>
      </tp>
      <tp t="e">
        <v>#N/A</v>
        <stp/>
        <stp>BDH|17845473144214499326</stp>
        <tr r="W62" s="12"/>
      </tp>
      <tp t="e">
        <v>#N/A</v>
        <stp/>
        <stp>BDH|15489503609079397938</stp>
        <tr r="Y25" s="7"/>
      </tp>
      <tp t="e">
        <v>#N/A</v>
        <stp/>
        <stp>BDH|16498779131853745186</stp>
        <tr r="C39" s="17"/>
      </tp>
      <tp t="e">
        <v>#N/A</v>
        <stp/>
        <stp>BDH|12122067630398257989</stp>
        <tr r="N107" s="18"/>
      </tp>
      <tp t="e">
        <v>#N/A</v>
        <stp/>
        <stp>BDH|16668273875841025295</stp>
        <tr r="L13" s="21"/>
      </tp>
      <tp t="e">
        <v>#N/A</v>
        <stp/>
        <stp>BDH|17883147709470831602</stp>
        <tr r="G165" s="18"/>
      </tp>
      <tp t="e">
        <v>#N/A</v>
        <stp/>
        <stp>BDH|15580758432748964968</stp>
        <tr r="S36" s="18"/>
      </tp>
      <tp t="e">
        <v>#N/A</v>
        <stp/>
        <stp>BDH|16028553112744260688</stp>
        <tr r="P7" s="14"/>
      </tp>
      <tp t="e">
        <v>#N/A</v>
        <stp/>
        <stp>BDH|12791326029092641173</stp>
        <tr r="AA19" s="17"/>
      </tp>
      <tp t="e">
        <v>#N/A</v>
        <stp/>
        <stp>BDH|10927561949961862034</stp>
        <tr r="P42" s="24"/>
      </tp>
      <tp t="e">
        <v>#N/A</v>
        <stp/>
        <stp>BDH|12625056829895573523</stp>
        <tr r="K17" s="34"/>
      </tp>
      <tp t="e">
        <v>#N/A</v>
        <stp/>
        <stp>BDH|15401013299894506844</stp>
        <tr r="O8" s="21"/>
      </tp>
      <tp t="e">
        <v>#N/A</v>
        <stp/>
        <stp>BDH|18126645358829740275</stp>
        <tr r="Y35" s="18"/>
      </tp>
      <tp t="e">
        <v>#N/A</v>
        <stp/>
        <stp>BDH|13984972796220302366</stp>
        <tr r="W18" s="6"/>
      </tp>
      <tp t="e">
        <v>#N/A</v>
        <stp/>
        <stp>BDH|10359565780664881903</stp>
        <tr r="M64" s="12"/>
      </tp>
      <tp t="e">
        <v>#N/A</v>
        <stp/>
        <stp>BDH|11773771908413691536</stp>
        <tr r="J44" s="24"/>
      </tp>
      <tp t="e">
        <v>#N/A</v>
        <stp/>
        <stp>BDH|14586620644767708193</stp>
        <tr r="P126" s="18"/>
      </tp>
      <tp t="e">
        <v>#N/A</v>
        <stp/>
        <stp>BDH|16999334749226765795</stp>
        <tr r="H30" s="26"/>
      </tp>
      <tp t="e">
        <v>#N/A</v>
        <stp/>
        <stp>BDH|17771291470210095231</stp>
        <tr r="J30" s="24"/>
      </tp>
      <tp t="e">
        <v>#N/A</v>
        <stp/>
        <stp>BDH|11740505329442505469</stp>
        <tr r="V53" s="13"/>
      </tp>
      <tp t="e">
        <v>#N/A</v>
        <stp/>
        <stp>BDH|11828608924660089517</stp>
        <tr r="T23" s="22"/>
      </tp>
      <tp t="e">
        <v>#N/A</v>
        <stp/>
        <stp>BDH|10020948432878237293</stp>
        <tr r="C8" s="22"/>
      </tp>
      <tp t="e">
        <v>#N/A</v>
        <stp/>
        <stp>BDH|10344381956343768572</stp>
        <tr r="E18" s="23"/>
      </tp>
      <tp t="e">
        <v>#N/A</v>
        <stp/>
        <stp>BDH|10748293582719595348</stp>
        <tr r="L9" s="6"/>
      </tp>
      <tp t="e">
        <v>#N/A</v>
        <stp/>
        <stp>BDH|15181452059860460445</stp>
        <tr r="D76" s="24"/>
      </tp>
      <tp t="e">
        <v>#N/A</v>
        <stp/>
        <stp>BDH|17941597179722625727</stp>
        <tr r="J25" s="13"/>
      </tp>
      <tp t="e">
        <v>#N/A</v>
        <stp/>
        <stp>BDH|11076422452364461490</stp>
        <tr r="O65" s="21"/>
        <tr r="L28" s="6"/>
      </tp>
      <tp t="e">
        <v>#N/A</v>
        <stp/>
        <stp>BDH|11813100600110565006</stp>
        <tr r="O122" s="18"/>
      </tp>
      <tp t="e">
        <v>#N/A</v>
        <stp/>
        <stp>BDH|11033465890795360987</stp>
        <tr r="X38" s="26"/>
      </tp>
      <tp t="e">
        <v>#N/A</v>
        <stp/>
        <stp>BDH|14919960511295249910</stp>
        <tr r="AA47" s="21"/>
      </tp>
      <tp t="e">
        <v>#N/A</v>
        <stp/>
        <stp>BDH|16258285736776780168</stp>
        <tr r="O21" s="12"/>
      </tp>
      <tp t="e">
        <v>#N/A</v>
        <stp/>
        <stp>BDH|15790168896019853423</stp>
        <tr r="I76" s="12"/>
      </tp>
      <tp t="e">
        <v>#N/A</v>
        <stp/>
        <stp>BDH|12691988708183241892</stp>
        <tr r="O159" s="18"/>
      </tp>
      <tp t="e">
        <v>#N/A</v>
        <stp/>
        <stp>BDH|11025042828253306024</stp>
        <tr r="H153" s="18"/>
      </tp>
      <tp t="e">
        <v>#N/A</v>
        <stp/>
        <stp>BDH|16083737984930872927</stp>
        <tr r="AA87" s="18"/>
      </tp>
      <tp t="e">
        <v>#N/A</v>
        <stp/>
        <stp>BDH|14100232857235906615</stp>
        <tr r="Z34" s="18"/>
      </tp>
      <tp t="e">
        <v>#N/A</v>
        <stp/>
        <stp>BDH|10439210779873193607</stp>
        <tr r="F103" s="12"/>
      </tp>
      <tp t="e">
        <v>#N/A</v>
        <stp/>
        <stp>BDH|16570111815723558591</stp>
        <tr r="D46" s="21"/>
      </tp>
      <tp t="e">
        <v>#N/A</v>
        <stp/>
        <stp>BDH|10638191652704941095</stp>
        <tr r="R18" s="20"/>
      </tp>
      <tp t="e">
        <v>#N/A</v>
        <stp/>
        <stp>BDH|17700289086814037946</stp>
        <tr r="K150" s="18"/>
      </tp>
      <tp t="e">
        <v>#N/A</v>
        <stp/>
        <stp>BDH|16245381469876716598</stp>
        <tr r="C26" s="17"/>
      </tp>
      <tp t="e">
        <v>#N/A</v>
        <stp/>
        <stp>BDH|17453103459717206425</stp>
        <tr r="M30" s="29"/>
        <tr r="M8" s="29"/>
      </tp>
      <tp t="e">
        <v>#N/A</v>
        <stp/>
        <stp>BDH|15361660879295982188</stp>
        <tr r="Z62" s="21"/>
      </tp>
      <tp t="e">
        <v>#N/A</v>
        <stp/>
        <stp>BDH|11163322552610409799</stp>
        <tr r="AA108" s="12"/>
      </tp>
      <tp t="e">
        <v>#N/A</v>
        <stp/>
        <stp>BDH|10662700213100089694</stp>
        <tr r="H38" s="11"/>
        <tr r="H46" s="10"/>
      </tp>
      <tp t="e">
        <v>#N/A</v>
        <stp/>
        <stp>BDH|10530550499794170849</stp>
        <tr r="Y16" s="11"/>
      </tp>
      <tp t="e">
        <v>#N/A</v>
        <stp/>
        <stp>BDH|10622157749287457228</stp>
        <tr r="J58" s="13"/>
      </tp>
      <tp t="e">
        <v>#N/A</v>
        <stp/>
        <stp>BDH|17935179231852685750</stp>
        <tr r="V35" s="26"/>
      </tp>
      <tp t="e">
        <v>#N/A</v>
        <stp/>
        <stp>BDH|18121971639815210710</stp>
        <tr r="H54" s="17"/>
      </tp>
      <tp t="e">
        <v>#N/A</v>
        <stp/>
        <stp>BDH|16872871682766380023</stp>
        <tr r="W34" s="26"/>
      </tp>
      <tp t="e">
        <v>#N/A</v>
        <stp/>
        <stp>BDH|12004202252793754698</stp>
        <tr r="K45" s="24"/>
      </tp>
      <tp t="e">
        <v>#N/A</v>
        <stp/>
        <stp>BDH|16434897957573077869</stp>
        <tr r="C11" s="21"/>
      </tp>
      <tp t="e">
        <v>#N/A</v>
        <stp/>
        <stp>BDH|11368473956320987071</stp>
        <tr r="C16" s="23"/>
      </tp>
      <tp t="e">
        <v>#N/A</v>
        <stp/>
        <stp>BDH|11202182093858678133</stp>
        <tr r="S31" s="24"/>
      </tp>
      <tp t="e">
        <v>#N/A</v>
        <stp/>
        <stp>BDH|14520186563185389613</stp>
        <tr r="N14" s="23"/>
      </tp>
      <tp t="e">
        <v>#N/A</v>
        <stp/>
        <stp>BDH|13994402531166715235</stp>
        <tr r="U11" s="20"/>
        <tr r="U112" s="18"/>
      </tp>
      <tp t="e">
        <v>#N/A</v>
        <stp/>
        <stp>BDH|12582640456454258594</stp>
        <tr r="Q17" s="10"/>
      </tp>
      <tp t="e">
        <v>#N/A</v>
        <stp/>
        <stp>BDH|17695606809206394708</stp>
        <tr r="Z48" s="17"/>
      </tp>
      <tp t="e">
        <v>#N/A</v>
        <stp/>
        <stp>BDH|12173116090658934258</stp>
        <tr r="N83" s="17"/>
      </tp>
      <tp t="e">
        <v>#N/A</v>
        <stp/>
        <stp>BDH|13368560878301371021</stp>
        <tr r="J26" s="29"/>
      </tp>
      <tp t="e">
        <v>#N/A</v>
        <stp/>
        <stp>BDH|15546080260623838090</stp>
        <tr r="Q41" s="12"/>
      </tp>
      <tp t="e">
        <v>#N/A</v>
        <stp/>
        <stp>BDH|11756626937262972677</stp>
        <tr r="N15" s="26"/>
      </tp>
      <tp t="e">
        <v>#N/A</v>
        <stp/>
        <stp>BDH|12536926787544990758</stp>
        <tr r="D67" s="10"/>
      </tp>
      <tp t="e">
        <v>#N/A</v>
        <stp/>
        <stp>BDH|12778538418937219126</stp>
        <tr r="Y17" s="20"/>
      </tp>
      <tp t="e">
        <v>#N/A</v>
        <stp/>
        <stp>BDH|13056434651136882469</stp>
        <tr r="U71" s="24"/>
      </tp>
      <tp t="e">
        <v>#N/A</v>
        <stp/>
        <stp>BDH|13584785765900001245</stp>
        <tr r="H65" s="12"/>
      </tp>
      <tp t="e">
        <v>#N/A</v>
        <stp/>
        <stp>BDH|12607407898436738950</stp>
        <tr r="T9" s="11"/>
      </tp>
      <tp t="e">
        <v>#N/A</v>
        <stp/>
        <stp>BDH|17502444753106812062</stp>
        <tr r="L46" s="17"/>
      </tp>
      <tp t="e">
        <v>#N/A</v>
        <stp/>
        <stp>BDH|14646320648105014601</stp>
        <tr r="N58" s="12"/>
      </tp>
      <tp t="e">
        <v>#N/A</v>
        <stp/>
        <stp>BDH|12212882326521533950</stp>
        <tr r="K14" s="17"/>
        <tr r="K17" s="28"/>
      </tp>
      <tp t="e">
        <v>#N/A</v>
        <stp/>
        <stp>BDH|10173631839003645616</stp>
        <tr r="Q31" s="17"/>
      </tp>
      <tp t="e">
        <v>#N/A</v>
        <stp/>
        <stp>BDH|15987437214277104739</stp>
        <tr r="R49" s="6"/>
        <tr r="T9" s="8"/>
      </tp>
      <tp t="e">
        <v>#N/A</v>
        <stp/>
        <stp>BDH|10586523927605943263</stp>
        <tr r="U21" s="6"/>
      </tp>
      <tp t="e">
        <v>#N/A</v>
        <stp/>
        <stp>BDH|14854743822517204639</stp>
        <tr r="W50" s="17"/>
      </tp>
      <tp t="e">
        <v>#N/A</v>
        <stp/>
        <stp>BDH|16187637554704950107</stp>
        <tr r="R25" s="18"/>
      </tp>
      <tp t="e">
        <v>#N/A</v>
        <stp/>
        <stp>BDH|14106073317743996674</stp>
        <tr r="E165" s="18"/>
      </tp>
      <tp t="e">
        <v>#N/A</v>
        <stp/>
        <stp>BDH|11417389106640281278</stp>
        <tr r="W57" s="18"/>
      </tp>
      <tp t="e">
        <v>#N/A</v>
        <stp/>
        <stp>BDH|17383273838814086236</stp>
        <tr r="T20" s="24"/>
      </tp>
      <tp t="e">
        <v>#N/A</v>
        <stp/>
        <stp>BDH|16673852343379899372</stp>
        <tr r="O31" s="13"/>
        <tr r="M27" s="10"/>
      </tp>
      <tp t="e">
        <v>#N/A</v>
        <stp/>
        <stp>BDH|13433269905568957917</stp>
        <tr r="J8" s="20"/>
        <tr r="J110" s="18"/>
      </tp>
      <tp t="e">
        <v>#N/A</v>
        <stp/>
        <stp>BDH|14770744674951978510</stp>
        <tr r="L71" s="17"/>
      </tp>
      <tp t="e">
        <v>#N/A</v>
        <stp/>
        <stp>BDH|16072827599520602728</stp>
        <tr r="Q22" s="24"/>
      </tp>
      <tp t="e">
        <v>#N/A</v>
        <stp/>
        <stp>BDH|13103793827552398432</stp>
        <tr r="Z19" s="12"/>
      </tp>
      <tp t="e">
        <v>#N/A</v>
        <stp/>
        <stp>BDH|16421820299287593055</stp>
        <tr r="I93" s="18"/>
      </tp>
      <tp t="e">
        <v>#N/A</v>
        <stp/>
        <stp>BDH|17145580110936141575</stp>
        <tr r="J20" s="26"/>
      </tp>
      <tp t="e">
        <v>#N/A</v>
        <stp/>
        <stp>BDH|15659284017237507130</stp>
        <tr r="N9" s="34"/>
      </tp>
      <tp t="e">
        <v>#N/A</v>
        <stp/>
        <stp>BDH|10840512876115525756</stp>
        <tr r="I25" s="34"/>
      </tp>
      <tp t="e">
        <v>#N/A</v>
        <stp/>
        <stp>BDH|13642570848747092569</stp>
        <tr r="T161" s="18"/>
      </tp>
      <tp t="e">
        <v>#N/A</v>
        <stp/>
        <stp>BDH|12119088676490491547</stp>
        <tr r="I31" s="21"/>
      </tp>
      <tp t="e">
        <v>#N/A</v>
        <stp/>
        <stp>BDH|12285328406909996803</stp>
        <tr r="D15" s="4"/>
      </tp>
      <tp t="e">
        <v>#N/A</v>
        <stp/>
        <stp>BDH|10587458219115032061</stp>
        <tr r="I32" s="12"/>
      </tp>
      <tp t="e">
        <v>#N/A</v>
        <stp/>
        <stp>BDH|16565048563965937547</stp>
        <tr r="X84" s="12"/>
      </tp>
      <tp t="e">
        <v>#N/A</v>
        <stp/>
        <stp>BDH|12486241553124934159</stp>
        <tr r="Y13" s="21"/>
      </tp>
      <tp t="e">
        <v>#N/A</v>
        <stp/>
        <stp>BDH|13722107946107971172</stp>
        <tr r="T16" s="17"/>
        <tr r="T19" s="28"/>
      </tp>
      <tp t="e">
        <v>#N/A</v>
        <stp/>
        <stp>BDH|13593488035513414734</stp>
        <tr r="L25" s="11"/>
        <tr r="L33" s="10"/>
      </tp>
      <tp t="e">
        <v>#N/A</v>
        <stp/>
        <stp>BDH|10059318258021199775</stp>
        <tr r="R27" s="18"/>
      </tp>
      <tp t="e">
        <v>#N/A</v>
        <stp/>
        <stp>BDH|15549175348650673030</stp>
        <tr r="C51" s="12"/>
      </tp>
      <tp t="e">
        <v>#N/A</v>
        <stp/>
        <stp>BDH|10906011006077749765</stp>
        <tr r="D47" s="34"/>
      </tp>
      <tp t="e">
        <v>#N/A</v>
        <stp/>
        <stp>BDH|14072158049907659653</stp>
        <tr r="L16" s="14"/>
      </tp>
      <tp t="e">
        <v>#N/A</v>
        <stp/>
        <stp>BDH|12290646062114815638</stp>
        <tr r="N178" s="18"/>
      </tp>
      <tp t="e">
        <v>#N/A</v>
        <stp/>
        <stp>BDH|13982745558430266188</stp>
        <tr r="C50" s="18"/>
      </tp>
      <tp t="e">
        <v>#N/A</v>
        <stp/>
        <stp>BDH|15451424238616785469</stp>
        <tr r="S43" s="17"/>
        <tr r="S9" s="25"/>
      </tp>
      <tp t="e">
        <v>#N/A</v>
        <stp/>
        <stp>BDH|10059801652349598488</stp>
        <tr r="AA26" s="17"/>
      </tp>
      <tp t="e">
        <v>#N/A</v>
        <stp/>
        <stp>BDH|13847967783211038327</stp>
        <tr r="R121" s="18"/>
      </tp>
      <tp t="e">
        <v>#N/A</v>
        <stp/>
        <stp>BDH|12942407263855176549</stp>
        <tr r="P156" s="18"/>
      </tp>
      <tp t="e">
        <v>#N/A</v>
        <stp/>
        <stp>BDH|16063804268621546924</stp>
        <tr r="Y29" s="13"/>
        <tr r="W32" s="10"/>
        <tr r="W24" s="11"/>
        <tr r="W45" s="4"/>
      </tp>
      <tp t="e">
        <v>#N/A</v>
        <stp/>
        <stp>BDH|13246788130305734228</stp>
        <tr r="D69" s="18"/>
      </tp>
      <tp t="e">
        <v>#N/A</v>
        <stp/>
        <stp>BDH|11312213727926863736</stp>
        <tr r="W64" s="12"/>
      </tp>
      <tp t="e">
        <v>#N/A</v>
        <stp/>
        <stp>BDH|16879610103080697025</stp>
        <tr r="N19" s="11"/>
      </tp>
      <tp t="e">
        <v>#N/A</v>
        <stp/>
        <stp>BDH|18180847652607037291</stp>
        <tr r="D15" s="23"/>
      </tp>
      <tp t="e">
        <v>#N/A</v>
        <stp/>
        <stp>BDH|13421639906636765382</stp>
        <tr r="R54" s="18"/>
      </tp>
      <tp t="e">
        <v>#N/A</v>
        <stp/>
        <stp>BDH|15338734722359940959</stp>
        <tr r="K11" s="28"/>
      </tp>
      <tp t="e">
        <v>#N/A</v>
        <stp/>
        <stp>BDH|18260128596464135490</stp>
        <tr r="D82" s="18"/>
      </tp>
      <tp t="e">
        <v>#N/A</v>
        <stp/>
        <stp>BDH|15844957984853749706</stp>
        <tr r="T11" s="22"/>
      </tp>
      <tp t="e">
        <v>#N/A</v>
        <stp/>
        <stp>BDH|13711093673542273619</stp>
        <tr r="Q106" s="18"/>
      </tp>
      <tp t="e">
        <v>#N/A</v>
        <stp/>
        <stp>BDH|15660288737105747102</stp>
        <tr r="J134" s="18"/>
      </tp>
      <tp t="e">
        <v>#N/A</v>
        <stp/>
        <stp>BDH|11802190208229189962</stp>
        <tr r="L45" s="21"/>
      </tp>
      <tp t="e">
        <v>#N/A</v>
        <stp/>
        <stp>BDH|14671578359506279245</stp>
        <tr r="AA62" s="21"/>
      </tp>
      <tp t="e">
        <v>#N/A</v>
        <stp/>
        <stp>BDH|18055498221539219746</stp>
        <tr r="C33" s="17"/>
      </tp>
      <tp t="e">
        <v>#N/A</v>
        <stp/>
        <stp>BDH|10241799610811399763</stp>
        <tr r="G70" s="10"/>
        <tr r="G62" s="11"/>
      </tp>
      <tp t="e">
        <v>#N/A</v>
        <stp/>
        <stp>BDH|15554035089994256933</stp>
        <tr r="O24" s="23"/>
        <tr r="O21" s="30"/>
      </tp>
      <tp t="e">
        <v>#N/A</v>
        <stp/>
        <stp>BDH|11962800418169896173</stp>
        <tr r="R28" s="22"/>
      </tp>
      <tp t="e">
        <v>#N/A</v>
        <stp/>
        <stp>BDH|14862552014860400030</stp>
        <tr r="X52" s="21"/>
      </tp>
      <tp t="e">
        <v>#N/A</v>
        <stp/>
        <stp>BDH|12512592776527096743</stp>
        <tr r="W9" s="20"/>
        <tr r="W111" s="18"/>
      </tp>
      <tp t="e">
        <v>#N/A</v>
        <stp/>
        <stp>BDH|14368185446330743147</stp>
        <tr r="Y20" s="11"/>
      </tp>
      <tp t="e">
        <v>#N/A</v>
        <stp/>
        <stp>BDH|15919677586388302356</stp>
        <tr r="Y37" s="24"/>
      </tp>
      <tp t="e">
        <v>#N/A</v>
        <stp/>
        <stp>BDH|10457622531564827113</stp>
        <tr r="G21" s="4"/>
      </tp>
      <tp t="e">
        <v>#N/A</v>
        <stp/>
        <stp>BDH|16807587928444345555</stp>
        <tr r="N11" s="10"/>
        <tr r="N14" s="2"/>
      </tp>
      <tp t="e">
        <v>#N/A</v>
        <stp/>
        <stp>BDH|12846394159312778615</stp>
        <tr r="M36" s="34"/>
      </tp>
      <tp t="e">
        <v>#N/A</v>
        <stp/>
        <stp>BDH|16370024765291940134</stp>
        <tr r="C49" s="24"/>
      </tp>
      <tp t="e">
        <v>#N/A</v>
        <stp/>
        <stp>BDH|10389090065670969689</stp>
        <tr r="W23" s="6"/>
      </tp>
      <tp t="e">
        <v>#N/A</v>
        <stp/>
        <stp>BDH|13383682018857530380</stp>
        <tr r="F13" s="26"/>
      </tp>
      <tp t="e">
        <v>#N/A</v>
        <stp/>
        <stp>BDH|18368890615298162902</stp>
        <tr r="F23" s="25"/>
        <tr r="D21" s="11"/>
      </tp>
      <tp t="e">
        <v>#N/A</v>
        <stp/>
        <stp>BDH|17378280683219148471</stp>
        <tr r="V9" s="11"/>
      </tp>
      <tp t="e">
        <v>#N/A</v>
        <stp/>
        <stp>BDH|10587633468049684963</stp>
        <tr r="J11" s="10"/>
        <tr r="J14" s="2"/>
      </tp>
      <tp t="e">
        <v>#N/A</v>
        <stp/>
        <stp>BDH|15852616064463077630</stp>
        <tr r="H16" s="18"/>
      </tp>
      <tp t="e">
        <v>#N/A</v>
        <stp/>
        <stp>BDH|14022789776891340530</stp>
        <tr r="N66" s="34"/>
      </tp>
      <tp t="e">
        <v>#N/A</v>
        <stp/>
        <stp>BDH|11656495531643089509</stp>
        <tr r="M21" s="2"/>
      </tp>
      <tp t="e">
        <v>#N/A</v>
        <stp/>
        <stp>BDH|14798163681418896560</stp>
        <tr r="C11" s="24"/>
      </tp>
      <tp t="e">
        <v>#N/A</v>
        <stp/>
        <stp>BDH|10996040113965839484</stp>
        <tr r="J14" s="4"/>
      </tp>
      <tp t="e">
        <v>#N/A</v>
        <stp/>
        <stp>BDH|11121821986820359189</stp>
        <tr r="S108" s="12"/>
      </tp>
      <tp t="e">
        <v>#N/A</v>
        <stp/>
        <stp>BDH|11630794370756453751</stp>
        <tr r="E57" s="13"/>
      </tp>
      <tp t="e">
        <v>#N/A</v>
        <stp/>
        <stp>BDH|11917102373977280066</stp>
        <tr r="K31" s="6"/>
      </tp>
      <tp t="e">
        <v>#N/A</v>
        <stp/>
        <stp>BDH|18388853282141772826</stp>
        <tr r="C105" s="18"/>
      </tp>
      <tp t="e">
        <v>#N/A</v>
        <stp/>
        <stp>BDH|16874568748754358246</stp>
        <tr r="V12" s="12"/>
      </tp>
      <tp t="e">
        <v>#N/A</v>
        <stp/>
        <stp>BDH|16684736015399151802</stp>
        <tr r="M11" s="21"/>
      </tp>
      <tp t="e">
        <v>#N/A</v>
        <stp/>
        <stp>BDH|12095108172902514763</stp>
        <tr r="N72" s="24"/>
      </tp>
      <tp t="e">
        <v>#N/A</v>
        <stp/>
        <stp>BDH|12348638281019337436</stp>
        <tr r="P35" s="6"/>
      </tp>
      <tp t="e">
        <v>#N/A</v>
        <stp/>
        <stp>BDH|12085182225214865447</stp>
        <tr r="I35" s="26"/>
      </tp>
      <tp t="e">
        <v>#N/A</v>
        <stp/>
        <stp>BDH|14854082927525026268</stp>
        <tr r="Z38" s="12"/>
      </tp>
      <tp t="e">
        <v>#N/A</v>
        <stp/>
        <stp>BDH|14356339636286059373</stp>
        <tr r="X12" s="12"/>
      </tp>
      <tp t="e">
        <v>#N/A</v>
        <stp/>
        <stp>BDH|14438986388496598207</stp>
        <tr r="U18" s="30"/>
      </tp>
      <tp t="e">
        <v>#N/A</v>
        <stp/>
        <stp>BDH|10535272554933653513</stp>
        <tr r="L14" s="4"/>
      </tp>
      <tp t="e">
        <v>#N/A</v>
        <stp/>
        <stp>BDH|15632683741436718098</stp>
        <tr r="R55" s="18"/>
      </tp>
      <tp t="e">
        <v>#N/A</v>
        <stp/>
        <stp>BDH|15997445859512620736</stp>
        <tr r="N142" s="18"/>
      </tp>
      <tp t="e">
        <v>#N/A</v>
        <stp/>
        <stp>BDH|14963907360492902818</stp>
        <tr r="AA28" s="26"/>
      </tp>
      <tp t="e">
        <v>#N/A</v>
        <stp/>
        <stp>BDH|15466177766052182155</stp>
        <tr r="E12" s="30"/>
      </tp>
      <tp t="e">
        <v>#N/A</v>
        <stp/>
        <stp>BDH|12464764872475789662</stp>
        <tr r="I13" s="21"/>
      </tp>
      <tp t="e">
        <v>#N/A</v>
        <stp/>
        <stp>BDH|17592162870738697846</stp>
        <tr r="Q21" s="12"/>
      </tp>
      <tp t="e">
        <v>#N/A</v>
        <stp/>
        <stp>BDH|14303944092787652225</stp>
        <tr r="K6" s="15"/>
        <tr r="K6" s="10"/>
        <tr r="K11" s="4"/>
        <tr r="K12" s="2"/>
      </tp>
      <tp t="e">
        <v>#N/A</v>
        <stp/>
        <stp>BDH|17459415273364169166</stp>
        <tr r="K128" s="18"/>
      </tp>
      <tp t="e">
        <v>#N/A</v>
        <stp/>
        <stp>BDH|10848512819780765565</stp>
        <tr r="I17" s="23"/>
      </tp>
      <tp t="e">
        <v>#N/A</v>
        <stp/>
        <stp>BDH|12085217805678096952</stp>
        <tr r="L75" s="24"/>
      </tp>
      <tp t="e">
        <v>#N/A</v>
        <stp/>
        <stp>BDH|14257460818039920946</stp>
        <tr r="G53" s="13"/>
      </tp>
      <tp t="e">
        <v>#N/A</v>
        <stp/>
        <stp>BDH|10038304203124510676</stp>
        <tr r="V65" s="21"/>
        <tr r="S28" s="6"/>
      </tp>
      <tp t="e">
        <v>#N/A</v>
        <stp/>
        <stp>BDH|12159471120293379640</stp>
        <tr r="Y20" s="29"/>
      </tp>
      <tp t="e">
        <v>#N/A</v>
        <stp/>
        <stp>BDH|12394736463983503177</stp>
        <tr r="O34" s="18"/>
      </tp>
      <tp t="e">
        <v>#N/A</v>
        <stp/>
        <stp>BDH|16714154817012749530</stp>
        <tr r="T21" s="17"/>
        <tr r="T15" s="3"/>
      </tp>
      <tp t="e">
        <v>#N/A</v>
        <stp/>
        <stp>BDH|13533707003710405532</stp>
        <tr r="D59" s="18"/>
      </tp>
      <tp t="e">
        <v>#N/A</v>
        <stp/>
        <stp>BDH|14277522002081739147</stp>
        <tr r="J91" s="17"/>
      </tp>
      <tp t="e">
        <v>#N/A</v>
        <stp/>
        <stp>BDH|15268745311216348454</stp>
        <tr r="V84" s="18"/>
      </tp>
      <tp t="e">
        <v>#N/A</v>
        <stp/>
        <stp>BDH|10518709700137391170</stp>
        <tr r="S24" s="29"/>
      </tp>
      <tp t="e">
        <v>#N/A</v>
        <stp/>
        <stp>BDH|14022931227996334869</stp>
        <tr r="D23" s="22"/>
      </tp>
      <tp t="e">
        <v>#N/A</v>
        <stp/>
        <stp>BDH|11570503324326645163</stp>
        <tr r="C56" s="11"/>
        <tr r="C24" s="4"/>
      </tp>
      <tp t="e">
        <v>#N/A</v>
        <stp/>
        <stp>BDH|16416541430622168307</stp>
        <tr r="Q19" s="18"/>
      </tp>
      <tp t="e">
        <v>#N/A</v>
        <stp/>
        <stp>BDH|16479736803367332766</stp>
        <tr r="K61" s="13"/>
      </tp>
      <tp t="e">
        <v>#N/A</v>
        <stp/>
        <stp>BDH|13316772252004170463</stp>
        <tr r="C11" s="18"/>
      </tp>
      <tp t="e">
        <v>#N/A</v>
        <stp/>
        <stp>BDH|13212543791417612900</stp>
        <tr r="J51" s="34"/>
      </tp>
      <tp t="e">
        <v>#N/A</v>
        <stp/>
        <stp>BDH|17997370367767190490</stp>
        <tr r="D53" s="13"/>
      </tp>
      <tp t="e">
        <v>#N/A</v>
        <stp/>
        <stp>BDH|13649221936120571365</stp>
        <tr r="V18" s="6"/>
      </tp>
      <tp t="e">
        <v>#N/A</v>
        <stp/>
        <stp>BDH|11431627065092760257</stp>
        <tr r="I49" s="17"/>
      </tp>
      <tp t="e">
        <v>#N/A</v>
        <stp/>
        <stp>BDH|14238797843661843713</stp>
        <tr r="T16" s="11"/>
      </tp>
      <tp t="e">
        <v>#N/A</v>
        <stp/>
        <stp>BDH|11015015801713120305</stp>
        <tr r="Y14" s="20"/>
        <tr r="Y115" s="18"/>
      </tp>
      <tp t="e">
        <v>#N/A</v>
        <stp/>
        <stp>BDH|10931579513257491285</stp>
        <tr r="K135" s="18"/>
      </tp>
      <tp t="e">
        <v>#N/A</v>
        <stp/>
        <stp>BDH|11980617808446082008</stp>
        <tr r="Z31" s="13"/>
        <tr r="X27" s="10"/>
      </tp>
      <tp t="e">
        <v>#N/A</v>
        <stp/>
        <stp>BDH|10082599752059383882</stp>
        <tr r="L72" s="24"/>
      </tp>
      <tp t="e">
        <v>#N/A</v>
        <stp/>
        <stp>BDH|12280282835053871177</stp>
        <tr r="C81" s="18"/>
      </tp>
      <tp t="e">
        <v>#N/A</v>
        <stp/>
        <stp>BDH|18305639908646106996</stp>
        <tr r="S51" s="12"/>
      </tp>
      <tp t="e">
        <v>#N/A</v>
        <stp/>
        <stp>BDH|11843247763243918769</stp>
        <tr r="H100" s="12"/>
      </tp>
      <tp t="e">
        <v>#N/A</v>
        <stp/>
        <stp>BDH|12721858171034138820</stp>
        <tr r="G61" s="18"/>
      </tp>
      <tp t="e">
        <v>#N/A</v>
        <stp/>
        <stp>BDH|17577589220165948442</stp>
        <tr r="K12" s="11"/>
      </tp>
      <tp t="e">
        <v>#N/A</v>
        <stp/>
        <stp>BDH|12796734116186733357</stp>
        <tr r="P24" s="21"/>
      </tp>
      <tp t="e">
        <v>#N/A</v>
        <stp/>
        <stp>BDH|14520187499185642828</stp>
        <tr r="E11" s="18"/>
      </tp>
      <tp t="e">
        <v>#N/A</v>
        <stp/>
        <stp>BDH|14973719550554147397</stp>
        <tr r="U38" s="25"/>
      </tp>
      <tp t="e">
        <v>#N/A</v>
        <stp/>
        <stp>BDH|18306254581875515622</stp>
        <tr r="G31" s="17"/>
      </tp>
      <tp t="e">
        <v>#N/A</v>
        <stp/>
        <stp>BDH|16731713617127077619</stp>
        <tr r="H19" s="17"/>
      </tp>
      <tp t="e">
        <v>#N/A</v>
        <stp/>
        <stp>BDH|10220674853462452029</stp>
        <tr r="W77" s="18"/>
      </tp>
      <tp t="e">
        <v>#N/A</v>
        <stp/>
        <stp>BDH|17496616711483506215</stp>
        <tr r="U12" s="14"/>
      </tp>
      <tp t="e">
        <v>#N/A</v>
        <stp/>
        <stp>BDH|13399296468261381718</stp>
        <tr r="T66" s="34"/>
      </tp>
      <tp t="e">
        <v>#N/A</v>
        <stp/>
        <stp>BDH|12983189643554604249</stp>
        <tr r="L55" s="17"/>
      </tp>
      <tp t="e">
        <v>#N/A</v>
        <stp/>
        <stp>BDH|12454858145628520714</stp>
        <tr r="D31" s="11"/>
        <tr r="D39" s="10"/>
      </tp>
      <tp t="e">
        <v>#N/A</v>
        <stp/>
        <stp>BDH|10179688819835124318</stp>
        <tr r="P66" s="34"/>
      </tp>
      <tp t="e">
        <v>#N/A</v>
        <stp/>
        <stp>BDH|13505375532464359638</stp>
        <tr r="G28" s="21"/>
      </tp>
      <tp t="e">
        <v>#N/A</v>
        <stp/>
        <stp>BDH|15853490613927629642</stp>
        <tr r="I68" s="12"/>
      </tp>
      <tp t="e">
        <v>#N/A</v>
        <stp/>
        <stp>BDH|16832416215101913359</stp>
        <tr r="N63" s="10"/>
      </tp>
      <tp t="e">
        <v>#N/A</v>
        <stp/>
        <stp>BDH|14796043018720336482</stp>
        <tr r="S36" s="4"/>
      </tp>
      <tp t="e">
        <v>#N/A</v>
        <stp/>
        <stp>BDH|10725342452564651373</stp>
        <tr r="X30" s="5"/>
      </tp>
      <tp t="e">
        <v>#N/A</v>
        <stp/>
        <stp>BDH|13142095040043910513</stp>
        <tr r="Z42" s="12"/>
      </tp>
      <tp t="e">
        <v>#N/A</v>
        <stp/>
        <stp>BDH|14137750767815500168</stp>
        <tr r="O39" s="12"/>
      </tp>
      <tp t="e">
        <v>#N/A</v>
        <stp/>
        <stp>BDH|15124076742814683427</stp>
        <tr r="P105" s="12"/>
      </tp>
      <tp t="e">
        <v>#N/A</v>
        <stp/>
        <stp>BDH|15328550536457778572</stp>
        <tr r="P44" s="17"/>
      </tp>
      <tp t="e">
        <v>#N/A</v>
        <stp/>
        <stp>BDH|12814597473300763150</stp>
        <tr r="T18" s="22"/>
      </tp>
      <tp t="e">
        <v>#N/A</v>
        <stp/>
        <stp>BDH|12155912857509360646</stp>
        <tr r="T169" s="18"/>
      </tp>
      <tp t="e">
        <v>#N/A</v>
        <stp/>
        <stp>BDH|14739349977956406701</stp>
        <tr r="I19" s="11"/>
      </tp>
      <tp t="e">
        <v>#N/A</v>
        <stp/>
        <stp>BDH|16002151469205819543</stp>
        <tr r="U59" s="18"/>
      </tp>
      <tp t="e">
        <v>#N/A</v>
        <stp/>
        <stp>BDH|11386344759612688483</stp>
        <tr r="C8" s="24"/>
      </tp>
      <tp t="e">
        <v>#N/A</v>
        <stp/>
        <stp>BDH|13049907907742551920</stp>
        <tr r="P48" s="34"/>
      </tp>
      <tp t="e">
        <v>#N/A</v>
        <stp/>
        <stp>BDH|10761103632410196349</stp>
        <tr r="I15" s="6"/>
      </tp>
      <tp t="e">
        <v>#N/A</v>
        <stp/>
        <stp>BDH|17460447160094945095</stp>
        <tr r="T37" s="21"/>
        <tr r="T24" s="3"/>
      </tp>
      <tp t="e">
        <v>#N/A</v>
        <stp/>
        <stp>BDH|11013687638027379236</stp>
        <tr r="T22" s="11"/>
      </tp>
      <tp t="e">
        <v>#N/A</v>
        <stp/>
        <stp>BDH|18357906474410226752</stp>
        <tr r="R8" s="2"/>
      </tp>
      <tp t="e">
        <v>#N/A</v>
        <stp/>
        <stp>BDH|12752546214561041675</stp>
        <tr r="X37" s="12"/>
      </tp>
      <tp t="e">
        <v>#N/A</v>
        <stp/>
        <stp>BDH|14349961331687144850</stp>
        <tr r="N48" s="13"/>
      </tp>
      <tp t="e">
        <v>#N/A</v>
        <stp/>
        <stp>BDH|10404251501262258120</stp>
        <tr r="W37" s="34"/>
      </tp>
      <tp t="e">
        <v>#N/A</v>
        <stp/>
        <stp>BDH|18326328826378266059</stp>
        <tr r="R6" s="8"/>
        <tr r="P48" s="6"/>
      </tp>
      <tp t="e">
        <v>#N/A</v>
        <stp/>
        <stp>BDH|13118862583576614422</stp>
        <tr r="H20" s="24"/>
      </tp>
      <tp t="e">
        <v>#N/A</v>
        <stp/>
        <stp>BDH|14161701288772832816</stp>
        <tr r="I32" s="17"/>
      </tp>
      <tp t="e">
        <v>#N/A</v>
        <stp/>
        <stp>BDH|13736099504875257782</stp>
        <tr r="P69" s="12"/>
      </tp>
      <tp t="e">
        <v>#N/A</v>
        <stp/>
        <stp>BDH|16686059001754626340</stp>
        <tr r="X105" s="12"/>
      </tp>
      <tp t="e">
        <v>#N/A</v>
        <stp/>
        <stp>BDH|17931478142624983251</stp>
        <tr r="X65" s="24"/>
      </tp>
      <tp t="e">
        <v>#N/A</v>
        <stp/>
        <stp>BDH|14428330847321151310</stp>
        <tr r="X39" s="17"/>
      </tp>
      <tp t="e">
        <v>#N/A</v>
        <stp/>
        <stp>BDH|10343316805860266267</stp>
        <tr r="W15" s="22"/>
      </tp>
      <tp t="e">
        <v>#N/A</v>
        <stp/>
        <stp>BDH|13237603541878478845</stp>
        <tr r="D26" s="6"/>
      </tp>
      <tp t="e">
        <v>#N/A</v>
        <stp/>
        <stp>BDH|16860600142987147281</stp>
        <tr r="C12" s="10"/>
      </tp>
      <tp t="e">
        <v>#N/A</v>
        <stp/>
        <stp>BDH|16713510004767981584</stp>
        <tr r="I38" s="17"/>
      </tp>
      <tp t="e">
        <v>#N/A</v>
        <stp/>
        <stp>BDH|11247255357876202113</stp>
        <tr r="C20" s="27"/>
      </tp>
      <tp t="e">
        <v>#N/A</v>
        <stp/>
        <stp>BDH|13374259671431600620</stp>
        <tr r="T38" s="22"/>
      </tp>
      <tp t="e">
        <v>#N/A</v>
        <stp/>
        <stp>BDH|17102298359007141636</stp>
        <tr r="W20" s="34"/>
      </tp>
      <tp t="e">
        <v>#N/A</v>
        <stp/>
        <stp>BDH|12680415670442615221</stp>
        <tr r="J36" s="21"/>
      </tp>
      <tp t="e">
        <v>#N/A</v>
        <stp/>
        <stp>BDH|12596678332146700049</stp>
        <tr r="U9" s="10"/>
      </tp>
      <tp t="e">
        <v>#N/A</v>
        <stp/>
        <stp>BDH|14441095767043176089</stp>
        <tr r="M149" s="18"/>
      </tp>
      <tp t="e">
        <v>#N/A</v>
        <stp/>
        <stp>BDH|17135517162575690077</stp>
        <tr r="U17" s="20"/>
      </tp>
      <tp t="e">
        <v>#N/A</v>
        <stp/>
        <stp>BDH|12226294629906160507</stp>
        <tr r="U84" s="18"/>
      </tp>
      <tp t="e">
        <v>#N/A</v>
        <stp/>
        <stp>BDH|15549012487059318539</stp>
        <tr r="Y22" s="17"/>
      </tp>
      <tp t="e">
        <v>#N/A</v>
        <stp/>
        <stp>BDH|11651340115507655528</stp>
        <tr r="V71" s="17"/>
      </tp>
      <tp t="e">
        <v>#N/A</v>
        <stp/>
        <stp>BDH|17444947663871851883</stp>
        <tr r="L68" s="17"/>
        <tr r="I8" s="5"/>
        <tr r="I8" s="9"/>
      </tp>
      <tp t="e">
        <v>#N/A</v>
        <stp/>
        <stp>BDH|16499049914620424639</stp>
        <tr r="J108" s="12"/>
      </tp>
      <tp t="e">
        <v>#N/A</v>
        <stp/>
        <stp>BDH|13556097003734957653</stp>
        <tr r="U16" s="14"/>
      </tp>
      <tp t="e">
        <v>#N/A</v>
        <stp/>
        <stp>BDH|16058526521104932493</stp>
        <tr r="U61" s="18"/>
      </tp>
      <tp t="e">
        <v>#N/A</v>
        <stp/>
        <stp>BDH|15230368673805768537</stp>
        <tr r="O18" s="17"/>
      </tp>
      <tp t="e">
        <v>#N/A</v>
        <stp/>
        <stp>BDH|10426871280550524156</stp>
        <tr r="P71" s="12"/>
      </tp>
      <tp t="e">
        <v>#N/A</v>
        <stp/>
        <stp>BDH|18139523294497755233</stp>
        <tr r="G28" s="4"/>
      </tp>
      <tp t="e">
        <v>#N/A</v>
        <stp/>
        <stp>BDH|10031066196741155925</stp>
        <tr r="G22" s="9"/>
      </tp>
      <tp t="e">
        <v>#N/A</v>
        <stp/>
        <stp>BDH|14014589622035130789</stp>
        <tr r="P165" s="18"/>
      </tp>
      <tp t="e">
        <v>#N/A</v>
        <stp/>
        <stp>BDH|16872885254098630210</stp>
        <tr r="H75" s="24"/>
      </tp>
      <tp t="e">
        <v>#N/A</v>
        <stp/>
        <stp>BDH|13219276441020428434</stp>
        <tr r="N46" s="18"/>
      </tp>
      <tp t="e">
        <v>#N/A</v>
        <stp/>
        <stp>BDH|14672526241170331452</stp>
        <tr r="F18" s="34"/>
      </tp>
      <tp t="e">
        <v>#N/A</v>
        <stp/>
        <stp>BDH|10425151040613454761</stp>
        <tr r="T77" s="12"/>
      </tp>
      <tp t="e">
        <v>#N/A</v>
        <stp/>
        <stp>BDH|12116082618192555077</stp>
        <tr r="L19" s="20"/>
      </tp>
      <tp t="e">
        <v>#N/A</v>
        <stp/>
        <stp>BDH|10722500710346262367</stp>
        <tr r="J27" s="7"/>
      </tp>
      <tp t="e">
        <v>#N/A</v>
        <stp/>
        <stp>BDH|14715218845491431249</stp>
        <tr r="T159" s="18"/>
      </tp>
      <tp t="e">
        <v>#N/A</v>
        <stp/>
        <stp>BDH|12869622288525229834</stp>
        <tr r="E41" s="34"/>
      </tp>
      <tp t="e">
        <v>#N/A</v>
        <stp/>
        <stp>BDH|14089495861721845638</stp>
        <tr r="H62" s="11"/>
        <tr r="H70" s="10"/>
      </tp>
      <tp t="e">
        <v>#N/A</v>
        <stp/>
        <stp>BDH|16880591231535590463</stp>
        <tr r="U19" s="25"/>
      </tp>
      <tp t="e">
        <v>#N/A</v>
        <stp/>
        <stp>BDH|14639493209505381468</stp>
        <tr r="O16" s="12"/>
      </tp>
      <tp t="e">
        <v>#N/A</v>
        <stp/>
        <stp>BDH|17957238728404045218</stp>
        <tr r="C73" s="17"/>
      </tp>
      <tp t="e">
        <v>#N/A</v>
        <stp/>
        <stp>BDH|14985421358003342738</stp>
        <tr r="X76" s="12"/>
      </tp>
      <tp t="e">
        <v>#N/A</v>
        <stp/>
        <stp>BDH|14516132615607217221</stp>
        <tr r="P10" s="34"/>
      </tp>
      <tp t="e">
        <v>#N/A</v>
        <stp/>
        <stp>BDH|12921538708446531048</stp>
        <tr r="L15" s="5"/>
      </tp>
      <tp t="e">
        <v>#N/A</v>
        <stp/>
        <stp>BDH|12238524232516759362</stp>
        <tr r="W68" s="24"/>
      </tp>
      <tp t="e">
        <v>#N/A</v>
        <stp/>
        <stp>BDH|14947109509986516261</stp>
        <tr r="L29" s="6"/>
      </tp>
      <tp t="e">
        <v>#N/A</v>
        <stp/>
        <stp>BDH|18154142053879328469</stp>
        <tr r="G34" s="11"/>
        <tr r="G42" s="10"/>
      </tp>
      <tp t="e">
        <v>#N/A</v>
        <stp/>
        <stp>BDH|10463095118451072164</stp>
        <tr r="N25" s="17"/>
      </tp>
      <tp t="e">
        <v>#N/A</v>
        <stp/>
        <stp>BDH|14162128287054168873</stp>
        <tr r="C21" s="24"/>
      </tp>
      <tp t="e">
        <v>#N/A</v>
        <stp/>
        <stp>BDH|16385467254136240011</stp>
        <tr r="AA110" s="12"/>
      </tp>
      <tp t="e">
        <v>#N/A</v>
        <stp/>
        <stp>BDH|12504720742870504023</stp>
        <tr r="D22" s="22"/>
      </tp>
      <tp t="e">
        <v>#N/A</v>
        <stp/>
        <stp>BDH|10405468132513076520</stp>
        <tr r="J40" s="29"/>
      </tp>
      <tp t="e">
        <v>#N/A</v>
        <stp/>
        <stp>BDH|14561291866970816106</stp>
        <tr r="G101" s="18"/>
      </tp>
      <tp t="e">
        <v>#N/A</v>
        <stp/>
        <stp>BDH|10099562440678643821</stp>
        <tr r="I29" s="21"/>
      </tp>
      <tp t="e">
        <v>#N/A</v>
        <stp/>
        <stp>BDH|15009811073042888981</stp>
        <tr r="M24" s="21"/>
      </tp>
      <tp t="e">
        <v>#N/A</v>
        <stp/>
        <stp>BDH|18067667695263127509</stp>
        <tr r="E23" s="6"/>
      </tp>
      <tp t="e">
        <v>#N/A</v>
        <stp/>
        <stp>BDH|16520118015274444374</stp>
        <tr r="M87" s="18"/>
      </tp>
      <tp t="e">
        <v>#N/A</v>
        <stp/>
        <stp>BDH|11540726133911072564</stp>
        <tr r="L161" s="18"/>
      </tp>
      <tp t="e">
        <v>#N/A</v>
        <stp/>
        <stp>BDH|12880943739130159961</stp>
        <tr r="R16" s="12"/>
      </tp>
      <tp t="e">
        <v>#N/A</v>
        <stp/>
        <stp>BDH|14445602023395129449</stp>
        <tr r="F12" s="25"/>
      </tp>
      <tp t="e">
        <v>#N/A</v>
        <stp/>
        <stp>BDH|13747474040755196730</stp>
        <tr r="D23" s="5"/>
      </tp>
      <tp t="e">
        <v>#N/A</v>
        <stp/>
        <stp>BDH|14833715233559057888</stp>
        <tr r="T41" s="17"/>
      </tp>
      <tp t="e">
        <v>#N/A</v>
        <stp/>
        <stp>BDH|17429252373574204728</stp>
        <tr r="Q26" s="18"/>
      </tp>
      <tp t="e">
        <v>#N/A</v>
        <stp/>
        <stp>BDH|15935369829216644321</stp>
        <tr r="G64" s="11"/>
        <tr r="G72" s="10"/>
      </tp>
      <tp t="e">
        <v>#N/A</v>
        <stp/>
        <stp>BDH|15530853723857474952</stp>
        <tr r="X11" s="18"/>
      </tp>
      <tp t="e">
        <v>#N/A</v>
        <stp/>
        <stp>BDH|10535919043488071455</stp>
        <tr r="J20" s="17"/>
      </tp>
      <tp t="e">
        <v>#N/A</v>
        <stp/>
        <stp>BDH|14446188658257341656</stp>
        <tr r="L32" s="13"/>
        <tr r="J28" s="10"/>
      </tp>
      <tp t="e">
        <v>#N/A</v>
        <stp/>
        <stp>BDH|12136049191362447821</stp>
        <tr r="Y24" s="20"/>
      </tp>
      <tp t="e">
        <v>#N/A</v>
        <stp/>
        <stp>BDH|17830407875894943164</stp>
        <tr r="U29" s="18"/>
      </tp>
      <tp t="e">
        <v>#N/A</v>
        <stp/>
        <stp>BDH|11406847763156779862</stp>
        <tr r="Q15" s="22"/>
      </tp>
      <tp t="e">
        <v>#N/A</v>
        <stp/>
        <stp>BDH|18367703693765468267</stp>
        <tr r="I60" s="18"/>
      </tp>
      <tp t="e">
        <v>#N/A</v>
        <stp/>
        <stp>BDH|12224657679444830641</stp>
        <tr r="Z102" s="18"/>
      </tp>
      <tp t="e">
        <v>#N/A</v>
        <stp/>
        <stp>BDH|14060135051504662563</stp>
        <tr r="U58" s="17"/>
      </tp>
      <tp t="e">
        <v>#N/A</v>
        <stp/>
        <stp>BDH|16110460241982380572</stp>
        <tr r="N31" s="26"/>
        <tr r="K14" s="9"/>
      </tp>
      <tp t="e">
        <v>#N/A</v>
        <stp/>
        <stp>BDH|11652243716435169675</stp>
        <tr r="Z110" s="12"/>
      </tp>
      <tp t="e">
        <v>#N/A</v>
        <stp/>
        <stp>BDH|12358305820671638374</stp>
        <tr r="L13" s="17"/>
        <tr r="L16" s="28"/>
      </tp>
      <tp t="e">
        <v>#N/A</v>
        <stp/>
        <stp>BDH|12647427566895991493</stp>
        <tr r="D23" s="13"/>
      </tp>
      <tp t="e">
        <v>#N/A</v>
        <stp/>
        <stp>BDH|11738964580694420572</stp>
        <tr r="N59" s="24"/>
      </tp>
      <tp t="e">
        <v>#N/A</v>
        <stp/>
        <stp>BDH|13667630724614540265</stp>
        <tr r="N30" s="5"/>
      </tp>
      <tp t="e">
        <v>#N/A</v>
        <stp/>
        <stp>BDH|10458724990028483708</stp>
        <tr r="C7" s="34"/>
      </tp>
      <tp t="e">
        <v>#N/A</v>
        <stp/>
        <stp>BDH|11271259133816173770</stp>
        <tr r="O64" s="12"/>
      </tp>
      <tp t="e">
        <v>#N/A</v>
        <stp/>
        <stp>BDH|11384026950524621159</stp>
        <tr r="Q95" s="12"/>
      </tp>
      <tp t="e">
        <v>#N/A</v>
        <stp/>
        <stp>BDH|11665191768613037452</stp>
        <tr r="Y27" s="17"/>
      </tp>
      <tp t="e">
        <v>#N/A</v>
        <stp/>
        <stp>BDH|12416094277507073387</stp>
        <tr r="C76" s="17"/>
      </tp>
      <tp t="e">
        <v>#N/A</v>
        <stp/>
        <stp>BDH|12454706622256756034</stp>
        <tr r="V106" s="18"/>
      </tp>
      <tp t="e">
        <v>#N/A</v>
        <stp/>
        <stp>BDH|17264395139561251723</stp>
        <tr r="Z36" s="18"/>
      </tp>
      <tp t="e">
        <v>#N/A</v>
        <stp/>
        <stp>BDH|11057631557320798319</stp>
        <tr r="T23" s="23"/>
      </tp>
      <tp t="e">
        <v>#N/A</v>
        <stp/>
        <stp>BDH|17994586422849143804</stp>
        <tr r="T26" s="11"/>
        <tr r="T34" s="10"/>
      </tp>
      <tp t="e">
        <v>#N/A</v>
        <stp/>
        <stp>BDH|14742093829572733527</stp>
        <tr r="K23" s="5"/>
      </tp>
      <tp t="e">
        <v>#N/A</v>
        <stp/>
        <stp>BDH|10741242543080776757</stp>
        <tr r="R14" s="20"/>
        <tr r="R115" s="18"/>
      </tp>
      <tp t="e">
        <v>#N/A</v>
        <stp/>
        <stp>BDH|12333122569333304794</stp>
        <tr r="K153" s="18"/>
      </tp>
      <tp t="e">
        <v>#N/A</v>
        <stp/>
        <stp>BDH|15294639580698456276</stp>
        <tr r="T18" s="30"/>
      </tp>
      <tp t="e">
        <v>#N/A</v>
        <stp/>
        <stp>BDH|11127417355679406836</stp>
        <tr r="D54" s="18"/>
      </tp>
      <tp t="e">
        <v>#N/A</v>
        <stp/>
        <stp>BDH|10866623727416724386</stp>
        <tr r="V30" s="26"/>
      </tp>
      <tp t="e">
        <v>#N/A</v>
        <stp/>
        <stp>BDH|10153309020384738449</stp>
        <tr r="G124" s="18"/>
      </tp>
      <tp t="e">
        <v>#N/A</v>
        <stp/>
        <stp>BDH|15610634869994602089</stp>
        <tr r="R13" s="8"/>
      </tp>
      <tp t="e">
        <v>#N/A</v>
        <stp/>
        <stp>BDH|13272285244872469688</stp>
        <tr r="S67" s="34"/>
      </tp>
      <tp t="e">
        <v>#N/A</v>
        <stp/>
        <stp>BDH|17253243175723661073</stp>
        <tr r="P26" s="25"/>
        <tr r="P12" s="27"/>
      </tp>
      <tp t="e">
        <v>#N/A</v>
        <stp/>
        <stp>BDH|15060916218658824430</stp>
        <tr r="Q53" s="18"/>
      </tp>
      <tp t="e">
        <v>#N/A</v>
        <stp/>
        <stp>BDH|17211167353190409213</stp>
        <tr r="X7" s="28"/>
      </tp>
      <tp t="e">
        <v>#N/A</v>
        <stp/>
        <stp>BDH|17400718551303409750</stp>
        <tr r="I12" s="11"/>
      </tp>
      <tp t="e">
        <v>#N/A</v>
        <stp/>
        <stp>BDH|12016978481225394709</stp>
        <tr r="G24" s="6"/>
      </tp>
      <tp t="e">
        <v>#N/A</v>
        <stp/>
        <stp>BDH|16792240340739645801</stp>
        <tr r="R11" s="24"/>
      </tp>
      <tp t="e">
        <v>#N/A</v>
        <stp/>
        <stp>BDH|13111307687459491070</stp>
        <tr r="R24" s="24"/>
      </tp>
      <tp t="e">
        <v>#N/A</v>
        <stp/>
        <stp>BDH|15331222173413563228</stp>
        <tr r="I8" s="24"/>
      </tp>
      <tp t="e">
        <v>#N/A</v>
        <stp/>
        <stp>BDH|10274102932876437514</stp>
        <tr r="R39" s="12"/>
      </tp>
      <tp t="e">
        <v>#N/A</v>
        <stp/>
        <stp>BDH|17048632666265493347</stp>
        <tr r="O16" s="18"/>
      </tp>
      <tp t="e">
        <v>#N/A</v>
        <stp/>
        <stp>BDH|10673367926469166928</stp>
        <tr r="P25" s="6"/>
      </tp>
      <tp t="e">
        <v>#N/A</v>
        <stp/>
        <stp>BDH|15201352025995757007</stp>
        <tr r="N42" s="13"/>
      </tp>
      <tp t="e">
        <v>#N/A</v>
        <stp/>
        <stp>BDH|12500378504709660950</stp>
        <tr r="N7" s="8"/>
      </tp>
      <tp t="e">
        <v>#N/A</v>
        <stp/>
        <stp>BDH|14475170845739516969</stp>
        <tr r="Y131" s="18"/>
      </tp>
      <tp t="e">
        <v>#N/A</v>
        <stp/>
        <stp>BDH|10055102933991661200</stp>
        <tr r="F46" s="13"/>
      </tp>
      <tp t="e">
        <v>#N/A</v>
        <stp/>
        <stp>BDH|18069969346602245672</stp>
        <tr r="AA32" s="24"/>
      </tp>
      <tp t="e">
        <v>#N/A</v>
        <stp/>
        <stp>BDH|10199015487109538071</stp>
        <tr r="Y151" s="18"/>
      </tp>
      <tp t="e">
        <v>#N/A</v>
        <stp/>
        <stp>BDH|18146277806908616335</stp>
        <tr r="P15" s="10"/>
      </tp>
      <tp t="e">
        <v>#N/A</v>
        <stp/>
        <stp>BDH|16290772227874779609</stp>
        <tr r="P100" s="12"/>
      </tp>
      <tp t="e">
        <v>#N/A</v>
        <stp/>
        <stp>BDH|11717756986979011612</stp>
        <tr r="V43" s="13"/>
      </tp>
      <tp t="e">
        <v>#N/A</v>
        <stp/>
        <stp>BDH|14782816364293605810</stp>
        <tr r="L49" s="34"/>
      </tp>
      <tp t="e">
        <v>#N/A</v>
        <stp/>
        <stp>BDH|15271776012956439467</stp>
        <tr r="M14" s="8"/>
      </tp>
      <tp t="e">
        <v>#N/A</v>
        <stp/>
        <stp>BDH|16494252916160547472</stp>
        <tr r="T71" s="12"/>
      </tp>
      <tp t="e">
        <v>#N/A</v>
        <stp/>
        <stp>BDH|15734325485839359667</stp>
        <tr r="O18" s="9"/>
      </tp>
      <tp t="e">
        <v>#N/A</v>
        <stp/>
        <stp>BDH|14743905101534105828</stp>
        <tr r="V22" s="7"/>
      </tp>
      <tp t="e">
        <v>#N/A</v>
        <stp/>
        <stp>BDH|12584707112024336110</stp>
        <tr r="Y77" s="12"/>
      </tp>
      <tp t="e">
        <v>#N/A</v>
        <stp/>
        <stp>BDH|10806584056186604756</stp>
        <tr r="AA23" s="22"/>
      </tp>
      <tp t="e">
        <v>#N/A</v>
        <stp/>
        <stp>BDH|14041886699970605428</stp>
        <tr r="T24" s="12"/>
      </tp>
      <tp t="e">
        <v>#N/A</v>
        <stp/>
        <stp>BDH|11578701902771071625</stp>
        <tr r="U38" s="11"/>
        <tr r="U46" s="10"/>
      </tp>
      <tp t="e">
        <v>#N/A</v>
        <stp/>
        <stp>BDH|15213757016113635127</stp>
        <tr r="D76" s="12"/>
      </tp>
      <tp t="e">
        <v>#N/A</v>
        <stp/>
        <stp>BDH|16155734503447036745</stp>
        <tr r="C37" s="24"/>
      </tp>
      <tp t="e">
        <v>#N/A</v>
        <stp/>
        <stp>BDH|17461666337500157312</stp>
        <tr r="W107" s="12"/>
      </tp>
      <tp t="e">
        <v>#N/A</v>
        <stp/>
        <stp>BDH|10322263615063454116</stp>
        <tr r="E7" s="14"/>
      </tp>
      <tp t="e">
        <v>#N/A</v>
        <stp/>
        <stp>BDH|16233372493168202512</stp>
        <tr r="W153" s="18"/>
      </tp>
      <tp t="e">
        <v>#N/A</v>
        <stp/>
        <stp>BDH|15039977894586654205</stp>
        <tr r="V38" s="22"/>
      </tp>
      <tp t="e">
        <v>#N/A</v>
        <stp/>
        <stp>BDH|16219311266121354335</stp>
        <tr r="D52" s="18"/>
      </tp>
      <tp t="e">
        <v>#N/A</v>
        <stp/>
        <stp>BDH|12879990442776009861</stp>
        <tr r="D25" s="22"/>
      </tp>
      <tp t="e">
        <v>#N/A</v>
        <stp/>
        <stp>BDH|13392624716142053728</stp>
        <tr r="P12" s="25"/>
      </tp>
      <tp t="e">
        <v>#N/A</v>
        <stp/>
        <stp>BDH|13520117451293538554</stp>
        <tr r="Z170" s="18"/>
      </tp>
      <tp t="e">
        <v>#N/A</v>
        <stp/>
        <stp>BDH|11293212195929074235</stp>
        <tr r="AA23" s="21"/>
      </tp>
      <tp t="e">
        <v>#N/A</v>
        <stp/>
        <stp>BDH|12416847731701581919</stp>
        <tr r="X11" s="7"/>
      </tp>
      <tp t="e">
        <v>#N/A</v>
        <stp/>
        <stp>BDH|16113161545520037276</stp>
        <tr r="T64" s="24"/>
      </tp>
      <tp t="e">
        <v>#N/A</v>
        <stp/>
        <stp>BDH|15190388277524268495</stp>
        <tr r="F135" s="18"/>
      </tp>
      <tp t="e">
        <v>#N/A</v>
        <stp/>
        <stp>BDH|16769257837230214625</stp>
        <tr r="I24" s="2"/>
      </tp>
      <tp t="e">
        <v>#N/A</v>
        <stp/>
        <stp>BDH|14742877356789174125</stp>
        <tr r="Y25" s="11"/>
        <tr r="Y33" s="10"/>
      </tp>
      <tp t="e">
        <v>#N/A</v>
        <stp/>
        <stp>BDH|15071202735214920193</stp>
        <tr r="S8" s="4"/>
      </tp>
      <tp t="e">
        <v>#N/A</v>
        <stp/>
        <stp>BDH|17047888889014799233</stp>
        <tr r="N13" s="12"/>
      </tp>
      <tp t="e">
        <v>#N/A</v>
        <stp/>
        <stp>BDH|16498609871916785074</stp>
        <tr r="U43" s="18"/>
      </tp>
      <tp t="e">
        <v>#N/A</v>
        <stp/>
        <stp>BDH|14632625524542555303</stp>
        <tr r="M31" s="17"/>
      </tp>
      <tp t="e">
        <v>#N/A</v>
        <stp/>
        <stp>BDH|10073734396177745873</stp>
        <tr r="P25" s="10"/>
      </tp>
      <tp t="e">
        <v>#N/A</v>
        <stp/>
        <stp>BDH|14118113568071913347</stp>
        <tr r="S102" s="12"/>
      </tp>
      <tp t="e">
        <v>#N/A</v>
        <stp/>
        <stp>BDH|13318877633791572872</stp>
        <tr r="P94" s="12"/>
      </tp>
      <tp t="e">
        <v>#N/A</v>
        <stp/>
        <stp>BDH|10833396702365005762</stp>
        <tr r="O175" s="18"/>
      </tp>
      <tp t="e">
        <v>#N/A</v>
        <stp/>
        <stp>BDH|10615505265735709708</stp>
        <tr r="R88" s="12"/>
      </tp>
      <tp t="e">
        <v>#N/A</v>
        <stp/>
        <stp>BDH|15958909379573348976</stp>
        <tr r="M26" s="17"/>
      </tp>
      <tp t="e">
        <v>#N/A</v>
        <stp/>
        <stp>BDH|14865662030740282080</stp>
        <tr r="R106" s="12"/>
      </tp>
      <tp t="e">
        <v>#N/A</v>
        <stp/>
        <stp>BDH|10019329437543871290</stp>
        <tr r="D17" s="18"/>
      </tp>
      <tp t="e">
        <v>#N/A</v>
        <stp/>
        <stp>BDH|10533408234382724423</stp>
        <tr r="O40" s="18"/>
      </tp>
      <tp t="e">
        <v>#N/A</v>
        <stp/>
        <stp>BDH|13221731385754795974</stp>
        <tr r="O12" s="13"/>
      </tp>
      <tp t="e">
        <v>#N/A</v>
        <stp/>
        <stp>BDH|13272372291920000805</stp>
        <tr r="N23" s="25"/>
        <tr r="L21" s="11"/>
      </tp>
      <tp t="e">
        <v>#N/A</v>
        <stp/>
        <stp>BDH|14971647960903976606</stp>
        <tr r="L26" s="7"/>
      </tp>
      <tp t="e">
        <v>#N/A</v>
        <stp/>
        <stp>BDH|15264083611990711585</stp>
        <tr r="P32" s="11"/>
        <tr r="P40" s="10"/>
      </tp>
      <tp t="e">
        <v>#N/A</v>
        <stp/>
        <stp>BDH|11530125538300891233</stp>
        <tr r="W22" s="10"/>
      </tp>
      <tp t="e">
        <v>#N/A</v>
        <stp/>
        <stp>BDH|11300854786926222660</stp>
        <tr r="H21" s="18"/>
      </tp>
      <tp t="e">
        <v>#N/A</v>
        <stp/>
        <stp>BDH|16574292363803320080</stp>
        <tr r="D17" s="9"/>
      </tp>
      <tp t="e">
        <v>#N/A</v>
        <stp/>
        <stp>BDH|13143229020963683113</stp>
        <tr r="J55" s="34"/>
      </tp>
      <tp t="e">
        <v>#N/A</v>
        <stp/>
        <stp>BDH|15808371848394057739</stp>
        <tr r="P66" s="17"/>
      </tp>
      <tp t="e">
        <v>#N/A</v>
        <stp/>
        <stp>BDH|11895201733468755987</stp>
        <tr r="J36" s="4"/>
      </tp>
      <tp t="e">
        <v>#N/A</v>
        <stp/>
        <stp>BDH|16116516763722690617</stp>
        <tr r="O18" s="21"/>
        <tr r="M23" s="2"/>
        <tr r="O23" s="3"/>
      </tp>
      <tp t="e">
        <v>#N/A</v>
        <stp/>
        <stp>BDH|10724109928211304384</stp>
        <tr r="D34" s="21"/>
      </tp>
      <tp t="e">
        <v>#N/A</v>
        <stp/>
        <stp>BDH|11180528213932419605</stp>
        <tr r="I24" s="24"/>
      </tp>
      <tp t="e">
        <v>#N/A</v>
        <stp/>
        <stp>BDH|16946239177367947507</stp>
        <tr r="D34" s="6"/>
      </tp>
      <tp t="e">
        <v>#N/A</v>
        <stp/>
        <stp>BDH|17326048800164263211</stp>
        <tr r="Q20" s="23"/>
      </tp>
      <tp t="e">
        <v>#N/A</v>
        <stp/>
        <stp>BDH|11379105447852542752</stp>
        <tr r="C43" s="11"/>
        <tr r="C51" s="10"/>
        <tr r="C15" s="7"/>
      </tp>
      <tp t="e">
        <v>#N/A</v>
        <stp/>
        <stp>BDH|14886782003224670613</stp>
        <tr r="S13" s="17"/>
        <tr r="S16" s="28"/>
      </tp>
      <tp t="e">
        <v>#N/A</v>
        <stp/>
        <stp>BDH|17227966843988663357</stp>
        <tr r="P59" s="34"/>
      </tp>
      <tp t="e">
        <v>#N/A</v>
        <stp/>
        <stp>BDH|11223385368076179373</stp>
        <tr r="N7" s="30"/>
      </tp>
      <tp t="e">
        <v>#N/A</v>
        <stp/>
        <stp>BDH|15285758099583236985</stp>
        <tr r="W18" s="9"/>
      </tp>
      <tp t="e">
        <v>#N/A</v>
        <stp/>
        <stp>BDH|16459421241745115221</stp>
        <tr r="X72" s="17"/>
      </tp>
      <tp t="e">
        <v>#N/A</v>
        <stp/>
        <stp>BDH|13259355636262195049</stp>
        <tr r="W154" s="18"/>
      </tp>
      <tp t="e">
        <v>#N/A</v>
        <stp/>
        <stp>BDH|18245200675359518564</stp>
        <tr r="G54" s="17"/>
      </tp>
      <tp t="e">
        <v>#N/A</v>
        <stp/>
        <stp>BDH|10998189266304152224</stp>
        <tr r="O49" s="21"/>
      </tp>
      <tp t="e">
        <v>#N/A</v>
        <stp/>
        <stp>BDH|11616564748566902752</stp>
        <tr r="H41" s="6"/>
      </tp>
      <tp t="e">
        <v>#N/A</v>
        <stp/>
        <stp>BDH|11477112259046906217</stp>
        <tr r="J20" s="10"/>
      </tp>
      <tp t="e">
        <v>#N/A</v>
        <stp/>
        <stp>BDH|14681609344702704514</stp>
        <tr r="T45" s="12"/>
      </tp>
      <tp t="e">
        <v>#N/A</v>
        <stp/>
        <stp>BDH|13644385169211365607</stp>
        <tr r="O9" s="8"/>
        <tr r="M49" s="6"/>
      </tp>
      <tp t="e">
        <v>#N/A</v>
        <stp/>
        <stp>BDH|18367590309729455536</stp>
        <tr r="Q13" s="21"/>
      </tp>
      <tp t="e">
        <v>#N/A</v>
        <stp/>
        <stp>BDH|11675876897133645245</stp>
        <tr r="J30" s="17"/>
      </tp>
      <tp t="e">
        <v>#N/A</v>
        <stp/>
        <stp>BDH|12249177970157750266</stp>
        <tr r="S41" s="6"/>
      </tp>
      <tp t="e">
        <v>#N/A</v>
        <stp/>
        <stp>BDH|17204178281818603760</stp>
        <tr r="J47" s="18"/>
      </tp>
      <tp t="e">
        <v>#N/A</v>
        <stp/>
        <stp>BDH|17571813696620479723</stp>
        <tr r="U46" s="22"/>
      </tp>
      <tp t="e">
        <v>#N/A</v>
        <stp/>
        <stp>BDH|11677015973404896389</stp>
        <tr r="S49" s="18"/>
      </tp>
      <tp t="e">
        <v>#N/A</v>
        <stp/>
        <stp>BDH|15076027462192360071</stp>
        <tr r="G47" s="13"/>
      </tp>
      <tp t="e">
        <v>#N/A</v>
        <stp/>
        <stp>BDH|10929727055002953136</stp>
        <tr r="Q13" s="26"/>
      </tp>
      <tp t="e">
        <v>#N/A</v>
        <stp/>
        <stp>BDH|10444364748415807362</stp>
        <tr r="J25" s="29"/>
        <tr r="J19" s="29"/>
        <tr r="J10" s="29"/>
        <tr r="K12" s="8"/>
        <tr r="I6" s="9"/>
        <tr r="J6" s="2"/>
        <tr r="I6" s="5"/>
      </tp>
      <tp t="e">
        <v>#N/A</v>
        <stp/>
        <stp>BDH|13924184373363315752</stp>
        <tr r="T29" s="5"/>
      </tp>
      <tp t="e">
        <v>#N/A</v>
        <stp/>
        <stp>BDH|14243161231913184402</stp>
        <tr r="L18" s="29"/>
        <tr r="L38" s="29"/>
      </tp>
      <tp t="e">
        <v>#N/A</v>
        <stp/>
        <stp>BDH|16970391401452423616</stp>
        <tr r="C17" s="34"/>
      </tp>
      <tp t="e">
        <v>#N/A</v>
        <stp/>
        <stp>BDH|13682046869005986162</stp>
        <tr r="S49" s="10"/>
        <tr r="S41" s="11"/>
        <tr r="S8" s="7"/>
        <tr r="U11" s="3"/>
      </tp>
      <tp t="e">
        <v>#N/A</v>
        <stp/>
        <stp>BDH|15663265737821009400</stp>
        <tr r="P178" s="18"/>
      </tp>
      <tp t="e">
        <v>#N/A</v>
        <stp/>
        <stp>BDH|13615628579104345797</stp>
        <tr r="Q20" s="29"/>
      </tp>
      <tp t="e">
        <v>#N/A</v>
        <stp/>
        <stp>BDH|13935585624917136237</stp>
        <tr r="AA23" s="26"/>
      </tp>
      <tp t="e">
        <v>#N/A</v>
        <stp/>
        <stp>BDH|14023379273144795548</stp>
        <tr r="O75" s="24"/>
      </tp>
      <tp t="e">
        <v>#N/A</v>
        <stp/>
        <stp>BDH|12815360593929900033</stp>
        <tr r="E85" s="18"/>
      </tp>
      <tp t="e">
        <v>#N/A</v>
        <stp/>
        <stp>BDH|10217098714798830807</stp>
        <tr r="Y24" s="17"/>
      </tp>
      <tp t="e">
        <v>#N/A</v>
        <stp/>
        <stp>BDH|14731352359284983751</stp>
        <tr r="I58" s="21"/>
        <tr r="I37" s="25"/>
        <tr r="G53" s="11"/>
        <tr r="G31" s="4"/>
      </tp>
      <tp t="e">
        <v>#N/A</v>
        <stp/>
        <stp>BDH|16358806947808308301</stp>
        <tr r="W47" s="24"/>
      </tp>
      <tp t="e">
        <v>#N/A</v>
        <stp/>
        <stp>BDH|13447296526181992350</stp>
        <tr r="X20" s="12"/>
      </tp>
      <tp t="e">
        <v>#N/A</v>
        <stp/>
        <stp>BDH|15665755895228627279</stp>
        <tr r="R37" s="22"/>
      </tp>
      <tp t="e">
        <v>#N/A</v>
        <stp/>
        <stp>BDH|10000425493955676901</stp>
        <tr r="S37" s="24"/>
      </tp>
      <tp t="e">
        <v>#N/A</v>
        <stp/>
        <stp>BDH|12783388019003492253</stp>
        <tr r="W23" s="13"/>
      </tp>
      <tp t="e">
        <v>#N/A</v>
        <stp/>
        <stp>BDH|12721149866053520770</stp>
        <tr r="H30" s="9"/>
      </tp>
      <tp t="e">
        <v>#N/A</v>
        <stp/>
        <stp>BDH|15682264320275563121</stp>
        <tr r="D27" s="12"/>
      </tp>
      <tp t="e">
        <v>#N/A</v>
        <stp/>
        <stp>BDH|11683605427150764413</stp>
        <tr r="P7" s="11"/>
      </tp>
      <tp t="e">
        <v>#N/A</v>
        <stp/>
        <stp>BDH|14390065621661562665</stp>
        <tr r="C13" s="23"/>
      </tp>
      <tp t="e">
        <v>#N/A</v>
        <stp/>
        <stp>BDH|13448546536706230239</stp>
        <tr r="T8" s="25"/>
        <tr r="Q10" s="5"/>
        <tr r="R9" s="2"/>
      </tp>
      <tp t="e">
        <v>#N/A</v>
        <stp/>
        <stp>BDH|14117109150709579837</stp>
        <tr r="N46" s="21"/>
      </tp>
      <tp t="e">
        <v>#N/A</v>
        <stp/>
        <stp>BDH|12938345545543793785</stp>
        <tr r="M46" s="13"/>
      </tp>
      <tp t="e">
        <v>#N/A</v>
        <stp/>
        <stp>BDH|14024158404254308056</stp>
        <tr r="P30" s="11"/>
        <tr r="P38" s="10"/>
      </tp>
      <tp t="e">
        <v>#N/A</v>
        <stp/>
        <stp>BDH|14045174956411132079</stp>
        <tr r="I176" s="18"/>
      </tp>
      <tp t="e">
        <v>#N/A</v>
        <stp/>
        <stp>BDH|15682741439394504494</stp>
        <tr r="D161" s="18"/>
      </tp>
      <tp t="e">
        <v>#N/A</v>
        <stp/>
        <stp>BDH|11086007267013963594</stp>
        <tr r="K63" s="12"/>
      </tp>
      <tp t="e">
        <v>#N/A</v>
        <stp/>
        <stp>BDH|13475912188814883729</stp>
        <tr r="M12" s="22"/>
      </tp>
      <tp t="e">
        <v>#N/A</v>
        <stp/>
        <stp>BDH|12380106116682228106</stp>
        <tr r="O27" s="17"/>
      </tp>
      <tp t="e">
        <v>#N/A</v>
        <stp/>
        <stp>BDH|12596540274187693642</stp>
        <tr r="M73" s="24"/>
      </tp>
      <tp t="e">
        <v>#N/A</v>
        <stp/>
        <stp>BDH|17678349567764483762</stp>
        <tr r="M68" s="12"/>
      </tp>
      <tp t="e">
        <v>#N/A</v>
        <stp/>
        <stp>BDH|17065058914651133678</stp>
        <tr r="R51" s="34"/>
      </tp>
      <tp t="e">
        <v>#N/A</v>
        <stp/>
        <stp>BDH|17795616157921448420</stp>
        <tr r="F27" s="12"/>
      </tp>
      <tp t="e">
        <v>#N/A</v>
        <stp/>
        <stp>BDH|12706212726956185561</stp>
        <tr r="AA32" s="13"/>
        <tr r="Y28" s="10"/>
      </tp>
      <tp t="e">
        <v>#N/A</v>
        <stp/>
        <stp>BDH|15832941801438268582</stp>
        <tr r="Q162" s="18"/>
      </tp>
      <tp t="e">
        <v>#N/A</v>
        <stp/>
        <stp>BDH|14096524917287257608</stp>
        <tr r="L32" s="11"/>
        <tr r="L40" s="10"/>
      </tp>
      <tp t="e">
        <v>#N/A</v>
        <stp/>
        <stp>BDH|13744634543313662367</stp>
        <tr r="Q76" s="18"/>
      </tp>
      <tp t="e">
        <v>#N/A</v>
        <stp/>
        <stp>BDH|11010464224815299374</stp>
        <tr r="J20" s="18"/>
      </tp>
      <tp t="e">
        <v>#N/A</v>
        <stp/>
        <stp>BDH|16985488474484547077</stp>
        <tr r="X29" s="5"/>
      </tp>
      <tp t="e">
        <v>#N/A</v>
        <stp/>
        <stp>BDH|17870815459582024972</stp>
        <tr r="V24" s="22"/>
      </tp>
      <tp t="e">
        <v>#N/A</v>
        <stp/>
        <stp>BDH|14079042525703336456</stp>
        <tr r="U32" s="12"/>
      </tp>
      <tp t="e">
        <v>#N/A</v>
        <stp/>
        <stp>BDH|17303261073074355723</stp>
        <tr r="K22" s="5"/>
      </tp>
      <tp t="e">
        <v>#N/A</v>
        <stp/>
        <stp>BDH|18054391312558909357</stp>
        <tr r="S16" s="10"/>
      </tp>
      <tp t="e">
        <v>#N/A</v>
        <stp/>
        <stp>BDH|15114059021150566679</stp>
        <tr r="Q44" s="21"/>
      </tp>
      <tp t="e">
        <v>#N/A</v>
        <stp/>
        <stp>BDH|18383075487916758734</stp>
        <tr r="X35" s="34"/>
      </tp>
      <tp t="e">
        <v>#N/A</v>
        <stp/>
        <stp>BDH|11270806092105061473</stp>
        <tr r="W30" s="22"/>
      </tp>
      <tp t="e">
        <v>#N/A</v>
        <stp/>
        <stp>BDH|12813690909364775181</stp>
        <tr r="J44" s="21"/>
      </tp>
      <tp t="e">
        <v>#N/A</v>
        <stp/>
        <stp>BDH|10087710530203692607</stp>
        <tr r="W71" s="18"/>
      </tp>
      <tp t="e">
        <v>#N/A</v>
        <stp/>
        <stp>BDH|17947731893780713888</stp>
        <tr r="G22" s="29"/>
        <tr r="G13" s="29"/>
        <tr r="G33" s="29"/>
      </tp>
      <tp t="e">
        <v>#N/A</v>
        <stp/>
        <stp>BDH|12994102392639432295</stp>
        <tr r="H25" s="27"/>
      </tp>
      <tp t="e">
        <v>#N/A</v>
        <stp/>
        <stp>BDH|17478357003912418703</stp>
        <tr r="L105" s="18"/>
      </tp>
      <tp t="e">
        <v>#N/A</v>
        <stp/>
        <stp>BDH|10094011842584758122</stp>
        <tr r="T18" s="13"/>
      </tp>
      <tp t="e">
        <v>#N/A</v>
        <stp/>
        <stp>BDH|15495025181365677972</stp>
        <tr r="O104" s="18"/>
      </tp>
      <tp t="e">
        <v>#N/A</v>
        <stp/>
        <stp>BDH|16311371144872046266</stp>
        <tr r="C56" s="17"/>
      </tp>
      <tp t="e">
        <v>#N/A</v>
        <stp/>
        <stp>BDH|18236151850158790563</stp>
        <tr r="O30" s="12"/>
      </tp>
      <tp t="e">
        <v>#N/A</v>
        <stp/>
        <stp>BDH|10637292071662065688</stp>
        <tr r="H95" s="18"/>
      </tp>
      <tp t="e">
        <v>#N/A</v>
        <stp/>
        <stp>BDH|16735560047870122610</stp>
        <tr r="X48" s="22"/>
      </tp>
      <tp t="e">
        <v>#N/A</v>
        <stp/>
        <stp>BDH|17544552512205493704</stp>
        <tr r="T57" s="17"/>
      </tp>
      <tp t="e">
        <v>#N/A</v>
        <stp/>
        <stp>BDH|14351693644140169799</stp>
        <tr r="Y162" s="18"/>
      </tp>
      <tp t="e">
        <v>#N/A</v>
        <stp/>
        <stp>BDH|13105565497808314654</stp>
        <tr r="R34" s="11"/>
        <tr r="R42" s="10"/>
      </tp>
      <tp t="e">
        <v>#N/A</v>
        <stp/>
        <stp>BDH|13387881403463930976</stp>
        <tr r="O49" s="6"/>
        <tr r="Q9" s="8"/>
      </tp>
      <tp t="e">
        <v>#N/A</v>
        <stp/>
        <stp>BDH|11052150017441682121</stp>
        <tr r="E7" s="4"/>
      </tp>
      <tp t="e">
        <v>#N/A</v>
        <stp/>
        <stp>BDH|15124871449270896810</stp>
        <tr r="L13" s="24"/>
      </tp>
      <tp t="e">
        <v>#N/A</v>
        <stp/>
        <stp>BDH|14372029264635348603</stp>
        <tr r="R21" s="24"/>
      </tp>
      <tp t="e">
        <v>#N/A</v>
        <stp/>
        <stp>BDH|10438340331020445139</stp>
        <tr r="V30" s="29"/>
        <tr r="V8" s="29"/>
      </tp>
      <tp t="e">
        <v>#N/A</v>
        <stp/>
        <stp>BDH|14616548725927098517</stp>
        <tr r="W95" s="18"/>
      </tp>
      <tp t="e">
        <v>#N/A</v>
        <stp/>
        <stp>BDH|10527554233035190241</stp>
        <tr r="O33" s="12"/>
      </tp>
      <tp t="e">
        <v>#N/A</v>
        <stp/>
        <stp>BDH|16235262559270281095</stp>
        <tr r="H8" s="6"/>
      </tp>
      <tp t="e">
        <v>#N/A</v>
        <stp/>
        <stp>BDH|13552507485478192771</stp>
        <tr r="AA33" s="22"/>
      </tp>
      <tp t="e">
        <v>#N/A</v>
        <stp/>
        <stp>BDH|13826495567898979896</stp>
        <tr r="K138" s="18"/>
      </tp>
      <tp t="e">
        <v>#N/A</v>
        <stp/>
        <stp>BDH|18315369177354355973</stp>
        <tr r="V15" s="24"/>
      </tp>
      <tp t="e">
        <v>#N/A</v>
        <stp/>
        <stp>BDH|18395115482763208347</stp>
        <tr r="AA12" s="25"/>
      </tp>
      <tp t="e">
        <v>#N/A</v>
        <stp/>
        <stp>BDH|11231205033586270758</stp>
        <tr r="V18" s="30"/>
      </tp>
      <tp t="e">
        <v>#N/A</v>
        <stp/>
        <stp>BDH|17843905346929804204</stp>
        <tr r="X170" s="18"/>
      </tp>
      <tp t="e">
        <v>#N/A</v>
        <stp/>
        <stp>BDH|13412769773202718008</stp>
        <tr r="K26" s="17"/>
      </tp>
      <tp t="e">
        <v>#N/A</v>
        <stp/>
        <stp>BDH|14954499932930006246</stp>
        <tr r="S86" s="17"/>
      </tp>
      <tp t="e">
        <v>#N/A</v>
        <stp/>
        <stp>BDH|13566434513150709741</stp>
        <tr r="D26" s="24"/>
      </tp>
      <tp t="e">
        <v>#N/A</v>
        <stp/>
        <stp>BDH|14919376860261058182</stp>
        <tr r="Z48" s="21"/>
      </tp>
      <tp t="e">
        <v>#N/A</v>
        <stp/>
        <stp>BDH|14586726840081288734</stp>
        <tr r="T15" s="22"/>
      </tp>
      <tp t="e">
        <v>#N/A</v>
        <stp/>
        <stp>BDH|17956447085099776397</stp>
        <tr r="J14" s="21"/>
      </tp>
      <tp t="e">
        <v>#N/A</v>
        <stp/>
        <stp>BDH|14461553131680014363</stp>
        <tr r="F22" s="27"/>
      </tp>
      <tp t="e">
        <v>#N/A</v>
        <stp/>
        <stp>BDH|10597751013264238378</stp>
        <tr r="AA13" s="27"/>
        <tr r="AA27" s="25"/>
      </tp>
      <tp t="e">
        <v>#N/A</v>
        <stp/>
        <stp>BDH|16737360557305557454</stp>
        <tr r="W54" s="24"/>
      </tp>
      <tp t="e">
        <v>#N/A</v>
        <stp/>
        <stp>BDH|16766332141773744346</stp>
        <tr r="T10" s="11"/>
      </tp>
      <tp t="e">
        <v>#N/A</v>
        <stp/>
        <stp>BDH|10244335472252632731</stp>
        <tr r="P15" s="9"/>
      </tp>
      <tp t="e">
        <v>#N/A</v>
        <stp/>
        <stp>BDH|10276159710823454252</stp>
        <tr r="O9" s="23"/>
      </tp>
      <tp t="e">
        <v>#N/A</v>
        <stp/>
        <stp>BDH|12477107610642332114</stp>
        <tr r="F51" s="17"/>
      </tp>
      <tp t="e">
        <v>#N/A</v>
        <stp/>
        <stp>BDH|13688330175541192774</stp>
        <tr r="W26" s="22"/>
      </tp>
      <tp t="e">
        <v>#N/A</v>
        <stp/>
        <stp>BDH|13140043252203037411</stp>
        <tr r="Q42" s="22"/>
      </tp>
      <tp t="e">
        <v>#N/A</v>
        <stp/>
        <stp>BDH|12080309545074327005</stp>
        <tr r="R21" s="18"/>
      </tp>
      <tp t="e">
        <v>#N/A</v>
        <stp/>
        <stp>BDH|15513028684674615838</stp>
        <tr r="G84" s="12"/>
      </tp>
      <tp t="e">
        <v>#N/A</v>
        <stp/>
        <stp>BDH|14472128361594462659</stp>
        <tr r="H32" s="21"/>
      </tp>
      <tp t="e">
        <v>#N/A</v>
        <stp/>
        <stp>BDH|14794550636852413165</stp>
        <tr r="E72" s="17"/>
      </tp>
      <tp t="e">
        <v>#N/A</v>
        <stp/>
        <stp>BDH|18136365888333972106</stp>
        <tr r="O34" s="17"/>
      </tp>
      <tp t="e">
        <v>#N/A</v>
        <stp/>
        <stp>BDH|11460543449224723581</stp>
        <tr r="U81" s="18"/>
      </tp>
      <tp t="e">
        <v>#N/A</v>
        <stp/>
        <stp>BDH|16604780918595021403</stp>
        <tr r="H12" s="17"/>
      </tp>
      <tp t="e">
        <v>#N/A</v>
        <stp/>
        <stp>BDH|11100182628330151360</stp>
        <tr r="P36" s="29"/>
        <tr r="P16" s="29"/>
      </tp>
      <tp t="e">
        <v>#N/A</v>
        <stp/>
        <stp>BDH|14749534946547593318</stp>
        <tr r="H23" s="11"/>
      </tp>
      <tp t="e">
        <v>#N/A</v>
        <stp/>
        <stp>BDH|12253503738851521498</stp>
        <tr r="R18" s="23"/>
      </tp>
      <tp t="e">
        <v>#N/A</v>
        <stp/>
        <stp>BDH|10968941595746924788</stp>
        <tr r="L154" s="18"/>
      </tp>
      <tp t="e">
        <v>#N/A</v>
        <stp/>
        <stp>BDH|10379509579272047132</stp>
        <tr r="K11" s="10"/>
        <tr r="K14" s="2"/>
      </tp>
      <tp t="e">
        <v>#N/A</v>
        <stp/>
        <stp>BDH|13901265509886633694</stp>
        <tr r="U66" s="21"/>
      </tp>
      <tp t="e">
        <v>#N/A</v>
        <stp/>
        <stp>BDH|18367994806992398268</stp>
        <tr r="O43" s="11"/>
        <tr r="O51" s="10"/>
        <tr r="O15" s="7"/>
      </tp>
      <tp t="e">
        <v>#N/A</v>
        <stp/>
        <stp>BDH|13645276203465299595</stp>
        <tr r="X17" s="22"/>
      </tp>
      <tp t="e">
        <v>#N/A</v>
        <stp/>
        <stp>BDH|17588947096717663184</stp>
        <tr r="E129" s="18"/>
      </tp>
      <tp t="e">
        <v>#N/A</v>
        <stp/>
        <stp>BDH|12691155060815294187</stp>
        <tr r="R79" s="18"/>
      </tp>
      <tp t="e">
        <v>#N/A</v>
        <stp/>
        <stp>BDH|10390919039719053228</stp>
        <tr r="E26" s="26"/>
      </tp>
      <tp t="e">
        <v>#N/A</v>
        <stp/>
        <stp>BDH|12420448518722640470</stp>
        <tr r="E40" s="17"/>
      </tp>
      <tp t="e">
        <v>#N/A</v>
        <stp/>
        <stp>BDH|18047008049644675964</stp>
        <tr r="S63" s="11"/>
        <tr r="S71" s="10"/>
      </tp>
      <tp t="e">
        <v>#N/A</v>
        <stp/>
        <stp>BDH|12585487656543635140</stp>
        <tr r="W24" s="23"/>
        <tr r="W21" s="30"/>
      </tp>
      <tp t="e">
        <v>#N/A</v>
        <stp/>
        <stp>BDH|12000106293088884326</stp>
        <tr r="G126" s="18"/>
      </tp>
      <tp t="e">
        <v>#N/A</v>
        <stp/>
        <stp>BDH|15889723852941726768</stp>
        <tr r="C61" s="11"/>
        <tr r="C69" s="10"/>
        <tr r="C20" s="7"/>
      </tp>
      <tp t="e">
        <v>#N/A</v>
        <stp/>
        <stp>BDH|16478799156757033225</stp>
        <tr r="T67" s="12"/>
      </tp>
      <tp t="e">
        <v>#N/A</v>
        <stp/>
        <stp>BDH|11111614546132683093</stp>
        <tr r="Z19" s="24"/>
      </tp>
      <tp t="e">
        <v>#N/A</v>
        <stp/>
        <stp>BDH|16368395658370298196</stp>
        <tr r="P14" s="11"/>
      </tp>
      <tp t="e">
        <v>#N/A</v>
        <stp/>
        <stp>BDH|12470316602016894667</stp>
        <tr r="M46" s="17"/>
      </tp>
      <tp t="e">
        <v>#N/A</v>
        <stp/>
        <stp>BDH|11747588135324663257</stp>
        <tr r="S45" s="22"/>
      </tp>
      <tp t="e">
        <v>#N/A</v>
        <stp/>
        <stp>BDH|14774599247337173314</stp>
        <tr r="K100" s="18"/>
      </tp>
      <tp t="e">
        <v>#N/A</v>
        <stp/>
        <stp>BDH|10914937065696255848</stp>
        <tr r="Q54" s="6"/>
      </tp>
      <tp t="e">
        <v>#N/A</v>
        <stp/>
        <stp>BDH|17431487971996179357</stp>
        <tr r="M79" s="12"/>
      </tp>
      <tp t="e">
        <v>#N/A</v>
        <stp/>
        <stp>BDH|17266730011980860015</stp>
        <tr r="S10" s="24"/>
      </tp>
      <tp t="e">
        <v>#N/A</v>
        <stp/>
        <stp>BDH|13814801286907206555</stp>
        <tr r="R108" s="12"/>
      </tp>
      <tp t="e">
        <v>#N/A</v>
        <stp/>
        <stp>BDH|11795083043101326565</stp>
        <tr r="G40" s="17"/>
      </tp>
      <tp t="e">
        <v>#N/A</v>
        <stp/>
        <stp>BDH|16795375099405329839</stp>
        <tr r="M25" s="24"/>
      </tp>
      <tp t="e">
        <v>#N/A</v>
        <stp/>
        <stp>BDH|14200398002966829080</stp>
        <tr r="S61" s="34"/>
      </tp>
      <tp t="e">
        <v>#N/A</v>
        <stp/>
        <stp>BDH|13002132471651854532</stp>
        <tr r="W24" s="6"/>
      </tp>
      <tp t="e">
        <v>#N/A</v>
        <stp/>
        <stp>BDH|10081685148077189487</stp>
        <tr r="S31" s="18"/>
      </tp>
      <tp t="e">
        <v>#N/A</v>
        <stp/>
        <stp>BDH|13820710665512256170</stp>
        <tr r="H33" s="12"/>
      </tp>
      <tp t="e">
        <v>#N/A</v>
        <stp/>
        <stp>BDH|16660692521671410231</stp>
        <tr r="C22" s="11"/>
      </tp>
      <tp t="e">
        <v>#N/A</v>
        <stp/>
        <stp>BDH|10609814258485767917</stp>
        <tr r="E48" s="34"/>
      </tp>
      <tp t="e">
        <v>#N/A</v>
        <stp/>
        <stp>BDH|17945772907574034507</stp>
        <tr r="S11" s="29"/>
      </tp>
      <tp t="e">
        <v>#N/A</v>
        <stp/>
        <stp>BDH|15326593340291707444</stp>
        <tr r="R90" s="18"/>
      </tp>
      <tp t="e">
        <v>#N/A</v>
        <stp/>
        <stp>BDH|14866062865416505577</stp>
        <tr r="H37" s="26"/>
      </tp>
      <tp t="e">
        <v>#N/A</v>
        <stp/>
        <stp>BDH|10061244009447198459</stp>
        <tr r="P9" s="11"/>
      </tp>
      <tp t="e">
        <v>#N/A</v>
        <stp/>
        <stp>BDH|13343752529614508336</stp>
        <tr r="R43" s="24"/>
      </tp>
      <tp t="e">
        <v>#N/A</v>
        <stp/>
        <stp>BDH|11837069425597694542</stp>
        <tr r="R141" s="18"/>
      </tp>
      <tp t="e">
        <v>#N/A</v>
        <stp/>
        <stp>BDH|10422788894638645762</stp>
        <tr r="J10" s="34"/>
      </tp>
      <tp t="e">
        <v>#N/A</v>
        <stp/>
        <stp>BDH|13885082660197069387</stp>
        <tr r="Y15" s="17"/>
        <tr r="Y18" s="28"/>
      </tp>
      <tp t="e">
        <v>#N/A</v>
        <stp/>
        <stp>BDH|14622284236964720074</stp>
        <tr r="M94" s="18"/>
      </tp>
      <tp t="e">
        <v>#N/A</v>
        <stp/>
        <stp>BDH|17847975966301138808</stp>
        <tr r="D72" s="12"/>
      </tp>
      <tp t="e">
        <v>#N/A</v>
        <stp/>
        <stp>BDH|17939344625835752272</stp>
        <tr r="I29" s="5"/>
      </tp>
      <tp t="e">
        <v>#N/A</v>
        <stp/>
        <stp>BDH|14360409372451075794</stp>
        <tr r="Q44" s="17"/>
      </tp>
      <tp t="e">
        <v>#N/A</v>
        <stp/>
        <stp>BDH|12864574763383285366</stp>
        <tr r="K14" s="23"/>
      </tp>
      <tp t="e">
        <v>#N/A</v>
        <stp/>
        <stp>BDH|14893159101963503716</stp>
        <tr r="AA9" s="12"/>
      </tp>
      <tp t="e">
        <v>#N/A</v>
        <stp/>
        <stp>BDH|18245588992565967091</stp>
        <tr r="AA63" s="17"/>
      </tp>
      <tp t="e">
        <v>#N/A</v>
        <stp/>
        <stp>BDH|11457654974432994342</stp>
        <tr r="W37" s="24"/>
      </tp>
      <tp t="e">
        <v>#N/A</v>
        <stp/>
        <stp>BDH|17783386752064256475</stp>
        <tr r="J12" s="12"/>
      </tp>
      <tp t="e">
        <v>#N/A</v>
        <stp/>
        <stp>BDH|17690883210446779914</stp>
        <tr r="R94" s="12"/>
      </tp>
      <tp t="e">
        <v>#N/A</v>
        <stp/>
        <stp>BDH|16941889854819985341</stp>
        <tr r="Z31" s="17"/>
      </tp>
      <tp t="e">
        <v>#N/A</v>
        <stp/>
        <stp>BDH|10955008136134692619</stp>
        <tr r="J104" s="18"/>
      </tp>
      <tp t="e">
        <v>#N/A</v>
        <stp/>
        <stp>BDH|15998195470315939710</stp>
        <tr r="M85" s="12"/>
      </tp>
      <tp t="e">
        <v>#N/A</v>
        <stp/>
        <stp>BDH|15783896191367094278</stp>
        <tr r="K48" s="24"/>
      </tp>
      <tp t="e">
        <v>#N/A</v>
        <stp/>
        <stp>BDH|14171883460012111906</stp>
        <tr r="E20" s="24"/>
      </tp>
      <tp t="e">
        <v>#N/A</v>
        <stp/>
        <stp>BDH|14735553772274919311</stp>
        <tr r="M45" s="22"/>
      </tp>
      <tp t="e">
        <v>#N/A</v>
        <stp/>
        <stp>BDH|14227280073293041316</stp>
        <tr r="K78" s="24"/>
      </tp>
      <tp t="e">
        <v>#N/A</v>
        <stp/>
        <stp>BDH|14558864206925526888</stp>
        <tr r="Q13" s="11"/>
      </tp>
      <tp t="e">
        <v>#N/A</v>
        <stp/>
        <stp>BDH|15567097972054042767</stp>
        <tr r="R8" s="29"/>
        <tr r="R30" s="29"/>
      </tp>
      <tp t="e">
        <v>#N/A</v>
        <stp/>
        <stp>BDH|11407215058951474619</stp>
        <tr r="N134" s="18"/>
      </tp>
      <tp t="e">
        <v>#N/A</v>
        <stp/>
        <stp>BDH|11707631742162769097</stp>
        <tr r="T18" s="12"/>
      </tp>
      <tp t="e">
        <v>#N/A</v>
        <stp/>
        <stp>BDH|16936774227287317525</stp>
        <tr r="K133" s="18"/>
      </tp>
      <tp t="e">
        <v>#N/A</v>
        <stp/>
        <stp>BDH|15855274166943710369</stp>
        <tr r="AA85" s="18"/>
      </tp>
      <tp t="e">
        <v>#N/A</v>
        <stp/>
        <stp>BDH|15737336005793106485</stp>
        <tr r="T43" s="13"/>
      </tp>
      <tp t="e">
        <v>#N/A</v>
        <stp/>
        <stp>BDH|15876168255782361208</stp>
        <tr r="M20" s="10"/>
      </tp>
      <tp t="e">
        <v>#N/A</v>
        <stp/>
        <stp>BDH|18275874485119809004</stp>
        <tr r="L58" s="34"/>
      </tp>
      <tp t="e">
        <v>#N/A</v>
        <stp/>
        <stp>BDH|16008552437986886725</stp>
        <tr r="R12" s="22"/>
      </tp>
      <tp t="e">
        <v>#N/A</v>
        <stp/>
        <stp>BDH|10972007071243436544</stp>
        <tr r="U52" s="13"/>
        <tr r="S47" s="11"/>
        <tr r="S17" s="7"/>
        <tr r="S55" s="10"/>
        <tr r="U10" s="3"/>
        <tr r="S17" s="4"/>
      </tp>
      <tp t="e">
        <v>#N/A</v>
        <stp/>
        <stp>BDH|11513129638241192366</stp>
        <tr r="N137" s="18"/>
      </tp>
      <tp t="e">
        <v>#N/A</v>
        <stp/>
        <stp>BDH|12761887341249324654</stp>
        <tr r="G141" s="18"/>
      </tp>
      <tp t="e">
        <v>#N/A</v>
        <stp/>
        <stp>BDH|12883592518897507046</stp>
        <tr r="M99" s="18"/>
      </tp>
      <tp t="e">
        <v>#N/A</v>
        <stp/>
        <stp>BDH|14882361113064440319</stp>
        <tr r="J13" s="22"/>
      </tp>
      <tp t="e">
        <v>#N/A</v>
        <stp/>
        <stp>BDH|10992305149066017089</stp>
        <tr r="T19" s="9"/>
      </tp>
      <tp t="e">
        <v>#N/A</v>
        <stp/>
        <stp>BDH|13296106501001018285</stp>
        <tr r="H149" s="18"/>
      </tp>
      <tp t="e">
        <v>#N/A</v>
        <stp/>
        <stp>BDH|13600625226064083296</stp>
        <tr r="X129" s="18"/>
      </tp>
      <tp t="e">
        <v>#N/A</v>
        <stp/>
        <stp>BDH|15239897549350088894</stp>
        <tr r="L42" s="4"/>
      </tp>
      <tp t="e">
        <v>#N/A</v>
        <stp/>
        <stp>BDH|14494095437516056016</stp>
        <tr r="F13" s="17"/>
        <tr r="F16" s="28"/>
      </tp>
      <tp t="e">
        <v>#N/A</v>
        <stp/>
        <stp>BDH|17358287050688481946</stp>
        <tr r="X10" s="17"/>
      </tp>
      <tp t="e">
        <v>#N/A</v>
        <stp/>
        <stp>BDH|14865190438027293005</stp>
        <tr r="H32" s="12"/>
      </tp>
      <tp t="e">
        <v>#N/A</v>
        <stp/>
        <stp>BDH|17892597763885175088</stp>
        <tr r="V133" s="18"/>
      </tp>
      <tp t="e">
        <v>#N/A</v>
        <stp/>
        <stp>BDH|12598910067659876500</stp>
        <tr r="X39" s="22"/>
      </tp>
      <tp t="e">
        <v>#N/A</v>
        <stp/>
        <stp>BDH|14345471397869166193</stp>
        <tr r="G15" s="17"/>
        <tr r="G18" s="28"/>
      </tp>
      <tp t="e">
        <v>#N/A</v>
        <stp/>
        <stp>BDH|17055958494262256482</stp>
        <tr r="X142" s="18"/>
      </tp>
      <tp t="e">
        <v>#N/A</v>
        <stp/>
        <stp>BDH|11328169555083956726</stp>
        <tr r="E29" s="17"/>
      </tp>
      <tp t="e">
        <v>#N/A</v>
        <stp/>
        <stp>BDH|11080093031642108122</stp>
        <tr r="I54" s="10"/>
        <tr r="I46" s="11"/>
        <tr r="I7" s="7"/>
        <tr r="K12" s="3"/>
      </tp>
      <tp t="e">
        <v>#N/A</v>
        <stp/>
        <stp>BDH|12268485231765290122</stp>
        <tr r="W177" s="18"/>
      </tp>
      <tp t="e">
        <v>#N/A</v>
        <stp/>
        <stp>BDH|14846097777687431599</stp>
        <tr r="M63" s="10"/>
      </tp>
      <tp t="e">
        <v>#N/A</v>
        <stp/>
        <stp>BDH|14696362388028718644</stp>
        <tr r="G22" s="4"/>
      </tp>
      <tp t="e">
        <v>#N/A</v>
        <stp/>
        <stp>BDH|10897076857244022031</stp>
        <tr r="N54" s="18"/>
      </tp>
      <tp t="e">
        <v>#N/A</v>
        <stp/>
        <stp>BDH|12277182862400369409</stp>
        <tr r="G43" s="22"/>
      </tp>
      <tp t="e">
        <v>#N/A</v>
        <stp/>
        <stp>BDH|18107406929499681654</stp>
        <tr r="J133" s="18"/>
      </tp>
      <tp t="e">
        <v>#N/A</v>
        <stp/>
        <stp>BDH|16068824490601101789</stp>
        <tr r="P34" s="29"/>
        <tr r="P23" s="29"/>
        <tr r="P14" s="29"/>
      </tp>
      <tp t="e">
        <v>#N/A</v>
        <stp/>
        <stp>BDH|17131997257732299867</stp>
        <tr r="K136" s="18"/>
      </tp>
      <tp t="e">
        <v>#N/A</v>
        <stp/>
        <stp>BDH|17664028492216919940</stp>
        <tr r="J48" s="17"/>
      </tp>
      <tp t="e">
        <v>#N/A</v>
        <stp/>
        <stp>BDH|13956027434538397973</stp>
        <tr r="P163" s="18"/>
      </tp>
      <tp t="e">
        <v>#N/A</v>
        <stp/>
        <stp>BDH|11833577063887278457</stp>
        <tr r="F32" s="21"/>
      </tp>
      <tp t="e">
        <v>#N/A</v>
        <stp/>
        <stp>BDH|18249780375360319975</stp>
        <tr r="E16" s="26"/>
      </tp>
      <tp t="e">
        <v>#N/A</v>
        <stp/>
        <stp>BDH|12097348326346820413</stp>
        <tr r="L125" s="18"/>
      </tp>
      <tp t="e">
        <v>#N/A</v>
        <stp/>
        <stp>BDH|16804545969060972470</stp>
        <tr r="X56" s="11"/>
        <tr r="X24" s="4"/>
      </tp>
      <tp t="e">
        <v>#N/A</v>
        <stp/>
        <stp>BDH|17859445317362579156</stp>
        <tr r="C33" s="34"/>
      </tp>
      <tp t="e">
        <v>#N/A</v>
        <stp/>
        <stp>BDH|15017777059455703320</stp>
        <tr r="D64" s="10"/>
        <tr r="D25" s="4"/>
      </tp>
      <tp t="e">
        <v>#N/A</v>
        <stp/>
        <stp>BDH|10142506148319241907</stp>
        <tr r="K78" s="17"/>
      </tp>
      <tp t="e">
        <v>#N/A</v>
        <stp/>
        <stp>BDH|17841089345711910379</stp>
        <tr r="P74" s="17"/>
      </tp>
      <tp t="e">
        <v>#N/A</v>
        <stp/>
        <stp>BDH|17406426249491220761</stp>
        <tr r="AA11" s="20"/>
        <tr r="AA112" s="18"/>
      </tp>
      <tp t="e">
        <v>#N/A</v>
        <stp/>
        <stp>BDH|13682451969471854199</stp>
        <tr r="F73" s="17"/>
      </tp>
      <tp t="e">
        <v>#N/A</v>
        <stp/>
        <stp>BDH|18002954814493948235</stp>
        <tr r="L9" s="20"/>
        <tr r="L111" s="18"/>
      </tp>
      <tp t="e">
        <v>#N/A</v>
        <stp/>
        <stp>BDH|13610466883057074980</stp>
        <tr r="T13" s="6"/>
      </tp>
      <tp t="e">
        <v>#N/A</v>
        <stp/>
        <stp>BDH|11154636519216358134</stp>
        <tr r="R41" s="13"/>
        <tr r="P29" s="11"/>
        <tr r="P37" s="10"/>
      </tp>
      <tp t="e">
        <v>#N/A</v>
        <stp/>
        <stp>BDH|11429956788559144832</stp>
        <tr r="L23" s="23"/>
      </tp>
      <tp t="e">
        <v>#N/A</v>
        <stp/>
        <stp>BDH|13506229518952769331</stp>
        <tr r="C58" s="17"/>
      </tp>
      <tp t="e">
        <v>#N/A</v>
        <stp/>
        <stp>BDH|18187992886981139947</stp>
        <tr r="P55" s="11"/>
      </tp>
      <tp t="e">
        <v>#N/A</v>
        <stp/>
        <stp>BDH|14435148611553313698</stp>
        <tr r="E82" s="12"/>
      </tp>
      <tp t="e">
        <v>#N/A</v>
        <stp/>
        <stp>BDH|15664662811267862425</stp>
        <tr r="K8" s="12"/>
      </tp>
      <tp t="e">
        <v>#N/A</v>
        <stp/>
        <stp>BDH|14440568650684874118</stp>
        <tr r="W20" s="10"/>
      </tp>
      <tp t="e">
        <v>#N/A</v>
        <stp/>
        <stp>BDH|12690337353270810558</stp>
        <tr r="X92" s="12"/>
      </tp>
      <tp t="e">
        <v>#N/A</v>
        <stp/>
        <stp>BDH|14666866208929557469</stp>
        <tr r="R57" s="24"/>
      </tp>
      <tp t="e">
        <v>#N/A</v>
        <stp/>
        <stp>BDH|17450704205123209284</stp>
        <tr r="O11" s="13"/>
      </tp>
      <tp t="e">
        <v>#N/A</v>
        <stp/>
        <stp>BDH|16953337935670608720</stp>
        <tr r="H30" s="12"/>
      </tp>
      <tp t="e">
        <v>#N/A</v>
        <stp/>
        <stp>BDH|12338736959238690954</stp>
        <tr r="X35" s="18"/>
      </tp>
      <tp t="e">
        <v>#N/A</v>
        <stp/>
        <stp>BDH|13016374585610981912</stp>
        <tr r="Z98" s="18"/>
      </tp>
      <tp t="e">
        <v>#N/A</v>
        <stp/>
        <stp>BDH|15470493975396182136</stp>
        <tr r="Q77" s="12"/>
      </tp>
      <tp t="e">
        <v>#N/A</v>
        <stp/>
        <stp>BDH|12777828153158476681</stp>
        <tr r="T13" s="5"/>
      </tp>
      <tp t="e">
        <v>#N/A</v>
        <stp/>
        <stp>BDH|16846874656768677258</stp>
        <tr r="C67" s="12"/>
      </tp>
      <tp t="e">
        <v>#N/A</v>
        <stp/>
        <stp>BDH|13280910390140800216</stp>
        <tr r="V25" s="6"/>
      </tp>
      <tp t="e">
        <v>#N/A</v>
        <stp/>
        <stp>BDH|17110276667211227398</stp>
        <tr r="Y66" s="10"/>
      </tp>
      <tp t="e">
        <v>#N/A</v>
        <stp/>
        <stp>BDH|17319666078444680316</stp>
        <tr r="V11" s="24"/>
      </tp>
      <tp t="e">
        <v>#N/A</v>
        <stp/>
        <stp>BDH|11564403737856989119</stp>
        <tr r="O59" s="13"/>
      </tp>
      <tp t="e">
        <v>#N/A</v>
        <stp/>
        <stp>BDH|14342591434721086249</stp>
        <tr r="F29" s="12"/>
      </tp>
      <tp t="e">
        <v>#N/A</v>
        <stp/>
        <stp>BDH|14084098816312180649</stp>
        <tr r="R49" s="4"/>
      </tp>
      <tp t="e">
        <v>#N/A</v>
        <stp/>
        <stp>BDH|13602942544787514896</stp>
        <tr r="Z85" s="12"/>
      </tp>
      <tp t="e">
        <v>#N/A</v>
        <stp/>
        <stp>BDH|17646789808886824745</stp>
        <tr r="Q54" s="13"/>
      </tp>
      <tp t="e">
        <v>#N/A</v>
        <stp/>
        <stp>BDH|11999037772772685540</stp>
        <tr r="N31" s="18"/>
      </tp>
      <tp t="e">
        <v>#N/A</v>
        <stp/>
        <stp>BDH|13685329778410267642</stp>
        <tr r="D24" s="34"/>
      </tp>
      <tp t="e">
        <v>#N/A</v>
        <stp/>
        <stp>BDH|14564592337174354721</stp>
        <tr r="D26" s="13"/>
        <tr r="D16" s="13"/>
      </tp>
      <tp t="e">
        <v>#N/A</v>
        <stp/>
        <stp>BDH|16415634447213214687</stp>
        <tr r="Z11" s="12"/>
      </tp>
      <tp t="e">
        <v>#N/A</v>
        <stp/>
        <stp>BDH|11824222946180003660</stp>
        <tr r="P101" s="18"/>
      </tp>
      <tp t="e">
        <v>#N/A</v>
        <stp/>
        <stp>BDH|12319124479255159033</stp>
        <tr r="G34" s="12"/>
      </tp>
      <tp t="e">
        <v>#N/A</v>
        <stp/>
        <stp>BDH|18045185501799308107</stp>
        <tr r="L44" s="6"/>
      </tp>
      <tp t="e">
        <v>#N/A</v>
        <stp/>
        <stp>BDH|14702386122232479633</stp>
        <tr r="H6" s="28"/>
      </tp>
      <tp t="e">
        <v>#N/A</v>
        <stp/>
        <stp>BDH|11084701399926532863</stp>
        <tr r="O20" s="17"/>
      </tp>
      <tp t="e">
        <v>#N/A</v>
        <stp/>
        <stp>BDH|11567073009670718065</stp>
        <tr r="J46" s="21"/>
      </tp>
      <tp t="e">
        <v>#N/A</v>
        <stp/>
        <stp>BDH|10438521699008512505</stp>
        <tr r="S32" s="17"/>
      </tp>
      <tp t="e">
        <v>#N/A</v>
        <stp/>
        <stp>BDH|18161186599413331291</stp>
        <tr r="I28" s="17"/>
      </tp>
      <tp t="e">
        <v>#N/A</v>
        <stp/>
        <stp>BDH|10750494086655743855</stp>
        <tr r="G52" s="18"/>
      </tp>
      <tp t="e">
        <v>#N/A</v>
        <stp/>
        <stp>BDH|15813315207063593418</stp>
        <tr r="D9" s="21"/>
      </tp>
      <tp t="e">
        <v>#N/A</v>
        <stp/>
        <stp>BDH|13605179646902465593</stp>
        <tr r="F166" s="18"/>
      </tp>
      <tp t="e">
        <v>#N/A</v>
        <stp/>
        <stp>BDH|11950673523324296059</stp>
        <tr r="P90" s="17"/>
        <tr r="P34" s="25"/>
      </tp>
      <tp t="e">
        <v>#N/A</v>
        <stp/>
        <stp>BDH|11810427312150266504</stp>
        <tr r="C14" s="13"/>
      </tp>
      <tp t="e">
        <v>#N/A</v>
        <stp/>
        <stp>BDH|15118368188008654738</stp>
        <tr r="Q154" s="18"/>
      </tp>
      <tp t="e">
        <v>#N/A</v>
        <stp/>
        <stp>BDH|13877037913520489369</stp>
        <tr r="S87" s="12"/>
      </tp>
      <tp t="e">
        <v>#N/A</v>
        <stp/>
        <stp>BDH|16279381204731530569</stp>
        <tr r="X32" s="26"/>
      </tp>
      <tp t="e">
        <v>#N/A</v>
        <stp/>
        <stp>BDH|15890447577126327156</stp>
        <tr r="J8" s="18"/>
      </tp>
      <tp t="e">
        <v>#N/A</v>
        <stp/>
        <stp>BDH|17878497138150722139</stp>
        <tr r="K37" s="24"/>
      </tp>
      <tp t="e">
        <v>#N/A</v>
        <stp/>
        <stp>BDH|15235369161255103492</stp>
        <tr r="H17" s="5"/>
        <tr r="H33" s="6"/>
      </tp>
      <tp t="e">
        <v>#N/A</v>
        <stp/>
        <stp>BDH|14800469603021681068</stp>
        <tr r="R11" s="14"/>
      </tp>
      <tp t="e">
        <v>#N/A</v>
        <stp/>
        <stp>BDH|16831975079218287195</stp>
        <tr r="U7" s="4"/>
      </tp>
      <tp t="e">
        <v>#N/A</v>
        <stp/>
        <stp>BDH|15710712012533983107</stp>
        <tr r="X177" s="18"/>
      </tp>
      <tp t="e">
        <v>#N/A</v>
        <stp/>
        <stp>BDH|17731611636501964248</stp>
        <tr r="P174" s="18"/>
      </tp>
      <tp t="e">
        <v>#N/A</v>
        <stp/>
        <stp>BDH|17986520943103657434</stp>
        <tr r="D19" s="17"/>
      </tp>
      <tp t="e">
        <v>#N/A</v>
        <stp/>
        <stp>BDH|15029473459406395302</stp>
        <tr r="P12" s="26"/>
      </tp>
      <tp t="e">
        <v>#N/A</v>
        <stp/>
        <stp>BDH|14653284729002844728</stp>
        <tr r="P24" s="34"/>
      </tp>
      <tp t="e">
        <v>#N/A</v>
        <stp/>
        <stp>BDH|10653116712439834809</stp>
        <tr r="V36" s="6"/>
      </tp>
      <tp t="e">
        <v>#N/A</v>
        <stp/>
        <stp>BDH|15769489107219024953</stp>
        <tr r="V31" s="6"/>
      </tp>
      <tp t="e">
        <v>#N/A</v>
        <stp/>
        <stp>BDH|16009125558492055178</stp>
        <tr r="U41" s="13"/>
        <tr r="S29" s="11"/>
        <tr r="S37" s="10"/>
      </tp>
      <tp t="e">
        <v>#N/A</v>
        <stp/>
        <stp>BDH|14986137440885711505</stp>
        <tr r="W19" s="22"/>
      </tp>
      <tp t="e">
        <v>#N/A</v>
        <stp/>
        <stp>BDH|13637857460284866862</stp>
        <tr r="G145" s="18"/>
      </tp>
      <tp t="e">
        <v>#N/A</v>
        <stp/>
        <stp>BDH|17076981990461405710</stp>
        <tr r="H40" s="22"/>
      </tp>
      <tp t="e">
        <v>#N/A</v>
        <stp/>
        <stp>BDH|11609173358265375174</stp>
        <tr r="T7" s="34"/>
      </tp>
      <tp t="e">
        <v>#N/A</v>
        <stp/>
        <stp>BDH|10523693931682567653</stp>
        <tr r="O65" s="17"/>
      </tp>
      <tp t="e">
        <v>#N/A</v>
        <stp/>
        <stp>BDH|16783289705497454231</stp>
        <tr r="E31" s="6"/>
      </tp>
      <tp t="e">
        <v>#N/A</v>
        <stp/>
        <stp>BDH|11823719870987666725</stp>
        <tr r="F37" s="12"/>
      </tp>
      <tp t="e">
        <v>#N/A</v>
        <stp/>
        <stp>BDH|10424643139306718233</stp>
        <tr r="K74" s="12"/>
      </tp>
      <tp t="e">
        <v>#N/A</v>
        <stp/>
        <stp>BDH|10874133496010648960</stp>
        <tr r="AA92" s="18"/>
      </tp>
      <tp t="e">
        <v>#N/A</v>
        <stp/>
        <stp>BDH|15824713175086756264</stp>
        <tr r="L28" s="17"/>
      </tp>
      <tp t="e">
        <v>#N/A</v>
        <stp/>
        <stp>BDH|14196138155796839725</stp>
        <tr r="Z22" s="27"/>
      </tp>
      <tp t="e">
        <v>#N/A</v>
        <stp/>
        <stp>BDH|18329362252346330996</stp>
        <tr r="F30" s="9"/>
      </tp>
      <tp t="e">
        <v>#N/A</v>
        <stp/>
        <stp>BDH|15010765185338660387</stp>
        <tr r="H15" s="22"/>
      </tp>
      <tp t="e">
        <v>#N/A</v>
        <stp/>
        <stp>BDH|17676753449861796403</stp>
        <tr r="G9" s="6"/>
      </tp>
      <tp t="e">
        <v>#N/A</v>
        <stp/>
        <stp>BDH|11008546348073063215</stp>
        <tr r="W7" s="23"/>
      </tp>
      <tp t="e">
        <v>#N/A</v>
        <stp/>
        <stp>BDH|10595369725456868636</stp>
        <tr r="X48" s="6"/>
        <tr r="Z6" s="8"/>
      </tp>
      <tp t="e">
        <v>#N/A</v>
        <stp/>
        <stp>BDH|10639161908397078752</stp>
        <tr r="F27" s="21"/>
      </tp>
      <tp t="e">
        <v>#N/A</v>
        <stp/>
        <stp>BDH|14454392942022553069</stp>
        <tr r="L14" s="22"/>
      </tp>
      <tp t="e">
        <v>#N/A</v>
        <stp/>
        <stp>BDH|15039192974675858799</stp>
        <tr r="M50" s="12"/>
      </tp>
      <tp t="e">
        <v>#N/A</v>
        <stp/>
        <stp>BDH|13048076623960143094</stp>
        <tr r="Y63" s="21"/>
      </tp>
      <tp t="e">
        <v>#N/A</v>
        <stp/>
        <stp>BDH|13911598500604478382</stp>
        <tr r="Q9" s="23"/>
      </tp>
      <tp t="e">
        <v>#N/A</v>
        <stp/>
        <stp>BDH|12080487736693076724</stp>
        <tr r="W14" s="10"/>
      </tp>
      <tp t="e">
        <v>#N/A</v>
        <stp/>
        <stp>BDH|13226380760094408328</stp>
        <tr r="F34" s="6"/>
      </tp>
      <tp t="e">
        <v>#N/A</v>
        <stp/>
        <stp>BDH|15598924877499957355</stp>
        <tr r="H109" s="12"/>
      </tp>
      <tp t="e">
        <v>#N/A</v>
        <stp/>
        <stp>BDH|15956169753482927293</stp>
        <tr r="O62" s="17"/>
      </tp>
      <tp t="e">
        <v>#N/A</v>
        <stp/>
        <stp>BDH|15942234887907373927</stp>
        <tr r="F33" s="29"/>
        <tr r="F13" s="29"/>
        <tr r="F22" s="29"/>
      </tp>
      <tp t="e">
        <v>#N/A</v>
        <stp/>
        <stp>BDH|17234282024193795550</stp>
        <tr r="Q38" s="17"/>
      </tp>
      <tp t="e">
        <v>#N/A</v>
        <stp/>
        <stp>BDH|15588713170656037286</stp>
        <tr r="Y60" s="17"/>
      </tp>
      <tp t="e">
        <v>#N/A</v>
        <stp/>
        <stp>BDH|16589530821283268394</stp>
        <tr r="S11" s="7"/>
      </tp>
      <tp t="e">
        <v>#N/A</v>
        <stp/>
        <stp>BDH|15128468914141625091</stp>
        <tr r="S162" s="18"/>
      </tp>
      <tp t="e">
        <v>#N/A</v>
        <stp/>
        <stp>BDH|11148119379290140646</stp>
        <tr r="N52" s="18"/>
      </tp>
      <tp t="e">
        <v>#N/A</v>
        <stp/>
        <stp>BDH|16400943029799180540</stp>
        <tr r="N7" s="14"/>
      </tp>
      <tp t="e">
        <v>#N/A</v>
        <stp/>
        <stp>BDH|15813104659322982242</stp>
        <tr r="F19" s="20"/>
      </tp>
      <tp t="e">
        <v>#N/A</v>
        <stp/>
        <stp>BDH|11276678029507517357</stp>
        <tr r="V169" s="18"/>
      </tp>
      <tp t="e">
        <v>#N/A</v>
        <stp/>
        <stp>BDH|17284976632635910925</stp>
        <tr r="L62" s="17"/>
      </tp>
      <tp t="e">
        <v>#N/A</v>
        <stp/>
        <stp>BDH|15474483886738752015</stp>
        <tr r="S54" s="13"/>
      </tp>
      <tp t="e">
        <v>#N/A</v>
        <stp/>
        <stp>BDH|15945564448145248096</stp>
        <tr r="Z13" s="18"/>
      </tp>
      <tp t="e">
        <v>#N/A</v>
        <stp/>
        <stp>BDH|10090715742877757582</stp>
        <tr r="U21" s="4"/>
      </tp>
      <tp t="e">
        <v>#N/A</v>
        <stp/>
        <stp>BDH|10148044317357898769</stp>
        <tr r="X13" s="25"/>
      </tp>
      <tp t="e">
        <v>#N/A</v>
        <stp/>
        <stp>BDH|11790223294612485997</stp>
        <tr r="C7" s="10"/>
      </tp>
      <tp t="e">
        <v>#N/A</v>
        <stp/>
        <stp>BDH|17516758259564764029</stp>
        <tr r="C15" s="12"/>
      </tp>
      <tp t="e">
        <v>#N/A</v>
        <stp/>
        <stp>BDH|17249211348192555223</stp>
        <tr r="P158" s="18"/>
      </tp>
      <tp t="e">
        <v>#N/A</v>
        <stp/>
        <stp>BDH|16916662733686749473</stp>
        <tr r="U102" s="18"/>
      </tp>
      <tp t="e">
        <v>#N/A</v>
        <stp/>
        <stp>BDH|13898013625644099407</stp>
        <tr r="O49" s="34"/>
      </tp>
      <tp t="e">
        <v>#N/A</v>
        <stp/>
        <stp>BDH|13627117129338737957</stp>
        <tr r="AA65" s="24"/>
      </tp>
      <tp t="e">
        <v>#N/A</v>
        <stp/>
        <stp>BDH|16507883163300564974</stp>
        <tr r="D69" s="34"/>
      </tp>
      <tp t="e">
        <v>#N/A</v>
        <stp/>
        <stp>BDH|14124279129925118022</stp>
        <tr r="I34" s="13"/>
        <tr r="G30" s="10"/>
      </tp>
      <tp t="e">
        <v>#N/A</v>
        <stp/>
        <stp>BDH|13318884352179308665</stp>
        <tr r="N8" s="8"/>
      </tp>
      <tp t="e">
        <v>#N/A</v>
        <stp/>
        <stp>BDH|16669317848215650557</stp>
        <tr r="W26" s="12"/>
      </tp>
      <tp t="e">
        <v>#N/A</v>
        <stp/>
        <stp>BDH|11005589110453252769</stp>
        <tr r="Y140" s="18"/>
      </tp>
      <tp t="e">
        <v>#N/A</v>
        <stp/>
        <stp>BDH|17158234805297976323</stp>
        <tr r="P30" s="21"/>
      </tp>
      <tp t="e">
        <v>#N/A</v>
        <stp/>
        <stp>BDH|17407389755822248272</stp>
        <tr r="Q72" s="24"/>
      </tp>
      <tp t="e">
        <v>#N/A</v>
        <stp/>
        <stp>BDH|15117383303570627702</stp>
        <tr r="Q61" s="34"/>
      </tp>
      <tp t="e">
        <v>#N/A</v>
        <stp/>
        <stp>BDH|15315076451553824217</stp>
        <tr r="Y52" s="12"/>
      </tp>
      <tp t="e">
        <v>#N/A</v>
        <stp/>
        <stp>BDH|11097791328897422297</stp>
        <tr r="W10" s="11"/>
      </tp>
      <tp t="e">
        <v>#N/A</v>
        <stp/>
        <stp>BDH|12887254731951244324</stp>
        <tr r="U22" s="7"/>
      </tp>
      <tp t="e">
        <v>#N/A</v>
        <stp/>
        <stp>BDH|12995887337929204182</stp>
        <tr r="O20" s="18"/>
      </tp>
      <tp t="e">
        <v>#N/A</v>
        <stp/>
        <stp>BDH|16941338801366392242</stp>
        <tr r="L70" s="18"/>
      </tp>
      <tp t="e">
        <v>#N/A</v>
        <stp/>
        <stp>BDH|17424106593179851734</stp>
        <tr r="T64" s="17"/>
      </tp>
      <tp t="e">
        <v>#N/A</v>
        <stp/>
        <stp>BDH|10757146212332906344</stp>
        <tr r="I69" s="12"/>
      </tp>
      <tp t="e">
        <v>#N/A</v>
        <stp/>
        <stp>BDH|14816017605711533456</stp>
        <tr r="U97" s="18"/>
      </tp>
      <tp t="e">
        <v>#N/A</v>
        <stp/>
        <stp>BDH|14208353330921910410</stp>
        <tr r="K44" s="6"/>
      </tp>
      <tp t="e">
        <v>#N/A</v>
        <stp/>
        <stp>BDH|15842098745356955621</stp>
        <tr r="I81" s="18"/>
      </tp>
      <tp t="e">
        <v>#N/A</v>
        <stp/>
        <stp>BDH|10699437672196155491</stp>
        <tr r="T7" s="28"/>
      </tp>
      <tp t="e">
        <v>#N/A</v>
        <stp/>
        <stp>BDH|11093316508456510531</stp>
        <tr r="H160" s="18"/>
      </tp>
      <tp t="e">
        <v>#N/A</v>
        <stp/>
        <stp>BDH|16903374577831259243</stp>
        <tr r="V58" s="34"/>
      </tp>
      <tp t="e">
        <v>#N/A</v>
        <stp/>
        <stp>BDH|16297326103755845146</stp>
        <tr r="L18" s="25"/>
      </tp>
      <tp t="e">
        <v>#N/A</v>
        <stp/>
        <stp>BDH|16993004849213755083</stp>
        <tr r="J38" s="24"/>
      </tp>
      <tp t="e">
        <v>#N/A</v>
        <stp/>
        <stp>BDH|10258739924822989635</stp>
        <tr r="M39" s="18"/>
      </tp>
      <tp t="e">
        <v>#N/A</v>
        <stp/>
        <stp>BDH|16628099473349542965</stp>
        <tr r="Y147" s="18"/>
      </tp>
      <tp t="e">
        <v>#N/A</v>
        <stp/>
        <stp>BDH|16781900094040471786</stp>
        <tr r="W17" s="27"/>
        <tr r="W31" s="25"/>
        <tr r="T14" s="5"/>
      </tp>
      <tp t="e">
        <v>#N/A</v>
        <stp/>
        <stp>BDH|16588662163623769483</stp>
        <tr r="Q7" s="4"/>
      </tp>
      <tp t="e">
        <v>#N/A</v>
        <stp/>
        <stp>BDH|17528368851628415895</stp>
        <tr r="P67" s="17"/>
        <tr r="P18" s="3"/>
      </tp>
      <tp t="e">
        <v>#N/A</v>
        <stp/>
        <stp>BDH|12240866949197381813</stp>
        <tr r="L33" s="17"/>
      </tp>
      <tp t="e">
        <v>#N/A</v>
        <stp/>
        <stp>BDH|11573648323280828457</stp>
        <tr r="K55" s="24"/>
      </tp>
      <tp t="e">
        <v>#N/A</v>
        <stp/>
        <stp>BDH|15725519668517397028</stp>
        <tr r="C69" s="17"/>
      </tp>
      <tp t="e">
        <v>#N/A</v>
        <stp/>
        <stp>BDH|13095547737640441483</stp>
        <tr r="N9" s="6"/>
      </tp>
      <tp t="e">
        <v>#N/A</v>
        <stp/>
        <stp>BDH|17093815946593865900</stp>
        <tr r="Q50" s="21"/>
      </tp>
      <tp t="e">
        <v>#N/A</v>
        <stp/>
        <stp>BDH|10048111152690454588</stp>
        <tr r="G18" s="25"/>
      </tp>
      <tp t="e">
        <v>#N/A</v>
        <stp/>
        <stp>BDH|12684360251797930271</stp>
        <tr r="E46" s="11"/>
        <tr r="E54" s="10"/>
        <tr r="E7" s="7"/>
        <tr r="G12" s="3"/>
      </tp>
      <tp t="e">
        <v>#N/A</v>
        <stp/>
        <stp>BDH|17912585249701585626</stp>
        <tr r="R54" s="10"/>
        <tr r="R46" s="11"/>
        <tr r="R7" s="7"/>
        <tr r="T12" s="3"/>
      </tp>
      <tp t="e">
        <v>#N/A</v>
        <stp/>
        <stp>BDH|17070301643862530390</stp>
        <tr r="C6" s="16"/>
        <tr r="D6" s="11"/>
        <tr r="F6" s="3"/>
        <tr r="D10" s="4"/>
      </tp>
      <tp t="e">
        <v>#N/A</v>
        <stp/>
        <stp>BDH|15293458117691934068</stp>
        <tr r="S11" s="21"/>
      </tp>
      <tp t="e">
        <v>#N/A</v>
        <stp/>
        <stp>BDH|11364102333866687498</stp>
        <tr r="M54" s="34"/>
      </tp>
      <tp t="e">
        <v>#N/A</v>
        <stp/>
        <stp>BDH|11432686815143621405</stp>
        <tr r="Z11" s="17"/>
      </tp>
      <tp t="e">
        <v>#N/A</v>
        <stp/>
        <stp>BDH|14775976337099011683</stp>
        <tr r="Y77" s="18"/>
      </tp>
      <tp t="e">
        <v>#N/A</v>
        <stp/>
        <stp>BDH|14764383700323455542</stp>
        <tr r="G18" s="23"/>
      </tp>
      <tp t="e">
        <v>#N/A</v>
        <stp/>
        <stp>BDH|16786359458668166940</stp>
        <tr r="P16" s="11"/>
      </tp>
      <tp t="e">
        <v>#N/A</v>
        <stp/>
        <stp>BDH|13238537768127421627</stp>
        <tr r="R63" s="12"/>
      </tp>
      <tp t="e">
        <v>#N/A</v>
        <stp/>
        <stp>BDH|18442235896346631481</stp>
        <tr r="O17" s="20"/>
      </tp>
      <tp t="e">
        <v>#N/A</v>
        <stp/>
        <stp>BDH|14106723506190210283</stp>
        <tr r="E50" s="18"/>
      </tp>
      <tp t="e">
        <v>#N/A</v>
        <stp/>
        <stp>BDH|17121115300003935464</stp>
        <tr r="R30" s="13"/>
        <tr r="P26" s="10"/>
      </tp>
      <tp t="e">
        <v>#N/A</v>
        <stp/>
        <stp>BDH|14053546248757315305</stp>
        <tr r="V7" s="21"/>
      </tp>
      <tp t="e">
        <v>#N/A</v>
        <stp/>
        <stp>BDH|15595680239517887634</stp>
        <tr r="AA46" s="13"/>
      </tp>
      <tp t="e">
        <v>#N/A</v>
        <stp/>
        <stp>BDH|16700922291237223092</stp>
        <tr r="M66" s="34"/>
      </tp>
      <tp t="e">
        <v>#N/A</v>
        <stp/>
        <stp>BDH|14206250859356171403</stp>
        <tr r="R48" s="21"/>
      </tp>
      <tp t="e">
        <v>#N/A</v>
        <stp/>
        <stp>BDH|10426445251260636081</stp>
        <tr r="G73" s="24"/>
      </tp>
      <tp t="e">
        <v>#N/A</v>
        <stp/>
        <stp>BDH|14948411563486308177</stp>
        <tr r="V125" s="18"/>
      </tp>
      <tp t="e">
        <v>#N/A</v>
        <stp/>
        <stp>BDH|10488384463591677568</stp>
        <tr r="L65" s="12"/>
      </tp>
      <tp t="e">
        <v>#N/A</v>
        <stp/>
        <stp>BDH|15738280112771424663</stp>
        <tr r="H23" s="25"/>
        <tr r="F21" s="11"/>
      </tp>
      <tp t="e">
        <v>#N/A</v>
        <stp/>
        <stp>BDH|12020678425244445399</stp>
        <tr r="L24" s="12"/>
      </tp>
      <tp t="e">
        <v>#N/A</v>
        <stp/>
        <stp>BDH|14750460142363516692</stp>
        <tr r="O28" s="12"/>
      </tp>
      <tp t="e">
        <v>#N/A</v>
        <stp/>
        <stp>BDH|14967633134316544647</stp>
        <tr r="D18" s="21"/>
        <tr r="D23" s="3"/>
      </tp>
      <tp t="e">
        <v>#N/A</v>
        <stp/>
        <stp>BDH|12522061432026806666</stp>
        <tr r="R28" s="12"/>
      </tp>
      <tp t="e">
        <v>#N/A</v>
        <stp/>
        <stp>BDH|12252566475003622285</stp>
        <tr r="M9" s="28"/>
      </tp>
      <tp t="e">
        <v>#N/A</v>
        <stp/>
        <stp>BDH|15037808164148879226</stp>
        <tr r="G17" s="12"/>
      </tp>
      <tp t="e">
        <v>#N/A</v>
        <stp/>
        <stp>BDH|12901062561442585755</stp>
        <tr r="P106" s="12"/>
      </tp>
      <tp t="e">
        <v>#N/A</v>
        <stp/>
        <stp>BDH|18383186076949742648</stp>
        <tr r="N28" s="26"/>
      </tp>
      <tp t="e">
        <v>#N/A</v>
        <stp/>
        <stp>BDH|11980321228005428491</stp>
        <tr r="G25" s="21"/>
      </tp>
      <tp t="e">
        <v>#N/A</v>
        <stp/>
        <stp>BDH|12785654019407784329</stp>
        <tr r="K54" s="18"/>
      </tp>
      <tp t="e">
        <v>#N/A</v>
        <stp/>
        <stp>BDH|16799455346642807525</stp>
        <tr r="F51" s="22"/>
      </tp>
      <tp t="e">
        <v>#N/A</v>
        <stp/>
        <stp>BDH|11097057359435056020</stp>
        <tr r="S46" s="24"/>
      </tp>
      <tp t="e">
        <v>#N/A</v>
        <stp/>
        <stp>BDH|18079078367087661886</stp>
        <tr r="Z31" s="22"/>
      </tp>
      <tp t="e">
        <v>#N/A</v>
        <stp/>
        <stp>BDH|11227290838891903044</stp>
        <tr r="Y83" s="18"/>
      </tp>
      <tp t="e">
        <v>#N/A</v>
        <stp/>
        <stp>BDH|16962079521005800091</stp>
        <tr r="M43" s="11"/>
        <tr r="M51" s="10"/>
        <tr r="M15" s="7"/>
      </tp>
      <tp t="e">
        <v>#N/A</v>
        <stp/>
        <stp>BDH|12287076731735962531</stp>
        <tr r="H13" s="27"/>
        <tr r="H27" s="25"/>
      </tp>
      <tp t="e">
        <v>#N/A</v>
        <stp/>
        <stp>BDH|14468525438686997592</stp>
        <tr r="T39" s="13"/>
        <tr r="R35" s="11"/>
        <tr r="R43" s="10"/>
        <tr r="R52" s="4"/>
        <tr r="T8" s="3"/>
      </tp>
      <tp t="e">
        <v>#N/A</v>
        <stp/>
        <stp>BDH|13399076742125877305</stp>
        <tr r="H98" s="12"/>
      </tp>
      <tp t="e">
        <v>#N/A</v>
        <stp/>
        <stp>BDH|16524509079516452367</stp>
        <tr r="E20" s="26"/>
      </tp>
      <tp t="e">
        <v>#N/A</v>
        <stp/>
        <stp>BDH|14489083934453667505</stp>
        <tr r="Q26" s="12"/>
      </tp>
      <tp t="e">
        <v>#N/A</v>
        <stp/>
        <stp>BDH|17978253133130111707</stp>
        <tr r="Z54" s="13"/>
      </tp>
      <tp t="e">
        <v>#N/A</v>
        <stp/>
        <stp>BDH|15801602525797027734</stp>
        <tr r="X30" s="18"/>
      </tp>
      <tp t="e">
        <v>#N/A</v>
        <stp/>
        <stp>BDH|16155892369751861875</stp>
        <tr r="N35" s="21"/>
      </tp>
      <tp t="e">
        <v>#N/A</v>
        <stp/>
        <stp>BDH|11910573811562824697</stp>
        <tr r="Q52" s="17"/>
        <tr r="Q17" s="3"/>
      </tp>
      <tp t="e">
        <v>#N/A</v>
        <stp/>
        <stp>BDH|11239561942444051581</stp>
        <tr r="R52" s="17"/>
        <tr r="R17" s="3"/>
      </tp>
      <tp t="e">
        <v>#N/A</v>
        <stp/>
        <stp>BDH|13603558148010082352</stp>
        <tr r="I23" s="17"/>
      </tp>
      <tp t="e">
        <v>#N/A</v>
        <stp/>
        <stp>BDH|15563859628299651709</stp>
        <tr r="R38" s="22"/>
      </tp>
      <tp t="e">
        <v>#N/A</v>
        <stp/>
        <stp>BDH|11212981996528609844</stp>
        <tr r="AA15" s="23"/>
        <tr r="Y58" s="11"/>
      </tp>
      <tp t="e">
        <v>#N/A</v>
        <stp/>
        <stp>BDH|10818170694409151040</stp>
        <tr r="L22" s="5"/>
      </tp>
      <tp t="e">
        <v>#N/A</v>
        <stp/>
        <stp>BDH|13503371968276303173</stp>
        <tr r="AA97" s="18"/>
      </tp>
      <tp t="e">
        <v>#N/A</v>
        <stp/>
        <stp>BDH|11221352382933879839</stp>
        <tr r="F48" s="13"/>
      </tp>
      <tp t="e">
        <v>#N/A</v>
        <stp/>
        <stp>BDH|14923509994838302104</stp>
        <tr r="G10" s="17"/>
      </tp>
      <tp t="e">
        <v>#N/A</v>
        <stp/>
        <stp>BDH|11972610860071252144</stp>
        <tr r="O57" s="17"/>
      </tp>
      <tp t="e">
        <v>#N/A</v>
        <stp/>
        <stp>BDH|10928006999868699083</stp>
        <tr r="H12" s="22"/>
      </tp>
      <tp t="e">
        <v>#N/A</v>
        <stp/>
        <stp>BDH|13697351721496992553</stp>
        <tr r="L52" s="18"/>
      </tp>
      <tp t="e">
        <v>#N/A</v>
        <stp/>
        <stp>BDH|14951167048153901305</stp>
        <tr r="R90" s="17"/>
        <tr r="R34" s="25"/>
      </tp>
      <tp t="e">
        <v>#N/A</v>
        <stp/>
        <stp>BDH|15373822519119116473</stp>
        <tr r="N15" s="4"/>
      </tp>
      <tp t="e">
        <v>#N/A</v>
        <stp/>
        <stp>BDH|16874162784306083848</stp>
        <tr r="N39" s="13"/>
        <tr r="L35" s="11"/>
        <tr r="L43" s="10"/>
        <tr r="N8" s="3"/>
        <tr r="L52" s="4"/>
      </tp>
      <tp t="e">
        <v>#N/A</v>
        <stp/>
        <stp>BDH|16875116034266540361</stp>
        <tr r="U66" s="24"/>
      </tp>
      <tp t="e">
        <v>#N/A</v>
        <stp/>
        <stp>BDH|17699029511164959322</stp>
        <tr r="E34" s="11"/>
        <tr r="E42" s="10"/>
      </tp>
      <tp t="e">
        <v>#N/A</v>
        <stp/>
        <stp>BDH|10286156609400099006</stp>
        <tr r="C52" s="18"/>
      </tp>
      <tp t="e">
        <v>#N/A</v>
        <stp/>
        <stp>BDH|11607627678475547472</stp>
        <tr r="K13" s="24"/>
      </tp>
      <tp t="e">
        <v>#N/A</v>
        <stp/>
        <stp>BDH|12492712504740682491</stp>
        <tr r="Z10" s="13"/>
      </tp>
      <tp t="e">
        <v>#N/A</v>
        <stp/>
        <stp>BDH|14875555959612313791</stp>
        <tr r="M60" s="21"/>
      </tp>
      <tp t="e">
        <v>#N/A</v>
        <stp/>
        <stp>BDH|14212006977156924420</stp>
        <tr r="D8" s="25"/>
      </tp>
      <tp t="e">
        <v>#N/A</v>
        <stp/>
        <stp>BDH|12301725399194369956</stp>
        <tr r="M67" s="24"/>
      </tp>
      <tp t="e">
        <v>#N/A</v>
        <stp/>
        <stp>BDH|17647531654059481846</stp>
        <tr r="C25" s="24"/>
      </tp>
      <tp t="e">
        <v>#N/A</v>
        <stp/>
        <stp>BDH|16077006177002128579</stp>
        <tr r="W41" s="22"/>
      </tp>
      <tp t="e">
        <v>#N/A</v>
        <stp/>
        <stp>BDH|18156282679832818994</stp>
        <tr r="M23" s="25"/>
        <tr r="K21" s="11"/>
      </tp>
      <tp t="e">
        <v>#N/A</v>
        <stp/>
        <stp>BDH|11593058322862267715</stp>
        <tr r="U111" s="12"/>
      </tp>
      <tp t="e">
        <v>#N/A</v>
        <stp/>
        <stp>BDH|10258053416016987197</stp>
        <tr r="G11" s="10"/>
        <tr r="G14" s="2"/>
      </tp>
      <tp t="e">
        <v>#N/A</v>
        <stp/>
        <stp>BDH|10446517161424687136</stp>
        <tr r="X64" s="34"/>
      </tp>
      <tp t="e">
        <v>#N/A</v>
        <stp/>
        <stp>BDH|12097387109133467441</stp>
        <tr r="C18" s="12"/>
      </tp>
      <tp t="e">
        <v>#N/A</v>
        <stp/>
        <stp>BDH|10515281855163885216</stp>
        <tr r="Y21" s="24"/>
      </tp>
      <tp t="e">
        <v>#N/A</v>
        <stp/>
        <stp>BDH|17874194340735381133</stp>
        <tr r="H41" s="34"/>
      </tp>
      <tp t="e">
        <v>#N/A</v>
        <stp/>
        <stp>BDH|13749598518212602310</stp>
        <tr r="N10" s="21"/>
      </tp>
      <tp t="e">
        <v>#N/A</v>
        <stp/>
        <stp>BDH|10533828167141158901</stp>
        <tr r="E42" s="12"/>
      </tp>
      <tp t="e">
        <v>#N/A</v>
        <stp/>
        <stp>BDH|15240214977411682732</stp>
        <tr r="E93" s="17"/>
        <tr r="E13" s="28"/>
      </tp>
      <tp t="e">
        <v>#N/A</v>
        <stp/>
        <stp>BDH|16551612327244233008</stp>
        <tr r="Q15" s="21"/>
      </tp>
      <tp t="e">
        <v>#N/A</v>
        <stp/>
        <stp>BDH|11460730610653395257</stp>
        <tr r="M7" s="34"/>
      </tp>
      <tp t="e">
        <v>#N/A</v>
        <stp/>
        <stp>BDH|13500340935882613737</stp>
        <tr r="V23" s="25"/>
        <tr r="T21" s="11"/>
      </tp>
      <tp t="e">
        <v>#N/A</v>
        <stp/>
        <stp>BDH|13886890964208629325</stp>
        <tr r="O25" s="12"/>
      </tp>
      <tp t="e">
        <v>#N/A</v>
        <stp/>
        <stp>BDH|12793507314064627441</stp>
        <tr r="Y76" s="17"/>
        <tr r="V9" s="9"/>
        <tr r="V9" s="5"/>
      </tp>
      <tp t="e">
        <v>#N/A</v>
        <stp/>
        <stp>BDH|11055382859892027301</stp>
        <tr r="K56" s="13"/>
      </tp>
      <tp t="e">
        <v>#N/A</v>
        <stp/>
        <stp>BDH|11143763900086130677</stp>
        <tr r="T13" s="12"/>
      </tp>
      <tp t="e">
        <v>#N/A</v>
        <stp/>
        <stp>BDH|14055947493633740113</stp>
        <tr r="H60" s="24"/>
      </tp>
      <tp t="e">
        <v>#N/A</v>
        <stp/>
        <stp>BDH|13489906165802740870</stp>
        <tr r="K53" s="18"/>
      </tp>
      <tp t="e">
        <v>#N/A</v>
        <stp/>
        <stp>BDH|11427306454612996389</stp>
        <tr r="J23" s="24"/>
      </tp>
      <tp t="e">
        <v>#N/A</v>
        <stp/>
        <stp>BDH|15313142061064105061</stp>
        <tr r="AA59" s="21"/>
        <tr r="Y54" s="11"/>
      </tp>
      <tp t="e">
        <v>#N/A</v>
        <stp/>
        <stp>BDH|18430741831789808384</stp>
        <tr r="Q62" s="13"/>
        <tr r="O49" s="11"/>
        <tr r="O57" s="10"/>
        <tr r="O18" s="4"/>
        <tr r="O19" s="7"/>
        <tr r="O20" s="2"/>
      </tp>
      <tp t="e">
        <v>#N/A</v>
        <stp/>
        <stp>BDH|14349606695929526428</stp>
        <tr r="N14" s="22"/>
      </tp>
      <tp t="e">
        <v>#N/A</v>
        <stp/>
        <stp>BDH|18059344457471333916</stp>
        <tr r="J143" s="18"/>
      </tp>
      <tp t="e">
        <v>#N/A</v>
        <stp/>
        <stp>BDH|13324416176354255272</stp>
        <tr r="X24" s="21"/>
      </tp>
      <tp t="e">
        <v>#N/A</v>
        <stp/>
        <stp>BDH|10201084895266987979</stp>
        <tr r="O45" s="12"/>
      </tp>
      <tp t="e">
        <v>#N/A</v>
        <stp/>
        <stp>BDH|11049087152446279497</stp>
        <tr r="F42" s="22"/>
      </tp>
      <tp t="e">
        <v>#N/A</v>
        <stp/>
        <stp>BDH|16101150904242828397</stp>
        <tr r="K22" s="27"/>
      </tp>
      <tp t="e">
        <v>#N/A</v>
        <stp/>
        <stp>BDH|10220553269907974268</stp>
        <tr r="N42" s="22"/>
      </tp>
      <tp t="e">
        <v>#N/A</v>
        <stp/>
        <stp>BDH|13468434901838743909</stp>
        <tr r="G24" s="17"/>
      </tp>
      <tp t="e">
        <v>#N/A</v>
        <stp/>
        <stp>BDH|16972731672729929905</stp>
        <tr r="T18" s="14"/>
      </tp>
      <tp t="e">
        <v>#N/A</v>
        <stp/>
        <stp>BDH|18108820791259342600</stp>
        <tr r="W38" s="24"/>
      </tp>
      <tp t="e">
        <v>#N/A</v>
        <stp/>
        <stp>BDH|14739768883835113824</stp>
        <tr r="P31" s="22"/>
      </tp>
      <tp t="e">
        <v>#N/A</v>
        <stp/>
        <stp>BDH|18008807287657502934</stp>
        <tr r="V68" s="24"/>
      </tp>
      <tp t="e">
        <v>#N/A</v>
        <stp/>
        <stp>BDH|16941423525304698298</stp>
        <tr r="H27" s="12"/>
      </tp>
      <tp t="e">
        <v>#N/A</v>
        <stp/>
        <stp>BDH|18389113559832376891</stp>
        <tr r="V78" s="18"/>
      </tp>
      <tp t="e">
        <v>#N/A</v>
        <stp/>
        <stp>BDH|12177445360337241160</stp>
        <tr r="N44" s="13"/>
      </tp>
      <tp t="e">
        <v>#N/A</v>
        <stp/>
        <stp>BDH|12489359063031650050</stp>
        <tr r="J86" s="17"/>
      </tp>
      <tp t="e">
        <v>#N/A</v>
        <stp/>
        <stp>BDH|17153405720175317234</stp>
        <tr r="W68" s="12"/>
      </tp>
      <tp t="e">
        <v>#N/A</v>
        <stp/>
        <stp>BDH|10248056031287637217</stp>
        <tr r="Y67" s="10"/>
      </tp>
      <tp t="e">
        <v>#N/A</v>
        <stp/>
        <stp>BDH|13094959942528788019</stp>
        <tr r="H24" s="24"/>
      </tp>
      <tp t="e">
        <v>#N/A</v>
        <stp/>
        <stp>BDH|17407127319033731290</stp>
        <tr r="P24" s="13"/>
      </tp>
      <tp t="e">
        <v>#N/A</v>
        <stp/>
        <stp>BDH|11450261139664827224</stp>
        <tr r="S31" s="11"/>
        <tr r="S39" s="10"/>
      </tp>
      <tp t="e">
        <v>#N/A</v>
        <stp/>
        <stp>BDH|14532362614538465826</stp>
        <tr r="T17" s="24"/>
      </tp>
      <tp t="e">
        <v>#N/A</v>
        <stp/>
        <stp>BDH|17680183029252228050</stp>
        <tr r="E21" s="12"/>
      </tp>
      <tp t="e">
        <v>#N/A</v>
        <stp/>
        <stp>BDH|13177138847520615030</stp>
        <tr r="P24" s="12"/>
      </tp>
      <tp t="e">
        <v>#N/A</v>
        <stp/>
        <stp>BDH|12299428811349300829</stp>
        <tr r="P85" s="12"/>
      </tp>
      <tp t="e">
        <v>#N/A</v>
        <stp/>
        <stp>BDH|11401439539923821369</stp>
        <tr r="Z66" s="12"/>
      </tp>
      <tp t="e">
        <v>#N/A</v>
        <stp/>
        <stp>BDH|15439850755949150755</stp>
        <tr r="F19" s="25"/>
      </tp>
      <tp t="e">
        <v>#N/A</v>
        <stp/>
        <stp>BDH|18273244766229731378</stp>
        <tr r="Y13" s="22"/>
      </tp>
      <tp t="e">
        <v>#N/A</v>
        <stp/>
        <stp>BDH|10930569554846201098</stp>
        <tr r="V57" s="13"/>
      </tp>
      <tp t="e">
        <v>#N/A</v>
        <stp/>
        <stp>BDH|13042385609307414159</stp>
        <tr r="S18" s="13"/>
      </tp>
      <tp t="e">
        <v>#N/A</v>
        <stp/>
        <stp>BDH|13756202821811269440</stp>
        <tr r="H162" s="18"/>
      </tp>
      <tp t="e">
        <v>#N/A</v>
        <stp/>
        <stp>BDH|12630670232640795145</stp>
        <tr r="S27" s="26"/>
      </tp>
      <tp t="e">
        <v>#N/A</v>
        <stp/>
        <stp>BDH|18436566924680424929</stp>
        <tr r="Q72" s="17"/>
      </tp>
      <tp t="e">
        <v>#N/A</v>
        <stp/>
        <stp>BDH|11820529060646345296</stp>
        <tr r="T96" s="12"/>
      </tp>
      <tp t="e">
        <v>#N/A</v>
        <stp/>
        <stp>BDH|11445523591899605211</stp>
        <tr r="I26" s="25"/>
        <tr r="I12" s="27"/>
      </tp>
      <tp t="e">
        <v>#N/A</v>
        <stp/>
        <stp>BDH|11562417203811627215</stp>
        <tr r="AA18" s="27"/>
        <tr r="AA32" s="25"/>
      </tp>
      <tp t="e">
        <v>#N/A</v>
        <stp/>
        <stp>BDH|15651555428817804336</stp>
        <tr r="N119" s="18"/>
      </tp>
      <tp t="e">
        <v>#N/A</v>
        <stp/>
        <stp>BDH|18027352036929677750</stp>
        <tr r="C18" s="25"/>
      </tp>
      <tp t="e">
        <v>#N/A</v>
        <stp/>
        <stp>BDH|12489553989518072184</stp>
        <tr r="G89" s="12"/>
      </tp>
      <tp t="e">
        <v>#N/A</v>
        <stp/>
        <stp>BDH|10771427374950718564</stp>
        <tr r="J9" s="23"/>
      </tp>
      <tp t="e">
        <v>#N/A</v>
        <stp/>
        <stp>BDH|16996022906423802353</stp>
        <tr r="H14" s="4"/>
      </tp>
      <tp t="e">
        <v>#N/A</v>
        <stp/>
        <stp>BDH|18261595698985176721</stp>
        <tr r="U10" s="28"/>
      </tp>
      <tp t="e">
        <v>#N/A</v>
        <stp/>
        <stp>BDH|11216409578467926332</stp>
        <tr r="J62" s="12"/>
      </tp>
      <tp t="e">
        <v>#N/A</v>
        <stp/>
        <stp>BDH|13438043655047731720</stp>
        <tr r="D21" s="18"/>
      </tp>
      <tp t="e">
        <v>#N/A</v>
        <stp/>
        <stp>BDH|13233153353641735036</stp>
        <tr r="F60" s="18"/>
      </tp>
      <tp t="e">
        <v>#N/A</v>
        <stp/>
        <stp>BDH|15373199575701734489</stp>
        <tr r="K33" s="6"/>
        <tr r="K17" s="5"/>
      </tp>
      <tp t="e">
        <v>#N/A</v>
        <stp/>
        <stp>BDH|12296046711077689215</stp>
        <tr r="H69" s="34"/>
      </tp>
      <tp t="e">
        <v>#N/A</v>
        <stp/>
        <stp>BDH|14049755629946524198</stp>
        <tr r="D32" s="21"/>
      </tp>
      <tp t="e">
        <v>#N/A</v>
        <stp/>
        <stp>BDH|15813811058428660670</stp>
        <tr r="AA26" s="12"/>
      </tp>
      <tp t="e">
        <v>#N/A</v>
        <stp/>
        <stp>BDH|13003165657445523441</stp>
        <tr r="S8" s="23"/>
      </tp>
      <tp t="e">
        <v>#N/A</v>
        <stp/>
        <stp>BDH|13408604073236329246</stp>
        <tr r="M19" s="25"/>
      </tp>
      <tp t="e">
        <v>#N/A</v>
        <stp/>
        <stp>BDH|13523515924397529557</stp>
        <tr r="J57" s="34"/>
      </tp>
      <tp t="e">
        <v>#N/A</v>
        <stp/>
        <stp>BDH|17247523471015758663</stp>
        <tr r="AA88" s="12"/>
      </tp>
      <tp t="e">
        <v>#N/A</v>
        <stp/>
        <stp>BDH|13194622547871340676</stp>
        <tr r="X154" s="18"/>
      </tp>
      <tp t="e">
        <v>#N/A</v>
        <stp/>
        <stp>BDH|18120059067919363105</stp>
        <tr r="Y68" s="10"/>
      </tp>
      <tp t="e">
        <v>#N/A</v>
        <stp/>
        <stp>BDH|12573075791364419970</stp>
        <tr r="X21" s="9"/>
        <tr r="X21" s="5"/>
      </tp>
      <tp t="e">
        <v>#N/A</v>
        <stp/>
        <stp>BDH|17003337424013117366</stp>
        <tr r="W131" s="18"/>
      </tp>
      <tp t="e">
        <v>#N/A</v>
        <stp/>
        <stp>BDH|15335079499343486991</stp>
        <tr r="AA36" s="21"/>
      </tp>
      <tp t="e">
        <v>#N/A</v>
        <stp/>
        <stp>BDH|17968465116727066395</stp>
        <tr r="W98" s="18"/>
      </tp>
      <tp t="e">
        <v>#N/A</v>
        <stp/>
        <stp>BDH|11318392098035475863</stp>
        <tr r="P130" s="18"/>
      </tp>
      <tp t="e">
        <v>#N/A</v>
        <stp/>
        <stp>BDH|10285559621566472724</stp>
        <tr r="L118" s="18"/>
      </tp>
      <tp t="e">
        <v>#N/A</v>
        <stp/>
        <stp>BDH|17359460207163764654</stp>
        <tr r="N66" s="24"/>
      </tp>
      <tp t="e">
        <v>#N/A</v>
        <stp/>
        <stp>BDH|16364246483262504814</stp>
        <tr r="L137" s="18"/>
      </tp>
      <tp t="e">
        <v>#N/A</v>
        <stp/>
        <stp>BDH|15215094356280523680</stp>
        <tr r="O35" s="25"/>
      </tp>
      <tp t="e">
        <v>#N/A</v>
        <stp/>
        <stp>BDH|15951333810021943037</stp>
        <tr r="X25" s="12"/>
      </tp>
      <tp t="e">
        <v>#N/A</v>
        <stp/>
        <stp>BDH|15396130661310995486</stp>
        <tr r="F165" s="18"/>
      </tp>
      <tp t="e">
        <v>#N/A</v>
        <stp/>
        <stp>BDH|14018291809094618464</stp>
        <tr r="Q63" s="34"/>
      </tp>
      <tp t="e">
        <v>#N/A</v>
        <stp/>
        <stp>BDH|15621486869619669811</stp>
        <tr r="F15" s="25"/>
      </tp>
      <tp t="e">
        <v>#N/A</v>
        <stp/>
        <stp>BDH|17827876258194509821</stp>
        <tr r="Z13" s="12"/>
      </tp>
      <tp t="e">
        <v>#N/A</v>
        <stp/>
        <stp>BDH|15721981683775987758</stp>
        <tr r="I18" s="26"/>
      </tp>
      <tp t="e">
        <v>#N/A</v>
        <stp/>
        <stp>BDH|10426509338102696299</stp>
        <tr r="M77" s="17"/>
        <tr r="M19" s="3"/>
      </tp>
      <tp t="e">
        <v>#N/A</v>
        <stp/>
        <stp>BDH|17484414661880286355</stp>
        <tr r="G13" s="34"/>
      </tp>
      <tp t="e">
        <v>#N/A</v>
        <stp/>
        <stp>BDH|13947756668610483435</stp>
        <tr r="W70" s="10"/>
        <tr r="W62" s="11"/>
      </tp>
      <tp t="e">
        <v>#N/A</v>
        <stp/>
        <stp>BDH|10724472221411155138</stp>
        <tr r="H13" s="22"/>
      </tp>
      <tp t="e">
        <v>#N/A</v>
        <stp/>
        <stp>BDH|12227477653922731726</stp>
        <tr r="Q50" s="17"/>
      </tp>
      <tp t="e">
        <v>#N/A</v>
        <stp/>
        <stp>BDH|16199134980529275037</stp>
        <tr r="V29" s="24"/>
      </tp>
      <tp t="e">
        <v>#N/A</v>
        <stp/>
        <stp>BDH|11050519532793314235</stp>
        <tr r="O6" s="16"/>
        <tr r="P6" s="11"/>
        <tr r="P10" s="4"/>
        <tr r="R6" s="3"/>
      </tp>
      <tp t="e">
        <v>#N/A</v>
        <stp/>
        <stp>BDH|15082313736372266161</stp>
        <tr r="I61" s="12"/>
      </tp>
      <tp t="e">
        <v>#N/A</v>
        <stp/>
        <stp>BDH|13500959746348129046</stp>
        <tr r="P81" s="18"/>
      </tp>
      <tp t="e">
        <v>#N/A</v>
        <stp/>
        <stp>BDH|11077426255912463400</stp>
        <tr r="I40" s="13"/>
        <tr r="G28" s="11"/>
        <tr r="G36" s="10"/>
      </tp>
      <tp t="e">
        <v>#N/A</v>
        <stp/>
        <stp>BDH|12760867179373247898</stp>
        <tr r="E19" s="12"/>
      </tp>
      <tp t="e">
        <v>#N/A</v>
        <stp/>
        <stp>BDH|16269970276288914698</stp>
        <tr r="U12" s="18"/>
      </tp>
      <tp t="e">
        <v>#N/A</v>
        <stp/>
        <stp>BDH|13410633521634310568</stp>
        <tr r="P18" s="6"/>
      </tp>
      <tp t="e">
        <v>#N/A</v>
        <stp/>
        <stp>BDH|13799094784364017993</stp>
        <tr r="T150" s="18"/>
      </tp>
      <tp t="e">
        <v>#N/A</v>
        <stp/>
        <stp>BDH|11756512314793495055</stp>
        <tr r="U86" s="17"/>
      </tp>
      <tp t="e">
        <v>#N/A</v>
        <stp/>
        <stp>BDH|10513789869795618212</stp>
        <tr r="V70" s="18"/>
      </tp>
      <tp t="e">
        <v>#N/A</v>
        <stp/>
        <stp>BDH|15585033065232942791</stp>
        <tr r="Q61" s="11"/>
        <tr r="Q69" s="10"/>
        <tr r="Q20" s="7"/>
      </tp>
      <tp t="e">
        <v>#N/A</v>
        <stp/>
        <stp>BDH|16880672426281208584</stp>
        <tr r="C7" s="23"/>
      </tp>
      <tp t="e">
        <v>#N/A</v>
        <stp/>
        <stp>BDH|14389000974286249362</stp>
        <tr r="F46" s="11"/>
        <tr r="F54" s="10"/>
        <tr r="F7" s="7"/>
        <tr r="H12" s="3"/>
      </tp>
      <tp t="e">
        <v>#N/A</v>
        <stp/>
        <stp>BDH|15808703794445773883</stp>
        <tr r="H13" s="13"/>
      </tp>
      <tp t="e">
        <v>#N/A</v>
        <stp/>
        <stp>BDH|11100735922760219210</stp>
        <tr r="J15" s="21"/>
      </tp>
      <tp t="e">
        <v>#N/A</v>
        <stp/>
        <stp>BDH|12129160343670614117</stp>
        <tr r="G88" s="18"/>
      </tp>
      <tp t="e">
        <v>#N/A</v>
        <stp/>
        <stp>BDH|12208748332404643419</stp>
        <tr r="W103" s="12"/>
      </tp>
      <tp t="e">
        <v>#N/A</v>
        <stp/>
        <stp>BDH|13406393858062019163</stp>
        <tr r="W18" s="27"/>
        <tr r="W32" s="25"/>
      </tp>
      <tp t="e">
        <v>#N/A</v>
        <stp/>
        <stp>BDH|13033749105662599075</stp>
        <tr r="Z41" s="12"/>
      </tp>
      <tp t="e">
        <v>#N/A</v>
        <stp/>
        <stp>BDH|14941015478043646652</stp>
        <tr r="J54" s="17"/>
      </tp>
      <tp t="e">
        <v>#N/A</v>
        <stp/>
        <stp>BDH|15526513812171678630</stp>
        <tr r="W171" s="18"/>
      </tp>
      <tp t="e">
        <v>#N/A</v>
        <stp/>
        <stp>BDH|11743277533260718676</stp>
        <tr r="R101" s="18"/>
      </tp>
      <tp t="e">
        <v>#N/A</v>
        <stp/>
        <stp>BDH|17883553506790885402</stp>
        <tr r="I34" s="12"/>
      </tp>
      <tp t="e">
        <v>#N/A</v>
        <stp/>
        <stp>BDH|14684550535185289177</stp>
        <tr r="O67" s="12"/>
      </tp>
      <tp t="e">
        <v>#N/A</v>
        <stp/>
        <stp>BDH|10436902856409423352</stp>
        <tr r="U14" s="28"/>
      </tp>
      <tp t="e">
        <v>#N/A</v>
        <stp/>
        <stp>BDH|11245021364596041771</stp>
        <tr r="K29" s="17"/>
      </tp>
      <tp t="e">
        <v>#N/A</v>
        <stp/>
        <stp>BDH|16072402023452421446</stp>
        <tr r="N61" s="17"/>
      </tp>
      <tp t="e">
        <v>#N/A</v>
        <stp/>
        <stp>BDH|13819489711441487160</stp>
        <tr r="Y23" s="13"/>
      </tp>
      <tp t="e">
        <v>#N/A</v>
        <stp/>
        <stp>BDH|12977021957171726081</stp>
        <tr r="X61" s="17"/>
      </tp>
      <tp t="e">
        <v>#N/A</v>
        <stp/>
        <stp>BDH|15051703115017126270</stp>
        <tr r="X23" s="17"/>
      </tp>
      <tp t="e">
        <v>#N/A</v>
        <stp/>
        <stp>BDH|15117895725179892077</stp>
        <tr r="I89" s="12"/>
      </tp>
      <tp t="e">
        <v>#N/A</v>
        <stp/>
        <stp>BDH|13268235413831708770</stp>
        <tr r="Z32" s="13"/>
        <tr r="X28" s="10"/>
      </tp>
      <tp t="e">
        <v>#N/A</v>
        <stp/>
        <stp>BDH|14690375912631711161</stp>
        <tr r="M102" s="18"/>
      </tp>
      <tp t="e">
        <v>#N/A</v>
        <stp/>
        <stp>BDH|11076125260308631868</stp>
        <tr r="M34" s="34"/>
      </tp>
      <tp t="e">
        <v>#N/A</v>
        <stp/>
        <stp>BDH|10325665877742689562</stp>
        <tr r="C20" s="34"/>
      </tp>
      <tp t="e">
        <v>#N/A</v>
        <stp/>
        <stp>BDH|10882447868766515230</stp>
        <tr r="H22" s="27"/>
      </tp>
      <tp t="e">
        <v>#N/A</v>
        <stp/>
        <stp>BDH|11527785019991411027</stp>
        <tr r="N57" s="13"/>
      </tp>
      <tp t="e">
        <v>#N/A</v>
        <stp/>
        <stp>BDH|16238857522472603818</stp>
        <tr r="D13" s="22"/>
      </tp>
      <tp t="e">
        <v>#N/A</v>
        <stp/>
        <stp>BDH|14392681909000173417</stp>
        <tr r="L14" s="23"/>
      </tp>
      <tp t="e">
        <v>#N/A</v>
        <stp/>
        <stp>BDH|14237338972385533343</stp>
        <tr r="I14" s="10"/>
      </tp>
      <tp t="e">
        <v>#N/A</v>
        <stp/>
        <stp>BDH|12017934017029191574</stp>
        <tr r="E29" s="34"/>
      </tp>
      <tp t="e">
        <v>#N/A</v>
        <stp/>
        <stp>BDH|13870929489376541241</stp>
        <tr r="T15" s="5"/>
      </tp>
      <tp t="e">
        <v>#N/A</v>
        <stp/>
        <stp>BDH|11187372812453605601</stp>
        <tr r="R76" s="18"/>
      </tp>
      <tp t="e">
        <v>#N/A</v>
        <stp/>
        <stp>BDH|15813198546475075355</stp>
        <tr r="O22" s="17"/>
      </tp>
      <tp t="e">
        <v>#N/A</v>
        <stp/>
        <stp>BDH|15780491044793095089</stp>
        <tr r="N168" s="18"/>
      </tp>
      <tp t="e">
        <v>#N/A</v>
        <stp/>
        <stp>BDH|10817479330491857057</stp>
        <tr r="N44" s="21"/>
      </tp>
      <tp t="e">
        <v>#N/A</v>
        <stp/>
        <stp>BDH|18274658299130509193</stp>
        <tr r="G20" s="10"/>
      </tp>
      <tp t="e">
        <v>#N/A</v>
        <stp/>
        <stp>BDH|12792569315988027866</stp>
        <tr r="N23" s="13"/>
      </tp>
      <tp t="e">
        <v>#N/A</v>
        <stp/>
        <stp>BDH|15823489723471666474</stp>
        <tr r="U26" s="7"/>
      </tp>
      <tp t="e">
        <v>#N/A</v>
        <stp/>
        <stp>BDH|14724578328962275789</stp>
        <tr r="T83" s="18"/>
      </tp>
      <tp t="e">
        <v>#N/A</v>
        <stp/>
        <stp>BDH|10166535970976405246</stp>
        <tr r="W151" s="18"/>
      </tp>
      <tp t="e">
        <v>#N/A</v>
        <stp/>
        <stp>BDH|11654333565012089022</stp>
        <tr r="J24" s="29"/>
      </tp>
      <tp t="e">
        <v>#N/A</v>
        <stp/>
        <stp>BDH|13080642227773083219</stp>
        <tr r="AA23" s="17"/>
      </tp>
      <tp t="e">
        <v>#N/A</v>
        <stp/>
        <stp>BDH|10664882919048389760</stp>
        <tr r="H145" s="18"/>
      </tp>
      <tp t="e">
        <v>#N/A</v>
        <stp/>
        <stp>BDH|12893241300965854368</stp>
        <tr r="P31" s="6"/>
      </tp>
      <tp t="e">
        <v>#N/A</v>
        <stp/>
        <stp>BDH|17784594945339085994</stp>
        <tr r="V47" s="18"/>
      </tp>
      <tp t="e">
        <v>#N/A</v>
        <stp/>
        <stp>BDH|16071005721084019630</stp>
        <tr r="M10" s="22"/>
      </tp>
      <tp t="e">
        <v>#N/A</v>
        <stp/>
        <stp>BDH|11462903000648666606</stp>
        <tr r="U23" s="9"/>
      </tp>
      <tp t="e">
        <v>#N/A</v>
        <stp/>
        <stp>BDH|18354245234226747965</stp>
        <tr r="S36" s="6"/>
      </tp>
      <tp t="e">
        <v>#N/A</v>
        <stp/>
        <stp>BDH|14294651714786651378</stp>
        <tr r="L66" s="21"/>
      </tp>
      <tp t="e">
        <v>#N/A</v>
        <stp/>
        <stp>BDH|13457330033147053263</stp>
        <tr r="D9" s="18"/>
      </tp>
      <tp t="e">
        <v>#N/A</v>
        <stp/>
        <stp>BDH|13935789535948049966</stp>
        <tr r="O7" s="11"/>
      </tp>
      <tp t="e">
        <v>#N/A</v>
        <stp/>
        <stp>BDH|10480349251186360607</stp>
        <tr r="L26" s="29"/>
      </tp>
      <tp t="e">
        <v>#N/A</v>
        <stp/>
        <stp>BDH|16913153369225070276</stp>
        <tr r="W28" s="22"/>
      </tp>
      <tp t="e">
        <v>#N/A</v>
        <stp/>
        <stp>BDH|13182067344047688677</stp>
        <tr r="P54" s="13"/>
      </tp>
      <tp t="e">
        <v>#N/A</v>
        <stp/>
        <stp>BDH|10769425373072249767</stp>
        <tr r="P6" s="27"/>
      </tp>
      <tp t="e">
        <v>#N/A</v>
        <stp/>
        <stp>BDH|11671567017253327060</stp>
        <tr r="F82" s="12"/>
      </tp>
      <tp t="e">
        <v>#N/A</v>
        <stp/>
        <stp>BDH|18277454726509753144</stp>
        <tr r="O103" s="18"/>
      </tp>
      <tp t="e">
        <v>#N/A</v>
        <stp/>
        <stp>BDH|16799503967162584174</stp>
        <tr r="X29" s="29"/>
        <tr r="X7" s="29"/>
      </tp>
      <tp t="e">
        <v>#N/A</v>
        <stp/>
        <stp>BDH|16159951583295201470</stp>
        <tr r="T176" s="18"/>
      </tp>
      <tp t="e">
        <v>#N/A</v>
        <stp/>
        <stp>BDH|14881599670527173725</stp>
        <tr r="Q12" s="14"/>
      </tp>
      <tp t="e">
        <v>#N/A</v>
        <stp/>
        <stp>BDH|14016541753416309461</stp>
        <tr r="T26" s="26"/>
      </tp>
      <tp t="e">
        <v>#N/A</v>
        <stp/>
        <stp>BDH|17067053007294856587</stp>
        <tr r="D52" s="13"/>
        <tr r="D10" s="3"/>
      </tp>
      <tp t="e">
        <v>#N/A</v>
        <stp/>
        <stp>BDH|14707511062145272442</stp>
        <tr r="Y75" s="24"/>
      </tp>
      <tp t="e">
        <v>#N/A</v>
        <stp/>
        <stp>BDH|16282638013131843680</stp>
        <tr r="O17" s="13"/>
      </tp>
      <tp t="e">
        <v>#N/A</v>
        <stp/>
        <stp>BDH|16770244654064352363</stp>
        <tr r="O152" s="18"/>
      </tp>
      <tp t="e">
        <v>#N/A</v>
        <stp/>
        <stp>BDH|17274411814684276072</stp>
        <tr r="G12" s="7"/>
      </tp>
      <tp t="e">
        <v>#N/A</v>
        <stp/>
        <stp>BDH|11478300043656282602</stp>
        <tr r="P18" s="22"/>
      </tp>
      <tp t="e">
        <v>#N/A</v>
        <stp/>
        <stp>BDH|11487792169774674271</stp>
        <tr r="L46" s="22"/>
      </tp>
      <tp t="e">
        <v>#N/A</v>
        <stp/>
        <stp>BDH|14155632122670425618</stp>
        <tr r="T63" s="10"/>
      </tp>
      <tp t="e">
        <v>#N/A</v>
        <stp/>
        <stp>BDH|16870123612902950243</stp>
        <tr r="W19" s="26"/>
      </tp>
      <tp t="e">
        <v>#N/A</v>
        <stp/>
        <stp>BDH|10886514532700770097</stp>
        <tr r="H13" s="25"/>
      </tp>
      <tp t="e">
        <v>#N/A</v>
        <stp/>
        <stp>BDH|15285176715306630535</stp>
        <tr r="E41" s="21"/>
      </tp>
      <tp t="e">
        <v>#N/A</v>
        <stp/>
        <stp>BDH|11053549485092118857</stp>
        <tr r="L56" s="13"/>
      </tp>
      <tp t="e">
        <v>#N/A</v>
        <stp/>
        <stp>BDH|15321854417742227869</stp>
        <tr r="F20" s="11"/>
      </tp>
      <tp t="e">
        <v>#N/A</v>
        <stp/>
        <stp>BDH|15940780329946534084</stp>
        <tr r="Y20" s="12"/>
      </tp>
      <tp t="e">
        <v>#N/A</v>
        <stp/>
        <stp>BDH|13982041849255763464</stp>
        <tr r="O40" s="22"/>
      </tp>
      <tp t="e">
        <v>#N/A</v>
        <stp/>
        <stp>BDH|18085041896207424030</stp>
        <tr r="Y12" s="24"/>
      </tp>
      <tp t="e">
        <v>#N/A</v>
        <stp/>
        <stp>BDH|15866494613926759007</stp>
        <tr r="V17" s="5"/>
        <tr r="V33" s="6"/>
      </tp>
      <tp t="e">
        <v>#N/A</v>
        <stp/>
        <stp>BDH|16673151417461993182</stp>
        <tr r="J19" s="26"/>
      </tp>
      <tp t="e">
        <v>#N/A</v>
        <stp/>
        <stp>BDH|13582042320387335072</stp>
        <tr r="R93" s="17"/>
        <tr r="R13" s="28"/>
      </tp>
      <tp t="e">
        <v>#N/A</v>
        <stp/>
        <stp>BDH|15386206415819190927</stp>
        <tr r="W61" s="18"/>
      </tp>
      <tp t="e">
        <v>#N/A</v>
        <stp/>
        <stp>BDH|16275667473954678541</stp>
        <tr r="O8" s="18"/>
      </tp>
      <tp t="e">
        <v>#N/A</v>
        <stp/>
        <stp>BDH|10678338756014088468</stp>
        <tr r="O14" s="11"/>
      </tp>
      <tp t="e">
        <v>#N/A</v>
        <stp/>
        <stp>BDH|14392180932641971156</stp>
        <tr r="R41" s="21"/>
      </tp>
      <tp t="e">
        <v>#N/A</v>
        <stp/>
        <stp>BDH|12121213407967509176</stp>
        <tr r="I26" s="6"/>
      </tp>
      <tp t="e">
        <v>#N/A</v>
        <stp/>
        <stp>BDH|16516346144251895682</stp>
        <tr r="R44" s="21"/>
      </tp>
      <tp t="e">
        <v>#N/A</v>
        <stp/>
        <stp>BDH|15718488892128922614</stp>
        <tr r="R21" s="21"/>
      </tp>
      <tp t="e">
        <v>#N/A</v>
        <stp/>
        <stp>BDH|12587700371601771564</stp>
        <tr r="J54" s="24"/>
      </tp>
      <tp t="e">
        <v>#N/A</v>
        <stp/>
        <stp>BDH|13541629534079524932</stp>
        <tr r="K139" s="18"/>
      </tp>
      <tp t="e">
        <v>#N/A</v>
        <stp/>
        <stp>BDH|14570277698861751880</stp>
        <tr r="G103" s="12"/>
      </tp>
      <tp t="e">
        <v>#N/A</v>
        <stp/>
        <stp>BDH|12363419116295336422</stp>
        <tr r="M9" s="8"/>
        <tr r="K49" s="6"/>
      </tp>
      <tp t="e">
        <v>#N/A</v>
        <stp/>
        <stp>BDH|12491917791155218132</stp>
        <tr r="X7" s="23"/>
      </tp>
      <tp t="e">
        <v>#N/A</v>
        <stp/>
        <stp>BDH|16797002393999199007</stp>
        <tr r="Z124" s="18"/>
      </tp>
      <tp t="e">
        <v>#N/A</v>
        <stp/>
        <stp>BDH|13641099901675904028</stp>
        <tr r="AA26" s="18"/>
      </tp>
      <tp t="e">
        <v>#N/A</v>
        <stp/>
        <stp>BDH|11163251148532196388</stp>
        <tr r="D40" s="13"/>
      </tp>
      <tp t="e">
        <v>#N/A</v>
        <stp/>
        <stp>BDH|18330753956978098453</stp>
        <tr r="I7" s="20"/>
        <tr r="I109" s="18"/>
      </tp>
      <tp t="e">
        <v>#N/A</v>
        <stp/>
        <stp>BDH|16100074245347234347</stp>
        <tr r="W26" s="29"/>
      </tp>
      <tp t="e">
        <v>#N/A</v>
        <stp/>
        <stp>BDH|11329925297072053530</stp>
        <tr r="N169" s="18"/>
      </tp>
      <tp t="e">
        <v>#N/A</v>
        <stp/>
        <stp>BDH|16694033536515489625</stp>
        <tr r="N12" s="17"/>
      </tp>
      <tp t="e">
        <v>#N/A</v>
        <stp/>
        <stp>BDH|13810329690149998662</stp>
        <tr r="G39" s="29"/>
        <tr r="G31" s="29"/>
        <tr r="F52" s="6"/>
        <tr r="G10" s="2"/>
        <tr r="F11" s="5"/>
      </tp>
      <tp t="e">
        <v>#N/A</v>
        <stp/>
        <stp>BDH|17604344352613305460</stp>
        <tr r="T15" s="4"/>
      </tp>
      <tp t="e">
        <v>#N/A</v>
        <stp/>
        <stp>BDH|17456406944724407515</stp>
        <tr r="F145" s="18"/>
      </tp>
      <tp t="e">
        <v>#N/A</v>
        <stp/>
        <stp>BDH|11308130295639246622</stp>
        <tr r="N15" s="34"/>
      </tp>
      <tp t="e">
        <v>#N/A</v>
        <stp/>
        <stp>BDH|12706726900365147611</stp>
        <tr r="G20" s="26"/>
      </tp>
      <tp t="e">
        <v>#N/A</v>
        <stp/>
        <stp>BDH|11458811328514873906</stp>
        <tr r="Q35" s="34"/>
      </tp>
      <tp t="e">
        <v>#N/A</v>
        <stp/>
        <stp>BDH|13700716643791439742</stp>
        <tr r="I10" s="24"/>
      </tp>
      <tp t="e">
        <v>#N/A</v>
        <stp/>
        <stp>BDH|16410461915094617146</stp>
        <tr r="Y11" s="29"/>
      </tp>
      <tp t="e">
        <v>#N/A</v>
        <stp/>
        <stp>BDH|13927324147973881110</stp>
        <tr r="Z44" s="22"/>
      </tp>
      <tp t="e">
        <v>#N/A</v>
        <stp/>
        <stp>BDH|11484970661180669818</stp>
        <tr r="M81" s="12"/>
      </tp>
      <tp t="e">
        <v>#N/A</v>
        <stp/>
        <stp>BDH|16344074749561106592</stp>
        <tr r="V9" s="18"/>
      </tp>
      <tp t="e">
        <v>#N/A</v>
        <stp/>
        <stp>BDH|10776643101336580629</stp>
        <tr r="T16" s="14"/>
      </tp>
      <tp t="e">
        <v>#N/A</v>
        <stp/>
        <stp>BDH|18006772594534703411</stp>
        <tr r="D16" s="11"/>
      </tp>
      <tp t="e">
        <v>#N/A</v>
        <stp/>
        <stp>BDH|14219356583791059810</stp>
        <tr r="P51" s="22"/>
      </tp>
      <tp t="e">
        <v>#N/A</v>
        <stp/>
        <stp>BDH|18063111533858597423</stp>
        <tr r="F14" s="10"/>
      </tp>
      <tp t="e">
        <v>#N/A</v>
        <stp/>
        <stp>BDH|13027248241916067500</stp>
        <tr r="M52" s="18"/>
      </tp>
      <tp t="e">
        <v>#N/A</v>
        <stp/>
        <stp>BDH|14193948264084445901</stp>
        <tr r="R60" s="11"/>
      </tp>
      <tp t="e">
        <v>#N/A</v>
        <stp/>
        <stp>BDH|14087297376993234481</stp>
        <tr r="T55" s="18"/>
      </tp>
      <tp t="e">
        <v>#N/A</v>
        <stp/>
        <stp>BDH|12003253167305013575</stp>
        <tr r="Q11" s="29"/>
      </tp>
      <tp t="e">
        <v>#N/A</v>
        <stp/>
        <stp>BDH|15219604645652469361</stp>
        <tr r="AA149" s="18"/>
      </tp>
      <tp t="e">
        <v>#N/A</v>
        <stp/>
        <stp>BDH|17662338660081521547</stp>
        <tr r="Y39" s="12"/>
      </tp>
      <tp t="e">
        <v>#N/A</v>
        <stp/>
        <stp>BDH|16386916204129269002</stp>
        <tr r="Q62" s="17"/>
      </tp>
      <tp t="e">
        <v>#N/A</v>
        <stp/>
        <stp>BDH|11208705177656315128</stp>
        <tr r="F14" s="27"/>
        <tr r="F28" s="25"/>
      </tp>
      <tp t="e">
        <v>#N/A</v>
        <stp/>
        <stp>BDH|15261752827804353273</stp>
        <tr r="O93" s="17"/>
        <tr r="O13" s="28"/>
      </tp>
      <tp t="e">
        <v>#N/A</v>
        <stp/>
        <stp>BDH|12936799473154390048</stp>
        <tr r="D32" s="26"/>
      </tp>
      <tp t="e">
        <v>#N/A</v>
        <stp/>
        <stp>BDH|16959586849512557399</stp>
        <tr r="J106" s="12"/>
      </tp>
      <tp t="e">
        <v>#N/A</v>
        <stp/>
        <stp>BDH|10929022140090781282</stp>
        <tr r="M72" s="12"/>
      </tp>
      <tp t="e">
        <v>#N/A</v>
        <stp/>
        <stp>BDH|17369031597548191022</stp>
        <tr r="H18" s="22"/>
      </tp>
      <tp t="e">
        <v>#N/A</v>
        <stp/>
        <stp>BDH|11158437249617750088</stp>
        <tr r="O19" s="34"/>
      </tp>
      <tp t="e">
        <v>#N/A</v>
        <stp/>
        <stp>BDH|10683138169812802301</stp>
        <tr r="W40" s="21"/>
      </tp>
      <tp t="e">
        <v>#N/A</v>
        <stp/>
        <stp>BDH|10619718223757624464</stp>
        <tr r="J9" s="26"/>
      </tp>
      <tp t="e">
        <v>#N/A</v>
        <stp/>
        <stp>BDH|15702311478105985230</stp>
        <tr r="N71" s="18"/>
      </tp>
      <tp t="e">
        <v>#N/A</v>
        <stp/>
        <stp>BDH|16263026823513780102</stp>
        <tr r="F133" s="18"/>
      </tp>
      <tp t="e">
        <v>#N/A</v>
        <stp/>
        <stp>BDH|11593452384463153815</stp>
        <tr r="J9" s="12"/>
      </tp>
      <tp t="e">
        <v>#N/A</v>
        <stp/>
        <stp>BDH|10471565737832237236</stp>
        <tr r="C124" s="18"/>
      </tp>
      <tp t="e">
        <v>#N/A</v>
        <stp/>
        <stp>BDH|12744507659555337198</stp>
        <tr r="X16" s="23"/>
      </tp>
      <tp t="e">
        <v>#N/A</v>
        <stp/>
        <stp>BDH|13679298714941933769</stp>
        <tr r="C7" s="20"/>
        <tr r="C109" s="18"/>
      </tp>
      <tp t="e">
        <v>#N/A</v>
        <stp/>
        <stp>BDH|11179086940034896754</stp>
        <tr r="G7" s="11"/>
      </tp>
      <tp t="e">
        <v>#N/A</v>
        <stp/>
        <stp>BDH|10492410331751102012</stp>
        <tr r="N84" s="12"/>
      </tp>
      <tp t="e">
        <v>#N/A</v>
        <stp/>
        <stp>BDH|10020629135360614355</stp>
        <tr r="L56" s="17"/>
      </tp>
      <tp t="e">
        <v>#N/A</v>
        <stp/>
        <stp>BDH|18049297528029704720</stp>
        <tr r="D17" s="21"/>
      </tp>
      <tp t="e">
        <v>#N/A</v>
        <stp/>
        <stp>BDH|10272765543435640051</stp>
        <tr r="L33" s="21"/>
      </tp>
      <tp t="e">
        <v>#N/A</v>
        <stp/>
        <stp>BDH|17225340600023533172</stp>
        <tr r="R16" s="23"/>
      </tp>
      <tp t="e">
        <v>#N/A</v>
        <stp/>
        <stp>BDH|13768788774076891375</stp>
        <tr r="E34" s="26"/>
      </tp>
      <tp t="e">
        <v>#N/A</v>
        <stp/>
        <stp>BDH|14913123338685117564</stp>
        <tr r="T12" s="10"/>
      </tp>
      <tp t="e">
        <v>#N/A</v>
        <stp/>
        <stp>BDH|11728545377833275628</stp>
        <tr r="J15" s="13"/>
      </tp>
      <tp t="e">
        <v>#N/A</v>
        <stp/>
        <stp>BDH|14920324758543748707</stp>
        <tr r="Q21" s="34"/>
      </tp>
      <tp t="e">
        <v>#N/A</v>
        <stp/>
        <stp>BDH|11445873599614644285</stp>
        <tr r="N80" s="12"/>
      </tp>
      <tp t="e">
        <v>#N/A</v>
        <stp/>
        <stp>BDH|10336022466431640151</stp>
        <tr r="Y40" s="13"/>
        <tr r="W36" s="10"/>
        <tr r="W28" s="11"/>
      </tp>
      <tp t="e">
        <v>#N/A</v>
        <stp/>
        <stp>BDH|12121181121274562390</stp>
        <tr r="V51" s="17"/>
      </tp>
      <tp t="e">
        <v>#N/A</v>
        <stp/>
        <stp>BDH|14147442890328439751</stp>
        <tr r="E55" s="34"/>
      </tp>
      <tp t="e">
        <v>#N/A</v>
        <stp/>
        <stp>BDH|15434165939432879372</stp>
        <tr r="W16" s="30"/>
      </tp>
      <tp t="e">
        <v>#N/A</v>
        <stp/>
        <stp>BDH|12352254145680657214</stp>
        <tr r="S88" s="12"/>
      </tp>
      <tp t="e">
        <v>#N/A</v>
        <stp/>
        <stp>BDH|10402818106959308747</stp>
        <tr r="F63" s="12"/>
      </tp>
      <tp t="e">
        <v>#N/A</v>
        <stp/>
        <stp>BDH|13143259574537592717</stp>
        <tr r="R13" s="18"/>
      </tp>
      <tp t="e">
        <v>#N/A</v>
        <stp/>
        <stp>BDH|16277507346559042807</stp>
        <tr r="Y155" s="18"/>
      </tp>
      <tp t="e">
        <v>#N/A</v>
        <stp/>
        <stp>BDH|14057051841434703275</stp>
        <tr r="X53" s="12"/>
      </tp>
      <tp t="e">
        <v>#N/A</v>
        <stp/>
        <stp>BDH|16331825675506369930</stp>
        <tr r="Y51" s="17"/>
      </tp>
      <tp t="e">
        <v>#N/A</v>
        <stp/>
        <stp>BDH|14481005277701489437</stp>
        <tr r="P6" s="20"/>
        <tr r="P108" s="18"/>
      </tp>
      <tp t="e">
        <v>#N/A</v>
        <stp/>
        <stp>BDH|12337907047400733976</stp>
        <tr r="D33" s="12"/>
      </tp>
      <tp t="e">
        <v>#N/A</v>
        <stp/>
        <stp>BDH|16059703424412108717</stp>
        <tr r="G46" s="6"/>
      </tp>
      <tp t="e">
        <v>#N/A</v>
        <stp/>
        <stp>BDH|11759648104654470547</stp>
        <tr r="C28" s="26"/>
      </tp>
      <tp t="e">
        <v>#N/A</v>
        <stp/>
        <stp>BDH|17403446431987712115</stp>
        <tr r="N51" s="12"/>
      </tp>
      <tp t="e">
        <v>#N/A</v>
        <stp/>
        <stp>BDH|15805828699344157655</stp>
        <tr r="H47" s="22"/>
      </tp>
      <tp t="e">
        <v>#N/A</v>
        <stp/>
        <stp>BDH|16094341146780517704</stp>
        <tr r="O77" s="24"/>
      </tp>
      <tp t="e">
        <v>#N/A</v>
        <stp/>
        <stp>BDH|15547363864524030208</stp>
        <tr r="G19" s="11"/>
      </tp>
      <tp t="e">
        <v>#N/A</v>
        <stp/>
        <stp>BDH|12065481833106874548</stp>
        <tr r="V34" s="12"/>
      </tp>
      <tp t="e">
        <v>#N/A</v>
        <stp/>
        <stp>BDH|11626601696008525028</stp>
        <tr r="G29" s="12"/>
      </tp>
      <tp t="e">
        <v>#N/A</v>
        <stp/>
        <stp>BDH|12117219711713676401</stp>
        <tr r="F25" s="34"/>
      </tp>
      <tp t="e">
        <v>#N/A</v>
        <stp/>
        <stp>BDH|11549153990947239855</stp>
        <tr r="L33" s="13"/>
        <tr r="J29" s="10"/>
      </tp>
      <tp t="e">
        <v>#N/A</v>
        <stp/>
        <stp>BDH|16780827332799646264</stp>
        <tr r="F35" s="18"/>
      </tp>
      <tp t="e">
        <v>#N/A</v>
        <stp/>
        <stp>BDH|16937301942941922651</stp>
        <tr r="K44" s="24"/>
      </tp>
      <tp t="e">
        <v>#N/A</v>
        <stp/>
        <stp>BDH|13128348209383375586</stp>
        <tr r="N27" s="18"/>
      </tp>
      <tp t="e">
        <v>#N/A</v>
        <stp/>
        <stp>BDH|18165852364096235658</stp>
        <tr r="J13" s="2"/>
      </tp>
      <tp t="e">
        <v>#N/A</v>
        <stp/>
        <stp>BDH|17517265251817511102</stp>
        <tr r="Y61" s="17"/>
      </tp>
      <tp t="e">
        <v>#N/A</v>
        <stp/>
        <stp>BDH|12766150375847777576</stp>
        <tr r="W74" s="12"/>
      </tp>
      <tp t="e">
        <v>#N/A</v>
        <stp/>
        <stp>BDH|13759158013786258341</stp>
        <tr r="T99" s="12"/>
      </tp>
      <tp t="e">
        <v>#N/A</v>
        <stp/>
        <stp>BDH|15630882827080877968</stp>
        <tr r="I28" s="22"/>
      </tp>
      <tp t="e">
        <v>#N/A</v>
        <stp/>
        <stp>BDH|16900212069570724418</stp>
        <tr r="R11" s="7"/>
      </tp>
      <tp t="e">
        <v>#N/A</v>
        <stp/>
        <stp>BDH|11095006954931281312</stp>
        <tr r="C127" s="18"/>
      </tp>
      <tp t="e">
        <v>#N/A</v>
        <stp/>
        <stp>BDH|15704038864090222556</stp>
        <tr r="O40" s="24"/>
      </tp>
      <tp t="e">
        <v>#N/A</v>
        <stp/>
        <stp>BDH|11384079674660332048</stp>
        <tr r="H104" s="12"/>
      </tp>
      <tp t="e">
        <v>#N/A</v>
        <stp/>
        <stp>BDH|13782666056330881689</stp>
        <tr r="P38" s="18"/>
      </tp>
      <tp t="e">
        <v>#N/A</v>
        <stp/>
        <stp>BDH|10432660774295730261</stp>
        <tr r="S97" s="12"/>
      </tp>
      <tp t="e">
        <v>#N/A</v>
        <stp/>
        <stp>BDH|14511842479968687591</stp>
        <tr r="I43" s="17"/>
        <tr r="I9" s="25"/>
      </tp>
      <tp t="e">
        <v>#N/A</v>
        <stp/>
        <stp>BDH|11432245468340613397</stp>
        <tr r="O16" s="6"/>
      </tp>
      <tp t="e">
        <v>#N/A</v>
        <stp/>
        <stp>BDH|15047525720303673736</stp>
        <tr r="V47" s="13"/>
      </tp>
      <tp t="e">
        <v>#N/A</v>
        <stp/>
        <stp>BDH|17197514986958629475</stp>
        <tr r="AA134" s="18"/>
      </tp>
      <tp t="e">
        <v>#N/A</v>
        <stp/>
        <stp>BDH|12200222375054670547</stp>
        <tr r="AA44" s="21"/>
      </tp>
      <tp t="e">
        <v>#N/A</v>
        <stp/>
        <stp>BDH|18041161577538574035</stp>
        <tr r="C12" s="14"/>
      </tp>
      <tp t="e">
        <v>#N/A</v>
        <stp/>
        <stp>BDH|18334400184201816382</stp>
        <tr r="W52" s="21"/>
      </tp>
      <tp t="e">
        <v>#N/A</v>
        <stp/>
        <stp>BDH|16129192655217233380</stp>
        <tr r="V49" s="4"/>
      </tp>
      <tp t="e">
        <v>#N/A</v>
        <stp/>
        <stp>BDH|12451270677024379503</stp>
        <tr r="F21" s="4"/>
      </tp>
      <tp t="e">
        <v>#N/A</v>
        <stp/>
        <stp>BDH|11332095179410178054</stp>
        <tr r="T104" s="12"/>
      </tp>
      <tp t="e">
        <v>#N/A</v>
        <stp/>
        <stp>BDH|15593642316111994592</stp>
        <tr r="L157" s="18"/>
      </tp>
      <tp t="e">
        <v>#N/A</v>
        <stp/>
        <stp>BDH|17687280228865907481</stp>
        <tr r="Y55" s="18"/>
      </tp>
      <tp t="e">
        <v>#N/A</v>
        <stp/>
        <stp>BDH|13921743031036292799</stp>
        <tr r="I38" s="29"/>
        <tr r="I18" s="29"/>
      </tp>
      <tp t="e">
        <v>#N/A</v>
        <stp/>
        <stp>BDH|13138372935981085440</stp>
        <tr r="R86" s="18"/>
      </tp>
      <tp t="e">
        <v>#N/A</v>
        <stp/>
        <stp>BDH|17577571550057563600</stp>
        <tr r="V16" s="25"/>
      </tp>
      <tp t="e">
        <v>#N/A</v>
        <stp/>
        <stp>BDH|10643105956625377747</stp>
        <tr r="Y58" s="13"/>
      </tp>
      <tp t="e">
        <v>#N/A</v>
        <stp/>
        <stp>BDH|14021388240901642490</stp>
        <tr r="AA41" s="22"/>
      </tp>
      <tp t="e">
        <v>#N/A</v>
        <stp/>
        <stp>BDH|12477651142415637326</stp>
        <tr r="Z49" s="21"/>
      </tp>
      <tp t="e">
        <v>#N/A</v>
        <stp/>
        <stp>BDH|15641757485428774467</stp>
        <tr r="V27" s="18"/>
      </tp>
      <tp t="e">
        <v>#N/A</v>
        <stp/>
        <stp>BDH|14704409764591688123</stp>
        <tr r="C51" s="17"/>
      </tp>
      <tp t="e">
        <v>#N/A</v>
        <stp/>
        <stp>BDH|13013846320068369707</stp>
        <tr r="W162" s="18"/>
      </tp>
      <tp t="e">
        <v>#N/A</v>
        <stp/>
        <stp>BDH|10603893748862748879</stp>
        <tr r="O160" s="18"/>
      </tp>
      <tp t="e">
        <v>#N/A</v>
        <stp/>
        <stp>BDH|13542772015111350234</stp>
        <tr r="J8" s="14"/>
      </tp>
      <tp t="e">
        <v>#N/A</v>
        <stp/>
        <stp>BDH|12788703218353883105</stp>
        <tr r="L25" s="13"/>
      </tp>
      <tp t="e">
        <v>#N/A</v>
        <stp/>
        <stp>BDH|17259017279915892357</stp>
        <tr r="R91" s="17"/>
      </tp>
      <tp t="e">
        <v>#N/A</v>
        <stp/>
        <stp>BDH|14709671451738575934</stp>
        <tr r="P9" s="21"/>
      </tp>
      <tp t="e">
        <v>#N/A</v>
        <stp/>
        <stp>BDH|11151675237324742612</stp>
        <tr r="K25" s="7"/>
      </tp>
      <tp t="e">
        <v>#N/A</v>
        <stp/>
        <stp>BDH|16410163575115577351</stp>
        <tr r="R6" s="19"/>
        <tr r="R35" s="17"/>
        <tr r="R16" s="3"/>
      </tp>
      <tp t="e">
        <v>#N/A</v>
        <stp/>
        <stp>BDH|13704492621255839618</stp>
        <tr r="H21" s="21"/>
      </tp>
      <tp t="e">
        <v>#N/A</v>
        <stp/>
        <stp>BDH|15108826235571815989</stp>
        <tr r="E76" s="24"/>
      </tp>
      <tp t="e">
        <v>#N/A</v>
        <stp/>
        <stp>BDH|14294546883406165927</stp>
        <tr r="O36" s="13"/>
        <tr r="M24" s="10"/>
        <tr r="M46" s="4"/>
      </tp>
      <tp t="e">
        <v>#N/A</v>
        <stp/>
        <stp>BDH|13431355367233491347</stp>
        <tr r="X23" s="26"/>
      </tp>
      <tp t="e">
        <v>#N/A</v>
        <stp/>
        <stp>BDH|10596543296089767365</stp>
        <tr r="S76" s="17"/>
        <tr r="P9" s="9"/>
        <tr r="P9" s="5"/>
      </tp>
      <tp t="e">
        <v>#N/A</v>
        <stp/>
        <stp>BDH|16858956292503866318</stp>
        <tr r="D32" s="13"/>
      </tp>
      <tp t="e">
        <v>#N/A</v>
        <stp/>
        <stp>BDH|13633026827841301662</stp>
        <tr r="AA17" s="18"/>
      </tp>
      <tp t="e">
        <v>#N/A</v>
        <stp/>
        <stp>BDH|13243366845384689616</stp>
        <tr r="M101" s="12"/>
      </tp>
      <tp t="e">
        <v>#N/A</v>
        <stp/>
        <stp>BDH|17298635148353909060</stp>
        <tr r="U23" s="18"/>
      </tp>
      <tp t="e">
        <v>#N/A</v>
        <stp/>
        <stp>BDH|17446202652855130312</stp>
        <tr r="J33" s="6"/>
        <tr r="J17" s="5"/>
      </tp>
      <tp t="e">
        <v>#N/A</v>
        <stp/>
        <stp>BDH|13685300564470271064</stp>
        <tr r="C65" s="34"/>
      </tp>
      <tp t="e">
        <v>#N/A</v>
        <stp/>
        <stp>BDH|17628607102522076529</stp>
        <tr r="L12" s="30"/>
      </tp>
      <tp t="e">
        <v>#N/A</v>
        <stp/>
        <stp>BDH|13555508189971385992</stp>
        <tr r="C33" s="18"/>
      </tp>
      <tp t="e">
        <v>#N/A</v>
        <stp/>
        <stp>BDH|16063445707921635537</stp>
        <tr r="E30" s="11"/>
        <tr r="E38" s="10"/>
      </tp>
      <tp t="e">
        <v>#N/A</v>
        <stp/>
        <stp>BDH|13481459520882537127</stp>
        <tr r="Q35" s="21"/>
      </tp>
      <tp t="e">
        <v>#N/A</v>
        <stp/>
        <stp>BDH|10749276034390391715</stp>
        <tr r="U77" s="17"/>
        <tr r="U19" s="3"/>
      </tp>
      <tp t="e">
        <v>#N/A</v>
        <stp/>
        <stp>BDH|12930117517147811319</stp>
        <tr r="F17" s="18"/>
      </tp>
      <tp t="e">
        <v>#N/A</v>
        <stp/>
        <stp>BDH|14450748950743411327</stp>
        <tr r="T34" s="21"/>
      </tp>
      <tp t="e">
        <v>#N/A</v>
        <stp/>
        <stp>BDH|13560354134976049323</stp>
        <tr r="N17" s="5"/>
        <tr r="N33" s="6"/>
      </tp>
      <tp t="e">
        <v>#N/A</v>
        <stp/>
        <stp>BDH|14638559837572267605</stp>
        <tr r="E13" s="13"/>
      </tp>
      <tp t="e">
        <v>#N/A</v>
        <stp/>
        <stp>BDH|10997416870846845360</stp>
        <tr r="R19" s="34"/>
      </tp>
      <tp t="e">
        <v>#N/A</v>
        <stp/>
        <stp>BDH|18259807436114474167</stp>
        <tr r="H14" s="23"/>
      </tp>
      <tp t="e">
        <v>#N/A</v>
        <stp/>
        <stp>BDH|12134846807764790838</stp>
        <tr r="AA79" s="12"/>
      </tp>
      <tp t="e">
        <v>#N/A</v>
        <stp/>
        <stp>BDH|12035313234642374602</stp>
        <tr r="Q44" s="22"/>
      </tp>
      <tp t="e">
        <v>#N/A</v>
        <stp/>
        <stp>BDH|14145331103678321942</stp>
        <tr r="J33" s="21"/>
      </tp>
      <tp t="e">
        <v>#N/A</v>
        <stp/>
        <stp>BDH|10223746893008741042</stp>
        <tr r="H13" s="23"/>
        <tr r="F57" s="11"/>
        <tr r="F38" s="4"/>
      </tp>
      <tp t="e">
        <v>#N/A</v>
        <stp/>
        <stp>BDH|10866310396985990907</stp>
        <tr r="O26" s="29"/>
      </tp>
      <tp t="e">
        <v>#N/A</v>
        <stp/>
        <stp>BDH|17988829389160304171</stp>
        <tr r="R91" s="18"/>
      </tp>
      <tp t="e">
        <v>#N/A</v>
        <stp/>
        <stp>BDH|14229695743429670984</stp>
        <tr r="K26" s="26"/>
      </tp>
      <tp t="e">
        <v>#N/A</v>
        <stp/>
        <stp>BDH|16354143656585604113</stp>
        <tr r="Q137" s="18"/>
      </tp>
      <tp t="e">
        <v>#N/A</v>
        <stp/>
        <stp>BDH|17222772228400379483</stp>
        <tr r="Y61" s="18"/>
      </tp>
      <tp t="e">
        <v>#N/A</v>
        <stp/>
        <stp>BDH|16337256052073278402</stp>
        <tr r="C26" s="12"/>
      </tp>
      <tp t="e">
        <v>#N/A</v>
        <stp/>
        <stp>BDH|13136525657706283309</stp>
        <tr r="AA51" s="18"/>
      </tp>
      <tp t="e">
        <v>#N/A</v>
        <stp/>
        <stp>BDH|10536509364063647618</stp>
        <tr r="H132" s="18"/>
      </tp>
      <tp t="e">
        <v>#N/A</v>
        <stp/>
        <stp>BDH|17340150242323433762</stp>
        <tr r="K84" s="12"/>
      </tp>
      <tp t="e">
        <v>#N/A</v>
        <stp/>
        <stp>BDH|11574679181980040956</stp>
        <tr r="M52" s="21"/>
      </tp>
      <tp t="e">
        <v>#N/A</v>
        <stp/>
        <stp>BDH|16271550866043633011</stp>
        <tr r="J69" s="24"/>
      </tp>
      <tp t="e">
        <v>#N/A</v>
        <stp/>
        <stp>BDH|15843465402385267281</stp>
        <tr r="U61" s="13"/>
      </tp>
      <tp t="e">
        <v>#N/A</v>
        <stp/>
        <stp>BDH|15240754964497668536</stp>
        <tr r="W31" s="24"/>
      </tp>
      <tp t="e">
        <v>#N/A</v>
        <stp/>
        <stp>BDH|17425985482537031785</stp>
        <tr r="E145" s="18"/>
      </tp>
      <tp t="e">
        <v>#N/A</v>
        <stp/>
        <stp>BDH|13083061366245808610</stp>
        <tr r="I33" s="17"/>
      </tp>
      <tp t="e">
        <v>#N/A</v>
        <stp/>
        <stp>BDH|12646331189849306666</stp>
        <tr r="P27" s="26"/>
      </tp>
      <tp t="e">
        <v>#N/A</v>
        <stp/>
        <stp>BDH|12731600783868456295</stp>
        <tr r="H42" s="22"/>
      </tp>
      <tp t="e">
        <v>#N/A</v>
        <stp/>
        <stp>BDH|16867138650494085028</stp>
        <tr r="W116" s="18"/>
      </tp>
      <tp t="e">
        <v>#N/A</v>
        <stp/>
        <stp>BDH|17362758831927949279</stp>
        <tr r="L138" s="18"/>
      </tp>
      <tp t="e">
        <v>#N/A</v>
        <stp/>
        <stp>BDH|16986676473197562610</stp>
        <tr r="V40" s="29"/>
      </tp>
      <tp t="e">
        <v>#N/A</v>
        <stp/>
        <stp>BDH|13157018418587831392</stp>
        <tr r="AA76" s="18"/>
      </tp>
      <tp t="e">
        <v>#N/A</v>
        <stp/>
        <stp>BDH|11181293311977283323</stp>
        <tr r="J42" s="22"/>
      </tp>
      <tp t="e">
        <v>#N/A</v>
        <stp/>
        <stp>BDH|12690585211158406824</stp>
        <tr r="W91" s="17"/>
      </tp>
      <tp t="e">
        <v>#N/A</v>
        <stp/>
        <stp>BDH|18365013885203889567</stp>
        <tr r="D23" s="10"/>
      </tp>
      <tp t="e">
        <v>#N/A</v>
        <stp/>
        <stp>BDH|16967776820853609610</stp>
        <tr r="Q73" s="12"/>
      </tp>
      <tp t="e">
        <v>#N/A</v>
        <stp/>
        <stp>BDH|18362674085773183392</stp>
        <tr r="V69" s="24"/>
      </tp>
      <tp t="e">
        <v>#N/A</v>
        <stp/>
        <stp>BDH|13205234206953725492</stp>
        <tr r="E137" s="18"/>
      </tp>
      <tp t="e">
        <v>#N/A</v>
        <stp/>
        <stp>BDH|14817004874036515308</stp>
        <tr r="N98" s="18"/>
      </tp>
      <tp t="e">
        <v>#N/A</v>
        <stp/>
        <stp>BDH|11433596865836070219</stp>
        <tr r="Y102" s="18"/>
      </tp>
      <tp t="e">
        <v>#N/A</v>
        <stp/>
        <stp>BDH|16360405685654907866</stp>
        <tr r="G8" s="28"/>
      </tp>
      <tp t="e">
        <v>#N/A</v>
        <stp/>
        <stp>BDH|18034581552738165620</stp>
        <tr r="I61" s="21"/>
        <tr r="G25" s="2"/>
      </tp>
      <tp t="e">
        <v>#N/A</v>
        <stp/>
        <stp>BDH|14063967786930820318</stp>
        <tr r="Q29" s="34"/>
      </tp>
      <tp t="e">
        <v>#N/A</v>
        <stp/>
        <stp>BDH|17364527722681278782</stp>
        <tr r="I9" s="6"/>
      </tp>
      <tp t="e">
        <v>#N/A</v>
        <stp/>
        <stp>BDH|17459789454984148700</stp>
        <tr r="W46" s="24"/>
      </tp>
      <tp t="e">
        <v>#N/A</v>
        <stp/>
        <stp>BDH|16452558003100347589</stp>
        <tr r="F56" s="17"/>
      </tp>
      <tp t="e">
        <v>#N/A</v>
        <stp/>
        <stp>BDH|12781746636213557398</stp>
        <tr r="M56" s="11"/>
        <tr r="M24" s="4"/>
      </tp>
      <tp t="e">
        <v>#N/A</v>
        <stp/>
        <stp>BDH|17099378777665969000</stp>
        <tr r="F66" s="17"/>
      </tp>
      <tp t="e">
        <v>#N/A</v>
        <stp/>
        <stp>BDH|16194252948883256577</stp>
        <tr r="O65" s="10"/>
        <tr r="O39" s="4"/>
      </tp>
      <tp t="e">
        <v>#N/A</v>
        <stp/>
        <stp>BDH|11139322435201954666</stp>
        <tr r="E26" s="29"/>
      </tp>
      <tp t="e">
        <v>#N/A</v>
        <stp/>
        <stp>BDH|16567152669580022703</stp>
        <tr r="Y15" s="21"/>
      </tp>
      <tp t="e">
        <v>#N/A</v>
        <stp/>
        <stp>BDH|10138386926056458127</stp>
        <tr r="S58" s="21"/>
        <tr r="S37" s="25"/>
        <tr r="Q53" s="11"/>
        <tr r="Q31" s="4"/>
      </tp>
      <tp t="e">
        <v>#N/A</v>
        <stp/>
        <stp>BDH|13460375648414382618</stp>
        <tr r="Y9" s="21"/>
      </tp>
      <tp t="e">
        <v>#N/A</v>
        <stp/>
        <stp>BDH|10048716519881599145</stp>
        <tr r="H63" s="24"/>
      </tp>
      <tp t="e">
        <v>#N/A</v>
        <stp/>
        <stp>BDH|15719312552107859251</stp>
        <tr r="K31" s="17"/>
      </tp>
      <tp t="e">
        <v>#N/A</v>
        <stp/>
        <stp>BDH|10925503434728025842</stp>
        <tr r="N19" s="34"/>
      </tp>
      <tp t="e">
        <v>#N/A</v>
        <stp/>
        <stp>BDH|10761311429330218740</stp>
        <tr r="U33" s="22"/>
      </tp>
      <tp t="e">
        <v>#N/A</v>
        <stp/>
        <stp>BDH|12397260673004944568</stp>
        <tr r="U21" s="24"/>
      </tp>
      <tp t="e">
        <v>#N/A</v>
        <stp/>
        <stp>BDH|18115007625924836859</stp>
        <tr r="D11" s="18"/>
      </tp>
      <tp t="e">
        <v>#N/A</v>
        <stp/>
        <stp>BDH|16792608578026743710</stp>
        <tr r="R65" s="17"/>
      </tp>
      <tp t="e">
        <v>#N/A</v>
        <stp/>
        <stp>BDH|15544369713225988403</stp>
        <tr r="D13" s="5"/>
      </tp>
      <tp t="e">
        <v>#N/A</v>
        <stp/>
        <stp>BDH|14103026104300659284</stp>
        <tr r="X28" s="12"/>
      </tp>
      <tp t="e">
        <v>#N/A</v>
        <stp/>
        <stp>BDH|18316920774171840140</stp>
        <tr r="AA14" s="30"/>
      </tp>
      <tp t="e">
        <v>#N/A</v>
        <stp/>
        <stp>BDH|11929052011814232271</stp>
        <tr r="W41" s="17"/>
      </tp>
      <tp t="e">
        <v>#N/A</v>
        <stp/>
        <stp>BDH|16232988591405540562</stp>
        <tr r="O57" s="24"/>
      </tp>
      <tp t="e">
        <v>#N/A</v>
        <stp/>
        <stp>BDH|12482542310812187292</stp>
        <tr r="P35" s="4"/>
      </tp>
      <tp t="e">
        <v>#N/A</v>
        <stp/>
        <stp>BDH|17329386043976869083</stp>
        <tr r="K62" s="13"/>
        <tr r="I57" s="10"/>
        <tr r="I49" s="11"/>
        <tr r="I19" s="7"/>
        <tr r="I18" s="4"/>
        <tr r="I20" s="2"/>
      </tp>
      <tp t="e">
        <v>#N/A</v>
        <stp/>
        <stp>BDH|11698816264150919927</stp>
        <tr r="R36" s="21"/>
      </tp>
      <tp t="e">
        <v>#N/A</v>
        <stp/>
        <stp>BDH|12612544451047253398</stp>
        <tr r="G81" s="12"/>
      </tp>
      <tp t="e">
        <v>#N/A</v>
        <stp/>
        <stp>BDH|11984956390035500211</stp>
        <tr r="R28" s="17"/>
      </tp>
      <tp t="e">
        <v>#N/A</v>
        <stp/>
        <stp>BDH|14855079635118312913</stp>
        <tr r="Y51" s="12"/>
      </tp>
      <tp t="e">
        <v>#N/A</v>
        <stp/>
        <stp>BDH|17692076800336845716</stp>
        <tr r="K95" s="12"/>
      </tp>
      <tp t="e">
        <v>#N/A</v>
        <stp/>
        <stp>BDH|11554099855841991383</stp>
        <tr r="Y42" s="21"/>
      </tp>
      <tp t="e">
        <v>#N/A</v>
        <stp/>
        <stp>BDH|17725753621840960421</stp>
        <tr r="S6" s="6"/>
      </tp>
      <tp t="e">
        <v>#N/A</v>
        <stp/>
        <stp>BDH|15178179709975531729</stp>
        <tr r="Q46" s="24"/>
      </tp>
      <tp t="e">
        <v>#N/A</v>
        <stp/>
        <stp>BDH|13899711008135101784</stp>
        <tr r="F81" s="12"/>
      </tp>
      <tp t="e">
        <v>#N/A</v>
        <stp/>
        <stp>BDH|15564683438532455499</stp>
        <tr r="AA92" s="17"/>
        <tr r="AA7" s="27"/>
      </tp>
      <tp t="e">
        <v>#N/A</v>
        <stp/>
        <stp>BDH|13967437019145242598</stp>
        <tr r="O76" s="17"/>
        <tr r="L9" s="9"/>
        <tr r="L9" s="5"/>
      </tp>
      <tp t="e">
        <v>#N/A</v>
        <stp/>
        <stp>BDH|10137653899199645039</stp>
        <tr r="U32" s="13"/>
        <tr r="S28" s="10"/>
      </tp>
      <tp t="e">
        <v>#N/A</v>
        <stp/>
        <stp>BDH|16840284203840929229</stp>
        <tr r="G11" s="29"/>
      </tp>
      <tp t="e">
        <v>#N/A</v>
        <stp/>
        <stp>BDH|16500986444594503940</stp>
        <tr r="Y35" s="4"/>
      </tp>
      <tp t="e">
        <v>#N/A</v>
        <stp/>
        <stp>BDH|14899872990500665319</stp>
        <tr r="S17" s="9"/>
      </tp>
      <tp t="e">
        <v>#N/A</v>
        <stp/>
        <stp>BDH|15043496960747215634</stp>
        <tr r="Y60" s="13"/>
      </tp>
      <tp t="e">
        <v>#N/A</v>
        <stp/>
        <stp>BDH|13632152198729315407</stp>
        <tr r="O41" s="13"/>
        <tr r="M29" s="11"/>
        <tr r="M37" s="10"/>
      </tp>
      <tp t="e">
        <v>#N/A</v>
        <stp/>
        <stp>BDH|13772663489168966393</stp>
        <tr r="R57" s="18"/>
      </tp>
      <tp t="e">
        <v>#N/A</v>
        <stp/>
        <stp>BDH|12427653824143908340</stp>
        <tr r="R8" s="13"/>
      </tp>
      <tp t="e">
        <v>#N/A</v>
        <stp/>
        <stp>BDH|17013799170104699576</stp>
        <tr r="S43" s="21"/>
      </tp>
      <tp t="e">
        <v>#N/A</v>
        <stp/>
        <stp>BDH|10491089180239119755</stp>
        <tr r="D19" s="24"/>
      </tp>
      <tp t="e">
        <v>#N/A</v>
        <stp/>
        <stp>BDH|17849246324795749477</stp>
        <tr r="F50" s="21"/>
      </tp>
      <tp t="e">
        <v>#N/A</v>
        <stp/>
        <stp>BDH|12506679736922513397</stp>
        <tr r="S10" s="8"/>
        <tr r="Q50" s="6"/>
      </tp>
      <tp t="e">
        <v>#N/A</v>
        <stp/>
        <stp>BDH|16907311447633529420</stp>
        <tr r="F22" s="17"/>
      </tp>
      <tp t="e">
        <v>#N/A</v>
        <stp/>
        <stp>BDH|17655281136252378234</stp>
        <tr r="R12" s="11"/>
      </tp>
      <tp t="e">
        <v>#N/A</v>
        <stp/>
        <stp>BDH|17445457305544446187</stp>
        <tr r="F25" s="3"/>
      </tp>
      <tp t="e">
        <v>#N/A</v>
        <stp/>
        <stp>BDH|10685285816031913498</stp>
        <tr r="V11" s="11"/>
      </tp>
      <tp t="e">
        <v>#N/A</v>
        <stp/>
        <stp>BDH|15849543975893085213</stp>
        <tr r="F49" s="22"/>
      </tp>
      <tp t="e">
        <v>#N/A</v>
        <stp/>
        <stp>BDH|16908843896612173326</stp>
        <tr r="D19" s="20"/>
      </tp>
      <tp t="e">
        <v>#N/A</v>
        <stp/>
        <stp>BDH|10050463201674888643</stp>
        <tr r="W17" s="17"/>
        <tr r="W20" s="28"/>
      </tp>
      <tp t="e">
        <v>#N/A</v>
        <stp/>
        <stp>BDH|10348286806652799616</stp>
        <tr r="Q40" s="6"/>
      </tp>
      <tp t="e">
        <v>#N/A</v>
        <stp/>
        <stp>BDH|15333449745277112482</stp>
        <tr r="C9" s="28"/>
      </tp>
      <tp t="e">
        <v>#N/A</v>
        <stp/>
        <stp>BDH|16707573335507648188</stp>
        <tr r="D166" s="18"/>
      </tp>
      <tp t="e">
        <v>#N/A</v>
        <stp/>
        <stp>BDH|13503179779647249421</stp>
        <tr r="D18" s="6"/>
      </tp>
      <tp t="e">
        <v>#N/A</v>
        <stp/>
        <stp>BDH|16522388571646209256</stp>
        <tr r="Y14" s="23"/>
      </tp>
      <tp t="e">
        <v>#N/A</v>
        <stp/>
        <stp>BDH|13884306264690158067</stp>
        <tr r="W13" s="10"/>
      </tp>
      <tp t="e">
        <v>#N/A</v>
        <stp/>
        <stp>BDH|16532790800051619618</stp>
        <tr r="N33" s="22"/>
      </tp>
      <tp t="e">
        <v>#N/A</v>
        <stp/>
        <stp>BDH|18394664691483925262</stp>
        <tr r="Q160" s="18"/>
      </tp>
      <tp t="e">
        <v>#N/A</v>
        <stp/>
        <stp>BDH|10030402109233282102</stp>
        <tr r="AA18" s="30"/>
      </tp>
      <tp t="e">
        <v>#N/A</v>
        <stp/>
        <stp>BDH|16850239339653805213</stp>
        <tr r="P23" s="11"/>
      </tp>
      <tp t="e">
        <v>#N/A</v>
        <stp/>
        <stp>BDH|11435258727510407796</stp>
        <tr r="C9" s="24"/>
      </tp>
      <tp t="e">
        <v>#N/A</v>
        <stp/>
        <stp>BDH|12786691054635462256</stp>
        <tr r="X49" s="18"/>
      </tp>
      <tp t="e">
        <v>#N/A</v>
        <stp/>
        <stp>BDH|11047589757213580418</stp>
        <tr r="I37" s="24"/>
      </tp>
      <tp t="e">
        <v>#N/A</v>
        <stp/>
        <stp>BDH|13031558320394804665</stp>
        <tr r="I25" s="21"/>
      </tp>
      <tp t="e">
        <v>#N/A</v>
        <stp/>
        <stp>BDH|13611929539448759714</stp>
        <tr r="Z21" s="21"/>
      </tp>
      <tp t="e">
        <v>#N/A</v>
        <stp/>
        <stp>BDH|14993127410574858683</stp>
        <tr r="P11" s="9"/>
      </tp>
      <tp t="e">
        <v>#N/A</v>
        <stp/>
        <stp>BDH|14801869995101272222</stp>
        <tr r="R50" s="34"/>
      </tp>
      <tp t="e">
        <v>#N/A</v>
        <stp/>
        <stp>BDH|14041197625212151369</stp>
        <tr r="V65" s="24"/>
      </tp>
      <tp t="e">
        <v>#N/A</v>
        <stp/>
        <stp>BDH|16267043399560283965</stp>
        <tr r="I12" s="12"/>
      </tp>
      <tp t="e">
        <v>#N/A</v>
        <stp/>
        <stp>BDH|16786083574565429240</stp>
        <tr r="G30" s="24"/>
      </tp>
      <tp t="e">
        <v>#N/A</v>
        <stp/>
        <stp>BDH|14389280290520326933</stp>
        <tr r="X38" s="6"/>
        <tr r="X18" s="5"/>
      </tp>
      <tp t="e">
        <v>#N/A</v>
        <stp/>
        <stp>BDH|12125141997074881817</stp>
        <tr r="P99" s="18"/>
      </tp>
      <tp t="e">
        <v>#N/A</v>
        <stp/>
        <stp>BDH|13471358245700879273</stp>
        <tr r="O62" s="12"/>
      </tp>
      <tp t="e">
        <v>#N/A</v>
        <stp/>
        <stp>BDH|17374397149375074388</stp>
        <tr r="T8" s="7"/>
        <tr r="T41" s="11"/>
        <tr r="T49" s="10"/>
        <tr r="V11" s="3"/>
      </tp>
      <tp t="e">
        <v>#N/A</v>
        <stp/>
        <stp>BDH|14376703730565997314</stp>
        <tr r="O15" s="24"/>
      </tp>
      <tp t="e">
        <v>#N/A</v>
        <stp/>
        <stp>BDH|13863315608266391094</stp>
        <tr r="AA17" s="12"/>
      </tp>
      <tp t="e">
        <v>#N/A</v>
        <stp/>
        <stp>BDH|16107111377777878142</stp>
        <tr r="J25" s="22"/>
      </tp>
      <tp t="e">
        <v>#N/A</v>
        <stp/>
        <stp>BDH|18156902374963856369</stp>
        <tr r="Q12" s="11"/>
      </tp>
      <tp t="e">
        <v>#N/A</v>
        <stp/>
        <stp>BDH|17370789516166657108</stp>
        <tr r="J22" s="5"/>
      </tp>
      <tp t="e">
        <v>#N/A</v>
        <stp/>
        <stp>BDH|11354313594469461496</stp>
        <tr r="I157" s="18"/>
      </tp>
      <tp t="e">
        <v>#N/A</v>
        <stp/>
        <stp>BDH|12655205170753530286</stp>
        <tr r="J28" s="4"/>
      </tp>
      <tp t="e">
        <v>#N/A</v>
        <stp/>
        <stp>BDH|15850556257207272437</stp>
        <tr r="D56" s="34"/>
      </tp>
      <tp t="e">
        <v>#N/A</v>
        <stp/>
        <stp>BDH|15434397475621376605</stp>
        <tr r="R111" s="12"/>
      </tp>
      <tp t="e">
        <v>#N/A</v>
        <stp/>
        <stp>BDH|14662963484566993569</stp>
        <tr r="L40" s="6"/>
      </tp>
      <tp t="e">
        <v>#N/A</v>
        <stp/>
        <stp>BDH|16178799243083860088</stp>
        <tr r="V40" s="22"/>
      </tp>
      <tp t="e">
        <v>#N/A</v>
        <stp/>
        <stp>BDH|14174887879544850936</stp>
        <tr r="R14" s="11"/>
      </tp>
      <tp t="e">
        <v>#N/A</v>
        <stp/>
        <stp>BDH|15300982392517478466</stp>
        <tr r="I70" s="17"/>
      </tp>
      <tp t="e">
        <v>#N/A</v>
        <stp/>
        <stp>BDH|14903690154601915061</stp>
        <tr r="W49" s="18"/>
      </tp>
      <tp t="e">
        <v>#N/A</v>
        <stp/>
        <stp>BDH|13252215128204179110</stp>
        <tr r="D6" s="27"/>
      </tp>
      <tp t="e">
        <v>#N/A</v>
        <stp/>
        <stp>BDH|12179608947255573391</stp>
        <tr r="J146" s="18"/>
      </tp>
      <tp t="e">
        <v>#N/A</v>
        <stp/>
        <stp>BDH|16826121367235796203</stp>
        <tr r="D82" s="17"/>
        <tr r="D20" s="3"/>
      </tp>
      <tp t="e">
        <v>#N/A</v>
        <stp/>
        <stp>BDH|14799001013577801467</stp>
        <tr r="O101" s="12"/>
      </tp>
      <tp t="e">
        <v>#N/A</v>
        <stp/>
        <stp>BDH|14010084046336359079</stp>
        <tr r="I32" s="13"/>
        <tr r="G28" s="10"/>
      </tp>
      <tp t="e">
        <v>#N/A</v>
        <stp/>
        <stp>BDH|11355629908393679250</stp>
        <tr r="N43" s="13"/>
      </tp>
      <tp t="e">
        <v>#N/A</v>
        <stp/>
        <stp>BDH|14087707203010128585</stp>
        <tr r="S8" s="8"/>
      </tp>
      <tp t="e">
        <v>#N/A</v>
        <stp/>
        <stp>BDH|17136144154177278299</stp>
        <tr r="O41" s="6"/>
      </tp>
      <tp t="e">
        <v>#N/A</v>
        <stp/>
        <stp>BDH|13104169387069356594</stp>
        <tr r="T70" s="18"/>
      </tp>
      <tp t="e">
        <v>#N/A</v>
        <stp/>
        <stp>BDH|11590039789648172749</stp>
        <tr r="L14" s="10"/>
      </tp>
      <tp t="e">
        <v>#N/A</v>
        <stp/>
        <stp>BDH|15827245633384130648</stp>
        <tr r="L39" s="13"/>
        <tr r="J43" s="10"/>
        <tr r="J52" s="4"/>
        <tr r="J35" s="11"/>
        <tr r="L8" s="3"/>
      </tp>
      <tp t="e">
        <v>#N/A</v>
        <stp/>
        <stp>BDH|12806636923306788652</stp>
        <tr r="W20" s="18"/>
      </tp>
      <tp t="e">
        <v>#N/A</v>
        <stp/>
        <stp>BDH|16191234279217184208</stp>
        <tr r="D51" s="17"/>
      </tp>
      <tp t="e">
        <v>#N/A</v>
        <stp/>
        <stp>BDH|11794814049342632932</stp>
        <tr r="P38" s="17"/>
      </tp>
      <tp t="e">
        <v>#N/A</v>
        <stp/>
        <stp>BDH|18232499391545567656</stp>
        <tr r="U63" s="11"/>
        <tr r="U71" s="10"/>
      </tp>
      <tp t="e">
        <v>#N/A</v>
        <stp/>
        <stp>BDH|15718947840896104880</stp>
        <tr r="F8" s="11"/>
      </tp>
      <tp t="e">
        <v>#N/A</v>
        <stp/>
        <stp>BDH|10240689015279650834</stp>
        <tr r="W35" s="25"/>
      </tp>
      <tp t="e">
        <v>#N/A</v>
        <stp/>
        <stp>BDH|13343986404798106448</stp>
        <tr r="R69" s="34"/>
      </tp>
      <tp t="e">
        <v>#N/A</v>
        <stp/>
        <stp>BDH|16415328979465599109</stp>
        <tr r="S46" s="17"/>
      </tp>
      <tp t="e">
        <v>#N/A</v>
        <stp/>
        <stp>BDH|10617161979651310104</stp>
        <tr r="G57" s="18"/>
      </tp>
      <tp t="e">
        <v>#N/A</v>
        <stp/>
        <stp>BDH|13865001512983799774</stp>
        <tr r="E15" s="21"/>
      </tp>
      <tp t="e">
        <v>#N/A</v>
        <stp/>
        <stp>BDH|16733782755206329433</stp>
        <tr r="Y60" s="24"/>
      </tp>
      <tp t="e">
        <v>#N/A</v>
        <stp/>
        <stp>BDH|15202160843044542285</stp>
        <tr r="U26" s="26"/>
      </tp>
      <tp t="e">
        <v>#N/A</v>
        <stp/>
        <stp>BDH|16514263861377195399</stp>
        <tr r="L92" s="17"/>
        <tr r="L7" s="27"/>
      </tp>
      <tp t="e">
        <v>#N/A</v>
        <stp/>
        <stp>BDH|10986681813211925018</stp>
        <tr r="N99" s="18"/>
      </tp>
      <tp t="e">
        <v>#N/A</v>
        <stp/>
        <stp>BDH|10403144314245732394</stp>
        <tr r="W156" s="18"/>
      </tp>
      <tp t="e">
        <v>#N/A</v>
        <stp/>
        <stp>BDH|13835763489432530887</stp>
        <tr r="M52" s="10"/>
        <tr r="M44" s="11"/>
        <tr r="M16" s="7"/>
      </tp>
      <tp t="e">
        <v>#N/A</v>
        <stp/>
        <stp>BDH|17913043794110768842</stp>
        <tr r="V67" s="24"/>
      </tp>
      <tp t="e">
        <v>#N/A</v>
        <stp/>
        <stp>BDH|12973640125507269703</stp>
        <tr r="T9" s="27"/>
      </tp>
      <tp t="e">
        <v>#N/A</v>
        <stp/>
        <stp>BDH|10635376518133769745</stp>
        <tr r="C30" s="5"/>
      </tp>
      <tp t="e">
        <v>#N/A</v>
        <stp/>
        <stp>BDH|15010843688790705312</stp>
        <tr r="K12" s="18"/>
      </tp>
      <tp t="e">
        <v>#N/A</v>
        <stp/>
        <stp>BDH|13871644776044121016</stp>
        <tr r="V31" s="13"/>
        <tr r="T27" s="10"/>
      </tp>
      <tp t="e">
        <v>#N/A</v>
        <stp/>
        <stp>BDH|16256516568043514045</stp>
        <tr r="O8" s="8"/>
      </tp>
      <tp t="e">
        <v>#N/A</v>
        <stp/>
        <stp>BDH|14239524724395968074</stp>
        <tr r="L19" s="10"/>
      </tp>
      <tp t="e">
        <v>#N/A</v>
        <stp/>
        <stp>BDH|16860631329202166695</stp>
        <tr r="K51" s="17"/>
      </tp>
      <tp t="e">
        <v>#N/A</v>
        <stp/>
        <stp>BDH|10808451156965999287</stp>
        <tr r="M6" s="6"/>
      </tp>
      <tp t="e">
        <v>#N/A</v>
        <stp/>
        <stp>BDH|15651990248497544980</stp>
        <tr r="O93" s="18"/>
      </tp>
      <tp t="e">
        <v>#N/A</v>
        <stp/>
        <stp>BDH|14649477240323820136</stp>
        <tr r="U98" s="12"/>
      </tp>
      <tp t="e">
        <v>#N/A</v>
        <stp/>
        <stp>BDH|16453386467533223630</stp>
        <tr r="R112" s="12"/>
      </tp>
      <tp t="e">
        <v>#N/A</v>
        <stp/>
        <stp>BDH|13092524908755706501</stp>
        <tr r="J84" s="12"/>
      </tp>
      <tp t="e">
        <v>#N/A</v>
        <stp/>
        <stp>BDH|11650514209932652057</stp>
        <tr r="M12" s="30"/>
      </tp>
      <tp t="e">
        <v>#N/A</v>
        <stp/>
        <stp>BDH|14987787213142764681</stp>
        <tr r="M168" s="18"/>
      </tp>
      <tp t="e">
        <v>#N/A</v>
        <stp/>
        <stp>BDH|14437598146465704616</stp>
        <tr r="R35" s="25"/>
      </tp>
      <tp t="e">
        <v>#N/A</v>
        <stp/>
        <stp>BDH|16878364934861565124</stp>
        <tr r="D27" s="17"/>
      </tp>
      <tp t="e">
        <v>#N/A</v>
        <stp/>
        <stp>BDH|15970374946976377260</stp>
        <tr r="R119" s="18"/>
      </tp>
      <tp t="e">
        <v>#N/A</v>
        <stp/>
        <stp>BDH|14609932430400135898</stp>
        <tr r="M10" s="26"/>
      </tp>
      <tp t="e">
        <v>#N/A</v>
        <stp/>
        <stp>BDH|14457725632635998302</stp>
        <tr r="V70" s="17"/>
      </tp>
      <tp t="e">
        <v>#N/A</v>
        <stp/>
        <stp>BDH|15351974789842408044</stp>
        <tr r="E47" s="13"/>
      </tp>
      <tp t="e">
        <v>#N/A</v>
        <stp/>
        <stp>BDH|11690927749502416847</stp>
        <tr r="Y41" s="21"/>
      </tp>
      <tp t="e">
        <v>#N/A</v>
        <stp/>
        <stp>BDH|11587488752997561173</stp>
        <tr r="U16" s="12"/>
      </tp>
      <tp t="e">
        <v>#N/A</v>
        <stp/>
        <stp>BDH|16063808141979949550</stp>
        <tr r="N19" s="25"/>
      </tp>
      <tp t="e">
        <v>#N/A</v>
        <stp/>
        <stp>BDH|13578962967813196987</stp>
        <tr r="W28" s="12"/>
      </tp>
      <tp t="e">
        <v>#N/A</v>
        <stp/>
        <stp>BDH|13312707944403306590</stp>
        <tr r="H74" s="17"/>
      </tp>
      <tp t="e">
        <v>#N/A</v>
        <stp/>
        <stp>BDH|15016540857327772497</stp>
        <tr r="H120" s="18"/>
      </tp>
      <tp t="e">
        <v>#N/A</v>
        <stp/>
        <stp>BDH|10875497640281937750</stp>
        <tr r="O10" s="28"/>
      </tp>
      <tp t="e">
        <v>#N/A</v>
        <stp/>
        <stp>BDH|15523637413086911215</stp>
        <tr r="D94" s="17"/>
      </tp>
      <tp t="e">
        <v>#N/A</v>
        <stp/>
        <stp>BDH|15821497172460853065</stp>
        <tr r="D16" s="6"/>
      </tp>
      <tp t="e">
        <v>#N/A</v>
        <stp/>
        <stp>BDH|11629574927036914626</stp>
        <tr r="P46" s="6"/>
      </tp>
      <tp t="e">
        <v>#N/A</v>
        <stp/>
        <stp>BDH|16400010144372907652</stp>
        <tr r="U24" s="21"/>
      </tp>
      <tp t="e">
        <v>#N/A</v>
        <stp/>
        <stp>BDH|12912854308015922906</stp>
        <tr r="F8" s="14"/>
      </tp>
      <tp t="e">
        <v>#N/A</v>
        <stp/>
        <stp>BDH|17556507729475034314</stp>
        <tr r="K22" s="10"/>
      </tp>
      <tp t="e">
        <v>#N/A</v>
        <stp/>
        <stp>BDH|14734750804530933525</stp>
        <tr r="J13" s="11"/>
      </tp>
      <tp t="e">
        <v>#N/A</v>
        <stp/>
        <stp>BDH|14309368418168504859</stp>
        <tr r="P17" s="29"/>
        <tr r="P37" s="29"/>
      </tp>
      <tp t="e">
        <v>#N/A</v>
        <stp/>
        <stp>BDH|17933021974754464263</stp>
        <tr r="K30" s="9"/>
      </tp>
      <tp t="e">
        <v>#N/A</v>
        <stp/>
        <stp>BDH|13661179464772912019</stp>
        <tr r="V40" s="12"/>
      </tp>
      <tp t="e">
        <v>#N/A</v>
        <stp/>
        <stp>BDH|17373293274597437375</stp>
        <tr r="H70" s="17"/>
      </tp>
      <tp t="e">
        <v>#N/A</v>
        <stp/>
        <stp>BDH|13000096818741447582</stp>
        <tr r="D11" s="10"/>
        <tr r="D14" s="2"/>
      </tp>
      <tp t="e">
        <v>#N/A</v>
        <stp/>
        <stp>BDH|17813791378344740530</stp>
        <tr r="S141" s="18"/>
      </tp>
      <tp t="e">
        <v>#N/A</v>
        <stp/>
        <stp>BDH|10624121408510881799</stp>
        <tr r="Q140" s="18"/>
      </tp>
      <tp t="e">
        <v>#N/A</v>
        <stp/>
        <stp>BDH|16226743448406770545</stp>
        <tr r="S13" s="14"/>
      </tp>
      <tp t="e">
        <v>#N/A</v>
        <stp/>
        <stp>BDH|12873608793188682300</stp>
        <tr r="D14" s="20"/>
        <tr r="D115" s="18"/>
      </tp>
      <tp t="e">
        <v>#N/A</v>
        <stp/>
        <stp>BDH|15689172026112952238</stp>
        <tr r="I12" s="22"/>
      </tp>
      <tp t="e">
        <v>#N/A</v>
        <stp/>
        <stp>BDH|18115821540920889264</stp>
        <tr r="M95" s="12"/>
      </tp>
      <tp t="e">
        <v>#N/A</v>
        <stp/>
        <stp>BDH|10023015341631402394</stp>
        <tr r="X48" s="34"/>
      </tp>
      <tp t="e">
        <v>#N/A</v>
        <stp/>
        <stp>BDH|11161140458031457246</stp>
        <tr r="C21" s="22"/>
      </tp>
      <tp t="e">
        <v>#N/A</v>
        <stp/>
        <stp>BDH|11239636130817594590</stp>
        <tr r="W44" s="6"/>
      </tp>
      <tp t="e">
        <v>#N/A</v>
        <stp/>
        <stp>BDH|12994609773791347447</stp>
        <tr r="J8" s="22"/>
      </tp>
      <tp t="e">
        <v>#N/A</v>
        <stp/>
        <stp>BDH|16125151001788930913</stp>
        <tr r="H161" s="18"/>
      </tp>
      <tp t="e">
        <v>#N/A</v>
        <stp/>
        <stp>BDH|13368834788314267173</stp>
        <tr r="E11" s="22"/>
      </tp>
      <tp t="e">
        <v>#N/A</v>
        <stp/>
        <stp>BDH|11849962510049650657</stp>
        <tr r="X10" s="28"/>
      </tp>
      <tp t="e">
        <v>#N/A</v>
        <stp/>
        <stp>BDH|13689404023973836002</stp>
        <tr r="K149" s="18"/>
      </tp>
      <tp t="e">
        <v>#N/A</v>
        <stp/>
        <stp>BDH|17847227270441025571</stp>
        <tr r="P86" s="17"/>
      </tp>
      <tp t="e">
        <v>#N/A</v>
        <stp/>
        <stp>BDH|12079683455596623178</stp>
        <tr r="R30" s="9"/>
      </tp>
      <tp t="e">
        <v>#N/A</v>
        <stp/>
        <stp>BDH|16922648171591043001</stp>
        <tr r="O66" s="17"/>
      </tp>
      <tp t="e">
        <v>#N/A</v>
        <stp/>
        <stp>BDH|17667642670038989876</stp>
        <tr r="S32" s="26"/>
      </tp>
      <tp t="e">
        <v>#N/A</v>
        <stp/>
        <stp>BDH|13956876516705789936</stp>
        <tr r="U15" s="10"/>
      </tp>
      <tp t="e">
        <v>#N/A</v>
        <stp/>
        <stp>BDH|12936570748723359698</stp>
        <tr r="Q83" s="18"/>
      </tp>
      <tp t="e">
        <v>#N/A</v>
        <stp/>
        <stp>BDH|12947660433332087306</stp>
        <tr r="E122" s="18"/>
      </tp>
      <tp t="e">
        <v>#N/A</v>
        <stp/>
        <stp>BDH|14410037478900711546</stp>
        <tr r="X9" s="11"/>
      </tp>
      <tp t="e">
        <v>#N/A</v>
        <stp/>
        <stp>BDH|14741594777963116340</stp>
        <tr r="I109" s="12"/>
      </tp>
      <tp t="e">
        <v>#N/A</v>
        <stp/>
        <stp>BDH|11396557201312206095</stp>
        <tr r="X59" s="18"/>
      </tp>
      <tp t="e">
        <v>#N/A</v>
        <stp/>
        <stp>BDH|15305887752787481917</stp>
        <tr r="E38" s="25"/>
      </tp>
      <tp t="e">
        <v>#N/A</v>
        <stp/>
        <stp>BDH|15377236268216488105</stp>
        <tr r="Y31" s="24"/>
      </tp>
      <tp t="e">
        <v>#N/A</v>
        <stp/>
        <stp>BDH|13935824654891051934</stp>
        <tr r="E45" s="24"/>
      </tp>
      <tp t="e">
        <v>#N/A</v>
        <stp/>
        <stp>BDH|10291670067044947273</stp>
        <tr r="E11" s="28"/>
      </tp>
      <tp t="e">
        <v>#N/A</v>
        <stp/>
        <stp>BDH|14309425454196094590</stp>
        <tr r="S6" s="20"/>
        <tr r="S108" s="18"/>
      </tp>
      <tp t="e">
        <v>#N/A</v>
        <stp/>
        <stp>BDH|17737147075294935339</stp>
        <tr r="W58" s="17"/>
      </tp>
      <tp t="e">
        <v>#N/A</v>
        <stp/>
        <stp>BDH|14288075450497130086</stp>
        <tr r="U27" s="26"/>
      </tp>
      <tp t="e">
        <v>#N/A</v>
        <stp/>
        <stp>BDH|11829468805457040479</stp>
        <tr r="F55" s="18"/>
      </tp>
      <tp t="e">
        <v>#N/A</v>
        <stp/>
        <stp>BDH|13836901693433367642</stp>
        <tr r="Z9" s="22"/>
      </tp>
      <tp t="e">
        <v>#N/A</v>
        <stp/>
        <stp>BDH|16781253860827676385</stp>
        <tr r="N37" s="18"/>
      </tp>
      <tp t="e">
        <v>#N/A</v>
        <stp/>
        <stp>BDH|12316340606795556282</stp>
        <tr r="K60" s="24"/>
      </tp>
      <tp t="e">
        <v>#N/A</v>
        <stp/>
        <stp>BDH|12778575572183865564</stp>
        <tr r="K97" s="18"/>
      </tp>
      <tp t="e">
        <v>#N/A</v>
        <stp/>
        <stp>BDH|15664532036390940563</stp>
        <tr r="L129" s="18"/>
      </tp>
      <tp t="e">
        <v>#N/A</v>
        <stp/>
        <stp>BDH|16147245059053112410</stp>
        <tr r="C12" s="7"/>
      </tp>
      <tp t="e">
        <v>#N/A</v>
        <stp/>
        <stp>BDH|13354052859851307108</stp>
        <tr r="V26" s="6"/>
      </tp>
      <tp t="e">
        <v>#N/A</v>
        <stp/>
        <stp>BDH|11781647959982658604</stp>
        <tr r="G10" s="8"/>
        <tr r="E50" s="6"/>
      </tp>
      <tp t="e">
        <v>#N/A</v>
        <stp/>
        <stp>BDH|10221174070421964103</stp>
        <tr r="Y78" s="18"/>
      </tp>
      <tp t="e">
        <v>#N/A</v>
        <stp/>
        <stp>BDH|16608303278691230501</stp>
        <tr r="J83" s="12"/>
      </tp>
      <tp t="e">
        <v>#N/A</v>
        <stp/>
        <stp>BDH|17252187591039245050</stp>
        <tr r="Z30" s="26"/>
      </tp>
      <tp t="e">
        <v>#N/A</v>
        <stp/>
        <stp>BDH|12825972179519817322</stp>
        <tr r="M11" s="6"/>
      </tp>
      <tp t="e">
        <v>#N/A</v>
        <stp/>
        <stp>BDH|12329135348883520218</stp>
        <tr r="I80" s="18"/>
      </tp>
      <tp t="e">
        <v>#N/A</v>
        <stp/>
        <stp>BDH|11440437926237966643</stp>
        <tr r="J89" s="18"/>
      </tp>
      <tp t="e">
        <v>#N/A</v>
        <stp/>
        <stp>BDH|14265183597009098318</stp>
        <tr r="Z17" s="14"/>
      </tp>
      <tp t="e">
        <v>#N/A</v>
        <stp/>
        <stp>BDH|12603260003021605794</stp>
        <tr r="L21" s="6"/>
      </tp>
      <tp t="e">
        <v>#N/A</v>
        <stp/>
        <stp>BDH|14457504664751477085</stp>
        <tr r="H21" s="34"/>
      </tp>
      <tp t="e">
        <v>#N/A</v>
        <stp/>
        <stp>BDH|11200477473643272782</stp>
        <tr r="R24" s="2"/>
      </tp>
      <tp t="e">
        <v>#N/A</v>
        <stp/>
        <stp>BDH|16655638628036428264</stp>
        <tr r="C12" s="30"/>
      </tp>
      <tp t="e">
        <v>#N/A</v>
        <stp/>
        <stp>BDH|15903063411726566449</stp>
        <tr r="C47" s="24"/>
      </tp>
      <tp t="e">
        <v>#N/A</v>
        <stp/>
        <stp>BDH|14661052919141774228</stp>
        <tr r="J44" s="12"/>
      </tp>
      <tp t="e">
        <v>#N/A</v>
        <stp/>
        <stp>BDH|14848813275968705547</stp>
        <tr r="I20" s="30"/>
      </tp>
      <tp t="e">
        <v>#N/A</v>
        <stp/>
        <stp>BDH|17917952385253609308</stp>
        <tr r="Q11" s="17"/>
      </tp>
      <tp t="e">
        <v>#N/A</v>
        <stp/>
        <stp>BDH|13878720838542594382</stp>
        <tr r="L25" s="18"/>
      </tp>
      <tp t="e">
        <v>#N/A</v>
        <stp/>
        <stp>BDH|15772104080189181392</stp>
        <tr r="Y105" s="18"/>
      </tp>
      <tp t="e">
        <v>#N/A</v>
        <stp/>
        <stp>BDH|17579397303954744675</stp>
        <tr r="N40" s="12"/>
      </tp>
      <tp t="e">
        <v>#N/A</v>
        <stp/>
        <stp>BDH|17955449903417328225</stp>
        <tr r="Y20" s="27"/>
      </tp>
      <tp t="e">
        <v>#N/A</v>
        <stp/>
        <stp>BDH|17892587896794914907</stp>
        <tr r="I25" s="6"/>
      </tp>
      <tp t="e">
        <v>#N/A</v>
        <stp/>
        <stp>BDH|16240320087208800309</stp>
        <tr r="C8" s="21"/>
      </tp>
      <tp t="e">
        <v>#N/A</v>
        <stp/>
        <stp>BDH|10276164739512218609</stp>
        <tr r="E63" s="18"/>
      </tp>
      <tp t="e">
        <v>#N/A</v>
        <stp/>
        <stp>BDH|11940237545827573652</stp>
        <tr r="S77" s="12"/>
      </tp>
      <tp t="e">
        <v>#N/A</v>
        <stp/>
        <stp>BDH|17207158258120377530</stp>
        <tr r="O12" s="25"/>
      </tp>
      <tp t="e">
        <v>#N/A</v>
        <stp/>
        <stp>BDH|12075448260944884233</stp>
        <tr r="U39" s="6"/>
      </tp>
      <tp t="e">
        <v>#N/A</v>
        <stp/>
        <stp>BDH|10788906848772721976</stp>
        <tr r="J65" s="18"/>
      </tp>
      <tp t="e">
        <v>#N/A</v>
        <stp/>
        <stp>BDH|16075347181912857921</stp>
        <tr r="J13" s="24"/>
      </tp>
      <tp t="e">
        <v>#N/A</v>
        <stp/>
        <stp>BDH|15733225652312899600</stp>
        <tr r="D54" s="21"/>
      </tp>
      <tp t="e">
        <v>#N/A</v>
        <stp/>
        <stp>BDH|17578631066920745187</stp>
        <tr r="U39" s="17"/>
      </tp>
      <tp t="e">
        <v>#N/A</v>
        <stp/>
        <stp>BDH|12683491360504979297</stp>
        <tr r="F15" s="10"/>
      </tp>
      <tp t="e">
        <v>#N/A</v>
        <stp/>
        <stp>BDH|18311654950319890413</stp>
        <tr r="H47" s="34"/>
      </tp>
      <tp t="e">
        <v>#N/A</v>
        <stp/>
        <stp>BDH|16840711456925951795</stp>
        <tr r="J170" s="18"/>
      </tp>
      <tp t="e">
        <v>#N/A</v>
        <stp/>
        <stp>BDH|10257928226685812819</stp>
        <tr r="M76" s="18"/>
      </tp>
      <tp t="e">
        <v>#N/A</v>
        <stp/>
        <stp>BDH|17425481317073545714</stp>
        <tr r="T45" s="13"/>
      </tp>
      <tp t="e">
        <v>#N/A</v>
        <stp/>
        <stp>BDH|13965636564032041717</stp>
        <tr r="E17" s="22"/>
      </tp>
      <tp t="e">
        <v>#N/A</v>
        <stp/>
        <stp>BDH|10589989184237179076</stp>
        <tr r="I16" s="10"/>
      </tp>
      <tp t="e">
        <v>#N/A</v>
        <stp/>
        <stp>BDH|17128426141783928240</stp>
        <tr r="T21" s="2"/>
      </tp>
      <tp t="e">
        <v>#N/A</v>
        <stp/>
        <stp>BDH|16455706040085257697</stp>
        <tr r="M15" s="10"/>
      </tp>
      <tp t="e">
        <v>#N/A</v>
        <stp/>
        <stp>BDH|16616343548013745427</stp>
        <tr r="R23" s="17"/>
      </tp>
      <tp t="e">
        <v>#N/A</v>
        <stp/>
        <stp>BDH|11271461642462141587</stp>
        <tr r="O44" s="6"/>
      </tp>
      <tp t="e">
        <v>#N/A</v>
        <stp/>
        <stp>BDH|18330889863771487135</stp>
        <tr r="AA31" s="13"/>
        <tr r="Y27" s="10"/>
      </tp>
      <tp t="e">
        <v>#N/A</v>
        <stp/>
        <stp>BDH|14268060704600774287</stp>
        <tr r="E32" s="12"/>
      </tp>
      <tp t="e">
        <v>#N/A</v>
        <stp/>
        <stp>BDH|14698708746229719882</stp>
        <tr r="I20" s="25"/>
      </tp>
      <tp t="e">
        <v>#N/A</v>
        <stp/>
        <stp>BDH|15880319068622875460</stp>
        <tr r="W15" s="6"/>
      </tp>
      <tp t="e">
        <v>#N/A</v>
        <stp/>
        <stp>BDH|10875265313613446660</stp>
        <tr r="AA77" s="12"/>
      </tp>
      <tp t="e">
        <v>#N/A</v>
        <stp/>
        <stp>BDH|15500797372235371622</stp>
        <tr r="W66" s="18"/>
      </tp>
      <tp t="e">
        <v>#N/A</v>
        <stp/>
        <stp>BDH|13685085752873729340</stp>
        <tr r="M14" s="21"/>
      </tp>
      <tp t="e">
        <v>#N/A</v>
        <stp/>
        <stp>BDH|17902698860842706387</stp>
        <tr r="W92" s="18"/>
      </tp>
      <tp t="e">
        <v>#N/A</v>
        <stp/>
        <stp>BDH|10675586655794480209</stp>
        <tr r="W11" s="12"/>
      </tp>
      <tp t="e">
        <v>#N/A</v>
        <stp/>
        <stp>BDH|17838365335977689620</stp>
        <tr r="L21" s="20"/>
      </tp>
      <tp t="e">
        <v>#N/A</v>
        <stp/>
        <stp>BDH|11212217478000429201</stp>
        <tr r="X99" s="12"/>
      </tp>
      <tp t="e">
        <v>#N/A</v>
        <stp/>
        <stp>BDH|17656213909395073617</stp>
        <tr r="N10" s="27"/>
        <tr r="N25" s="25"/>
      </tp>
      <tp t="e">
        <v>#N/A</v>
        <stp/>
        <stp>BDH|13778892415899501518</stp>
        <tr r="V59" s="18"/>
      </tp>
      <tp t="e">
        <v>#N/A</v>
        <stp/>
        <stp>BDH|10676592221327754666</stp>
        <tr r="J117" s="18"/>
      </tp>
      <tp t="e">
        <v>#N/A</v>
        <stp/>
        <stp>BDH|10826702043322136755</stp>
        <tr r="K23" s="22"/>
      </tp>
      <tp t="e">
        <v>#N/A</v>
        <stp/>
        <stp>BDH|13217140247918646889</stp>
        <tr r="Q117" s="18"/>
      </tp>
      <tp t="e">
        <v>#N/A</v>
        <stp/>
        <stp>BDH|18312930001697715092</stp>
        <tr r="Y94" s="12"/>
      </tp>
      <tp t="e">
        <v>#N/A</v>
        <stp/>
        <stp>BDH|17936954859285392898</stp>
        <tr r="Q76" s="24"/>
      </tp>
      <tp t="e">
        <v>#N/A</v>
        <stp/>
        <stp>BDH|12435841098617142264</stp>
        <tr r="M12" s="21"/>
      </tp>
      <tp t="e">
        <v>#N/A</v>
        <stp/>
        <stp>BDH|12503681200553157135</stp>
        <tr r="J105" s="18"/>
      </tp>
      <tp t="e">
        <v>#N/A</v>
        <stp/>
        <stp>BDH|14608682972521330200</stp>
        <tr r="V101" s="18"/>
      </tp>
      <tp t="e">
        <v>#N/A</v>
        <stp/>
        <stp>BDH|17988175619522032390</stp>
        <tr r="E38" s="26"/>
      </tp>
      <tp t="e">
        <v>#N/A</v>
        <stp/>
        <stp>BDH|15872635615407751378</stp>
        <tr r="J12" s="20"/>
        <tr r="J113" s="18"/>
      </tp>
      <tp t="e">
        <v>#N/A</v>
        <stp/>
        <stp>BDH|18094287088860642489</stp>
        <tr r="V153" s="18"/>
      </tp>
      <tp t="e">
        <v>#N/A</v>
        <stp/>
        <stp>BDH|18192305702155873851</stp>
        <tr r="T28" s="22"/>
      </tp>
      <tp t="e">
        <v>#N/A</v>
        <stp/>
        <stp>BDH|18419858028971135569</stp>
        <tr r="T41" s="34"/>
      </tp>
      <tp t="e">
        <v>#N/A</v>
        <stp/>
        <stp>BDH|16034360778806797278</stp>
        <tr r="K50" s="6"/>
        <tr r="M10" s="8"/>
      </tp>
      <tp t="e">
        <v>#N/A</v>
        <stp/>
        <stp>BDH|13135101488678176469</stp>
        <tr r="E18" s="14"/>
      </tp>
      <tp t="e">
        <v>#N/A</v>
        <stp/>
        <stp>BDH|15980119348251606789</stp>
        <tr r="W36" s="13"/>
        <tr r="U24" s="10"/>
        <tr r="U46" s="4"/>
      </tp>
      <tp t="e">
        <v>#N/A</v>
        <stp/>
        <stp>BDH|18341762702241990804</stp>
        <tr r="O7" s="23"/>
      </tp>
      <tp t="e">
        <v>#N/A</v>
        <stp/>
        <stp>BDH|16186885617648948197</stp>
        <tr r="D111" s="12"/>
      </tp>
      <tp t="e">
        <v>#N/A</v>
        <stp/>
        <stp>BDH|15641636087914501993</stp>
        <tr r="E12" s="20"/>
        <tr r="E113" s="18"/>
      </tp>
      <tp t="e">
        <v>#N/A</v>
        <stp/>
        <stp>BDH|11052389868116902472</stp>
        <tr r="V14" s="10"/>
      </tp>
      <tp t="e">
        <v>#N/A</v>
        <stp/>
        <stp>BDH|13019554085158696083</stp>
        <tr r="X55" s="34"/>
      </tp>
      <tp t="e">
        <v>#N/A</v>
        <stp/>
        <stp>BDH|11351555849562506448</stp>
        <tr r="AA7" s="17"/>
      </tp>
      <tp t="e">
        <v>#N/A</v>
        <stp/>
        <stp>BDH|12209312119637610128</stp>
        <tr r="F23" s="20"/>
      </tp>
      <tp t="e">
        <v>#N/A</v>
        <stp/>
        <stp>BDH|15050653538865205313</stp>
        <tr r="V28" s="21"/>
      </tp>
      <tp t="e">
        <v>#N/A</v>
        <stp/>
        <stp>BDH|17003236779302405609</stp>
        <tr r="M40" s="22"/>
      </tp>
      <tp t="e">
        <v>#N/A</v>
        <stp/>
        <stp>BDH|12589499640985214105</stp>
        <tr r="C25" s="26"/>
      </tp>
      <tp t="e">
        <v>#N/A</v>
        <stp/>
        <stp>BDH|12483388991309763747</stp>
        <tr r="W84" s="18"/>
      </tp>
      <tp t="e">
        <v>#N/A</v>
        <stp/>
        <stp>BDH|15823294181109676082</stp>
        <tr r="F14" s="28"/>
      </tp>
      <tp t="e">
        <v>#N/A</v>
        <stp/>
        <stp>BDH|13855710956645208231</stp>
        <tr r="X37" s="22"/>
      </tp>
      <tp t="e">
        <v>#N/A</v>
        <stp/>
        <stp>BDH|15713231504800885162</stp>
        <tr r="R17" s="34"/>
      </tp>
      <tp t="e">
        <v>#N/A</v>
        <stp/>
        <stp>BDH|17096675547167876468</stp>
        <tr r="T63" s="21"/>
      </tp>
      <tp t="e">
        <v>#N/A</v>
        <stp/>
        <stp>BDH|14331036522481804140</stp>
        <tr r="S16" s="30"/>
      </tp>
      <tp t="e">
        <v>#N/A</v>
        <stp/>
        <stp>BDH|15103655257630431090</stp>
        <tr r="J45" s="24"/>
      </tp>
      <tp t="e">
        <v>#N/A</v>
        <stp/>
        <stp>BDH|14885028851386527101</stp>
        <tr r="K100" s="12"/>
      </tp>
      <tp t="e">
        <v>#N/A</v>
        <stp/>
        <stp>BDH|14904436479061447095</stp>
        <tr r="K21" s="21"/>
      </tp>
      <tp t="e">
        <v>#N/A</v>
        <stp/>
        <stp>BDH|17844116144964584065</stp>
        <tr r="Z47" s="13"/>
      </tp>
      <tp t="e">
        <v>#N/A</v>
        <stp/>
        <stp>BDH|10442492506273643135</stp>
        <tr r="W39" s="24"/>
      </tp>
      <tp t="e">
        <v>#N/A</v>
        <stp/>
        <stp>BDH|16397118295669821110</stp>
        <tr r="H32" s="17"/>
      </tp>
      <tp t="e">
        <v>#N/A</v>
        <stp/>
        <stp>BDH|17804005057216207232</stp>
        <tr r="J57" s="18"/>
      </tp>
      <tp t="e">
        <v>#N/A</v>
        <stp/>
        <stp>BDH|13064380612302218560</stp>
        <tr r="I27" s="21"/>
      </tp>
      <tp t="e">
        <v>#N/A</v>
        <stp/>
        <stp>BDH|13860173177253525031</stp>
        <tr r="S58" s="13"/>
      </tp>
      <tp t="e">
        <v>#N/A</v>
        <stp/>
        <stp>BDH|12336646550195677309</stp>
        <tr r="N13" s="20"/>
        <tr r="N114" s="18"/>
      </tp>
      <tp t="e">
        <v>#N/A</v>
        <stp/>
        <stp>BDH|15784857133920188914</stp>
        <tr r="D52" s="17"/>
        <tr r="D17" s="3"/>
      </tp>
      <tp t="e">
        <v>#N/A</v>
        <stp/>
        <stp>BDH|14112017074624425018</stp>
        <tr r="N36" s="12"/>
      </tp>
      <tp t="e">
        <v>#N/A</v>
        <stp/>
        <stp>BDH|18131920335217718209</stp>
        <tr r="R165" s="18"/>
      </tp>
      <tp t="e">
        <v>#N/A</v>
        <stp/>
        <stp>BDH|11315335763050652348</stp>
        <tr r="AA139" s="18"/>
      </tp>
      <tp t="e">
        <v>#N/A</v>
        <stp/>
        <stp>BDH|15353577766926557767</stp>
        <tr r="S27" s="24"/>
      </tp>
      <tp t="e">
        <v>#N/A</v>
        <stp/>
        <stp>BDH|17990602937385943065</stp>
        <tr r="Q21" s="9"/>
        <tr r="Q21" s="5"/>
      </tp>
      <tp t="e">
        <v>#N/A</v>
        <stp/>
        <stp>BDH|14096140372040681519</stp>
        <tr r="D12" s="11"/>
      </tp>
      <tp t="e">
        <v>#N/A</v>
        <stp/>
        <stp>BDH|15047199276956642288</stp>
        <tr r="S163" s="18"/>
      </tp>
      <tp t="e">
        <v>#N/A</v>
        <stp/>
        <stp>BDH|17495224954724176322</stp>
        <tr r="T130" s="18"/>
      </tp>
      <tp t="e">
        <v>#N/A</v>
        <stp/>
        <stp>BDH|12864303159374999790</stp>
        <tr r="K8" s="18"/>
      </tp>
      <tp t="e">
        <v>#N/A</v>
        <stp/>
        <stp>BDH|15699845550296053934</stp>
        <tr r="AA68" s="18"/>
      </tp>
      <tp t="e">
        <v>#N/A</v>
        <stp/>
        <stp>BDH|12253173045768067818</stp>
        <tr r="M21" s="6"/>
      </tp>
      <tp t="e">
        <v>#N/A</v>
        <stp/>
        <stp>BDH|12991987894924115158</stp>
        <tr r="L18" s="18"/>
      </tp>
      <tp t="e">
        <v>#N/A</v>
        <stp/>
        <stp>BDH|13483850347589036170</stp>
        <tr r="W72" s="12"/>
      </tp>
      <tp t="e">
        <v>#N/A</v>
        <stp/>
        <stp>BDH|17174548831013149545</stp>
        <tr r="F35" s="21"/>
      </tp>
      <tp t="e">
        <v>#N/A</v>
        <stp/>
        <stp>BDH|12452084779207064548</stp>
        <tr r="Q28" s="17"/>
      </tp>
      <tp t="e">
        <v>#N/A</v>
        <stp/>
        <stp>BDH|16978021547413976649</stp>
        <tr r="Z25" s="27"/>
      </tp>
      <tp t="e">
        <v>#N/A</v>
        <stp/>
        <stp>BDH|17589815053704559933</stp>
        <tr r="Y33" s="18"/>
      </tp>
      <tp t="e">
        <v>#N/A</v>
        <stp/>
        <stp>BDH|12366712740255041331</stp>
        <tr r="W140" s="18"/>
      </tp>
      <tp t="e">
        <v>#N/A</v>
        <stp/>
        <stp>BDH|16060355554213352437</stp>
        <tr r="X19" s="6"/>
      </tp>
      <tp t="e">
        <v>#N/A</v>
        <stp/>
        <stp>BDH|12814811591590109486</stp>
        <tr r="K32" s="17"/>
      </tp>
      <tp t="e">
        <v>#N/A</v>
        <stp/>
        <stp>BDH|11381379920831027659</stp>
        <tr r="E72" s="24"/>
      </tp>
      <tp t="e">
        <v>#N/A</v>
        <stp/>
        <stp>BDH|14393431674807649736</stp>
        <tr r="M9" s="10"/>
      </tp>
      <tp t="e">
        <v>#N/A</v>
        <stp/>
        <stp>BDH|13109003666337154577</stp>
        <tr r="W11" s="28"/>
      </tp>
      <tp t="e">
        <v>#N/A</v>
        <stp/>
        <stp>BDH|14275062046297671051</stp>
        <tr r="Q16" s="34"/>
      </tp>
      <tp t="e">
        <v>#N/A</v>
        <stp/>
        <stp>BDH|14926312533295263685</stp>
        <tr r="O8" s="20"/>
        <tr r="O110" s="18"/>
      </tp>
      <tp t="e">
        <v>#N/A</v>
        <stp/>
        <stp>BDH|15087564950061440339</stp>
        <tr r="G32" s="22"/>
      </tp>
      <tp t="e">
        <v>#N/A</v>
        <stp/>
        <stp>BDH|16063158910305658429</stp>
        <tr r="H87" s="12"/>
      </tp>
      <tp t="e">
        <v>#N/A</v>
        <stp/>
        <stp>BDH|12204675121907088654</stp>
        <tr r="I24" s="6"/>
      </tp>
      <tp t="e">
        <v>#N/A</v>
        <stp/>
        <stp>BDH|17654247020390290018</stp>
        <tr r="J8" s="4"/>
      </tp>
      <tp t="e">
        <v>#N/A</v>
        <stp/>
        <stp>BDH|12970267561767669691</stp>
        <tr r="T10" s="12"/>
      </tp>
      <tp t="e">
        <v>#N/A</v>
        <stp/>
        <stp>BDH|16707253871332689648</stp>
        <tr r="P32" s="22"/>
      </tp>
      <tp t="e">
        <v>#N/A</v>
        <stp/>
        <stp>BDH|18237774211229312064</stp>
        <tr r="O84" s="12"/>
      </tp>
      <tp t="e">
        <v>#N/A</v>
        <stp/>
        <stp>BDH|12662704532120461115</stp>
        <tr r="T48" s="22"/>
      </tp>
      <tp t="e">
        <v>#N/A</v>
        <stp/>
        <stp>BDH|17532367367993624638</stp>
        <tr r="T88" s="12"/>
      </tp>
      <tp t="e">
        <v>#N/A</v>
        <stp/>
        <stp>BDH|14879597814576759137</stp>
        <tr r="Q47" s="12"/>
      </tp>
      <tp t="e">
        <v>#N/A</v>
        <stp/>
        <stp>BDH|15001707258149818910</stp>
        <tr r="K63" s="18"/>
      </tp>
      <tp t="e">
        <v>#N/A</v>
        <stp/>
        <stp>BDH|16585263942136691164</stp>
        <tr r="N13" s="23"/>
        <tr r="L57" s="11"/>
        <tr r="L38" s="4"/>
      </tp>
      <tp t="e">
        <v>#N/A</v>
        <stp/>
        <stp>BDH|13127814926609725705</stp>
        <tr r="R32" s="17"/>
      </tp>
      <tp t="e">
        <v>#N/A</v>
        <stp/>
        <stp>BDH|11948340647732329386</stp>
        <tr r="O26" s="17"/>
      </tp>
      <tp t="e">
        <v>#N/A</v>
        <stp/>
        <stp>BDH|15505477466508535806</stp>
        <tr r="Q23" s="22"/>
      </tp>
      <tp t="e">
        <v>#N/A</v>
        <stp/>
        <stp>BDH|15974661479977611419</stp>
        <tr r="Q13" s="13"/>
      </tp>
      <tp t="e">
        <v>#N/A</v>
        <stp/>
        <stp>BDH|12282835293113021739</stp>
        <tr r="C50" s="34"/>
      </tp>
      <tp t="e">
        <v>#N/A</v>
        <stp/>
        <stp>BDH|10748806741532301941</stp>
        <tr r="M18" s="12"/>
      </tp>
      <tp t="e">
        <v>#N/A</v>
        <stp/>
        <stp>BDH|16444842394187746726</stp>
        <tr r="E63" s="10"/>
      </tp>
      <tp t="e">
        <v>#N/A</v>
        <stp/>
        <stp>BDH|13799091338875507225</stp>
        <tr r="N43" s="24"/>
      </tp>
      <tp t="e">
        <v>#N/A</v>
        <stp/>
        <stp>BDH|13945056429534017243</stp>
        <tr r="R23" s="10"/>
      </tp>
      <tp t="e">
        <v>#N/A</v>
        <stp/>
        <stp>BDH|14782706035756482174</stp>
        <tr r="J33" s="18"/>
      </tp>
      <tp t="e">
        <v>#N/A</v>
        <stp/>
        <stp>BDH|16632622776596394609</stp>
        <tr r="H26" s="21"/>
      </tp>
      <tp t="e">
        <v>#N/A</v>
        <stp/>
        <stp>BDH|17704610906163821597</stp>
        <tr r="J58" s="17"/>
      </tp>
      <tp t="e">
        <v>#N/A</v>
        <stp/>
        <stp>BDH|11833296619390909502</stp>
        <tr r="Z7" s="8"/>
      </tp>
      <tp t="e">
        <v>#N/A</v>
        <stp/>
        <stp>BDH|11086307331031022716</stp>
        <tr r="R73" s="12"/>
      </tp>
      <tp t="e">
        <v>#N/A</v>
        <stp/>
        <stp>BDH|15570609857537141635</stp>
        <tr r="J20" s="7"/>
        <tr r="J61" s="11"/>
        <tr r="J69" s="10"/>
      </tp>
      <tp t="e">
        <v>#N/A</v>
        <stp/>
        <stp>BDH|15259459747581101313</stp>
        <tr r="J151" s="18"/>
      </tp>
      <tp t="e">
        <v>#N/A</v>
        <stp/>
        <stp>BDH|17902055618966709735</stp>
        <tr r="U51" s="34"/>
      </tp>
      <tp t="e">
        <v>#N/A</v>
        <stp/>
        <stp>BDH|16669155351077191232</stp>
        <tr r="U56" s="13"/>
      </tp>
      <tp t="e">
        <v>#N/A</v>
        <stp/>
        <stp>BDH|10650272091884911891</stp>
        <tr r="O49" s="22"/>
      </tp>
      <tp t="e">
        <v>#N/A</v>
        <stp/>
        <stp>BDH|17160177735013270119</stp>
        <tr r="W14" s="14"/>
      </tp>
      <tp t="e">
        <v>#N/A</v>
        <stp/>
        <stp>BDH|11836168159931795304</stp>
        <tr r="F52" s="12"/>
      </tp>
      <tp t="e">
        <v>#N/A</v>
        <stp/>
        <stp>BDH|11532127231984427021</stp>
        <tr r="L116" s="18"/>
      </tp>
      <tp t="e">
        <v>#N/A</v>
        <stp/>
        <stp>BDH|13792023401566439202</stp>
        <tr r="R13" s="20"/>
        <tr r="R114" s="18"/>
      </tp>
      <tp t="e">
        <v>#N/A</v>
        <stp/>
        <stp>BDH|14828329113467876616</stp>
        <tr r="P32" s="13"/>
        <tr r="N28" s="10"/>
      </tp>
      <tp t="e">
        <v>#N/A</v>
        <stp/>
        <stp>BDH|11081953880385419214</stp>
        <tr r="H35" s="21"/>
      </tp>
      <tp t="e">
        <v>#N/A</v>
        <stp/>
        <stp>BDH|11992473041396730086</stp>
        <tr r="V63" s="21"/>
      </tp>
      <tp t="e">
        <v>#N/A</v>
        <stp/>
        <stp>BDH|14549680409390485503</stp>
        <tr r="X42" s="24"/>
      </tp>
      <tp t="e">
        <v>#N/A</v>
        <stp/>
        <stp>BDH|17487481648299559912</stp>
        <tr r="V43" s="22"/>
      </tp>
      <tp t="e">
        <v>#N/A</v>
        <stp/>
        <stp>BDH|12456968063428244231</stp>
        <tr r="Q29" s="29"/>
        <tr r="Q7" s="29"/>
      </tp>
      <tp t="e">
        <v>#N/A</v>
        <stp/>
        <stp>BDH|15659698120320785685</stp>
        <tr r="K38" s="25"/>
      </tp>
      <tp t="e">
        <v>#N/A</v>
        <stp/>
        <stp>BDH|15003066811942784104</stp>
        <tr r="Z104" s="18"/>
      </tp>
      <tp t="e">
        <v>#N/A</v>
        <stp/>
        <stp>BDH|13283510456461169548</stp>
        <tr r="E177" s="18"/>
      </tp>
      <tp t="e">
        <v>#N/A</v>
        <stp/>
        <stp>BDH|10681296661100781395</stp>
        <tr r="W34" s="21"/>
      </tp>
      <tp t="e">
        <v>#N/A</v>
        <stp/>
        <stp>BDH|11437086638322615725</stp>
        <tr r="K49" s="13"/>
        <tr r="I37" s="11"/>
        <tr r="I45" s="10"/>
        <tr r="I53" s="4"/>
        <tr r="I18" s="2"/>
      </tp>
      <tp t="e">
        <v>#N/A</v>
        <stp/>
        <stp>BDH|13101492201178118883</stp>
        <tr r="D41" s="10"/>
        <tr r="D33" s="11"/>
      </tp>
      <tp t="e">
        <v>#N/A</v>
        <stp/>
        <stp>BDH|18005947958626437583</stp>
        <tr r="F20" s="6"/>
      </tp>
      <tp t="e">
        <v>#N/A</v>
        <stp/>
        <stp>BDH|13375624316347648415</stp>
        <tr r="AA56" s="17"/>
      </tp>
      <tp t="e">
        <v>#N/A</v>
        <stp/>
        <stp>BDH|17915201629282029201</stp>
        <tr r="S59" s="24"/>
      </tp>
      <tp t="e">
        <v>#N/A</v>
        <stp/>
        <stp>BDH|10546079916830642621</stp>
        <tr r="U40" s="12"/>
      </tp>
      <tp t="e">
        <v>#N/A</v>
        <stp/>
        <stp>BDH|17506927198750721085</stp>
        <tr r="P33" s="34"/>
      </tp>
      <tp t="e">
        <v>#N/A</v>
        <stp/>
        <stp>BDH|10759673803185195428</stp>
        <tr r="N64" s="24"/>
      </tp>
      <tp t="e">
        <v>#N/A</v>
        <stp/>
        <stp>BDH|13768170427433056471</stp>
        <tr r="F31" s="24"/>
      </tp>
      <tp t="e">
        <v>#N/A</v>
        <stp/>
        <stp>BDH|12371022401000304533</stp>
        <tr r="W35" s="18"/>
      </tp>
      <tp t="e">
        <v>#N/A</v>
        <stp/>
        <stp>BDH|15530621767641742376</stp>
        <tr r="X95" s="12"/>
      </tp>
      <tp t="e">
        <v>#N/A</v>
        <stp/>
        <stp>BDH|13072069226807478144</stp>
        <tr r="D8" s="18"/>
      </tp>
      <tp t="e">
        <v>#N/A</v>
        <stp/>
        <stp>BDH|12257123893358085539</stp>
        <tr r="X24" s="24"/>
      </tp>
      <tp t="e">
        <v>#N/A</v>
        <stp/>
        <stp>BDH|13816281783086167822</stp>
        <tr r="W55" s="34"/>
      </tp>
      <tp t="e">
        <v>#N/A</v>
        <stp/>
        <stp>BDH|14523064808683306084</stp>
        <tr r="C14" s="21"/>
      </tp>
      <tp t="e">
        <v>#N/A</v>
        <stp/>
        <stp>BDH|11875494914226769523</stp>
        <tr r="C20" s="12"/>
      </tp>
      <tp t="e">
        <v>#N/A</v>
        <stp/>
        <stp>BDH|12557465705459135873</stp>
        <tr r="N18" s="30"/>
      </tp>
      <tp t="e">
        <v>#N/A</v>
        <stp/>
        <stp>BDH|16457515175221877281</stp>
        <tr r="Z134" s="18"/>
      </tp>
      <tp t="e">
        <v>#N/A</v>
        <stp/>
        <stp>BDH|15268724552159310929</stp>
        <tr r="C70" s="10"/>
        <tr r="C62" s="11"/>
      </tp>
      <tp t="e">
        <v>#N/A</v>
        <stp/>
        <stp>BDH|11385530672126155207</stp>
        <tr r="G15" s="22"/>
      </tp>
      <tp t="e">
        <v>#N/A</v>
        <stp/>
        <stp>BDH|16995141261814981263</stp>
        <tr r="W173" s="18"/>
      </tp>
      <tp t="e">
        <v>#N/A</v>
        <stp/>
        <stp>BDH|10567998010509757685</stp>
        <tr r="J40" s="22"/>
      </tp>
      <tp t="e">
        <v>#N/A</v>
        <stp/>
        <stp>BDH|12563075108204931109</stp>
        <tr r="N9" s="27"/>
      </tp>
      <tp t="e">
        <v>#N/A</v>
        <stp/>
        <stp>BDH|17660093312325852468</stp>
        <tr r="W35" s="24"/>
      </tp>
      <tp t="e">
        <v>#N/A</v>
        <stp/>
        <stp>BDH|15808327008243580247</stp>
        <tr r="V54" s="21"/>
      </tp>
      <tp t="e">
        <v>#N/A</v>
        <stp/>
        <stp>BDH|17604789358105676735</stp>
        <tr r="O12" s="10"/>
      </tp>
      <tp t="e">
        <v>#N/A</v>
        <stp/>
        <stp>BDH|13877336594697448989</stp>
        <tr r="AA49" s="22"/>
      </tp>
      <tp t="e">
        <v>#N/A</v>
        <stp/>
        <stp>BDH|10516103627804959086</stp>
        <tr r="Q22" s="17"/>
      </tp>
      <tp t="e">
        <v>#N/A</v>
        <stp/>
        <stp>BDH|12310809405768326564</stp>
        <tr r="C12" s="11"/>
      </tp>
      <tp t="e">
        <v>#N/A</v>
        <stp/>
        <stp>BDH|10549075567990149174</stp>
        <tr r="K54" s="17"/>
      </tp>
      <tp t="e">
        <v>#N/A</v>
        <stp/>
        <stp>BDH|13614157943942055332</stp>
        <tr r="F14" s="8"/>
      </tp>
      <tp t="e">
        <v>#N/A</v>
        <stp/>
        <stp>BDH|15349349919008925847</stp>
        <tr r="H19" s="26"/>
      </tp>
      <tp t="e">
        <v>#N/A</v>
        <stp/>
        <stp>BDH|16983724122505871126</stp>
        <tr r="D47" s="17"/>
      </tp>
      <tp t="e">
        <v>#N/A</v>
        <stp/>
        <stp>BDH|11528470026924648417</stp>
        <tr r="D87" s="17"/>
      </tp>
      <tp t="e">
        <v>#N/A</v>
        <stp/>
        <stp>BDH|18349388512119317493</stp>
        <tr r="S27" s="21"/>
      </tp>
      <tp t="e">
        <v>#N/A</v>
        <stp/>
        <stp>BDH|10597383712521527492</stp>
        <tr r="E55" s="6"/>
      </tp>
      <tp t="e">
        <v>#N/A</v>
        <stp/>
        <stp>BDH|16993286922073930292</stp>
        <tr r="V14" s="27"/>
        <tr r="V28" s="25"/>
      </tp>
      <tp t="e">
        <v>#N/A</v>
        <stp/>
        <stp>BDH|15819567198349438718</stp>
        <tr r="S65" s="34"/>
      </tp>
      <tp t="e">
        <v>#N/A</v>
        <stp/>
        <stp>BDH|12037700772137176208</stp>
        <tr r="R26" s="26"/>
      </tp>
      <tp t="e">
        <v>#N/A</v>
        <stp/>
        <stp>BDH|13514538675705949396</stp>
        <tr r="U13" s="20"/>
        <tr r="U114" s="18"/>
      </tp>
      <tp t="e">
        <v>#N/A</v>
        <stp/>
        <stp>BDH|15198841067544386829</stp>
        <tr r="H62" s="24"/>
      </tp>
      <tp t="e">
        <v>#N/A</v>
        <stp/>
        <stp>BDH|15642208253024163176</stp>
        <tr r="S177" s="18"/>
      </tp>
      <tp t="e">
        <v>#N/A</v>
        <stp/>
        <stp>BDH|15680312051231103544</stp>
        <tr r="P54" s="6"/>
      </tp>
      <tp t="e">
        <v>#N/A</v>
        <stp/>
        <stp>BDH|14613335383489023151</stp>
        <tr r="O147" s="18"/>
      </tp>
      <tp t="e">
        <v>#N/A</v>
        <stp/>
        <stp>BDH|14429243858351863537</stp>
        <tr r="U88" s="17"/>
      </tp>
      <tp t="e">
        <v>#N/A</v>
        <stp/>
        <stp>BDH|12243928374183483837</stp>
        <tr r="X75" s="12"/>
      </tp>
      <tp t="e">
        <v>#N/A</v>
        <stp/>
        <stp>BDH|14424357115005511426</stp>
        <tr r="P18" s="23"/>
      </tp>
      <tp t="e">
        <v>#N/A</v>
        <stp/>
        <stp>BDH|12714534157704394139</stp>
        <tr r="N30" s="34"/>
      </tp>
      <tp t="e">
        <v>#N/A</v>
        <stp/>
        <stp>BDH|11925613707995507599</stp>
        <tr r="X58" s="18"/>
      </tp>
      <tp t="e">
        <v>#N/A</v>
        <stp/>
        <stp>BDH|14243917398537147493</stp>
        <tr r="R26" s="7"/>
      </tp>
      <tp t="e">
        <v>#N/A</v>
        <stp/>
        <stp>BDH|15488844788296299497</stp>
        <tr r="L16" s="26"/>
      </tp>
      <tp t="e">
        <v>#N/A</v>
        <stp/>
        <stp>BDH|10614507306980797246</stp>
        <tr r="N100" s="12"/>
      </tp>
      <tp t="e">
        <v>#N/A</v>
        <stp/>
        <stp>BDH|18057414128169825022</stp>
        <tr r="N72" s="17"/>
      </tp>
      <tp t="e">
        <v>#N/A</v>
        <stp/>
        <stp>BDH|10880596473772515748</stp>
        <tr r="D23" s="18"/>
      </tp>
      <tp t="e">
        <v>#N/A</v>
        <stp/>
        <stp>BDH|12295858887875088031</stp>
        <tr r="Z59" s="21"/>
        <tr r="X54" s="11"/>
      </tp>
      <tp t="e">
        <v>#N/A</v>
        <stp/>
        <stp>BDH|15998482245033192165</stp>
        <tr r="U17" s="34"/>
      </tp>
      <tp t="e">
        <v>#N/A</v>
        <stp/>
        <stp>BDH|15664461442430556241</stp>
        <tr r="L68" s="18"/>
      </tp>
      <tp t="e">
        <v>#N/A</v>
        <stp/>
        <stp>BDH|15139564934205300132</stp>
        <tr r="F16" s="12"/>
      </tp>
      <tp t="e">
        <v>#N/A</v>
        <stp/>
        <stp>BDH|14387024923063325228</stp>
        <tr r="H121" s="18"/>
      </tp>
      <tp t="e">
        <v>#N/A</v>
        <stp/>
        <stp>BDH|13724719430248078858</stp>
        <tr r="D25" s="21"/>
      </tp>
      <tp t="e">
        <v>#N/A</v>
        <stp/>
        <stp>BDH|11771140466987694602</stp>
        <tr r="H128" s="18"/>
      </tp>
      <tp t="e">
        <v>#N/A</v>
        <stp/>
        <stp>BDH|16796777676507287677</stp>
        <tr r="U34" s="13"/>
        <tr r="S30" s="10"/>
      </tp>
      <tp t="e">
        <v>#N/A</v>
        <stp/>
        <stp>BDH|10130232749446145795</stp>
        <tr r="V13" s="5"/>
      </tp>
      <tp t="e">
        <v>#N/A</v>
        <stp/>
        <stp>BDH|12061462904697270631</stp>
        <tr r="H26" s="11"/>
        <tr r="H34" s="10"/>
      </tp>
      <tp t="e">
        <v>#N/A</v>
        <stp/>
        <stp>BDH|16966251394328324282</stp>
        <tr r="N91" s="17"/>
      </tp>
      <tp t="e">
        <v>#N/A</v>
        <stp/>
        <stp>BDH|17673507372710197275</stp>
        <tr r="L34" s="10"/>
        <tr r="L26" s="11"/>
      </tp>
      <tp t="e">
        <v>#N/A</v>
        <stp/>
        <stp>BDH|18313541745077195912</stp>
        <tr r="V25" s="3"/>
      </tp>
      <tp t="e">
        <v>#N/A</v>
        <stp/>
        <stp>BDH|13322955500909576412</stp>
        <tr r="F48" s="18"/>
      </tp>
      <tp t="e">
        <v>#N/A</v>
        <stp/>
        <stp>BDH|12030536561537884183</stp>
        <tr r="Z9" s="18"/>
      </tp>
      <tp t="e">
        <v>#N/A</v>
        <stp/>
        <stp>BDH|14224422162669751878</stp>
        <tr r="C39" s="22"/>
      </tp>
      <tp t="e">
        <v>#N/A</v>
        <stp/>
        <stp>BDH|11336768514826399600</stp>
        <tr r="R20" s="23"/>
      </tp>
      <tp t="e">
        <v>#N/A</v>
        <stp/>
        <stp>BDH|14978325250344096192</stp>
        <tr r="H11" s="7"/>
      </tp>
      <tp t="e">
        <v>#N/A</v>
        <stp/>
        <stp>BDH|13070946785007194222</stp>
        <tr r="I86" s="12"/>
      </tp>
      <tp t="e">
        <v>#N/A</v>
        <stp/>
        <stp>BDH|12312919136096688909</stp>
        <tr r="P55" s="17"/>
      </tp>
      <tp t="e">
        <v>#N/A</v>
        <stp/>
        <stp>BDH|10040672292099067178</stp>
        <tr r="AA43" s="21"/>
      </tp>
      <tp t="e">
        <v>#N/A</v>
        <stp/>
        <stp>BDH|14036011832603050319</stp>
        <tr r="C84" s="18"/>
      </tp>
      <tp t="e">
        <v>#N/A</v>
        <stp/>
        <stp>BDH|12891315876339441893</stp>
        <tr r="R29" s="22"/>
      </tp>
      <tp t="e">
        <v>#N/A</v>
        <stp/>
        <stp>BDH|12823205359811642353</stp>
        <tr r="G59" s="24"/>
      </tp>
      <tp t="e">
        <v>#N/A</v>
        <stp/>
        <stp>BDH|18106218903224021917</stp>
        <tr r="L32" s="21"/>
      </tp>
      <tp t="e">
        <v>#N/A</v>
        <stp/>
        <stp>BDH|14101508346960567208</stp>
        <tr r="W160" s="18"/>
      </tp>
      <tp t="e">
        <v>#N/A</v>
        <stp/>
        <stp>BDH|16441052403910559154</stp>
        <tr r="M57" s="17"/>
      </tp>
      <tp t="e">
        <v>#N/A</v>
        <stp/>
        <stp>BDH|11223734970967149125</stp>
        <tr r="M8" s="13"/>
      </tp>
      <tp t="e">
        <v>#N/A</v>
        <stp/>
        <stp>BDH|12494299154994332687</stp>
        <tr r="J10" s="28"/>
      </tp>
      <tp t="e">
        <v>#N/A</v>
        <stp/>
        <stp>BDH|10391617459021172584</stp>
        <tr r="N13" s="24"/>
      </tp>
      <tp t="e">
        <v>#N/A</v>
        <stp/>
        <stp>BDH|11015303906483727639</stp>
        <tr r="O48" s="13"/>
      </tp>
      <tp t="e">
        <v>#N/A</v>
        <stp/>
        <stp>BDH|14411674258073999300</stp>
        <tr r="Y23" s="18"/>
      </tp>
      <tp t="e">
        <v>#N/A</v>
        <stp/>
        <stp>BDH|11487018894169481675</stp>
        <tr r="V55" s="34"/>
      </tp>
      <tp t="e">
        <v>#N/A</v>
        <stp/>
        <stp>BDH|12593818698566818269</stp>
        <tr r="U68" s="12"/>
      </tp>
      <tp t="e">
        <v>#N/A</v>
        <stp/>
        <stp>BDH|16958399613015355625</stp>
        <tr r="N22" s="27"/>
      </tp>
      <tp t="e">
        <v>#N/A</v>
        <stp/>
        <stp>BDH|17333274222506671629</stp>
        <tr r="T52" s="13"/>
        <tr r="R55" s="10"/>
        <tr r="R47" s="11"/>
        <tr r="R17" s="7"/>
        <tr r="R17" s="4"/>
        <tr r="T10" s="3"/>
      </tp>
      <tp t="e">
        <v>#N/A</v>
        <stp/>
        <stp>BDH|17813236119243715078</stp>
        <tr r="I9" s="22"/>
      </tp>
      <tp t="e">
        <v>#N/A</v>
        <stp/>
        <stp>BDH|11852950192955898356</stp>
        <tr r="L13" s="26"/>
      </tp>
      <tp t="e">
        <v>#N/A</v>
        <stp/>
        <stp>BDH|16230509705927270376</stp>
        <tr r="M43" s="4"/>
      </tp>
      <tp t="e">
        <v>#N/A</v>
        <stp/>
        <stp>BDH|13251597008682767363</stp>
        <tr r="I6" s="6"/>
      </tp>
      <tp t="e">
        <v>#N/A</v>
        <stp/>
        <stp>BDH|11615371945158578937</stp>
        <tr r="R8" s="11"/>
      </tp>
      <tp t="e">
        <v>#N/A</v>
        <stp/>
        <stp>BDH|17153562732621005770</stp>
        <tr r="K159" s="18"/>
      </tp>
      <tp t="e">
        <v>#N/A</v>
        <stp/>
        <stp>BDH|10327667027617772473</stp>
        <tr r="M134" s="18"/>
      </tp>
      <tp t="e">
        <v>#N/A</v>
        <stp/>
        <stp>BDH|12213791003332374093</stp>
        <tr r="H126" s="18"/>
      </tp>
      <tp t="e">
        <v>#N/A</v>
        <stp/>
        <stp>BDH|12243149721916610033</stp>
        <tr r="O15" s="9"/>
      </tp>
      <tp t="e">
        <v>#N/A</v>
        <stp/>
        <stp>BDH|16232575717691368430</stp>
        <tr r="L58" s="17"/>
      </tp>
      <tp t="e">
        <v>#N/A</v>
        <stp/>
        <stp>BDH|10184303942185645578</stp>
        <tr r="K25" s="21"/>
      </tp>
      <tp t="e">
        <v>#N/A</v>
        <stp/>
        <stp>BDH|11403694355320352594</stp>
        <tr r="U31" s="13"/>
        <tr r="S27" s="10"/>
      </tp>
      <tp t="e">
        <v>#N/A</v>
        <stp/>
        <stp>BDH|12388200379974142490</stp>
        <tr r="V50" s="4"/>
      </tp>
      <tp t="e">
        <v>#N/A</v>
        <stp/>
        <stp>BDH|17370348237005388512</stp>
        <tr r="F116" s="18"/>
      </tp>
      <tp t="e">
        <v>#N/A</v>
        <stp/>
        <stp>BDH|17661080282751807964</stp>
        <tr r="C18" s="6"/>
      </tp>
      <tp t="e">
        <v>#N/A</v>
        <stp/>
        <stp>BDH|11008464865736960280</stp>
        <tr r="M33" s="18"/>
      </tp>
      <tp t="e">
        <v>#N/A</v>
        <stp/>
        <stp>BDH|11412033813120755712</stp>
        <tr r="M45" s="18"/>
      </tp>
      <tp t="e">
        <v>#N/A</v>
        <stp/>
        <stp>BDH|14413359010465408478</stp>
        <tr r="Z15" s="22"/>
      </tp>
      <tp t="e">
        <v>#N/A</v>
        <stp/>
        <stp>BDH|14521474163293454275</stp>
        <tr r="Y110" s="12"/>
      </tp>
      <tp t="e">
        <v>#N/A</v>
        <stp/>
        <stp>BDH|10223337152123003210</stp>
        <tr r="H14" s="20"/>
        <tr r="H115" s="18"/>
      </tp>
      <tp t="e">
        <v>#N/A</v>
        <stp/>
        <stp>BDH|17063566992918769464</stp>
        <tr r="N90" s="12"/>
      </tp>
      <tp t="e">
        <v>#N/A</v>
        <stp/>
        <stp>BDH|14764939919412123993</stp>
        <tr r="N161" s="18"/>
      </tp>
      <tp t="e">
        <v>#N/A</v>
        <stp/>
        <stp>BDH|13203661220915208532</stp>
        <tr r="T8" s="8"/>
      </tp>
      <tp t="e">
        <v>#N/A</v>
        <stp/>
        <stp>BDH|14526098931665143592</stp>
        <tr r="K50" s="21"/>
      </tp>
      <tp t="e">
        <v>#N/A</v>
        <stp/>
        <stp>BDH|13093265731861667448</stp>
        <tr r="N18" s="6"/>
      </tp>
      <tp t="e">
        <v>#N/A</v>
        <stp/>
        <stp>BDH|13959796933793299347</stp>
        <tr r="G8" s="34"/>
      </tp>
      <tp t="e">
        <v>#N/A</v>
        <stp/>
        <stp>BDH|11514949527695032834</stp>
        <tr r="Y117" s="18"/>
      </tp>
      <tp t="e">
        <v>#N/A</v>
        <stp/>
        <stp>BDH|13756917390907331301</stp>
        <tr r="X15" s="5"/>
      </tp>
      <tp t="e">
        <v>#N/A</v>
        <stp/>
        <stp>BDH|15422798352095872522</stp>
        <tr r="Z129" s="18"/>
      </tp>
      <tp t="e">
        <v>#N/A</v>
        <stp/>
        <stp>BDH|17728134340477094215</stp>
        <tr r="F26" s="12"/>
      </tp>
      <tp t="e">
        <v>#N/A</v>
        <stp/>
        <stp>BDH|14200164974604289174</stp>
        <tr r="I40" s="22"/>
      </tp>
      <tp t="e">
        <v>#N/A</v>
        <stp/>
        <stp>BDH|14108493371167575798</stp>
        <tr r="O21" s="21"/>
      </tp>
      <tp t="e">
        <v>#N/A</v>
        <stp/>
        <stp>BDH|11796330631830649668</stp>
        <tr r="S18" s="17"/>
      </tp>
      <tp t="e">
        <v>#N/A</v>
        <stp/>
        <stp>BDH|10657129053623648042</stp>
        <tr r="L34" s="26"/>
      </tp>
      <tp t="e">
        <v>#N/A</v>
        <stp/>
        <stp>BDH|14887615708454159150</stp>
        <tr r="V54" s="13"/>
      </tp>
      <tp t="e">
        <v>#N/A</v>
        <stp/>
        <stp>BDH|16377071400174622579</stp>
        <tr r="Y60" s="21"/>
      </tp>
      <tp t="e">
        <v>#N/A</v>
        <stp/>
        <stp>BDH|12595927986111255569</stp>
        <tr r="T20" s="26"/>
      </tp>
      <tp t="e">
        <v>#N/A</v>
        <stp/>
        <stp>BDH|16255375090693428847</stp>
        <tr r="F63" s="17"/>
      </tp>
      <tp t="e">
        <v>#N/A</v>
        <stp/>
        <stp>BDH|13412535664535100272</stp>
        <tr r="G62" s="17"/>
      </tp>
      <tp t="e">
        <v>#N/A</v>
        <stp/>
        <stp>BDH|15024596859785098758</stp>
        <tr r="N19" s="12"/>
      </tp>
      <tp t="e">
        <v>#N/A</v>
        <stp/>
        <stp>BDH|10624054501275243252</stp>
        <tr r="AA98" s="12"/>
      </tp>
      <tp t="e">
        <v>#N/A</v>
        <stp/>
        <stp>BDH|10815142358794458753</stp>
        <tr r="M59" s="21"/>
        <tr r="K54" s="11"/>
      </tp>
      <tp t="e">
        <v>#N/A</v>
        <stp/>
        <stp>BDH|10066333763913389165</stp>
        <tr r="W20" s="6"/>
      </tp>
      <tp t="e">
        <v>#N/A</v>
        <stp/>
        <stp>BDH|10482600853851314510</stp>
        <tr r="N41" s="13"/>
        <tr r="L29" s="11"/>
        <tr r="L37" s="10"/>
      </tp>
      <tp t="e">
        <v>#N/A</v>
        <stp/>
        <stp>BDH|14854957245839494792</stp>
        <tr r="J72" s="17"/>
      </tp>
      <tp t="e">
        <v>#N/A</v>
        <stp/>
        <stp>BDH|16770469546920356113</stp>
        <tr r="AA37" s="24"/>
      </tp>
      <tp t="e">
        <v>#N/A</v>
        <stp/>
        <stp>BDH|18115065086003744431</stp>
        <tr r="I16" s="25"/>
      </tp>
      <tp t="e">
        <v>#N/A</v>
        <stp/>
        <stp>BDH|17008865997075566412</stp>
        <tr r="U22" s="5"/>
      </tp>
      <tp t="e">
        <v>#N/A</v>
        <stp/>
        <stp>BDH|17023799680057439888</stp>
        <tr r="T8" s="2"/>
      </tp>
      <tp t="e">
        <v>#N/A</v>
        <stp/>
        <stp>BDH|16384362463495081136</stp>
        <tr r="Z111" s="12"/>
      </tp>
      <tp t="e">
        <v>#N/A</v>
        <stp/>
        <stp>BDH|16707350145525302315</stp>
        <tr r="U12" s="24"/>
      </tp>
      <tp t="e">
        <v>#N/A</v>
        <stp/>
        <stp>BDH|16306385704736343491</stp>
        <tr r="J60" s="17"/>
      </tp>
      <tp t="e">
        <v>#N/A</v>
        <stp/>
        <stp>BDH|12657392650864218788</stp>
        <tr r="I54" s="21"/>
      </tp>
      <tp t="e">
        <v>#N/A</v>
        <stp/>
        <stp>BDH|13718575461851086642</stp>
        <tr r="N25" s="24"/>
      </tp>
      <tp t="e">
        <v>#N/A</v>
        <stp/>
        <stp>BDH|11616987589005518271</stp>
        <tr r="F41" s="21"/>
      </tp>
      <tp t="e">
        <v>#N/A</v>
        <stp/>
        <stp>BDH|14468724010554798148</stp>
        <tr r="J15" s="23"/>
        <tr r="H58" s="11"/>
      </tp>
      <tp t="e">
        <v>#N/A</v>
        <stp/>
        <stp>BDH|13488587584981864856</stp>
        <tr r="K10" s="13"/>
      </tp>
      <tp t="e">
        <v>#N/A</v>
        <stp/>
        <stp>BDH|17011876645385181969</stp>
        <tr r="D48" s="18"/>
      </tp>
      <tp t="e">
        <v>#N/A</v>
        <stp/>
        <stp>BDH|11718263415206355320</stp>
        <tr r="Y23" s="23"/>
      </tp>
      <tp t="e">
        <v>#N/A</v>
        <stp/>
        <stp>BDH|10118365333781972681</stp>
        <tr r="AA12" s="12"/>
      </tp>
      <tp t="e">
        <v>#N/A</v>
        <stp/>
        <stp>BDH|12208548925975636707</stp>
        <tr r="V93" s="12"/>
      </tp>
      <tp t="e">
        <v>#N/A</v>
        <stp/>
        <stp>BDH|11094074107823688539</stp>
        <tr r="E15" s="6"/>
      </tp>
      <tp t="e">
        <v>#N/A</v>
        <stp/>
        <stp>BDH|13167571484668702105</stp>
        <tr r="N23" s="18"/>
      </tp>
      <tp t="e">
        <v>#N/A</v>
        <stp/>
        <stp>BDH|18065568498867367484</stp>
        <tr r="J62" s="17"/>
      </tp>
      <tp t="e">
        <v>#N/A</v>
        <stp/>
        <stp>BDH|17307507037162752467</stp>
        <tr r="D48" s="6"/>
        <tr r="F6" s="8"/>
      </tp>
      <tp t="e">
        <v>#N/A</v>
        <stp/>
        <stp>BDH|10230152520093426778</stp>
        <tr r="M17" s="10"/>
      </tp>
      <tp t="e">
        <v>#N/A</v>
        <stp/>
        <stp>BDH|14310509049103951177</stp>
        <tr r="W14" s="28"/>
      </tp>
      <tp t="e">
        <v>#N/A</v>
        <stp/>
        <stp>BDH|13599024477822080147</stp>
        <tr r="F68" s="17"/>
        <tr r="C8" s="9"/>
        <tr r="C8" s="5"/>
      </tp>
      <tp t="e">
        <v>#N/A</v>
        <stp/>
        <stp>BDH|17366923161288394774</stp>
        <tr r="L49" s="4"/>
      </tp>
      <tp t="e">
        <v>#N/A</v>
        <stp/>
        <stp>BDH|12182615466620061524</stp>
        <tr r="W36" s="4"/>
      </tp>
      <tp t="e">
        <v>#N/A</v>
        <stp/>
        <stp>BDH|14161351220007866589</stp>
        <tr r="E24" s="21"/>
      </tp>
      <tp t="e">
        <v>#N/A</v>
        <stp/>
        <stp>BDH|11181770234632546032</stp>
        <tr r="C137" s="18"/>
      </tp>
      <tp t="e">
        <v>#N/A</v>
        <stp/>
        <stp>BDH|14447287356591694580</stp>
        <tr r="Q116" s="18"/>
      </tp>
      <tp t="e">
        <v>#N/A</v>
        <stp/>
        <stp>BDH|12867539388190075876</stp>
        <tr r="J22" s="20"/>
      </tp>
      <tp t="e">
        <v>#N/A</v>
        <stp/>
        <stp>BDH|16414449644688628963</stp>
        <tr r="M38" s="17"/>
      </tp>
      <tp t="e">
        <v>#N/A</v>
        <stp/>
        <stp>BDH|18080268817978348463</stp>
        <tr r="E160" s="18"/>
      </tp>
      <tp t="e">
        <v>#N/A</v>
        <stp/>
        <stp>BDH|12579612824927151657</stp>
        <tr r="X8" s="8"/>
      </tp>
      <tp t="e">
        <v>#N/A</v>
        <stp/>
        <stp>BDH|12507879512789123551</stp>
        <tr r="Q44" s="18"/>
      </tp>
      <tp t="e">
        <v>#N/A</v>
        <stp/>
        <stp>BDH|11411267324997060124</stp>
        <tr r="R9" s="10"/>
      </tp>
      <tp t="e">
        <v>#N/A</v>
        <stp/>
        <stp>BDH|12087000414275320135</stp>
        <tr r="I44" s="21"/>
      </tp>
      <tp t="e">
        <v>#N/A</v>
        <stp/>
        <stp>BDH|10873636662753430498</stp>
        <tr r="G75" s="24"/>
      </tp>
      <tp t="e">
        <v>#N/A</v>
        <stp/>
        <stp>BDH|16217881813008840058</stp>
        <tr r="D19" s="9"/>
      </tp>
      <tp t="e">
        <v>#N/A</v>
        <stp/>
        <stp>BDH|11398460564423784729</stp>
        <tr r="Q17" s="23"/>
      </tp>
      <tp t="e">
        <v>#N/A</v>
        <stp/>
        <stp>BDH|14581672743560125141</stp>
        <tr r="U66" s="18"/>
      </tp>
      <tp t="e">
        <v>#N/A</v>
        <stp/>
        <stp>BDH|15767656456956863783</stp>
        <tr r="D175" s="18"/>
      </tp>
      <tp t="e">
        <v>#N/A</v>
        <stp/>
        <stp>BDH|12617561945887157301</stp>
        <tr r="Y150" s="18"/>
      </tp>
      <tp t="e">
        <v>#N/A</v>
        <stp/>
        <stp>BDH|11136737562072769531</stp>
        <tr r="D158" s="18"/>
      </tp>
      <tp t="e">
        <v>#N/A</v>
        <stp/>
        <stp>BDH|12186106059767489682</stp>
        <tr r="K40" s="22"/>
      </tp>
      <tp t="e">
        <v>#N/A</v>
        <stp/>
        <stp>BDH|18057957376049107861</stp>
        <tr r="AA147" s="18"/>
      </tp>
      <tp t="e">
        <v>#N/A</v>
        <stp/>
        <stp>BDH|17478575045208769954</stp>
        <tr r="F43" s="13"/>
      </tp>
      <tp t="e">
        <v>#N/A</v>
        <stp/>
        <stp>BDH|11942629114540899130</stp>
        <tr r="L18" s="20"/>
      </tp>
      <tp t="e">
        <v>#N/A</v>
        <stp/>
        <stp>BDH|14608344355302197729</stp>
        <tr r="X34" s="12"/>
      </tp>
      <tp t="e">
        <v>#N/A</v>
        <stp/>
        <stp>BDH|16925183828446900442</stp>
        <tr r="U64" s="18"/>
      </tp>
      <tp t="e">
        <v>#N/A</v>
        <stp/>
        <stp>BDH|12091119422671197768</stp>
        <tr r="E29" s="5"/>
      </tp>
      <tp t="e">
        <v>#N/A</v>
        <stp/>
        <stp>BDH|13132809124858522647</stp>
        <tr r="AA89" s="17"/>
      </tp>
      <tp t="e">
        <v>#N/A</v>
        <stp/>
        <stp>BDH|10168499065205139089</stp>
        <tr r="H50" s="34"/>
      </tp>
      <tp t="e">
        <v>#N/A</v>
        <stp/>
        <stp>BDH|14702589272252847318</stp>
        <tr r="C104" s="12"/>
      </tp>
      <tp t="e">
        <v>#N/A</v>
        <stp/>
        <stp>BDH|16403439847201297064</stp>
        <tr r="D101" s="18"/>
      </tp>
      <tp t="e">
        <v>#N/A</v>
        <stp/>
        <stp>BDH|18384819360684161577</stp>
        <tr r="S83" s="18"/>
      </tp>
      <tp t="e">
        <v>#N/A</v>
        <stp/>
        <stp>BDH|11712632040765710173</stp>
        <tr r="L32" s="12"/>
      </tp>
      <tp t="e">
        <v>#N/A</v>
        <stp/>
        <stp>BDH|17681104118766240689</stp>
        <tr r="X30" s="9"/>
      </tp>
      <tp t="e">
        <v>#N/A</v>
        <stp/>
        <stp>BDH|15792637545713764329</stp>
        <tr r="S19" s="34"/>
      </tp>
      <tp t="e">
        <v>#N/A</v>
        <stp/>
        <stp>BDH|13468090033286946135</stp>
        <tr r="U8" s="2"/>
      </tp>
      <tp t="e">
        <v>#N/A</v>
        <stp/>
        <stp>BDH|16669437073175068722</stp>
        <tr r="U19" s="20"/>
      </tp>
      <tp t="e">
        <v>#N/A</v>
        <stp/>
        <stp>BDH|11913442348706671077</stp>
        <tr r="AA125" s="18"/>
      </tp>
      <tp t="e">
        <v>#N/A</v>
        <stp/>
        <stp>BDH|12803870183706843338</stp>
        <tr r="H80" s="12"/>
      </tp>
      <tp t="e">
        <v>#N/A</v>
        <stp/>
        <stp>BDH|15817069397378670387</stp>
        <tr r="I9" s="11"/>
      </tp>
      <tp t="e">
        <v>#N/A</v>
        <stp/>
        <stp>BDH|12020351160061502179</stp>
        <tr r="Y54" s="13"/>
      </tp>
      <tp t="e">
        <v>#N/A</v>
        <stp/>
        <stp>BDH|11392101334770877482</stp>
        <tr r="D43" s="12"/>
      </tp>
      <tp t="e">
        <v>#N/A</v>
        <stp/>
        <stp>BDH|15591562410395304371</stp>
        <tr r="I13" s="20"/>
        <tr r="I114" s="18"/>
      </tp>
      <tp t="e">
        <v>#N/A</v>
        <stp/>
        <stp>BDH|14153861545846351960</stp>
        <tr r="J39" s="24"/>
      </tp>
      <tp t="e">
        <v>#N/A</v>
        <stp/>
        <stp>BDH|12073532676306678149</stp>
        <tr r="S101" s="12"/>
      </tp>
      <tp t="e">
        <v>#N/A</v>
        <stp/>
        <stp>BDH|15857550854906852461</stp>
        <tr r="V66" s="18"/>
      </tp>
      <tp t="e">
        <v>#N/A</v>
        <stp/>
        <stp>BDH|13478531149150975508</stp>
        <tr r="K81" s="18"/>
      </tp>
      <tp t="e">
        <v>#N/A</v>
        <stp/>
        <stp>BDH|15494660953467701615</stp>
        <tr r="E18" s="34"/>
      </tp>
      <tp t="e">
        <v>#N/A</v>
        <stp/>
        <stp>BDH|12034849729669332697</stp>
        <tr r="P30" s="26"/>
      </tp>
      <tp t="e">
        <v>#N/A</v>
        <stp/>
        <stp>BDH|10213859855888780220</stp>
        <tr r="O60" s="12"/>
      </tp>
      <tp t="e">
        <v>#N/A</v>
        <stp/>
        <stp>BDH|10654544254970024715</stp>
        <tr r="G12" s="26"/>
      </tp>
      <tp t="e">
        <v>#N/A</v>
        <stp/>
        <stp>BDH|17109319822732537302</stp>
        <tr r="E59" s="21"/>
        <tr r="C54" s="11"/>
      </tp>
      <tp t="e">
        <v>#N/A</v>
        <stp/>
        <stp>BDH|14498731300394436047</stp>
        <tr r="T64" s="12"/>
      </tp>
      <tp t="e">
        <v>#N/A</v>
        <stp/>
        <stp>BDH|17486540657547353737</stp>
        <tr r="J101" s="18"/>
      </tp>
      <tp t="e">
        <v>#N/A</v>
        <stp/>
        <stp>BDH|17202716333830364447</stp>
        <tr r="L21" s="5"/>
        <tr r="L21" s="9"/>
      </tp>
      <tp t="e">
        <v>#N/A</v>
        <stp/>
        <stp>BDH|18074087022908532585</stp>
        <tr r="E30" s="24"/>
      </tp>
      <tp t="e">
        <v>#N/A</v>
        <stp/>
        <stp>BDH|14369712403264199070</stp>
        <tr r="J16" s="24"/>
      </tp>
      <tp t="e">
        <v>#N/A</v>
        <stp/>
        <stp>BDH|16302763384967228946</stp>
        <tr r="S20" s="22"/>
      </tp>
      <tp t="e">
        <v>#N/A</v>
        <stp/>
        <stp>BDH|11185073733337146232</stp>
        <tr r="D60" s="21"/>
      </tp>
      <tp t="e">
        <v>#N/A</v>
        <stp/>
        <stp>BDH|16836993190709717818</stp>
        <tr r="Q38" s="25"/>
      </tp>
      <tp t="e">
        <v>#N/A</v>
        <stp/>
        <stp>BDH|15397665749023900322</stp>
        <tr r="M59" s="17"/>
      </tp>
      <tp t="e">
        <v>#N/A</v>
        <stp/>
        <stp>BDH|12879274517347797184</stp>
        <tr r="X13" s="21"/>
      </tp>
      <tp t="e">
        <v>#N/A</v>
        <stp/>
        <stp>BDH|17096246063993325739</stp>
        <tr r="M57" s="18"/>
      </tp>
      <tp t="e">
        <v>#N/A</v>
        <stp/>
        <stp>BDH|14526311007557591713</stp>
        <tr r="D177" s="18"/>
      </tp>
      <tp t="e">
        <v>#N/A</v>
        <stp/>
        <stp>BDH|11804196850762725010</stp>
        <tr r="F20" s="10"/>
      </tp>
      <tp t="e">
        <v>#N/A</v>
        <stp/>
        <stp>BDH|12020393724444975031</stp>
        <tr r="O18" s="27"/>
        <tr r="O32" s="25"/>
      </tp>
      <tp t="e">
        <v>#N/A</v>
        <stp/>
        <stp>BDH|13584242746912811081</stp>
        <tr r="Z88" s="17"/>
      </tp>
      <tp t="e">
        <v>#N/A</v>
        <stp/>
        <stp>BDH|16339400143603165262</stp>
        <tr r="R35" s="21"/>
      </tp>
      <tp t="e">
        <v>#N/A</v>
        <stp/>
        <stp>BDH|10013291856312164295</stp>
        <tr r="L22" s="22"/>
      </tp>
      <tp t="e">
        <v>#N/A</v>
        <stp/>
        <stp>BDH|14678641816462204612</stp>
        <tr r="Y62" s="21"/>
      </tp>
      <tp t="e">
        <v>#N/A</v>
        <stp/>
        <stp>BDH|13452120932094629250</stp>
        <tr r="H41" s="13"/>
        <tr r="F29" s="11"/>
        <tr r="F37" s="10"/>
      </tp>
      <tp t="e">
        <v>#N/A</v>
        <stp/>
        <stp>BDH|17205994499268577806</stp>
        <tr r="X67" s="17"/>
        <tr r="X18" s="3"/>
      </tp>
      <tp t="e">
        <v>#N/A</v>
        <stp/>
        <stp>BDH|16593174785570470848</stp>
        <tr r="D6" s="8"/>
      </tp>
      <tp t="e">
        <v>#N/A</v>
        <stp/>
        <stp>BDH|18010436460248602522</stp>
        <tr r="M19" s="20"/>
      </tp>
      <tp t="e">
        <v>#N/A</v>
        <stp/>
        <stp>BDH|13522156720711608615</stp>
        <tr r="K122" s="18"/>
      </tp>
      <tp t="e">
        <v>#N/A</v>
        <stp/>
        <stp>BDH|12264801295390027400</stp>
        <tr r="S38" s="22"/>
      </tp>
      <tp t="e">
        <v>#N/A</v>
        <stp/>
        <stp>BDH|12789917036616190966</stp>
        <tr r="U26" s="17"/>
      </tp>
      <tp t="e">
        <v>#N/A</v>
        <stp/>
        <stp>BDH|14225964964124024873</stp>
        <tr r="E8" s="11"/>
      </tp>
      <tp t="e">
        <v>#N/A</v>
        <stp/>
        <stp>BDH|14359225981481266857</stp>
        <tr r="K6" s="6"/>
      </tp>
      <tp t="e">
        <v>#N/A</v>
        <stp/>
        <stp>BDH|15175622701112759624</stp>
        <tr r="I11" s="18"/>
      </tp>
      <tp t="e">
        <v>#N/A</v>
        <stp/>
        <stp>BDH|17137166000054964596</stp>
        <tr r="C34" s="18"/>
      </tp>
      <tp t="e">
        <v>#N/A</v>
        <stp/>
        <stp>BDH|15469710677004231671</stp>
        <tr r="H90" s="12"/>
      </tp>
      <tp t="e">
        <v>#N/A</v>
        <stp/>
        <stp>BDH|16159140860242311412</stp>
        <tr r="C51" s="18"/>
      </tp>
      <tp t="e">
        <v>#N/A</v>
        <stp/>
        <stp>BDH|15479155850500656606</stp>
        <tr r="G139" s="18"/>
      </tp>
      <tp t="e">
        <v>#N/A</v>
        <stp/>
        <stp>BDH|16265515861903682129</stp>
        <tr r="Z18" s="21"/>
        <tr r="X23" s="2"/>
        <tr r="Z23" s="3"/>
      </tp>
      <tp t="e">
        <v>#N/A</v>
        <stp/>
        <stp>BDH|17185481632475562280</stp>
        <tr r="Z67" s="17"/>
        <tr r="Z18" s="3"/>
      </tp>
      <tp t="e">
        <v>#N/A</v>
        <stp/>
        <stp>BDH|17201773044863761006</stp>
        <tr r="O25" s="26"/>
      </tp>
      <tp t="e">
        <v>#N/A</v>
        <stp/>
        <stp>BDH|10784862282356299179</stp>
        <tr r="I10" s="30"/>
      </tp>
      <tp t="e">
        <v>#N/A</v>
        <stp/>
        <stp>BDH|10001355610132286715</stp>
        <tr r="T70" s="17"/>
      </tp>
      <tp t="e">
        <v>#N/A</v>
        <stp/>
        <stp>BDH|10106613714280602049</stp>
        <tr r="X28" s="4"/>
      </tp>
      <tp t="e">
        <v>#N/A</v>
        <stp/>
        <stp>BDH|13800530164722171588</stp>
        <tr r="G12" s="17"/>
      </tp>
      <tp t="e">
        <v>#N/A</v>
        <stp/>
        <stp>BDH|15194985826401062891</stp>
        <tr r="R25" s="24"/>
      </tp>
      <tp t="e">
        <v>#N/A</v>
        <stp/>
        <stp>BDH|16918288262101633434</stp>
        <tr r="U65" s="10"/>
        <tr r="U39" s="4"/>
      </tp>
      <tp t="e">
        <v>#N/A</v>
        <stp/>
        <stp>BDH|17099050632662293139</stp>
        <tr r="N39" s="6"/>
      </tp>
      <tp t="e">
        <v>#N/A</v>
        <stp/>
        <stp>BDH|18437658105049003024</stp>
        <tr r="L70" s="24"/>
      </tp>
      <tp t="e">
        <v>#N/A</v>
        <stp/>
        <stp>BDH|10282742823514708641</stp>
        <tr r="N76" s="12"/>
      </tp>
      <tp t="e">
        <v>#N/A</v>
        <stp/>
        <stp>BDH|10168671243511797446</stp>
        <tr r="D29" s="6"/>
      </tp>
      <tp t="e">
        <v>#N/A</v>
        <stp/>
        <stp>BDH|16346894809620434918</stp>
        <tr r="D52" s="12"/>
      </tp>
      <tp t="e">
        <v>#N/A</v>
        <stp/>
        <stp>BDH|11775491926470666088</stp>
        <tr r="P173" s="18"/>
      </tp>
      <tp t="e">
        <v>#N/A</v>
        <stp/>
        <stp>BDH|17575725310435399323</stp>
        <tr r="R14" s="21"/>
      </tp>
      <tp t="e">
        <v>#N/A</v>
        <stp/>
        <stp>BDH|10620909726628281449</stp>
        <tr r="X168" s="18"/>
      </tp>
      <tp t="e">
        <v>#N/A</v>
        <stp/>
        <stp>BDH|13815152625905841262</stp>
        <tr r="Z9" s="20"/>
        <tr r="Z111" s="18"/>
      </tp>
      <tp t="e">
        <v>#N/A</v>
        <stp/>
        <stp>BDH|16415482009566405375</stp>
        <tr r="S105" s="18"/>
      </tp>
      <tp t="e">
        <v>#N/A</v>
        <stp/>
        <stp>BDH|16970589741649022969</stp>
        <tr r="H63" s="12"/>
      </tp>
      <tp t="e">
        <v>#N/A</v>
        <stp/>
        <stp>BDH|17299846693579384800</stp>
        <tr r="S67" s="18"/>
      </tp>
      <tp t="e">
        <v>#N/A</v>
        <stp/>
        <stp>BDH|13379125762153322063</stp>
        <tr r="M25" s="26"/>
      </tp>
      <tp t="e">
        <v>#N/A</v>
        <stp/>
        <stp>BDH|18342922925527153334</stp>
        <tr r="Z91" s="17"/>
      </tp>
      <tp t="e">
        <v>#N/A</v>
        <stp/>
        <stp>BDH|16062523004225079101</stp>
        <tr r="Q38" s="12"/>
      </tp>
      <tp t="e">
        <v>#N/A</v>
        <stp/>
        <stp>BDH|16940280419177917575</stp>
        <tr r="AA54" s="21"/>
      </tp>
      <tp t="e">
        <v>#N/A</v>
        <stp/>
        <stp>BDH|16923923476778863731</stp>
        <tr r="P60" s="12"/>
      </tp>
      <tp t="e">
        <v>#N/A</v>
        <stp/>
        <stp>BDH|14055245200430778154</stp>
        <tr r="I142" s="18"/>
      </tp>
      <tp t="e">
        <v>#N/A</v>
        <stp/>
        <stp>BDH|17691716636985181168</stp>
        <tr r="I51" s="22"/>
      </tp>
      <tp t="e">
        <v>#N/A</v>
        <stp/>
        <stp>BDH|16339343257626661106</stp>
        <tr r="F46" s="24"/>
      </tp>
      <tp t="e">
        <v>#N/A</v>
        <stp/>
        <stp>BDH|15105386963103417480</stp>
        <tr r="N10" s="23"/>
      </tp>
      <tp t="e">
        <v>#N/A</v>
        <stp/>
        <stp>BDH|14221406783349031672</stp>
        <tr r="R36" s="34"/>
      </tp>
      <tp t="e">
        <v>#N/A</v>
        <stp/>
        <stp>BDH|14298333155903314617</stp>
        <tr r="I24" s="20"/>
      </tp>
      <tp t="e">
        <v>#N/A</v>
        <stp/>
        <stp>BDH|17265216044301059713</stp>
        <tr r="T17" s="18"/>
      </tp>
      <tp t="e">
        <v>#N/A</v>
        <stp/>
        <stp>BDH|10493259857584192419</stp>
        <tr r="N21" s="24"/>
      </tp>
      <tp t="e">
        <v>#N/A</v>
        <stp/>
        <stp>BDH|11388908599893986555</stp>
        <tr r="U7" s="21"/>
      </tp>
      <tp t="e">
        <v>#N/A</v>
        <stp/>
        <stp>BDH|15602657200225045155</stp>
        <tr r="G62" s="21"/>
      </tp>
      <tp t="e">
        <v>#N/A</v>
        <stp/>
        <stp>BDH|15951247172777060068</stp>
        <tr r="S88" s="17"/>
      </tp>
      <tp t="e">
        <v>#N/A</v>
        <stp/>
        <stp>BDH|18102575757076065989</stp>
        <tr r="P20" s="26"/>
      </tp>
      <tp t="e">
        <v>#N/A</v>
        <stp/>
        <stp>BDH|16606546590859210497</stp>
        <tr r="F53" s="13"/>
      </tp>
      <tp t="e">
        <v>#N/A</v>
        <stp/>
        <stp>BDH|13157010500973955701</stp>
        <tr r="K48" s="21"/>
      </tp>
      <tp t="e">
        <v>#N/A</v>
        <stp/>
        <stp>BDH|14212144504372203099</stp>
        <tr r="G30" s="18"/>
      </tp>
      <tp t="e">
        <v>#N/A</v>
        <stp/>
        <stp>BDH|11809248883728054464</stp>
        <tr r="I80" s="12"/>
      </tp>
      <tp t="e">
        <v>#N/A</v>
        <stp/>
        <stp>BDH|11133240312383851668</stp>
        <tr r="F85" s="17"/>
      </tp>
      <tp t="e">
        <v>#N/A</v>
        <stp/>
        <stp>BDH|13254859382313417783</stp>
        <tr r="W22" s="4"/>
      </tp>
      <tp t="e">
        <v>#N/A</v>
        <stp/>
        <stp>BDH|10067299377703646111</stp>
        <tr r="M8" s="17"/>
      </tp>
      <tp t="e">
        <v>#N/A</v>
        <stp/>
        <stp>BDH|17913420695115268855</stp>
        <tr r="Q102" s="12"/>
      </tp>
      <tp t="e">
        <v>#N/A</v>
        <stp/>
        <stp>BDH|12570893972843084977</stp>
        <tr r="R83" s="12"/>
      </tp>
      <tp t="e">
        <v>#N/A</v>
        <stp/>
        <stp>BDH|10030189809297029189</stp>
        <tr r="H13" s="2"/>
      </tp>
      <tp t="e">
        <v>#N/A</v>
        <stp/>
        <stp>BDH|16248710748605114730</stp>
        <tr r="V28" s="4"/>
      </tp>
      <tp t="e">
        <v>#N/A</v>
        <stp/>
        <stp>BDH|13298132083925839832</stp>
        <tr r="Y86" s="12"/>
      </tp>
      <tp t="e">
        <v>#N/A</v>
        <stp/>
        <stp>BDH|11787619218282094378</stp>
        <tr r="C162" s="18"/>
      </tp>
      <tp t="e">
        <v>#N/A</v>
        <stp/>
        <stp>BDH|18170920455425684699</stp>
        <tr r="G10" s="34"/>
      </tp>
      <tp t="e">
        <v>#N/A</v>
        <stp/>
        <stp>BDH|15429492130964503118</stp>
        <tr r="C96" s="18"/>
      </tp>
      <tp t="e">
        <v>#N/A</v>
        <stp/>
        <stp>BDH|11070072189489675717</stp>
        <tr r="P45" s="24"/>
      </tp>
      <tp t="e">
        <v>#N/A</v>
        <stp/>
        <stp>BDH|11890205679301978219</stp>
        <tr r="D9" s="29"/>
      </tp>
      <tp t="e">
        <v>#N/A</v>
        <stp/>
        <stp>BDH|13173885267302290859</stp>
        <tr r="E73" s="24"/>
      </tp>
      <tp t="e">
        <v>#N/A</v>
        <stp/>
        <stp>BDH|15737885656319923696</stp>
        <tr r="F9" s="28"/>
      </tp>
      <tp t="e">
        <v>#N/A</v>
        <stp/>
        <stp>BDH|12957573892339343061</stp>
        <tr r="O96" s="18"/>
      </tp>
      <tp t="e">
        <v>#N/A</v>
        <stp/>
        <stp>BDH|16872613713586129023</stp>
        <tr r="Z50" s="12"/>
      </tp>
      <tp t="e">
        <v>#N/A</v>
        <stp/>
        <stp>BDH|17578796231376756230</stp>
        <tr r="V17" s="13"/>
      </tp>
      <tp t="e">
        <v>#N/A</v>
        <stp/>
        <stp>BDH|14645600027503034485</stp>
        <tr r="J45" s="13"/>
      </tp>
      <tp t="e">
        <v>#N/A</v>
        <stp/>
        <stp>BDH|14847922752087138802</stp>
        <tr r="F34" s="26"/>
      </tp>
      <tp t="e">
        <v>#N/A</v>
        <stp/>
        <stp>BDH|13628340167168452980</stp>
        <tr r="Z66" s="21"/>
      </tp>
      <tp t="e">
        <v>#N/A</v>
        <stp/>
        <stp>BDH|11376210272425971602</stp>
        <tr r="Q15" s="24"/>
      </tp>
      <tp t="e">
        <v>#N/A</v>
        <stp/>
        <stp>BDH|16089569254452917321</stp>
        <tr r="S23" s="18"/>
      </tp>
      <tp t="e">
        <v>#N/A</v>
        <stp/>
        <stp>BDH|12115142008684326072</stp>
        <tr r="J13" s="17"/>
        <tr r="J16" s="28"/>
      </tp>
      <tp t="e">
        <v>#N/A</v>
        <stp/>
        <stp>BDH|10723397625210307612</stp>
        <tr r="L67" s="34"/>
      </tp>
      <tp t="e">
        <v>#N/A</v>
        <stp/>
        <stp>BDH|17620697740521307355</stp>
        <tr r="C112" s="12"/>
      </tp>
      <tp t="e">
        <v>#N/A</v>
        <stp/>
        <stp>BDH|17642335332793749396</stp>
        <tr r="Z21" s="20"/>
      </tp>
      <tp t="e">
        <v>#N/A</v>
        <stp/>
        <stp>BDH|15471159009791631261</stp>
        <tr r="N15" s="22"/>
      </tp>
      <tp t="e">
        <v>#N/A</v>
        <stp/>
        <stp>BDH|12479515050864504181</stp>
        <tr r="U129" s="18"/>
      </tp>
      <tp t="e">
        <v>#N/A</v>
        <stp/>
        <stp>BDH|14430037639046765619</stp>
        <tr r="T31" s="17"/>
      </tp>
      <tp t="e">
        <v>#N/A</v>
        <stp/>
        <stp>BDH|14300799067100261275</stp>
        <tr r="G10" s="22"/>
      </tp>
      <tp t="e">
        <v>#N/A</v>
        <stp/>
        <stp>BDH|15203900486161431288</stp>
        <tr r="K17" s="24"/>
      </tp>
      <tp t="e">
        <v>#N/A</v>
        <stp/>
        <stp>BDH|12993081248372103302</stp>
        <tr r="C104" s="18"/>
      </tp>
      <tp t="e">
        <v>#N/A</v>
        <stp/>
        <stp>BDH|16684105385039921126</stp>
        <tr r="K17" s="12"/>
      </tp>
      <tp t="e">
        <v>#N/A</v>
        <stp/>
        <stp>BDH|15147427553274989711</stp>
        <tr r="S65" s="18"/>
      </tp>
      <tp t="e">
        <v>#N/A</v>
        <stp/>
        <stp>BDH|16132757640363887147</stp>
        <tr r="H48" s="22"/>
      </tp>
      <tp t="e">
        <v>#N/A</v>
        <stp/>
        <stp>BDH|12091968069712191867</stp>
        <tr r="K72" s="24"/>
      </tp>
      <tp t="e">
        <v>#N/A</v>
        <stp/>
        <stp>BDH|15203433110920040796</stp>
        <tr r="M38" s="6"/>
        <tr r="M18" s="5"/>
      </tp>
      <tp t="e">
        <v>#N/A</v>
        <stp/>
        <stp>BDH|17351762242241957268</stp>
        <tr r="F57" s="34"/>
      </tp>
      <tp t="e">
        <v>#N/A</v>
        <stp/>
        <stp>BDH|11150523644872862570</stp>
        <tr r="S26" s="13"/>
        <tr r="S16" s="13"/>
        <tr r="Q18" s="10"/>
      </tp>
      <tp t="e">
        <v>#N/A</v>
        <stp/>
        <stp>BDH|10858656239917535596</stp>
        <tr r="U169" s="18"/>
      </tp>
      <tp t="e">
        <v>#N/A</v>
        <stp/>
        <stp>BDH|14900608914321450511</stp>
        <tr r="I9" s="29"/>
      </tp>
      <tp t="e">
        <v>#N/A</v>
        <stp/>
        <stp>BDH|15234189577782062654</stp>
        <tr r="D13" s="24"/>
      </tp>
      <tp t="e">
        <v>#N/A</v>
        <stp/>
        <stp>BDH|17790387082773022854</stp>
        <tr r="V20" s="27"/>
      </tp>
      <tp t="e">
        <v>#N/A</v>
        <stp/>
        <stp>BDH|14564178859446328107</stp>
        <tr r="F55" s="24"/>
      </tp>
      <tp t="e">
        <v>#N/A</v>
        <stp/>
        <stp>BDH|12965661753894566214</stp>
        <tr r="H63" s="18"/>
      </tp>
      <tp t="e">
        <v>#N/A</v>
        <stp/>
        <stp>BDH|18169184747273657908</stp>
        <tr r="W89" s="18"/>
      </tp>
      <tp t="e">
        <v>#N/A</v>
        <stp/>
        <stp>BDH|13520068340236274692</stp>
        <tr r="D31" s="22"/>
      </tp>
      <tp t="e">
        <v>#N/A</v>
        <stp/>
        <stp>BDH|11990051693978049779</stp>
        <tr r="F12" s="11"/>
      </tp>
      <tp t="e">
        <v>#N/A</v>
        <stp/>
        <stp>BDH|17446289746691713756</stp>
        <tr r="W41" s="11"/>
        <tr r="W49" s="10"/>
        <tr r="W8" s="7"/>
        <tr r="Y11" s="3"/>
      </tp>
      <tp t="e">
        <v>#N/A</v>
        <stp/>
        <stp>BDH|16904378936992682365</stp>
        <tr r="J91" s="12"/>
      </tp>
      <tp t="e">
        <v>#N/A</v>
        <stp/>
        <stp>BDH|10529160398306347906</stp>
        <tr r="R120" s="18"/>
      </tp>
      <tp t="e">
        <v>#N/A</v>
        <stp/>
        <stp>BDH|17866779652731289372</stp>
        <tr r="S167" s="18"/>
      </tp>
      <tp t="e">
        <v>#N/A</v>
        <stp/>
        <stp>BDH|10411976928489716540</stp>
        <tr r="U35" s="29"/>
        <tr r="U15" s="29"/>
      </tp>
      <tp t="e">
        <v>#N/A</v>
        <stp/>
        <stp>BDH|14350012590342335896</stp>
        <tr r="T27" s="7"/>
      </tp>
      <tp t="e">
        <v>#N/A</v>
        <stp/>
        <stp>BDH|13158959405325198886</stp>
        <tr r="P32" s="24"/>
      </tp>
      <tp t="e">
        <v>#N/A</v>
        <stp/>
        <stp>BDH|10428697445732922797</stp>
        <tr r="H137" s="18"/>
      </tp>
      <tp t="e">
        <v>#N/A</v>
        <stp/>
        <stp>BDH|18152014289627500040</stp>
        <tr r="G7" s="10"/>
      </tp>
      <tp t="e">
        <v>#N/A</v>
        <stp/>
        <stp>BDH|17544236369035558121</stp>
        <tr r="O172" s="18"/>
      </tp>
      <tp t="e">
        <v>#N/A</v>
        <stp/>
        <stp>BDH|17206382933265447552</stp>
        <tr r="F9" s="11"/>
      </tp>
      <tp t="e">
        <v>#N/A</v>
        <stp/>
        <stp>BDH|10271792358992392783</stp>
        <tr r="L12" s="24"/>
      </tp>
      <tp t="e">
        <v>#N/A</v>
        <stp/>
        <stp>BDH|10341027868299470850</stp>
        <tr r="Z94" s="17"/>
      </tp>
      <tp t="e">
        <v>#N/A</v>
        <stp/>
        <stp>BDH|16726180612796495719</stp>
        <tr r="C36" s="18"/>
      </tp>
      <tp t="e">
        <v>#N/A</v>
        <stp/>
        <stp>BDH|15812082409363978182</stp>
        <tr r="G30" s="17"/>
      </tp>
      <tp t="e">
        <v>#N/A</v>
        <stp/>
        <stp>BDH|16272167414622051386</stp>
        <tr r="H35" s="13"/>
        <tr r="F31" s="10"/>
      </tp>
      <tp t="e">
        <v>#N/A</v>
        <stp/>
        <stp>BDH|17451283650334157355</stp>
        <tr r="T103" s="12"/>
      </tp>
      <tp t="e">
        <v>#N/A</v>
        <stp/>
        <stp>BDH|12206207977450857052</stp>
        <tr r="H106" s="18"/>
      </tp>
      <tp t="e">
        <v>#N/A</v>
        <stp/>
        <stp>BDH|16977331926858434809</stp>
        <tr r="H66" s="17"/>
      </tp>
      <tp t="e">
        <v>#N/A</v>
        <stp/>
        <stp>BDH|16939744280387404910</stp>
        <tr r="Y36" s="13"/>
        <tr r="W24" s="10"/>
        <tr r="W46" s="4"/>
      </tp>
      <tp t="e">
        <v>#N/A</v>
        <stp/>
        <stp>BDH|11324911528998678549</stp>
        <tr r="T105" s="12"/>
      </tp>
      <tp t="e">
        <v>#N/A</v>
        <stp/>
        <stp>BDH|17979772822047570229</stp>
        <tr r="L9" s="24"/>
      </tp>
      <tp t="e">
        <v>#N/A</v>
        <stp/>
        <stp>BDH|10349190991428720779</stp>
        <tr r="W47" s="13"/>
      </tp>
      <tp t="e">
        <v>#N/A</v>
        <stp/>
        <stp>BDH|15615802692853858074</stp>
        <tr r="Z29" s="22"/>
      </tp>
      <tp t="e">
        <v>#N/A</v>
        <stp/>
        <stp>BDH|17491364698099456352</stp>
        <tr r="Z41" s="24"/>
      </tp>
      <tp t="e">
        <v>#N/A</v>
        <stp/>
        <stp>BDH|15160801726628580093</stp>
        <tr r="J34" s="18"/>
      </tp>
      <tp t="e">
        <v>#N/A</v>
        <stp/>
        <stp>BDH|14228409780686913905</stp>
        <tr r="E39" s="29"/>
        <tr r="E31" s="29"/>
        <tr r="D52" s="6"/>
        <tr r="D11" s="5"/>
        <tr r="E10" s="2"/>
      </tp>
      <tp t="e">
        <v>#N/A</v>
        <stp/>
        <stp>BDH|18071990196657598810</stp>
        <tr r="U45" s="17"/>
      </tp>
      <tp t="e">
        <v>#N/A</v>
        <stp/>
        <stp>BDH|14029316339960111323</stp>
        <tr r="W33" s="21"/>
      </tp>
      <tp t="e">
        <v>#N/A</v>
        <stp/>
        <stp>BDH|10946202174852233040</stp>
        <tr r="U36" s="6"/>
      </tp>
      <tp t="e">
        <v>#N/A</v>
        <stp/>
        <stp>BDH|14421065129646455749</stp>
        <tr r="Q39" s="25"/>
        <tr r="Q22" s="13"/>
        <tr r="Q7" s="13"/>
        <tr r="O18" s="11"/>
        <tr r="Q7" s="3"/>
      </tp>
      <tp t="e">
        <v>#N/A</v>
        <stp/>
        <stp>BDH|17437208721984794497</stp>
        <tr r="H54" s="24"/>
      </tp>
      <tp t="e">
        <v>#N/A</v>
        <stp/>
        <stp>BDH|16892533914355768033</stp>
        <tr r="C23" s="21"/>
      </tp>
      <tp t="e">
        <v>#N/A</v>
        <stp/>
        <stp>BDH|16111675889728475707</stp>
        <tr r="R8" s="26"/>
        <tr r="O10" s="9"/>
      </tp>
      <tp t="e">
        <v>#N/A</v>
        <stp/>
        <stp>BDH|15906390078200573666</stp>
        <tr r="W27" s="12"/>
      </tp>
      <tp t="e">
        <v>#N/A</v>
        <stp/>
        <stp>BDH|14794551044204407699</stp>
        <tr r="G6" s="6"/>
      </tp>
      <tp t="e">
        <v>#N/A</v>
        <stp/>
        <stp>BDH|17106683006130577616</stp>
        <tr r="C65" s="10"/>
        <tr r="C39" s="4"/>
      </tp>
      <tp t="e">
        <v>#N/A</v>
        <stp/>
        <stp>BDH|10107246362415568696</stp>
        <tr r="O18" s="20"/>
      </tp>
      <tp t="e">
        <v>#N/A</v>
        <stp/>
        <stp>BDH|13692786757090440669</stp>
        <tr r="D17" s="27"/>
        <tr r="D31" s="25"/>
      </tp>
      <tp t="e">
        <v>#N/A</v>
        <stp/>
        <stp>BDH|16907045315040144020</stp>
        <tr r="C28" s="9"/>
        <tr r="C28" s="5"/>
      </tp>
      <tp t="e">
        <v>#N/A</v>
        <stp/>
        <stp>BDH|12078464304748930907</stp>
        <tr r="W164" s="18"/>
      </tp>
      <tp t="e">
        <v>#N/A</v>
        <stp/>
        <stp>BDH|15972326534180610221</stp>
        <tr r="S53" s="17"/>
        <tr r="S10" s="25"/>
      </tp>
      <tp t="e">
        <v>#N/A</v>
        <stp/>
        <stp>BDH|14550913815969280287</stp>
        <tr r="R77" s="18"/>
      </tp>
      <tp t="e">
        <v>#N/A</v>
        <stp/>
        <stp>BDH|17074003099788726151</stp>
        <tr r="S130" s="18"/>
      </tp>
      <tp t="e">
        <v>#N/A</v>
        <stp/>
        <stp>BDH|12009035242015974435</stp>
        <tr r="N9" s="28"/>
      </tp>
      <tp t="e">
        <v>#N/A</v>
        <stp/>
        <stp>BDH|13278631420378925830</stp>
        <tr r="X59" s="13"/>
      </tp>
      <tp t="e">
        <v>#N/A</v>
        <stp/>
        <stp>BDH|13635466236563441093</stp>
        <tr r="N22" s="12"/>
      </tp>
      <tp t="e">
        <v>#N/A</v>
        <stp/>
        <stp>BDH|11082053268129181977</stp>
        <tr r="N167" s="18"/>
      </tp>
      <tp t="e">
        <v>#N/A</v>
        <stp/>
        <stp>BDH|18042860854964980601</stp>
        <tr r="T61" s="17"/>
      </tp>
      <tp t="e">
        <v>#N/A</v>
        <stp/>
        <stp>BDH|15902036260474131005</stp>
        <tr r="R23" s="21"/>
      </tp>
      <tp t="e">
        <v>#N/A</v>
        <stp/>
        <stp>BDH|16206185647030273446</stp>
        <tr r="I82" s="12"/>
      </tp>
      <tp t="e">
        <v>#N/A</v>
        <stp/>
        <stp>BDH|10938179036183317611</stp>
        <tr r="H10" s="27"/>
        <tr r="H25" s="25"/>
      </tp>
      <tp t="e">
        <v>#N/A</v>
        <stp/>
        <stp>BDH|15290507142946246588</stp>
        <tr r="C30" s="18"/>
      </tp>
      <tp t="e">
        <v>#N/A</v>
        <stp/>
        <stp>BDH|17054509718366727256</stp>
        <tr r="V8" s="21"/>
      </tp>
      <tp t="e">
        <v>#N/A</v>
        <stp/>
        <stp>BDH|13340576519647396747</stp>
        <tr r="T75" s="17"/>
      </tp>
      <tp t="e">
        <v>#N/A</v>
        <stp/>
        <stp>BDH|17283331715242760097</stp>
        <tr r="J41" s="17"/>
      </tp>
      <tp t="e">
        <v>#N/A</v>
        <stp/>
        <stp>BDH|13490159454912675297</stp>
        <tr r="Y13" s="17"/>
        <tr r="Y16" s="28"/>
      </tp>
      <tp t="e">
        <v>#N/A</v>
        <stp/>
        <stp>BDH|14251331869985712354</stp>
        <tr r="E86" s="18"/>
      </tp>
      <tp t="e">
        <v>#N/A</v>
        <stp/>
        <stp>BDH|10189783421131566373</stp>
        <tr r="E39" s="6"/>
      </tp>
      <tp t="e">
        <v>#N/A</v>
        <stp/>
        <stp>BDH|17958303950816434072</stp>
        <tr r="W176" s="18"/>
      </tp>
      <tp t="e">
        <v>#N/A</v>
        <stp/>
        <stp>BDH|16982702679057866623</stp>
        <tr r="Y13" s="8"/>
      </tp>
      <tp t="e">
        <v>#N/A</v>
        <stp/>
        <stp>BDH|15097303351767315382</stp>
        <tr r="C22" s="12"/>
      </tp>
      <tp t="e">
        <v>#N/A</v>
        <stp/>
        <stp>BDH|16951425030827572141</stp>
        <tr r="F23" s="11"/>
      </tp>
      <tp t="e">
        <v>#N/A</v>
        <stp/>
        <stp>BDH|14094882500662354916</stp>
        <tr r="K11" s="22"/>
      </tp>
      <tp t="e">
        <v>#N/A</v>
        <stp/>
        <stp>BDH|12654757827826822665</stp>
        <tr r="D23" s="29"/>
        <tr r="D14" s="29"/>
        <tr r="D34" s="29"/>
      </tp>
      <tp t="e">
        <v>#N/A</v>
        <stp/>
        <stp>BDH|10348241522626868178</stp>
        <tr r="T6" s="15"/>
        <tr r="T6" s="10"/>
        <tr r="T11" s="4"/>
        <tr r="T12" s="2"/>
      </tp>
      <tp t="e">
        <v>#N/A</v>
        <stp/>
        <stp>BDH|18049945569034049478</stp>
        <tr r="N64" s="34"/>
      </tp>
      <tp t="e">
        <v>#N/A</v>
        <stp/>
        <stp>BDH|14603756079263106018</stp>
        <tr r="K106" s="12"/>
      </tp>
      <tp t="e">
        <v>#N/A</v>
        <stp/>
        <stp>BDH|17836225131965453456</stp>
        <tr r="P11" s="11"/>
      </tp>
      <tp t="e">
        <v>#N/A</v>
        <stp/>
        <stp>BDH|16655319940705501388</stp>
        <tr r="G40" s="12"/>
      </tp>
      <tp t="e">
        <v>#N/A</v>
        <stp/>
        <stp>BDH|10532683077076359036</stp>
        <tr r="W70" s="18"/>
      </tp>
      <tp t="e">
        <v>#N/A</v>
        <stp/>
        <stp>BDH|11818346277614501642</stp>
        <tr r="S23" s="24"/>
      </tp>
      <tp t="e">
        <v>#N/A</v>
        <stp/>
        <stp>BDH|13934677017606005531</stp>
        <tr r="AA35" s="13"/>
        <tr r="Y31" s="10"/>
      </tp>
      <tp t="e">
        <v>#N/A</v>
        <stp/>
        <stp>BDH|15875893102703856915</stp>
        <tr r="G164" s="18"/>
      </tp>
      <tp t="e">
        <v>#N/A</v>
        <stp/>
        <stp>BDH|16731054230767970515</stp>
        <tr r="K30" s="18"/>
      </tp>
      <tp t="e">
        <v>#N/A</v>
        <stp/>
        <stp>BDH|13727390524956180311</stp>
        <tr r="Z29" s="13"/>
        <tr r="X32" s="10"/>
        <tr r="X24" s="11"/>
        <tr r="X45" s="4"/>
      </tp>
      <tp t="e">
        <v>#N/A</v>
        <stp/>
        <stp>BDH|16711693366537717654</stp>
        <tr r="W7" s="4"/>
      </tp>
      <tp t="e">
        <v>#N/A</v>
        <stp/>
        <stp>BDH|13702100625926996112</stp>
        <tr r="T23" s="11"/>
      </tp>
      <tp t="e">
        <v>#N/A</v>
        <stp/>
        <stp>BDH|12718321530303740686</stp>
        <tr r="M9" s="11"/>
      </tp>
      <tp t="e">
        <v>#N/A</v>
        <stp/>
        <stp>BDH|16624801039369406311</stp>
        <tr r="K98" s="18"/>
      </tp>
      <tp t="e">
        <v>#N/A</v>
        <stp/>
        <stp>BDH|10037290562864192703</stp>
        <tr r="I43" s="21"/>
      </tp>
      <tp t="e">
        <v>#N/A</v>
        <stp/>
        <stp>BDH|13512587390510718802</stp>
        <tr r="T125" s="18"/>
      </tp>
      <tp t="e">
        <v>#N/A</v>
        <stp/>
        <stp>BDH|13982092346917434780</stp>
        <tr r="H37" s="21"/>
        <tr r="H24" s="3"/>
      </tp>
      <tp t="e">
        <v>#N/A</v>
        <stp/>
        <stp>BDH|12460383801106265054</stp>
        <tr r="J32" s="17"/>
      </tp>
      <tp t="e">
        <v>#N/A</v>
        <stp/>
        <stp>BDH|14297788540388616866</stp>
        <tr r="X19" s="24"/>
      </tp>
      <tp t="e">
        <v>#N/A</v>
        <stp/>
        <stp>BDH|12223585396381202841</stp>
        <tr r="L54" s="17"/>
      </tp>
      <tp t="e">
        <v>#N/A</v>
        <stp/>
        <stp>BDH|15341716285135474891</stp>
        <tr r="J14" s="20"/>
        <tr r="J115" s="18"/>
      </tp>
      <tp t="e">
        <v>#N/A</v>
        <stp/>
        <stp>BDH|10574296449735824470</stp>
        <tr r="Q12" s="20"/>
        <tr r="Q113" s="18"/>
      </tp>
      <tp t="e">
        <v>#N/A</v>
        <stp/>
        <stp>BDH|11561486432628640936</stp>
        <tr r="T13" s="7"/>
      </tp>
      <tp t="e">
        <v>#N/A</v>
        <stp/>
        <stp>BDH|15170496218757924030</stp>
        <tr r="O91" s="17"/>
      </tp>
      <tp t="e">
        <v>#N/A</v>
        <stp/>
        <stp>BDH|11787810663338087088</stp>
        <tr r="M15" s="4"/>
      </tp>
      <tp t="e">
        <v>#N/A</v>
        <stp/>
        <stp>BDH|11612719509632569361</stp>
        <tr r="I30" s="13"/>
        <tr r="G26" s="10"/>
      </tp>
      <tp t="e">
        <v>#N/A</v>
        <stp/>
        <stp>BDH|14887739590959489429</stp>
        <tr r="I58" s="34"/>
      </tp>
      <tp t="e">
        <v>#N/A</v>
        <stp/>
        <stp>BDH|15101202663957971165</stp>
        <tr r="J10" s="12"/>
      </tp>
      <tp t="e">
        <v>#N/A</v>
        <stp/>
        <stp>BDH|14183710621926418088</stp>
        <tr r="U23" s="22"/>
      </tp>
      <tp t="e">
        <v>#N/A</v>
        <stp/>
        <stp>BDH|10950769519486834733</stp>
        <tr r="S8" s="12"/>
      </tp>
      <tp t="e">
        <v>#N/A</v>
        <stp/>
        <stp>BDH|13858421352087049258</stp>
        <tr r="J118" s="18"/>
      </tp>
      <tp t="e">
        <v>#N/A</v>
        <stp/>
        <stp>BDH|10697857205116813936</stp>
        <tr r="E106" s="12"/>
      </tp>
      <tp t="e">
        <v>#N/A</v>
        <stp/>
        <stp>BDH|14712785140986059620</stp>
        <tr r="R29" s="24"/>
      </tp>
      <tp t="e">
        <v>#N/A</v>
        <stp/>
        <stp>BDH|12201581735954743753</stp>
        <tr r="U48" s="17"/>
      </tp>
      <tp t="e">
        <v>#N/A</v>
        <stp/>
        <stp>BDH|11328298146846250639</stp>
        <tr r="G13" s="21"/>
      </tp>
      <tp t="e">
        <v>#N/A</v>
        <stp/>
        <stp>BDH|11478446774851176480</stp>
        <tr r="AA30" s="21"/>
      </tp>
      <tp t="e">
        <v>#N/A</v>
        <stp/>
        <stp>BDH|16401717914133815449</stp>
        <tr r="K10" s="11"/>
      </tp>
      <tp t="e">
        <v>#N/A</v>
        <stp/>
        <stp>BDH|14074969438138046135</stp>
        <tr r="G40" s="22"/>
      </tp>
      <tp t="e">
        <v>#N/A</v>
        <stp/>
        <stp>BDH|13343889161609126367</stp>
        <tr r="S14" s="13"/>
      </tp>
      <tp t="e">
        <v>#N/A</v>
        <stp/>
        <stp>BDH|15229110740886949173</stp>
        <tr r="Q16" s="24"/>
      </tp>
      <tp t="e">
        <v>#N/A</v>
        <stp/>
        <stp>BDH|15930047405681097356</stp>
        <tr r="J48" s="34"/>
      </tp>
      <tp t="e">
        <v>#N/A</v>
        <stp/>
        <stp>BDH|11780122348077240422</stp>
        <tr r="O83" s="12"/>
      </tp>
      <tp t="e">
        <v>#N/A</v>
        <stp/>
        <stp>BDH|15986485468100082048</stp>
        <tr r="P45" s="12"/>
      </tp>
      <tp t="e">
        <v>#N/A</v>
        <stp/>
        <stp>BDH|14955259152145073136</stp>
        <tr r="P41" s="34"/>
      </tp>
      <tp t="e">
        <v>#N/A</v>
        <stp/>
        <stp>BDH|11702216962954081694</stp>
        <tr r="M59" s="24"/>
      </tp>
      <tp t="e">
        <v>#N/A</v>
        <stp/>
        <stp>BDH|11819060831677008224</stp>
        <tr r="X8" s="24"/>
      </tp>
      <tp t="e">
        <v>#N/A</v>
        <stp/>
        <stp>BDH|17431588240621293037</stp>
        <tr r="K58" s="12"/>
      </tp>
      <tp t="e">
        <v>#N/A</v>
        <stp/>
        <stp>BDH|10946138548026769488</stp>
        <tr r="P167" s="18"/>
      </tp>
      <tp t="e">
        <v>#N/A</v>
        <stp/>
        <stp>BDH|17328080133070715321</stp>
        <tr r="C13" s="12"/>
      </tp>
      <tp t="e">
        <v>#N/A</v>
        <stp/>
        <stp>BDH|14240294107505115406</stp>
        <tr r="Q52" s="22"/>
      </tp>
      <tp t="e">
        <v>#N/A</v>
        <stp/>
        <stp>BDH|17447565138456136067</stp>
        <tr r="K21" s="18"/>
      </tp>
      <tp t="e">
        <v>#N/A</v>
        <stp/>
        <stp>BDH|11393290692925536802</stp>
        <tr r="K75" s="12"/>
      </tp>
      <tp t="e">
        <v>#N/A</v>
        <stp/>
        <stp>BDH|14666186043011596758</stp>
        <tr r="M32" s="13"/>
        <tr r="K28" s="10"/>
      </tp>
      <tp t="e">
        <v>#N/A</v>
        <stp/>
        <stp>BDH|13096299874768748972</stp>
        <tr r="V47" s="17"/>
      </tp>
      <tp t="e">
        <v>#N/A</v>
        <stp/>
        <stp>BDH|13309424855417969206</stp>
        <tr r="J24" s="17"/>
      </tp>
      <tp t="e">
        <v>#N/A</v>
        <stp/>
        <stp>BDH|16852846739049828301</stp>
        <tr r="I21" s="3"/>
      </tp>
      <tp t="e">
        <v>#N/A</v>
        <stp/>
        <stp>BDH|11444626225473905176</stp>
        <tr r="L35" s="18"/>
      </tp>
      <tp t="e">
        <v>#N/A</v>
        <stp/>
        <stp>BDH|11986418134820284130</stp>
        <tr r="X71" s="18"/>
      </tp>
      <tp t="e">
        <v>#N/A</v>
        <stp/>
        <stp>BDH|16568591491965201829</stp>
        <tr r="W72" s="17"/>
      </tp>
      <tp t="e">
        <v>#N/A</v>
        <stp/>
        <stp>BDH|16443580563827185533</stp>
        <tr r="H39" s="25"/>
        <tr r="H22" s="13"/>
        <tr r="H7" s="13"/>
        <tr r="F18" s="11"/>
        <tr r="H7" s="3"/>
      </tp>
      <tp t="e">
        <v>#N/A</v>
        <stp/>
        <stp>BDH|14652097832530371036</stp>
        <tr r="R13" s="21"/>
      </tp>
      <tp t="e">
        <v>#N/A</v>
        <stp/>
        <stp>BDH|17291517206917839202</stp>
        <tr r="H16" s="12"/>
      </tp>
      <tp t="e">
        <v>#N/A</v>
        <stp/>
        <stp>BDH|17806122816444891499</stp>
        <tr r="V96" s="18"/>
      </tp>
      <tp t="e">
        <v>#N/A</v>
        <stp/>
        <stp>BDH|14917562935214035177</stp>
        <tr r="W88" s="12"/>
      </tp>
      <tp t="e">
        <v>#N/A</v>
        <stp/>
        <stp>BDH|17395366718602415053</stp>
        <tr r="I25" s="22"/>
      </tp>
      <tp t="e">
        <v>#N/A</v>
        <stp/>
        <stp>BDH|14011843980834832703</stp>
        <tr r="AA53" s="13"/>
      </tp>
      <tp t="e">
        <v>#N/A</v>
        <stp/>
        <stp>BDH|13079329168449674807</stp>
        <tr r="Z12" s="14"/>
      </tp>
      <tp t="e">
        <v>#N/A</v>
        <stp/>
        <stp>BDH|10424248439120439612</stp>
        <tr r="F19" s="9"/>
      </tp>
      <tp t="e">
        <v>#N/A</v>
        <stp/>
        <stp>BDH|17447706643322337188</stp>
        <tr r="T55" s="11"/>
      </tp>
      <tp t="e">
        <v>#N/A</v>
        <stp/>
        <stp>BDH|13173208454237844413</stp>
        <tr r="F74" s="17"/>
      </tp>
      <tp t="e">
        <v>#N/A</v>
        <stp/>
        <stp>BDH|17530837999094360508</stp>
        <tr r="E6" s="20"/>
        <tr r="E108" s="18"/>
      </tp>
      <tp t="e">
        <v>#N/A</v>
        <stp/>
        <stp>BDH|11373450170971906434</stp>
        <tr r="C34" s="6"/>
      </tp>
      <tp t="e">
        <v>#N/A</v>
        <stp/>
        <stp>BDH|11442182040901931296</stp>
        <tr r="K37" s="21"/>
        <tr r="K24" s="3"/>
      </tp>
      <tp t="e">
        <v>#N/A</v>
        <stp/>
        <stp>BDH|13920513221683687037</stp>
        <tr r="S49" s="22"/>
      </tp>
      <tp t="e">
        <v>#N/A</v>
        <stp/>
        <stp>BDH|13408058791269975455</stp>
        <tr r="O61" s="13"/>
      </tp>
      <tp t="e">
        <v>#N/A</v>
        <stp/>
        <stp>BDH|15552117302662383194</stp>
        <tr r="U17" s="9"/>
      </tp>
      <tp t="e">
        <v>#N/A</v>
        <stp/>
        <stp>BDH|12216811473828907250</stp>
        <tr r="H38" s="18"/>
      </tp>
      <tp t="e">
        <v>#N/A</v>
        <stp/>
        <stp>BDH|10991445360150726567</stp>
        <tr r="V19" s="17"/>
      </tp>
      <tp t="e">
        <v>#N/A</v>
        <stp/>
        <stp>BDH|16856988964846859808</stp>
        <tr r="Y31" s="22"/>
      </tp>
      <tp t="e">
        <v>#N/A</v>
        <stp/>
        <stp>BDH|16881101906798219801</stp>
        <tr r="I146" s="18"/>
      </tp>
      <tp t="e">
        <v>#N/A</v>
        <stp/>
        <stp>BDH|17957253635126513708</stp>
        <tr r="F22" s="7"/>
      </tp>
      <tp t="e">
        <v>#N/A</v>
        <stp/>
        <stp>BDH|14967950142586080826</stp>
        <tr r="H40" s="18"/>
      </tp>
      <tp t="e">
        <v>#N/A</v>
        <stp/>
        <stp>BDH|15281391771795369355</stp>
        <tr r="X13" s="6"/>
      </tp>
      <tp t="e">
        <v>#N/A</v>
        <stp/>
        <stp>BDH|15899681849207320765</stp>
        <tr r="D70" s="12"/>
      </tp>
      <tp t="e">
        <v>#N/A</v>
        <stp/>
        <stp>BDH|14010601656241977139</stp>
        <tr r="R177" s="18"/>
      </tp>
      <tp t="e">
        <v>#N/A</v>
        <stp/>
        <stp>BDH|11143527129586089762</stp>
        <tr r="K88" s="17"/>
      </tp>
      <tp t="e">
        <v>#N/A</v>
        <stp/>
        <stp>BDH|10962101721620438401</stp>
        <tr r="J92" s="17"/>
        <tr r="J7" s="27"/>
      </tp>
      <tp t="e">
        <v>#N/A</v>
        <stp/>
        <stp>BDH|18222388987767072319</stp>
        <tr r="R56" s="24"/>
      </tp>
      <tp t="e">
        <v>#N/A</v>
        <stp/>
        <stp>BDH|11950500308444807752</stp>
        <tr r="Y51" s="24"/>
      </tp>
      <tp t="e">
        <v>#N/A</v>
        <stp/>
        <stp>BDH|12882444287098279158</stp>
        <tr r="O24" s="29"/>
      </tp>
      <tp t="e">
        <v>#N/A</v>
        <stp/>
        <stp>BDH|13140410078412633520</stp>
        <tr r="Q9" s="6"/>
      </tp>
      <tp t="e">
        <v>#N/A</v>
        <stp/>
        <stp>BDH|17553894255195565804</stp>
        <tr r="X13" s="7"/>
      </tp>
      <tp t="e">
        <v>#N/A</v>
        <stp/>
        <stp>BDH|17614876997641321091</stp>
        <tr r="W51" s="34"/>
      </tp>
      <tp t="e">
        <v>#N/A</v>
        <stp/>
        <stp>BDH|16064759458156543548</stp>
        <tr r="M31" s="6"/>
      </tp>
      <tp t="e">
        <v>#N/A</v>
        <stp/>
        <stp>BDH|14225794096625514843</stp>
        <tr r="D13" s="11"/>
      </tp>
      <tp t="e">
        <v>#N/A</v>
        <stp/>
        <stp>BDH|12864864096754463001</stp>
        <tr r="D34" s="18"/>
      </tp>
      <tp t="e">
        <v>#N/A</v>
        <stp/>
        <stp>BDH|15483381222440149338</stp>
        <tr r="F16" s="34"/>
      </tp>
      <tp t="e">
        <v>#N/A</v>
        <stp/>
        <stp>BDH|12119186365042611067</stp>
        <tr r="T31" s="12"/>
      </tp>
      <tp t="e">
        <v>#N/A</v>
        <stp/>
        <stp>BDH|15903328532685491716</stp>
        <tr r="I63" s="17"/>
      </tp>
      <tp t="e">
        <v>#N/A</v>
        <stp/>
        <stp>BDH|11431104489647118800</stp>
        <tr r="N102" s="18"/>
      </tp>
      <tp t="e">
        <v>#N/A</v>
        <stp/>
        <stp>BDH|12131564275607939072</stp>
        <tr r="D13" s="17"/>
        <tr r="D16" s="28"/>
      </tp>
      <tp t="e">
        <v>#N/A</v>
        <stp/>
        <stp>BDH|15274298322064104648</stp>
        <tr r="AA8" s="13"/>
      </tp>
      <tp t="e">
        <v>#N/A</v>
        <stp/>
        <stp>BDH|14097398314554315522</stp>
        <tr r="Y43" s="22"/>
      </tp>
      <tp t="e">
        <v>#N/A</v>
        <stp/>
        <stp>BDH|10612482306035062642</stp>
        <tr r="M95" s="18"/>
      </tp>
      <tp t="e">
        <v>#N/A</v>
        <stp/>
        <stp>BDH|17327173522836291586</stp>
        <tr r="W47" s="17"/>
      </tp>
      <tp t="e">
        <v>#N/A</v>
        <stp/>
        <stp>BDH|11747353834356935032</stp>
        <tr r="Z97" s="18"/>
      </tp>
      <tp t="e">
        <v>#N/A</v>
        <stp/>
        <stp>BDH|11933141877882094266</stp>
        <tr r="M14" s="18"/>
      </tp>
      <tp t="e">
        <v>#N/A</v>
        <stp/>
        <stp>BDH|10772975504099938714</stp>
        <tr r="S55" s="17"/>
      </tp>
      <tp t="e">
        <v>#N/A</v>
        <stp/>
        <stp>BDH|15759502919991788753</stp>
        <tr r="J25" s="10"/>
      </tp>
      <tp t="e">
        <v>#N/A</v>
        <stp/>
        <stp>BDH|12693684936214638429</stp>
        <tr r="D83" s="12"/>
      </tp>
      <tp t="e">
        <v>#N/A</v>
        <stp/>
        <stp>BDH|18407753740324459891</stp>
        <tr r="C14" s="17"/>
        <tr r="C17" s="28"/>
      </tp>
      <tp t="e">
        <v>#N/A</v>
        <stp/>
        <stp>BDH|15386098448317849163</stp>
        <tr r="O118" s="18"/>
      </tp>
      <tp t="e">
        <v>#N/A</v>
        <stp/>
        <stp>BDH|17351401754485824436</stp>
        <tr r="L23" s="17"/>
      </tp>
      <tp t="e">
        <v>#N/A</v>
        <stp/>
        <stp>BDH|17283616756333115088</stp>
        <tr r="F19" s="29"/>
        <tr r="F25" s="29"/>
        <tr r="F10" s="29"/>
        <tr r="G12" s="8"/>
        <tr r="E6" s="9"/>
        <tr r="F6" s="2"/>
        <tr r="E6" s="5"/>
      </tp>
      <tp t="e">
        <v>#N/A</v>
        <stp/>
        <stp>BDH|16858329557696458164</stp>
        <tr r="H88" s="12"/>
      </tp>
      <tp t="e">
        <v>#N/A</v>
        <stp/>
        <stp>BDH|17620219300040923212</stp>
        <tr r="AA16" s="24"/>
      </tp>
      <tp t="e">
        <v>#N/A</v>
        <stp/>
        <stp>BDH|15478551795909232796</stp>
        <tr r="O18" s="34"/>
      </tp>
      <tp t="e">
        <v>#N/A</v>
        <stp/>
        <stp>BDH|17071064269094116218</stp>
        <tr r="S63" s="34"/>
      </tp>
      <tp t="e">
        <v>#N/A</v>
        <stp/>
        <stp>BDH|11433299925072139463</stp>
        <tr r="O24" s="6"/>
      </tp>
      <tp t="e">
        <v>#N/A</v>
        <stp/>
        <stp>BDH|17840072687810600814</stp>
        <tr r="N66" s="18"/>
      </tp>
      <tp t="e">
        <v>#N/A</v>
        <stp/>
        <stp>BDH|18091984286826066819</stp>
        <tr r="X155" s="18"/>
      </tp>
      <tp t="e">
        <v>#N/A</v>
        <stp/>
        <stp>BDH|14884715888968669488</stp>
        <tr r="X25" s="22"/>
      </tp>
      <tp t="e">
        <v>#N/A</v>
        <stp/>
        <stp>BDH|12443579165124836216</stp>
        <tr r="M14" s="10"/>
      </tp>
      <tp t="e">
        <v>#N/A</v>
        <stp/>
        <stp>BDH|16087997808249919175</stp>
        <tr r="Y27" s="26"/>
      </tp>
      <tp t="e">
        <v>#N/A</v>
        <stp/>
        <stp>BDH|14775686656261589133</stp>
        <tr r="Y70" s="12"/>
      </tp>
      <tp t="e">
        <v>#N/A</v>
        <stp/>
        <stp>BDH|12972709794573745857</stp>
        <tr r="N19" s="26"/>
      </tp>
      <tp t="e">
        <v>#N/A</v>
        <stp/>
        <stp>BDH|12040120623071742798</stp>
        <tr r="X60" s="18"/>
      </tp>
      <tp t="e">
        <v>#N/A</v>
        <stp/>
        <stp>BDH|14352721019483592626</stp>
        <tr r="O101" s="18"/>
      </tp>
      <tp t="e">
        <v>#N/A</v>
        <stp/>
        <stp>BDH|12811188479644374756</stp>
        <tr r="Y95" s="18"/>
      </tp>
      <tp t="e">
        <v>#N/A</v>
        <stp/>
        <stp>BDH|12611566208182509228</stp>
        <tr r="J17" s="23"/>
      </tp>
      <tp t="e">
        <v>#N/A</v>
        <stp/>
        <stp>BDH|10901253941010491167</stp>
        <tr r="O71" s="24"/>
      </tp>
      <tp t="e">
        <v>#N/A</v>
        <stp/>
        <stp>BDH|16502473682409881472</stp>
        <tr r="G24" s="22"/>
      </tp>
      <tp t="e">
        <v>#N/A</v>
        <stp/>
        <stp>BDH|15390792071513553116</stp>
        <tr r="M13" s="24"/>
      </tp>
      <tp t="e">
        <v>#N/A</v>
        <stp/>
        <stp>BDH|17780537196929831558</stp>
        <tr r="N24" s="2"/>
      </tp>
      <tp t="e">
        <v>#N/A</v>
        <stp/>
        <stp>BDH|11485254314901209489</stp>
        <tr r="U138" s="18"/>
      </tp>
      <tp t="e">
        <v>#N/A</v>
        <stp/>
        <stp>BDH|16284757354342565196</stp>
        <tr r="D37" s="34"/>
      </tp>
      <tp t="e">
        <v>#N/A</v>
        <stp/>
        <stp>BDH|16854043204743794204</stp>
        <tr r="C68" s="10"/>
      </tp>
      <tp t="e">
        <v>#N/A</v>
        <stp/>
        <stp>BDH|10884420115531580356</stp>
        <tr r="S19" s="22"/>
      </tp>
      <tp t="e">
        <v>#N/A</v>
        <stp/>
        <stp>BDH|14867043050493521561</stp>
        <tr r="K142" s="18"/>
      </tp>
      <tp t="e">
        <v>#N/A</v>
        <stp/>
        <stp>BDH|11821604416787476654</stp>
        <tr r="AA13" s="21"/>
      </tp>
      <tp t="e">
        <v>#N/A</v>
        <stp/>
        <stp>BDH|13682835644898659082</stp>
        <tr r="E20" s="23"/>
      </tp>
      <tp t="e">
        <v>#N/A</v>
        <stp/>
        <stp>BDH|14355262641757962224</stp>
        <tr r="F83" s="12"/>
      </tp>
      <tp t="e">
        <v>#N/A</v>
        <stp/>
        <stp>BDH|18043876034050906450</stp>
        <tr r="K18" s="13"/>
      </tp>
      <tp t="e">
        <v>#N/A</v>
        <stp/>
        <stp>BDH|10645780864775748325</stp>
        <tr r="D60" s="18"/>
      </tp>
      <tp t="e">
        <v>#N/A</v>
        <stp/>
        <stp>BDH|12109171936512764583</stp>
        <tr r="F54" s="34"/>
      </tp>
      <tp t="e">
        <v>#N/A</v>
        <stp/>
        <stp>BDH|17144050775161867662</stp>
        <tr r="M14" s="17"/>
        <tr r="M17" s="28"/>
      </tp>
      <tp t="e">
        <v>#N/A</v>
        <stp/>
        <stp>BDH|13850968832309384706</stp>
        <tr r="T10" s="23"/>
      </tp>
      <tp t="e">
        <v>#N/A</v>
        <stp/>
        <stp>BDH|13025267648114774663</stp>
        <tr r="F101" s="18"/>
      </tp>
      <tp t="e">
        <v>#N/A</v>
        <stp/>
        <stp>BDH|11448631798318321133</stp>
        <tr r="Q103" s="12"/>
      </tp>
      <tp t="e">
        <v>#N/A</v>
        <stp/>
        <stp>BDH|11370741906200601183</stp>
        <tr r="Y34" s="29"/>
        <tr r="Y23" s="29"/>
        <tr r="Y14" s="29"/>
      </tp>
      <tp t="e">
        <v>#N/A</v>
        <stp/>
        <stp>BDH|18168034027669846427</stp>
        <tr r="E12" s="7"/>
      </tp>
      <tp t="e">
        <v>#N/A</v>
        <stp/>
        <stp>BDH|11116824771689453091</stp>
        <tr r="C9" s="10"/>
      </tp>
      <tp t="e">
        <v>#N/A</v>
        <stp/>
        <stp>BDH|13340834914795919820</stp>
        <tr r="Q33" s="29"/>
        <tr r="Q22" s="29"/>
        <tr r="Q13" s="29"/>
      </tp>
      <tp t="e">
        <v>#N/A</v>
        <stp/>
        <stp>BDH|11308054219442078501</stp>
        <tr r="E47" s="24"/>
      </tp>
      <tp t="e">
        <v>#N/A</v>
        <stp/>
        <stp>BDH|16270068304809943865</stp>
        <tr r="F24" s="24"/>
      </tp>
      <tp t="e">
        <v>#N/A</v>
        <stp/>
        <stp>BDH|12048022544152044396</stp>
        <tr r="V6" s="19"/>
        <tr r="V35" s="17"/>
        <tr r="V16" s="3"/>
      </tp>
      <tp t="e">
        <v>#N/A</v>
        <stp/>
        <stp>BDH|14760336009671677144</stp>
        <tr r="X61" s="21"/>
        <tr r="V25" s="2"/>
      </tp>
      <tp t="e">
        <v>#N/A</v>
        <stp/>
        <stp>BDH|13128996834679018737</stp>
        <tr r="T13" s="18"/>
      </tp>
      <tp t="e">
        <v>#N/A</v>
        <stp/>
        <stp>BDH|18339737101290753897</stp>
        <tr r="D29" s="18"/>
      </tp>
      <tp t="e">
        <v>#N/A</v>
        <stp/>
        <stp>BDH|11334571443327829019</stp>
        <tr r="L17" s="14"/>
      </tp>
      <tp t="e">
        <v>#N/A</v>
        <stp/>
        <stp>BDH|12495387215613733401</stp>
        <tr r="M17" s="11"/>
      </tp>
      <tp t="e">
        <v>#N/A</v>
        <stp/>
        <stp>BDH|14893399957981171494</stp>
        <tr r="M93" s="18"/>
      </tp>
      <tp t="e">
        <v>#N/A</v>
        <stp/>
        <stp>BDH|10158109768339613917</stp>
        <tr r="X73" s="17"/>
      </tp>
      <tp t="e">
        <v>#N/A</v>
        <stp/>
        <stp>BDH|17117092665083292513</stp>
        <tr r="M23" s="9"/>
      </tp>
      <tp t="e">
        <v>#N/A</v>
        <stp/>
        <stp>BDH|16454198270257459072</stp>
        <tr r="T12" s="24"/>
      </tp>
      <tp t="e">
        <v>#N/A</v>
        <stp/>
        <stp>BDH|11193053944521685388</stp>
        <tr r="Q8" s="21"/>
      </tp>
      <tp t="e">
        <v>#N/A</v>
        <stp/>
        <stp>BDH|13580384350466318406</stp>
        <tr r="E178" s="18"/>
      </tp>
      <tp t="e">
        <v>#N/A</v>
        <stp/>
        <stp>BDH|11991758014357282745</stp>
        <tr r="T84" s="12"/>
      </tp>
      <tp t="e">
        <v>#N/A</v>
        <stp/>
        <stp>BDH|13404910611505893923</stp>
        <tr r="G25" s="22"/>
      </tp>
      <tp t="e">
        <v>#N/A</v>
        <stp/>
        <stp>BDH|14370372898609557078</stp>
        <tr r="X46" s="22"/>
      </tp>
      <tp t="e">
        <v>#N/A</v>
        <stp/>
        <stp>BDH|14888926815608943382</stp>
        <tr r="W41" s="13"/>
        <tr r="U29" s="11"/>
        <tr r="U37" s="10"/>
      </tp>
      <tp t="e">
        <v>#N/A</v>
        <stp/>
        <stp>BDH|11004935822849845474</stp>
        <tr r="AA10" s="23"/>
      </tp>
      <tp t="e">
        <v>#N/A</v>
        <stp/>
        <stp>BDH|15958173361852740769</stp>
        <tr r="V12" s="17"/>
      </tp>
      <tp t="e">
        <v>#N/A</v>
        <stp/>
        <stp>BDH|16999165439044071788</stp>
        <tr r="P27" s="21"/>
      </tp>
      <tp t="e">
        <v>#N/A</v>
        <stp/>
        <stp>BDH|18041250183624068187</stp>
        <tr r="K38" s="17"/>
      </tp>
      <tp t="e">
        <v>#N/A</v>
        <stp/>
        <stp>BDH|14344914260129840546</stp>
        <tr r="C57" s="13"/>
      </tp>
      <tp t="e">
        <v>#N/A</v>
        <stp/>
        <stp>BDH|12341528414965902426</stp>
        <tr r="P86" s="18"/>
      </tp>
      <tp t="e">
        <v>#N/A</v>
        <stp/>
        <stp>BDH|14957125031928380973</stp>
        <tr r="E39" s="10"/>
        <tr r="E31" s="11"/>
      </tp>
      <tp t="e">
        <v>#N/A</v>
        <stp/>
        <stp>BDH|10707752352040867566</stp>
        <tr r="S72" s="24"/>
      </tp>
      <tp t="e">
        <v>#N/A</v>
        <stp/>
        <stp>BDH|17455333428452882398</stp>
        <tr r="P65" s="10"/>
        <tr r="P39" s="4"/>
      </tp>
      <tp t="e">
        <v>#N/A</v>
        <stp/>
        <stp>BDH|10668665404313263287</stp>
        <tr r="S45" s="13"/>
      </tp>
      <tp t="e">
        <v>#N/A</v>
        <stp/>
        <stp>BDH|15058024906567869523</stp>
        <tr r="S15" s="12"/>
      </tp>
      <tp t="e">
        <v>#N/A</v>
        <stp/>
        <stp>BDH|11409689166620680626</stp>
        <tr r="E106" s="18"/>
      </tp>
      <tp t="e">
        <v>#N/A</v>
        <stp/>
        <stp>BDH|16023137161533565597</stp>
        <tr r="F23" s="5"/>
      </tp>
      <tp t="e">
        <v>#N/A</v>
        <stp/>
        <stp>BDH|17398083256526267319</stp>
        <tr r="T39" s="11"/>
        <tr r="T27" s="11"/>
        <tr r="T47" s="10"/>
        <tr r="T35" s="10"/>
      </tp>
      <tp t="e">
        <v>#N/A</v>
        <stp/>
        <stp>BDH|17696912480724898512</stp>
        <tr r="AA119" s="18"/>
      </tp>
      <tp t="e">
        <v>#N/A</v>
        <stp/>
        <stp>BDH|17623780475532641234</stp>
        <tr r="K103" s="12"/>
      </tp>
      <tp t="e">
        <v>#N/A</v>
        <stp/>
        <stp>BDH|11579636143882980627</stp>
        <tr r="N94" s="12"/>
      </tp>
      <tp t="e">
        <v>#N/A</v>
        <stp/>
        <stp>BDH|15697368452312529695</stp>
        <tr r="K15" s="13"/>
      </tp>
      <tp t="e">
        <v>#N/A</v>
        <stp/>
        <stp>BDH|12237772355162927577</stp>
        <tr r="W93" s="17"/>
        <tr r="W13" s="28"/>
      </tp>
      <tp t="e">
        <v>#N/A</v>
        <stp/>
        <stp>BDH|17907644870495747441</stp>
        <tr r="R43" s="13"/>
      </tp>
      <tp t="e">
        <v>#N/A</v>
        <stp/>
        <stp>BDH|16415181150973657648</stp>
        <tr r="X23" s="18"/>
      </tp>
      <tp t="e">
        <v>#N/A</v>
        <stp/>
        <stp>BDH|16969165563412482794</stp>
        <tr r="Q30" s="17"/>
      </tp>
      <tp t="e">
        <v>#N/A</v>
        <stp/>
        <stp>BDH|15017361393762395975</stp>
        <tr r="U32" s="26"/>
      </tp>
      <tp t="e">
        <v>#N/A</v>
        <stp/>
        <stp>BDH|16597066029680338081</stp>
        <tr r="M35" s="25"/>
      </tp>
      <tp t="e">
        <v>#N/A</v>
        <stp/>
        <stp>BDH|12872438892362832905</stp>
        <tr r="U22" s="21"/>
      </tp>
      <tp t="e">
        <v>#N/A</v>
        <stp/>
        <stp>BDH|17715539306251541764</stp>
        <tr r="K13" s="26"/>
      </tp>
      <tp t="e">
        <v>#N/A</v>
        <stp/>
        <stp>BDH|11701477571827438145</stp>
        <tr r="Y69" s="10"/>
        <tr r="Y61" s="11"/>
        <tr r="Y20" s="7"/>
      </tp>
      <tp t="e">
        <v>#N/A</v>
        <stp/>
        <stp>BDH|12282012627916538208</stp>
        <tr r="T36" s="18"/>
      </tp>
      <tp t="e">
        <v>#N/A</v>
        <stp/>
        <stp>BDH|14394415143514530452</stp>
        <tr r="W43" s="12"/>
      </tp>
      <tp t="e">
        <v>#N/A</v>
        <stp/>
        <stp>BDH|16674883698467315449</stp>
        <tr r="X22" s="9"/>
      </tp>
      <tp t="e">
        <v>#N/A</v>
        <stp/>
        <stp>BDH|16713753765971670204</stp>
        <tr r="L132" s="18"/>
      </tp>
      <tp t="e">
        <v>#N/A</v>
        <stp/>
        <stp>BDH|13389632322943793045</stp>
        <tr r="O8" s="10"/>
      </tp>
      <tp t="e">
        <v>#N/A</v>
        <stp/>
        <stp>BDH|14135529047139328866</stp>
        <tr r="X30" s="34"/>
      </tp>
      <tp t="e">
        <v>#N/A</v>
        <stp/>
        <stp>BDH|14823270950651785693</stp>
        <tr r="C61" s="18"/>
      </tp>
      <tp t="e">
        <v>#N/A</v>
        <stp/>
        <stp>BDH|12813291771177866498</stp>
        <tr r="C44" s="13"/>
      </tp>
      <tp t="e">
        <v>#N/A</v>
        <stp/>
        <stp>BDH|18300826602515452169</stp>
        <tr r="W9" s="10"/>
      </tp>
      <tp t="e">
        <v>#N/A</v>
        <stp/>
        <stp>BDH|13532859703408533772</stp>
        <tr r="Q34" s="29"/>
        <tr r="Q23" s="29"/>
        <tr r="Q14" s="29"/>
      </tp>
      <tp t="e">
        <v>#N/A</v>
        <stp/>
        <stp>BDH|11988513258432469756</stp>
        <tr r="Z101" s="18"/>
      </tp>
      <tp t="e">
        <v>#N/A</v>
        <stp/>
        <stp>BDH|14120659766536317600</stp>
        <tr r="Q37" s="26"/>
      </tp>
      <tp t="e">
        <v>#N/A</v>
        <stp/>
        <stp>BDH|12546382586968361597</stp>
        <tr r="O106" s="12"/>
      </tp>
      <tp t="e">
        <v>#N/A</v>
        <stp/>
        <stp>BDH|14184372809415709690</stp>
        <tr r="D44" s="17"/>
      </tp>
      <tp t="e">
        <v>#N/A</v>
        <stp/>
        <stp>BDH|17709846393893036111</stp>
        <tr r="P48" s="12"/>
      </tp>
      <tp t="e">
        <v>#N/A</v>
        <stp/>
        <stp>BDH|17996737946128494895</stp>
        <tr r="W17" s="34"/>
      </tp>
      <tp t="e">
        <v>#N/A</v>
        <stp/>
        <stp>BDH|15633569041931964196</stp>
        <tr r="H26" s="6"/>
      </tp>
      <tp t="e">
        <v>#N/A</v>
        <stp/>
        <stp>BDH|17480806995387360538</stp>
        <tr r="R12" s="14"/>
      </tp>
      <tp t="e">
        <v>#N/A</v>
        <stp/>
        <stp>BDH|12383349593828324468</stp>
        <tr r="W21" s="3"/>
      </tp>
      <tp t="e">
        <v>#N/A</v>
        <stp/>
        <stp>BDH|14950002119312933384</stp>
        <tr r="F77" s="17"/>
        <tr r="F19" s="3"/>
      </tp>
      <tp t="e">
        <v>#N/A</v>
        <stp/>
        <stp>BDH|14668929985997405644</stp>
        <tr r="X21" s="3"/>
      </tp>
      <tp t="e">
        <v>#N/A</v>
        <stp/>
        <stp>BDH|12058612714248667921</stp>
        <tr r="T89" s="17"/>
      </tp>
      <tp t="e">
        <v>#N/A</v>
        <stp/>
        <stp>BDH|17082218627282546124</stp>
        <tr r="Y46" s="24"/>
      </tp>
      <tp t="e">
        <v>#N/A</v>
        <stp/>
        <stp>BDH|12451511672661282548</stp>
        <tr r="I27" s="26"/>
      </tp>
      <tp t="e">
        <v>#N/A</v>
        <stp/>
        <stp>BDH|13419847563628241105</stp>
        <tr r="R62" s="21"/>
      </tp>
      <tp t="e">
        <v>#N/A</v>
        <stp/>
        <stp>BDH|14335326474077374373</stp>
        <tr r="Q68" s="17"/>
        <tr r="N8" s="9"/>
        <tr r="N8" s="5"/>
      </tp>
      <tp t="e">
        <v>#N/A</v>
        <stp/>
        <stp>BDH|14737147285390133964</stp>
        <tr r="X58" s="17"/>
      </tp>
      <tp t="e">
        <v>#N/A</v>
        <stp/>
        <stp>BDH|12878674233452506187</stp>
        <tr r="Z73" s="18"/>
      </tp>
      <tp t="e">
        <v>#N/A</v>
        <stp/>
        <stp>BDH|13906382620386275021</stp>
        <tr r="U152" s="18"/>
      </tp>
      <tp t="e">
        <v>#N/A</v>
        <stp/>
        <stp>BDH|10823063812347923247</stp>
        <tr r="I14" s="13"/>
      </tp>
      <tp t="e">
        <v>#N/A</v>
        <stp/>
        <stp>BDH|11695553997118392165</stp>
        <tr r="F21" s="6"/>
      </tp>
      <tp t="e">
        <v>#N/A</v>
        <stp/>
        <stp>BDH|11846422929701405266</stp>
        <tr r="S77" s="18"/>
      </tp>
      <tp t="e">
        <v>#N/A</v>
        <stp/>
        <stp>BDH|14622396141330765786</stp>
        <tr r="M80" s="18"/>
      </tp>
      <tp t="e">
        <v>#N/A</v>
        <stp/>
        <stp>BDH|14775822395361997088</stp>
        <tr r="V14" s="18"/>
      </tp>
      <tp t="e">
        <v>#N/A</v>
        <stp/>
        <stp>BDH|10801450433462723181</stp>
        <tr r="H103" s="18"/>
      </tp>
      <tp t="e">
        <v>#N/A</v>
        <stp/>
        <stp>BDH|12347023605161479714</stp>
        <tr r="L47" s="18"/>
      </tp>
      <tp t="e">
        <v>#N/A</v>
        <stp/>
        <stp>BDH|10143704411462731062</stp>
        <tr r="O17" s="18"/>
      </tp>
      <tp t="e">
        <v>#N/A</v>
        <stp/>
        <stp>BDH|16033143547624534370</stp>
        <tr r="R66" s="12"/>
      </tp>
      <tp t="e">
        <v>#N/A</v>
        <stp/>
        <stp>BDH|15656206237651456144</stp>
        <tr r="F42" s="24"/>
      </tp>
      <tp t="e">
        <v>#N/A</v>
        <stp/>
        <stp>BDH|13452608663203796412</stp>
        <tr r="Z7" s="21"/>
      </tp>
      <tp t="e">
        <v>#N/A</v>
        <stp/>
        <stp>BDH|14853036218991010030</stp>
        <tr r="K52" s="18"/>
      </tp>
      <tp t="e">
        <v>#N/A</v>
        <stp/>
        <stp>BDH|17462311316515712448</stp>
        <tr r="N20" s="27"/>
      </tp>
      <tp t="e">
        <v>#N/A</v>
        <stp/>
        <stp>BDH|16762547826484076158</stp>
        <tr r="Z45" s="21"/>
      </tp>
      <tp t="e">
        <v>#N/A</v>
        <stp/>
        <stp>BDH|14237433045808330871</stp>
        <tr r="R68" s="10"/>
      </tp>
      <tp t="e">
        <v>#N/A</v>
        <stp/>
        <stp>BDH|11249746655870255716</stp>
        <tr r="K49" s="17"/>
      </tp>
      <tp t="e">
        <v>#N/A</v>
        <stp/>
        <stp>BDH|10341194840516346798</stp>
        <tr r="L18" s="17"/>
      </tp>
      <tp t="e">
        <v>#N/A</v>
        <stp/>
        <stp>BDH|14046839274356149963</stp>
        <tr r="Y9" s="12"/>
      </tp>
      <tp t="e">
        <v>#N/A</v>
        <stp/>
        <stp>BDH|14171198820726904510</stp>
        <tr r="O6" s="19"/>
        <tr r="O35" s="17"/>
        <tr r="O16" s="3"/>
      </tp>
      <tp t="e">
        <v>#N/A</v>
        <stp/>
        <stp>BDH|16168596031140081496</stp>
        <tr r="M9" s="26"/>
      </tp>
      <tp t="e">
        <v>#N/A</v>
        <stp/>
        <stp>BDH|12445051735004488102</stp>
        <tr r="N6" s="15"/>
        <tr r="N6" s="10"/>
        <tr r="N11" s="4"/>
        <tr r="N12" s="2"/>
      </tp>
      <tp t="e">
        <v>#N/A</v>
        <stp/>
        <stp>BDH|11925335727936883259</stp>
        <tr r="I59" s="24"/>
      </tp>
      <tp t="e">
        <v>#N/A</v>
        <stp/>
        <stp>BDH|12543774924801054263</stp>
        <tr r="W26" s="11"/>
        <tr r="W34" s="10"/>
      </tp>
      <tp t="e">
        <v>#N/A</v>
        <stp/>
        <stp>BDH|16613538652994365648</stp>
        <tr r="K62" s="17"/>
      </tp>
      <tp t="e">
        <v>#N/A</v>
        <stp/>
        <stp>BDH|18169862732051128648</stp>
        <tr r="D33" s="13"/>
      </tp>
      <tp t="e">
        <v>#N/A</v>
        <stp/>
        <stp>BDH|11356659477404227037</stp>
        <tr r="Q105" s="12"/>
      </tp>
      <tp t="e">
        <v>#N/A</v>
        <stp/>
        <stp>BDH|14695297710497856473</stp>
        <tr r="O105" s="18"/>
      </tp>
      <tp t="e">
        <v>#N/A</v>
        <stp/>
        <stp>BDH|16990717811681800514</stp>
        <tr r="J58" s="24"/>
      </tp>
      <tp t="e">
        <v>#N/A</v>
        <stp/>
        <stp>BDH|13117136855237750403</stp>
        <tr r="V44" s="6"/>
      </tp>
      <tp t="e">
        <v>#N/A</v>
        <stp/>
        <stp>BDH|16094101578295194190</stp>
        <tr r="C54" s="24"/>
      </tp>
      <tp t="e">
        <v>#N/A</v>
        <stp/>
        <stp>BDH|18202646734450379916</stp>
        <tr r="U63" s="17"/>
      </tp>
      <tp t="e">
        <v>#N/A</v>
        <stp/>
        <stp>BDH|15243121602242309214</stp>
        <tr r="H39" s="18"/>
      </tp>
      <tp t="e">
        <v>#N/A</v>
        <stp/>
        <stp>BDH|10634001946023364337</stp>
        <tr r="V21" s="10"/>
      </tp>
      <tp t="e">
        <v>#N/A</v>
        <stp/>
        <stp>BDH|17513686343557716690</stp>
        <tr r="G60" s="17"/>
      </tp>
      <tp t="e">
        <v>#N/A</v>
        <stp/>
        <stp>BDH|13280132691927178816</stp>
        <tr r="P11" s="29"/>
      </tp>
      <tp t="e">
        <v>#N/A</v>
        <stp/>
        <stp>BDH|17508573721043666754</stp>
        <tr r="L21" s="17"/>
        <tr r="L15" s="3"/>
      </tp>
      <tp t="e">
        <v>#N/A</v>
        <stp/>
        <stp>BDH|11067532127262031044</stp>
        <tr r="L21" s="2"/>
      </tp>
      <tp t="e">
        <v>#N/A</v>
        <stp/>
        <stp>BDH|12092794788319484057</stp>
        <tr r="R62" s="34"/>
      </tp>
      <tp t="e">
        <v>#N/A</v>
        <stp/>
        <stp>BDH|15300592156961435088</stp>
        <tr r="I67" s="18"/>
      </tp>
      <tp t="e">
        <v>#N/A</v>
        <stp/>
        <stp>BDH|15479807752364276843</stp>
        <tr r="L25" s="27"/>
      </tp>
      <tp t="e">
        <v>#N/A</v>
        <stp/>
        <stp>BDH|17976448350306993442</stp>
        <tr r="T40" s="18"/>
      </tp>
      <tp t="e">
        <v>#N/A</v>
        <stp/>
        <stp>BDH|10653801561142651817</stp>
        <tr r="F41" s="18"/>
      </tp>
      <tp t="e">
        <v>#N/A</v>
        <stp/>
        <stp>BDH|10092219004632793428</stp>
        <tr r="K112" s="12"/>
      </tp>
      <tp t="e">
        <v>#N/A</v>
        <stp/>
        <stp>BDH|14983651903314856279</stp>
        <tr r="S57" s="12"/>
      </tp>
      <tp t="e">
        <v>#N/A</v>
        <stp/>
        <stp>BDH|15664064825586140545</stp>
        <tr r="X16" s="10"/>
      </tp>
      <tp t="e">
        <v>#N/A</v>
        <stp/>
        <stp>BDH|10303631628773930313</stp>
        <tr r="AA12" s="20"/>
        <tr r="AA113" s="18"/>
      </tp>
      <tp t="e">
        <v>#N/A</v>
        <stp/>
        <stp>BDH|13349912382904836288</stp>
        <tr r="W78" s="24"/>
      </tp>
      <tp t="e">
        <v>#N/A</v>
        <stp/>
        <stp>BDH|14748315330672548237</stp>
        <tr r="U55" s="34"/>
      </tp>
      <tp t="e">
        <v>#N/A</v>
        <stp/>
        <stp>BDH|10101046151532704337</stp>
        <tr r="Z16" s="22"/>
      </tp>
      <tp t="e">
        <v>#N/A</v>
        <stp/>
        <stp>BDH|13837134789217600941</stp>
        <tr r="P63" s="34"/>
      </tp>
      <tp t="e">
        <v>#N/A</v>
        <stp/>
        <stp>BDH|10337978040788070170</stp>
        <tr r="T24" s="6"/>
      </tp>
      <tp t="e">
        <v>#N/A</v>
        <stp/>
        <stp>BDH|12941100236482528699</stp>
        <tr r="W52" s="12"/>
      </tp>
      <tp t="e">
        <v>#N/A</v>
        <stp/>
        <stp>BDH|11497320741692131056</stp>
        <tr r="W174" s="18"/>
      </tp>
      <tp t="e">
        <v>#N/A</v>
        <stp/>
        <stp>BDH|16379409604613712530</stp>
        <tr r="U116" s="18"/>
      </tp>
      <tp t="e">
        <v>#N/A</v>
        <stp/>
        <stp>BDH|14526819987506241623</stp>
        <tr r="R94" s="17"/>
      </tp>
      <tp t="e">
        <v>#N/A</v>
        <stp/>
        <stp>BDH|18225516951929261533</stp>
        <tr r="C31" s="13"/>
      </tp>
      <tp t="e">
        <v>#N/A</v>
        <stp/>
        <stp>BDH|13519789575013266496</stp>
        <tr r="J30" s="22"/>
      </tp>
      <tp t="e">
        <v>#N/A</v>
        <stp/>
        <stp>BDH|15874178148464764035</stp>
        <tr r="E52" s="18"/>
      </tp>
      <tp t="e">
        <v>#N/A</v>
        <stp/>
        <stp>BDH|15654942388837929702</stp>
        <tr r="D6" s="20"/>
        <tr r="D108" s="18"/>
      </tp>
      <tp t="e">
        <v>#N/A</v>
        <stp/>
        <stp>BDH|13039510252865834287</stp>
        <tr r="C24" s="22"/>
      </tp>
      <tp t="e">
        <v>#N/A</v>
        <stp/>
        <stp>BDH|17828428519427946195</stp>
        <tr r="V124" s="18"/>
      </tp>
      <tp t="e">
        <v>#N/A</v>
        <stp/>
        <stp>BDH|15835768970057842650</stp>
        <tr r="F67" s="24"/>
      </tp>
      <tp t="e">
        <v>#N/A</v>
        <stp/>
        <stp>BDH|16617106410925145745</stp>
        <tr r="M157" s="18"/>
      </tp>
      <tp t="e">
        <v>#N/A</v>
        <stp/>
        <stp>BDH|11774962563368086211</stp>
        <tr r="J44" s="18"/>
      </tp>
      <tp t="e">
        <v>#N/A</v>
        <stp/>
        <stp>BDH|16704564379020299093</stp>
        <tr r="J149" s="18"/>
      </tp>
      <tp t="e">
        <v>#N/A</v>
        <stp/>
        <stp>BDH|10880096612840502558</stp>
        <tr r="O92" s="12"/>
      </tp>
      <tp t="e">
        <v>#N/A</v>
        <stp/>
        <stp>BDH|12066674749791484590</stp>
        <tr r="Q59" s="18"/>
      </tp>
      <tp t="e">
        <v>#N/A</v>
        <stp/>
        <stp>BDH|12744204636940373713</stp>
        <tr r="K39" s="13"/>
        <tr r="I43" s="10"/>
        <tr r="I35" s="11"/>
        <tr r="I52" s="4"/>
        <tr r="K8" s="3"/>
      </tp>
      <tp t="e">
        <v>#N/A</v>
        <stp/>
        <stp>BDH|17055727161144864688</stp>
        <tr r="Z21" s="12"/>
      </tp>
      <tp t="e">
        <v>#N/A</v>
        <stp/>
        <stp>BDH|16463178876003644706</stp>
        <tr r="I48" s="12"/>
      </tp>
      <tp t="e">
        <v>#N/A</v>
        <stp/>
        <stp>BDH|14781026771506378140</stp>
        <tr r="K34" s="34"/>
      </tp>
      <tp t="e">
        <v>#N/A</v>
        <stp/>
        <stp>BDH|17308607335831141747</stp>
        <tr r="J61" s="21"/>
        <tr r="H25" s="2"/>
      </tp>
      <tp t="e">
        <v>#N/A</v>
        <stp/>
        <stp>BDH|15589659113073155518</stp>
        <tr r="F91" s="18"/>
      </tp>
      <tp t="e">
        <v>#N/A</v>
        <stp/>
        <stp>BDH|13420416565747694256</stp>
        <tr r="W20" s="26"/>
      </tp>
      <tp t="e">
        <v>#N/A</v>
        <stp/>
        <stp>BDH|13309556764395203139</stp>
        <tr r="V29" s="17"/>
      </tp>
      <tp t="e">
        <v>#N/A</v>
        <stp/>
        <stp>BDH|17041566724201951589</stp>
        <tr r="P13" s="14"/>
      </tp>
      <tp t="e">
        <v>#N/A</v>
        <stp/>
        <stp>BDH|17637455061876357727</stp>
        <tr r="H69" s="24"/>
      </tp>
      <tp t="e">
        <v>#N/A</v>
        <stp/>
        <stp>BDH|11298702217471740218</stp>
        <tr r="W29" s="6"/>
      </tp>
      <tp t="e">
        <v>#N/A</v>
        <stp/>
        <stp>BDH|17879074039461466112</stp>
        <tr r="AA49" s="24"/>
      </tp>
      <tp t="e">
        <v>#N/A</v>
        <stp/>
        <stp>BDH|13808256201894659198</stp>
        <tr r="W53" s="6"/>
      </tp>
      <tp t="e">
        <v>#N/A</v>
        <stp/>
        <stp>BDH|14416294214853387097</stp>
        <tr r="H56" s="34"/>
      </tp>
      <tp t="e">
        <v>#N/A</v>
        <stp/>
        <stp>BDH|10440304521665332057</stp>
        <tr r="V74" s="12"/>
      </tp>
      <tp t="e">
        <v>#N/A</v>
        <stp/>
        <stp>BDH|14346168085900627955</stp>
        <tr r="V25" s="27"/>
      </tp>
      <tp t="e">
        <v>#N/A</v>
        <stp/>
        <stp>BDH|13189704953502382720</stp>
        <tr r="U17" s="14"/>
      </tp>
      <tp t="e">
        <v>#N/A</v>
        <stp/>
        <stp>BDH|16874184891139525370</stp>
        <tr r="K64" s="17"/>
      </tp>
      <tp t="e">
        <v>#N/A</v>
        <stp/>
        <stp>BDH|16749830082907784522</stp>
        <tr r="M18" s="24"/>
      </tp>
      <tp t="e">
        <v>#N/A</v>
        <stp/>
        <stp>BDH|14430328284472906988</stp>
        <tr r="F6" s="28"/>
      </tp>
      <tp t="e">
        <v>#N/A</v>
        <stp/>
        <stp>BDH|13307940887321445771</stp>
        <tr r="N138" s="18"/>
      </tp>
      <tp t="e">
        <v>#N/A</v>
        <stp/>
        <stp>BDH|11360275025330166530</stp>
        <tr r="R143" s="18"/>
      </tp>
      <tp t="e">
        <v>#N/A</v>
        <stp/>
        <stp>BDH|17249353505775629574</stp>
        <tr r="F49" s="18"/>
      </tp>
      <tp t="e">
        <v>#N/A</v>
        <stp/>
        <stp>BDH|14674334609692843174</stp>
        <tr r="D58" s="21"/>
        <tr r="D37" s="25"/>
      </tp>
      <tp t="e">
        <v>#N/A</v>
        <stp/>
        <stp>BDH|14226687224396427291</stp>
        <tr r="AA36" s="18"/>
      </tp>
      <tp t="e">
        <v>#N/A</v>
        <stp/>
        <stp>BDH|18364751585454636765</stp>
        <tr r="D32" s="12"/>
      </tp>
      <tp t="e">
        <v>#N/A</v>
        <stp/>
        <stp>BDH|12659195163053644290</stp>
        <tr r="O52" s="21"/>
      </tp>
      <tp t="e">
        <v>#N/A</v>
        <stp/>
        <stp>BDH|18227017443069241115</stp>
        <tr r="Q28" s="34"/>
      </tp>
      <tp t="e">
        <v>#N/A</v>
        <stp/>
        <stp>BDH|10656732043014366365</stp>
        <tr r="O16" s="34"/>
      </tp>
      <tp t="e">
        <v>#N/A</v>
        <stp/>
        <stp>BDH|13755920564088279006</stp>
        <tr r="D8" s="20"/>
        <tr r="D110" s="18"/>
      </tp>
      <tp t="e">
        <v>#N/A</v>
        <stp/>
        <stp>BDH|17152048810721433332</stp>
        <tr r="E21" s="24"/>
      </tp>
      <tp t="e">
        <v>#N/A</v>
        <stp/>
        <stp>BDH|16972851019473504829</stp>
        <tr r="M17" s="12"/>
      </tp>
      <tp t="e">
        <v>#N/A</v>
        <stp/>
        <stp>BDH|17734059971084445055</stp>
        <tr r="O62" s="18"/>
      </tp>
      <tp t="e">
        <v>#N/A</v>
        <stp/>
        <stp>BDH|15998594618624292188</stp>
        <tr r="U7" s="30"/>
      </tp>
      <tp t="e">
        <v>#N/A</v>
        <stp/>
        <stp>BDH|15418197143830923456</stp>
        <tr r="N59" s="17"/>
      </tp>
      <tp t="e">
        <v>#N/A</v>
        <stp/>
        <stp>BDH|12477276057561561038</stp>
        <tr r="Q100" s="12"/>
      </tp>
      <tp t="e">
        <v>#N/A</v>
        <stp/>
        <stp>BDH|17889218318323286312</stp>
        <tr r="U47" s="21"/>
      </tp>
      <tp t="e">
        <v>#N/A</v>
        <stp/>
        <stp>BDH|13804088370155757555</stp>
        <tr r="AA81" s="18"/>
      </tp>
      <tp t="e">
        <v>#N/A</v>
        <stp/>
        <stp>BDH|17100462670420271078</stp>
        <tr r="F49" s="13"/>
        <tr r="D37" s="11"/>
        <tr r="D45" s="10"/>
        <tr r="D53" s="4"/>
        <tr r="D18" s="2"/>
      </tp>
      <tp t="e">
        <v>#N/A</v>
        <stp/>
        <stp>BDH|17731656151008080814</stp>
        <tr r="C45" s="18"/>
      </tp>
      <tp t="e">
        <v>#N/A</v>
        <stp/>
        <stp>BDH|15091162193259608011</stp>
        <tr r="J12" s="22"/>
      </tp>
      <tp t="e">
        <v>#N/A</v>
        <stp/>
        <stp>BDH|10378165363451275269</stp>
        <tr r="T10" s="27"/>
        <tr r="T25" s="25"/>
      </tp>
      <tp t="e">
        <v>#N/A</v>
        <stp/>
        <stp>BDH|17351679070536704411</stp>
        <tr r="M37" s="24"/>
      </tp>
      <tp t="e">
        <v>#N/A</v>
        <stp/>
        <stp>BDH|13477356864363050178</stp>
        <tr r="M108" s="12"/>
      </tp>
      <tp t="e">
        <v>#N/A</v>
        <stp/>
        <stp>BDH|16902354967005005299</stp>
        <tr r="D47" s="12"/>
      </tp>
      <tp t="e">
        <v>#N/A</v>
        <stp/>
        <stp>BDH|10353119749185129482</stp>
        <tr r="I13" s="27"/>
        <tr r="I27" s="25"/>
      </tp>
      <tp t="e">
        <v>#N/A</v>
        <stp/>
        <stp>BDH|14858782912290019609</stp>
        <tr r="N46" s="11"/>
        <tr r="N54" s="10"/>
        <tr r="N7" s="7"/>
        <tr r="P12" s="3"/>
      </tp>
      <tp t="e">
        <v>#N/A</v>
        <stp/>
        <stp>BDH|13582045073139952994</stp>
        <tr r="R150" s="18"/>
      </tp>
      <tp t="e">
        <v>#N/A</v>
        <stp/>
        <stp>BDH|17570082600666604590</stp>
        <tr r="H21" s="4"/>
      </tp>
      <tp t="e">
        <v>#N/A</v>
        <stp/>
        <stp>BDH|10080496590641227899</stp>
        <tr r="J24" s="20"/>
      </tp>
      <tp t="e">
        <v>#N/A</v>
        <stp/>
        <stp>BDH|13924055477484179487</stp>
        <tr r="X59" s="34"/>
      </tp>
      <tp t="e">
        <v>#N/A</v>
        <stp/>
        <stp>BDH|16957764229622525516</stp>
        <tr r="L9" s="26"/>
      </tp>
      <tp t="e">
        <v>#N/A</v>
        <stp/>
        <stp>BDH|18148688614789809279</stp>
        <tr r="L86" s="12"/>
      </tp>
      <tp t="e">
        <v>#N/A</v>
        <stp/>
        <stp>BDH|10073317333391921593</stp>
        <tr r="AA22" s="18"/>
      </tp>
      <tp t="e">
        <v>#N/A</v>
        <stp/>
        <stp>BDH|12491275023673714559</stp>
        <tr r="Z24" s="24"/>
      </tp>
      <tp t="e">
        <v>#N/A</v>
        <stp/>
        <stp>BDH|18179510156654700830</stp>
        <tr r="U107" s="18"/>
      </tp>
      <tp t="e">
        <v>#N/A</v>
        <stp/>
        <stp>BDH|10045375844546430556</stp>
        <tr r="R77" s="24"/>
      </tp>
      <tp t="e">
        <v>#N/A</v>
        <stp/>
        <stp>BDH|14240062256020175510</stp>
        <tr r="Z19" s="14"/>
      </tp>
      <tp t="e">
        <v>#N/A</v>
        <stp/>
        <stp>BDH|17067533119816081184</stp>
        <tr r="Y79" s="18"/>
      </tp>
      <tp t="e">
        <v>#N/A</v>
        <stp/>
        <stp>BDH|14477020617471617053</stp>
        <tr r="E58" s="13"/>
      </tp>
      <tp t="e">
        <v>#N/A</v>
        <stp/>
        <stp>BDH|10121715244000473721</stp>
        <tr r="V62" s="34"/>
      </tp>
      <tp t="e">
        <v>#N/A</v>
        <stp/>
        <stp>BDH|12745927860709033077</stp>
        <tr r="N13" s="10"/>
      </tp>
      <tp t="e">
        <v>#N/A</v>
        <stp/>
        <stp>BDH|17688754864817315565</stp>
        <tr r="AA46" s="21"/>
      </tp>
      <tp t="e">
        <v>#N/A</v>
        <stp/>
        <stp>BDH|12435864215777751825</stp>
        <tr r="K37" s="22"/>
      </tp>
      <tp t="e">
        <v>#N/A</v>
        <stp/>
        <stp>BDH|18246484845664438895</stp>
        <tr r="P9" s="24"/>
      </tp>
      <tp t="e">
        <v>#N/A</v>
        <stp/>
        <stp>BDH|10618770134449511923</stp>
        <tr r="S30" s="34"/>
      </tp>
      <tp t="e">
        <v>#N/A</v>
        <stp/>
        <stp>BDH|12095666627391493372</stp>
        <tr r="V81" s="12"/>
      </tp>
      <tp t="e">
        <v>#N/A</v>
        <stp/>
        <stp>BDH|10828547712898990853</stp>
        <tr r="V8" s="20"/>
        <tr r="V110" s="18"/>
      </tp>
      <tp t="e">
        <v>#N/A</v>
        <stp/>
        <stp>BDH|11530641488518978326</stp>
        <tr r="Q36" s="29"/>
        <tr r="Q16" s="29"/>
      </tp>
      <tp t="e">
        <v>#N/A</v>
        <stp/>
        <stp>BDH|16300138870654410069</stp>
        <tr r="V46" s="17"/>
      </tp>
      <tp t="e">
        <v>#N/A</v>
        <stp/>
        <stp>BDH|10542015965523670155</stp>
        <tr r="W10" s="12"/>
      </tp>
      <tp t="e">
        <v>#N/A</v>
        <stp/>
        <stp>BDH|17419577081157167917</stp>
        <tr r="X32" s="17"/>
      </tp>
      <tp t="e">
        <v>#N/A</v>
        <stp/>
        <stp>BDH|15933629969143169218</stp>
        <tr r="N140" s="18"/>
      </tp>
      <tp t="e">
        <v>#N/A</v>
        <stp/>
        <stp>BDH|13422626904403115215</stp>
        <tr r="F44" s="11"/>
        <tr r="F52" s="10"/>
        <tr r="F16" s="7"/>
      </tp>
      <tp t="e">
        <v>#N/A</v>
        <stp/>
        <stp>BDH|17233978797951508256</stp>
        <tr r="J29" s="21"/>
      </tp>
      <tp t="e">
        <v>#N/A</v>
        <stp/>
        <stp>BDH|16610947094145711732</stp>
        <tr r="T44" s="21"/>
      </tp>
      <tp t="e">
        <v>#N/A</v>
        <stp/>
        <stp>BDH|13527546674504733106</stp>
        <tr r="V14" s="6"/>
      </tp>
      <tp t="e">
        <v>#N/A</v>
        <stp/>
        <stp>BDH|18350028143818602061</stp>
        <tr r="P65" s="17"/>
      </tp>
      <tp t="e">
        <v>#N/A</v>
        <stp/>
        <stp>BDH|17025260244126718309</stp>
        <tr r="D93" s="17"/>
        <tr r="D13" s="28"/>
      </tp>
      <tp t="e">
        <v>#N/A</v>
        <stp/>
        <stp>BDH|15793884806810882946</stp>
        <tr r="R74" s="18"/>
      </tp>
      <tp t="e">
        <v>#N/A</v>
        <stp/>
        <stp>BDH|13204633332453495125</stp>
        <tr r="C16" s="34"/>
      </tp>
      <tp t="e">
        <v>#N/A</v>
        <stp/>
        <stp>BDH|15124451474722261079</stp>
        <tr r="P32" s="26"/>
      </tp>
      <tp t="e">
        <v>#N/A</v>
        <stp/>
        <stp>BDH|16291404951531539230</stp>
        <tr r="V29" s="13"/>
        <tr r="T24" s="11"/>
        <tr r="T32" s="10"/>
        <tr r="T45" s="4"/>
      </tp>
      <tp t="e">
        <v>#N/A</v>
        <stp/>
        <stp>BDH|16482911404513709836</stp>
        <tr r="D42" s="34"/>
      </tp>
      <tp t="e">
        <v>#N/A</v>
        <stp/>
        <stp>BDH|12075544911550382234</stp>
        <tr r="I46" s="13"/>
      </tp>
      <tp t="e">
        <v>#N/A</v>
        <stp/>
        <stp>BDH|11588312720451213536</stp>
        <tr r="T24" s="23"/>
        <tr r="T21" s="30"/>
      </tp>
      <tp t="e">
        <v>#N/A</v>
        <stp/>
        <stp>BDH|18425858770576754533</stp>
        <tr r="C119" s="18"/>
      </tp>
      <tp t="e">
        <v>#N/A</v>
        <stp/>
        <stp>BDH|10230696923940824056</stp>
        <tr r="P71" s="24"/>
      </tp>
      <tp t="e">
        <v>#N/A</v>
        <stp/>
        <stp>BDH|12161647775913161446</stp>
        <tr r="G13" s="5"/>
      </tp>
      <tp t="e">
        <v>#N/A</v>
        <stp/>
        <stp>BDH|16473202544391211578</stp>
        <tr r="J39" s="25"/>
        <tr r="J7" s="13"/>
        <tr r="J22" s="13"/>
        <tr r="H18" s="11"/>
        <tr r="J7" s="3"/>
      </tp>
      <tp t="e">
        <v>#N/A</v>
        <stp/>
        <stp>BDH|13783229481204241938</stp>
        <tr r="I20" s="26"/>
      </tp>
      <tp t="e">
        <v>#N/A</v>
        <stp/>
        <stp>BDH|11518502245177285374</stp>
        <tr r="N63" s="24"/>
      </tp>
      <tp t="e">
        <v>#N/A</v>
        <stp/>
        <stp>BDH|14583065463517141142</stp>
        <tr r="L81" s="18"/>
      </tp>
      <tp t="e">
        <v>#N/A</v>
        <stp/>
        <stp>BDH|11545493318827366724</stp>
        <tr r="I86" s="18"/>
      </tp>
      <tp t="e">
        <v>#N/A</v>
        <stp/>
        <stp>BDH|14156480728047187151</stp>
        <tr r="G8" s="4"/>
      </tp>
      <tp t="e">
        <v>#N/A</v>
        <stp/>
        <stp>BDH|16283227471844731338</stp>
        <tr r="Q23" s="13"/>
      </tp>
      <tp t="e">
        <v>#N/A</v>
        <stp/>
        <stp>BDH|13424718697840431932</stp>
        <tr r="Z10" s="24"/>
      </tp>
      <tp t="e">
        <v>#N/A</v>
        <stp/>
        <stp>BDH|14013145314930563008</stp>
        <tr r="D91" s="12"/>
      </tp>
      <tp t="e">
        <v>#N/A</v>
        <stp/>
        <stp>BDH|13890709242774802075</stp>
        <tr r="M97" s="12"/>
      </tp>
      <tp t="e">
        <v>#N/A</v>
        <stp/>
        <stp>BDH|12220326007992544778</stp>
        <tr r="X30" s="24"/>
      </tp>
      <tp t="e">
        <v>#N/A</v>
        <stp/>
        <stp>BDH|10129923512094320872</stp>
        <tr r="C64" s="18"/>
      </tp>
      <tp t="e">
        <v>#N/A</v>
        <stp/>
        <stp>BDH|11303658229915226482</stp>
        <tr r="X90" s="17"/>
        <tr r="X34" s="25"/>
      </tp>
      <tp t="e">
        <v>#N/A</v>
        <stp/>
        <stp>BDH|10470553827957190424</stp>
        <tr r="G63" s="24"/>
      </tp>
      <tp t="e">
        <v>#N/A</v>
        <stp/>
        <stp>BDH|10422369722896337360</stp>
        <tr r="G26" s="21"/>
      </tp>
      <tp t="e">
        <v>#N/A</v>
        <stp/>
        <stp>BDH|17865019217234990624</stp>
        <tr r="P39" s="25"/>
        <tr r="P22" s="13"/>
        <tr r="P7" s="13"/>
        <tr r="N18" s="11"/>
        <tr r="P7" s="3"/>
      </tp>
      <tp t="e">
        <v>#N/A</v>
        <stp/>
        <stp>BDH|16603047760674277051</stp>
        <tr r="G18" s="27"/>
        <tr r="G32" s="25"/>
      </tp>
      <tp t="e">
        <v>#N/A</v>
        <stp/>
        <stp>BDH|11797915783145886182</stp>
        <tr r="L71" s="18"/>
      </tp>
      <tp t="e">
        <v>#N/A</v>
        <stp/>
        <stp>BDH|14961302938372583219</stp>
        <tr r="M40" s="6"/>
      </tp>
      <tp t="e">
        <v>#N/A</v>
        <stp/>
        <stp>BDH|13074947592462606552</stp>
        <tr r="H55" s="18"/>
      </tp>
      <tp t="e">
        <v>#N/A</v>
        <stp/>
        <stp>BDH|16793041173730793520</stp>
        <tr r="G89" s="18"/>
      </tp>
      <tp t="e">
        <v>#N/A</v>
        <stp/>
        <stp>BDH|13564333529554874222</stp>
        <tr r="T18" s="27"/>
        <tr r="T32" s="25"/>
      </tp>
      <tp t="e">
        <v>#N/A</v>
        <stp/>
        <stp>BDH|18160340181664247331</stp>
        <tr r="H65" s="17"/>
      </tp>
      <tp t="e">
        <v>#N/A</v>
        <stp/>
        <stp>BDH|16809459428886679262</stp>
        <tr r="Q33" s="21"/>
      </tp>
      <tp t="e">
        <v>#N/A</v>
        <stp/>
        <stp>BDH|15427803289483812200</stp>
        <tr r="R63" s="24"/>
      </tp>
      <tp t="e">
        <v>#N/A</v>
        <stp/>
        <stp>BDH|14055480047290212082</stp>
        <tr r="M46" s="18"/>
      </tp>
      <tp t="e">
        <v>#N/A</v>
        <stp/>
        <stp>BDH|13784261303363477639</stp>
        <tr r="E140" s="18"/>
      </tp>
      <tp t="e">
        <v>#N/A</v>
        <stp/>
        <stp>BDH|12209701019683643387</stp>
        <tr r="V60" s="13"/>
      </tp>
      <tp t="e">
        <v>#N/A</v>
        <stp/>
        <stp>BDH|13828814395701090783</stp>
        <tr r="M51" s="17"/>
      </tp>
      <tp t="e">
        <v>#N/A</v>
        <stp/>
        <stp>BDH|12796529042435662259</stp>
        <tr r="X17" s="9"/>
      </tp>
      <tp t="e">
        <v>#N/A</v>
        <stp/>
        <stp>BDH|12386341912754656071</stp>
        <tr r="Z21" s="22"/>
      </tp>
      <tp t="e">
        <v>#N/A</v>
        <stp/>
        <stp>BDH|15327538620521248761</stp>
        <tr r="T61" s="12"/>
      </tp>
      <tp t="e">
        <v>#N/A</v>
        <stp/>
        <stp>BDH|13152283427961246681</stp>
        <tr r="Z36" s="12"/>
      </tp>
      <tp t="e">
        <v>#N/A</v>
        <stp/>
        <stp>BDH|13844427689079385241</stp>
        <tr r="T49" s="6"/>
        <tr r="V9" s="8"/>
      </tp>
      <tp t="e">
        <v>#N/A</v>
        <stp/>
        <stp>BDH|10769715340411172639</stp>
        <tr r="E51" s="18"/>
      </tp>
      <tp t="e">
        <v>#N/A</v>
        <stp/>
        <stp>BDH|17049030702733497012</stp>
        <tr r="Y100" s="12"/>
      </tp>
      <tp t="e">
        <v>#N/A</v>
        <stp/>
        <stp>BDH|17829763989105586960</stp>
        <tr r="E27" s="7"/>
      </tp>
      <tp t="e">
        <v>#N/A</v>
        <stp/>
        <stp>BDH|12679755008420978169</stp>
        <tr r="H36" s="21"/>
      </tp>
      <tp t="e">
        <v>#N/A</v>
        <stp/>
        <stp>BDH|10619449286641413940</stp>
        <tr r="M37" s="29"/>
        <tr r="M17" s="29"/>
      </tp>
      <tp t="e">
        <v>#N/A</v>
        <stp/>
        <stp>BDH|12155509845353133413</stp>
        <tr r="G47" s="24"/>
      </tp>
      <tp t="e">
        <v>#N/A</v>
        <stp/>
        <stp>BDH|12113626061121015768</stp>
        <tr r="S42" s="12"/>
      </tp>
      <tp t="e">
        <v>#N/A</v>
        <stp/>
        <stp>BDH|18277651495083418028</stp>
        <tr r="M25" s="18"/>
      </tp>
      <tp t="e">
        <v>#N/A</v>
        <stp/>
        <stp>BDH|16403296311110193191</stp>
        <tr r="O21" s="2"/>
      </tp>
      <tp t="e">
        <v>#N/A</v>
        <stp/>
        <stp>BDH|17784485613910191692</stp>
        <tr r="R64" s="17"/>
      </tp>
      <tp t="e">
        <v>#N/A</v>
        <stp/>
        <stp>BDH|12649106428041284484</stp>
        <tr r="U28" s="26"/>
      </tp>
      <tp t="e">
        <v>#N/A</v>
        <stp/>
        <stp>BDH|13289920069718458094</stp>
        <tr r="X132" s="18"/>
      </tp>
      <tp t="e">
        <v>#N/A</v>
        <stp/>
        <stp>BDH|14714470651512183342</stp>
        <tr r="E12" s="26"/>
      </tp>
      <tp t="e">
        <v>#N/A</v>
        <stp/>
        <stp>BDH|15481699948877062412</stp>
        <tr r="R44" s="6"/>
      </tp>
      <tp t="e">
        <v>#N/A</v>
        <stp/>
        <stp>BDH|16869279440300350484</stp>
        <tr r="R26" s="17"/>
      </tp>
      <tp t="e">
        <v>#N/A</v>
        <stp/>
        <stp>BDH|13174709986078055036</stp>
        <tr r="AA63" s="18"/>
      </tp>
      <tp t="e">
        <v>#N/A</v>
        <stp/>
        <stp>BDH|16267630601872122651</stp>
        <tr r="D136" s="18"/>
      </tp>
      <tp t="e">
        <v>#N/A</v>
        <stp/>
        <stp>BDH|15061078407354281568</stp>
        <tr r="M17" s="34"/>
      </tp>
      <tp t="e">
        <v>#N/A</v>
        <stp/>
        <stp>BDH|14226460825660784620</stp>
        <tr r="N62" s="12"/>
      </tp>
      <tp t="e">
        <v>#N/A</v>
        <stp/>
        <stp>BDH|14344908997635365530</stp>
        <tr r="Z45" s="18"/>
      </tp>
      <tp t="e">
        <v>#N/A</v>
        <stp/>
        <stp>BDH|15415879892156619634</stp>
        <tr r="P55" s="13"/>
        <tr r="N56" s="10"/>
        <tr r="N48" s="11"/>
        <tr r="N18" s="7"/>
      </tp>
      <tp t="e">
        <v>#N/A</v>
        <stp/>
        <stp>BDH|15284600914830421661</stp>
        <tr r="L39" s="17"/>
      </tp>
      <tp t="e">
        <v>#N/A</v>
        <stp/>
        <stp>BDH|14037503304863795672</stp>
        <tr r="F80" s="12"/>
      </tp>
      <tp t="e">
        <v>#N/A</v>
        <stp/>
        <stp>BDH|13124917622118125475</stp>
        <tr r="V16" s="22"/>
      </tp>
      <tp t="e">
        <v>#N/A</v>
        <stp/>
        <stp>BDH|16141454316367287048</stp>
        <tr r="O55" s="13"/>
        <tr r="M48" s="11"/>
        <tr r="M56" s="10"/>
        <tr r="M18" s="7"/>
      </tp>
      <tp t="e">
        <v>#N/A</v>
        <stp/>
        <stp>BDH|11053431301746129773</stp>
        <tr r="S134" s="18"/>
      </tp>
      <tp t="e">
        <v>#N/A</v>
        <stp/>
        <stp>BDH|15856286382373538831</stp>
        <tr r="K25" s="34"/>
      </tp>
      <tp t="e">
        <v>#N/A</v>
        <stp/>
        <stp>BDH|17027353025772763032</stp>
        <tr r="P141" s="18"/>
      </tp>
      <tp t="e">
        <v>#N/A</v>
        <stp/>
        <stp>BDH|16587748135774450243</stp>
        <tr r="AA109" s="12"/>
      </tp>
      <tp t="e">
        <v>#N/A</v>
        <stp/>
        <stp>BDH|17676815482621548240</stp>
        <tr r="W12" s="7"/>
      </tp>
      <tp t="e">
        <v>#N/A</v>
        <stp/>
        <stp>BDH|12323679596990609902</stp>
        <tr r="X6" s="6"/>
      </tp>
      <tp t="e">
        <v>#N/A</v>
        <stp/>
        <stp>BDH|16845043520964160498</stp>
        <tr r="R22" s="18"/>
      </tp>
      <tp t="e">
        <v>#N/A</v>
        <stp/>
        <stp>BDH|13110464006002171142</stp>
        <tr r="G14" s="23"/>
      </tp>
      <tp t="e">
        <v>#N/A</v>
        <stp/>
        <stp>BDH|14489281069524422059</stp>
        <tr r="L106" s="18"/>
      </tp>
      <tp t="e">
        <v>#N/A</v>
        <stp/>
        <stp>BDH|10053742956186379056</stp>
        <tr r="I16" s="20"/>
      </tp>
      <tp t="e">
        <v>#N/A</v>
        <stp/>
        <stp>BDH|14662264834541955095</stp>
        <tr r="E30" s="22"/>
      </tp>
      <tp t="e">
        <v>#N/A</v>
        <stp/>
        <stp>BDH|12739669847863522777</stp>
        <tr r="S75" s="18"/>
      </tp>
      <tp t="e">
        <v>#N/A</v>
        <stp/>
        <stp>BDH|10671474014244324524</stp>
        <tr r="Y61" s="12"/>
      </tp>
      <tp t="e">
        <v>#N/A</v>
        <stp/>
        <stp>BDH|18313165386664037176</stp>
        <tr r="T10" s="29"/>
        <tr r="T25" s="29"/>
        <tr r="T19" s="29"/>
        <tr r="S6" s="9"/>
        <tr r="U12" s="8"/>
        <tr r="S6" s="5"/>
        <tr r="T6" s="2"/>
      </tp>
      <tp t="e">
        <v>#N/A</v>
        <stp/>
        <stp>BDH|10835087930677567012</stp>
        <tr r="V12" s="18"/>
      </tp>
      <tp t="e">
        <v>#N/A</v>
        <stp/>
        <stp>BDH|10219569617462294250</stp>
        <tr r="I174" s="18"/>
      </tp>
      <tp t="e">
        <v>#N/A</v>
        <stp/>
        <stp>BDH|15878693264664527545</stp>
        <tr r="Q13" s="27"/>
        <tr r="Q27" s="25"/>
      </tp>
      <tp t="e">
        <v>#N/A</v>
        <stp/>
        <stp>BDH|14728594303182017793</stp>
        <tr r="F27" s="26"/>
      </tp>
      <tp t="e">
        <v>#N/A</v>
        <stp/>
        <stp>BDH|17243853747279051645</stp>
        <tr r="S43" s="22"/>
      </tp>
      <tp t="e">
        <v>#N/A</v>
        <stp/>
        <stp>BDH|11823687012226335450</stp>
        <tr r="S128" s="18"/>
      </tp>
      <tp t="e">
        <v>#N/A</v>
        <stp/>
        <stp>BDH|15319373343784434272</stp>
        <tr r="G10" s="21"/>
      </tp>
      <tp t="e">
        <v>#N/A</v>
        <stp/>
        <stp>BDH|14047172783381558854</stp>
        <tr r="Z40" s="24"/>
      </tp>
      <tp t="e">
        <v>#N/A</v>
        <stp/>
        <stp>BDH|15206585522215521391</stp>
        <tr r="C17" s="14"/>
      </tp>
      <tp t="e">
        <v>#N/A</v>
        <stp/>
        <stp>BDH|17734438392337069915</stp>
        <tr r="AA48" s="22"/>
      </tp>
      <tp t="e">
        <v>#N/A</v>
        <stp/>
        <stp>BDH|17794337615771142076</stp>
        <tr r="N118" s="18"/>
      </tp>
      <tp t="e">
        <v>#N/A</v>
        <stp/>
        <stp>BDH|11967488601281658012</stp>
        <tr r="U39" s="25"/>
        <tr r="U22" s="13"/>
        <tr r="U7" s="13"/>
        <tr r="S18" s="11"/>
        <tr r="U7" s="3"/>
      </tp>
      <tp t="e">
        <v>#N/A</v>
        <stp/>
        <stp>BDH|11735601140673384436</stp>
        <tr r="X21" s="22"/>
      </tp>
      <tp t="e">
        <v>#N/A</v>
        <stp/>
        <stp>BDH|12077934988915437280</stp>
        <tr r="R18" s="21"/>
        <tr r="P23" s="2"/>
        <tr r="R23" s="3"/>
      </tp>
      <tp t="e">
        <v>#N/A</v>
        <stp/>
        <stp>BDH|11944109919726365345</stp>
        <tr r="R110" s="12"/>
      </tp>
      <tp t="e">
        <v>#N/A</v>
        <stp/>
        <stp>BDH|16684462560377433733</stp>
        <tr r="U35" s="21"/>
      </tp>
      <tp t="e">
        <v>#N/A</v>
        <stp/>
        <stp>BDH|11775405228885939610</stp>
        <tr r="Y85" s="18"/>
      </tp>
      <tp t="e">
        <v>#N/A</v>
        <stp/>
        <stp>BDH|13960006973146985641</stp>
        <tr r="J93" s="18"/>
      </tp>
      <tp t="e">
        <v>#N/A</v>
        <stp/>
        <stp>BDH|17024478836681127576</stp>
        <tr r="L62" s="18"/>
      </tp>
      <tp t="e">
        <v>#N/A</v>
        <stp/>
        <stp>BDH|12356014514175406258</stp>
        <tr r="E8" s="21"/>
      </tp>
      <tp t="e">
        <v>#N/A</v>
        <stp/>
        <stp>BDH|10483345059097855567</stp>
        <tr r="F63" s="18"/>
      </tp>
      <tp t="e">
        <v>#N/A</v>
        <stp/>
        <stp>BDH|11488289436231594585</stp>
        <tr r="AA49" s="13"/>
        <tr r="Y37" s="11"/>
        <tr r="Y45" s="10"/>
        <tr r="Y53" s="4"/>
        <tr r="Y18" s="2"/>
      </tp>
      <tp t="e">
        <v>#N/A</v>
        <stp/>
        <stp>BDH|13843739888478109056</stp>
        <tr r="T11" s="9"/>
      </tp>
      <tp t="e">
        <v>#N/A</v>
        <stp/>
        <stp>BDH|13476422315127020549</stp>
        <tr r="R16" s="30"/>
      </tp>
      <tp t="e">
        <v>#N/A</v>
        <stp/>
        <stp>BDH|14220303890238699235</stp>
        <tr r="Q51" s="24"/>
      </tp>
      <tp t="e">
        <v>#N/A</v>
        <stp/>
        <stp>BDH|12839611379903450430</stp>
        <tr r="M29" s="18"/>
      </tp>
      <tp t="e">
        <v>#N/A</v>
        <stp/>
        <stp>BDH|13853716719106151769</stp>
        <tr r="R146" s="18"/>
      </tp>
      <tp t="e">
        <v>#N/A</v>
        <stp/>
        <stp>BDH|14573242535799762847</stp>
        <tr r="Q67" s="12"/>
      </tp>
      <tp t="e">
        <v>#N/A</v>
        <stp/>
        <stp>BDH|16741335577984681223</stp>
        <tr r="J59" s="18"/>
      </tp>
      <tp t="e">
        <v>#N/A</v>
        <stp/>
        <stp>BDH|11654619550146273029</stp>
        <tr r="C67" s="34"/>
      </tp>
      <tp t="e">
        <v>#N/A</v>
        <stp/>
        <stp>BDH|18357624289360812270</stp>
        <tr r="S22" s="22"/>
      </tp>
      <tp t="e">
        <v>#N/A</v>
        <stp/>
        <stp>BDH|16732642978392867146</stp>
        <tr r="L32" s="26"/>
      </tp>
      <tp t="e">
        <v>#N/A</v>
        <stp/>
        <stp>BDH|16914088633026434718</stp>
        <tr r="L60" s="18"/>
      </tp>
      <tp t="e">
        <v>#N/A</v>
        <stp/>
        <stp>BDH|15353441649627021692</stp>
        <tr r="W71" s="12"/>
      </tp>
      <tp t="e">
        <v>#N/A</v>
        <stp/>
        <stp>BDH|12476571337557706742</stp>
        <tr r="V66" s="10"/>
      </tp>
      <tp t="e">
        <v>#N/A</v>
        <stp/>
        <stp>BDH|10872488676776513149</stp>
        <tr r="K9" s="22"/>
      </tp>
      <tp t="e">
        <v>#N/A</v>
        <stp/>
        <stp>BDH|10799505535867568502</stp>
        <tr r="P61" s="13"/>
      </tp>
      <tp t="e">
        <v>#N/A</v>
        <stp/>
        <stp>BDH|18400923012570455473</stp>
        <tr r="V167" s="18"/>
      </tp>
      <tp t="e">
        <v>#N/A</v>
        <stp/>
        <stp>BDH|16508741377746685479</stp>
        <tr r="X95" s="18"/>
      </tp>
      <tp t="e">
        <v>#N/A</v>
        <stp/>
        <stp>BDH|12932306718384469027</stp>
        <tr r="V54" s="17"/>
      </tp>
      <tp t="e">
        <v>#N/A</v>
        <stp/>
        <stp>BDH|14762112105268247965</stp>
        <tr r="V19" s="12"/>
      </tp>
      <tp t="e">
        <v>#N/A</v>
        <stp/>
        <stp>BDH|12193079951765386639</stp>
        <tr r="U44" s="24"/>
      </tp>
      <tp t="e">
        <v>#N/A</v>
        <stp/>
        <stp>BDH|13387567973811916483</stp>
        <tr r="L30" s="22"/>
      </tp>
      <tp t="e">
        <v>#N/A</v>
        <stp/>
        <stp>BDH|13450733725055336760</stp>
        <tr r="I66" s="24"/>
      </tp>
      <tp t="e">
        <v>#N/A</v>
        <stp/>
        <stp>BDH|12534517236675527505</stp>
        <tr r="V64" s="34"/>
      </tp>
      <tp t="e">
        <v>#N/A</v>
        <stp/>
        <stp>BDH|16472781716157410393</stp>
        <tr r="L77" s="17"/>
        <tr r="L19" s="3"/>
      </tp>
      <tp t="e">
        <v>#N/A</v>
        <stp/>
        <stp>BDH|10779317997078154670</stp>
        <tr r="J8" s="26"/>
        <tr r="G10" s="9"/>
      </tp>
      <tp t="e">
        <v>#N/A</v>
        <stp/>
        <stp>BDH|12408123702715737243</stp>
        <tr r="U104" s="12"/>
      </tp>
      <tp t="e">
        <v>#N/A</v>
        <stp/>
        <stp>BDH|15927718221064790097</stp>
        <tr r="M148" s="18"/>
      </tp>
      <tp t="e">
        <v>#N/A</v>
        <stp/>
        <stp>BDH|13915456818066096425</stp>
        <tr r="W132" s="18"/>
      </tp>
      <tp t="e">
        <v>#N/A</v>
        <stp/>
        <stp>BDH|11122279860325564455</stp>
        <tr r="Q38" s="11"/>
        <tr r="Q46" s="10"/>
      </tp>
      <tp t="e">
        <v>#N/A</v>
        <stp/>
        <stp>BDH|16703343312645378548</stp>
        <tr r="P11" s="18"/>
      </tp>
      <tp t="e">
        <v>#N/A</v>
        <stp/>
        <stp>BDH|12519739845633465612</stp>
        <tr r="W25" s="10"/>
      </tp>
      <tp t="e">
        <v>#N/A</v>
        <stp/>
        <stp>BDH|14583010353711422457</stp>
        <tr r="Y33" s="22"/>
      </tp>
      <tp t="e">
        <v>#N/A</v>
        <stp/>
        <stp>BDH|15081697745741978236</stp>
        <tr r="X63" s="21"/>
      </tp>
      <tp t="e">
        <v>#N/A</v>
        <stp/>
        <stp>BDH|14584773624164376134</stp>
        <tr r="V47" s="22"/>
      </tp>
      <tp t="e">
        <v>#N/A</v>
        <stp/>
        <stp>BDH|10606329906005045245</stp>
        <tr r="V23" s="13"/>
      </tp>
      <tp t="e">
        <v>#N/A</v>
        <stp/>
        <stp>BDH|14680999679987764976</stp>
        <tr r="O78" s="17"/>
      </tp>
      <tp t="e">
        <v>#N/A</v>
        <stp/>
        <stp>BDH|11806506568547258149</stp>
        <tr r="W81" s="18"/>
      </tp>
      <tp t="e">
        <v>#N/A</v>
        <stp/>
        <stp>BDH|11599368071200540118</stp>
        <tr r="G9" s="21"/>
      </tp>
      <tp t="e">
        <v>#N/A</v>
        <stp/>
        <stp>BDH|11343408344436116306</stp>
        <tr r="X62" s="21"/>
      </tp>
      <tp t="e">
        <v>#N/A</v>
        <stp/>
        <stp>BDH|16482361274551444747</stp>
        <tr r="G83" s="12"/>
      </tp>
      <tp t="e">
        <v>#N/A</v>
        <stp/>
        <stp>BDH|18103686217679179299</stp>
        <tr r="T65" s="18"/>
      </tp>
      <tp t="e">
        <v>#N/A</v>
        <stp/>
        <stp>BDH|16770010231871541045</stp>
        <tr r="X78" s="12"/>
      </tp>
      <tp t="e">
        <v>#N/A</v>
        <stp/>
        <stp>BDH|16594458868495886563</stp>
        <tr r="W24" s="2"/>
      </tp>
      <tp t="e">
        <v>#N/A</v>
        <stp/>
        <stp>BDH|13118618732446356475</stp>
        <tr r="F30" s="5"/>
      </tp>
      <tp t="e">
        <v>#N/A</v>
        <stp/>
        <stp>BDH|15489756209397919171</stp>
        <tr r="C31" s="6"/>
      </tp>
      <tp t="e">
        <v>#N/A</v>
        <stp/>
        <stp>BDH|11941289983857589810</stp>
        <tr r="J82" s="17"/>
        <tr r="H6" s="7"/>
        <tr r="J20" s="3"/>
      </tp>
      <tp t="e">
        <v>#N/A</v>
        <stp/>
        <stp>BDH|12109534498843871947</stp>
        <tr r="O13" s="17"/>
        <tr r="O16" s="28"/>
      </tp>
      <tp t="e">
        <v>#N/A</v>
        <stp/>
        <stp>BDH|14412071645812712675</stp>
        <tr r="J9" s="13"/>
      </tp>
      <tp t="e">
        <v>#N/A</v>
        <stp/>
        <stp>BDH|11133749603656282428</stp>
        <tr r="Y35" s="21"/>
      </tp>
      <tp t="e">
        <v>#N/A</v>
        <stp/>
        <stp>BDH|15117310375616768342</stp>
        <tr r="X54" s="18"/>
      </tp>
      <tp t="e">
        <v>#N/A</v>
        <stp/>
        <stp>BDH|11824133548519467911</stp>
        <tr r="R34" s="12"/>
      </tp>
      <tp t="e">
        <v>#N/A</v>
        <stp/>
        <stp>BDH|14191086425942900035</stp>
        <tr r="M50" s="6"/>
        <tr r="O10" s="8"/>
      </tp>
      <tp t="e">
        <v>#N/A</v>
        <stp/>
        <stp>BDH|16772573974690640045</stp>
        <tr r="O7" s="30"/>
      </tp>
      <tp t="e">
        <v>#N/A</v>
        <stp/>
        <stp>BDH|12222661675146718101</stp>
        <tr r="F45" s="18"/>
      </tp>
      <tp t="e">
        <v>#N/A</v>
        <stp/>
        <stp>BDH|14242772504650406732</stp>
        <tr r="T19" s="12"/>
      </tp>
      <tp t="e">
        <v>#N/A</v>
        <stp/>
        <stp>BDH|12773374779145770784</stp>
        <tr r="N150" s="18"/>
      </tp>
      <tp t="e">
        <v>#N/A</v>
        <stp/>
        <stp>BDH|15361511127123412576</stp>
        <tr r="S65" s="17"/>
      </tp>
      <tp t="e">
        <v>#N/A</v>
        <stp/>
        <stp>BDH|17896075244681433699</stp>
        <tr r="K16" s="27"/>
        <tr r="K30" s="25"/>
      </tp>
      <tp t="e">
        <v>#N/A</v>
        <stp/>
        <stp>BDH|11681143017716195325</stp>
        <tr r="S22" s="9"/>
      </tp>
      <tp t="e">
        <v>#N/A</v>
        <stp/>
        <stp>BDH|14428166993251409931</stp>
        <tr r="J18" s="34"/>
      </tp>
      <tp t="e">
        <v>#N/A</v>
        <stp/>
        <stp>BDH|10508677435944884591</stp>
        <tr r="U74" s="12"/>
      </tp>
      <tp t="e">
        <v>#N/A</v>
        <stp/>
        <stp>BDH|18099614476909645477</stp>
        <tr r="U65" s="17"/>
      </tp>
      <tp t="e">
        <v>#N/A</v>
        <stp/>
        <stp>BDH|17658613263054244705</stp>
        <tr r="H21" s="27"/>
      </tp>
      <tp t="e">
        <v>#N/A</v>
        <stp/>
        <stp>BDH|11735626240951188623</stp>
        <tr r="O32" s="26"/>
      </tp>
      <tp t="e">
        <v>#N/A</v>
        <stp/>
        <stp>BDH|18008012745811044929</stp>
        <tr r="E36" s="34"/>
      </tp>
      <tp t="e">
        <v>#N/A</v>
        <stp/>
        <stp>BDH|10382764065373683600</stp>
        <tr r="G53" s="18"/>
      </tp>
      <tp t="e">
        <v>#N/A</v>
        <stp/>
        <stp>BDH|10203661060675066126</stp>
        <tr r="Q58" s="24"/>
      </tp>
      <tp t="e">
        <v>#N/A</v>
        <stp/>
        <stp>BDH|10050502845800087531</stp>
        <tr r="P42" s="11"/>
        <tr r="P14" s="7"/>
        <tr r="P50" s="10"/>
        <tr r="R9" s="3"/>
      </tp>
      <tp t="e">
        <v>#N/A</v>
        <stp/>
        <stp>BDH|14417036620632449053</stp>
        <tr r="E8" s="12"/>
      </tp>
      <tp t="e">
        <v>#N/A</v>
        <stp/>
        <stp>BDH|12424445721111438133</stp>
        <tr r="I29" s="12"/>
      </tp>
      <tp t="e">
        <v>#N/A</v>
        <stp/>
        <stp>BDH|15615949843568088473</stp>
        <tr r="T63" s="11"/>
        <tr r="T71" s="10"/>
      </tp>
      <tp t="e">
        <v>#N/A</v>
        <stp/>
        <stp>BDH|15196414384825325811</stp>
        <tr r="Y83" s="12"/>
      </tp>
      <tp t="e">
        <v>#N/A</v>
        <stp/>
        <stp>BDH|11556206465491502032</stp>
        <tr r="G37" s="22"/>
      </tp>
      <tp t="e">
        <v>#N/A</v>
        <stp/>
        <stp>BDH|18087442801979237114</stp>
        <tr r="H58" s="13"/>
      </tp>
      <tp t="e">
        <v>#N/A</v>
        <stp/>
        <stp>BDH|11953464300828082995</stp>
        <tr r="V17" s="21"/>
      </tp>
      <tp t="e">
        <v>#N/A</v>
        <stp/>
        <stp>BDH|16670766131636362045</stp>
        <tr r="Z54" s="18"/>
      </tp>
      <tp t="e">
        <v>#N/A</v>
        <stp/>
        <stp>BDH|15549996248564497895</stp>
        <tr r="N35" s="25"/>
      </tp>
      <tp t="e">
        <v>#N/A</v>
        <stp/>
        <stp>BDH|12174602789709514148</stp>
        <tr r="T24" s="34"/>
      </tp>
      <tp t="e">
        <v>#N/A</v>
        <stp/>
        <stp>BDH|12749096069947817760</stp>
        <tr r="P32" s="25"/>
        <tr r="P18" s="27"/>
      </tp>
      <tp t="e">
        <v>#N/A</v>
        <stp/>
        <stp>BDH|14890881691260942114</stp>
        <tr r="S65" s="21"/>
        <tr r="P28" s="6"/>
      </tp>
      <tp t="e">
        <v>#N/A</v>
        <stp/>
        <stp>BDH|11193726475781852475</stp>
        <tr r="D68" s="18"/>
      </tp>
      <tp t="e">
        <v>#N/A</v>
        <stp/>
        <stp>BDH|12114264752553588290</stp>
        <tr r="J12" s="26"/>
      </tp>
      <tp t="e">
        <v>#N/A</v>
        <stp/>
        <stp>BDH|16148339516505978540</stp>
        <tr r="S148" s="18"/>
      </tp>
      <tp t="e">
        <v>#N/A</v>
        <stp/>
        <stp>BDH|10217045118721143468</stp>
        <tr r="H42" s="24"/>
      </tp>
      <tp t="e">
        <v>#N/A</v>
        <stp/>
        <stp>BDH|14425096579426875158</stp>
        <tr r="L41" s="11"/>
        <tr r="L8" s="7"/>
        <tr r="L49" s="10"/>
        <tr r="N11" s="3"/>
      </tp>
      <tp t="e">
        <v>#N/A</v>
        <stp/>
        <stp>BDH|16874349640152700720</stp>
        <tr r="C11" s="28"/>
      </tp>
      <tp t="e">
        <v>#N/A</v>
        <stp/>
        <stp>BDH|17576947480345152798</stp>
        <tr r="AA162" s="18"/>
      </tp>
      <tp t="e">
        <v>#N/A</v>
        <stp/>
        <stp>BDH|18308829088685150914</stp>
        <tr r="X70" s="24"/>
      </tp>
      <tp t="e">
        <v>#N/A</v>
        <stp/>
        <stp>BDH|11795328725924822014</stp>
        <tr r="D51" s="24"/>
      </tp>
      <tp t="e">
        <v>#N/A</v>
        <stp/>
        <stp>BDH|13483576243437140183</stp>
        <tr r="V29" s="4"/>
      </tp>
      <tp t="e">
        <v>#N/A</v>
        <stp/>
        <stp>BDH|14419581606236373307</stp>
        <tr r="U13" s="17"/>
        <tr r="U16" s="28"/>
      </tp>
      <tp t="e">
        <v>#N/A</v>
        <stp/>
        <stp>BDH|16061903278289734566</stp>
        <tr r="T9" s="6"/>
      </tp>
      <tp t="e">
        <v>#N/A</v>
        <stp/>
        <stp>BDH|14624722218307612130</stp>
        <tr r="U21" s="5"/>
        <tr r="U21" s="9"/>
      </tp>
      <tp t="e">
        <v>#N/A</v>
        <stp/>
        <stp>BDH|13484005462932712387</stp>
        <tr r="AA18" s="17"/>
      </tp>
      <tp t="e">
        <v>#N/A</v>
        <stp/>
        <stp>BDH|16877277023127299579</stp>
        <tr r="AA36" s="12"/>
      </tp>
      <tp t="e">
        <v>#N/A</v>
        <stp/>
        <stp>BDH|16838402271205042406</stp>
        <tr r="E59" s="12"/>
      </tp>
      <tp t="e">
        <v>#N/A</v>
        <stp/>
        <stp>BDH|15242934434039527293</stp>
        <tr r="U9" s="23"/>
      </tp>
      <tp t="e">
        <v>#N/A</v>
        <stp/>
        <stp>BDH|16522183253187068176</stp>
        <tr r="G50" s="34"/>
      </tp>
      <tp t="e">
        <v>#N/A</v>
        <stp/>
        <stp>BDH|14922217113376485569</stp>
        <tr r="X21" s="20"/>
      </tp>
      <tp t="e">
        <v>#N/A</v>
        <stp/>
        <stp>BDH|18368120783687265290</stp>
        <tr r="M117" s="18"/>
      </tp>
      <tp t="e">
        <v>#N/A</v>
        <stp/>
        <stp>BDH|10199157003926832360</stp>
        <tr r="X33" s="18"/>
      </tp>
      <tp t="e">
        <v>#N/A</v>
        <stp/>
        <stp>BDH|14473005472057826074</stp>
        <tr r="D10" s="23"/>
      </tp>
      <tp t="e">
        <v>#N/A</v>
        <stp/>
        <stp>BDH|16470069020849803932</stp>
        <tr r="O22" s="4"/>
      </tp>
      <tp t="e">
        <v>#N/A</v>
        <stp/>
        <stp>BDH|10166226658376371510</stp>
        <tr r="G59" s="17"/>
      </tp>
      <tp t="e">
        <v>#N/A</v>
        <stp/>
        <stp>BDH|17786951088845533766</stp>
        <tr r="G46" s="18"/>
      </tp>
      <tp t="e">
        <v>#N/A</v>
        <stp/>
        <stp>BDH|10558791436960746052</stp>
        <tr r="R10" s="23"/>
      </tp>
      <tp t="e">
        <v>#N/A</v>
        <stp/>
        <stp>BDH|18083790309058953316</stp>
        <tr r="Y42" s="24"/>
      </tp>
      <tp t="e">
        <v>#N/A</v>
        <stp/>
        <stp>BDH|15186782045712675021</stp>
        <tr r="J17" s="11"/>
      </tp>
      <tp t="e">
        <v>#N/A</v>
        <stp/>
        <stp>BDH|14448774476087887752</stp>
        <tr r="L23" s="21"/>
      </tp>
      <tp t="e">
        <v>#N/A</v>
        <stp/>
        <stp>BDH|10347295381488595665</stp>
        <tr r="Z33" s="12"/>
      </tp>
      <tp t="e">
        <v>#N/A</v>
        <stp/>
        <stp>BDH|12096496024141555102</stp>
        <tr r="N81" s="12"/>
      </tp>
      <tp t="e">
        <v>#N/A</v>
        <stp/>
        <stp>BDH|17937424495836646802</stp>
        <tr r="L64" s="17"/>
      </tp>
      <tp t="e">
        <v>#N/A</v>
        <stp/>
        <stp>BDH|15424184316647796651</stp>
        <tr r="W27" s="24"/>
      </tp>
      <tp t="e">
        <v>#N/A</v>
        <stp/>
        <stp>BDH|12511264877865530691</stp>
        <tr r="Y59" s="12"/>
      </tp>
      <tp t="e">
        <v>#N/A</v>
        <stp/>
        <stp>BDH|15084943638288354373</stp>
        <tr r="N152" s="18"/>
      </tp>
      <tp t="e">
        <v>#N/A</v>
        <stp/>
        <stp>BDH|17592648146630786180</stp>
        <tr r="J21" s="20"/>
      </tp>
      <tp t="e">
        <v>#N/A</v>
        <stp/>
        <stp>BDH|18184451608358504014</stp>
        <tr r="E28" s="9"/>
        <tr r="E28" s="5"/>
      </tp>
      <tp t="e">
        <v>#N/A</v>
        <stp/>
        <stp>BDH|14734142138510196220</stp>
        <tr r="L20" s="23"/>
      </tp>
      <tp t="e">
        <v>#N/A</v>
        <stp/>
        <stp>BDH|13193238782369074489</stp>
        <tr r="E12" s="25"/>
      </tp>
      <tp t="e">
        <v>#N/A</v>
        <stp/>
        <stp>BDH|11071151998625566805</stp>
        <tr r="V92" s="12"/>
      </tp>
      <tp t="e">
        <v>#N/A</v>
        <stp/>
        <stp>BDH|15890970467529269729</stp>
        <tr r="M45" s="21"/>
      </tp>
      <tp t="e">
        <v>#N/A</v>
        <stp/>
        <stp>BDH|12689268229584964280</stp>
        <tr r="I44" s="13"/>
      </tp>
      <tp t="e">
        <v>#N/A</v>
        <stp/>
        <stp>BDH|13066213458019615977</stp>
        <tr r="H138" s="18"/>
      </tp>
      <tp t="e">
        <v>#N/A</v>
        <stp/>
        <stp>BDH|14923183818170800092</stp>
        <tr r="X117" s="18"/>
      </tp>
      <tp t="e">
        <v>#N/A</v>
        <stp/>
        <stp>BDH|17082517879970069102</stp>
        <tr r="L66" s="12"/>
      </tp>
      <tp t="e">
        <v>#N/A</v>
        <stp/>
        <stp>BDH|17493188987658418274</stp>
        <tr r="X50" s="6"/>
        <tr r="Z10" s="8"/>
      </tp>
      <tp t="e">
        <v>#N/A</v>
        <stp/>
        <stp>BDH|11272058419674591032</stp>
        <tr r="Q87" s="18"/>
      </tp>
      <tp t="e">
        <v>#N/A</v>
        <stp/>
        <stp>BDH|13430486705412556146</stp>
        <tr r="M47" s="22"/>
      </tp>
      <tp t="e">
        <v>#N/A</v>
        <stp/>
        <stp>BDH|13686451809951507271</stp>
        <tr r="L96" s="18"/>
      </tp>
      <tp t="e">
        <v>#N/A</v>
        <stp/>
        <stp>BDH|14230246779474510121</stp>
        <tr r="T7" s="17"/>
      </tp>
      <tp t="e">
        <v>#N/A</v>
        <stp/>
        <stp>BDH|13899309850732940392</stp>
        <tr r="J20" s="25"/>
      </tp>
      <tp t="e">
        <v>#N/A</v>
        <stp/>
        <stp>BDH|16362194309733267093</stp>
        <tr r="Y13" s="2"/>
      </tp>
      <tp t="e">
        <v>#N/A</v>
        <stp/>
        <stp>BDH|13121616107753674294</stp>
        <tr r="X30" s="17"/>
      </tp>
      <tp t="e">
        <v>#N/A</v>
        <stp/>
        <stp>BDH|10204631835345514494</stp>
        <tr r="R25" s="26"/>
      </tp>
      <tp t="e">
        <v>#N/A</v>
        <stp/>
        <stp>BDH|14979047631633252064</stp>
        <tr r="D20" s="18"/>
      </tp>
      <tp t="e">
        <v>#N/A</v>
        <stp/>
        <stp>BDH|15861756943371271343</stp>
        <tr r="Q26" s="7"/>
      </tp>
      <tp t="e">
        <v>#N/A</v>
        <stp/>
        <stp>BDH|14618104758761013564</stp>
        <tr r="S168" s="18"/>
      </tp>
      <tp t="e">
        <v>#N/A</v>
        <stp/>
        <stp>BDH|16223051248273573521</stp>
        <tr r="K29" s="18"/>
      </tp>
      <tp t="e">
        <v>#N/A</v>
        <stp/>
        <stp>BDH|13531221652230443093</stp>
        <tr r="AA101" s="18"/>
      </tp>
      <tp t="e">
        <v>#N/A</v>
        <stp/>
        <stp>BDH|16629045694493937877</stp>
        <tr r="L76" s="12"/>
      </tp>
      <tp t="e">
        <v>#N/A</v>
        <stp/>
        <stp>BDH|11935132323595950387</stp>
        <tr r="X33" s="34"/>
      </tp>
      <tp t="e">
        <v>#N/A</v>
        <stp/>
        <stp>BDH|17816256967586776153</stp>
        <tr r="K23" s="21"/>
      </tp>
      <tp t="e">
        <v>#N/A</v>
        <stp/>
        <stp>BDH|15663783019683805476</stp>
        <tr r="E39" s="12"/>
      </tp>
      <tp t="e">
        <v>#N/A</v>
        <stp/>
        <stp>BDH|12176202422687843132</stp>
        <tr r="S66" s="10"/>
      </tp>
      <tp t="e">
        <v>#N/A</v>
        <stp/>
        <stp>BDH|12506734454450910434</stp>
        <tr r="D69" s="12"/>
      </tp>
      <tp t="e">
        <v>#N/A</v>
        <stp/>
        <stp>BDH|12927101505434620321</stp>
        <tr r="G110" s="12"/>
      </tp>
      <tp t="e">
        <v>#N/A</v>
        <stp/>
        <stp>BDH|17601271367886427190</stp>
        <tr r="Q21" s="24"/>
      </tp>
      <tp t="e">
        <v>#N/A</v>
        <stp/>
        <stp>BDH|14743005555706098394</stp>
        <tr r="H30" s="17"/>
      </tp>
      <tp t="e">
        <v>#N/A</v>
        <stp/>
        <stp>BDH|13379562273884875151</stp>
        <tr r="N112" s="12"/>
      </tp>
      <tp t="e">
        <v>#N/A</v>
        <stp/>
        <stp>BDH|17868033727102749309</stp>
        <tr r="E42" s="21"/>
      </tp>
      <tp t="e">
        <v>#N/A</v>
        <stp/>
        <stp>BDH|13603894431798652439</stp>
        <tr r="S52" s="21"/>
      </tp>
      <tp t="e">
        <v>#N/A</v>
        <stp/>
        <stp>BDH|17564658915875914178</stp>
        <tr r="F41" s="12"/>
      </tp>
      <tp t="e">
        <v>#N/A</v>
        <stp/>
        <stp>BDH|10951650763177029349</stp>
        <tr r="Q41" s="22"/>
      </tp>
      <tp t="e">
        <v>#N/A</v>
        <stp/>
        <stp>BDH|14998259483738714239</stp>
        <tr r="D59" s="13"/>
      </tp>
      <tp t="e">
        <v>#N/A</v>
        <stp/>
        <stp>BDH|14143654439885769011</stp>
        <tr r="AA51" s="24"/>
      </tp>
      <tp t="e">
        <v>#N/A</v>
        <stp/>
        <stp>BDH|16556638315020906512</stp>
        <tr r="L64" s="21"/>
        <tr r="J23" s="7"/>
      </tp>
      <tp t="e">
        <v>#N/A</v>
        <stp/>
        <stp>BDH|11370888290084228022</stp>
        <tr r="Z79" s="18"/>
      </tp>
      <tp t="e">
        <v>#N/A</v>
        <stp/>
        <stp>BDH|14457641034124998162</stp>
        <tr r="D38" s="6"/>
        <tr r="D18" s="5"/>
      </tp>
      <tp t="e">
        <v>#N/A</v>
        <stp/>
        <stp>BDH|13157892798167809138</stp>
        <tr r="O53" s="18"/>
      </tp>
      <tp t="e">
        <v>#N/A</v>
        <stp/>
        <stp>BDH|13351506384512494881</stp>
        <tr r="T165" s="18"/>
      </tp>
      <tp t="e">
        <v>#N/A</v>
        <stp/>
        <stp>BDH|16930878740228702627</stp>
        <tr r="E19" s="18"/>
      </tp>
      <tp t="e">
        <v>#N/A</v>
        <stp/>
        <stp>BDH|13664481426875117420</stp>
        <tr r="J71" s="17"/>
      </tp>
      <tp t="e">
        <v>#N/A</v>
        <stp/>
        <stp>BDH|12251895444358667228</stp>
        <tr r="O69" s="34"/>
      </tp>
      <tp t="e">
        <v>#N/A</v>
        <stp/>
        <stp>BDH|16473568230330045495</stp>
        <tr r="N45" s="22"/>
      </tp>
      <tp t="e">
        <v>#N/A</v>
        <stp/>
        <stp>BDH|17935635773023785152</stp>
        <tr r="P14" s="8"/>
      </tp>
      <tp t="e">
        <v>#N/A</v>
        <stp/>
        <stp>BDH|12639132199026623810</stp>
        <tr r="Q15" s="12"/>
      </tp>
      <tp t="e">
        <v>#N/A</v>
        <stp/>
        <stp>BDH|12930935492251551762</stp>
        <tr r="H10" s="34"/>
      </tp>
      <tp t="e">
        <v>#N/A</v>
        <stp/>
        <stp>BDH|10532526130722876047</stp>
        <tr r="W19" s="9"/>
      </tp>
      <tp t="e">
        <v>#N/A</v>
        <stp/>
        <stp>BDH|13325133179585636446</stp>
        <tr r="P55" s="34"/>
      </tp>
      <tp t="e">
        <v>#N/A</v>
        <stp/>
        <stp>BDH|11740061907202951742</stp>
        <tr r="V7" s="23"/>
      </tp>
      <tp t="e">
        <v>#N/A</v>
        <stp/>
        <stp>BDH|11958001802401963496</stp>
        <tr r="T45" s="24"/>
      </tp>
      <tp t="e">
        <v>#N/A</v>
        <stp/>
        <stp>BDH|14356003488090622863</stp>
        <tr r="M35" s="29"/>
        <tr r="M15" s="29"/>
      </tp>
      <tp t="e">
        <v>#N/A</v>
        <stp/>
        <stp>BDH|12744075793178820705</stp>
        <tr r="O60" s="34"/>
      </tp>
      <tp t="e">
        <v>#N/A</v>
        <stp/>
        <stp>BDH|12313615208434802497</stp>
        <tr r="S30" s="5"/>
      </tp>
      <tp t="e">
        <v>#N/A</v>
        <stp/>
        <stp>BDH|11683372809837147120</stp>
        <tr r="Q64" s="10"/>
        <tr r="Q25" s="4"/>
      </tp>
      <tp t="e">
        <v>#N/A</v>
        <stp/>
        <stp>BDH|16815759266336897584</stp>
        <tr r="Z20" s="30"/>
      </tp>
      <tp t="e">
        <v>#N/A</v>
        <stp/>
        <stp>BDH|13926415055357301152</stp>
        <tr r="AA42" s="17"/>
      </tp>
      <tp t="e">
        <v>#N/A</v>
        <stp/>
        <stp>BDH|15661002984241816812</stp>
        <tr r="T30" s="26"/>
      </tp>
      <tp t="e">
        <v>#N/A</v>
        <stp/>
        <stp>BDH|12606092360371205164</stp>
        <tr r="N31" s="24"/>
      </tp>
      <tp t="e">
        <v>#N/A</v>
        <stp/>
        <stp>BDH|14872273487732208817</stp>
        <tr r="V22" s="22"/>
      </tp>
      <tp t="e">
        <v>#N/A</v>
        <stp/>
        <stp>BDH|16915837227899790113</stp>
        <tr r="T53" s="17"/>
        <tr r="T10" s="25"/>
      </tp>
      <tp t="e">
        <v>#N/A</v>
        <stp/>
        <stp>BDH|17312561949166404435</stp>
        <tr r="Y74" s="17"/>
      </tp>
      <tp t="e">
        <v>#N/A</v>
        <stp/>
        <stp>BDH|11915178483598136464</stp>
        <tr r="M28" s="5"/>
        <tr r="M28" s="9"/>
      </tp>
      <tp t="e">
        <v>#N/A</v>
        <stp/>
        <stp>BDH|13797216073761941367</stp>
        <tr r="F76" s="24"/>
      </tp>
      <tp t="e">
        <v>#N/A</v>
        <stp/>
        <stp>BDH|18133695970774100938</stp>
        <tr r="W73" s="17"/>
      </tp>
      <tp t="e">
        <v>#N/A</v>
        <stp/>
        <stp>BDH|15146450266896014584</stp>
        <tr r="E87" s="17"/>
      </tp>
      <tp t="e">
        <v>#N/A</v>
        <stp/>
        <stp>BDH|16981280169510173633</stp>
        <tr r="D53" s="18"/>
      </tp>
      <tp t="e">
        <v>#N/A</v>
        <stp/>
        <stp>BDH|10666921759099564129</stp>
        <tr r="N96" s="12"/>
      </tp>
      <tp t="e">
        <v>#N/A</v>
        <stp/>
        <stp>BDH|15108737518665012208</stp>
        <tr r="R23" s="13"/>
      </tp>
      <tp t="e">
        <v>#N/A</v>
        <stp/>
        <stp>BDH|13714188105272854486</stp>
        <tr r="M13" s="5"/>
      </tp>
      <tp t="e">
        <v>#N/A</v>
        <stp/>
        <stp>BDH|14658882491987178646</stp>
        <tr r="V22" s="20"/>
      </tp>
      <tp t="e">
        <v>#N/A</v>
        <stp/>
        <stp>BDH|10034476408370782021</stp>
        <tr r="N43" s="17"/>
        <tr r="N9" s="25"/>
      </tp>
      <tp t="e">
        <v>#N/A</v>
        <stp/>
        <stp>BDH|14862538974490276273</stp>
        <tr r="E41" s="24"/>
      </tp>
      <tp t="e">
        <v>#N/A</v>
        <stp/>
        <stp>BDH|10622026962256919459</stp>
        <tr r="E21" s="17"/>
        <tr r="E15" s="3"/>
      </tp>
      <tp t="e">
        <v>#N/A</v>
        <stp/>
        <stp>BDH|14101168053452623680</stp>
        <tr r="Y22" s="18"/>
      </tp>
      <tp t="e">
        <v>#N/A</v>
        <stp/>
        <stp>BDH|11773229103107991058</stp>
        <tr r="H56" s="13"/>
      </tp>
      <tp t="e">
        <v>#N/A</v>
        <stp/>
        <stp>BDH|16117413949053749148</stp>
        <tr r="N34" s="18"/>
      </tp>
      <tp t="e">
        <v>#N/A</v>
        <stp/>
        <stp>BDH|15088245476030150495</stp>
        <tr r="Q69" s="24"/>
      </tp>
      <tp t="e">
        <v>#N/A</v>
        <stp/>
        <stp>BDH|14889453450352221357</stp>
        <tr r="W25" s="27"/>
      </tp>
      <tp t="e">
        <v>#N/A</v>
        <stp/>
        <stp>BDH|12403088965560377007</stp>
        <tr r="C7" s="24"/>
      </tp>
      <tp t="e">
        <v>#N/A</v>
        <stp/>
        <stp>BDH|12948082429085793152</stp>
        <tr r="N43" s="4"/>
      </tp>
      <tp t="e">
        <v>#N/A</v>
        <stp/>
        <stp>BDH|14682126381141813873</stp>
        <tr r="I66" s="10"/>
      </tp>
      <tp t="e">
        <v>#N/A</v>
        <stp/>
        <stp>BDH|17553110458862740514</stp>
        <tr r="I172" s="18"/>
      </tp>
      <tp t="e">
        <v>#N/A</v>
        <stp/>
        <stp>BDH|11667393779766970759</stp>
        <tr r="V55" s="18"/>
      </tp>
      <tp t="e">
        <v>#N/A</v>
        <stp/>
        <stp>BDH|18182456959665395842</stp>
        <tr r="W19" s="18"/>
      </tp>
      <tp t="e">
        <v>#N/A</v>
        <stp/>
        <stp>BDH|13328718208128883880</stp>
        <tr r="V61" s="11"/>
        <tr r="V69" s="10"/>
        <tr r="V20" s="7"/>
      </tp>
      <tp t="e">
        <v>#N/A</v>
        <stp/>
        <stp>BDH|12549851309718495679</stp>
        <tr r="E45" s="6"/>
      </tp>
      <tp t="e">
        <v>#N/A</v>
        <stp/>
        <stp>BDH|15913606050797711540</stp>
        <tr r="K24" s="21"/>
      </tp>
      <tp t="e">
        <v>#N/A</v>
        <stp/>
        <stp>BDH|15500373403037243596</stp>
        <tr r="N20" s="23"/>
      </tp>
      <tp t="e">
        <v>#N/A</v>
        <stp/>
        <stp>BDH|17588708720437860172</stp>
        <tr r="K60" s="34"/>
      </tp>
      <tp t="e">
        <v>#N/A</v>
        <stp/>
        <stp>BDH|11409884906384701977</stp>
        <tr r="O89" s="18"/>
      </tp>
      <tp t="e">
        <v>#N/A</v>
        <stp/>
        <stp>BDH|13819741301701500127</stp>
        <tr r="Q19" s="34"/>
      </tp>
      <tp t="e">
        <v>#N/A</v>
        <stp/>
        <stp>BDH|15090827067896727983</stp>
        <tr r="I52" s="13"/>
        <tr r="G47" s="11"/>
        <tr r="G55" s="10"/>
        <tr r="G17" s="7"/>
        <tr r="G17" s="4"/>
        <tr r="I10" s="3"/>
      </tp>
      <tp t="e">
        <v>#N/A</v>
        <stp/>
        <stp>BDH|10910000710146107327</stp>
        <tr r="C8" s="12"/>
      </tp>
      <tp t="e">
        <v>#N/A</v>
        <stp/>
        <stp>BDH|18125114781607901227</stp>
        <tr r="G55" s="6"/>
      </tp>
      <tp t="e">
        <v>#N/A</v>
        <stp/>
        <stp>BDH|16425252382328036097</stp>
        <tr r="G41" s="24"/>
      </tp>
      <tp t="e">
        <v>#N/A</v>
        <stp/>
        <stp>BDH|10523870297052929766</stp>
        <tr r="K12" s="24"/>
      </tp>
      <tp t="e">
        <v>#N/A</v>
        <stp/>
        <stp>BDH|10134742888152636915</stp>
        <tr r="W32" s="12"/>
      </tp>
      <tp t="e">
        <v>#N/A</v>
        <stp/>
        <stp>BDH|13279792871001161616</stp>
        <tr r="Q24" s="2"/>
      </tp>
      <tp t="e">
        <v>#N/A</v>
        <stp/>
        <stp>BDH|16847312340604128126</stp>
        <tr r="G13" s="17"/>
        <tr r="G16" s="28"/>
      </tp>
      <tp t="e">
        <v>#N/A</v>
        <stp/>
        <stp>BDH|14941055873007326067</stp>
        <tr r="AA9" s="22"/>
      </tp>
      <tp t="e">
        <v>#N/A</v>
        <stp/>
        <stp>BDH|13833639796961036974</stp>
        <tr r="P30" s="5"/>
      </tp>
      <tp t="e">
        <v>#N/A</v>
        <stp/>
        <stp>BDH|13117233199205156901</stp>
        <tr r="Q74" s="12"/>
      </tp>
      <tp t="e">
        <v>#N/A</v>
        <stp/>
        <stp>BDH|14180606365510953005</stp>
        <tr r="L43" s="4"/>
      </tp>
      <tp t="e">
        <v>#N/A</v>
        <stp/>
        <stp>BDH|18199035492751889458</stp>
        <tr r="Q48" s="21"/>
      </tp>
      <tp t="e">
        <v>#N/A</v>
        <stp/>
        <stp>BDH|11878809170519387369</stp>
        <tr r="W10" s="34"/>
      </tp>
      <tp t="e">
        <v>#N/A</v>
        <stp/>
        <stp>BDH|14191480186585347911</stp>
        <tr r="C15" s="6"/>
      </tp>
      <tp t="e">
        <v>#N/A</v>
        <stp/>
        <stp>BDH|14869369325835697407</stp>
        <tr r="I54" s="13"/>
      </tp>
      <tp t="e">
        <v>#N/A</v>
        <stp/>
        <stp>BDH|17918012980672291975</stp>
        <tr r="F19" s="26"/>
      </tp>
      <tp t="e">
        <v>#N/A</v>
        <stp/>
        <stp>BDH|14948448476323218047</stp>
        <tr r="G106" s="18"/>
      </tp>
      <tp t="e">
        <v>#N/A</v>
        <stp/>
        <stp>BDH|17930573604516186065</stp>
        <tr r="Z75" s="18"/>
      </tp>
      <tp t="e">
        <v>#N/A</v>
        <stp/>
        <stp>BDH|10844943086366251359</stp>
        <tr r="E40" s="24"/>
      </tp>
      <tp t="e">
        <v>#N/A</v>
        <stp/>
        <stp>BDH|17189354637754709793</stp>
        <tr r="N16" s="18"/>
      </tp>
      <tp t="e">
        <v>#N/A</v>
        <stp/>
        <stp>BDH|11939433703457082641</stp>
        <tr r="G67" s="34"/>
      </tp>
      <tp t="e">
        <v>#N/A</v>
        <stp/>
        <stp>BDH|10952076962204340628</stp>
        <tr r="D21" s="22"/>
      </tp>
      <tp t="e">
        <v>#N/A</v>
        <stp/>
        <stp>BDH|16225311679352474434</stp>
        <tr r="D10" s="6"/>
      </tp>
      <tp t="e">
        <v>#N/A</v>
        <stp/>
        <stp>BDH|18224631253189993669</stp>
        <tr r="P28" s="21"/>
      </tp>
      <tp t="e">
        <v>#N/A</v>
        <stp/>
        <stp>BDH|14257750259191051330</stp>
        <tr r="P32" s="21"/>
      </tp>
      <tp t="e">
        <v>#N/A</v>
        <stp/>
        <stp>BDH|14528024829852479079</stp>
        <tr r="X34" s="26"/>
      </tp>
      <tp t="e">
        <v>#N/A</v>
        <stp/>
        <stp>BDH|17965805875615536946</stp>
        <tr r="L19" s="23"/>
        <tr r="J59" s="11"/>
      </tp>
      <tp t="e">
        <v>#N/A</v>
        <stp/>
        <stp>BDH|13949179747873368174</stp>
        <tr r="K25" s="26"/>
      </tp>
      <tp t="e">
        <v>#N/A</v>
        <stp/>
        <stp>BDH|12415750758183018746</stp>
        <tr r="O141" s="18"/>
      </tp>
      <tp t="e">
        <v>#N/A</v>
        <stp/>
        <stp>BDH|11138896658061565985</stp>
        <tr r="R9" s="6"/>
      </tp>
      <tp t="e">
        <v>#N/A</v>
        <stp/>
        <stp>BDH|10899373961575302409</stp>
        <tr r="P29" s="9"/>
      </tp>
      <tp t="e">
        <v>#N/A</v>
        <stp/>
        <stp>BDH|11992982022918726696</stp>
        <tr r="P72" s="24"/>
      </tp>
      <tp t="e">
        <v>#N/A</v>
        <stp/>
        <stp>BDH|16166871364058621493</stp>
        <tr r="H17" s="10"/>
      </tp>
      <tp t="e">
        <v>#N/A</v>
        <stp/>
        <stp>BDH|12255320508181478415</stp>
        <tr r="G70" s="18"/>
      </tp>
      <tp t="e">
        <v>#N/A</v>
        <stp/>
        <stp>BDH|10445605248173866593</stp>
        <tr r="D171" s="18"/>
      </tp>
      <tp t="e">
        <v>#N/A</v>
        <stp/>
        <stp>BDH|14898708306327485061</stp>
        <tr r="V27" s="7"/>
      </tp>
      <tp t="e">
        <v>#N/A</v>
        <stp/>
        <stp>BDH|13339367440206194684</stp>
        <tr r="H68" s="18"/>
      </tp>
      <tp t="e">
        <v>#N/A</v>
        <stp/>
        <stp>BDH|13388375279750761366</stp>
        <tr r="D95" s="12"/>
      </tp>
      <tp t="e">
        <v>#N/A</v>
        <stp/>
        <stp>BDH|14481611428317571347</stp>
        <tr r="O67" s="34"/>
      </tp>
      <tp t="e">
        <v>#N/A</v>
        <stp/>
        <stp>BDH|17991858082511397217</stp>
        <tr r="E35" s="22"/>
      </tp>
      <tp t="e">
        <v>#N/A</v>
        <stp/>
        <stp>BDH|12391484056721965686</stp>
        <tr r="K18" s="29"/>
        <tr r="K38" s="29"/>
      </tp>
      <tp t="e">
        <v>#N/A</v>
        <stp/>
        <stp>BDH|15481755731492812741</stp>
        <tr r="T28" s="21"/>
      </tp>
      <tp t="e">
        <v>#N/A</v>
        <stp/>
        <stp>BDH|13051599609642938050</stp>
        <tr r="I74" s="12"/>
      </tp>
      <tp t="e">
        <v>#N/A</v>
        <stp/>
        <stp>BDH|10526268042312485098</stp>
        <tr r="N103" s="12"/>
      </tp>
      <tp t="e">
        <v>#N/A</v>
        <stp/>
        <stp>BDH|18036499593150121176</stp>
        <tr r="H17" s="21"/>
      </tp>
      <tp t="e">
        <v>#N/A</v>
        <stp/>
        <stp>BDH|16485541068216765732</stp>
        <tr r="X11" s="10"/>
        <tr r="X14" s="2"/>
      </tp>
      <tp t="e">
        <v>#N/A</v>
        <stp/>
        <stp>BDH|14769017060845350392</stp>
        <tr r="R12" s="18"/>
      </tp>
      <tp t="e">
        <v>#N/A</v>
        <stp/>
        <stp>BDH|11007120268483483122</stp>
        <tr r="N67" s="10"/>
      </tp>
      <tp t="e">
        <v>#N/A</v>
        <stp/>
        <stp>BDH|11927259331144127006</stp>
        <tr r="T18" s="34"/>
      </tp>
      <tp t="e">
        <v>#N/A</v>
        <stp/>
        <stp>BDH|17751197543692600479</stp>
        <tr r="W55" s="11"/>
      </tp>
      <tp t="e">
        <v>#N/A</v>
        <stp/>
        <stp>BDH|15148639563000859155</stp>
        <tr r="N173" s="18"/>
      </tp>
      <tp t="e">
        <v>#N/A</v>
        <stp/>
        <stp>BDH|12052487423058478839</stp>
        <tr r="P58" s="24"/>
      </tp>
      <tp t="e">
        <v>#N/A</v>
        <stp/>
        <stp>BDH|15878706460781636129</stp>
        <tr r="E68" s="24"/>
      </tp>
      <tp t="e">
        <v>#N/A</v>
        <stp/>
        <stp>BDH|12252785671161032771</stp>
        <tr r="I31" s="17"/>
      </tp>
      <tp t="e">
        <v>#N/A</v>
        <stp/>
        <stp>BDH|11428203101351861616</stp>
        <tr r="P177" s="18"/>
      </tp>
      <tp t="e">
        <v>#N/A</v>
        <stp/>
        <stp>BDH|16953327930102333042</stp>
        <tr r="J40" s="18"/>
      </tp>
      <tp t="e">
        <v>#N/A</v>
        <stp/>
        <stp>BDH|16976430412434256364</stp>
        <tr r="T21" s="10"/>
      </tp>
      <tp t="e">
        <v>#N/A</v>
        <stp/>
        <stp>BDH|11233942274103970875</stp>
        <tr r="Z23" s="23"/>
      </tp>
      <tp t="e">
        <v>#N/A</v>
        <stp/>
        <stp>BDH|14337297441391103767</stp>
        <tr r="D49" s="21"/>
      </tp>
      <tp t="e">
        <v>#N/A</v>
        <stp/>
        <stp>BDH|12469521510157962530</stp>
        <tr r="E14" s="34"/>
      </tp>
      <tp t="e">
        <v>#N/A</v>
        <stp/>
        <stp>BDH|14968654078656127796</stp>
        <tr r="X22" s="5"/>
      </tp>
      <tp t="e">
        <v>#N/A</v>
        <stp/>
        <stp>BDH|12872100824697163217</stp>
        <tr r="D8" s="13"/>
      </tp>
      <tp t="e">
        <v>#N/A</v>
        <stp/>
        <stp>BDH|16511805762158873435</stp>
        <tr r="V27" s="26"/>
      </tp>
      <tp t="e">
        <v>#N/A</v>
        <stp/>
        <stp>BDH|15658419702535990006</stp>
        <tr r="P10" s="23"/>
      </tp>
      <tp t="e">
        <v>#N/A</v>
        <stp/>
        <stp>BDH|10862315282057074872</stp>
        <tr r="S47" s="17"/>
      </tp>
      <tp t="e">
        <v>#N/A</v>
        <stp/>
        <stp>BDH|10502041428336357061</stp>
        <tr r="P21" s="21"/>
      </tp>
      <tp t="e">
        <v>#N/A</v>
        <stp/>
        <stp>BDH|11122344441995980712</stp>
        <tr r="P11" s="22"/>
      </tp>
      <tp t="e">
        <v>#N/A</v>
        <stp/>
        <stp>BDH|10718282843136468441</stp>
        <tr r="S33" s="29"/>
        <tr r="S22" s="29"/>
        <tr r="S13" s="29"/>
      </tp>
      <tp t="e">
        <v>#N/A</v>
        <stp/>
        <stp>BDH|12621966318407238966</stp>
        <tr r="E21" s="27"/>
      </tp>
      <tp t="e">
        <v>#N/A</v>
        <stp/>
        <stp>BDH|18025267991396964125</stp>
        <tr r="I36" s="4"/>
      </tp>
      <tp t="e">
        <v>#N/A</v>
        <stp/>
        <stp>BDH|17157147699922990997</stp>
        <tr r="Y41" s="13"/>
        <tr r="W29" s="11"/>
        <tr r="W37" s="10"/>
      </tp>
      <tp t="e">
        <v>#N/A</v>
        <stp/>
        <stp>BDH|16141420270131775086</stp>
        <tr r="P71" s="10"/>
        <tr r="P63" s="11"/>
      </tp>
      <tp t="e">
        <v>#N/A</v>
        <stp/>
        <stp>BDH|15188890989914530586</stp>
        <tr r="W30" s="9"/>
      </tp>
      <tp t="e">
        <v>#N/A</v>
        <stp/>
        <stp>BDH|15075102319143285246</stp>
        <tr r="Y98" s="18"/>
      </tp>
      <tp t="e">
        <v>#N/A</v>
        <stp/>
        <stp>BDH|13672389431500200722</stp>
        <tr r="M99" s="12"/>
      </tp>
      <tp t="e">
        <v>#N/A</v>
        <stp/>
        <stp>BDH|13959417160796484335</stp>
        <tr r="Z17" s="13"/>
      </tp>
      <tp t="e">
        <v>#N/A</v>
        <stp/>
        <stp>BDH|11075130846446997635</stp>
        <tr r="K45" s="17"/>
      </tp>
      <tp t="e">
        <v>#N/A</v>
        <stp/>
        <stp>BDH|12220337862882825140</stp>
        <tr r="K41" s="22"/>
      </tp>
      <tp t="e">
        <v>#N/A</v>
        <stp/>
        <stp>BDH|16874728343097354654</stp>
        <tr r="U154" s="18"/>
      </tp>
      <tp t="e">
        <v>#N/A</v>
        <stp/>
        <stp>BDH|11726519940630838410</stp>
        <tr r="P10" s="26"/>
      </tp>
      <tp t="e">
        <v>#N/A</v>
        <stp/>
        <stp>BDH|15003429813350878463</stp>
        <tr r="E13" s="17"/>
        <tr r="E16" s="28"/>
      </tp>
      <tp t="e">
        <v>#N/A</v>
        <stp/>
        <stp>BDH|13851210707826137300</stp>
        <tr r="F29" s="6"/>
      </tp>
      <tp t="e">
        <v>#N/A</v>
        <stp/>
        <stp>BDH|15598203624454916572</stp>
        <tr r="X10" s="12"/>
      </tp>
      <tp t="e">
        <v>#N/A</v>
        <stp/>
        <stp>BDH|13096469638159259939</stp>
        <tr r="Y165" s="18"/>
      </tp>
      <tp t="e">
        <v>#N/A</v>
        <stp/>
        <stp>BDH|11585946094112828721</stp>
        <tr r="J30" s="26"/>
      </tp>
      <tp t="e">
        <v>#N/A</v>
        <stp/>
        <stp>BDH|17676633929314034338</stp>
        <tr r="Y35" s="11"/>
        <tr r="AA39" s="13"/>
        <tr r="Y43" s="10"/>
        <tr r="AA8" s="3"/>
        <tr r="Y52" s="4"/>
      </tp>
      <tp t="e">
        <v>#N/A</v>
        <stp/>
        <stp>BDH|14511759379712546237</stp>
        <tr r="T40" s="12"/>
      </tp>
      <tp t="e">
        <v>#N/A</v>
        <stp/>
        <stp>BDH|15228768100647298199</stp>
        <tr r="V43" s="18"/>
      </tp>
      <tp t="e">
        <v>#N/A</v>
        <stp/>
        <stp>BDH|14407175028445397674</stp>
        <tr r="S22" s="12"/>
      </tp>
      <tp t="e">
        <v>#N/A</v>
        <stp/>
        <stp>BDH|13801211524206178137</stp>
        <tr r="K61" s="34"/>
      </tp>
      <tp t="e">
        <v>#N/A</v>
        <stp/>
        <stp>BDH|16055265015521950053</stp>
        <tr r="X76" s="18"/>
      </tp>
      <tp t="e">
        <v>#N/A</v>
        <stp/>
        <stp>BDH|10000732907294948726</stp>
        <tr r="L20" s="25"/>
      </tp>
      <tp t="e">
        <v>#N/A</v>
        <stp/>
        <stp>BDH|14799258422176921660</stp>
        <tr r="L29" s="13"/>
        <tr r="J32" s="10"/>
        <tr r="J24" s="11"/>
        <tr r="J45" s="4"/>
      </tp>
      <tp t="e">
        <v>#N/A</v>
        <stp/>
        <stp>BDH|15898988938333794809</stp>
        <tr r="S13" s="27"/>
        <tr r="S27" s="25"/>
      </tp>
      <tp t="e">
        <v>#N/A</v>
        <stp/>
        <stp>BDH|16129995300983481834</stp>
        <tr r="Q62" s="24"/>
      </tp>
      <tp t="e">
        <v>#N/A</v>
        <stp/>
        <stp>BDH|14758071868282365441</stp>
        <tr r="U25" s="7"/>
      </tp>
      <tp t="e">
        <v>#N/A</v>
        <stp/>
        <stp>BDH|11824115543882371269</stp>
        <tr r="F42" s="17"/>
      </tp>
      <tp t="e">
        <v>#N/A</v>
        <stp/>
        <stp>BDH|12596792822836555547</stp>
        <tr r="Y63" s="17"/>
      </tp>
      <tp t="e">
        <v>#N/A</v>
        <stp/>
        <stp>BDH|13917160731637235235</stp>
        <tr r="S159" s="18"/>
      </tp>
      <tp t="e">
        <v>#N/A</v>
        <stp/>
        <stp>BDH|11447385067657197759</stp>
        <tr r="W18" s="26"/>
      </tp>
      <tp t="e">
        <v>#N/A</v>
        <stp/>
        <stp>BDH|11678690298858899201</stp>
        <tr r="C24" s="13"/>
      </tp>
      <tp t="e">
        <v>#N/A</v>
        <stp/>
        <stp>BDH|16411076049440605634</stp>
        <tr r="D34" s="11"/>
        <tr r="D42" s="10"/>
      </tp>
      <tp t="e">
        <v>#N/A</v>
        <stp/>
        <stp>BDH|12533506739863491372</stp>
        <tr r="C16" s="17"/>
        <tr r="C19" s="28"/>
      </tp>
      <tp t="e">
        <v>#N/A</v>
        <stp/>
        <stp>BDH|17757837810968970229</stp>
        <tr r="N13" s="21"/>
      </tp>
      <tp t="e">
        <v>#N/A</v>
        <stp/>
        <stp>BDH|13461558355765885234</stp>
        <tr r="W52" s="18"/>
      </tp>
      <tp t="e">
        <v>#N/A</v>
        <stp/>
        <stp>BDH|16517751837417092189</stp>
        <tr r="W12" s="10"/>
      </tp>
      <tp t="e">
        <v>#N/A</v>
        <stp/>
        <stp>BDH|11258856518179945592</stp>
        <tr r="AA83" s="18"/>
      </tp>
      <tp t="e">
        <v>#N/A</v>
        <stp/>
        <stp>BDH|12827337531001029753</stp>
        <tr r="V12" s="7"/>
      </tp>
      <tp t="e">
        <v>#N/A</v>
        <stp/>
        <stp>BDH|17660082698552013894</stp>
        <tr r="F49" s="6"/>
        <tr r="H9" s="8"/>
      </tp>
      <tp t="e">
        <v>#N/A</v>
        <stp/>
        <stp>BDH|17393959580661163384</stp>
        <tr r="L25" s="34"/>
      </tp>
      <tp t="e">
        <v>#N/A</v>
        <stp/>
        <stp>BDH|13551032772839861922</stp>
        <tr r="L30" s="6"/>
      </tp>
      <tp t="e">
        <v>#N/A</v>
        <stp/>
        <stp>BDH|16475116095789799395</stp>
        <tr r="V10" s="8"/>
        <tr r="T50" s="6"/>
      </tp>
      <tp t="e">
        <v>#N/A</v>
        <stp/>
        <stp>BDH|10122139837151308780</stp>
        <tr r="C122" s="18"/>
      </tp>
      <tp t="e">
        <v>#N/A</v>
        <stp/>
        <stp>BDH|11064924898390122559</stp>
        <tr r="T21" s="34"/>
      </tp>
      <tp t="e">
        <v>#N/A</v>
        <stp/>
        <stp>BDH|12793845709348779631</stp>
        <tr r="I26" s="18"/>
      </tp>
      <tp t="e">
        <v>#N/A</v>
        <stp/>
        <stp>BDH|14773548016785972126</stp>
        <tr r="U29" s="22"/>
      </tp>
      <tp t="e">
        <v>#N/A</v>
        <stp/>
        <stp>BDH|14608465356994138596</stp>
        <tr r="N29" s="24"/>
      </tp>
      <tp t="e">
        <v>#N/A</v>
        <stp/>
        <stp>BDH|15701998730399772274</stp>
        <tr r="O70" s="24"/>
      </tp>
      <tp t="e">
        <v>#N/A</v>
        <stp/>
        <stp>BDH|10869595289138632109</stp>
        <tr r="C90" s="17"/>
        <tr r="C34" s="25"/>
      </tp>
      <tp t="e">
        <v>#N/A</v>
        <stp/>
        <stp>BDH|13642284025841582608</stp>
        <tr r="AA24" s="20"/>
      </tp>
      <tp t="e">
        <v>#N/A</v>
        <stp/>
        <stp>BDH|12922678114246034743</stp>
        <tr r="O59" s="21"/>
        <tr r="M54" s="11"/>
      </tp>
      <tp t="e">
        <v>#N/A</v>
        <stp/>
        <stp>BDH|15791203152422961420</stp>
        <tr r="Z90" s="18"/>
      </tp>
      <tp t="e">
        <v>#N/A</v>
        <stp/>
        <stp>BDH|16096871810542012993</stp>
        <tr r="AA128" s="18"/>
      </tp>
      <tp t="e">
        <v>#N/A</v>
        <stp/>
        <stp>BDH|16012934440886844956</stp>
        <tr r="K101" s="18"/>
      </tp>
      <tp t="e">
        <v>#N/A</v>
        <stp/>
        <stp>BDH|16667383002005426468</stp>
        <tr r="C20" s="6"/>
      </tp>
      <tp t="e">
        <v>#N/A</v>
        <stp/>
        <stp>BDH|11134743848354086236</stp>
        <tr r="W43" s="24"/>
      </tp>
      <tp t="e">
        <v>#N/A</v>
        <stp/>
        <stp>BDH|18286284595787144002</stp>
        <tr r="M36" s="4"/>
      </tp>
      <tp t="e">
        <v>#N/A</v>
        <stp/>
        <stp>BDH|10862610442251707729</stp>
        <tr r="R7" s="4"/>
      </tp>
      <tp t="e">
        <v>#N/A</v>
        <stp/>
        <stp>BDH|10793204748251846396</stp>
        <tr r="T76" s="17"/>
        <tr r="Q9" s="9"/>
        <tr r="Q9" s="5"/>
      </tp>
      <tp t="e">
        <v>#N/A</v>
        <stp/>
        <stp>BDH|16888866925869537108</stp>
        <tr r="Y18" s="26"/>
      </tp>
      <tp t="e">
        <v>#N/A</v>
        <stp/>
        <stp>BDH|11144816198752693601</stp>
        <tr r="D31" s="6"/>
      </tp>
      <tp t="e">
        <v>#N/A</v>
        <stp/>
        <stp>BDH|17328285007661056028</stp>
        <tr r="N28" s="12"/>
      </tp>
      <tp t="e">
        <v>#N/A</v>
        <stp/>
        <stp>BDH|14858742796898572614</stp>
        <tr r="G9" s="28"/>
      </tp>
      <tp t="e">
        <v>#N/A</v>
        <stp/>
        <stp>BDH|15690520675024856770</stp>
        <tr r="E107" s="18"/>
      </tp>
      <tp t="e">
        <v>#N/A</v>
        <stp/>
        <stp>BDH|14338932043624834957</stp>
        <tr r="K35" s="25"/>
      </tp>
      <tp t="e">
        <v>#N/A</v>
        <stp/>
        <stp>BDH|17686546169183696335</stp>
        <tr r="P37" s="26"/>
      </tp>
      <tp t="e">
        <v>#N/A</v>
        <stp/>
        <stp>BDH|14326358603841821233</stp>
        <tr r="S17" s="24"/>
      </tp>
      <tp t="e">
        <v>#N/A</v>
        <stp/>
        <stp>BDH|17310760759394358514</stp>
        <tr r="G13" s="2"/>
      </tp>
      <tp t="e">
        <v>#N/A</v>
        <stp/>
        <stp>BDH|11509045620746957165</stp>
        <tr r="I42" s="21"/>
      </tp>
      <tp t="e">
        <v>#N/A</v>
        <stp/>
        <stp>BDH|14970691026916080285</stp>
        <tr r="Z68" s="18"/>
      </tp>
      <tp t="e">
        <v>#N/A</v>
        <stp/>
        <stp>BDH|10356621701386815467</stp>
        <tr r="Z28" s="21"/>
      </tp>
      <tp t="e">
        <v>#N/A</v>
        <stp/>
        <stp>BDH|17942449674879213955</stp>
        <tr r="X14" s="13"/>
      </tp>
      <tp t="e">
        <v>#N/A</v>
        <stp/>
        <stp>BDH|16041201169101703705</stp>
        <tr r="R54" s="21"/>
      </tp>
      <tp t="e">
        <v>#N/A</v>
        <stp/>
        <stp>BDH|10176502278697246157</stp>
        <tr r="V25" s="18"/>
      </tp>
      <tp t="e">
        <v>#N/A</v>
        <stp/>
        <stp>BDH|11017517629132566031</stp>
        <tr r="C31" s="18"/>
      </tp>
      <tp t="e">
        <v>#N/A</v>
        <stp/>
        <stp>BDH|14067926289831410019</stp>
        <tr r="D14" s="27"/>
        <tr r="D28" s="25"/>
      </tp>
      <tp t="e">
        <v>#N/A</v>
        <stp/>
        <stp>BDH|15556742044573270195</stp>
        <tr r="N55" s="13"/>
        <tr r="L48" s="11"/>
        <tr r="L56" s="10"/>
        <tr r="L18" s="7"/>
      </tp>
      <tp t="e">
        <v>#N/A</v>
        <stp/>
        <stp>BDH|18139427184599868910</stp>
        <tr r="N29" s="5"/>
      </tp>
      <tp t="e">
        <v>#N/A</v>
        <stp/>
        <stp>BDH|17775080473390777455</stp>
        <tr r="AA87" s="12"/>
      </tp>
      <tp t="e">
        <v>#N/A</v>
        <stp/>
        <stp>BDH|13841384972134845743</stp>
        <tr r="W45" s="18"/>
      </tp>
      <tp t="e">
        <v>#N/A</v>
        <stp/>
        <stp>BDH|14931673422436258207</stp>
        <tr r="C24" s="24"/>
      </tp>
      <tp t="e">
        <v>#N/A</v>
        <stp/>
        <stp>BDH|10591558754786225282</stp>
        <tr r="H18" s="9"/>
      </tp>
      <tp t="e">
        <v>#N/A</v>
        <stp/>
        <stp>BDH|16354611459730152140</stp>
        <tr r="U118" s="18"/>
      </tp>
      <tp t="e">
        <v>#N/A</v>
        <stp/>
        <stp>BDH|10437486005612309246</stp>
        <tr r="Z27" s="26"/>
      </tp>
      <tp t="e">
        <v>#N/A</v>
        <stp/>
        <stp>BDH|14004457093589832404</stp>
        <tr r="R60" s="34"/>
      </tp>
      <tp t="e">
        <v>#N/A</v>
        <stp/>
        <stp>BDH|14694909580117829606</stp>
        <tr r="Q7" s="17"/>
      </tp>
      <tp t="e">
        <v>#N/A</v>
        <stp/>
        <stp>BDH|12693976975811330991</stp>
        <tr r="O42" s="22"/>
      </tp>
      <tp t="e">
        <v>#N/A</v>
        <stp/>
        <stp>BDH|10048207533653496698</stp>
        <tr r="V44" s="24"/>
      </tp>
      <tp t="e">
        <v>#N/A</v>
        <stp/>
        <stp>BDH|10532391750356779452</stp>
        <tr r="E61" s="34"/>
      </tp>
      <tp t="e">
        <v>#N/A</v>
        <stp/>
        <stp>BDH|18293527590115796592</stp>
        <tr r="P6" s="8"/>
        <tr r="N48" s="6"/>
      </tp>
      <tp t="e">
        <v>#N/A</v>
        <stp/>
        <stp>BDH|14988456641263967251</stp>
        <tr r="R104" s="18"/>
      </tp>
      <tp t="e">
        <v>#N/A</v>
        <stp/>
        <stp>BDH|12193071101686679102</stp>
        <tr r="M9" s="23"/>
      </tp>
      <tp t="e">
        <v>#N/A</v>
        <stp/>
        <stp>BDH|14938458911276906253</stp>
        <tr r="U45" s="21"/>
      </tp>
      <tp t="e">
        <v>#N/A</v>
        <stp/>
        <stp>BDH|17547718367406448565</stp>
        <tr r="L23" s="11"/>
      </tp>
      <tp t="e">
        <v>#N/A</v>
        <stp/>
        <stp>BDH|11440146451801525151</stp>
        <tr r="P37" s="24"/>
      </tp>
      <tp t="e">
        <v>#N/A</v>
        <stp/>
        <stp>BDH|18365737286783575129</stp>
        <tr r="W42" s="24"/>
      </tp>
      <tp t="e">
        <v>#N/A</v>
        <stp/>
        <stp>BDH|12450337386924150816</stp>
        <tr r="AA72" s="18"/>
      </tp>
      <tp t="e">
        <v>#N/A</v>
        <stp/>
        <stp>BDH|13992053227582848623</stp>
        <tr r="V77" s="17"/>
        <tr r="V19" s="3"/>
      </tp>
      <tp t="e">
        <v>#N/A</v>
        <stp/>
        <stp>BDH|14038606000414590347</stp>
        <tr r="F9" s="21"/>
      </tp>
      <tp t="e">
        <v>#N/A</v>
        <stp/>
        <stp>BDH|13442629758751965463</stp>
        <tr r="D31" s="29"/>
        <tr r="D39" s="29"/>
        <tr r="C52" s="6"/>
        <tr r="C11" s="5"/>
        <tr r="D10" s="2"/>
      </tp>
      <tp t="e">
        <v>#N/A</v>
        <stp/>
        <stp>BDH|11170687459236858199</stp>
        <tr r="X49" s="24"/>
      </tp>
      <tp t="e">
        <v>#N/A</v>
        <stp/>
        <stp>BDH|11270160150971788128</stp>
        <tr r="G30" s="5"/>
      </tp>
      <tp t="e">
        <v>#N/A</v>
        <stp/>
        <stp>BDH|15672931333582651818</stp>
        <tr r="P26" s="22"/>
      </tp>
      <tp t="e">
        <v>#N/A</v>
        <stp/>
        <stp>BDH|16102035845357099061</stp>
        <tr r="K22" s="11"/>
      </tp>
      <tp t="e">
        <v>#N/A</v>
        <stp/>
        <stp>BDH|10219074332590057668</stp>
        <tr r="X138" s="18"/>
      </tp>
      <tp t="e">
        <v>#N/A</v>
        <stp/>
        <stp>BDH|16449068623117298629</stp>
        <tr r="X58" s="13"/>
      </tp>
      <tp t="e">
        <v>#N/A</v>
        <stp/>
        <stp>BDH|13334168065140947182</stp>
        <tr r="Q20" s="34"/>
      </tp>
      <tp t="e">
        <v>#N/A</v>
        <stp/>
        <stp>BDH|10471027574404315609</stp>
        <tr r="V68" s="17"/>
        <tr r="S8" s="9"/>
        <tr r="S8" s="5"/>
      </tp>
      <tp t="e">
        <v>#N/A</v>
        <stp/>
        <stp>BDH|10840065134390963627</stp>
        <tr r="N56" s="12"/>
      </tp>
      <tp t="e">
        <v>#N/A</v>
        <stp/>
        <stp>BDH|10247656198193948974</stp>
        <tr r="N60" s="18"/>
      </tp>
      <tp t="e">
        <v>#N/A</v>
        <stp/>
        <stp>BDH|11602613696622301936</stp>
        <tr r="D62" s="34"/>
      </tp>
      <tp t="e">
        <v>#N/A</v>
        <stp/>
        <stp>BDH|10743567368002840404</stp>
        <tr r="X20" s="11"/>
      </tp>
      <tp t="e">
        <v>#N/A</v>
        <stp/>
        <stp>BDH|12278688866191887654</stp>
        <tr r="H7" s="24"/>
      </tp>
      <tp t="e">
        <v>#N/A</v>
        <stp/>
        <stp>BDH|17374978085754591753</stp>
        <tr r="I134" s="18"/>
      </tp>
      <tp t="e">
        <v>#N/A</v>
        <stp/>
        <stp>BDH|11311476297288333117</stp>
        <tr r="L63" s="10"/>
      </tp>
      <tp t="e">
        <v>#N/A</v>
        <stp/>
        <stp>BDH|17157724766105420603</stp>
        <tr r="N130" s="18"/>
      </tp>
      <tp t="e">
        <v>#N/A</v>
        <stp/>
        <stp>BDH|17825729503877107292</stp>
        <tr r="E66" s="34"/>
      </tp>
      <tp t="e">
        <v>#N/A</v>
        <stp/>
        <stp>BDH|17946608529580097610</stp>
        <tr r="D18" s="24"/>
      </tp>
      <tp t="e">
        <v>#N/A</v>
        <stp/>
        <stp>BDH|11327055635715228202</stp>
        <tr r="H17" s="22"/>
      </tp>
      <tp t="e">
        <v>#N/A</v>
        <stp/>
        <stp>BDH|14056180486508859075</stp>
        <tr r="R49" s="34"/>
      </tp>
      <tp t="e">
        <v>#N/A</v>
        <stp/>
        <stp>BDH|11308719151363795553</stp>
        <tr r="W47" s="12"/>
      </tp>
      <tp t="e">
        <v>#N/A</v>
        <stp/>
        <stp>BDH|17621254091631753845</stp>
        <tr r="H44" s="18"/>
      </tp>
      <tp t="e">
        <v>#N/A</v>
        <stp/>
        <stp>BDH|11671844333439059604</stp>
        <tr r="O16" s="11"/>
      </tp>
      <tp t="e">
        <v>#N/A</v>
        <stp/>
        <stp>BDH|13219562867085572072</stp>
        <tr r="X15" s="6"/>
      </tp>
      <tp t="e">
        <v>#N/A</v>
        <stp/>
        <stp>BDH|15155319554517285177</stp>
        <tr r="Z23" s="13"/>
      </tp>
      <tp t="e">
        <v>#N/A</v>
        <stp/>
        <stp>BDH|11204336671221272135</stp>
        <tr r="I17" s="27"/>
        <tr r="I31" s="25"/>
        <tr r="F14" s="5"/>
      </tp>
      <tp t="e">
        <v>#N/A</v>
        <stp/>
        <stp>BDH|12474073445106498539</stp>
        <tr r="W86" s="17"/>
      </tp>
      <tp t="e">
        <v>#N/A</v>
        <stp/>
        <stp>BDH|10881240308257786027</stp>
        <tr r="W10" s="28"/>
      </tp>
      <tp t="e">
        <v>#N/A</v>
        <stp/>
        <stp>BDH|12515029811314693216</stp>
        <tr r="D40" s="21"/>
      </tp>
      <tp t="e">
        <v>#N/A</v>
        <stp/>
        <stp>BDH|10919187595468162540</stp>
        <tr r="R8" s="25"/>
        <tr r="O10" s="5"/>
        <tr r="P9" s="2"/>
      </tp>
      <tp t="e">
        <v>#N/A</v>
        <stp/>
        <stp>BDH|16400353543525160124</stp>
        <tr r="U31" s="6"/>
      </tp>
      <tp t="e">
        <v>#N/A</v>
        <stp/>
        <stp>BDH|16222728947791064170</stp>
        <tr r="U33" s="34"/>
      </tp>
      <tp t="e">
        <v>#N/A</v>
        <stp/>
        <stp>BDH|18015414882173067238</stp>
        <tr r="O163" s="18"/>
      </tp>
      <tp t="e">
        <v>#N/A</v>
        <stp/>
        <stp>BDH|13500449034098146944</stp>
        <tr r="V13" s="20"/>
        <tr r="V114" s="18"/>
      </tp>
      <tp t="e">
        <v>#N/A</v>
        <stp/>
        <stp>BDH|10102298518482546451</stp>
        <tr r="I9" s="12"/>
      </tp>
      <tp t="e">
        <v>#N/A</v>
        <stp/>
        <stp>BDH|15199811230988601368</stp>
        <tr r="X16" s="30"/>
      </tp>
      <tp t="e">
        <v>#N/A</v>
        <stp/>
        <stp>BDH|14941295053390026638</stp>
        <tr r="J91" s="18"/>
      </tp>
      <tp t="e">
        <v>#N/A</v>
        <stp/>
        <stp>BDH|12992297651365648571</stp>
        <tr r="J34" s="29"/>
        <tr r="J23" s="29"/>
        <tr r="J14" s="29"/>
      </tp>
      <tp t="e">
        <v>#N/A</v>
        <stp/>
        <stp>BDH|17673782349835070472</stp>
        <tr r="I14" s="6"/>
      </tp>
      <tp t="e">
        <v>#N/A</v>
        <stp/>
        <stp>BDH|17862381453006575268</stp>
        <tr r="S106" s="18"/>
      </tp>
      <tp t="e">
        <v>#N/A</v>
        <stp/>
        <stp>BDH|13929047519857117053</stp>
        <tr r="F16" s="21"/>
      </tp>
      <tp t="e">
        <v>#N/A</v>
        <stp/>
        <stp>BDH|10320480043771931419</stp>
        <tr r="Z13" s="26"/>
      </tp>
      <tp t="e">
        <v>#N/A</v>
        <stp/>
        <stp>BDH|11147548403462174370</stp>
        <tr r="G47" s="12"/>
      </tp>
      <tp t="e">
        <v>#N/A</v>
        <stp/>
        <stp>BDH|12599998265518000099</stp>
        <tr r="F27" s="24"/>
      </tp>
      <tp t="e">
        <v>#N/A</v>
        <stp/>
        <stp>BDH|12113452320245497405</stp>
        <tr r="W12" s="12"/>
      </tp>
      <tp t="e">
        <v>#N/A</v>
        <stp/>
        <stp>BDH|10580205037182393619</stp>
        <tr r="Z31" s="26"/>
        <tr r="W14" s="9"/>
      </tp>
      <tp t="e">
        <v>#N/A</v>
        <stp/>
        <stp>BDH|13483507101635076652</stp>
        <tr r="Y10" s="24"/>
      </tp>
      <tp t="e">
        <v>#N/A</v>
        <stp/>
        <stp>BDH|14787284469554760113</stp>
        <tr r="V15" s="25"/>
      </tp>
      <tp t="e">
        <v>#N/A</v>
        <stp/>
        <stp>BDH|14456464015326079276</stp>
        <tr r="P147" s="18"/>
      </tp>
      <tp t="e">
        <v>#N/A</v>
        <stp/>
        <stp>BDH|10194455323282685115</stp>
        <tr r="F62" s="18"/>
      </tp>
      <tp t="e">
        <v>#N/A</v>
        <stp/>
        <stp>BDH|16267772950904089556</stp>
        <tr r="F140" s="18"/>
      </tp>
      <tp t="e">
        <v>#N/A</v>
        <stp/>
        <stp>BDH|16201642681078324542</stp>
        <tr r="G158" s="18"/>
      </tp>
      <tp t="e">
        <v>#N/A</v>
        <stp/>
        <stp>BDH|11217792208215389608</stp>
        <tr r="V28" s="26"/>
      </tp>
      <tp t="e">
        <v>#N/A</v>
        <stp/>
        <stp>BDH|16212960811502507905</stp>
        <tr r="D7" s="21"/>
      </tp>
      <tp t="e">
        <v>#N/A</v>
        <stp/>
        <stp>BDH|14844415659759263921</stp>
        <tr r="T35" s="4"/>
      </tp>
      <tp t="e">
        <v>#N/A</v>
        <stp/>
        <stp>BDH|15682832271177087842</stp>
        <tr r="H23" s="23"/>
      </tp>
      <tp t="e">
        <v>#N/A</v>
        <stp/>
        <stp>BDH|16427022425327049637</stp>
        <tr r="M49" s="24"/>
      </tp>
      <tp t="e">
        <v>#N/A</v>
        <stp/>
        <stp>BDH|15451263536563427201</stp>
        <tr r="T156" s="18"/>
      </tp>
      <tp t="e">
        <v>#N/A</v>
        <stp/>
        <stp>BDH|15502000217586235701</stp>
        <tr r="G79" s="18"/>
      </tp>
      <tp t="e">
        <v>#N/A</v>
        <stp/>
        <stp>BDH|14261256190578738201</stp>
        <tr r="Z158" s="18"/>
      </tp>
      <tp t="e">
        <v>#N/A</v>
        <stp/>
        <stp>BDH|14509142110206339724</stp>
        <tr r="L34" s="29"/>
        <tr r="L23" s="29"/>
        <tr r="L14" s="29"/>
      </tp>
      <tp t="e">
        <v>#N/A</v>
        <stp/>
        <stp>BDH|16172719598944890909</stp>
        <tr r="T34" s="6"/>
      </tp>
      <tp t="e">
        <v>#N/A</v>
        <stp/>
        <stp>BDH|12313968987391781754</stp>
        <tr r="O9" s="24"/>
      </tp>
      <tp t="e">
        <v>#N/A</v>
        <stp/>
        <stp>BDH|11727652524299153972</stp>
        <tr r="O55" s="6"/>
      </tp>
      <tp t="e">
        <v>#N/A</v>
        <stp/>
        <stp>BDH|12394038401741277634</stp>
        <tr r="X13" s="10"/>
      </tp>
      <tp t="e">
        <v>#N/A</v>
        <stp/>
        <stp>BDH|15947794157271353342</stp>
        <tr r="L59" s="18"/>
      </tp>
      <tp t="e">
        <v>#N/A</v>
        <stp/>
        <stp>BDH|11241497749334450061</stp>
        <tr r="Y132" s="18"/>
      </tp>
      <tp t="e">
        <v>#N/A</v>
        <stp/>
        <stp>BDH|17285992908092220923</stp>
        <tr r="C54" s="21"/>
      </tp>
      <tp t="e">
        <v>#N/A</v>
        <stp/>
        <stp>BDH|11991583567082081558</stp>
        <tr r="Z37" s="22"/>
      </tp>
      <tp t="e">
        <v>#N/A</v>
        <stp/>
        <stp>BDH|10033811082055589053</stp>
        <tr r="H174" s="18"/>
      </tp>
      <tp t="e">
        <v>#N/A</v>
        <stp/>
        <stp>BDH|12684610825810803399</stp>
        <tr r="Q42" s="34"/>
      </tp>
      <tp t="e">
        <v>#N/A</v>
        <stp/>
        <stp>BDH|17374201387021471939</stp>
        <tr r="E35" s="26"/>
      </tp>
      <tp t="e">
        <v>#N/A</v>
        <stp/>
        <stp>BDH|11612409127160123233</stp>
        <tr r="P66" s="24"/>
      </tp>
      <tp t="e">
        <v>#N/A</v>
        <stp/>
        <stp>BDH|15528991257999101592</stp>
        <tr r="Y73" s="18"/>
      </tp>
      <tp t="e">
        <v>#N/A</v>
        <stp/>
        <stp>BDH|14428724356982447174</stp>
        <tr r="Q8" s="13"/>
      </tp>
      <tp t="e">
        <v>#N/A</v>
        <stp/>
        <stp>BDH|15661586753677795790</stp>
        <tr r="O45" s="21"/>
      </tp>
      <tp t="e">
        <v>#N/A</v>
        <stp/>
        <stp>BDH|17497347613195749574</stp>
        <tr r="S43" s="11"/>
        <tr r="S15" s="7"/>
        <tr r="S51" s="10"/>
      </tp>
      <tp t="e">
        <v>#N/A</v>
        <stp/>
        <stp>BDH|12936558555625277284</stp>
        <tr r="I15" s="10"/>
      </tp>
      <tp t="e">
        <v>#N/A</v>
        <stp/>
        <stp>BDH|12907631836044868679</stp>
        <tr r="T15" s="24"/>
      </tp>
      <tp t="e">
        <v>#N/A</v>
        <stp/>
        <stp>BDH|11929657349842225443</stp>
        <tr r="J68" s="24"/>
      </tp>
      <tp t="e">
        <v>#N/A</v>
        <stp/>
        <stp>BDH|18322853624225231233</stp>
        <tr r="L11" s="17"/>
      </tp>
      <tp t="e">
        <v>#N/A</v>
        <stp/>
        <stp>BDH|11238795318294247622</stp>
        <tr r="G36" s="6"/>
      </tp>
      <tp t="e">
        <v>#N/A</v>
        <stp/>
        <stp>BDH|13130600166501525716</stp>
        <tr r="D27" s="24"/>
      </tp>
      <tp t="e">
        <v>#N/A</v>
        <stp/>
        <stp>BDH|15167153817215713577</stp>
        <tr r="Z64" s="18"/>
      </tp>
      <tp t="e">
        <v>#N/A</v>
        <stp/>
        <stp>BDH|16781018529743567290</stp>
        <tr r="K77" s="12"/>
      </tp>
      <tp t="e">
        <v>#N/A</v>
        <stp/>
        <stp>BDH|17450655529083291599</stp>
        <tr r="E20" s="29"/>
      </tp>
      <tp t="e">
        <v>#N/A</v>
        <stp/>
        <stp>BDH|10609093072540958273</stp>
        <tr r="T43" s="11"/>
        <tr r="T51" s="10"/>
        <tr r="T15" s="7"/>
      </tp>
      <tp t="e">
        <v>#N/A</v>
        <stp/>
        <stp>BDH|10187758879697680289</stp>
        <tr r="R15" s="21"/>
      </tp>
      <tp t="e">
        <v>#N/A</v>
        <stp/>
        <stp>BDH|14729311835458505950</stp>
        <tr r="S9" s="34"/>
      </tp>
      <tp t="e">
        <v>#N/A</v>
        <stp/>
        <stp>BDH|15174430756799750803</stp>
        <tr r="I57" s="13"/>
      </tp>
      <tp t="e">
        <v>#N/A</v>
        <stp/>
        <stp>BDH|14613042000077205635</stp>
        <tr r="L19" s="11"/>
      </tp>
      <tp t="e">
        <v>#N/A</v>
        <stp/>
        <stp>BDH|17455112413567174543</stp>
        <tr r="F45" s="12"/>
      </tp>
      <tp t="e">
        <v>#N/A</v>
        <stp/>
        <stp>BDH|17199316152965027111</stp>
        <tr r="J7" s="8"/>
      </tp>
      <tp t="e">
        <v>#N/A</v>
        <stp/>
        <stp>BDH|10363600020973480242</stp>
        <tr r="Y9" s="11"/>
      </tp>
      <tp t="e">
        <v>#N/A</v>
        <stp/>
        <stp>BDH|16637676165320016372</stp>
        <tr r="M19" s="18"/>
      </tp>
      <tp t="e">
        <v>#N/A</v>
        <stp/>
        <stp>BDH|18366489140434198996</stp>
        <tr r="I7" s="24"/>
      </tp>
      <tp t="e">
        <v>#N/A</v>
        <stp/>
        <stp>BDH|12273466817601745377</stp>
        <tr r="G23" s="22"/>
      </tp>
      <tp t="e">
        <v>#N/A</v>
        <stp/>
        <stp>BDH|12414476730416614666</stp>
        <tr r="F66" s="10"/>
      </tp>
      <tp t="e">
        <v>#N/A</v>
        <stp/>
        <stp>BDH|13002205323935014309</stp>
        <tr r="F85" s="18"/>
      </tp>
      <tp t="e">
        <v>#N/A</v>
        <stp/>
        <stp>BDH|15053087308967390706</stp>
        <tr r="N10" s="11"/>
      </tp>
      <tp t="e">
        <v>#N/A</v>
        <stp/>
        <stp>BDH|14415625374869459942</stp>
        <tr r="E23" s="9"/>
      </tp>
      <tp t="e">
        <v>#N/A</v>
        <stp/>
        <stp>BDH|11195323271098419840</stp>
        <tr r="M74" s="17"/>
      </tp>
      <tp t="e">
        <v>#N/A</v>
        <stp/>
        <stp>BDH|13425607115912007337</stp>
        <tr r="J18" s="12"/>
      </tp>
      <tp t="e">
        <v>#N/A</v>
        <stp/>
        <stp>BDH|12569948370511657854</stp>
        <tr r="O170" s="18"/>
      </tp>
      <tp t="e">
        <v>#N/A</v>
        <stp/>
        <stp>BDH|18286750691774321777</stp>
        <tr r="D66" s="24"/>
      </tp>
      <tp t="e">
        <v>#N/A</v>
        <stp/>
        <stp>BDH|12284720912447228624</stp>
        <tr r="F59" s="12"/>
      </tp>
      <tp t="e">
        <v>#N/A</v>
        <stp/>
        <stp>BDH|11470166606967513233</stp>
        <tr r="F91" s="12"/>
      </tp>
      <tp t="e">
        <v>#N/A</v>
        <stp/>
        <stp>BDH|12274418169556178394</stp>
        <tr r="K48" s="11"/>
        <tr r="M55" s="13"/>
        <tr r="K56" s="10"/>
        <tr r="K18" s="7"/>
      </tp>
      <tp t="e">
        <v>#N/A</v>
        <stp/>
        <stp>BDH|15882885416609460004</stp>
        <tr r="G18" s="34"/>
      </tp>
      <tp t="e">
        <v>#N/A</v>
        <stp/>
        <stp>BDH|10280464654144743050</stp>
        <tr r="J15" s="5"/>
      </tp>
      <tp t="e">
        <v>#N/A</v>
        <stp/>
        <stp>BDH|16980455447522965107</stp>
        <tr r="I7" s="11"/>
      </tp>
      <tp t="e">
        <v>#N/A</v>
        <stp/>
        <stp>BDH|12359189369010122011</stp>
        <tr r="K67" s="24"/>
      </tp>
      <tp t="e">
        <v>#N/A</v>
        <stp/>
        <stp>BDH|12147124370867929685</stp>
        <tr r="X64" s="21"/>
        <tr r="V23" s="7"/>
      </tp>
      <tp t="e">
        <v>#N/A</v>
        <stp/>
        <stp>BDH|14789413542345543433</stp>
        <tr r="I8" s="26"/>
        <tr r="F10" s="9"/>
      </tp>
      <tp t="e">
        <v>#N/A</v>
        <stp/>
        <stp>BDH|15303322099598395290</stp>
        <tr r="G17" s="21"/>
      </tp>
      <tp t="e">
        <v>#N/A</v>
        <stp/>
        <stp>BDH|10551494999061477938</stp>
        <tr r="M42" s="4"/>
      </tp>
      <tp t="e">
        <v>#N/A</v>
        <stp/>
        <stp>BDH|18139926563670553278</stp>
        <tr r="T13" s="26"/>
      </tp>
      <tp t="e">
        <v>#N/A</v>
        <stp/>
        <stp>BDH|10082645863543054653</stp>
        <tr r="E15" s="24"/>
      </tp>
      <tp t="e">
        <v>#N/A</v>
        <stp/>
        <stp>BDH|10928103295959735495</stp>
        <tr r="J35" s="25"/>
      </tp>
      <tp t="e">
        <v>#N/A</v>
        <stp/>
        <stp>BDH|15173134611242454259</stp>
        <tr r="K76" s="12"/>
      </tp>
      <tp t="e">
        <v>#N/A</v>
        <stp/>
        <stp>BDH|16366947201918010244</stp>
        <tr r="G51" s="34"/>
      </tp>
      <tp t="e">
        <v>#N/A</v>
        <stp/>
        <stp>BDH|17261576464004290514</stp>
        <tr r="R45" s="18"/>
      </tp>
      <tp t="e">
        <v>#N/A</v>
        <stp/>
        <stp>BDH|14451562329935800313</stp>
        <tr r="G39" s="6"/>
      </tp>
      <tp t="e">
        <v>#N/A</v>
        <stp/>
        <stp>BDH|17243446447845742743</stp>
        <tr r="S138" s="18"/>
      </tp>
      <tp t="e">
        <v>#N/A</v>
        <stp/>
        <stp>BDH|13266230847138139858</stp>
        <tr r="S30" s="29"/>
        <tr r="S8" s="29"/>
      </tp>
      <tp t="e">
        <v>#N/A</v>
        <stp/>
        <stp>BDH|15308784051996198497</stp>
        <tr r="R10" s="30"/>
      </tp>
      <tp t="e">
        <v>#N/A</v>
        <stp/>
        <stp>BDH|11230284358686543556</stp>
        <tr r="J110" s="12"/>
      </tp>
      <tp t="e">
        <v>#N/A</v>
        <stp/>
        <stp>BDH|13526072101131812793</stp>
        <tr r="H14" s="8"/>
      </tp>
      <tp t="e">
        <v>#N/A</v>
        <stp/>
        <stp>BDH|10198418460612500575</stp>
        <tr r="F60" s="12"/>
      </tp>
      <tp t="e">
        <v>#N/A</v>
        <stp/>
        <stp>BDH|16343305810715945480</stp>
        <tr r="W17" s="12"/>
      </tp>
      <tp t="e">
        <v>#N/A</v>
        <stp/>
        <stp>BDH|18260059195190091405</stp>
        <tr r="X30" s="21"/>
      </tp>
      <tp t="e">
        <v>#N/A</v>
        <stp/>
        <stp>BDH|12830249257551983105</stp>
        <tr r="D12" s="25"/>
      </tp>
      <tp t="e">
        <v>#N/A</v>
        <stp/>
        <stp>BDH|18143422991403821381</stp>
        <tr r="F43" s="11"/>
        <tr r="F51" s="10"/>
        <tr r="F15" s="7"/>
      </tp>
      <tp t="e">
        <v>#N/A</v>
        <stp/>
        <stp>BDH|17865012830342819337</stp>
        <tr r="F11" s="14"/>
      </tp>
      <tp t="e">
        <v>#N/A</v>
        <stp/>
        <stp>BDH|17074663954108300935</stp>
        <tr r="W41" s="18"/>
      </tp>
      <tp t="e">
        <v>#N/A</v>
        <stp/>
        <stp>BDH|15919962237578937235</stp>
        <tr r="V82" s="12"/>
      </tp>
      <tp t="e">
        <v>#N/A</v>
        <stp/>
        <stp>BDH|12989578553421949660</stp>
        <tr r="Z106" s="18"/>
      </tp>
      <tp t="e">
        <v>#N/A</v>
        <stp/>
        <stp>BDH|13383864014459710649</stp>
        <tr r="X18" s="30"/>
      </tp>
      <tp t="e">
        <v>#N/A</v>
        <stp/>
        <stp>BDH|15974050109427767705</stp>
        <tr r="O16" s="21"/>
      </tp>
      <tp t="e">
        <v>#N/A</v>
        <stp/>
        <stp>BDH|14707940687306662605</stp>
        <tr r="J11" s="14"/>
      </tp>
      <tp t="e">
        <v>#N/A</v>
        <stp/>
        <stp>BDH|15805263918762146157</stp>
        <tr r="R34" s="13"/>
        <tr r="P30" s="10"/>
      </tp>
      <tp t="e">
        <v>#N/A</v>
        <stp/>
        <stp>BDH|10861196498388359581</stp>
        <tr r="R50" s="18"/>
      </tp>
      <tp t="e">
        <v>#N/A</v>
        <stp/>
        <stp>BDH|12301396732085841224</stp>
        <tr r="D60" s="13"/>
      </tp>
      <tp t="e">
        <v>#N/A</v>
        <stp/>
        <stp>BDH|10083215843854171717</stp>
        <tr r="X64" s="11"/>
        <tr r="X72" s="10"/>
      </tp>
      <tp t="e">
        <v>#N/A</v>
        <stp/>
        <stp>BDH|16415706658211990079</stp>
        <tr r="T13" s="8"/>
      </tp>
      <tp t="e">
        <v>#N/A</v>
        <stp/>
        <stp>BDH|14480836392372009279</stp>
        <tr r="N23" s="11"/>
      </tp>
      <tp t="e">
        <v>#N/A</v>
        <stp/>
        <stp>BDH|14226717826421329547</stp>
        <tr r="W104" s="12"/>
      </tp>
      <tp t="e">
        <v>#N/A</v>
        <stp/>
        <stp>BDH|15504776722112615742</stp>
        <tr r="M7" s="29"/>
        <tr r="M29" s="29"/>
      </tp>
      <tp t="e">
        <v>#N/A</v>
        <stp/>
        <stp>BDH|12924101633602863707</stp>
        <tr r="J125" s="18"/>
      </tp>
      <tp t="e">
        <v>#N/A</v>
        <stp/>
        <stp>BDH|14606701430807290264</stp>
        <tr r="P109" s="12"/>
      </tp>
      <tp t="e">
        <v>#N/A</v>
        <stp/>
        <stp>BDH|18082620986027120401</stp>
        <tr r="P44" s="6"/>
      </tp>
      <tp t="e">
        <v>#N/A</v>
        <stp/>
        <stp>BDH|16976266145252818779</stp>
        <tr r="D38" s="17"/>
      </tp>
      <tp t="e">
        <v>#N/A</v>
        <stp/>
        <stp>BDH|17227818036158465146</stp>
        <tr r="V12" s="11"/>
      </tp>
      <tp t="e">
        <v>#N/A</v>
        <stp/>
        <stp>BDH|12785475633488144877</stp>
        <tr r="M28" s="26"/>
      </tp>
      <tp t="e">
        <v>#N/A</v>
        <stp/>
        <stp>BDH|15233843885175782513</stp>
        <tr r="X28" s="21"/>
      </tp>
      <tp t="e">
        <v>#N/A</v>
        <stp/>
        <stp>BDH|12685415965034614116</stp>
        <tr r="F161" s="18"/>
      </tp>
      <tp t="e">
        <v>#N/A</v>
        <stp/>
        <stp>BDH|14789116557370160551</stp>
        <tr r="Q7" s="34"/>
      </tp>
      <tp t="e">
        <v>#N/A</v>
        <stp/>
        <stp>BDH|18237041285491347458</stp>
        <tr r="E60" s="13"/>
      </tp>
      <tp t="e">
        <v>#N/A</v>
        <stp/>
        <stp>BDH|14047099866896986137</stp>
        <tr r="N32" s="17"/>
      </tp>
      <tp t="e">
        <v>#N/A</v>
        <stp/>
        <stp>BDH|13087299922893646584</stp>
        <tr r="Q44" s="24"/>
      </tp>
      <tp t="e">
        <v>#N/A</v>
        <stp/>
        <stp>BDH|13111913180916619132</stp>
        <tr r="X17" s="34"/>
      </tp>
      <tp t="e">
        <v>#N/A</v>
        <stp/>
        <stp>BDH|16884756756999786890</stp>
        <tr r="N69" s="34"/>
      </tp>
      <tp t="e">
        <v>#N/A</v>
        <stp/>
        <stp>BDH|12475618741055455055</stp>
        <tr r="N30" s="12"/>
      </tp>
      <tp t="e">
        <v>#N/A</v>
        <stp/>
        <stp>BDH|16453025813543791172</stp>
        <tr r="M35" s="24"/>
      </tp>
      <tp t="e">
        <v>#N/A</v>
        <stp/>
        <stp>BDH|10030663431157564779</stp>
        <tr r="V33" s="13"/>
        <tr r="T29" s="10"/>
      </tp>
      <tp t="e">
        <v>#N/A</v>
        <stp/>
        <stp>BDH|10633716613832069116</stp>
        <tr r="V37" s="21"/>
        <tr r="V24" s="3"/>
      </tp>
      <tp t="e">
        <v>#N/A</v>
        <stp/>
        <stp>BDH|17254970430881181918</stp>
        <tr r="W48" s="34"/>
      </tp>
      <tp t="e">
        <v>#N/A</v>
        <stp/>
        <stp>BDH|14482787888609872793</stp>
        <tr r="W8" s="21"/>
      </tp>
      <tp t="e">
        <v>#N/A</v>
        <stp/>
        <stp>BDH|14141155060582283431</stp>
        <tr r="J165" s="18"/>
      </tp>
      <tp t="e">
        <v>#N/A</v>
        <stp/>
        <stp>BDH|13694872599247945040</stp>
        <tr r="D37" s="24"/>
      </tp>
      <tp t="e">
        <v>#N/A</v>
        <stp/>
        <stp>BDH|16069506403696529037</stp>
        <tr r="T6" s="8"/>
        <tr r="R48" s="6"/>
      </tp>
      <tp t="e">
        <v>#N/A</v>
        <stp/>
        <stp>BDH|13686552460703184676</stp>
        <tr r="H18" s="20"/>
      </tp>
      <tp t="e">
        <v>#N/A</v>
        <stp/>
        <stp>BDH|15363516646400328124</stp>
        <tr r="L88" s="17"/>
      </tp>
      <tp t="e">
        <v>#N/A</v>
        <stp/>
        <stp>BDH|15926453505144423080</stp>
        <tr r="N45" s="12"/>
      </tp>
      <tp t="e">
        <v>#N/A</v>
        <stp/>
        <stp>BDH|14867432433601882758</stp>
        <tr r="F21" s="18"/>
      </tp>
      <tp t="e">
        <v>#N/A</v>
        <stp/>
        <stp>BDH|11746370609831573699</stp>
        <tr r="E13" s="9"/>
      </tp>
      <tp t="e">
        <v>#N/A</v>
        <stp/>
        <stp>BDH|13735487508004160630</stp>
        <tr r="P40" s="12"/>
      </tp>
      <tp t="e">
        <v>#N/A</v>
        <stp/>
        <stp>BDH|10024433481450246953</stp>
        <tr r="T111" s="12"/>
      </tp>
      <tp t="e">
        <v>#N/A</v>
        <stp/>
        <stp>BDH|18179412818061978943</stp>
        <tr r="AA44" s="24"/>
      </tp>
      <tp t="e">
        <v>#N/A</v>
        <stp/>
        <stp>BDH|10718850113655238965</stp>
        <tr r="J25" s="17"/>
      </tp>
      <tp t="e">
        <v>#N/A</v>
        <stp/>
        <stp>BDH|18290880746197197681</stp>
        <tr r="Q13" s="23"/>
        <tr r="O57" s="11"/>
        <tr r="O38" s="4"/>
      </tp>
      <tp t="e">
        <v>#N/A</v>
        <stp/>
        <stp>BDH|13677502878295272197</stp>
        <tr r="L88" s="12"/>
      </tp>
      <tp t="e">
        <v>#N/A</v>
        <stp/>
        <stp>BDH|16812289342551139468</stp>
        <tr r="C26" s="13"/>
        <tr r="C16" s="13"/>
      </tp>
      <tp t="e">
        <v>#N/A</v>
        <stp/>
        <stp>BDH|16961374654791945467</stp>
        <tr r="Q78" s="24"/>
      </tp>
      <tp t="e">
        <v>#N/A</v>
        <stp/>
        <stp>BDH|16955655525535819242</stp>
        <tr r="H22" s="12"/>
      </tp>
      <tp t="e">
        <v>#N/A</v>
        <stp/>
        <stp>BDH|16060374253493877694</stp>
        <tr r="F48" s="34"/>
      </tp>
      <tp t="e">
        <v>#N/A</v>
        <stp/>
        <stp>BDH|11270016677686337521</stp>
        <tr r="N100" s="18"/>
      </tp>
      <tp t="e">
        <v>#N/A</v>
        <stp/>
        <stp>BDH|11725433330962548149</stp>
        <tr r="C64" s="34"/>
      </tp>
      <tp t="e">
        <v>#N/A</v>
        <stp/>
        <stp>BDH|14036351454082728535</stp>
        <tr r="J41" s="6"/>
      </tp>
      <tp t="e">
        <v>#N/A</v>
        <stp/>
        <stp>BDH|16399958135871045869</stp>
        <tr r="E41" s="17"/>
      </tp>
      <tp t="e">
        <v>#N/A</v>
        <stp/>
        <stp>BDH|10840689788539492295</stp>
        <tr r="D13" s="9"/>
      </tp>
      <tp t="e">
        <v>#N/A</v>
        <stp/>
        <stp>BDH|15273534923496613112</stp>
        <tr r="I33" s="13"/>
        <tr r="G29" s="10"/>
      </tp>
      <tp t="e">
        <v>#N/A</v>
        <stp/>
        <stp>BDH|17319826384620428247</stp>
        <tr r="X18" s="20"/>
      </tp>
      <tp t="e">
        <v>#N/A</v>
        <stp/>
        <stp>BDH|14951348623188978830</stp>
        <tr r="Q93" s="18"/>
      </tp>
      <tp t="e">
        <v>#N/A</v>
        <stp/>
        <stp>BDH|11307745029193861228</stp>
        <tr r="H85" s="17"/>
      </tp>
      <tp t="e">
        <v>#N/A</v>
        <stp/>
        <stp>BDH|12987791745601429557</stp>
        <tr r="X49" s="21"/>
      </tp>
      <tp t="e">
        <v>#N/A</v>
        <stp/>
        <stp>BDH|11488127970400720253</stp>
        <tr r="J19" s="12"/>
      </tp>
      <tp t="e">
        <v>#N/A</v>
        <stp/>
        <stp>BDH|15193377927892742328</stp>
        <tr r="I97" s="18"/>
      </tp>
      <tp t="e">
        <v>#N/A</v>
        <stp/>
        <stp>BDH|13620565907017066438</stp>
        <tr r="Q66" s="12"/>
      </tp>
      <tp t="e">
        <v>#N/A</v>
        <stp/>
        <stp>BDH|12636770132800562324</stp>
        <tr r="W13" s="8"/>
      </tp>
      <tp t="e">
        <v>#N/A</v>
        <stp/>
        <stp>BDH|12618570607050498261</stp>
        <tr r="Z19" s="25"/>
      </tp>
      <tp t="e">
        <v>#N/A</v>
        <stp/>
        <stp>BDH|11016544751463583741</stp>
        <tr r="AA91" s="12"/>
      </tp>
      <tp t="e">
        <v>#N/A</v>
        <stp/>
        <stp>BDH|14296818928859923264</stp>
        <tr r="M47" s="18"/>
      </tp>
      <tp t="e">
        <v>#N/A</v>
        <stp/>
        <stp>BDH|13119345067842356157</stp>
        <tr r="L94" s="12"/>
      </tp>
      <tp t="e">
        <v>#N/A</v>
        <stp/>
        <stp>BDH|13627191248731725248</stp>
        <tr r="W65" s="17"/>
      </tp>
      <tp t="e">
        <v>#N/A</v>
        <stp/>
        <stp>BDH|17243182740800861765</stp>
        <tr r="K79" s="18"/>
      </tp>
      <tp t="e">
        <v>#N/A</v>
        <stp/>
        <stp>BDH|10025496123124900778</stp>
        <tr r="R33" s="12"/>
      </tp>
      <tp t="e">
        <v>#N/A</v>
        <stp/>
        <stp>BDH|16126573511030759748</stp>
        <tr r="T14" s="6"/>
      </tp>
      <tp t="e">
        <v>#N/A</v>
        <stp/>
        <stp>BDH|11931518066187273081</stp>
        <tr r="E44" s="24"/>
      </tp>
      <tp t="e">
        <v>#N/A</v>
        <stp/>
        <stp>BDH|11773518322964523758</stp>
        <tr r="E118" s="18"/>
      </tp>
      <tp t="e">
        <v>#N/A</v>
        <stp/>
        <stp>BDH|14201637067833467265</stp>
        <tr r="M8" s="26"/>
        <tr r="J10" s="9"/>
      </tp>
      <tp t="e">
        <v>#N/A</v>
        <stp/>
        <stp>BDH|16391768925336045045</stp>
        <tr r="AA47" s="12"/>
      </tp>
      <tp t="e">
        <v>#N/A</v>
        <stp/>
        <stp>BDH|15803117058227158343</stp>
        <tr r="U27" s="17"/>
      </tp>
      <tp t="e">
        <v>#N/A</v>
        <stp/>
        <stp>BDH|14621774620645743127</stp>
        <tr r="Z27" s="17"/>
      </tp>
      <tp t="e">
        <v>#N/A</v>
        <stp/>
        <stp>BDH|15984593829074818359</stp>
        <tr r="L22" s="10"/>
      </tp>
      <tp t="e">
        <v>#N/A</v>
        <stp/>
        <stp>BDH|14507280424300404191</stp>
        <tr r="I101" s="18"/>
      </tp>
      <tp t="e">
        <v>#N/A</v>
        <stp/>
        <stp>BDH|16512261374055715343</stp>
        <tr r="K36" s="21"/>
      </tp>
      <tp t="e">
        <v>#N/A</v>
        <stp/>
        <stp>BDH|17547877192663262061</stp>
        <tr r="X67" s="34"/>
      </tp>
      <tp t="e">
        <v>#N/A</v>
        <stp/>
        <stp>BDH|11166020182819777528</stp>
        <tr r="U16" s="11"/>
      </tp>
      <tp t="e">
        <v>#N/A</v>
        <stp/>
        <stp>BDH|12189292676387216589</stp>
        <tr r="W31" s="21"/>
      </tp>
      <tp t="e">
        <v>#N/A</v>
        <stp/>
        <stp>BDH|14051010661761629620</stp>
        <tr r="E24" s="22"/>
      </tp>
      <tp t="e">
        <v>#N/A</v>
        <stp/>
        <stp>BDH|15097158233184617641</stp>
        <tr r="P89" s="17"/>
      </tp>
      <tp t="e">
        <v>#N/A</v>
        <stp/>
        <stp>BDH|13607611263612801480</stp>
        <tr r="X116" s="18"/>
      </tp>
      <tp t="e">
        <v>#N/A</v>
        <stp/>
        <stp>BDH|18145826714641151526</stp>
        <tr r="Y63" s="11"/>
        <tr r="Y71" s="10"/>
      </tp>
      <tp t="e">
        <v>#N/A</v>
        <stp/>
        <stp>BDH|10337747300857487573</stp>
        <tr r="X13" s="18"/>
      </tp>
      <tp t="e">
        <v>#N/A</v>
        <stp/>
        <stp>BDH|15515307850793937585</stp>
        <tr r="I53" s="18"/>
      </tp>
      <tp t="e">
        <v>#N/A</v>
        <stp/>
        <stp>BDH|15512477562616578411</stp>
        <tr r="O27" s="11"/>
        <tr r="O39" s="11"/>
        <tr r="O35" s="10"/>
        <tr r="O47" s="10"/>
      </tp>
      <tp t="e">
        <v>#N/A</v>
        <stp/>
        <stp>BDH|13717414755485411236</stp>
        <tr r="I15" s="17"/>
        <tr r="I18" s="28"/>
      </tp>
      <tp t="e">
        <v>#N/A</v>
        <stp/>
        <stp>BDH|17472054921628722831</stp>
        <tr r="U102" s="12"/>
      </tp>
      <tp t="e">
        <v>#N/A</v>
        <stp/>
        <stp>BDH|17776205557044122156</stp>
        <tr r="P53" s="18"/>
      </tp>
      <tp t="e">
        <v>#N/A</v>
        <stp/>
        <stp>BDH|13513291599509899499</stp>
        <tr r="N31" s="22"/>
      </tp>
      <tp t="e">
        <v>#N/A</v>
        <stp/>
        <stp>BDH|18143297808428130751</stp>
        <tr r="N62" s="11"/>
        <tr r="N70" s="10"/>
      </tp>
      <tp t="e">
        <v>#N/A</v>
        <stp/>
        <stp>BDH|13309526258211540785</stp>
        <tr r="W47" s="34"/>
      </tp>
      <tp t="e">
        <v>#N/A</v>
        <stp/>
        <stp>BDH|16777155830722698308</stp>
        <tr r="Z30" s="12"/>
      </tp>
      <tp t="e">
        <v>#N/A</v>
        <stp/>
        <stp>BDH|16893449239624521040</stp>
        <tr r="Z13" s="27"/>
        <tr r="Z27" s="25"/>
      </tp>
      <tp t="e">
        <v>#N/A</v>
        <stp/>
        <stp>BDH|13782875312736779926</stp>
        <tr r="R16" s="27"/>
        <tr r="R30" s="25"/>
      </tp>
      <tp t="e">
        <v>#N/A</v>
        <stp/>
        <stp>BDH|11954098027280929696</stp>
        <tr r="U45" s="24"/>
      </tp>
      <tp t="e">
        <v>#N/A</v>
        <stp/>
        <stp>BDH|14635261274835335102</stp>
        <tr r="F51" s="12"/>
      </tp>
      <tp t="e">
        <v>#N/A</v>
        <stp/>
        <stp>BDH|10339289108051731633</stp>
        <tr r="Z58" s="17"/>
      </tp>
      <tp t="e">
        <v>#N/A</v>
        <stp/>
        <stp>BDH|10061663205142062148</stp>
        <tr r="I16" s="22"/>
      </tp>
      <tp t="e">
        <v>#N/A</v>
        <stp/>
        <stp>BDH|12451429356471303742</stp>
        <tr r="Z8" s="12"/>
      </tp>
      <tp t="e">
        <v>#N/A</v>
        <stp/>
        <stp>BDH|11123420964133788572</stp>
        <tr r="O168" s="18"/>
      </tp>
      <tp t="e">
        <v>#N/A</v>
        <stp/>
        <stp>BDH|11192060850711867080</stp>
        <tr r="S22" s="24"/>
      </tp>
      <tp t="e">
        <v>#N/A</v>
        <stp/>
        <stp>BDH|10858497651461397547</stp>
        <tr r="W19" s="10"/>
      </tp>
      <tp t="e">
        <v>#N/A</v>
        <stp/>
        <stp>BDH|15235236335667658659</stp>
        <tr r="L152" s="18"/>
      </tp>
      <tp t="e">
        <v>#N/A</v>
        <stp/>
        <stp>BDH|14714228320155546473</stp>
        <tr r="F53" s="12"/>
      </tp>
      <tp t="e">
        <v>#N/A</v>
        <stp/>
        <stp>BDH|14214538234875066228</stp>
        <tr r="E42" s="4"/>
      </tp>
      <tp t="e">
        <v>#N/A</v>
        <stp/>
        <stp>BDH|11260703305641051209</stp>
        <tr r="I39" s="12"/>
      </tp>
      <tp t="e">
        <v>#N/A</v>
        <stp/>
        <stp>BDH|16674551245673282137</stp>
        <tr r="W26" s="24"/>
      </tp>
      <tp t="e">
        <v>#N/A</v>
        <stp/>
        <stp>BDH|10373388942012609080</stp>
        <tr r="C25" s="27"/>
      </tp>
      <tp t="e">
        <v>#N/A</v>
        <stp/>
        <stp>BDH|13687111770993280326</stp>
        <tr r="Q31" s="6"/>
      </tp>
      <tp t="e">
        <v>#N/A</v>
        <stp/>
        <stp>BDH|14414532668550103298</stp>
        <tr r="AA154" s="18"/>
      </tp>
      <tp t="e">
        <v>#N/A</v>
        <stp/>
        <stp>BDH|10498232312085372312</stp>
        <tr r="N20" s="6"/>
      </tp>
      <tp t="e">
        <v>#N/A</v>
        <stp/>
        <stp>BDH|13906365979760799265</stp>
        <tr r="S87" s="17"/>
      </tp>
      <tp t="e">
        <v>#N/A</v>
        <stp/>
        <stp>BDH|10227065613871134512</stp>
        <tr r="F28" s="17"/>
      </tp>
      <tp t="e">
        <v>#N/A</v>
        <stp/>
        <stp>BDH|13201742269687995010</stp>
        <tr r="C58" s="12"/>
      </tp>
      <tp t="e">
        <v>#N/A</v>
        <stp/>
        <stp>BDH|14188686227400141583</stp>
        <tr r="O9" s="11"/>
      </tp>
      <tp t="e">
        <v>#N/A</v>
        <stp/>
        <stp>BDH|14235678452007713577</stp>
        <tr r="W42" s="12"/>
      </tp>
      <tp t="e">
        <v>#N/A</v>
        <stp/>
        <stp>BDH|14636756854805420643</stp>
        <tr r="W37" s="22"/>
      </tp>
      <tp t="e">
        <v>#N/A</v>
        <stp/>
        <stp>BDH|13133639070246746120</stp>
        <tr r="V151" s="18"/>
      </tp>
      <tp t="e">
        <v>#N/A</v>
        <stp/>
        <stp>BDH|15248921696873679376</stp>
        <tr r="S77" s="17"/>
        <tr r="S19" s="3"/>
      </tp>
      <tp t="e">
        <v>#N/A</v>
        <stp/>
        <stp>BDH|16574919195172131170</stp>
        <tr r="H101" s="12"/>
      </tp>
      <tp t="e">
        <v>#N/A</v>
        <stp/>
        <stp>BDH|13199895798184684319</stp>
        <tr r="W6" s="16"/>
        <tr r="X6" s="11"/>
        <tr r="Z6" s="3"/>
        <tr r="X10" s="4"/>
      </tp>
      <tp t="e">
        <v>#N/A</v>
        <stp/>
        <stp>BDH|12211267933713866584</stp>
        <tr r="O73" s="18"/>
      </tp>
      <tp t="e">
        <v>#N/A</v>
        <stp/>
        <stp>BDH|13102134475666659664</stp>
        <tr r="S24" s="6"/>
      </tp>
      <tp t="e">
        <v>#N/A</v>
        <stp/>
        <stp>BDH|11712750249475447282</stp>
        <tr r="H54" s="34"/>
      </tp>
      <tp t="e">
        <v>#N/A</v>
        <stp/>
        <stp>BDH|12659600721120774371</stp>
        <tr r="V109" s="12"/>
      </tp>
      <tp t="e">
        <v>#N/A</v>
        <stp/>
        <stp>BDH|16540565243904585622</stp>
        <tr r="R17" s="9"/>
      </tp>
      <tp t="e">
        <v>#N/A</v>
        <stp/>
        <stp>BDH|12197286714822930636</stp>
        <tr r="C9" s="8"/>
      </tp>
      <tp t="e">
        <v>#N/A</v>
        <stp/>
        <stp>BDH|14562204893002930880</stp>
        <tr r="W33" s="17"/>
      </tp>
      <tp t="e">
        <v>#N/A</v>
        <stp/>
        <stp>BDH|17580362618169591993</stp>
        <tr r="U33" s="10"/>
        <tr r="U25" s="11"/>
      </tp>
      <tp t="e">
        <v>#N/A</v>
        <stp/>
        <stp>BDH|13076459543866277030</stp>
        <tr r="H43" s="17"/>
        <tr r="H9" s="25"/>
      </tp>
      <tp t="e">
        <v>#N/A</v>
        <stp/>
        <stp>BDH|14484403034991164764</stp>
        <tr r="E13" s="27"/>
        <tr r="E27" s="25"/>
      </tp>
      <tp t="e">
        <v>#N/A</v>
        <stp/>
        <stp>BDH|16291124123952060242</stp>
        <tr r="I175" s="18"/>
      </tp>
      <tp t="e">
        <v>#N/A</v>
        <stp/>
        <stp>BDH|16634503603956113038</stp>
        <tr r="M90" s="12"/>
      </tp>
      <tp t="e">
        <v>#N/A</v>
        <stp/>
        <stp>BDH|15825275415723855055</stp>
        <tr r="M39" s="13"/>
        <tr r="K35" s="11"/>
        <tr r="K43" s="10"/>
        <tr r="K52" s="4"/>
        <tr r="M8" s="3"/>
      </tp>
      <tp t="e">
        <v>#N/A</v>
        <stp/>
        <stp>BDH|15292283330832822350</stp>
        <tr r="J87" s="18"/>
      </tp>
      <tp t="e">
        <v>#N/A</v>
        <stp/>
        <stp>BDH|13228463120428514863</stp>
        <tr r="Y65" s="18"/>
      </tp>
      <tp t="e">
        <v>#N/A</v>
        <stp/>
        <stp>BDH|10003094954317995739</stp>
        <tr r="AA18" s="25"/>
      </tp>
      <tp t="e">
        <v>#N/A</v>
        <stp/>
        <stp>BDH|17974391014748475871</stp>
        <tr r="I65" s="17"/>
      </tp>
      <tp t="e">
        <v>#N/A</v>
        <stp/>
        <stp>BDH|11159450660571008737</stp>
        <tr r="L65" s="21"/>
        <tr r="I28" s="6"/>
      </tp>
      <tp t="e">
        <v>#N/A</v>
        <stp/>
        <stp>BDH|11731167845729026834</stp>
        <tr r="E66" s="12"/>
      </tp>
      <tp t="e">
        <v>#N/A</v>
        <stp/>
        <stp>BDH|10594675025863634262</stp>
        <tr r="F40" s="34"/>
      </tp>
      <tp t="e">
        <v>#N/A</v>
        <stp/>
        <stp>BDH|10516202930281037527</stp>
        <tr r="V34" s="34"/>
      </tp>
      <tp t="e">
        <v>#N/A</v>
        <stp/>
        <stp>BDH|13638078814091264609</stp>
        <tr r="I54" s="34"/>
      </tp>
      <tp t="e">
        <v>#N/A</v>
        <stp/>
        <stp>BDH|16585296414128891872</stp>
        <tr r="X25" s="18"/>
      </tp>
      <tp t="e">
        <v>#N/A</v>
        <stp/>
        <stp>BDH|10290821917544234835</stp>
        <tr r="O54" s="6"/>
      </tp>
      <tp t="e">
        <v>#N/A</v>
        <stp/>
        <stp>BDH|15165499647537989709</stp>
        <tr r="I65" s="18"/>
      </tp>
      <tp t="e">
        <v>#N/A</v>
        <stp/>
        <stp>BDH|14265579006283056753</stp>
        <tr r="D29" s="21"/>
      </tp>
      <tp t="e">
        <v>#N/A</v>
        <stp/>
        <stp>BDH|18183808479987604582</stp>
        <tr r="E24" s="12"/>
      </tp>
      <tp t="e">
        <v>#N/A</v>
        <stp/>
        <stp>BDH|17027378560887100009</stp>
        <tr r="S44" s="17"/>
      </tp>
      <tp t="e">
        <v>#N/A</v>
        <stp/>
        <stp>BDH|13735620310800329103</stp>
        <tr r="C66" s="21"/>
      </tp>
      <tp t="e">
        <v>#N/A</v>
        <stp/>
        <stp>BDH|14443567371622578108</stp>
        <tr r="P24" s="29"/>
      </tp>
      <tp t="e">
        <v>#N/A</v>
        <stp/>
        <stp>BDH|16894839005868955317</stp>
        <tr r="J11" s="9"/>
      </tp>
      <tp t="e">
        <v>#N/A</v>
        <stp/>
        <stp>BDH|15074734205755092207</stp>
        <tr r="AA39" s="22"/>
      </tp>
      <tp t="e">
        <v>#N/A</v>
        <stp/>
        <stp>BDH|11325858691415040010</stp>
        <tr r="J39" s="6"/>
      </tp>
      <tp t="e">
        <v>#N/A</v>
        <stp/>
        <stp>BDH|11422757317734595652</stp>
        <tr r="Y21" s="4"/>
      </tp>
      <tp t="e">
        <v>#N/A</v>
        <stp/>
        <stp>BDH|15577972215008253039</stp>
        <tr r="R24" s="34"/>
      </tp>
      <tp t="e">
        <v>#N/A</v>
        <stp/>
        <stp>BDH|11660454560255610338</stp>
        <tr r="T30" s="21"/>
      </tp>
      <tp t="e">
        <v>#N/A</v>
        <stp/>
        <stp>BDH|12235710672862354546</stp>
        <tr r="F12" s="27"/>
        <tr r="F26" s="25"/>
      </tp>
      <tp t="e">
        <v>#N/A</v>
        <stp/>
        <stp>BDH|17811469315014970347</stp>
        <tr r="Y30" s="22"/>
      </tp>
      <tp t="e">
        <v>#N/A</v>
        <stp/>
        <stp>BDH|14234659082119263612</stp>
        <tr r="E32" s="26"/>
      </tp>
      <tp t="e">
        <v>#N/A</v>
        <stp/>
        <stp>BDH|10445821298880816402</stp>
        <tr r="D36" s="34"/>
      </tp>
      <tp t="e">
        <v>#N/A</v>
        <stp/>
        <stp>BDH|13375289178257728420</stp>
        <tr r="W19" s="17"/>
      </tp>
      <tp t="e">
        <v>#N/A</v>
        <stp/>
        <stp>BDH|11508374468096985752</stp>
        <tr r="U14" s="27"/>
        <tr r="U28" s="25"/>
      </tp>
      <tp t="e">
        <v>#N/A</v>
        <stp/>
        <stp>BDH|13797328354551619118</stp>
        <tr r="G116" s="18"/>
      </tp>
      <tp t="e">
        <v>#N/A</v>
        <stp/>
        <stp>BDH|16282781842608855866</stp>
        <tr r="E117" s="18"/>
      </tp>
      <tp t="e">
        <v>#N/A</v>
        <stp/>
        <stp>BDH|14843338261094542094</stp>
        <tr r="V22" s="18"/>
      </tp>
      <tp t="e">
        <v>#N/A</v>
        <stp/>
        <stp>BDH|12001844786591451607</stp>
        <tr r="S34" s="17"/>
      </tp>
      <tp t="e">
        <v>#N/A</v>
        <stp/>
        <stp>BDH|10223272670899186923</stp>
        <tr r="Q75" s="12"/>
      </tp>
      <tp t="e">
        <v>#N/A</v>
        <stp/>
        <stp>BDH|11564002763676823483</stp>
        <tr r="AA19" s="26"/>
      </tp>
      <tp t="e">
        <v>#N/A</v>
        <stp/>
        <stp>BDH|17991943655167701998</stp>
        <tr r="O123" s="18"/>
      </tp>
      <tp t="e">
        <v>#N/A</v>
        <stp/>
        <stp>BDH|12700277025252056533</stp>
        <tr r="X165" s="18"/>
      </tp>
      <tp t="e">
        <v>#N/A</v>
        <stp/>
        <stp>BDH|16380263802318482950</stp>
        <tr r="V62" s="24"/>
      </tp>
      <tp t="e">
        <v>#N/A</v>
        <stp/>
        <stp>BDH|12655884903099332682</stp>
        <tr r="J135" s="18"/>
      </tp>
      <tp t="e">
        <v>#N/A</v>
        <stp/>
        <stp>BDH|12524620810358819890</stp>
        <tr r="C47" s="12"/>
      </tp>
      <tp t="e">
        <v>#N/A</v>
        <stp/>
        <stp>BDH|11737907437469577730</stp>
        <tr r="S95" s="18"/>
      </tp>
      <tp t="e">
        <v>#N/A</v>
        <stp/>
        <stp>BDH|11149475372267433066</stp>
        <tr r="O31" s="11"/>
        <tr r="O39" s="10"/>
      </tp>
      <tp t="e">
        <v>#N/A</v>
        <stp/>
        <stp>BDH|17294788756631235182</stp>
        <tr r="V61" s="34"/>
      </tp>
      <tp t="e">
        <v>#N/A</v>
        <stp/>
        <stp>BDH|12665215767865295647</stp>
        <tr r="O12" s="11"/>
      </tp>
      <tp t="e">
        <v>#N/A</v>
        <stp/>
        <stp>BDH|12157299767586143589</stp>
        <tr r="Y12" s="17"/>
      </tp>
      <tp t="e">
        <v>#N/A</v>
        <stp/>
        <stp>BDH|14403614213764955292</stp>
        <tr r="R73" s="18"/>
      </tp>
      <tp t="e">
        <v>#N/A</v>
        <stp/>
        <stp>BDH|13289561343617660082</stp>
        <tr r="O55" s="24"/>
      </tp>
      <tp t="e">
        <v>#N/A</v>
        <stp/>
        <stp>BDH|13626130545246983503</stp>
        <tr r="Y59" s="21"/>
        <tr r="W54" s="11"/>
      </tp>
      <tp t="e">
        <v>#N/A</v>
        <stp/>
        <stp>BDH|10973595865646499086</stp>
        <tr r="J70" s="24"/>
      </tp>
      <tp t="e">
        <v>#N/A</v>
        <stp/>
        <stp>BDH|11039109744220902142</stp>
        <tr r="S35" s="34"/>
      </tp>
      <tp t="e">
        <v>#N/A</v>
        <stp/>
        <stp>BDH|18444401497050891026</stp>
        <tr r="I64" s="21"/>
        <tr r="G23" s="7"/>
      </tp>
      <tp t="e">
        <v>#N/A</v>
        <stp/>
        <stp>BDH|14558348886729610381</stp>
        <tr r="J10" s="26"/>
      </tp>
      <tp t="e">
        <v>#N/A</v>
        <stp/>
        <stp>BDH|10557590625661433349</stp>
        <tr r="N91" s="12"/>
      </tp>
      <tp t="e">
        <v>#N/A</v>
        <stp/>
        <stp>BDH|17082378939785385746</stp>
        <tr r="X10" s="22"/>
      </tp>
      <tp t="e">
        <v>#N/A</v>
        <stp/>
        <stp>BDH|15814788336626706286</stp>
        <tr r="U17" s="17"/>
        <tr r="U20" s="28"/>
      </tp>
      <tp t="e">
        <v>#N/A</v>
        <stp/>
        <stp>BDH|17840616674591262269</stp>
        <tr r="Q21" s="3"/>
      </tp>
      <tp t="e">
        <v>#N/A</v>
        <stp/>
        <stp>BDH|14471191871122087557</stp>
        <tr r="T26" s="12"/>
      </tp>
      <tp t="e">
        <v>#N/A</v>
        <stp/>
        <stp>BDH|16279293294240485826</stp>
        <tr r="T107" s="18"/>
      </tp>
      <tp t="e">
        <v>#N/A</v>
        <stp/>
        <stp>BDH|13014250661903506180</stp>
        <tr r="S40" s="22"/>
      </tp>
      <tp t="e">
        <v>#N/A</v>
        <stp/>
        <stp>BDH|18091732981982930029</stp>
        <tr r="F39" s="25"/>
        <tr r="F22" s="13"/>
        <tr r="F7" s="13"/>
        <tr r="D18" s="11"/>
        <tr r="F7" s="3"/>
      </tp>
      <tp t="e">
        <v>#N/A</v>
        <stp/>
        <stp>BDH|16973117942700202618</stp>
        <tr r="O68" s="10"/>
      </tp>
      <tp t="e">
        <v>#N/A</v>
        <stp/>
        <stp>BDH|11981911587370035566</stp>
        <tr r="L9" s="27"/>
      </tp>
      <tp t="e">
        <v>#N/A</v>
        <stp/>
        <stp>BDH|14177285661167243239</stp>
        <tr r="O69" s="12"/>
      </tp>
      <tp t="e">
        <v>#N/A</v>
        <stp/>
        <stp>BDH|11925275402711782726</stp>
        <tr r="R60" s="24"/>
      </tp>
      <tp t="e">
        <v>#N/A</v>
        <stp/>
        <stp>BDH|15799261238954851589</stp>
        <tr r="V143" s="18"/>
      </tp>
      <tp t="e">
        <v>#N/A</v>
        <stp/>
        <stp>BDH|16142182361863126701</stp>
        <tr r="G69" s="12"/>
      </tp>
      <tp t="e">
        <v>#N/A</v>
        <stp/>
        <stp>BDH|14027882137953709915</stp>
        <tr r="D13" s="6"/>
      </tp>
      <tp t="e">
        <v>#N/A</v>
        <stp/>
        <stp>BDH|10895824536128786628</stp>
        <tr r="U57" s="18"/>
      </tp>
      <tp t="e">
        <v>#N/A</v>
        <stp/>
        <stp>BDH|16397867489740660333</stp>
        <tr r="X26" s="22"/>
      </tp>
      <tp t="e">
        <v>#N/A</v>
        <stp/>
        <stp>BDH|11651045338147729040</stp>
        <tr r="H13" s="14"/>
      </tp>
      <tp t="e">
        <v>#N/A</v>
        <stp/>
        <stp>BDH|16937300797210216953</stp>
        <tr r="X87" s="17"/>
      </tp>
      <tp t="e">
        <v>#N/A</v>
        <stp/>
        <stp>BDH|16194117006650687293</stp>
        <tr r="G9" s="11"/>
      </tp>
      <tp t="e">
        <v>#N/A</v>
        <stp/>
        <stp>BDH|11499212826871394599</stp>
        <tr r="N19" s="22"/>
      </tp>
      <tp t="e">
        <v>#N/A</v>
        <stp/>
        <stp>BDH|16023931198592766152</stp>
        <tr r="Y17" s="18"/>
      </tp>
      <tp t="e">
        <v>#N/A</v>
        <stp/>
        <stp>BDH|11366042165035328784</stp>
        <tr r="W58" s="21"/>
        <tr r="W37" s="25"/>
        <tr r="U53" s="11"/>
        <tr r="U31" s="4"/>
      </tp>
      <tp t="e">
        <v>#N/A</v>
        <stp/>
        <stp>BDH|14939400511414720064</stp>
        <tr r="M144" s="18"/>
      </tp>
      <tp t="e">
        <v>#N/A</v>
        <stp/>
        <stp>BDH|12327650412423469391</stp>
        <tr r="R21" s="10"/>
      </tp>
      <tp t="e">
        <v>#N/A</v>
        <stp/>
        <stp>BDH|17279015774482656782</stp>
        <tr r="H6" s="27"/>
      </tp>
      <tp t="e">
        <v>#N/A</v>
        <stp/>
        <stp>BDH|18251196484973299743</stp>
        <tr r="V18" s="29"/>
        <tr r="V38" s="29"/>
      </tp>
      <tp t="e">
        <v>#N/A</v>
        <stp/>
        <stp>BDH|12627523279296158356</stp>
        <tr r="V104" s="18"/>
      </tp>
      <tp t="e">
        <v>#N/A</v>
        <stp/>
        <stp>BDH|10057395490799634663</stp>
        <tr r="K19" s="13"/>
        <tr r="I61" s="10"/>
        <tr r="I32" s="4"/>
        <tr r="I16" s="2"/>
      </tp>
      <tp t="e">
        <v>#N/A</v>
        <stp/>
        <stp>BDH|12399120961365052598</stp>
        <tr r="S94" s="18"/>
      </tp>
      <tp t="e">
        <v>#N/A</v>
        <stp/>
        <stp>BDH|11121185331305435350</stp>
        <tr r="Q17" s="18"/>
      </tp>
      <tp t="e">
        <v>#N/A</v>
        <stp/>
        <stp>BDH|11855900325966537918</stp>
        <tr r="G46" s="17"/>
      </tp>
      <tp t="e">
        <v>#N/A</v>
        <stp/>
        <stp>BDH|17638442640700809231</stp>
        <tr r="H175" s="18"/>
      </tp>
      <tp t="e">
        <v>#N/A</v>
        <stp/>
        <stp>BDH|11613201121075855162</stp>
        <tr r="G69" s="34"/>
      </tp>
      <tp t="e">
        <v>#N/A</v>
        <stp/>
        <stp>BDH|11995188835467866155</stp>
        <tr r="O145" s="18"/>
      </tp>
      <tp t="e">
        <v>#N/A</v>
        <stp/>
        <stp>BDH|14468025906556003790</stp>
        <tr r="F97" s="18"/>
      </tp>
      <tp t="e">
        <v>#N/A</v>
        <stp/>
        <stp>BDH|11890758364316143310</stp>
        <tr r="Q22" s="21"/>
      </tp>
      <tp t="e">
        <v>#N/A</v>
        <stp/>
        <stp>BDH|11224888830909048632</stp>
        <tr r="AA78" s="18"/>
      </tp>
      <tp t="e">
        <v>#N/A</v>
        <stp/>
        <stp>BDH|12900725373014010311</stp>
        <tr r="M16" s="17"/>
        <tr r="M19" s="28"/>
      </tp>
      <tp t="e">
        <v>#N/A</v>
        <stp/>
        <stp>BDH|13020697757343401633</stp>
        <tr r="N123" s="18"/>
      </tp>
      <tp t="e">
        <v>#N/A</v>
        <stp/>
        <stp>BDH|11969239117656046149</stp>
        <tr r="T32" s="21"/>
      </tp>
      <tp t="e">
        <v>#N/A</v>
        <stp/>
        <stp>BDH|13771687343533615730</stp>
        <tr r="F69" s="17"/>
      </tp>
      <tp t="e">
        <v>#N/A</v>
        <stp/>
        <stp>BDH|15030856381149536983</stp>
        <tr r="Y21" s="27"/>
      </tp>
      <tp t="e">
        <v>#N/A</v>
        <stp/>
        <stp>BDH|13865288103736923221</stp>
        <tr r="AA18" s="26"/>
      </tp>
      <tp t="e">
        <v>#N/A</v>
        <stp/>
        <stp>BDH|16601872431551841909</stp>
        <tr r="T90" s="17"/>
        <tr r="T34" s="25"/>
      </tp>
      <tp t="e">
        <v>#N/A</v>
        <stp/>
        <stp>BDH|15827780839042626679</stp>
        <tr r="G19" s="18"/>
      </tp>
      <tp t="e">
        <v>#N/A</v>
        <stp/>
        <stp>BDH|10804408574003332572</stp>
        <tr r="L35" s="26"/>
      </tp>
      <tp t="e">
        <v>#N/A</v>
        <stp/>
        <stp>BDH|10985201131010927492</stp>
        <tr r="J11" s="28"/>
      </tp>
      <tp t="e">
        <v>#N/A</v>
        <stp/>
        <stp>BDH|13807509147686016176</stp>
        <tr r="D29" s="4"/>
      </tp>
      <tp t="e">
        <v>#N/A</v>
        <stp/>
        <stp>BDH|15385211273991988400</stp>
        <tr r="S23" s="5"/>
      </tp>
      <tp t="e">
        <v>#N/A</v>
        <stp/>
        <stp>BDH|15849577821821000663</stp>
        <tr r="U61" s="34"/>
      </tp>
      <tp t="e">
        <v>#N/A</v>
        <stp/>
        <stp>BDH|16218727978815088609</stp>
        <tr r="S38" s="24"/>
      </tp>
      <tp t="e">
        <v>#N/A</v>
        <stp/>
        <stp>BDH|16402354078550491757</stp>
        <tr r="J14" s="23"/>
      </tp>
      <tp t="e">
        <v>#N/A</v>
        <stp/>
        <stp>BDH|14564403969037324479</stp>
        <tr r="U31" s="18"/>
      </tp>
      <tp t="e">
        <v>#N/A</v>
        <stp/>
        <stp>BDH|15366244279431591431</stp>
        <tr r="K64" s="12"/>
      </tp>
      <tp t="e">
        <v>#N/A</v>
        <stp/>
        <stp>BDH|17667640929470497676</stp>
        <tr r="T158" s="18"/>
      </tp>
      <tp t="e">
        <v>#N/A</v>
        <stp/>
        <stp>BDH|13181172243935467698</stp>
        <tr r="E27" s="18"/>
      </tp>
      <tp t="e">
        <v>#N/A</v>
        <stp/>
        <stp>BDH|16935355508240484081</stp>
        <tr r="H16" s="6"/>
      </tp>
      <tp t="e">
        <v>#N/A</v>
        <stp/>
        <stp>BDH|10673033345795882407</stp>
        <tr r="N29" s="18"/>
      </tp>
      <tp t="e">
        <v>#N/A</v>
        <stp/>
        <stp>BDH|17639933874194927800</stp>
        <tr r="R59" s="17"/>
      </tp>
      <tp t="e">
        <v>#N/A</v>
        <stp/>
        <stp>BDH|16373556007674917205</stp>
        <tr r="N7" s="24"/>
      </tp>
      <tp t="e">
        <v>#N/A</v>
        <stp/>
        <stp>BDH|16557621771452839061</stp>
        <tr r="L42" s="22"/>
      </tp>
      <tp t="e">
        <v>#N/A</v>
        <stp/>
        <stp>BDH|10712094547687967687</stp>
        <tr r="Z98" s="12"/>
      </tp>
      <tp t="e">
        <v>#N/A</v>
        <stp/>
        <stp>BDH|11631631762123600791</stp>
        <tr r="X34" s="6"/>
      </tp>
      <tp t="e">
        <v>#N/A</v>
        <stp/>
        <stp>BDH|12171226310162277695</stp>
        <tr r="U38" s="12"/>
      </tp>
      <tp t="e">
        <v>#N/A</v>
        <stp/>
        <stp>BDH|15901307422489148826</stp>
        <tr r="L19" s="18"/>
      </tp>
      <tp t="e">
        <v>#N/A</v>
        <stp/>
        <stp>BDH|14162732034055810064</stp>
        <tr r="O24" s="2"/>
      </tp>
      <tp t="e">
        <v>#N/A</v>
        <stp/>
        <stp>BDH|11813021746528445800</stp>
        <tr r="J16" s="18"/>
      </tp>
      <tp t="e">
        <v>#N/A</v>
        <stp/>
        <stp>BDH|13491391746149667858</stp>
        <tr r="N15" s="24"/>
      </tp>
      <tp t="e">
        <v>#N/A</v>
        <stp/>
        <stp>BDH|12003835486025517283</stp>
        <tr r="L17" s="12"/>
      </tp>
      <tp t="e">
        <v>#N/A</v>
        <stp/>
        <stp>BDH|16154266920640846377</stp>
        <tr r="W20" s="24"/>
      </tp>
      <tp t="e">
        <v>#N/A</v>
        <stp/>
        <stp>BDH|15874393311293016181</stp>
        <tr r="W55" s="18"/>
      </tp>
      <tp t="e">
        <v>#N/A</v>
        <stp/>
        <stp>BDH|13532531222322949353</stp>
        <tr r="Z44" s="18"/>
      </tp>
      <tp t="e">
        <v>#N/A</v>
        <stp/>
        <stp>BDH|11911667536316573744</stp>
        <tr r="W19" s="12"/>
      </tp>
      <tp t="e">
        <v>#N/A</v>
        <stp/>
        <stp>BDH|15620520514792133693</stp>
        <tr r="G15" s="10"/>
      </tp>
      <tp t="e">
        <v>#N/A</v>
        <stp/>
        <stp>BDH|11519605293918801368</stp>
        <tr r="Q41" s="18"/>
      </tp>
      <tp t="e">
        <v>#N/A</v>
        <stp/>
        <stp>BDH|13119781285888497104</stp>
        <tr r="L18" s="21"/>
        <tr r="L23" s="3"/>
        <tr r="J23" s="2"/>
      </tp>
      <tp t="e">
        <v>#N/A</v>
        <stp/>
        <stp>BDH|15716726134102112683</stp>
        <tr r="W51" s="12"/>
      </tp>
      <tp t="e">
        <v>#N/A</v>
        <stp/>
        <stp>BDH|17165019776965664084</stp>
        <tr r="C14" s="30"/>
      </tp>
      <tp t="e">
        <v>#N/A</v>
        <stp/>
        <stp>BDH|11568714305615286685</stp>
        <tr r="L75" s="12"/>
      </tp>
      <tp t="e">
        <v>#N/A</v>
        <stp/>
        <stp>BDH|11571781147126592147</stp>
        <tr r="O9" s="20"/>
        <tr r="O111" s="18"/>
      </tp>
      <tp t="e">
        <v>#N/A</v>
        <stp/>
        <stp>BDH|17504596247954913797</stp>
        <tr r="Q12" s="25"/>
      </tp>
      <tp t="e">
        <v>#N/A</v>
        <stp/>
        <stp>BDH|16741685057258382803</stp>
        <tr r="T21" s="24"/>
      </tp>
      <tp t="e">
        <v>#N/A</v>
        <stp/>
        <stp>BDH|17846189725265655482</stp>
        <tr r="T34" s="11"/>
        <tr r="T42" s="10"/>
      </tp>
      <tp t="e">
        <v>#N/A</v>
        <stp/>
        <stp>BDH|15018050359963640613</stp>
        <tr r="T20" s="30"/>
      </tp>
      <tp t="e">
        <v>#N/A</v>
        <stp/>
        <stp>BDH|14614650824316452388</stp>
        <tr r="V29" s="5"/>
      </tp>
      <tp t="e">
        <v>#N/A</v>
        <stp/>
        <stp>BDH|13979310810033215719</stp>
        <tr r="E18" s="6"/>
      </tp>
      <tp t="e">
        <v>#N/A</v>
        <stp/>
        <stp>BDH|12083602419726578674</stp>
        <tr r="C41" s="10"/>
        <tr r="C33" s="11"/>
      </tp>
      <tp t="e">
        <v>#N/A</v>
        <stp/>
        <stp>BDH|17368793345797547618</stp>
        <tr r="J9" s="6"/>
      </tp>
      <tp t="e">
        <v>#N/A</v>
        <stp/>
        <stp>BDH|11990306285176451935</stp>
        <tr r="N40" s="18"/>
      </tp>
      <tp t="e">
        <v>#N/A</v>
        <stp/>
        <stp>BDH|14594336574131934403</stp>
        <tr r="S66" s="17"/>
      </tp>
      <tp t="e">
        <v>#N/A</v>
        <stp/>
        <stp>BDH|12691420446983148488</stp>
        <tr r="J85" s="18"/>
      </tp>
      <tp t="e">
        <v>#N/A</v>
        <stp/>
        <stp>BDH|14738998054628161508</stp>
        <tr r="Y23" s="10"/>
      </tp>
      <tp t="e">
        <v>#N/A</v>
        <stp/>
        <stp>BDH|15786393680869033253</stp>
        <tr r="O38" s="17"/>
      </tp>
      <tp t="e">
        <v>#N/A</v>
        <stp/>
        <stp>BDH|13033343116455141183</stp>
        <tr r="E139" s="18"/>
      </tp>
      <tp t="e">
        <v>#N/A</v>
        <stp/>
        <stp>BDH|11175501078612173435</stp>
        <tr r="L9" s="28"/>
      </tp>
      <tp t="e">
        <v>#N/A</v>
        <stp/>
        <stp>BDH|12281968462779545181</stp>
        <tr r="C39" s="6"/>
      </tp>
      <tp t="e">
        <v>#N/A</v>
        <stp/>
        <stp>BDH|12901611294140118860</stp>
        <tr r="AA23" s="25"/>
        <tr r="Y21" s="11"/>
      </tp>
      <tp t="e">
        <v>#N/A</v>
        <stp/>
        <stp>BDH|10055719626123898345</stp>
        <tr r="K50" s="12"/>
      </tp>
      <tp t="e">
        <v>#N/A</v>
        <stp/>
        <stp>BDH|16529561666998836868</stp>
        <tr r="P78" s="17"/>
      </tp>
      <tp t="e">
        <v>#N/A</v>
        <stp/>
        <stp>BDH|12934080679778408874</stp>
        <tr r="H147" s="18"/>
      </tp>
      <tp t="e">
        <v>#N/A</v>
        <stp/>
        <stp>BDH|10973551777624566356</stp>
        <tr r="C7" s="30"/>
      </tp>
      <tp t="e">
        <v>#N/A</v>
        <stp/>
        <stp>BDH|16180422339314482051</stp>
        <tr r="Y30" s="13"/>
        <tr r="W26" s="10"/>
      </tp>
      <tp t="e">
        <v>#N/A</v>
        <stp/>
        <stp>BDH|12809094710085364392</stp>
        <tr r="O8" s="4"/>
      </tp>
      <tp t="e">
        <v>#N/A</v>
        <stp/>
        <stp>BDH|10644700348087250176</stp>
        <tr r="P45" s="22"/>
      </tp>
      <tp t="e">
        <v>#N/A</v>
        <stp/>
        <stp>BDH|11661103719305659124</stp>
        <tr r="U30" s="26"/>
      </tp>
      <tp t="e">
        <v>#N/A</v>
        <stp/>
        <stp>BDH|18022769030141544889</stp>
        <tr r="L16" s="12"/>
      </tp>
      <tp t="e">
        <v>#N/A</v>
        <stp/>
        <stp>BDH|17069982723448227124</stp>
        <tr r="F29" s="22"/>
      </tp>
      <tp t="e">
        <v>#N/A</v>
        <stp/>
        <stp>BDH|12922042662360772132</stp>
        <tr r="L38" s="22"/>
      </tp>
      <tp t="e">
        <v>#N/A</v>
        <stp/>
        <stp>BDH|16933202604546372757</stp>
        <tr r="K12" s="22"/>
      </tp>
      <tp t="e">
        <v>#N/A</v>
        <stp/>
        <stp>BDH|17990805961475264905</stp>
        <tr r="Q37" s="29"/>
        <tr r="Q17" s="29"/>
      </tp>
      <tp t="e">
        <v>#N/A</v>
        <stp/>
        <stp>BDH|12199902305299863764</stp>
        <tr r="I71" s="18"/>
      </tp>
      <tp t="e">
        <v>#N/A</v>
        <stp/>
        <stp>BDH|14505756991517893830</stp>
        <tr r="H57" s="34"/>
      </tp>
      <tp t="e">
        <v>#N/A</v>
        <stp/>
        <stp>BDH|13051421360811178592</stp>
        <tr r="F12" s="24"/>
      </tp>
      <tp t="e">
        <v>#N/A</v>
        <stp/>
        <stp>BDH|14750145399789978099</stp>
        <tr r="T40" s="34"/>
      </tp>
      <tp t="e">
        <v>#N/A</v>
        <stp/>
        <stp>BDH|14853201632333961399</stp>
        <tr r="C59" s="17"/>
      </tp>
      <tp t="e">
        <v>#N/A</v>
        <stp/>
        <stp>BDH|11661377210774394280</stp>
        <tr r="G32" s="12"/>
      </tp>
      <tp t="e">
        <v>#N/A</v>
        <stp/>
        <stp>BDH|11195491905489513923</stp>
        <tr r="I135" s="18"/>
      </tp>
      <tp t="e">
        <v>#N/A</v>
        <stp/>
        <stp>BDH|10992756274465126037</stp>
        <tr r="X88" s="12"/>
      </tp>
      <tp t="e">
        <v>#N/A</v>
        <stp/>
        <stp>BDH|13410079452277840430</stp>
        <tr r="AA61" s="21"/>
        <tr r="Y25" s="2"/>
      </tp>
      <tp t="e">
        <v>#N/A</v>
        <stp/>
        <stp>BDH|16368431078474012421</stp>
        <tr r="I23" s="22"/>
      </tp>
      <tp t="e">
        <v>#N/A</v>
        <stp/>
        <stp>BDH|17235820292333069085</stp>
        <tr r="U84" s="17"/>
      </tp>
      <tp t="e">
        <v>#N/A</v>
        <stp/>
        <stp>BDH|17149407663145090588</stp>
        <tr r="J40" s="34"/>
      </tp>
      <tp t="e">
        <v>#N/A</v>
        <stp/>
        <stp>BDH|14317185303249604945</stp>
        <tr r="X172" s="18"/>
      </tp>
      <tp t="e">
        <v>#N/A</v>
        <stp/>
        <stp>BDH|10770942098611216431</stp>
        <tr r="F33" s="17"/>
      </tp>
      <tp t="e">
        <v>#N/A</v>
        <stp/>
        <stp>BDH|12205294445418611923</stp>
        <tr r="G91" s="12"/>
      </tp>
      <tp t="e">
        <v>#N/A</v>
        <stp/>
        <stp>BDH|14779623065516851725</stp>
        <tr r="M11" s="7"/>
      </tp>
      <tp t="e">
        <v>#N/A</v>
        <stp/>
        <stp>BDH|12748972701206245891</stp>
        <tr r="R71" s="12"/>
      </tp>
      <tp t="e">
        <v>#N/A</v>
        <stp/>
        <stp>BDH|11496693796362388921</stp>
        <tr r="V11" s="22"/>
      </tp>
      <tp t="e">
        <v>#N/A</v>
        <stp/>
        <stp>BDH|17898468470751470001</stp>
        <tr r="X65" s="18"/>
      </tp>
      <tp t="e">
        <v>#N/A</v>
        <stp/>
        <stp>BDH|15237568588815267845</stp>
        <tr r="L21" s="34"/>
      </tp>
      <tp t="e">
        <v>#N/A</v>
        <stp/>
        <stp>BDH|10292566710878834964</stp>
        <tr r="Q10" s="27"/>
        <tr r="Q25" s="25"/>
      </tp>
      <tp t="e">
        <v>#N/A</v>
        <stp/>
        <stp>BDH|11724751414392575090</stp>
        <tr r="X42" s="11"/>
        <tr r="X14" s="7"/>
        <tr r="X50" s="10"/>
        <tr r="Z9" s="3"/>
      </tp>
      <tp t="e">
        <v>#N/A</v>
        <stp/>
        <stp>BDH|14829238431501382130</stp>
        <tr r="C25" s="3"/>
      </tp>
      <tp t="e">
        <v>#N/A</v>
        <stp/>
        <stp>BDH|11940966102265562821</stp>
        <tr r="Z59" s="24"/>
      </tp>
      <tp t="e">
        <v>#N/A</v>
        <stp/>
        <stp>BDH|16662213898979421118</stp>
        <tr r="O38" s="18"/>
      </tp>
      <tp t="e">
        <v>#N/A</v>
        <stp/>
        <stp>BDH|11454915639387502935</stp>
        <tr r="Y21" s="17"/>
        <tr r="Y15" s="3"/>
      </tp>
      <tp t="e">
        <v>#N/A</v>
        <stp/>
        <stp>BDH|10972446020926776509</stp>
        <tr r="H15" s="25"/>
      </tp>
      <tp t="e">
        <v>#N/A</v>
        <stp/>
        <stp>BDH|17448707340481992078</stp>
        <tr r="O20" s="25"/>
      </tp>
      <tp t="e">
        <v>#N/A</v>
        <stp/>
        <stp>BDH|12009686501004767544</stp>
        <tr r="S47" s="13"/>
      </tp>
      <tp t="e">
        <v>#N/A</v>
        <stp/>
        <stp>BDH|10426051764433637090</stp>
        <tr r="S62" s="34"/>
      </tp>
      <tp t="e">
        <v>#N/A</v>
        <stp/>
        <stp>BDH|12546304725161811724</stp>
        <tr r="I13" s="9"/>
      </tp>
      <tp t="e">
        <v>#N/A</v>
        <stp/>
        <stp>BDH|15920380840323958420</stp>
        <tr r="F21" s="22"/>
      </tp>
      <tp t="e">
        <v>#N/A</v>
        <stp/>
        <stp>BDH|13561539381629349296</stp>
        <tr r="Q88" s="12"/>
      </tp>
      <tp t="e">
        <v>#N/A</v>
        <stp/>
        <stp>BDH|17125337319391184175</stp>
        <tr r="Y34" s="12"/>
      </tp>
      <tp t="e">
        <v>#N/A</v>
        <stp/>
        <stp>BDH|17815732564824587778</stp>
        <tr r="C45" s="21"/>
      </tp>
      <tp t="e">
        <v>#N/A</v>
        <stp/>
        <stp>BDH|16881755866371648301</stp>
        <tr r="G63" s="11"/>
        <tr r="G71" s="10"/>
      </tp>
      <tp t="e">
        <v>#N/A</v>
        <stp/>
        <stp>BDH|14642799154612332153</stp>
        <tr r="Y29" s="4"/>
      </tp>
      <tp t="e">
        <v>#N/A</v>
        <stp/>
        <stp>BDH|16197791962251744304</stp>
        <tr r="U41" s="12"/>
      </tp>
      <tp t="e">
        <v>#N/A</v>
        <stp/>
        <stp>BDH|18004219926225836822</stp>
        <tr r="H7" s="21"/>
      </tp>
      <tp t="e">
        <v>#N/A</v>
        <stp/>
        <stp>BDH|12506428687103536880</stp>
        <tr r="T24" s="22"/>
      </tp>
      <tp t="e">
        <v>#N/A</v>
        <stp/>
        <stp>BDH|12901724067252096415</stp>
        <tr r="U43" s="24"/>
      </tp>
      <tp t="e">
        <v>#N/A</v>
        <stp/>
        <stp>BDH|15725122253411848539</stp>
        <tr r="T27" s="18"/>
      </tp>
      <tp t="e">
        <v>#N/A</v>
        <stp/>
        <stp>BDH|11398374746066678593</stp>
        <tr r="T36" s="13"/>
        <tr r="R24" s="10"/>
        <tr r="R46" s="4"/>
      </tp>
      <tp t="e">
        <v>#N/A</v>
        <stp/>
        <stp>BDH|16004959087706704487</stp>
        <tr r="T14" s="27"/>
        <tr r="T28" s="25"/>
      </tp>
      <tp t="e">
        <v>#N/A</v>
        <stp/>
        <stp>BDH|15406783513703150538</stp>
        <tr r="D121" s="18"/>
      </tp>
      <tp t="e">
        <v>#N/A</v>
        <stp/>
        <stp>BDH|11588255544161866312</stp>
        <tr r="C9" s="21"/>
      </tp>
      <tp t="e">
        <v>#N/A</v>
        <stp/>
        <stp>BDH|10305016620664668399</stp>
        <tr r="H81" s="18"/>
      </tp>
      <tp t="e">
        <v>#N/A</v>
        <stp/>
        <stp>BDH|10293380230805783006</stp>
        <tr r="O38" s="25"/>
      </tp>
      <tp t="e">
        <v>#N/A</v>
        <stp/>
        <stp>BDH|13283197357371976385</stp>
        <tr r="P17" s="14"/>
      </tp>
      <tp t="e">
        <v>#N/A</v>
        <stp/>
        <stp>BDH|17866266112845041412</stp>
        <tr r="C16" s="12"/>
      </tp>
      <tp t="e">
        <v>#N/A</v>
        <stp/>
        <stp>BDH|13821495456595871228</stp>
        <tr r="AA42" s="21"/>
      </tp>
      <tp t="e">
        <v>#N/A</v>
        <stp/>
        <stp>BDH|11481985181035996099</stp>
        <tr r="L70" s="17"/>
      </tp>
      <tp t="e">
        <v>#N/A</v>
        <stp/>
        <stp>BDH|15906833649768783490</stp>
        <tr r="Z99" s="18"/>
      </tp>
      <tp t="e">
        <v>#N/A</v>
        <stp/>
        <stp>BDH|15139420578536076562</stp>
        <tr r="T28" s="18"/>
      </tp>
      <tp t="e">
        <v>#N/A</v>
        <stp/>
        <stp>BDH|13058450258372965593</stp>
        <tr r="H59" s="12"/>
      </tp>
      <tp t="e">
        <v>#N/A</v>
        <stp/>
        <stp>BDH|18066992300761168556</stp>
        <tr r="R38" s="6"/>
        <tr r="R18" s="5"/>
      </tp>
      <tp t="e">
        <v>#N/A</v>
        <stp/>
        <stp>BDH|11974576700610771143</stp>
        <tr r="Z12" s="18"/>
      </tp>
      <tp t="e">
        <v>#N/A</v>
        <stp/>
        <stp>BDH|14665216624793919275</stp>
        <tr r="E14" s="10"/>
      </tp>
      <tp t="e">
        <v>#N/A</v>
        <stp/>
        <stp>BDH|13481882704258631638</stp>
        <tr r="L55" s="6"/>
      </tp>
      <tp t="e">
        <v>#N/A</v>
        <stp/>
        <stp>BDH|12075672277455859356</stp>
        <tr r="P67" s="34"/>
      </tp>
      <tp t="e">
        <v>#N/A</v>
        <stp/>
        <stp>BDH|14105270674264782088</stp>
        <tr r="F15" s="22"/>
      </tp>
      <tp t="e">
        <v>#N/A</v>
        <stp/>
        <stp>BDH|18249008584160989527</stp>
        <tr r="P12" s="30"/>
      </tp>
      <tp t="e">
        <v>#N/A</v>
        <stp/>
        <stp>BDH|11898141001817442245</stp>
        <tr r="Q12" s="12"/>
      </tp>
      <tp t="e">
        <v>#N/A</v>
        <stp/>
        <stp>BDH|18378563995026434796</stp>
        <tr r="I69" s="17"/>
      </tp>
      <tp t="e">
        <v>#N/A</v>
        <stp/>
        <stp>BDH|12991057372495229519</stp>
        <tr r="V32" s="24"/>
      </tp>
      <tp t="e">
        <v>#N/A</v>
        <stp/>
        <stp>BDH|15258116466724113395</stp>
        <tr r="F54" s="24"/>
      </tp>
      <tp t="e">
        <v>#N/A</v>
        <stp/>
        <stp>BDH|13175787944862483740</stp>
        <tr r="U10" s="13"/>
      </tp>
      <tp t="e">
        <v>#N/A</v>
        <stp/>
        <stp>BDH|16779418432891063591</stp>
        <tr r="V70" s="24"/>
      </tp>
      <tp t="e">
        <v>#N/A</v>
        <stp/>
        <stp>BDH|11231719575556993226</stp>
        <tr r="V71" s="12"/>
      </tp>
      <tp t="e">
        <v>#N/A</v>
        <stp/>
        <stp>BDH|14068262004812991162</stp>
        <tr r="P6" s="6"/>
      </tp>
      <tp t="e">
        <v>#N/A</v>
        <stp/>
        <stp>BDH|10155905008605716930</stp>
        <tr r="U78" s="18"/>
      </tp>
      <tp t="e">
        <v>#N/A</v>
        <stp/>
        <stp>BDH|14689655070209616988</stp>
        <tr r="K32" s="12"/>
      </tp>
      <tp t="e">
        <v>#N/A</v>
        <stp/>
        <stp>BDH|15900863193591551045</stp>
        <tr r="P26" s="29"/>
      </tp>
      <tp t="e">
        <v>#N/A</v>
        <stp/>
        <stp>BDH|15934254661720346432</stp>
        <tr r="D31" s="21"/>
      </tp>
      <tp t="e">
        <v>#N/A</v>
        <stp/>
        <stp>BDH|17262340088110390908</stp>
        <tr r="P49" s="17"/>
      </tp>
      <tp t="e">
        <v>#N/A</v>
        <stp/>
        <stp>BDH|15140347925647430693</stp>
        <tr r="R50" s="17"/>
      </tp>
      <tp t="e">
        <v>#N/A</v>
        <stp/>
        <stp>BDH|13890658381780757866</stp>
        <tr r="I44" s="24"/>
      </tp>
      <tp t="e">
        <v>#N/A</v>
        <stp/>
        <stp>BDH|14905182372007877060</stp>
        <tr r="U61" s="17"/>
      </tp>
      <tp t="e">
        <v>#N/A</v>
        <stp/>
        <stp>BDH|10311451475264860261</stp>
        <tr r="F139" s="18"/>
      </tp>
      <tp t="e">
        <v>#N/A</v>
        <stp/>
        <stp>BDH|16095110877031293494</stp>
        <tr r="I36" s="34"/>
      </tp>
      <tp t="e">
        <v>#N/A</v>
        <stp/>
        <stp>BDH|13377603983660554883</stp>
        <tr r="L45" s="18"/>
      </tp>
      <tp t="e">
        <v>#N/A</v>
        <stp/>
        <stp>BDH|10578689095843084945</stp>
        <tr r="S61" s="18"/>
      </tp>
      <tp t="e">
        <v>#N/A</v>
        <stp/>
        <stp>BDH|18078873768953341002</stp>
        <tr r="P17" s="23"/>
      </tp>
      <tp t="e">
        <v>#N/A</v>
        <stp/>
        <stp>BDH|16334396751976102367</stp>
        <tr r="M20" s="26"/>
      </tp>
      <tp t="e">
        <v>#N/A</v>
        <stp/>
        <stp>BDH|16048448352580230281</stp>
        <tr r="E6" s="16"/>
        <tr r="F6" s="11"/>
        <tr r="H6" s="3"/>
        <tr r="F10" s="4"/>
      </tp>
      <tp t="e">
        <v>#N/A</v>
        <stp/>
        <stp>BDH|13250531368791398461</stp>
        <tr r="R140" s="18"/>
      </tp>
      <tp t="e">
        <v>#N/A</v>
        <stp/>
        <stp>BDH|17698071073725775091</stp>
        <tr r="G102" s="12"/>
      </tp>
      <tp t="e">
        <v>#N/A</v>
        <stp/>
        <stp>BDH|18068173490081855439</stp>
        <tr r="F62" s="34"/>
      </tp>
      <tp t="e">
        <v>#N/A</v>
        <stp/>
        <stp>BDH|16875835816279797361</stp>
        <tr r="I63" s="18"/>
      </tp>
      <tp t="e">
        <v>#N/A</v>
        <stp/>
        <stp>BDH|11567633356181893645</stp>
        <tr r="J11" s="6"/>
      </tp>
      <tp t="e">
        <v>#N/A</v>
        <stp/>
        <stp>BDH|12181187147642526073</stp>
        <tr r="C24" s="29"/>
      </tp>
      <tp t="e">
        <v>#N/A</v>
        <stp/>
        <stp>BDH|16685930337631731892</stp>
        <tr r="R13" s="6"/>
      </tp>
      <tp t="e">
        <v>#N/A</v>
        <stp/>
        <stp>BDH|15556658519323001450</stp>
        <tr r="P12" s="22"/>
      </tp>
      <tp t="e">
        <v>#N/A</v>
        <stp/>
        <stp>BDH|11724742967034192194</stp>
        <tr r="L11" s="9"/>
      </tp>
      <tp t="e">
        <v>#N/A</v>
        <stp/>
        <stp>BDH|13985602720217429517</stp>
        <tr r="M42" s="34"/>
      </tp>
      <tp t="e">
        <v>#N/A</v>
        <stp/>
        <stp>BDH|16870206781220395967</stp>
        <tr r="W9" s="18"/>
      </tp>
      <tp t="e">
        <v>#N/A</v>
        <stp/>
        <stp>BDH|17515215139430695374</stp>
        <tr r="S145" s="18"/>
      </tp>
      <tp t="e">
        <v>#N/A</v>
        <stp/>
        <stp>BDH|10483116638734418354</stp>
        <tr r="Z38" s="24"/>
      </tp>
      <tp t="e">
        <v>#N/A</v>
        <stp/>
        <stp>BDH|11909550415824536407</stp>
        <tr r="L23" s="10"/>
      </tp>
      <tp t="e">
        <v>#N/A</v>
        <stp/>
        <stp>BDH|16302601305851962433</stp>
        <tr r="P31" s="12"/>
      </tp>
      <tp t="e">
        <v>#N/A</v>
        <stp/>
        <stp>BDH|17537377038913596137</stp>
        <tr r="X68" s="12"/>
      </tp>
      <tp t="e">
        <v>#N/A</v>
        <stp/>
        <stp>BDH|14246875880201126083</stp>
        <tr r="J17" s="17"/>
        <tr r="J20" s="28"/>
      </tp>
      <tp t="e">
        <v>#N/A</v>
        <stp/>
        <stp>BDH|12539756234406850506</stp>
        <tr r="P36" s="12"/>
      </tp>
      <tp t="e">
        <v>#N/A</v>
        <stp/>
        <stp>BDH|12328198302510665628</stp>
        <tr r="H62" s="17"/>
      </tp>
      <tp t="e">
        <v>#N/A</v>
        <stp/>
        <stp>BDH|12947594924820103098</stp>
        <tr r="N50" s="6"/>
        <tr r="P10" s="8"/>
      </tp>
      <tp t="e">
        <v>#N/A</v>
        <stp/>
        <stp>BDH|14307545859631453066</stp>
        <tr r="N88" s="12"/>
      </tp>
      <tp t="e">
        <v>#N/A</v>
        <stp/>
        <stp>BDH|10942426421867029468</stp>
        <tr r="I19" s="25"/>
      </tp>
      <tp t="e">
        <v>#N/A</v>
        <stp/>
        <stp>BDH|18347395735498071532</stp>
        <tr r="D10" s="12"/>
      </tp>
      <tp t="e">
        <v>#N/A</v>
        <stp/>
        <stp>BDH|13733680312170263134</stp>
        <tr r="F16" s="24"/>
      </tp>
      <tp t="e">
        <v>#N/A</v>
        <stp/>
        <stp>BDH|16054336328532467030</stp>
        <tr r="Z18" s="20"/>
      </tp>
      <tp t="e">
        <v>#N/A</v>
        <stp/>
        <stp>BDH|11614819483295845109</stp>
        <tr r="D34" s="13"/>
      </tp>
      <tp t="e">
        <v>#N/A</v>
        <stp/>
        <stp>BDH|12226652778116261010</stp>
        <tr r="S68" s="12"/>
      </tp>
      <tp t="e">
        <v>#N/A</v>
        <stp/>
        <stp>BDH|14209164479497935084</stp>
        <tr r="Y177" s="18"/>
      </tp>
      <tp t="e">
        <v>#N/A</v>
        <stp/>
        <stp>BDH|14048595430373605434</stp>
        <tr r="L15" s="24"/>
      </tp>
      <tp t="e">
        <v>#N/A</v>
        <stp/>
        <stp>BDH|17856636371157740410</stp>
        <tr r="U37" s="22"/>
      </tp>
      <tp t="e">
        <v>#N/A</v>
        <stp/>
        <stp>BDH|10990153641007554749</stp>
        <tr r="P62" s="11"/>
        <tr r="P70" s="10"/>
      </tp>
      <tp t="e">
        <v>#N/A</v>
        <stp/>
        <stp>BDH|16938431886118423747</stp>
        <tr r="Z14" s="28"/>
      </tp>
      <tp t="e">
        <v>#N/A</v>
        <stp/>
        <stp>BDH|14047634517246053082</stp>
        <tr r="H32" s="22"/>
      </tp>
      <tp t="e">
        <v>#N/A</v>
        <stp/>
        <stp>BDH|12633962165610173885</stp>
        <tr r="Z54" s="21"/>
      </tp>
      <tp t="e">
        <v>#N/A</v>
        <stp/>
        <stp>BDH|15444217228307926787</stp>
        <tr r="M132" s="18"/>
      </tp>
      <tp t="e">
        <v>#N/A</v>
        <stp/>
        <stp>BDH|17934021634384609554</stp>
        <tr r="N32" s="12"/>
      </tp>
      <tp t="e">
        <v>#N/A</v>
        <stp/>
        <stp>BDH|14407163108600379069</stp>
        <tr r="H89" s="17"/>
      </tp>
      <tp t="e">
        <v>#N/A</v>
        <stp/>
        <stp>BDH|15912460657880336141</stp>
        <tr r="F11" s="29"/>
      </tp>
      <tp t="e">
        <v>#N/A</v>
        <stp/>
        <stp>BDH|11513760350941852746</stp>
        <tr r="D10" s="28"/>
      </tp>
      <tp t="e">
        <v>#N/A</v>
        <stp/>
        <stp>BDH|10933193532937489098</stp>
        <tr r="G22" s="27"/>
      </tp>
      <tp t="e">
        <v>#N/A</v>
        <stp/>
        <stp>BDH|10016276835681812559</stp>
        <tr r="C15" s="13"/>
      </tp>
      <tp t="e">
        <v>#N/A</v>
        <stp/>
        <stp>BDH|12723946911019454699</stp>
        <tr r="L13" s="34"/>
      </tp>
      <tp t="e">
        <v>#N/A</v>
        <stp/>
        <stp>BDH|11984184318152003665</stp>
        <tr r="U12" s="26"/>
      </tp>
      <tp t="e">
        <v>#N/A</v>
        <stp/>
        <stp>BDH|10624556841990406495</stp>
        <tr r="P29" s="18"/>
      </tp>
      <tp t="e">
        <v>#N/A</v>
        <stp/>
        <stp>BDH|15774998892860005038</stp>
        <tr r="P43" s="11"/>
        <tr r="P51" s="10"/>
        <tr r="P15" s="7"/>
      </tp>
      <tp t="e">
        <v>#N/A</v>
        <stp/>
        <stp>BDH|15787279598318092374</stp>
        <tr r="L175" s="18"/>
      </tp>
      <tp t="e">
        <v>#N/A</v>
        <stp/>
        <stp>BDH|11832830040919401105</stp>
        <tr r="M74" s="12"/>
      </tp>
      <tp t="e">
        <v>#N/A</v>
        <stp/>
        <stp>BDH|16952370851720295525</stp>
        <tr r="M24" s="23"/>
        <tr r="M21" s="30"/>
      </tp>
      <tp t="e">
        <v>#N/A</v>
        <stp/>
        <stp>BDH|15809652426876002247</stp>
        <tr r="F10" s="26"/>
      </tp>
      <tp t="e">
        <v>#N/A</v>
        <stp/>
        <stp>BDH|12718249352259770991</stp>
        <tr r="G39" s="24"/>
      </tp>
      <tp t="e">
        <v>#N/A</v>
        <stp/>
        <stp>BDH|14103293558873650592</stp>
        <tr r="D20" s="23"/>
      </tp>
      <tp t="e">
        <v>#N/A</v>
        <stp/>
        <stp>BDH|15013439955317883610</stp>
        <tr r="N39" s="12"/>
      </tp>
      <tp t="e">
        <v>#N/A</v>
        <stp/>
        <stp>BDH|16263076844264935372</stp>
        <tr r="L130" s="18"/>
      </tp>
      <tp t="e">
        <v>#N/A</v>
        <stp/>
        <stp>BDH|15767941588422176357</stp>
        <tr r="X63" s="34"/>
      </tp>
      <tp t="e">
        <v>#N/A</v>
        <stp/>
        <stp>BDH|17980217196759030019</stp>
        <tr r="J22" s="17"/>
      </tp>
      <tp t="e">
        <v>#N/A</v>
        <stp/>
        <stp>BDH|10542402828562241106</stp>
        <tr r="W32" s="22"/>
      </tp>
      <tp t="e">
        <v>#N/A</v>
        <stp/>
        <stp>BDH|10437093160135189638</stp>
        <tr r="Z14" s="17"/>
        <tr r="Z17" s="28"/>
      </tp>
      <tp t="e">
        <v>#N/A</v>
        <stp/>
        <stp>BDH|10238581237416615546</stp>
        <tr r="C19" s="23"/>
      </tp>
      <tp t="e">
        <v>#N/A</v>
        <stp/>
        <stp>BDH|13140110679127251740</stp>
        <tr r="D77" s="12"/>
      </tp>
      <tp t="e">
        <v>#N/A</v>
        <stp/>
        <stp>BDH|14158541569286352403</stp>
        <tr r="M41" s="18"/>
      </tp>
      <tp t="e">
        <v>#N/A</v>
        <stp/>
        <stp>BDH|10250619766821866422</stp>
        <tr r="T46" s="17"/>
      </tp>
      <tp t="e">
        <v>#N/A</v>
        <stp/>
        <stp>BDH|13049076359180110302</stp>
        <tr r="J23" s="23"/>
      </tp>
      <tp t="e">
        <v>#N/A</v>
        <stp/>
        <stp>BDH|13570639822893833135</stp>
        <tr r="T11" s="29"/>
      </tp>
      <tp t="e">
        <v>#N/A</v>
        <stp/>
        <stp>BDH|11978133840934131548</stp>
        <tr r="Q93" s="17"/>
        <tr r="Q13" s="28"/>
      </tp>
      <tp t="e">
        <v>#N/A</v>
        <stp/>
        <stp>BDH|12318521904620844227</stp>
        <tr r="N53" s="18"/>
      </tp>
      <tp t="e">
        <v>#N/A</v>
        <stp/>
        <stp>BDH|16583625140169882801</stp>
        <tr r="I13" s="23"/>
        <tr r="G57" s="11"/>
        <tr r="G38" s="4"/>
      </tp>
      <tp t="e">
        <v>#N/A</v>
        <stp/>
        <stp>BDH|13612196079105139581</stp>
        <tr r="V149" s="18"/>
      </tp>
      <tp t="e">
        <v>#N/A</v>
        <stp/>
        <stp>BDH|10817373515026272171</stp>
        <tr r="D26" s="18"/>
      </tp>
      <tp t="e">
        <v>#N/A</v>
        <stp/>
        <stp>BDH|10958515524650551278</stp>
        <tr r="E39" s="17"/>
      </tp>
      <tp t="e">
        <v>#N/A</v>
        <stp/>
        <stp>BDH|16362186896982620950</stp>
        <tr r="D37" s="26"/>
      </tp>
      <tp t="e">
        <v>#N/A</v>
        <stp/>
        <stp>BDH|11784001840514002496</stp>
        <tr r="X23" s="22"/>
      </tp>
      <tp t="e">
        <v>#N/A</v>
        <stp/>
        <stp>BDH|16583197377504296179</stp>
        <tr r="U39" s="12"/>
      </tp>
      <tp t="e">
        <v>#N/A</v>
        <stp/>
        <stp>BDH|14924008496029469155</stp>
        <tr r="S16" s="27"/>
        <tr r="S30" s="25"/>
      </tp>
      <tp t="e">
        <v>#N/A</v>
        <stp/>
        <stp>BDH|10735388752176300503</stp>
        <tr r="I17" s="9"/>
      </tp>
      <tp t="e">
        <v>#N/A</v>
        <stp/>
        <stp>BDH|14746689793588369617</stp>
        <tr r="U56" s="24"/>
      </tp>
      <tp t="e">
        <v>#N/A</v>
        <stp/>
        <stp>BDH|11377779657011918747</stp>
        <tr r="K30" s="12"/>
      </tp>
      <tp t="e">
        <v>#N/A</v>
        <stp/>
        <stp>BDH|14194560601914804008</stp>
        <tr r="W11" s="21"/>
      </tp>
      <tp t="e">
        <v>#N/A</v>
        <stp/>
        <stp>BDH|12109891263329651038</stp>
        <tr r="C25" s="6"/>
      </tp>
      <tp t="e">
        <v>#N/A</v>
        <stp/>
        <stp>BDH|13333020260380781087</stp>
        <tr r="Q131" s="18"/>
      </tp>
      <tp t="e">
        <v>#N/A</v>
        <stp/>
        <stp>BDH|12094393656636003713</stp>
        <tr r="AA47" s="24"/>
      </tp>
      <tp t="e">
        <v>#N/A</v>
        <stp/>
        <stp>BDH|16943092439385382543</stp>
        <tr r="V48" s="24"/>
      </tp>
      <tp t="e">
        <v>#N/A</v>
        <stp/>
        <stp>BDH|15185597645001158024</stp>
        <tr r="G19" s="17"/>
      </tp>
      <tp t="e">
        <v>#N/A</v>
        <stp/>
        <stp>BDH|10821089741966692795</stp>
        <tr r="L55" s="24"/>
      </tp>
      <tp t="e">
        <v>#N/A</v>
        <stp/>
        <stp>BDH|15319705576925390589</stp>
        <tr r="C34" s="34"/>
      </tp>
      <tp t="e">
        <v>#N/A</v>
        <stp/>
        <stp>BDH|10901629033730246047</stp>
        <tr r="F22" s="10"/>
      </tp>
      <tp t="e">
        <v>#N/A</v>
        <stp/>
        <stp>BDH|15543169671733819547</stp>
        <tr r="N40" s="22"/>
      </tp>
      <tp t="e">
        <v>#N/A</v>
        <stp/>
        <stp>BDH|16038480846561137219</stp>
        <tr r="G33" s="18"/>
      </tp>
      <tp t="e">
        <v>#N/A</v>
        <stp/>
        <stp>BDH|18415551011551613888</stp>
        <tr r="O65" s="24"/>
      </tp>
      <tp t="e">
        <v>#N/A</v>
        <stp/>
        <stp>BDH|13568003316920865759</stp>
        <tr r="K11" s="12"/>
      </tp>
      <tp t="e">
        <v>#N/A</v>
        <stp/>
        <stp>BDH|18328422392559931945</stp>
        <tr r="S19" s="26"/>
      </tp>
      <tp t="e">
        <v>#N/A</v>
        <stp/>
        <stp>BDH|11414025409980789466</stp>
        <tr r="D43" s="4"/>
      </tp>
      <tp t="e">
        <v>#N/A</v>
        <stp/>
        <stp>BDH|17426730828754716366</stp>
        <tr r="Z69" s="18"/>
      </tp>
      <tp t="e">
        <v>#N/A</v>
        <stp/>
        <stp>BDH|11563739591988131284</stp>
        <tr r="Z52" s="17"/>
        <tr r="Z17" s="3"/>
      </tp>
      <tp t="e">
        <v>#N/A</v>
        <stp/>
        <stp>BDH|15075805289164474434</stp>
        <tr r="Q24" s="21"/>
      </tp>
      <tp t="e">
        <v>#N/A</v>
        <stp/>
        <stp>BDH|13875505866840984595</stp>
        <tr r="V64" s="10"/>
        <tr r="V25" s="4"/>
      </tp>
      <tp t="e">
        <v>#N/A</v>
        <stp/>
        <stp>BDH|16080679906102924765</stp>
        <tr r="S13" s="9"/>
      </tp>
      <tp t="e">
        <v>#N/A</v>
        <stp/>
        <stp>BDH|11823336773261745115</stp>
        <tr r="K24" s="13"/>
      </tp>
      <tp t="e">
        <v>#N/A</v>
        <stp/>
        <stp>BDH|10913535414037325631</stp>
        <tr r="V66" s="21"/>
      </tp>
      <tp t="e">
        <v>#N/A</v>
        <stp/>
        <stp>BDH|14497898482609544846</stp>
        <tr r="Z67" s="18"/>
      </tp>
      <tp t="e">
        <v>#N/A</v>
        <stp/>
        <stp>BDH|17634014798762066913</stp>
        <tr r="F35" s="13"/>
        <tr r="D31" s="10"/>
      </tp>
      <tp t="e">
        <v>#N/A</v>
        <stp/>
        <stp>BDH|15857156901394425567</stp>
        <tr r="L8" s="25"/>
        <tr r="I10" s="5"/>
        <tr r="J9" s="2"/>
      </tp>
      <tp t="e">
        <v>#N/A</v>
        <stp/>
        <stp>BDH|11267780981359716220</stp>
        <tr r="T9" s="17"/>
      </tp>
      <tp t="e">
        <v>#N/A</v>
        <stp/>
        <stp>BDH|12617090475805088545</stp>
        <tr r="E37" s="34"/>
      </tp>
      <tp t="e">
        <v>#N/A</v>
        <stp/>
        <stp>BDH|15205263261994995027</stp>
        <tr r="J37" s="21"/>
        <tr r="J24" s="3"/>
      </tp>
      <tp t="e">
        <v>#N/A</v>
        <stp/>
        <stp>BDH|17693408519111451651</stp>
        <tr r="M16" s="13"/>
        <tr r="M26" s="13"/>
        <tr r="K18" s="10"/>
      </tp>
      <tp t="e">
        <v>#N/A</v>
        <stp/>
        <stp>BDH|14652079129054206748</stp>
        <tr r="K85" s="12"/>
      </tp>
    </main>
    <main first="bofaddin.rtdserver">
      <tp t="e">
        <v>#N/A</v>
        <stp/>
        <stp>BDH|1937878395328347</stp>
        <tr r="W10" s="23"/>
      </tp>
      <tp t="e">
        <v>#N/A</v>
        <stp/>
        <stp>BDH|7909337815570656</stp>
        <tr r="H35" s="25"/>
      </tp>
      <tp t="e">
        <v>#N/A</v>
        <stp/>
        <stp>BDH|1033037055727858</stp>
        <tr r="R175" s="18"/>
      </tp>
      <tp t="e">
        <v>#N/A</v>
        <stp/>
        <stp>BDH|1300316921582026</stp>
        <tr r="AA38" s="24"/>
      </tp>
      <tp t="e">
        <v>#N/A</v>
        <stp/>
        <stp>BDH|8525048905619711</stp>
        <tr r="N96" s="18"/>
      </tp>
      <tp t="e">
        <v>#N/A</v>
        <stp/>
        <stp>BDH|8072912575412217</stp>
        <tr r="AA95" s="18"/>
      </tp>
      <tp t="e">
        <v>#N/A</v>
        <stp/>
        <stp>BDH|4627234134590665</stp>
        <tr r="U12" s="11"/>
      </tp>
      <tp t="e">
        <v>#N/A</v>
        <stp/>
        <stp>BDH|2965016435115971</stp>
        <tr r="Y19" s="12"/>
      </tp>
      <tp t="e">
        <v>#N/A</v>
        <stp/>
        <stp>BDH|2618237988604807</stp>
        <tr r="K36" s="29"/>
        <tr r="K16" s="29"/>
      </tp>
      <tp t="e">
        <v>#N/A</v>
        <stp/>
        <stp>BDH|2910656550712970</stp>
        <tr r="U35" s="26"/>
      </tp>
      <tp t="e">
        <v>#N/A</v>
        <stp/>
        <stp>BDH|2260397482130046535</stp>
        <tr r="C18" s="14"/>
      </tp>
      <tp t="e">
        <v>#N/A</v>
        <stp/>
        <stp>BDH|9811492736654812655</stp>
        <tr r="G16" s="24"/>
      </tp>
      <tp t="e">
        <v>#N/A</v>
        <stp/>
        <stp>BDH|2112077789044222275</stp>
        <tr r="G17" s="11"/>
      </tp>
      <tp t="e">
        <v>#N/A</v>
        <stp/>
        <stp>BDH|4059227158047072804</stp>
        <tr r="AA60" s="24"/>
      </tp>
      <tp t="e">
        <v>#N/A</v>
        <stp/>
        <stp>BDH|9785582313372519339</stp>
        <tr r="P98" s="12"/>
      </tp>
      <tp t="e">
        <v>#N/A</v>
        <stp/>
        <stp>BDH|5941114866738123654</stp>
        <tr r="E86" s="12"/>
      </tp>
      <tp t="e">
        <v>#N/A</v>
        <stp/>
        <stp>BDH|9717192815657613275</stp>
        <tr r="H90" s="18"/>
      </tp>
      <tp t="e">
        <v>#N/A</v>
        <stp/>
        <stp>BDH|7827240325838721348</stp>
        <tr r="G167" s="18"/>
      </tp>
      <tp t="e">
        <v>#N/A</v>
        <stp/>
        <stp>BDH|2936203593440536557</stp>
        <tr r="N8" s="12"/>
      </tp>
      <tp t="e">
        <v>#N/A</v>
        <stp/>
        <stp>BDH|2909698457245525888</stp>
        <tr r="H52" s="13"/>
        <tr r="F55" s="10"/>
        <tr r="F47" s="11"/>
        <tr r="F17" s="7"/>
        <tr r="F17" s="4"/>
        <tr r="H10" s="3"/>
      </tp>
      <tp t="e">
        <v>#N/A</v>
        <stp/>
        <stp>BDH|3212290441199661066</stp>
        <tr r="AA98" s="18"/>
      </tp>
      <tp t="e">
        <v>#N/A</v>
        <stp/>
        <stp>BDH|6945650496210972592</stp>
        <tr r="H17" s="11"/>
      </tp>
      <tp t="e">
        <v>#N/A</v>
        <stp/>
        <stp>BDH|9002586386421046944</stp>
        <tr r="S24" s="13"/>
      </tp>
      <tp t="e">
        <v>#N/A</v>
        <stp/>
        <stp>BDH|1900352635488273513</stp>
        <tr r="C13" s="2"/>
      </tp>
      <tp t="e">
        <v>#N/A</v>
        <stp/>
        <stp>BDH|9733341526930783486</stp>
        <tr r="E18" s="24"/>
      </tp>
      <tp t="e">
        <v>#N/A</v>
        <stp/>
        <stp>BDH|7745282502260267956</stp>
        <tr r="D147" s="18"/>
      </tp>
      <tp t="e">
        <v>#N/A</v>
        <stp/>
        <stp>BDH|7130583817056651921</stp>
        <tr r="Z18" s="30"/>
      </tp>
      <tp t="e">
        <v>#N/A</v>
        <stp/>
        <stp>BDH|4644088573229193661</stp>
        <tr r="M51" s="12"/>
      </tp>
      <tp t="e">
        <v>#N/A</v>
        <stp/>
        <stp>BDH|8725080646408499879</stp>
        <tr r="F18" s="20"/>
      </tp>
      <tp t="e">
        <v>#N/A</v>
        <stp/>
        <stp>BDH|8192680812497576442</stp>
        <tr r="P55" s="24"/>
      </tp>
      <tp t="e">
        <v>#N/A</v>
        <stp/>
        <stp>BDH|2930049886403608575</stp>
        <tr r="Y19" s="20"/>
      </tp>
      <tp t="e">
        <v>#N/A</v>
        <stp/>
        <stp>BDH|1602582536393635849</stp>
        <tr r="L61" s="12"/>
      </tp>
      <tp t="e">
        <v>#N/A</v>
        <stp/>
        <stp>BDH|9289242840331445287</stp>
        <tr r="C71" s="18"/>
      </tp>
      <tp t="e">
        <v>#N/A</v>
        <stp/>
        <stp>BDH|1843927411555580044</stp>
        <tr r="R161" s="18"/>
      </tp>
      <tp t="e">
        <v>#N/A</v>
        <stp/>
        <stp>BDH|1165708381352203080</stp>
        <tr r="M13" s="11"/>
      </tp>
      <tp t="e">
        <v>#N/A</v>
        <stp/>
        <stp>BDH|8558796334538585873</stp>
        <tr r="D15" s="21"/>
      </tp>
      <tp t="e">
        <v>#N/A</v>
        <stp/>
        <stp>BDH|1494561795857492695</stp>
        <tr r="Q48" s="22"/>
      </tp>
      <tp t="e">
        <v>#N/A</v>
        <stp/>
        <stp>BDH|5114829579791911792</stp>
        <tr r="T39" s="26"/>
      </tp>
      <tp t="e">
        <v>#N/A</v>
        <stp/>
        <stp>BDH|9602377029705470168</stp>
        <tr r="Z11" s="21"/>
      </tp>
      <tp t="e">
        <v>#N/A</v>
        <stp/>
        <stp>BDH|1388170886815875109</stp>
        <tr r="E176" s="18"/>
      </tp>
      <tp t="e">
        <v>#N/A</v>
        <stp/>
        <stp>BDH|7022130904929502385</stp>
        <tr r="R100" s="18"/>
      </tp>
      <tp t="e">
        <v>#N/A</v>
        <stp/>
        <stp>BDH|8643072836366869142</stp>
        <tr r="I20" s="23"/>
      </tp>
      <tp t="e">
        <v>#N/A</v>
        <stp/>
        <stp>BDH|5575097499698639884</stp>
        <tr r="C86" s="17"/>
      </tp>
      <tp t="e">
        <v>#N/A</v>
        <stp/>
        <stp>BDH|8213508850550181485</stp>
        <tr r="Y76" s="24"/>
      </tp>
      <tp t="e">
        <v>#N/A</v>
        <stp/>
        <stp>BDH|5274919198060984996</stp>
        <tr r="N49" s="4"/>
      </tp>
      <tp t="e">
        <v>#N/A</v>
        <stp/>
        <stp>BDH|8911246876645328430</stp>
        <tr r="D12" s="22"/>
      </tp>
      <tp t="e">
        <v>#N/A</v>
        <stp/>
        <stp>BDH|8987001724921541737</stp>
        <tr r="Y26" s="25"/>
        <tr r="Y12" s="27"/>
      </tp>
      <tp t="e">
        <v>#N/A</v>
        <stp/>
        <stp>BDH|6115780127456234974</stp>
        <tr r="U25" s="13"/>
      </tp>
      <tp t="e">
        <v>#N/A</v>
        <stp/>
        <stp>BDH|7478724924737009996</stp>
        <tr r="N20" s="34"/>
      </tp>
      <tp t="e">
        <v>#N/A</v>
        <stp/>
        <stp>BDH|9244709677604886166</stp>
        <tr r="F37" s="18"/>
      </tp>
      <tp t="e">
        <v>#N/A</v>
        <stp/>
        <stp>BDH|2047389158968881039</stp>
        <tr r="W30" s="21"/>
      </tp>
      <tp t="e">
        <v>#N/A</v>
        <stp/>
        <stp>BDH|6076944949624656305</stp>
        <tr r="G51" s="10"/>
        <tr r="G43" s="11"/>
        <tr r="G15" s="7"/>
      </tp>
      <tp t="e">
        <v>#N/A</v>
        <stp/>
        <stp>BDH|2775567532589158194</stp>
        <tr r="O19" s="26"/>
      </tp>
      <tp t="e">
        <v>#N/A</v>
        <stp/>
        <stp>BDH|9849592625844992663</stp>
        <tr r="W9" s="22"/>
      </tp>
      <tp t="e">
        <v>#N/A</v>
        <stp/>
        <stp>BDH|6318856748581441711</stp>
        <tr r="F59" s="17"/>
      </tp>
      <tp t="e">
        <v>#N/A</v>
        <stp/>
        <stp>BDH|7361040802993696881</stp>
        <tr r="R96" s="18"/>
      </tp>
      <tp t="e">
        <v>#N/A</v>
        <stp/>
        <stp>BDH|5766323693476973540</stp>
        <tr r="T54" s="17"/>
      </tp>
      <tp t="e">
        <v>#N/A</v>
        <stp/>
        <stp>BDH|1291537029633067938</stp>
        <tr r="K27" s="17"/>
      </tp>
      <tp t="e">
        <v>#N/A</v>
        <stp/>
        <stp>BDH|4397452769542211869</stp>
        <tr r="M24" s="2"/>
      </tp>
      <tp t="e">
        <v>#N/A</v>
        <stp/>
        <stp>BDH|3710454187487701497</stp>
        <tr r="O11" s="24"/>
      </tp>
      <tp t="e">
        <v>#N/A</v>
        <stp/>
        <stp>BDH|8582644968594491069</stp>
        <tr r="G33" s="11"/>
        <tr r="G41" s="10"/>
      </tp>
      <tp t="e">
        <v>#N/A</v>
        <stp/>
        <stp>BDH|4787865873006828117</stp>
        <tr r="R29" s="18"/>
      </tp>
      <tp t="e">
        <v>#N/A</v>
        <stp/>
        <stp>BDH|3466941237612495780</stp>
        <tr r="C46" s="17"/>
      </tp>
      <tp t="e">
        <v>#N/A</v>
        <stp/>
        <stp>BDH|3832350944539076129</stp>
        <tr r="Q47" s="13"/>
      </tp>
      <tp t="e">
        <v>#N/A</v>
        <stp/>
        <stp>BDH|2094108239364299803</stp>
        <tr r="Y16" s="18"/>
      </tp>
      <tp t="e">
        <v>#N/A</v>
        <stp/>
        <stp>BDH|7988915148935380384</stp>
        <tr r="AA170" s="18"/>
      </tp>
      <tp t="e">
        <v>#N/A</v>
        <stp/>
        <stp>BDH|8024592144256403329</stp>
        <tr r="F16" s="23"/>
      </tp>
      <tp t="e">
        <v>#N/A</v>
        <stp/>
        <stp>BDH|1798793391300643326</stp>
        <tr r="L35" s="4"/>
      </tp>
      <tp t="e">
        <v>#N/A</v>
        <stp/>
        <stp>BDH|2343402930929152091</stp>
        <tr r="E25" s="24"/>
      </tp>
      <tp t="e">
        <v>#N/A</v>
        <stp/>
        <stp>BDH|7290685704995574809</stp>
        <tr r="Q14" s="22"/>
      </tp>
      <tp t="e">
        <v>#N/A</v>
        <stp/>
        <stp>BDH|3146137201856867807</stp>
        <tr r="D45" s="24"/>
      </tp>
      <tp t="e">
        <v>#N/A</v>
        <stp/>
        <stp>BDH|1892173005289854590</stp>
        <tr r="P18" s="9"/>
      </tp>
      <tp t="e">
        <v>#N/A</v>
        <stp/>
        <stp>BDH|9938250973575030549</stp>
        <tr r="U45" s="6"/>
      </tp>
      <tp t="e">
        <v>#N/A</v>
        <stp/>
        <stp>BDH|9453689102345426611</stp>
        <tr r="C57" s="24"/>
      </tp>
      <tp t="e">
        <v>#N/A</v>
        <stp/>
        <stp>BDH|6847775070249592316</stp>
        <tr r="U8" s="27"/>
      </tp>
      <tp t="e">
        <v>#N/A</v>
        <stp/>
        <stp>BDH|4526681510848738714</stp>
        <tr r="O29" s="22"/>
      </tp>
      <tp t="e">
        <v>#N/A</v>
        <stp/>
        <stp>BDH|2869590714652687886</stp>
        <tr r="S8" s="18"/>
      </tp>
      <tp t="e">
        <v>#N/A</v>
        <stp/>
        <stp>BDH|2275404458517251803</stp>
        <tr r="F63" s="21"/>
      </tp>
      <tp t="e">
        <v>#N/A</v>
        <stp/>
        <stp>BDH|8992058541634657432</stp>
        <tr r="Z72" s="12"/>
      </tp>
      <tp t="e">
        <v>#N/A</v>
        <stp/>
        <stp>BDH|7103600938676023814</stp>
        <tr r="Z45" s="13"/>
      </tp>
      <tp t="e">
        <v>#N/A</v>
        <stp/>
        <stp>BDH|8805707594369769332</stp>
        <tr r="G7" s="4"/>
      </tp>
      <tp t="e">
        <v>#N/A</v>
        <stp/>
        <stp>BDH|3643221957639941127</stp>
        <tr r="I106" s="18"/>
      </tp>
      <tp t="e">
        <v>#N/A</v>
        <stp/>
        <stp>BDH|6892611380717349328</stp>
        <tr r="P8" s="25"/>
        <tr r="M10" s="5"/>
        <tr r="N9" s="2"/>
      </tp>
      <tp t="e">
        <v>#N/A</v>
        <stp/>
        <stp>BDH|6624114802563969847</stp>
        <tr r="M10" s="30"/>
      </tp>
      <tp t="e">
        <v>#N/A</v>
        <stp/>
        <stp>BDH|5045608314527558998</stp>
        <tr r="Z25" s="17"/>
      </tp>
      <tp t="e">
        <v>#N/A</v>
        <stp/>
        <stp>BDH|8881004578223107099</stp>
        <tr r="V99" s="12"/>
      </tp>
      <tp t="e">
        <v>#N/A</v>
        <stp/>
        <stp>BDH|8916734540063047426</stp>
        <tr r="Z133" s="18"/>
      </tp>
      <tp t="e">
        <v>#N/A</v>
        <stp/>
        <stp>BDH|3847928224925679105</stp>
        <tr r="S38" s="25"/>
      </tp>
      <tp t="e">
        <v>#N/A</v>
        <stp/>
        <stp>BDH|8479384763224633515</stp>
        <tr r="V67" s="18"/>
      </tp>
      <tp t="e">
        <v>#N/A</v>
        <stp/>
        <stp>BDH|1746083373279242367</stp>
        <tr r="W86" s="18"/>
      </tp>
      <tp t="e">
        <v>#N/A</v>
        <stp/>
        <stp>BDH|9038629008944301715</stp>
        <tr r="D57" s="24"/>
      </tp>
      <tp t="e">
        <v>#N/A</v>
        <stp/>
        <stp>BDH|8533646824518910847</stp>
        <tr r="F34" s="13"/>
        <tr r="D30" s="10"/>
      </tp>
      <tp t="e">
        <v>#N/A</v>
        <stp/>
        <stp>BDH|9847522102688054803</stp>
        <tr r="V8" s="18"/>
      </tp>
      <tp t="e">
        <v>#N/A</v>
        <stp/>
        <stp>BDH|2910928668079284898</stp>
        <tr r="E11" s="11"/>
      </tp>
      <tp t="e">
        <v>#N/A</v>
        <stp/>
        <stp>BDH|9307674835887132786</stp>
        <tr r="T100" s="12"/>
      </tp>
      <tp t="e">
        <v>#N/A</v>
        <stp/>
        <stp>BDH|4798485296465024013</stp>
        <tr r="I125" s="18"/>
      </tp>
      <tp t="e">
        <v>#N/A</v>
        <stp/>
        <stp>BDH|7740905579323090663</stp>
        <tr r="E127" s="18"/>
      </tp>
      <tp t="e">
        <v>#N/A</v>
        <stp/>
        <stp>BDH|1348284781887045024</stp>
        <tr r="Q35" s="6"/>
      </tp>
      <tp t="e">
        <v>#N/A</v>
        <stp/>
        <stp>BDH|9804444017627501769</stp>
        <tr r="O91" s="18"/>
      </tp>
      <tp t="e">
        <v>#N/A</v>
        <stp/>
        <stp>BDH|9261757581028681283</stp>
        <tr r="Q10" s="34"/>
      </tp>
      <tp t="e">
        <v>#N/A</v>
        <stp/>
        <stp>BDH|4116599080536259322</stp>
        <tr r="T13" s="27"/>
        <tr r="T27" s="25"/>
      </tp>
      <tp t="e">
        <v>#N/A</v>
        <stp/>
        <stp>BDH|6290625908344017804</stp>
        <tr r="F99" s="12"/>
      </tp>
      <tp t="e">
        <v>#N/A</v>
        <stp/>
        <stp>BDH|9475228317622150481</stp>
        <tr r="Q166" s="18"/>
      </tp>
      <tp t="e">
        <v>#N/A</v>
        <stp/>
        <stp>BDH|2765888634401772440</stp>
        <tr r="V66" s="17"/>
      </tp>
      <tp t="e">
        <v>#N/A</v>
        <stp/>
        <stp>BDH|1952549399028877947</stp>
        <tr r="U106" s="12"/>
      </tp>
      <tp t="e">
        <v>#N/A</v>
        <stp/>
        <stp>BDH|4267382553576973888</stp>
        <tr r="T14" s="23"/>
      </tp>
      <tp t="e">
        <v>#N/A</v>
        <stp/>
        <stp>BDH|3548400445078928718</stp>
        <tr r="O80" s="12"/>
      </tp>
      <tp t="e">
        <v>#N/A</v>
        <stp/>
        <stp>BDH|8988272269509846975</stp>
        <tr r="K24" s="23"/>
        <tr r="K21" s="30"/>
      </tp>
      <tp t="e">
        <v>#N/A</v>
        <stp/>
        <stp>BDH|8324791090648337207</stp>
        <tr r="R63" s="34"/>
      </tp>
      <tp t="e">
        <v>#N/A</v>
        <stp/>
        <stp>BDH|4379696682361039710</stp>
        <tr r="R17" s="23"/>
      </tp>
      <tp t="e">
        <v>#N/A</v>
        <stp/>
        <stp>BDH|7564592617747237801</stp>
        <tr r="N6" s="27"/>
      </tp>
      <tp t="e">
        <v>#N/A</v>
        <stp/>
        <stp>BDH|8804432965162133461</stp>
        <tr r="Q7" s="14"/>
      </tp>
      <tp t="e">
        <v>#N/A</v>
        <stp/>
        <stp>BDH|4770501937779964706</stp>
        <tr r="M20" s="11"/>
      </tp>
      <tp t="e">
        <v>#N/A</v>
        <stp/>
        <stp>BDH|6647312891313868373</stp>
        <tr r="D14" s="13"/>
      </tp>
      <tp t="e">
        <v>#N/A</v>
        <stp/>
        <stp>BDH|3633904616630064797</stp>
        <tr r="R44" s="22"/>
      </tp>
      <tp t="e">
        <v>#N/A</v>
        <stp/>
        <stp>BDH|3140987016677054060</stp>
        <tr r="J54" s="34"/>
      </tp>
      <tp t="e">
        <v>#N/A</v>
        <stp/>
        <stp>BDH|7976651495254233024</stp>
        <tr r="T38" s="25"/>
      </tp>
      <tp t="e">
        <v>#N/A</v>
        <stp/>
        <stp>BDH|6782241809181122929</stp>
        <tr r="R58" s="21"/>
        <tr r="R37" s="25"/>
        <tr r="P53" s="11"/>
        <tr r="P31" s="4"/>
      </tp>
      <tp t="e">
        <v>#N/A</v>
        <stp/>
        <stp>BDH|9878255657441001335</stp>
        <tr r="I20" s="6"/>
      </tp>
      <tp t="e">
        <v>#N/A</v>
        <stp/>
        <stp>BDH|2997764399043806379</stp>
        <tr r="Q34" s="13"/>
        <tr r="O30" s="10"/>
      </tp>
      <tp t="e">
        <v>#N/A</v>
        <stp/>
        <stp>BDH|9268075539441338760</stp>
        <tr r="F15" s="5"/>
      </tp>
      <tp t="e">
        <v>#N/A</v>
        <stp/>
        <stp>BDH|3328772163379701797</stp>
        <tr r="O54" s="18"/>
      </tp>
      <tp t="e">
        <v>#N/A</v>
        <stp/>
        <stp>BDH|3254445098324413634</stp>
        <tr r="Q22" s="4"/>
      </tp>
      <tp t="e">
        <v>#N/A</v>
        <stp/>
        <stp>BDH|1162844762375813666</stp>
        <tr r="L126" s="18"/>
      </tp>
      <tp t="e">
        <v>#N/A</v>
        <stp/>
        <stp>BDH|1552826248195340450</stp>
        <tr r="Y28" s="21"/>
      </tp>
      <tp t="e">
        <v>#N/A</v>
        <stp/>
        <stp>BDH|6586335631122677882</stp>
        <tr r="T50" s="34"/>
      </tp>
      <tp t="e">
        <v>#N/A</v>
        <stp/>
        <stp>BDH|5599924562404931253</stp>
        <tr r="L28" s="18"/>
      </tp>
      <tp t="e">
        <v>#N/A</v>
        <stp/>
        <stp>BDH|5629703738068705508</stp>
        <tr r="U13" s="21"/>
      </tp>
      <tp t="e">
        <v>#N/A</v>
        <stp/>
        <stp>BDH|4658996399521893976</stp>
        <tr r="X63" s="24"/>
      </tp>
      <tp t="e">
        <v>#N/A</v>
        <stp/>
        <stp>BDH|3438664176376845859</stp>
        <tr r="U57" s="34"/>
      </tp>
      <tp t="e">
        <v>#N/A</v>
        <stp/>
        <stp>BDH|4794148196846811642</stp>
        <tr r="V35" s="18"/>
      </tp>
      <tp t="e">
        <v>#N/A</v>
        <stp/>
        <stp>BDH|6493169851906864825</stp>
        <tr r="W107" s="18"/>
      </tp>
      <tp t="e">
        <v>#N/A</v>
        <stp/>
        <stp>BDH|2203087891321073629</stp>
        <tr r="F37" s="29"/>
        <tr r="F17" s="29"/>
      </tp>
      <tp t="e">
        <v>#N/A</v>
        <stp/>
        <stp>BDH|1580558659995400844</stp>
        <tr r="Z149" s="18"/>
      </tp>
      <tp t="e">
        <v>#N/A</v>
        <stp/>
        <stp>BDH|7982155511662031947</stp>
        <tr r="K54" s="13"/>
      </tp>
      <tp t="e">
        <v>#N/A</v>
        <stp/>
        <stp>BDH|4158864682248454089</stp>
        <tr r="N14" s="20"/>
        <tr r="N115" s="18"/>
      </tp>
      <tp t="e">
        <v>#N/A</v>
        <stp/>
        <stp>BDH|4758135200559584082</stp>
        <tr r="X153" s="18"/>
      </tp>
      <tp t="e">
        <v>#N/A</v>
        <stp/>
        <stp>BDH|6105469688605387359</stp>
        <tr r="P34" s="34"/>
      </tp>
      <tp t="e">
        <v>#N/A</v>
        <stp/>
        <stp>BDH|2048931953945916703</stp>
        <tr r="D22" s="29"/>
        <tr r="D13" s="29"/>
        <tr r="D33" s="29"/>
      </tp>
      <tp t="e">
        <v>#N/A</v>
        <stp/>
        <stp>BDH|5825044647488541578</stp>
        <tr r="R54" s="6"/>
      </tp>
      <tp t="e">
        <v>#N/A</v>
        <stp/>
        <stp>BDH|5303396044717894989</stp>
        <tr r="F108" s="12"/>
      </tp>
      <tp t="e">
        <v>#N/A</v>
        <stp/>
        <stp>BDH|1614110451021185898</stp>
        <tr r="S43" s="12"/>
      </tp>
      <tp t="e">
        <v>#N/A</v>
        <stp/>
        <stp>BDH|7075926515007957405</stp>
        <tr r="D13" s="8"/>
      </tp>
      <tp t="e">
        <v>#N/A</v>
        <stp/>
        <stp>BDH|9454118855141640089</stp>
        <tr r="I31" s="13"/>
        <tr r="G27" s="10"/>
      </tp>
      <tp t="e">
        <v>#N/A</v>
        <stp/>
        <stp>BDH|7455926235749824856</stp>
        <tr r="C38" s="12"/>
      </tp>
      <tp t="e">
        <v>#N/A</v>
        <stp/>
        <stp>BDH|1226946038717725071</stp>
        <tr r="H34" s="13"/>
        <tr r="F30" s="10"/>
      </tp>
      <tp t="e">
        <v>#N/A</v>
        <stp/>
        <stp>BDH|3266078158548382200</stp>
        <tr r="P51" s="18"/>
      </tp>
      <tp t="e">
        <v>#N/A</v>
        <stp/>
        <stp>BDH|3264387507149079534</stp>
        <tr r="Y75" s="18"/>
      </tp>
      <tp t="e">
        <v>#N/A</v>
        <stp/>
        <stp>BDH|2993351917625555908</stp>
        <tr r="H15" s="11"/>
      </tp>
      <tp t="e">
        <v>#N/A</v>
        <stp/>
        <stp>BDH|1717831278042338010</stp>
        <tr r="C6" s="19"/>
        <tr r="C35" s="17"/>
        <tr r="C16" s="3"/>
      </tp>
      <tp t="e">
        <v>#N/A</v>
        <stp/>
        <stp>BDH|6761999913015583764</stp>
        <tr r="L15" s="34"/>
      </tp>
      <tp t="e">
        <v>#N/A</v>
        <stp/>
        <stp>BDH|1305851799428427455</stp>
        <tr r="Z48" s="13"/>
      </tp>
      <tp t="e">
        <v>#N/A</v>
        <stp/>
        <stp>BDH|8179066569022913092</stp>
        <tr r="E22" s="29"/>
        <tr r="E13" s="29"/>
        <tr r="E33" s="29"/>
      </tp>
      <tp t="e">
        <v>#N/A</v>
        <stp/>
        <stp>BDH|9857191119167217241</stp>
        <tr r="U57" s="13"/>
      </tp>
      <tp t="e">
        <v>#N/A</v>
        <stp/>
        <stp>BDH|2428272729717460905</stp>
        <tr r="I88" s="12"/>
      </tp>
      <tp t="e">
        <v>#N/A</v>
        <stp/>
        <stp>BDH|8606078045945247583</stp>
        <tr r="M61" s="11"/>
        <tr r="M20" s="7"/>
        <tr r="M69" s="10"/>
      </tp>
      <tp t="e">
        <v>#N/A</v>
        <stp/>
        <stp>BDH|1042848849676052739</stp>
        <tr r="G8" s="14"/>
      </tp>
      <tp t="e">
        <v>#N/A</v>
        <stp/>
        <stp>BDH|2373645107281600986</stp>
        <tr r="R64" s="21"/>
        <tr r="P23" s="7"/>
      </tp>
      <tp t="e">
        <v>#N/A</v>
        <stp/>
        <stp>BDH|7892666581465476055</stp>
        <tr r="J16" s="23"/>
      </tp>
      <tp t="e">
        <v>#N/A</v>
        <stp/>
        <stp>BDH|9378687827619062829</stp>
        <tr r="AA68" s="24"/>
      </tp>
      <tp t="e">
        <v>#N/A</v>
        <stp/>
        <stp>BDH|2351438926599928113</stp>
        <tr r="K28" s="18"/>
      </tp>
      <tp t="e">
        <v>#N/A</v>
        <stp/>
        <stp>BDH|5061622139234175849</stp>
        <tr r="O95" s="12"/>
      </tp>
      <tp t="e">
        <v>#N/A</v>
        <stp/>
        <stp>BDH|5451196213008484140</stp>
        <tr r="Y11" s="11"/>
      </tp>
      <tp t="e">
        <v>#N/A</v>
        <stp/>
        <stp>BDH|6392928307361000289</stp>
        <tr r="AA135" s="18"/>
      </tp>
      <tp t="e">
        <v>#N/A</v>
        <stp/>
        <stp>BDH|7666239386392804357</stp>
        <tr r="V156" s="18"/>
      </tp>
      <tp t="e">
        <v>#N/A</v>
        <stp/>
        <stp>BDH|7455283825222285956</stp>
        <tr r="I112" s="12"/>
      </tp>
      <tp t="e">
        <v>#N/A</v>
        <stp/>
        <stp>BDH|1888154316315435811</stp>
        <tr r="W31" s="11"/>
        <tr r="W39" s="10"/>
      </tp>
      <tp t="e">
        <v>#N/A</v>
        <stp/>
        <stp>BDH|2042373886003995663</stp>
        <tr r="F19" s="24"/>
      </tp>
      <tp t="e">
        <v>#N/A</v>
        <stp/>
        <stp>BDH|2456250328768675619</stp>
        <tr r="I65" s="21"/>
        <tr r="F28" s="6"/>
      </tp>
      <tp t="e">
        <v>#N/A</v>
        <stp/>
        <stp>BDH|4414599602238747562</stp>
        <tr r="D12" s="20"/>
        <tr r="D113" s="18"/>
      </tp>
      <tp t="e">
        <v>#N/A</v>
        <stp/>
        <stp>BDH|7243665468972361912</stp>
        <tr r="AA72" s="17"/>
      </tp>
      <tp t="e">
        <v>#N/A</v>
        <stp/>
        <stp>BDH|8868500601024291553</stp>
        <tr r="I54" s="17"/>
      </tp>
      <tp t="e">
        <v>#N/A</v>
        <stp/>
        <stp>BDH|3859327674552702978</stp>
        <tr r="T63" s="17"/>
      </tp>
      <tp t="e">
        <v>#N/A</v>
        <stp/>
        <stp>BDH|8736778591143761982</stp>
        <tr r="K58" s="24"/>
      </tp>
      <tp t="e">
        <v>#N/A</v>
        <stp/>
        <stp>BDH|8381433657165970003</stp>
        <tr r="C11" s="11"/>
      </tp>
      <tp t="e">
        <v>#N/A</v>
        <stp/>
        <stp>BDH|6926482871611806868</stp>
        <tr r="D73" s="18"/>
      </tp>
      <tp t="e">
        <v>#N/A</v>
        <stp/>
        <stp>BDH|9876437577330327600</stp>
        <tr r="I30" s="17"/>
      </tp>
      <tp t="e">
        <v>#N/A</v>
        <stp/>
        <stp>BDH|7780268385608233994</stp>
        <tr r="R147" s="18"/>
      </tp>
      <tp t="e">
        <v>#N/A</v>
        <stp/>
        <stp>BDH|8686171760817771497</stp>
        <tr r="N157" s="18"/>
      </tp>
      <tp t="e">
        <v>#N/A</v>
        <stp/>
        <stp>BDH|8995000559774765589</stp>
        <tr r="F48" s="21"/>
      </tp>
      <tp t="e">
        <v>#N/A</v>
        <stp/>
        <stp>BDH|7039435856559269384</stp>
        <tr r="V171" s="18"/>
      </tp>
      <tp t="e">
        <v>#N/A</v>
        <stp/>
        <stp>BDH|8190767998972810887</stp>
        <tr r="I55" s="18"/>
      </tp>
      <tp t="e">
        <v>#N/A</v>
        <stp/>
        <stp>BDH|9972100362365238766</stp>
        <tr r="R59" s="12"/>
      </tp>
      <tp t="e">
        <v>#N/A</v>
        <stp/>
        <stp>BDH|9843435522607672400</stp>
        <tr r="Z68" s="12"/>
      </tp>
      <tp t="e">
        <v>#N/A</v>
        <stp/>
        <stp>BDH|9499946427807951911</stp>
        <tr r="AA53" s="17"/>
        <tr r="AA10" s="25"/>
      </tp>
      <tp t="e">
        <v>#N/A</v>
        <stp/>
        <stp>BDH|1663484075647349973</stp>
        <tr r="O44" s="22"/>
      </tp>
      <tp t="e">
        <v>#N/A</v>
        <stp/>
        <stp>BDH|5835849419291996133</stp>
        <tr r="C49" s="21"/>
      </tp>
      <tp t="e">
        <v>#N/A</v>
        <stp/>
        <stp>BDH|2324864673381022095</stp>
        <tr r="L54" s="34"/>
      </tp>
      <tp t="e">
        <v>#N/A</v>
        <stp/>
        <stp>BDH|5311630321935844869</stp>
        <tr r="AA52" s="21"/>
      </tp>
      <tp t="e">
        <v>#N/A</v>
        <stp/>
        <stp>BDH|8710610138437772667</stp>
        <tr r="H58" s="34"/>
      </tp>
      <tp t="e">
        <v>#N/A</v>
        <stp/>
        <stp>BDH|6589977610252508089</stp>
        <tr r="Y39" s="25"/>
        <tr r="Y22" s="13"/>
        <tr r="Y7" s="13"/>
        <tr r="W18" s="11"/>
        <tr r="Y7" s="3"/>
      </tp>
      <tp t="e">
        <v>#N/A</v>
        <stp/>
        <stp>BDH|1168391319826834968</stp>
        <tr r="AA29" s="21"/>
      </tp>
      <tp t="e">
        <v>#N/A</v>
        <stp/>
        <stp>BDH|8693442784788017099</stp>
        <tr r="L53" s="18"/>
      </tp>
      <tp t="e">
        <v>#N/A</v>
        <stp/>
        <stp>BDH|8643897276139533236</stp>
        <tr r="E14" s="23"/>
      </tp>
      <tp t="e">
        <v>#N/A</v>
        <stp/>
        <stp>BDH|2575917741343355091</stp>
        <tr r="P34" s="12"/>
      </tp>
      <tp t="e">
        <v>#N/A</v>
        <stp/>
        <stp>BDH|2039121397432925433</stp>
        <tr r="U49" s="34"/>
      </tp>
      <tp t="e">
        <v>#N/A</v>
        <stp/>
        <stp>BDH|9337325032034529193</stp>
        <tr r="T65" s="24"/>
      </tp>
      <tp t="e">
        <v>#N/A</v>
        <stp/>
        <stp>BDH|5302135681759995972</stp>
        <tr r="G50" s="4"/>
      </tp>
      <tp t="e">
        <v>#N/A</v>
        <stp/>
        <stp>BDH|7992852499558953232</stp>
        <tr r="F29" s="24"/>
      </tp>
      <tp t="e">
        <v>#N/A</v>
        <stp/>
        <stp>BDH|5307115288562792220</stp>
        <tr r="E69" s="12"/>
      </tp>
      <tp t="e">
        <v>#N/A</v>
        <stp/>
        <stp>BDH|2271933518007596134</stp>
        <tr r="I51" s="17"/>
      </tp>
      <tp t="e">
        <v>#N/A</v>
        <stp/>
        <stp>BDH|9049525729482585015</stp>
        <tr r="P16" s="20"/>
      </tp>
      <tp t="e">
        <v>#N/A</v>
        <stp/>
        <stp>BDH|6065809531474612581</stp>
        <tr r="E28" s="18"/>
      </tp>
      <tp t="e">
        <v>#N/A</v>
        <stp/>
        <stp>BDH|2355963064544801568</stp>
        <tr r="L25" s="3"/>
      </tp>
      <tp t="e">
        <v>#N/A</v>
        <stp/>
        <stp>BDH|3290355167762737883</stp>
        <tr r="U75" s="18"/>
      </tp>
      <tp t="e">
        <v>#N/A</v>
        <stp/>
        <stp>BDH|7108860700176884502</stp>
        <tr r="L24" s="20"/>
      </tp>
      <tp t="e">
        <v>#N/A</v>
        <stp/>
        <stp>BDH|9016088953605720536</stp>
        <tr r="O19" s="24"/>
      </tp>
      <tp t="e">
        <v>#N/A</v>
        <stp/>
        <stp>BDH|2204300795120880403</stp>
        <tr r="I34" s="22"/>
      </tp>
      <tp t="e">
        <v>#N/A</v>
        <stp/>
        <stp>BDH|4694028748824100823</stp>
        <tr r="X9" s="21"/>
      </tp>
      <tp t="e">
        <v>#N/A</v>
        <stp/>
        <stp>BDH|9449599293739556045</stp>
        <tr r="O57" s="12"/>
      </tp>
      <tp t="e">
        <v>#N/A</v>
        <stp/>
        <stp>BDH|3757858165098960911</stp>
        <tr r="D12" s="30"/>
      </tp>
      <tp t="e">
        <v>#N/A</v>
        <stp/>
        <stp>BDH|3144687770698670608</stp>
        <tr r="F152" s="18"/>
      </tp>
      <tp t="e">
        <v>#N/A</v>
        <stp/>
        <stp>BDH|6698219681217083797</stp>
        <tr r="P15" s="25"/>
      </tp>
      <tp t="e">
        <v>#N/A</v>
        <stp/>
        <stp>BDH|8991156564060564325</stp>
        <tr r="U31" s="17"/>
      </tp>
      <tp t="e">
        <v>#N/A</v>
        <stp/>
        <stp>BDH|7016465695285839349</stp>
        <tr r="N45" s="6"/>
      </tp>
      <tp t="e">
        <v>#N/A</v>
        <stp/>
        <stp>BDH|3576478944447852812</stp>
        <tr r="M47" s="17"/>
      </tp>
      <tp t="e">
        <v>#N/A</v>
        <stp/>
        <stp>BDH|3492794295347710600</stp>
        <tr r="H37" s="18"/>
      </tp>
      <tp t="e">
        <v>#N/A</v>
        <stp/>
        <stp>BDH|9977434859085480184</stp>
        <tr r="M11" s="14"/>
      </tp>
      <tp t="e">
        <v>#N/A</v>
        <stp/>
        <stp>BDH|7261732508009334558</stp>
        <tr r="Q82" s="12"/>
      </tp>
      <tp t="e">
        <v>#N/A</v>
        <stp/>
        <stp>BDH|1957639534328371027</stp>
        <tr r="AA35" s="24"/>
      </tp>
      <tp t="e">
        <v>#N/A</v>
        <stp/>
        <stp>BDH|7889697249398529121</stp>
        <tr r="I14" s="11"/>
      </tp>
      <tp t="e">
        <v>#N/A</v>
        <stp/>
        <stp>BDH|1027383722149520533</stp>
        <tr r="J7" s="23"/>
      </tp>
      <tp t="e">
        <v>#N/A</v>
        <stp/>
        <stp>BDH|2553232370148200386</stp>
        <tr r="L13" s="18"/>
      </tp>
      <tp t="e">
        <v>#N/A</v>
        <stp/>
        <stp>BDH|8617676734450009193</stp>
        <tr r="E17" s="12"/>
      </tp>
      <tp t="e">
        <v>#N/A</v>
        <stp/>
        <stp>BDH|7891134522200042858</stp>
        <tr r="Q15" s="34"/>
      </tp>
      <tp t="e">
        <v>#N/A</v>
        <stp/>
        <stp>BDH|1126182756660618954</stp>
        <tr r="Z32" s="22"/>
      </tp>
      <tp t="e">
        <v>#N/A</v>
        <stp/>
        <stp>BDH|8001457528792726061</stp>
        <tr r="M35" s="4"/>
      </tp>
      <tp t="e">
        <v>#N/A</v>
        <stp/>
        <stp>BDH|1968827240795458431</stp>
        <tr r="F47" s="13"/>
      </tp>
      <tp t="e">
        <v>#N/A</v>
        <stp/>
        <stp>BDH|5631158779888728714</stp>
        <tr r="S158" s="18"/>
      </tp>
      <tp t="e">
        <v>#N/A</v>
        <stp/>
        <stp>BDH|9972697173485828173</stp>
        <tr r="I24" s="21"/>
      </tp>
      <tp t="e">
        <v>#N/A</v>
        <stp/>
        <stp>BDH|1128997515017126202</stp>
        <tr r="T30" s="22"/>
      </tp>
      <tp t="e">
        <v>#N/A</v>
        <stp/>
        <stp>BDH|3765764024738092298</stp>
        <tr r="L43" s="21"/>
      </tp>
      <tp t="e">
        <v>#N/A</v>
        <stp/>
        <stp>BDH|4960423797400630566</stp>
        <tr r="O24" s="22"/>
      </tp>
      <tp t="e">
        <v>#N/A</v>
        <stp/>
        <stp>BDH|8535810996740622581</stp>
        <tr r="V65" s="18"/>
      </tp>
      <tp t="e">
        <v>#N/A</v>
        <stp/>
        <stp>BDH|9158679426090525198</stp>
        <tr r="H54" s="18"/>
      </tp>
      <tp t="e">
        <v>#N/A</v>
        <stp/>
        <stp>BDH|2997587591614958655</stp>
        <tr r="X44" s="17"/>
      </tp>
      <tp t="e">
        <v>#N/A</v>
        <stp/>
        <stp>BDH|5268989660915795314</stp>
        <tr r="H9" s="23"/>
      </tp>
      <tp t="e">
        <v>#N/A</v>
        <stp/>
        <stp>BDH|9368185140817197768</stp>
        <tr r="Q92" s="17"/>
        <tr r="Q7" s="27"/>
      </tp>
      <tp t="e">
        <v>#N/A</v>
        <stp/>
        <stp>BDH|2828808125075013116</stp>
        <tr r="H164" s="18"/>
      </tp>
      <tp t="e">
        <v>#N/A</v>
        <stp/>
        <stp>BDH|5132200010859832354</stp>
        <tr r="Z24" s="23"/>
        <tr r="Z21" s="30"/>
      </tp>
      <tp t="e">
        <v>#N/A</v>
        <stp/>
        <stp>BDH|7739396530963469866</stp>
        <tr r="AA6" s="28"/>
      </tp>
      <tp t="e">
        <v>#N/A</v>
        <stp/>
        <stp>BDH|7668844631939758981</stp>
        <tr r="D13" s="10"/>
      </tp>
      <tp t="e">
        <v>#N/A</v>
        <stp/>
        <stp>BDH|4427025757748893556</stp>
        <tr r="R13" s="23"/>
        <tr r="P57" s="11"/>
        <tr r="P38" s="4"/>
      </tp>
      <tp t="e">
        <v>#N/A</v>
        <stp/>
        <stp>BDH|5833102052214346959</stp>
        <tr r="Q13" s="6"/>
      </tp>
      <tp t="e">
        <v>#N/A</v>
        <stp/>
        <stp>BDH|2088651897625645485</stp>
        <tr r="Z68" s="17"/>
        <tr r="W8" s="9"/>
        <tr r="W8" s="5"/>
      </tp>
      <tp t="e">
        <v>#N/A</v>
        <stp/>
        <stp>BDH|7140607052929635197</stp>
        <tr r="V41" s="22"/>
      </tp>
      <tp t="e">
        <v>#N/A</v>
        <stp/>
        <stp>BDH|7279351131563350898</stp>
        <tr r="E144" s="18"/>
      </tp>
      <tp t="e">
        <v>#N/A</v>
        <stp/>
        <stp>BDH|3966901941854110650</stp>
        <tr r="P15" s="5"/>
      </tp>
      <tp t="e">
        <v>#N/A</v>
        <stp/>
        <stp>BDH|8974475682531767960</stp>
        <tr r="X60" s="11"/>
      </tp>
      <tp t="e">
        <v>#N/A</v>
        <stp/>
        <stp>BDH|5864875762734032306</stp>
        <tr r="P19" s="10"/>
      </tp>
      <tp t="e">
        <v>#N/A</v>
        <stp/>
        <stp>BDH|4055582702068509526</stp>
        <tr r="Y137" s="18"/>
      </tp>
      <tp t="e">
        <v>#N/A</v>
        <stp/>
        <stp>BDH|8801871892170547555</stp>
        <tr r="V22" s="12"/>
      </tp>
      <tp t="e">
        <v>#N/A</v>
        <stp/>
        <stp>BDH|5522454237688338693</stp>
        <tr r="T41" s="24"/>
      </tp>
      <tp t="e">
        <v>#N/A</v>
        <stp/>
        <stp>BDH|7678724758799947080</stp>
        <tr r="E10" s="24"/>
      </tp>
      <tp t="e">
        <v>#N/A</v>
        <stp/>
        <stp>BDH|4880603384160115608</stp>
        <tr r="Z144" s="18"/>
      </tp>
      <tp t="e">
        <v>#N/A</v>
        <stp/>
        <stp>BDH|5530671962749513087</stp>
        <tr r="U15" s="12"/>
      </tp>
      <tp t="e">
        <v>#N/A</v>
        <stp/>
        <stp>BDH|5819557240128936096</stp>
        <tr r="K13" s="8"/>
      </tp>
      <tp t="e">
        <v>#N/A</v>
        <stp/>
        <stp>BDH|1705195280177539365</stp>
        <tr r="M68" s="34"/>
      </tp>
      <tp t="e">
        <v>#N/A</v>
        <stp/>
        <stp>BDH|3555930679044224502</stp>
        <tr r="V56" s="24"/>
      </tp>
      <tp t="e">
        <v>#N/A</v>
        <stp/>
        <stp>BDH|9459117336347923076</stp>
        <tr r="P103" s="12"/>
      </tp>
      <tp t="e">
        <v>#N/A</v>
        <stp/>
        <stp>BDH|8094729018717650516</stp>
        <tr r="X57" s="12"/>
      </tp>
      <tp t="e">
        <v>#N/A</v>
        <stp/>
        <stp>BDH|3594519729060975893</stp>
        <tr r="G23" s="17"/>
      </tp>
      <tp t="e">
        <v>#N/A</v>
        <stp/>
        <stp>BDH|9968317356815481675</stp>
        <tr r="P84" s="17"/>
      </tp>
      <tp t="e">
        <v>#N/A</v>
        <stp/>
        <stp>BDH|5135501581562532683</stp>
        <tr r="M178" s="18"/>
      </tp>
      <tp t="e">
        <v>#N/A</v>
        <stp/>
        <stp>BDH|4244480723567538915</stp>
        <tr r="D29" s="9"/>
      </tp>
      <tp t="e">
        <v>#N/A</v>
        <stp/>
        <stp>BDH|9664471114178179896</stp>
        <tr r="C35" s="6"/>
      </tp>
      <tp t="e">
        <v>#N/A</v>
        <stp/>
        <stp>BDH|5768003693883994302</stp>
        <tr r="M32" s="24"/>
      </tp>
      <tp t="e">
        <v>#N/A</v>
        <stp/>
        <stp>BDH|3591288596124158073</stp>
        <tr r="N29" s="21"/>
      </tp>
      <tp t="e">
        <v>#N/A</v>
        <stp/>
        <stp>BDH|5715289531998577060</stp>
        <tr r="W7" s="10"/>
      </tp>
      <tp t="e">
        <v>#N/A</v>
        <stp/>
        <stp>BDH|8435598926726047561</stp>
        <tr r="G28" s="34"/>
      </tp>
      <tp t="e">
        <v>#N/A</v>
        <stp/>
        <stp>BDH|7014616586145274089</stp>
        <tr r="AA59" s="24"/>
      </tp>
      <tp t="e">
        <v>#N/A</v>
        <stp/>
        <stp>BDH|2627748482163437290</stp>
        <tr r="Q9" s="28"/>
      </tp>
      <tp t="e">
        <v>#N/A</v>
        <stp/>
        <stp>BDH|7359103341899908765</stp>
        <tr r="U13" s="5"/>
      </tp>
      <tp t="e">
        <v>#N/A</v>
        <stp/>
        <stp>BDH|5194531792777955240</stp>
        <tr r="F19" s="10"/>
      </tp>
      <tp t="e">
        <v>#N/A</v>
        <stp/>
        <stp>BDH|9403356361267889750</stp>
        <tr r="U132" s="18"/>
      </tp>
      <tp t="e">
        <v>#N/A</v>
        <stp/>
        <stp>BDH|7162683793442269658</stp>
        <tr r="U33" s="13"/>
        <tr r="S29" s="10"/>
      </tp>
      <tp t="e">
        <v>#N/A</v>
        <stp/>
        <stp>BDH|5407688625328239567</stp>
        <tr r="K24" s="6"/>
      </tp>
      <tp t="e">
        <v>#N/A</v>
        <stp/>
        <stp>BDH|1073494914431618968</stp>
        <tr r="T67" s="18"/>
      </tp>
      <tp t="e">
        <v>#N/A</v>
        <stp/>
        <stp>BDH|6204816485703386978</stp>
        <tr r="H22" s="9"/>
      </tp>
      <tp t="e">
        <v>#N/A</v>
        <stp/>
        <stp>BDH|5813799991980052725</stp>
        <tr r="E110" s="12"/>
      </tp>
      <tp t="e">
        <v>#N/A</v>
        <stp/>
        <stp>BDH|9751477914201554134</stp>
        <tr r="N13" s="8"/>
      </tp>
      <tp t="e">
        <v>#N/A</v>
        <stp/>
        <stp>BDH|5720933572051547615</stp>
        <tr r="M25" s="17"/>
      </tp>
      <tp t="e">
        <v>#N/A</v>
        <stp/>
        <stp>BDH|4848974699198376076</stp>
        <tr r="N36" s="4"/>
      </tp>
      <tp t="e">
        <v>#N/A</v>
        <stp/>
        <stp>BDH|9106899981952919721</stp>
        <tr r="V14" s="11"/>
      </tp>
      <tp t="e">
        <v>#N/A</v>
        <stp/>
        <stp>BDH|1717578201931246917</stp>
        <tr r="X13" s="26"/>
      </tp>
      <tp t="e">
        <v>#N/A</v>
        <stp/>
        <stp>BDH|9362162420122416437</stp>
        <tr r="J27" s="11"/>
        <tr r="J39" s="11"/>
        <tr r="J47" s="10"/>
        <tr r="J35" s="10"/>
      </tp>
      <tp t="e">
        <v>#N/A</v>
        <stp/>
        <stp>BDH|6752939390463293943</stp>
        <tr r="S22" s="18"/>
      </tp>
      <tp t="e">
        <v>#N/A</v>
        <stp/>
        <stp>BDH|3323881208227440057</stp>
        <tr r="Y148" s="18"/>
      </tp>
      <tp t="e">
        <v>#N/A</v>
        <stp/>
        <stp>BDH|4504010864687624941</stp>
        <tr r="S83" s="12"/>
      </tp>
      <tp t="e">
        <v>#N/A</v>
        <stp/>
        <stp>BDH|8067733831702042203</stp>
        <tr r="Z13" s="8"/>
      </tp>
      <tp t="e">
        <v>#N/A</v>
        <stp/>
        <stp>BDH|3209507783171349306</stp>
        <tr r="W24" s="21"/>
      </tp>
      <tp t="e">
        <v>#N/A</v>
        <stp/>
        <stp>BDH|8502553343125763060</stp>
        <tr r="X23" s="6"/>
      </tp>
      <tp t="e">
        <v>#N/A</v>
        <stp/>
        <stp>BDH|6472927609321956241</stp>
        <tr r="K14" s="34"/>
      </tp>
      <tp t="e">
        <v>#N/A</v>
        <stp/>
        <stp>BDH|6856871219494203767</stp>
        <tr r="M155" s="18"/>
      </tp>
      <tp t="e">
        <v>#N/A</v>
        <stp/>
        <stp>BDH|9148243401706364151</stp>
        <tr r="U21" s="18"/>
      </tp>
      <tp t="e">
        <v>#N/A</v>
        <stp/>
        <stp>BDH|9921385250932789141</stp>
        <tr r="R10" s="27"/>
        <tr r="R25" s="25"/>
      </tp>
      <tp t="e">
        <v>#N/A</v>
        <stp/>
        <stp>BDH|5478976562375020337</stp>
        <tr r="I10" s="23"/>
      </tp>
      <tp t="e">
        <v>#N/A</v>
        <stp/>
        <stp>BDH|3045974250331650230</stp>
        <tr r="AA23" s="18"/>
      </tp>
      <tp t="e">
        <v>#N/A</v>
        <stp/>
        <stp>BDH|6797071590950455362</stp>
        <tr r="U7" s="10"/>
      </tp>
      <tp t="e">
        <v>#N/A</v>
        <stp/>
        <stp>BDH|5744903491701798830</stp>
        <tr r="R31" s="17"/>
      </tp>
      <tp t="e">
        <v>#N/A</v>
        <stp/>
        <stp>BDH|8555179944529297869</stp>
        <tr r="Q19" s="11"/>
      </tp>
      <tp t="e">
        <v>#N/A</v>
        <stp/>
        <stp>BDH|5248930572971870693</stp>
        <tr r="V77" s="18"/>
      </tp>
      <tp t="e">
        <v>#N/A</v>
        <stp/>
        <stp>BDH|5304788188262219432</stp>
        <tr r="Q20" s="27"/>
      </tp>
      <tp t="e">
        <v>#N/A</v>
        <stp/>
        <stp>BDH|2825560328178782133</stp>
        <tr r="X77" s="18"/>
      </tp>
      <tp t="e">
        <v>#N/A</v>
        <stp/>
        <stp>BDH|4383546604119608474</stp>
        <tr r="C39" s="12"/>
      </tp>
      <tp t="e">
        <v>#N/A</v>
        <stp/>
        <stp>BDH|7833460199862711420</stp>
        <tr r="W15" s="24"/>
      </tp>
      <tp t="e">
        <v>#N/A</v>
        <stp/>
        <stp>BDH|8703148606282721702</stp>
        <tr r="H117" s="18"/>
      </tp>
      <tp t="e">
        <v>#N/A</v>
        <stp/>
        <stp>BDH|9877585997919136042</stp>
        <tr r="C90" s="18"/>
      </tp>
      <tp t="e">
        <v>#N/A</v>
        <stp/>
        <stp>BDH|6673339738348780288</stp>
        <tr r="Z19" s="18"/>
      </tp>
      <tp t="e">
        <v>#N/A</v>
        <stp/>
        <stp>BDH|7333153418039854248</stp>
        <tr r="N79" s="12"/>
      </tp>
      <tp t="e">
        <v>#N/A</v>
        <stp/>
        <stp>BDH|2826031079980012906</stp>
        <tr r="M7" s="24"/>
      </tp>
      <tp t="e">
        <v>#N/A</v>
        <stp/>
        <stp>BDH|9317124078112811139</stp>
        <tr r="C23" s="17"/>
      </tp>
      <tp t="e">
        <v>#N/A</v>
        <stp/>
        <stp>BDH|7747455174128684024</stp>
        <tr r="Z18" s="18"/>
      </tp>
      <tp t="e">
        <v>#N/A</v>
        <stp/>
        <stp>BDH|4506863860287984185</stp>
        <tr r="E35" s="25"/>
      </tp>
      <tp t="e">
        <v>#N/A</v>
        <stp/>
        <stp>BDH|8521044015747496224</stp>
        <tr r="X50" s="34"/>
      </tp>
      <tp t="e">
        <v>#N/A</v>
        <stp/>
        <stp>BDH|1801689586532359175</stp>
        <tr r="H30" s="34"/>
      </tp>
      <tp t="e">
        <v>#N/A</v>
        <stp/>
        <stp>BDH|2523521084823423056</stp>
        <tr r="E39" s="22"/>
      </tp>
      <tp t="e">
        <v>#N/A</v>
        <stp/>
        <stp>BDH|5788286288706129544</stp>
        <tr r="U54" s="24"/>
      </tp>
      <tp t="e">
        <v>#N/A</v>
        <stp/>
        <stp>BDH|2025281929958437676</stp>
        <tr r="D21" s="27"/>
      </tp>
      <tp t="e">
        <v>#N/A</v>
        <stp/>
        <stp>BDH|5808640586900929715</stp>
        <tr r="X21" s="10"/>
      </tp>
      <tp t="e">
        <v>#N/A</v>
        <stp/>
        <stp>BDH|2507197632568502483</stp>
        <tr r="X84" s="17"/>
      </tp>
      <tp t="e">
        <v>#N/A</v>
        <stp/>
        <stp>BDH|5045045083435055441</stp>
        <tr r="N14" s="18"/>
      </tp>
      <tp t="e">
        <v>#N/A</v>
        <stp/>
        <stp>BDH|7490050702993895889</stp>
        <tr r="E8" s="26"/>
      </tp>
      <tp t="e">
        <v>#N/A</v>
        <stp/>
        <stp>BDH|1302654765514041906</stp>
        <tr r="F119" s="18"/>
      </tp>
      <tp t="e">
        <v>#N/A</v>
        <stp/>
        <stp>BDH|4554634357372653944</stp>
        <tr r="L28" s="22"/>
      </tp>
      <tp t="e">
        <v>#N/A</v>
        <stp/>
        <stp>BDH|6641401381157202166</stp>
        <tr r="W55" s="17"/>
      </tp>
      <tp t="e">
        <v>#N/A</v>
        <stp/>
        <stp>BDH|2781130407456397937</stp>
        <tr r="T42" s="17"/>
      </tp>
      <tp t="e">
        <v>#N/A</v>
        <stp/>
        <stp>BDH|7023330932829604248</stp>
        <tr r="U79" s="12"/>
      </tp>
      <tp t="e">
        <v>#N/A</v>
        <stp/>
        <stp>BDH|8737857033697123832</stp>
        <tr r="M50" s="4"/>
      </tp>
      <tp t="e">
        <v>#N/A</v>
        <stp/>
        <stp>BDH|1622245500006819994</stp>
        <tr r="K24" s="29"/>
      </tp>
      <tp t="e">
        <v>#N/A</v>
        <stp/>
        <stp>BDH|8914314141402935137</stp>
        <tr r="N46" s="10"/>
        <tr r="N38" s="11"/>
      </tp>
      <tp t="e">
        <v>#N/A</v>
        <stp/>
        <stp>BDH|1774181719259370467</stp>
        <tr r="F8" s="27"/>
      </tp>
      <tp t="e">
        <v>#N/A</v>
        <stp/>
        <stp>BDH|7553104293523154045</stp>
        <tr r="Q43" s="22"/>
      </tp>
      <tp t="e">
        <v>#N/A</v>
        <stp/>
        <stp>BDH|6342708836316337858</stp>
        <tr r="E154" s="18"/>
      </tp>
      <tp t="e">
        <v>#N/A</v>
        <stp/>
        <stp>BDH|4056973524626924595</stp>
        <tr r="N16" s="22"/>
      </tp>
      <tp t="e">
        <v>#N/A</v>
        <stp/>
        <stp>BDH|1696926113562551718</stp>
        <tr r="M159" s="18"/>
      </tp>
      <tp t="e">
        <v>#N/A</v>
        <stp/>
        <stp>BDH|9651861994001313542</stp>
        <tr r="O22" s="24"/>
      </tp>
      <tp t="e">
        <v>#N/A</v>
        <stp/>
        <stp>BDH|8282787706476746589</stp>
        <tr r="F12" s="10"/>
      </tp>
      <tp t="e">
        <v>#N/A</v>
        <stp/>
        <stp>BDH|4400135785529853893</stp>
        <tr r="C97" s="18"/>
      </tp>
      <tp t="e">
        <v>#N/A</v>
        <stp/>
        <stp>BDH|8497559223764602771</stp>
        <tr r="L65" s="24"/>
      </tp>
      <tp t="e">
        <v>#N/A</v>
        <stp/>
        <stp>BDH|2593296958548043178</stp>
        <tr r="E66" s="24"/>
      </tp>
      <tp t="e">
        <v>#N/A</v>
        <stp/>
        <stp>BDH|6304230859439225480</stp>
        <tr r="G91" s="18"/>
      </tp>
      <tp t="e">
        <v>#N/A</v>
        <stp/>
        <stp>BDH|3483729883892395259</stp>
        <tr r="D62" s="17"/>
      </tp>
      <tp t="e">
        <v>#N/A</v>
        <stp/>
        <stp>BDH|4126264438220441989</stp>
        <tr r="N54" s="6"/>
      </tp>
      <tp t="e">
        <v>#N/A</v>
        <stp/>
        <stp>BDH|9993910493764012186</stp>
        <tr r="C36" s="34"/>
      </tp>
      <tp t="e">
        <v>#N/A</v>
        <stp/>
        <stp>BDH|2904680382808849884</stp>
        <tr r="Q67" s="34"/>
      </tp>
      <tp t="e">
        <v>#N/A</v>
        <stp/>
        <stp>BDH|5399361097237724460</stp>
        <tr r="AA40" s="18"/>
      </tp>
      <tp t="e">
        <v>#N/A</v>
        <stp/>
        <stp>BDH|8498952150461120935</stp>
        <tr r="AA64" s="21"/>
        <tr r="Y23" s="7"/>
      </tp>
      <tp t="e">
        <v>#N/A</v>
        <stp/>
        <stp>BDH|2872185264858692118</stp>
        <tr r="M8" s="6"/>
      </tp>
      <tp t="e">
        <v>#N/A</v>
        <stp/>
        <stp>BDH|1225846888098511588</stp>
        <tr r="H8" s="2"/>
      </tp>
      <tp t="e">
        <v>#N/A</v>
        <stp/>
        <stp>BDH|5458707419389857669</stp>
        <tr r="S86" s="12"/>
      </tp>
      <tp t="e">
        <v>#N/A</v>
        <stp/>
        <stp>BDH|1096826537623267543</stp>
        <tr r="Y171" s="18"/>
      </tp>
      <tp t="e">
        <v>#N/A</v>
        <stp/>
        <stp>BDH|5260673643969541204</stp>
        <tr r="Y7" s="8"/>
      </tp>
      <tp t="e">
        <v>#N/A</v>
        <stp/>
        <stp>BDH|4920944315112230298</stp>
        <tr r="K29" s="9"/>
      </tp>
      <tp t="e">
        <v>#N/A</v>
        <stp/>
        <stp>BDH|6172786154320945879</stp>
        <tr r="P17" s="17"/>
        <tr r="P20" s="28"/>
      </tp>
      <tp t="e">
        <v>#N/A</v>
        <stp/>
        <stp>BDH|4332552011184484807</stp>
        <tr r="H67" s="10"/>
      </tp>
      <tp t="e">
        <v>#N/A</v>
        <stp/>
        <stp>BDH|6767237783930777031</stp>
        <tr r="N9" s="18"/>
      </tp>
      <tp t="e">
        <v>#N/A</v>
        <stp/>
        <stp>BDH|8555756732931037117</stp>
        <tr r="P64" s="11"/>
        <tr r="P72" s="10"/>
      </tp>
      <tp t="e">
        <v>#N/A</v>
        <stp/>
        <stp>BDH|8250620021356553642</stp>
        <tr r="N86" s="18"/>
      </tp>
      <tp t="e">
        <v>#N/A</v>
        <stp/>
        <stp>BDH|2766472746699378754</stp>
        <tr r="Z47" s="18"/>
      </tp>
      <tp t="e">
        <v>#N/A</v>
        <stp/>
        <stp>BDH|3720768076138129768</stp>
        <tr r="T29" s="12"/>
      </tp>
      <tp t="e">
        <v>#N/A</v>
        <stp/>
        <stp>BDH|2140749232959462332</stp>
        <tr r="C42" s="17"/>
      </tp>
      <tp t="e">
        <v>#N/A</v>
        <stp/>
        <stp>BDH|8246271366460646055</stp>
        <tr r="D8" s="6"/>
      </tp>
      <tp t="e">
        <v>#N/A</v>
        <stp/>
        <stp>BDH|6014505489536052194</stp>
        <tr r="N102" s="12"/>
      </tp>
      <tp t="e">
        <v>#N/A</v>
        <stp/>
        <stp>BDH|1645217441533759813</stp>
        <tr r="C45" s="17"/>
      </tp>
      <tp t="e">
        <v>#N/A</v>
        <stp/>
        <stp>BDH|3760004371099237142</stp>
        <tr r="P40" s="17"/>
      </tp>
      <tp t="e">
        <v>#N/A</v>
        <stp/>
        <stp>BDH|8665219346727899592</stp>
        <tr r="T65" s="12"/>
      </tp>
      <tp t="e">
        <v>#N/A</v>
        <stp/>
        <stp>BDH|3472281128289435604</stp>
        <tr r="E59" s="13"/>
      </tp>
      <tp t="e">
        <v>#N/A</v>
        <stp/>
        <stp>BDH|2887930258156439479</stp>
        <tr r="Q36" s="21"/>
      </tp>
      <tp t="e">
        <v>#N/A</v>
        <stp/>
        <stp>BDH|1611224337958163428</stp>
        <tr r="Y18" s="24"/>
      </tp>
      <tp t="e">
        <v>#N/A</v>
        <stp/>
        <stp>BDH|3318439660889340436</stp>
        <tr r="G41" s="12"/>
      </tp>
      <tp t="e">
        <v>#N/A</v>
        <stp/>
        <stp>BDH|2579815464657625764</stp>
        <tr r="P43" s="24"/>
      </tp>
      <tp t="e">
        <v>#N/A</v>
        <stp/>
        <stp>BDH|5851191388861899117</stp>
        <tr r="O155" s="18"/>
      </tp>
      <tp t="e">
        <v>#N/A</v>
        <stp/>
        <stp>BDH|7897821926620454189</stp>
        <tr r="G7" s="23"/>
      </tp>
      <tp t="e">
        <v>#N/A</v>
        <stp/>
        <stp>BDH|3187304344091667938</stp>
        <tr r="F62" s="17"/>
      </tp>
      <tp t="e">
        <v>#N/A</v>
        <stp/>
        <stp>BDH|9988933788026307219</stp>
        <tr r="O61" s="18"/>
      </tp>
      <tp t="e">
        <v>#N/A</v>
        <stp/>
        <stp>BDH|1935680694407456517</stp>
        <tr r="Q43" s="18"/>
      </tp>
      <tp t="e">
        <v>#N/A</v>
        <stp/>
        <stp>BDH|3217970244457660576</stp>
        <tr r="AA49" s="21"/>
      </tp>
      <tp t="e">
        <v>#N/A</v>
        <stp/>
        <stp>BDH|5296324169729169589</stp>
        <tr r="N47" s="17"/>
      </tp>
      <tp t="e">
        <v>#N/A</v>
        <stp/>
        <stp>BDH|9298072156318084835</stp>
        <tr r="D42" s="12"/>
      </tp>
      <tp t="e">
        <v>#N/A</v>
        <stp/>
        <stp>BDH|4073462852250601922</stp>
        <tr r="R18" s="25"/>
      </tp>
      <tp t="e">
        <v>#N/A</v>
        <stp/>
        <stp>BDH|6138657383883389741</stp>
        <tr r="J62" s="10"/>
      </tp>
      <tp t="e">
        <v>#N/A</v>
        <stp/>
        <stp>BDH|2371917456930155258</stp>
        <tr r="AA52" s="12"/>
      </tp>
      <tp t="e">
        <v>#N/A</v>
        <stp/>
        <stp>BDH|7815980749303818517</stp>
        <tr r="R99" s="12"/>
      </tp>
      <tp t="e">
        <v>#N/A</v>
        <stp/>
        <stp>BDH|4176360996245360727</stp>
        <tr r="Q112" s="12"/>
      </tp>
      <tp t="e">
        <v>#N/A</v>
        <stp/>
        <stp>BDH|5712551587040427415</stp>
        <tr r="F64" s="11"/>
        <tr r="F72" s="10"/>
      </tp>
      <tp t="e">
        <v>#N/A</v>
        <stp/>
        <stp>BDH|6465543325904530908</stp>
        <tr r="K106" s="18"/>
      </tp>
      <tp t="e">
        <v>#N/A</v>
        <stp/>
        <stp>BDH|1602744995410028375</stp>
        <tr r="X14" s="18"/>
      </tp>
      <tp t="e">
        <v>#N/A</v>
        <stp/>
        <stp>BDH|5413591561628927253</stp>
        <tr r="D144" s="18"/>
      </tp>
      <tp t="e">
        <v>#N/A</v>
        <stp/>
        <stp>BDH|5295605088087980032</stp>
        <tr r="G65" s="24"/>
      </tp>
      <tp t="e">
        <v>#N/A</v>
        <stp/>
        <stp>BDH|7063714129589914710</stp>
        <tr r="Q8" s="20"/>
        <tr r="Q110" s="18"/>
      </tp>
      <tp t="e">
        <v>#N/A</v>
        <stp/>
        <stp>BDH|2029285568269356339</stp>
        <tr r="Q91" s="18"/>
      </tp>
      <tp t="e">
        <v>#N/A</v>
        <stp/>
        <stp>BDH|4645047394870737110</stp>
        <tr r="R138" s="18"/>
      </tp>
      <tp t="e">
        <v>#N/A</v>
        <stp/>
        <stp>BDH|7240465917938447674</stp>
        <tr r="M18" s="20"/>
      </tp>
      <tp t="e">
        <v>#N/A</v>
        <stp/>
        <stp>BDH|6595791549010233970</stp>
        <tr r="H151" s="18"/>
      </tp>
      <tp t="e">
        <v>#N/A</v>
        <stp/>
        <stp>BDH|8305595100708916938</stp>
        <tr r="W64" s="24"/>
      </tp>
      <tp t="e">
        <v>#N/A</v>
        <stp/>
        <stp>BDH|2543826162640591007</stp>
        <tr r="W16" s="21"/>
      </tp>
      <tp t="e">
        <v>#N/A</v>
        <stp/>
        <stp>BDH|1741659273289167503</stp>
        <tr r="H30" s="13"/>
        <tr r="F26" s="10"/>
      </tp>
      <tp t="e">
        <v>#N/A</v>
        <stp/>
        <stp>BDH|4859456966972912826</stp>
        <tr r="S13" s="13"/>
      </tp>
      <tp t="e">
        <v>#N/A</v>
        <stp/>
        <stp>BDH|7039851565757811289</stp>
        <tr r="I62" s="10"/>
      </tp>
      <tp t="e">
        <v>#N/A</v>
        <stp/>
        <stp>BDH|5835119186109925965</stp>
        <tr r="O107" s="18"/>
      </tp>
      <tp t="e">
        <v>#N/A</v>
        <stp/>
        <stp>BDH|5213597256840546986</stp>
        <tr r="O19" s="23"/>
        <tr r="M59" s="11"/>
      </tp>
      <tp t="e">
        <v>#N/A</v>
        <stp/>
        <stp>BDH|6490787458089310173</stp>
        <tr r="D14" s="10"/>
      </tp>
      <tp t="e">
        <v>#N/A</v>
        <stp/>
        <stp>BDH|4468984141447592283</stp>
        <tr r="L13" s="11"/>
      </tp>
      <tp t="e">
        <v>#N/A</v>
        <stp/>
        <stp>BDH|3661498418798301246</stp>
        <tr r="S23" s="6"/>
      </tp>
      <tp t="e">
        <v>#N/A</v>
        <stp/>
        <stp>BDH|5641467103789327409</stp>
        <tr r="E25" s="26"/>
      </tp>
      <tp t="e">
        <v>#N/A</v>
        <stp/>
        <stp>BDH|8256143760710739303</stp>
        <tr r="W12" s="26"/>
      </tp>
      <tp t="e">
        <v>#N/A</v>
        <stp/>
        <stp>BDH|1410869594984578826</stp>
        <tr r="I18" s="24"/>
      </tp>
      <tp t="e">
        <v>#N/A</v>
        <stp/>
        <stp>BDH|1211447196472722263</stp>
        <tr r="G8" s="29"/>
        <tr r="G30" s="29"/>
      </tp>
      <tp t="e">
        <v>#N/A</v>
        <stp/>
        <stp>BDH|4501995752505600193</stp>
        <tr r="G55" s="17"/>
      </tp>
      <tp t="e">
        <v>#N/A</v>
        <stp/>
        <stp>BDH|3516728496849431841</stp>
        <tr r="O12" s="14"/>
      </tp>
      <tp t="e">
        <v>#N/A</v>
        <stp/>
        <stp>BDH|8235850553248555107</stp>
        <tr r="O57" s="13"/>
      </tp>
      <tp t="e">
        <v>#N/A</v>
        <stp/>
        <stp>BDH|5454541493561145436</stp>
        <tr r="AA95" s="12"/>
      </tp>
      <tp t="e">
        <v>#N/A</v>
        <stp/>
        <stp>BDH|5520938146963748764</stp>
        <tr r="C9" s="17"/>
      </tp>
      <tp t="e">
        <v>#N/A</v>
        <stp/>
        <stp>BDH|9509601764604869183</stp>
        <tr r="F15" s="6"/>
      </tp>
      <tp t="e">
        <v>#N/A</v>
        <stp/>
        <stp>BDH|8620614881363718901</stp>
        <tr r="S16" s="24"/>
      </tp>
      <tp t="e">
        <v>#N/A</v>
        <stp/>
        <stp>BDH|3227851367304909585</stp>
        <tr r="D10" s="22"/>
      </tp>
      <tp t="e">
        <v>#N/A</v>
        <stp/>
        <stp>BDH|8848829669133415968</stp>
        <tr r="P85" s="17"/>
      </tp>
      <tp t="e">
        <v>#N/A</v>
        <stp/>
        <stp>BDH|5374460957018006032</stp>
        <tr r="W23" s="25"/>
        <tr r="U21" s="11"/>
      </tp>
      <tp t="e">
        <v>#N/A</v>
        <stp/>
        <stp>BDH|3102921904494367257</stp>
        <tr r="P61" s="21"/>
        <tr r="N25" s="2"/>
      </tp>
      <tp t="e">
        <v>#N/A</v>
        <stp/>
        <stp>BDH|4040661186201774764</stp>
        <tr r="E53" s="12"/>
      </tp>
      <tp t="e">
        <v>#N/A</v>
        <stp/>
        <stp>BDH|8155021824694655203</stp>
        <tr r="C20" s="24"/>
      </tp>
      <tp t="e">
        <v>#N/A</v>
        <stp/>
        <stp>BDH|5022562400128022474</stp>
        <tr r="I171" s="18"/>
      </tp>
      <tp t="e">
        <v>#N/A</v>
        <stp/>
        <stp>BDH|9358162475320817392</stp>
        <tr r="C90" s="12"/>
      </tp>
      <tp t="e">
        <v>#N/A</v>
        <stp/>
        <stp>BDH|7611329579548985753</stp>
        <tr r="P7" s="29"/>
        <tr r="P29" s="29"/>
      </tp>
      <tp t="e">
        <v>#N/A</v>
        <stp/>
        <stp>BDH|6686266380624967488</stp>
        <tr r="F10" s="8"/>
        <tr r="D50" s="6"/>
      </tp>
      <tp t="e">
        <v>#N/A</v>
        <stp/>
        <stp>BDH|3820982731130455542</stp>
        <tr r="F30" s="24"/>
      </tp>
      <tp t="e">
        <v>#N/A</v>
        <stp/>
        <stp>BDH|8965973595090314492</stp>
        <tr r="T44" s="24"/>
      </tp>
      <tp t="e">
        <v>#N/A</v>
        <stp/>
        <stp>BDH|9148244663873073279</stp>
        <tr r="G12" s="11"/>
      </tp>
      <tp t="e">
        <v>#N/A</v>
        <stp/>
        <stp>BDH|1293876240627247665</stp>
        <tr r="H131" s="18"/>
      </tp>
      <tp t="e">
        <v>#N/A</v>
        <stp/>
        <stp>BDH|7847047814958947206</stp>
        <tr r="U6" s="15"/>
        <tr r="U6" s="10"/>
        <tr r="U12" s="2"/>
        <tr r="U11" s="4"/>
      </tp>
      <tp t="e">
        <v>#N/A</v>
        <stp/>
        <stp>BDH|3687382557079031082</stp>
        <tr r="I129" s="18"/>
      </tp>
      <tp t="e">
        <v>#N/A</v>
        <stp/>
        <stp>BDH|9195443469030413790</stp>
        <tr r="AA153" s="18"/>
      </tp>
      <tp t="e">
        <v>#N/A</v>
        <stp/>
        <stp>BDH|1043670327891761861</stp>
        <tr r="O59" s="34"/>
      </tp>
      <tp t="e">
        <v>#N/A</v>
        <stp/>
        <stp>BDH|6311642593983774626</stp>
        <tr r="R57" s="12"/>
      </tp>
      <tp t="e">
        <v>#N/A</v>
        <stp/>
        <stp>BDH|8137025933414596340</stp>
        <tr r="G97" s="18"/>
      </tp>
      <tp t="e">
        <v>#N/A</v>
        <stp/>
        <stp>BDH|8984780244565350272</stp>
        <tr r="L7" s="23"/>
      </tp>
      <tp t="e">
        <v>#N/A</v>
        <stp/>
        <stp>BDH|2543800132895048062</stp>
        <tr r="H64" s="17"/>
      </tp>
      <tp t="e">
        <v>#N/A</v>
        <stp/>
        <stp>BDH|5186822454955709119</stp>
        <tr r="W41" s="34"/>
      </tp>
      <tp t="e">
        <v>#N/A</v>
        <stp/>
        <stp>BDH|1338108804639047564</stp>
        <tr r="L24" s="29"/>
      </tp>
      <tp t="e">
        <v>#N/A</v>
        <stp/>
        <stp>BDH|6345340192080483001</stp>
        <tr r="T42" s="11"/>
        <tr r="T50" s="10"/>
        <tr r="T14" s="7"/>
        <tr r="V9" s="3"/>
      </tp>
      <tp t="e">
        <v>#N/A</v>
        <stp/>
        <stp>BDH|3881611866936840969</stp>
        <tr r="D156" s="18"/>
      </tp>
      <tp t="e">
        <v>#N/A</v>
        <stp/>
        <stp>BDH|5618113302898177051</stp>
        <tr r="I29" s="6"/>
      </tp>
      <tp t="e">
        <v>#N/A</v>
        <stp/>
        <stp>BDH|3873973444751898326</stp>
        <tr r="J8" s="28"/>
      </tp>
      <tp t="e">
        <v>#N/A</v>
        <stp/>
        <stp>BDH|1231499990131360191</stp>
        <tr r="D49" s="34"/>
      </tp>
      <tp t="e">
        <v>#N/A</v>
        <stp/>
        <stp>BDH|2780874000505120304</stp>
        <tr r="U125" s="18"/>
      </tp>
      <tp t="e">
        <v>#N/A</v>
        <stp/>
        <stp>BDH|8848540278821479714</stp>
        <tr r="O21" s="9"/>
        <tr r="O21" s="5"/>
      </tp>
      <tp t="e">
        <v>#N/A</v>
        <stp/>
        <stp>BDH|5072431290737566306</stp>
        <tr r="M12" s="18"/>
      </tp>
      <tp t="e">
        <v>#N/A</v>
        <stp/>
        <stp>BDH|1131970750713100215</stp>
        <tr r="Z24" s="17"/>
      </tp>
      <tp t="e">
        <v>#N/A</v>
        <stp/>
        <stp>BDH|2357424945477535977</stp>
        <tr r="P48" s="13"/>
      </tp>
      <tp t="e">
        <v>#N/A</v>
        <stp/>
        <stp>BDH|5405770085330915692</stp>
        <tr r="P43" s="17"/>
        <tr r="P9" s="25"/>
      </tp>
      <tp t="e">
        <v>#N/A</v>
        <stp/>
        <stp>BDH|2458970255355763770</stp>
        <tr r="E34" s="22"/>
      </tp>
      <tp t="e">
        <v>#N/A</v>
        <stp/>
        <stp>BDH|1429882498475223906</stp>
        <tr r="V26" s="24"/>
      </tp>
      <tp t="e">
        <v>#N/A</v>
        <stp/>
        <stp>BDH|3126522663228311450</stp>
        <tr r="T6" s="16"/>
        <tr r="U6" s="11"/>
        <tr r="W6" s="3"/>
        <tr r="U10" s="4"/>
      </tp>
      <tp t="e">
        <v>#N/A</v>
        <stp/>
        <stp>BDH|1192607987574486740</stp>
        <tr r="S26" s="29"/>
      </tp>
      <tp t="e">
        <v>#N/A</v>
        <stp/>
        <stp>BDH|5816621489915424219</stp>
        <tr r="V18" s="21"/>
        <tr r="T23" s="2"/>
        <tr r="V23" s="3"/>
      </tp>
      <tp t="e">
        <v>#N/A</v>
        <stp/>
        <stp>BDH|8805728164974104193</stp>
        <tr r="C134" s="18"/>
      </tp>
      <tp t="e">
        <v>#N/A</v>
        <stp/>
        <stp>BDH|9534520666793433535</stp>
        <tr r="M43" s="18"/>
      </tp>
      <tp t="e">
        <v>#N/A</v>
        <stp/>
        <stp>BDH|2526108057632583811</stp>
        <tr r="N22" s="4"/>
      </tp>
      <tp t="e">
        <v>#N/A</v>
        <stp/>
        <stp>BDH|7227642517649641517</stp>
        <tr r="C64" s="11"/>
        <tr r="C72" s="10"/>
      </tp>
      <tp t="e">
        <v>#N/A</v>
        <stp/>
        <stp>BDH|2733871137580435551</stp>
        <tr r="F127" s="18"/>
      </tp>
      <tp t="e">
        <v>#N/A</v>
        <stp/>
        <stp>BDH|1475867175690007213</stp>
        <tr r="S54" s="6"/>
      </tp>
      <tp t="e">
        <v>#N/A</v>
        <stp/>
        <stp>BDH|9938766216754664791</stp>
        <tr r="K13" s="21"/>
      </tp>
      <tp t="e">
        <v>#N/A</v>
        <stp/>
        <stp>BDH|6437428090912750573</stp>
        <tr r="Q172" s="18"/>
      </tp>
      <tp t="e">
        <v>#N/A</v>
        <stp/>
        <stp>BDH|5104762987324759213</stp>
        <tr r="F167" s="18"/>
      </tp>
      <tp t="e">
        <v>#N/A</v>
        <stp/>
        <stp>BDH|2304122177850890884</stp>
        <tr r="W139" s="18"/>
      </tp>
      <tp t="e">
        <v>#N/A</v>
        <stp/>
        <stp>BDH|6778753995153056717</stp>
        <tr r="E16" s="11"/>
      </tp>
      <tp t="e">
        <v>#N/A</v>
        <stp/>
        <stp>BDH|7056162793107462477</stp>
        <tr r="V20" s="11"/>
      </tp>
      <tp t="e">
        <v>#N/A</v>
        <stp/>
        <stp>BDH|2334902854602531043</stp>
        <tr r="G53" s="17"/>
        <tr r="G10" s="25"/>
      </tp>
      <tp t="e">
        <v>#N/A</v>
        <stp/>
        <stp>BDH|3675367369398827276</stp>
        <tr r="E61" s="21"/>
        <tr r="C25" s="2"/>
      </tp>
      <tp t="e">
        <v>#N/A</v>
        <stp/>
        <stp>BDH|8478231323907292301</stp>
        <tr r="X9" s="20"/>
        <tr r="X111" s="18"/>
      </tp>
      <tp t="e">
        <v>#N/A</v>
        <stp/>
        <stp>BDH|6348443797797441022</stp>
        <tr r="P14" s="17"/>
        <tr r="P17" s="28"/>
      </tp>
      <tp t="e">
        <v>#N/A</v>
        <stp/>
        <stp>BDH|7204448221928414556</stp>
        <tr r="T109" s="12"/>
      </tp>
      <tp t="e">
        <v>#N/A</v>
        <stp/>
        <stp>BDH|5066653760398214111</stp>
        <tr r="U33" s="12"/>
      </tp>
      <tp t="e">
        <v>#N/A</v>
        <stp/>
        <stp>BDH|2038790595748807822</stp>
        <tr r="H27" s="11"/>
        <tr r="H35" s="10"/>
        <tr r="H39" s="11"/>
        <tr r="H47" s="10"/>
      </tp>
      <tp t="e">
        <v>#N/A</v>
        <stp/>
        <stp>BDH|8170078935852462517</stp>
        <tr r="H13" s="26"/>
      </tp>
      <tp t="e">
        <v>#N/A</v>
        <stp/>
        <stp>BDH|7924531876939256089</stp>
        <tr r="T23" s="20"/>
      </tp>
      <tp t="e">
        <v>#N/A</v>
        <stp/>
        <stp>BDH|2916294526836270822</stp>
        <tr r="V42" s="12"/>
      </tp>
      <tp t="e">
        <v>#N/A</v>
        <stp/>
        <stp>BDH|1871759826651996949</stp>
        <tr r="Q26" s="29"/>
      </tp>
      <tp t="e">
        <v>#N/A</v>
        <stp/>
        <stp>BDH|3073424060004386970</stp>
        <tr r="I18" s="30"/>
      </tp>
      <tp t="e">
        <v>#N/A</v>
        <stp/>
        <stp>BDH|4175620221958772432</stp>
        <tr r="R50" s="12"/>
      </tp>
      <tp t="e">
        <v>#N/A</v>
        <stp/>
        <stp>BDH|9822692227357419649</stp>
        <tr r="I15" s="12"/>
      </tp>
      <tp t="e">
        <v>#N/A</v>
        <stp/>
        <stp>BDH|2679372823867779831</stp>
        <tr r="P10" s="10"/>
      </tp>
      <tp t="e">
        <v>#N/A</v>
        <stp/>
        <stp>BDH|5311842473997757154</stp>
        <tr r="Z127" s="18"/>
      </tp>
      <tp t="e">
        <v>#N/A</v>
        <stp/>
        <stp>BDH|8217043149093809318</stp>
        <tr r="O134" s="18"/>
      </tp>
      <tp t="e">
        <v>#N/A</v>
        <stp/>
        <stp>BDH|7577777085192529649</stp>
        <tr r="Y57" s="17"/>
      </tp>
      <tp t="e">
        <v>#N/A</v>
        <stp/>
        <stp>BDH|4518603550468485374</stp>
        <tr r="S42" s="13"/>
      </tp>
      <tp t="e">
        <v>#N/A</v>
        <stp/>
        <stp>BDH|5359065142068994583</stp>
        <tr r="Q55" s="13"/>
        <tr r="O56" s="10"/>
        <tr r="O48" s="11"/>
        <tr r="O18" s="7"/>
      </tp>
      <tp t="e">
        <v>#N/A</v>
        <stp/>
        <stp>BDH|6297550767031768815</stp>
        <tr r="H10" s="11"/>
      </tp>
      <tp t="e">
        <v>#N/A</v>
        <stp/>
        <stp>BDH|2429548057657049915</stp>
        <tr r="M20" s="12"/>
      </tp>
      <tp t="e">
        <v>#N/A</v>
        <stp/>
        <stp>BDH|3016254133729792776</stp>
        <tr r="T15" s="23"/>
        <tr r="R58" s="11"/>
      </tp>
      <tp t="e">
        <v>#N/A</v>
        <stp/>
        <stp>BDH|9196776333345201411</stp>
        <tr r="U75" s="17"/>
      </tp>
      <tp t="e">
        <v>#N/A</v>
        <stp/>
        <stp>BDH|5742041953238496423</stp>
        <tr r="K52" s="12"/>
      </tp>
      <tp t="e">
        <v>#N/A</v>
        <stp/>
        <stp>BDH|6130291238879600206</stp>
        <tr r="R8" s="6"/>
      </tp>
      <tp t="e">
        <v>#N/A</v>
        <stp/>
        <stp>BDH|4286814604346677674</stp>
        <tr r="AA56" s="24"/>
      </tp>
      <tp t="e">
        <v>#N/A</v>
        <stp/>
        <stp>BDH|4194641980652574465</stp>
        <tr r="D72" s="17"/>
      </tp>
      <tp t="e">
        <v>#N/A</v>
        <stp/>
        <stp>BDH|1473907373597427459</stp>
        <tr r="J9" s="20"/>
        <tr r="J111" s="18"/>
      </tp>
      <tp t="e">
        <v>#N/A</v>
        <stp/>
        <stp>BDH|8272498809954738426</stp>
        <tr r="C69" s="24"/>
      </tp>
      <tp t="e">
        <v>#N/A</v>
        <stp/>
        <stp>BDH|4437631742822108839</stp>
        <tr r="P11" s="17"/>
      </tp>
      <tp t="e">
        <v>#N/A</v>
        <stp/>
        <stp>BDH|3654723855289360450</stp>
        <tr r="D11" s="11"/>
      </tp>
      <tp t="e">
        <v>#N/A</v>
        <stp/>
        <stp>BDH|1830262809046429941</stp>
        <tr r="H61" s="34"/>
      </tp>
      <tp t="e">
        <v>#N/A</v>
        <stp/>
        <stp>BDH|3335063672559545153</stp>
        <tr r="N48" s="21"/>
      </tp>
      <tp t="e">
        <v>#N/A</v>
        <stp/>
        <stp>BDH|4032198002550891942</stp>
        <tr r="T14" s="34"/>
      </tp>
      <tp t="e">
        <v>#N/A</v>
        <stp/>
        <stp>BDH|1048832877706620456</stp>
        <tr r="L38" s="6"/>
        <tr r="L18" s="5"/>
      </tp>
      <tp t="e">
        <v>#N/A</v>
        <stp/>
        <stp>BDH|4578286181111901325</stp>
        <tr r="K148" s="18"/>
      </tp>
      <tp t="e">
        <v>#N/A</v>
        <stp/>
        <stp>BDH|5143571401875609968</stp>
        <tr r="O10" s="34"/>
      </tp>
      <tp t="e">
        <v>#N/A</v>
        <stp/>
        <stp>BDH|7029945647790542610</stp>
        <tr r="Q66" s="24"/>
      </tp>
      <tp t="e">
        <v>#N/A</v>
        <stp/>
        <stp>BDH|7890064378855253934</stp>
        <tr r="N110" s="12"/>
      </tp>
      <tp t="e">
        <v>#N/A</v>
        <stp/>
        <stp>BDH|2712141434019917596</stp>
        <tr r="J46" s="6"/>
      </tp>
      <tp t="e">
        <v>#N/A</v>
        <stp/>
        <stp>BDH|9180700718625895660</stp>
        <tr r="X15" s="22"/>
      </tp>
      <tp t="e">
        <v>#N/A</v>
        <stp/>
        <stp>BDH|4369173712780038816</stp>
        <tr r="Q70" s="10"/>
        <tr r="Q62" s="11"/>
      </tp>
      <tp t="e">
        <v>#N/A</v>
        <stp/>
        <stp>BDH|6910593814678211612</stp>
        <tr r="P20" s="22"/>
      </tp>
      <tp t="e">
        <v>#N/A</v>
        <stp/>
        <stp>BDH|6372172046499254673</stp>
        <tr r="V166" s="18"/>
      </tp>
      <tp t="e">
        <v>#N/A</v>
        <stp/>
        <stp>BDH|7735454383573134477</stp>
        <tr r="D126" s="18"/>
      </tp>
      <tp t="e">
        <v>#N/A</v>
        <stp/>
        <stp>BDH|3942181703697403915</stp>
        <tr r="P47" s="13"/>
      </tp>
      <tp t="e">
        <v>#N/A</v>
        <stp/>
        <stp>BDH|7512876239160829042</stp>
        <tr r="L54" s="18"/>
      </tp>
      <tp t="e">
        <v>#N/A</v>
        <stp/>
        <stp>BDH|9001706412743298071</stp>
        <tr r="F42" s="13"/>
      </tp>
      <tp t="e">
        <v>#N/A</v>
        <stp/>
        <stp>BDH|2468960965158361939</stp>
        <tr r="M28" s="4"/>
      </tp>
      <tp t="e">
        <v>#N/A</v>
        <stp/>
        <stp>BDH|5167611361909552033</stp>
        <tr r="R21" s="22"/>
      </tp>
      <tp t="e">
        <v>#N/A</v>
        <stp/>
        <stp>BDH|1065174582774355018</stp>
        <tr r="K64" s="21"/>
        <tr r="I23" s="7"/>
      </tp>
      <tp t="e">
        <v>#N/A</v>
        <stp/>
        <stp>BDH|7332890437892953236</stp>
        <tr r="M62" s="13"/>
        <tr r="K49" s="11"/>
        <tr r="K57" s="10"/>
        <tr r="K19" s="7"/>
        <tr r="K18" s="4"/>
        <tr r="K20" s="2"/>
      </tp>
      <tp t="e">
        <v>#N/A</v>
        <stp/>
        <stp>BDH|7221720942910170844</stp>
        <tr r="O60" s="11"/>
      </tp>
      <tp t="e">
        <v>#N/A</v>
        <stp/>
        <stp>BDH|8065754930492797254</stp>
        <tr r="U36" s="34"/>
      </tp>
      <tp t="e">
        <v>#N/A</v>
        <stp/>
        <stp>BDH|1778268230449612501</stp>
        <tr r="E8" s="24"/>
      </tp>
      <tp t="e">
        <v>#N/A</v>
        <stp/>
        <stp>BDH|2660055451382230978</stp>
        <tr r="V41" s="18"/>
      </tp>
      <tp t="e">
        <v>#N/A</v>
        <stp/>
        <stp>BDH|1587320952719266202</stp>
        <tr r="Q20" s="17"/>
      </tp>
      <tp t="e">
        <v>#N/A</v>
        <stp/>
        <stp>BDH|5633813426685328659</stp>
        <tr r="M162" s="18"/>
      </tp>
      <tp t="e">
        <v>#N/A</v>
        <stp/>
        <stp>BDH|4251618048559814346</stp>
        <tr r="Z16" s="14"/>
      </tp>
      <tp t="e">
        <v>#N/A</v>
        <stp/>
        <stp>BDH|1341708189430543282</stp>
        <tr r="W52" s="13"/>
        <tr r="U55" s="10"/>
        <tr r="U47" s="11"/>
        <tr r="U17" s="7"/>
        <tr r="W10" s="3"/>
        <tr r="U17" s="4"/>
      </tp>
      <tp t="e">
        <v>#N/A</v>
        <stp/>
        <stp>BDH|7923317341269912547</stp>
        <tr r="I16" s="34"/>
      </tp>
      <tp t="e">
        <v>#N/A</v>
        <stp/>
        <stp>BDH|8524844074089148203</stp>
        <tr r="N29" s="13"/>
        <tr r="L32" s="10"/>
        <tr r="L24" s="11"/>
        <tr r="L45" s="4"/>
      </tp>
      <tp t="e">
        <v>#N/A</v>
        <stp/>
        <stp>BDH|2680221015148185541</stp>
        <tr r="K36" s="4"/>
      </tp>
      <tp t="e">
        <v>#N/A</v>
        <stp/>
        <stp>BDH|6881178046337851857</stp>
        <tr r="F39" s="12"/>
      </tp>
      <tp t="e">
        <v>#N/A</v>
        <stp/>
        <stp>BDH|1339487349319215447</stp>
        <tr r="H104" s="18"/>
      </tp>
      <tp t="e">
        <v>#N/A</v>
        <stp/>
        <stp>BDH|9498717581009792376</stp>
        <tr r="Q22" s="20"/>
      </tp>
      <tp t="e">
        <v>#N/A</v>
        <stp/>
        <stp>BDH|9411633839261215181</stp>
        <tr r="Y47" s="22"/>
      </tp>
      <tp t="e">
        <v>#N/A</v>
        <stp/>
        <stp>BDH|2099804130856159353</stp>
        <tr r="R135" s="18"/>
      </tp>
      <tp t="e">
        <v>#N/A</v>
        <stp/>
        <stp>BDH|6630967145133216437</stp>
        <tr r="R13" s="24"/>
      </tp>
      <tp t="e">
        <v>#N/A</v>
        <stp/>
        <stp>BDH|4076152124908275378</stp>
        <tr r="U101" s="12"/>
      </tp>
      <tp t="e">
        <v>#N/A</v>
        <stp/>
        <stp>BDH|1302783848227045976</stp>
        <tr r="AA31" s="17"/>
      </tp>
      <tp t="e">
        <v>#N/A</v>
        <stp/>
        <stp>BDH|8576849894205290036</stp>
        <tr r="AA12" s="18"/>
      </tp>
      <tp t="e">
        <v>#N/A</v>
        <stp/>
        <stp>BDH|1887253648313798862</stp>
        <tr r="H78" s="24"/>
      </tp>
      <tp t="e">
        <v>#N/A</v>
        <stp/>
        <stp>BDH|8010233223032078646</stp>
        <tr r="W66" s="10"/>
      </tp>
      <tp t="e">
        <v>#N/A</v>
        <stp/>
        <stp>BDH|8134414352352272741</stp>
        <tr r="F93" s="17"/>
        <tr r="F13" s="28"/>
      </tp>
      <tp t="e">
        <v>#N/A</v>
        <stp/>
        <stp>BDH|6539235684834481424</stp>
        <tr r="W83" s="12"/>
      </tp>
      <tp t="e">
        <v>#N/A</v>
        <stp/>
        <stp>BDH|4708555287747419256</stp>
        <tr r="P93" s="18"/>
      </tp>
      <tp t="e">
        <v>#N/A</v>
        <stp/>
        <stp>BDH|3303073631799303521</stp>
        <tr r="N88" s="17"/>
      </tp>
      <tp t="e">
        <v>#N/A</v>
        <stp/>
        <stp>BDH|8704506192708804097</stp>
        <tr r="AA9" s="24"/>
      </tp>
      <tp t="e">
        <v>#N/A</v>
        <stp/>
        <stp>BDH|8169207593908038763</stp>
        <tr r="J49" s="34"/>
      </tp>
      <tp t="e">
        <v>#N/A</v>
        <stp/>
        <stp>BDH|1374648546028446713</stp>
        <tr r="U18" s="22"/>
      </tp>
      <tp t="e">
        <v>#N/A</v>
        <stp/>
        <stp>BDH|6451982319932423054</stp>
        <tr r="D105" s="18"/>
      </tp>
      <tp t="e">
        <v>#N/A</v>
        <stp/>
        <stp>BDH|3493237311598379417</stp>
        <tr r="M13" s="14"/>
      </tp>
      <tp t="e">
        <v>#N/A</v>
        <stp/>
        <stp>BDH|6654226215368535109</stp>
        <tr r="P17" s="20"/>
      </tp>
      <tp t="e">
        <v>#N/A</v>
        <stp/>
        <stp>BDH|5539649195764742273</stp>
        <tr r="Y76" s="12"/>
      </tp>
      <tp t="e">
        <v>#N/A</v>
        <stp/>
        <stp>BDH|3401753384452849299</stp>
        <tr r="D63" s="11"/>
        <tr r="D71" s="10"/>
      </tp>
      <tp t="e">
        <v>#N/A</v>
        <stp/>
        <stp>BDH|8574350534890327437</stp>
        <tr r="U9" s="24"/>
      </tp>
      <tp t="e">
        <v>#N/A</v>
        <stp/>
        <stp>BDH|3322738831393450811</stp>
        <tr r="E54" s="24"/>
      </tp>
      <tp t="e">
        <v>#N/A</v>
        <stp/>
        <stp>BDH|5340253742059130618</stp>
        <tr r="L22" s="17"/>
      </tp>
      <tp t="e">
        <v>#N/A</v>
        <stp/>
        <stp>BDH|3211919751256030565</stp>
        <tr r="G46" s="24"/>
      </tp>
      <tp t="e">
        <v>#N/A</v>
        <stp/>
        <stp>BDH|5284822411005706525</stp>
        <tr r="S29" s="22"/>
      </tp>
      <tp t="e">
        <v>#N/A</v>
        <stp/>
        <stp>BDH|6624278592323164260</stp>
        <tr r="I30" s="21"/>
      </tp>
      <tp t="e">
        <v>#N/A</v>
        <stp/>
        <stp>BDH|3290822404281849683</stp>
        <tr r="X72" s="24"/>
      </tp>
      <tp t="e">
        <v>#N/A</v>
        <stp/>
        <stp>BDH|4716101420749219218</stp>
        <tr r="I62" s="34"/>
      </tp>
      <tp t="e">
        <v>#N/A</v>
        <stp/>
        <stp>BDH|8130339462664729530</stp>
        <tr r="K131" s="18"/>
      </tp>
      <tp t="e">
        <v>#N/A</v>
        <stp/>
        <stp>BDH|2548079019806736997</stp>
        <tr r="T31" s="21"/>
      </tp>
      <tp t="e">
        <v>#N/A</v>
        <stp/>
        <stp>BDH|9671060267584509772</stp>
        <tr r="M66" s="21"/>
      </tp>
      <tp t="e">
        <v>#N/A</v>
        <stp/>
        <stp>BDH|8677302666580232173</stp>
        <tr r="P42" s="4"/>
      </tp>
      <tp t="e">
        <v>#N/A</v>
        <stp/>
        <stp>BDH|1241862423480239702</stp>
        <tr r="Q29" s="18"/>
      </tp>
      <tp t="e">
        <v>#N/A</v>
        <stp/>
        <stp>BDH|3547653376638570665</stp>
        <tr r="R53" s="12"/>
      </tp>
      <tp t="e">
        <v>#N/A</v>
        <stp/>
        <stp>BDH|6179742786066768310</stp>
        <tr r="N106" s="12"/>
      </tp>
      <tp t="e">
        <v>#N/A</v>
        <stp/>
        <stp>BDH|7539326509009249193</stp>
        <tr r="P21" s="24"/>
      </tp>
      <tp t="e">
        <v>#N/A</v>
        <stp/>
        <stp>BDH|8312252654804114768</stp>
        <tr r="O13" s="14"/>
      </tp>
      <tp t="e">
        <v>#N/A</v>
        <stp/>
        <stp>BDH|8379447724951237348</stp>
        <tr r="N82" s="12"/>
      </tp>
      <tp t="e">
        <v>#N/A</v>
        <stp/>
        <stp>BDH|9481299588597722873</stp>
        <tr r="T20" s="11"/>
      </tp>
      <tp t="e">
        <v>#N/A</v>
        <stp/>
        <stp>BDH|9138307395799418657</stp>
        <tr r="V33" s="21"/>
      </tp>
      <tp t="e">
        <v>#N/A</v>
        <stp/>
        <stp>BDH|2695272556579392013</stp>
        <tr r="V64" s="21"/>
        <tr r="T23" s="7"/>
      </tp>
      <tp t="e">
        <v>#N/A</v>
        <stp/>
        <stp>BDH|9026033651058053870</stp>
        <tr r="I6" s="28"/>
      </tp>
      <tp t="e">
        <v>#N/A</v>
        <stp/>
        <stp>BDH|1016833953810449019</stp>
        <tr r="F42" s="4"/>
      </tp>
      <tp t="e">
        <v>#N/A</v>
        <stp/>
        <stp>BDH|1435905402037641355</stp>
        <tr r="K8" s="10"/>
      </tp>
      <tp t="e">
        <v>#N/A</v>
        <stp/>
        <stp>BDH|9026431320296708517</stp>
        <tr r="E22" s="21"/>
      </tp>
      <tp t="e">
        <v>#N/A</v>
        <stp/>
        <stp>BDH|9462002445125541417</stp>
        <tr r="N49" s="17"/>
      </tp>
      <tp t="e">
        <v>#N/A</v>
        <stp/>
        <stp>BDH|9583197419513956699</stp>
        <tr r="J49" s="22"/>
      </tp>
      <tp t="e">
        <v>#N/A</v>
        <stp/>
        <stp>BDH|6680118095455444736</stp>
        <tr r="Y19" s="13"/>
        <tr r="W32" s="4"/>
        <tr r="W61" s="10"/>
        <tr r="W16" s="2"/>
      </tp>
      <tp t="e">
        <v>#N/A</v>
        <stp/>
        <stp>BDH|7908652380116047391</stp>
        <tr r="R18" s="9"/>
      </tp>
      <tp t="e">
        <v>#N/A</v>
        <stp/>
        <stp>BDH|3252623467548793753</stp>
        <tr r="Q19" s="22"/>
      </tp>
      <tp t="e">
        <v>#N/A</v>
        <stp/>
        <stp>BDH|8592944199625409192</stp>
        <tr r="AA16" s="12"/>
      </tp>
      <tp t="e">
        <v>#N/A</v>
        <stp/>
        <stp>BDH|6859079929211027934</stp>
        <tr r="D59" s="17"/>
      </tp>
      <tp t="e">
        <v>#N/A</v>
        <stp/>
        <stp>BDH|6613350958425644989</stp>
        <tr r="R82" s="12"/>
      </tp>
      <tp t="e">
        <v>#N/A</v>
        <stp/>
        <stp>BDH|3909979801767260183</stp>
        <tr r="I61" s="18"/>
      </tp>
      <tp t="e">
        <v>#N/A</v>
        <stp/>
        <stp>BDH|1969974742372938209</stp>
        <tr r="C40" s="21"/>
      </tp>
      <tp t="e">
        <v>#N/A</v>
        <stp/>
        <stp>BDH|1089120202455362961</stp>
        <tr r="D49" s="4"/>
      </tp>
      <tp t="e">
        <v>#N/A</v>
        <stp/>
        <stp>BDH|9593565150606166376</stp>
        <tr r="G60" s="13"/>
      </tp>
      <tp t="e">
        <v>#N/A</v>
        <stp/>
        <stp>BDH|2164175609876272986</stp>
        <tr r="L21" s="3"/>
      </tp>
      <tp t="e">
        <v>#N/A</v>
        <stp/>
        <stp>BDH|3132467945449448639</stp>
        <tr r="C41" s="6"/>
      </tp>
      <tp t="e">
        <v>#N/A</v>
        <stp/>
        <stp>BDH|2417876933951746427</stp>
        <tr r="G8" s="12"/>
      </tp>
      <tp t="e">
        <v>#N/A</v>
        <stp/>
        <stp>BDH|7728028541579045617</stp>
        <tr r="Y25" s="24"/>
      </tp>
      <tp t="e">
        <v>#N/A</v>
        <stp/>
        <stp>BDH|9729633266374664118</stp>
        <tr r="I81" s="12"/>
      </tp>
      <tp t="e">
        <v>#N/A</v>
        <stp/>
        <stp>BDH|3890361836086916946</stp>
        <tr r="F14" s="23"/>
      </tp>
      <tp t="e">
        <v>#N/A</v>
        <stp/>
        <stp>BDH|3433778807681773965</stp>
        <tr r="R15" s="17"/>
        <tr r="R18" s="28"/>
      </tp>
      <tp t="e">
        <v>#N/A</v>
        <stp/>
        <stp>BDH|9940739120593656392</stp>
        <tr r="H39" s="22"/>
      </tp>
      <tp t="e">
        <v>#N/A</v>
        <stp/>
        <stp>BDH|3112418471434051846</stp>
        <tr r="F7" s="21"/>
      </tp>
      <tp t="e">
        <v>#N/A</v>
        <stp/>
        <stp>BDH|6704076145128910698</stp>
        <tr r="G13" s="7"/>
      </tp>
      <tp t="e">
        <v>#N/A</v>
        <stp/>
        <stp>BDH|8796343072646219663</stp>
        <tr r="R29" s="29"/>
        <tr r="R7" s="29"/>
      </tp>
      <tp t="e">
        <v>#N/A</v>
        <stp/>
        <stp>BDH|91359409261340383</stp>
        <tr r="C39" s="11"/>
        <tr r="C35" s="10"/>
        <tr r="C27" s="11"/>
        <tr r="C47" s="10"/>
      </tp>
      <tp t="e">
        <v>#N/A</v>
        <stp/>
        <stp>BDH|33919090176079750</stp>
        <tr r="E31" s="22"/>
      </tp>
      <tp t="e">
        <v>#N/A</v>
        <stp/>
        <stp>BDH|91185268352480409</stp>
        <tr r="V7" s="30"/>
      </tp>
      <tp t="e">
        <v>#N/A</v>
        <stp/>
        <stp>BDH|77426586448703561</stp>
        <tr r="G11" s="24"/>
      </tp>
      <tp t="e">
        <v>#N/A</v>
        <stp/>
        <stp>BDH|11771382259059778</stp>
        <tr r="J50" s="18"/>
      </tp>
      <tp t="e">
        <v>#N/A</v>
        <stp/>
        <stp>BDH|87532917363139670</stp>
        <tr r="V59" s="34"/>
      </tp>
      <tp t="e">
        <v>#N/A</v>
        <stp/>
        <stp>BDH|49073398238325002</stp>
        <tr r="V63" s="24"/>
      </tp>
      <tp t="e">
        <v>#N/A</v>
        <stp/>
        <stp>BDH|60700876608853960</stp>
        <tr r="H15" s="10"/>
      </tp>
      <tp t="e">
        <v>#N/A</v>
        <stp/>
        <stp>BDH|12349708527635528</stp>
        <tr r="W101" s="18"/>
      </tp>
      <tp t="e">
        <v>#N/A</v>
        <stp/>
        <stp>BDH|31482577444776614</stp>
        <tr r="S103" s="12"/>
      </tp>
      <tp t="e">
        <v>#N/A</v>
        <stp/>
        <stp>BDH|2937792789283548366</stp>
        <tr r="R15" s="4"/>
      </tp>
      <tp t="e">
        <v>#N/A</v>
        <stp/>
        <stp>BDH|8435684324546063725</stp>
        <tr r="C29" s="13"/>
      </tp>
      <tp t="e">
        <v>#N/A</v>
        <stp/>
        <stp>BDH|1681061397621498497</stp>
        <tr r="P11" s="12"/>
      </tp>
      <tp t="e">
        <v>#N/A</v>
        <stp/>
        <stp>BDH|9281508971102070497</stp>
        <tr r="J63" s="12"/>
      </tp>
      <tp t="e">
        <v>#N/A</v>
        <stp/>
        <stp>BDH|3275116000766859912</stp>
        <tr r="Y25" s="25"/>
        <tr r="Y10" s="27"/>
      </tp>
      <tp t="e">
        <v>#N/A</v>
        <stp/>
        <stp>BDH|1509758359249586762</stp>
        <tr r="H22" s="22"/>
      </tp>
      <tp t="e">
        <v>#N/A</v>
        <stp/>
        <stp>BDH|8873466934024562657</stp>
        <tr r="U13" s="8"/>
      </tp>
      <tp t="e">
        <v>#N/A</v>
        <stp/>
        <stp>BDH|6170427775039841146</stp>
        <tr r="D63" s="12"/>
      </tp>
      <tp t="e">
        <v>#N/A</v>
        <stp/>
        <stp>BDH|4226990045816114259</stp>
        <tr r="S26" s="18"/>
      </tp>
      <tp t="e">
        <v>#N/A</v>
        <stp/>
        <stp>BDH|8491183973655692630</stp>
        <tr r="T10" s="34"/>
      </tp>
      <tp t="e">
        <v>#N/A</v>
        <stp/>
        <stp>BDH|3348280490720366520</stp>
        <tr r="G55" s="24"/>
      </tp>
      <tp t="e">
        <v>#N/A</v>
        <stp/>
        <stp>BDH|5392789845193335875</stp>
        <tr r="I10" s="11"/>
      </tp>
      <tp t="e">
        <v>#N/A</v>
        <stp/>
        <stp>BDH|3333195524468058541</stp>
        <tr r="J93" s="17"/>
        <tr r="J13" s="28"/>
      </tp>
      <tp t="e">
        <v>#N/A</v>
        <stp/>
        <stp>BDH|5033469099246287379</stp>
        <tr r="I44" s="17"/>
      </tp>
      <tp t="e">
        <v>#N/A</v>
        <stp/>
        <stp>BDH|8577732670920451580</stp>
        <tr r="J30" s="6"/>
      </tp>
      <tp t="e">
        <v>#N/A</v>
        <stp/>
        <stp>BDH|2913731344839095549</stp>
        <tr r="N16" s="20"/>
      </tp>
      <tp t="e">
        <v>#N/A</v>
        <stp/>
        <stp>BDH|2032737077969776692</stp>
        <tr r="G41" s="6"/>
      </tp>
      <tp t="e">
        <v>#N/A</v>
        <stp/>
        <stp>BDH|3071476431439962058</stp>
        <tr r="V9" s="20"/>
        <tr r="V111" s="18"/>
      </tp>
      <tp t="e">
        <v>#N/A</v>
        <stp/>
        <stp>BDH|7542688434059377600</stp>
        <tr r="X49" s="34"/>
      </tp>
      <tp t="e">
        <v>#N/A</v>
        <stp/>
        <stp>BDH|1945428750324425956</stp>
        <tr r="L58" s="18"/>
      </tp>
      <tp t="e">
        <v>#N/A</v>
        <stp/>
        <stp>BDH|5360870267013886515</stp>
        <tr r="P75" s="24"/>
      </tp>
      <tp t="e">
        <v>#N/A</v>
        <stp/>
        <stp>BDH|4825775499231962658</stp>
        <tr r="AA70" s="12"/>
      </tp>
      <tp t="e">
        <v>#N/A</v>
        <stp/>
        <stp>BDH|5113820510181890012</stp>
        <tr r="C21" s="21"/>
      </tp>
      <tp t="e">
        <v>#N/A</v>
        <stp/>
        <stp>BDH|2086732592129229892</stp>
        <tr r="T12" s="7"/>
      </tp>
      <tp t="e">
        <v>#N/A</v>
        <stp/>
        <stp>BDH|8446400464203882424</stp>
        <tr r="F175" s="18"/>
      </tp>
      <tp t="e">
        <v>#N/A</v>
        <stp/>
        <stp>BDH|9110954218805766916</stp>
        <tr r="Q63" s="17"/>
      </tp>
      <tp t="e">
        <v>#N/A</v>
        <stp/>
        <stp>BDH|9563485043796219268</stp>
        <tr r="Z14" s="23"/>
      </tp>
      <tp t="e">
        <v>#N/A</v>
        <stp/>
        <stp>BDH|7889972747275460263</stp>
        <tr r="I25" s="17"/>
      </tp>
      <tp t="e">
        <v>#N/A</v>
        <stp/>
        <stp>BDH|9059590733921443344</stp>
        <tr r="Y63" s="24"/>
      </tp>
      <tp t="e">
        <v>#N/A</v>
        <stp/>
        <stp>BDH|3693986928567416287</stp>
        <tr r="W8" s="8"/>
      </tp>
      <tp t="e">
        <v>#N/A</v>
        <stp/>
        <stp>BDH|6523937730920444187</stp>
        <tr r="E78" s="24"/>
      </tp>
      <tp t="e">
        <v>#N/A</v>
        <stp/>
        <stp>BDH|2014928029116977281</stp>
        <tr r="I45" s="21"/>
      </tp>
      <tp t="e">
        <v>#N/A</v>
        <stp/>
        <stp>BDH|2675556021909149192</stp>
        <tr r="V11" s="14"/>
      </tp>
      <tp t="e">
        <v>#N/A</v>
        <stp/>
        <stp>BDH|6281887333008283806</stp>
        <tr r="Q78" s="12"/>
      </tp>
      <tp t="e">
        <v>#N/A</v>
        <stp/>
        <stp>BDH|2131200053431950903</stp>
        <tr r="G104" s="12"/>
      </tp>
      <tp t="e">
        <v>#N/A</v>
        <stp/>
        <stp>BDH|8530187757554819591</stp>
        <tr r="J147" s="18"/>
      </tp>
      <tp t="e">
        <v>#N/A</v>
        <stp/>
        <stp>BDH|4194253298595683717</stp>
        <tr r="C17" s="17"/>
        <tr r="C20" s="28"/>
      </tp>
      <tp t="e">
        <v>#N/A</v>
        <stp/>
        <stp>BDH|5567824570132934553</stp>
        <tr r="Y9" s="26"/>
      </tp>
      <tp t="e">
        <v>#N/A</v>
        <stp/>
        <stp>BDH|8672197803664713004</stp>
        <tr r="H34" s="34"/>
      </tp>
      <tp t="e">
        <v>#N/A</v>
        <stp/>
        <stp>BDH|4619751447723914965</stp>
        <tr r="T69" s="18"/>
      </tp>
      <tp t="e">
        <v>#N/A</v>
        <stp/>
        <stp>BDH|5142848772886414187</stp>
        <tr r="O67" s="18"/>
      </tp>
      <tp t="e">
        <v>#N/A</v>
        <stp/>
        <stp>BDH|7135599727814065941</stp>
        <tr r="U19" s="11"/>
      </tp>
      <tp t="e">
        <v>#N/A</v>
        <stp/>
        <stp>BDH|5492391697663825199</stp>
        <tr r="AA22" s="22"/>
      </tp>
      <tp t="e">
        <v>#N/A</v>
        <stp/>
        <stp>BDH|6061866498459670336</stp>
        <tr r="O62" s="13"/>
        <tr r="M57" s="10"/>
        <tr r="M19" s="7"/>
        <tr r="M49" s="11"/>
        <tr r="M18" s="4"/>
        <tr r="M20" s="2"/>
      </tp>
      <tp t="e">
        <v>#N/A</v>
        <stp/>
        <stp>BDH|5775592085982899781</stp>
        <tr r="K35" s="13"/>
        <tr r="I31" s="10"/>
      </tp>
      <tp t="e">
        <v>#N/A</v>
        <stp/>
        <stp>BDH|3386884574130499103</stp>
        <tr r="R142" s="18"/>
      </tp>
      <tp t="e">
        <v>#N/A</v>
        <stp/>
        <stp>BDH|3422639868868076643</stp>
        <tr r="T17" s="14"/>
      </tp>
      <tp t="e">
        <v>#N/A</v>
        <stp/>
        <stp>BDH|7780494280033620538</stp>
        <tr r="F86" s="18"/>
      </tp>
      <tp t="e">
        <v>#N/A</v>
        <stp/>
        <stp>BDH|4310481669819879219</stp>
        <tr r="U13" s="24"/>
      </tp>
      <tp t="e">
        <v>#N/A</v>
        <stp/>
        <stp>BDH|2645088593435731312</stp>
        <tr r="H9" s="27"/>
      </tp>
      <tp t="e">
        <v>#N/A</v>
        <stp/>
        <stp>BDH|8083476718688721833</stp>
        <tr r="M18" s="22"/>
      </tp>
      <tp t="e">
        <v>#N/A</v>
        <stp/>
        <stp>BDH|2563402116668133299</stp>
        <tr r="AA67" s="18"/>
      </tp>
      <tp t="e">
        <v>#N/A</v>
        <stp/>
        <stp>BDH|8751431054920934426</stp>
        <tr r="O96" s="12"/>
      </tp>
      <tp t="e">
        <v>#N/A</v>
        <stp/>
        <stp>BDH|5760634106927049997</stp>
        <tr r="L63" s="11"/>
        <tr r="L71" s="10"/>
      </tp>
      <tp t="e">
        <v>#N/A</v>
        <stp/>
        <stp>BDH|9896672734301906093</stp>
        <tr r="O94" s="17"/>
      </tp>
      <tp t="e">
        <v>#N/A</v>
        <stp/>
        <stp>BDH|4906184492290956118</stp>
        <tr r="T42" s="21"/>
      </tp>
      <tp t="e">
        <v>#N/A</v>
        <stp/>
        <stp>BDH|7459274705639457198</stp>
        <tr r="M27" s="26"/>
      </tp>
      <tp t="e">
        <v>#N/A</v>
        <stp/>
        <stp>BDH|8589314108086255054</stp>
        <tr r="G23" s="18"/>
      </tp>
      <tp t="e">
        <v>#N/A</v>
        <stp/>
        <stp>BDH|6964617575052594834</stp>
        <tr r="T30" s="11"/>
        <tr r="T38" s="10"/>
      </tp>
      <tp t="e">
        <v>#N/A</v>
        <stp/>
        <stp>BDH|8711073202106996304</stp>
        <tr r="C37" s="26"/>
      </tp>
      <tp t="e">
        <v>#N/A</v>
        <stp/>
        <stp>BDH|5085486904488113465</stp>
        <tr r="S58" s="24"/>
      </tp>
      <tp t="e">
        <v>#N/A</v>
        <stp/>
        <stp>BDH|9885154116947288323</stp>
        <tr r="Q14" s="28"/>
      </tp>
      <tp t="e">
        <v>#N/A</v>
        <stp/>
        <stp>BDH|6027083489493969002</stp>
        <tr r="R16" s="20"/>
      </tp>
      <tp t="e">
        <v>#N/A</v>
        <stp/>
        <stp>BDH|4753308468895545920</stp>
        <tr r="E78" s="18"/>
      </tp>
      <tp t="e">
        <v>#N/A</v>
        <stp/>
        <stp>BDH|7309585285071378652</stp>
        <tr r="J48" s="22"/>
      </tp>
      <tp t="e">
        <v>#N/A</v>
        <stp/>
        <stp>BDH|4091779597441835607</stp>
        <tr r="Q36" s="18"/>
      </tp>
      <tp t="e">
        <v>#N/A</v>
        <stp/>
        <stp>BDH|9756290163335433515</stp>
        <tr r="Y107" s="12"/>
      </tp>
      <tp t="e">
        <v>#N/A</v>
        <stp/>
        <stp>BDH|6904841834417637776</stp>
        <tr r="F76" s="12"/>
      </tp>
      <tp t="e">
        <v>#N/A</v>
        <stp/>
        <stp>BDH|9745454955333920662</stp>
        <tr r="F22" s="20"/>
      </tp>
      <tp t="e">
        <v>#N/A</v>
        <stp/>
        <stp>BDH|3261911668943448279</stp>
        <tr r="F6" s="15"/>
        <tr r="F6" s="10"/>
        <tr r="F12" s="2"/>
        <tr r="F11" s="4"/>
      </tp>
      <tp t="e">
        <v>#N/A</v>
        <stp/>
        <stp>BDH|1046820070253378093</stp>
        <tr r="U53" s="6"/>
      </tp>
      <tp t="e">
        <v>#N/A</v>
        <stp/>
        <stp>BDH|8090779768297165366</stp>
        <tr r="R13" s="22"/>
      </tp>
      <tp t="e">
        <v>#N/A</v>
        <stp/>
        <stp>BDH|8996618507626466534</stp>
        <tr r="R98" s="18"/>
      </tp>
      <tp t="e">
        <v>#N/A</v>
        <stp/>
        <stp>BDH|5510880333137345450</stp>
        <tr r="W65" s="24"/>
      </tp>
      <tp t="e">
        <v>#N/A</v>
        <stp/>
        <stp>BDH|6374876671106937247</stp>
        <tr r="AA118" s="18"/>
      </tp>
      <tp t="e">
        <v>#N/A</v>
        <stp/>
        <stp>BDH|1624709998081599336</stp>
        <tr r="D8" s="14"/>
      </tp>
      <tp t="e">
        <v>#N/A</v>
        <stp/>
        <stp>BDH|1303851564795340796</stp>
        <tr r="R107" s="18"/>
      </tp>
      <tp t="e">
        <v>#N/A</v>
        <stp/>
        <stp>BDH|1245547980105674481</stp>
        <tr r="N14" s="34"/>
      </tp>
      <tp t="e">
        <v>#N/A</v>
        <stp/>
        <stp>BDH|6794853687538582380</stp>
        <tr r="F19" s="12"/>
      </tp>
      <tp t="e">
        <v>#N/A</v>
        <stp/>
        <stp>BDH|5239163326809362299</stp>
        <tr r="AA13" s="22"/>
      </tp>
      <tp t="e">
        <v>#N/A</v>
        <stp/>
        <stp>BDH|6014899264731301469</stp>
        <tr r="P20" s="18"/>
      </tp>
      <tp t="e">
        <v>#N/A</v>
        <stp/>
        <stp>BDH|5681854509469397917</stp>
        <tr r="L169" s="18"/>
      </tp>
      <tp t="e">
        <v>#N/A</v>
        <stp/>
        <stp>BDH|3739534848966697921</stp>
        <tr r="E76" s="18"/>
      </tp>
      <tp t="e">
        <v>#N/A</v>
        <stp/>
        <stp>BDH|2781734996924952536</stp>
        <tr r="X40" s="22"/>
      </tp>
      <tp t="e">
        <v>#N/A</v>
        <stp/>
        <stp>BDH|4452503996891389490</stp>
        <tr r="S16" s="6"/>
      </tp>
      <tp t="e">
        <v>#N/A</v>
        <stp/>
        <stp>BDH|9129760959797062165</stp>
        <tr r="Q32" s="22"/>
      </tp>
      <tp t="e">
        <v>#N/A</v>
        <stp/>
        <stp>BDH|9375352357250176289</stp>
        <tr r="M10" s="11"/>
      </tp>
      <tp t="e">
        <v>#N/A</v>
        <stp/>
        <stp>BDH|3006028175111854875</stp>
        <tr r="C60" s="24"/>
      </tp>
      <tp t="e">
        <v>#N/A</v>
        <stp/>
        <stp>BDH|5368817927856937443</stp>
        <tr r="R54" s="24"/>
      </tp>
      <tp t="e">
        <v>#N/A</v>
        <stp/>
        <stp>BDH|3947254844428684065</stp>
        <tr r="J9" s="24"/>
      </tp>
      <tp t="e">
        <v>#N/A</v>
        <stp/>
        <stp>BDH|1856371184026145128</stp>
        <tr r="F157" s="18"/>
      </tp>
      <tp t="e">
        <v>#N/A</v>
        <stp/>
        <stp>BDH|6800379677858712778</stp>
        <tr r="C19" s="13"/>
      </tp>
      <tp t="e">
        <v>#N/A</v>
        <stp/>
        <stp>BDH|1452581785997150600</stp>
        <tr r="P52" s="13"/>
        <tr r="N47" s="11"/>
        <tr r="N17" s="7"/>
        <tr r="N55" s="10"/>
        <tr r="P10" s="3"/>
        <tr r="N17" s="4"/>
      </tp>
      <tp t="e">
        <v>#N/A</v>
        <stp/>
        <stp>BDH|6436877448977729047</stp>
        <tr r="F12" s="30"/>
      </tp>
      <tp t="e">
        <v>#N/A</v>
        <stp/>
        <stp>BDH|7207883210511142239</stp>
        <tr r="C93" s="17"/>
        <tr r="C13" s="28"/>
      </tp>
      <tp t="e">
        <v>#N/A</v>
        <stp/>
        <stp>BDH|5021833493321910818</stp>
        <tr r="O88" s="18"/>
      </tp>
      <tp t="e">
        <v>#N/A</v>
        <stp/>
        <stp>BDH|5632408164668316296</stp>
        <tr r="F50" s="4"/>
      </tp>
      <tp t="e">
        <v>#N/A</v>
        <stp/>
        <stp>BDH|3187175257023154984</stp>
        <tr r="G30" s="22"/>
      </tp>
      <tp t="e">
        <v>#N/A</v>
        <stp/>
        <stp>BDH|9087080401034603074</stp>
        <tr r="J60" s="24"/>
      </tp>
      <tp t="e">
        <v>#N/A</v>
        <stp/>
        <stp>BDH|2098883558960066289</stp>
        <tr r="O32" s="24"/>
      </tp>
      <tp t="e">
        <v>#N/A</v>
        <stp/>
        <stp>BDH|2991063896757311120</stp>
        <tr r="O17" s="9"/>
      </tp>
      <tp t="e">
        <v>#N/A</v>
        <stp/>
        <stp>BDH|9333223834525811058</stp>
        <tr r="T146" s="18"/>
      </tp>
      <tp t="e">
        <v>#N/A</v>
        <stp/>
        <stp>BDH|6467297710359645139</stp>
        <tr r="AA152" s="18"/>
      </tp>
      <tp t="e">
        <v>#N/A</v>
        <stp/>
        <stp>BDH|4871609620619370431</stp>
        <tr r="Q13" s="9"/>
      </tp>
      <tp t="e">
        <v>#N/A</v>
        <stp/>
        <stp>BDH|5851805192328754158</stp>
        <tr r="M64" s="34"/>
      </tp>
      <tp t="e">
        <v>#N/A</v>
        <stp/>
        <stp>BDH|4015405038839141716</stp>
        <tr r="L31" s="21"/>
      </tp>
      <tp t="e">
        <v>#N/A</v>
        <stp/>
        <stp>BDH|2039584735839123043</stp>
        <tr r="S9" s="21"/>
      </tp>
      <tp t="e">
        <v>#N/A</v>
        <stp/>
        <stp>BDH|2800711489065054595</stp>
        <tr r="J41" s="10"/>
        <tr r="J33" s="11"/>
      </tp>
      <tp t="e">
        <v>#N/A</v>
        <stp/>
        <stp>BDH|4507597835589131610</stp>
        <tr r="F8" s="29"/>
        <tr r="F30" s="29"/>
      </tp>
      <tp t="e">
        <v>#N/A</v>
        <stp/>
        <stp>BDH|1256593680333474263</stp>
        <tr r="F15" s="29"/>
        <tr r="F35" s="29"/>
      </tp>
      <tp t="e">
        <v>#N/A</v>
        <stp/>
        <stp>BDH|4575330915082279980</stp>
        <tr r="X56" s="34"/>
      </tp>
      <tp t="e">
        <v>#N/A</v>
        <stp/>
        <stp>BDH|8858314733204541167</stp>
        <tr r="D94" s="18"/>
      </tp>
      <tp t="e">
        <v>#N/A</v>
        <stp/>
        <stp>BDH|9603420254034824111</stp>
        <tr r="E161" s="18"/>
      </tp>
      <tp t="e">
        <v>#N/A</v>
        <stp/>
        <stp>BDH|5304843248250254447</stp>
        <tr r="E69" s="24"/>
      </tp>
      <tp t="e">
        <v>#N/A</v>
        <stp/>
        <stp>BDH|2268770520203453982</stp>
        <tr r="U25" s="24"/>
      </tp>
      <tp t="e">
        <v>#N/A</v>
        <stp/>
        <stp>BDH|9578427362482995458</stp>
        <tr r="F20" s="22"/>
      </tp>
      <tp t="e">
        <v>#N/A</v>
        <stp/>
        <stp>BDH|2241088786404397364</stp>
        <tr r="L64" s="10"/>
        <tr r="L25" s="4"/>
      </tp>
      <tp t="e">
        <v>#N/A</v>
        <stp/>
        <stp>BDH|8031971760719643385</stp>
        <tr r="R172" s="18"/>
      </tp>
      <tp t="e">
        <v>#N/A</v>
        <stp/>
        <stp>BDH|9318098812823716664</stp>
        <tr r="S17" s="27"/>
        <tr r="S31" s="25"/>
        <tr r="P14" s="5"/>
      </tp>
      <tp t="e">
        <v>#N/A</v>
        <stp/>
        <stp>BDH|6581549711299834614</stp>
        <tr r="Q42" s="11"/>
        <tr r="Q50" s="10"/>
        <tr r="Q14" s="7"/>
        <tr r="S9" s="3"/>
      </tp>
      <tp t="e">
        <v>#N/A</v>
        <stp/>
        <stp>BDH|9873405911095908496</stp>
        <tr r="O9" s="27"/>
      </tp>
      <tp t="e">
        <v>#N/A</v>
        <stp/>
        <stp>BDH|8754956926666964844</stp>
        <tr r="C47" s="18"/>
      </tp>
      <tp t="e">
        <v>#N/A</v>
        <stp/>
        <stp>BDH|7869283099478236925</stp>
        <tr r="P14" s="30"/>
      </tp>
      <tp t="e">
        <v>#N/A</v>
        <stp/>
        <stp>BDH|5164743686614296383</stp>
        <tr r="G21" s="21"/>
      </tp>
      <tp t="e">
        <v>#N/A</v>
        <stp/>
        <stp>BDH|2683805347410192399</stp>
        <tr r="E11" s="12"/>
      </tp>
      <tp t="e">
        <v>#N/A</v>
        <stp/>
        <stp>BDH|4104822252393910719</stp>
        <tr r="C53" s="13"/>
      </tp>
      <tp t="e">
        <v>#N/A</v>
        <stp/>
        <stp>BDH|4889748348832550884</stp>
        <tr r="S24" s="23"/>
        <tr r="S21" s="30"/>
      </tp>
      <tp t="e">
        <v>#N/A</v>
        <stp/>
        <stp>BDH|1587388944282086902</stp>
        <tr r="P25" s="34"/>
      </tp>
      <tp t="e">
        <v>#N/A</v>
        <stp/>
        <stp>BDH|8893222061616331715</stp>
        <tr r="X7" s="10"/>
      </tp>
      <tp t="e">
        <v>#N/A</v>
        <stp/>
        <stp>BDH|2486197327019127527</stp>
        <tr r="D25" s="17"/>
      </tp>
      <tp t="e">
        <v>#N/A</v>
        <stp/>
        <stp>BDH|9392159115374289081</stp>
        <tr r="L60" s="24"/>
      </tp>
      <tp t="e">
        <v>#N/A</v>
        <stp/>
        <stp>BDH|9457641248382896494</stp>
        <tr r="N92" s="17"/>
        <tr r="N7" s="27"/>
      </tp>
      <tp t="e">
        <v>#N/A</v>
        <stp/>
        <stp>BDH|3334655284865853536</stp>
        <tr r="H20" s="23"/>
      </tp>
      <tp t="e">
        <v>#N/A</v>
        <stp/>
        <stp>BDH|4438153162296889826</stp>
        <tr r="Q39" s="10"/>
        <tr r="Q31" s="11"/>
      </tp>
      <tp t="e">
        <v>#N/A</v>
        <stp/>
        <stp>BDH|9086006840636974603</stp>
        <tr r="Q38" s="18"/>
      </tp>
      <tp t="e">
        <v>#N/A</v>
        <stp/>
        <stp>BDH|6121517145019886342</stp>
        <tr r="K45" s="18"/>
      </tp>
      <tp t="e">
        <v>#N/A</v>
        <stp/>
        <stp>BDH|3775678142705224994</stp>
        <tr r="F78" s="17"/>
      </tp>
      <tp t="e">
        <v>#N/A</v>
        <stp/>
        <stp>BDH|4925498717544086896</stp>
        <tr r="Q12" s="7"/>
      </tp>
      <tp t="e">
        <v>#N/A</v>
        <stp/>
        <stp>BDH|5986260085821517310</stp>
        <tr r="Q36" s="6"/>
      </tp>
      <tp t="e">
        <v>#N/A</v>
        <stp/>
        <stp>BDH|1342053958480638961</stp>
        <tr r="O66" s="10"/>
      </tp>
      <tp t="e">
        <v>#N/A</v>
        <stp/>
        <stp>BDH|8813871360388063314</stp>
        <tr r="Z58" s="13"/>
      </tp>
      <tp t="e">
        <v>#N/A</v>
        <stp/>
        <stp>BDH|1356593298558961855</stp>
        <tr r="M12" s="14"/>
      </tp>
      <tp t="e">
        <v>#N/A</v>
        <stp/>
        <stp>BDH|8032931096132366786</stp>
        <tr r="F69" s="18"/>
      </tp>
      <tp t="e">
        <v>#N/A</v>
        <stp/>
        <stp>BDH|2343324274229283299</stp>
        <tr r="I95" s="12"/>
      </tp>
      <tp t="e">
        <v>#N/A</v>
        <stp/>
        <stp>BDH|5065339500402982940</stp>
        <tr r="L76" s="24"/>
      </tp>
      <tp t="e">
        <v>#N/A</v>
        <stp/>
        <stp>BDH|1906660582481575360</stp>
        <tr r="W14" s="17"/>
        <tr r="W17" s="28"/>
      </tp>
      <tp t="e">
        <v>#N/A</v>
        <stp/>
        <stp>BDH|5862638685306872088</stp>
        <tr r="R11" s="6"/>
      </tp>
      <tp t="e">
        <v>#N/A</v>
        <stp/>
        <stp>BDH|9935646277345164052</stp>
        <tr r="F32" s="26"/>
      </tp>
      <tp t="e">
        <v>#N/A</v>
        <stp/>
        <stp>BDH|5222040335282555987</stp>
        <tr r="W59" s="24"/>
      </tp>
      <tp t="e">
        <v>#N/A</v>
        <stp/>
        <stp>BDH|4272108993554903568</stp>
        <tr r="I8" s="11"/>
      </tp>
      <tp t="e">
        <v>#N/A</v>
        <stp/>
        <stp>BDH|1711304811188048682</stp>
        <tr r="M13" s="23"/>
        <tr r="K57" s="11"/>
        <tr r="K38" s="4"/>
      </tp>
      <tp t="e">
        <v>#N/A</v>
        <stp/>
        <stp>BDH|1968117791426014276</stp>
        <tr r="V45" s="22"/>
      </tp>
      <tp t="e">
        <v>#N/A</v>
        <stp/>
        <stp>BDH|4858743015449646614</stp>
        <tr r="Z28" s="17"/>
      </tp>
      <tp t="e">
        <v>#N/A</v>
        <stp/>
        <stp>BDH|5186166830128029298</stp>
        <tr r="G20" s="25"/>
      </tp>
      <tp t="e">
        <v>#N/A</v>
        <stp/>
        <stp>BDH|9270277261743319393</stp>
        <tr r="Y85" s="12"/>
      </tp>
      <tp t="e">
        <v>#N/A</v>
        <stp/>
        <stp>BDH|9331029436821156683</stp>
        <tr r="J57" s="17"/>
      </tp>
      <tp t="e">
        <v>#N/A</v>
        <stp/>
        <stp>BDH|7174889565840010420</stp>
        <tr r="L31" s="18"/>
      </tp>
      <tp t="e">
        <v>#N/A</v>
        <stp/>
        <stp>BDH|9242398316132421476</stp>
        <tr r="S40" s="6"/>
      </tp>
      <tp t="e">
        <v>#N/A</v>
        <stp/>
        <stp>BDH|9898936084802891797</stp>
        <tr r="V67" s="12"/>
      </tp>
      <tp t="e">
        <v>#N/A</v>
        <stp/>
        <stp>BDH|9168079477626745584</stp>
        <tr r="E24" s="34"/>
      </tp>
      <tp t="e">
        <v>#N/A</v>
        <stp/>
        <stp>BDH|7178369340698046594</stp>
        <tr r="D141" s="18"/>
      </tp>
      <tp t="e">
        <v>#N/A</v>
        <stp/>
        <stp>BDH|8559321936523602699</stp>
        <tr r="R49" s="21"/>
      </tp>
      <tp t="e">
        <v>#N/A</v>
        <stp/>
        <stp>BDH|7156323046804264990</stp>
        <tr r="P33" s="13"/>
        <tr r="N29" s="10"/>
      </tp>
      <tp t="e">
        <v>#N/A</v>
        <stp/>
        <stp>BDH|8682126612692852705</stp>
        <tr r="D18" s="22"/>
      </tp>
      <tp t="e">
        <v>#N/A</v>
        <stp/>
        <stp>BDH|6612711909864867886</stp>
        <tr r="F39" s="18"/>
      </tp>
      <tp t="e">
        <v>#N/A</v>
        <stp/>
        <stp>BDH|8228568225495648791</stp>
        <tr r="E38" s="22"/>
      </tp>
      <tp t="e">
        <v>#N/A</v>
        <stp/>
        <stp>BDH|8232250571890178096</stp>
        <tr r="R62" s="12"/>
      </tp>
      <tp t="e">
        <v>#N/A</v>
        <stp/>
        <stp>BDH|3017633949645389976</stp>
        <tr r="D55" s="11"/>
      </tp>
      <tp t="e">
        <v>#N/A</v>
        <stp/>
        <stp>BDH|8994566615694304573</stp>
        <tr r="Z39" s="17"/>
      </tp>
      <tp t="e">
        <v>#N/A</v>
        <stp/>
        <stp>BDH|1987623192356650510</stp>
        <tr r="W31" s="13"/>
        <tr r="U27" s="10"/>
      </tp>
      <tp t="e">
        <v>#N/A</v>
        <stp/>
        <stp>BDH|7719041898847749421</stp>
        <tr r="C22" s="18"/>
      </tp>
      <tp t="e">
        <v>#N/A</v>
        <stp/>
        <stp>BDH|8882320306992346418</stp>
        <tr r="N151" s="18"/>
      </tp>
      <tp t="e">
        <v>#N/A</v>
        <stp/>
        <stp>BDH|4385733049958499236</stp>
        <tr r="P12" s="17"/>
      </tp>
      <tp t="e">
        <v>#N/A</v>
        <stp/>
        <stp>BDH|2608799424189401314</stp>
        <tr r="V64" s="17"/>
      </tp>
      <tp t="e">
        <v>#N/A</v>
        <stp/>
        <stp>BDH|8573548053620404585</stp>
        <tr r="H8" s="34"/>
      </tp>
      <tp t="e">
        <v>#N/A</v>
        <stp/>
        <stp>BDH|5456346105019396286</stp>
        <tr r="R64" s="11"/>
        <tr r="R72" s="10"/>
      </tp>
      <tp t="e">
        <v>#N/A</v>
        <stp/>
        <stp>BDH|1896379286040349748</stp>
        <tr r="Q37" s="22"/>
      </tp>
      <tp t="e">
        <v>#N/A</v>
        <stp/>
        <stp>BDH|9110489847010113415</stp>
        <tr r="V14" s="13"/>
      </tp>
      <tp t="e">
        <v>#N/A</v>
        <stp/>
        <stp>BDH|2507611770019981736</stp>
        <tr r="U19" s="6"/>
      </tp>
      <tp t="e">
        <v>#N/A</v>
        <stp/>
        <stp>BDH|7643512599036019008</stp>
        <tr r="T157" s="18"/>
      </tp>
      <tp t="e">
        <v>#N/A</v>
        <stp/>
        <stp>BDH|1446937768166752569</stp>
        <tr r="M11" s="18"/>
      </tp>
      <tp t="e">
        <v>#N/A</v>
        <stp/>
        <stp>BDH|7735288312468328103</stp>
        <tr r="H12" s="30"/>
      </tp>
      <tp t="e">
        <v>#N/A</v>
        <stp/>
        <stp>BDH|1314484704431699976</stp>
        <tr r="Q19" s="17"/>
      </tp>
      <tp t="e">
        <v>#N/A</v>
        <stp/>
        <stp>BDH|5730688686807336151</stp>
        <tr r="Y30" s="24"/>
      </tp>
      <tp t="e">
        <v>#N/A</v>
        <stp/>
        <stp>BDH|9720653015961089281</stp>
        <tr r="Z28" s="18"/>
      </tp>
      <tp t="e">
        <v>#N/A</v>
        <stp/>
        <stp>BDH|4162119084332386284</stp>
        <tr r="S49" s="17"/>
      </tp>
      <tp t="e">
        <v>#N/A</v>
        <stp/>
        <stp>BDH|7949830654747231030</stp>
        <tr r="L12" s="25"/>
      </tp>
      <tp t="e">
        <v>#N/A</v>
        <stp/>
        <stp>BDH|2596897666060096154</stp>
        <tr r="K72" s="18"/>
      </tp>
      <tp t="e">
        <v>#N/A</v>
        <stp/>
        <stp>BDH|5932793419618577634</stp>
        <tr r="T91" s="17"/>
      </tp>
      <tp t="e">
        <v>#N/A</v>
        <stp/>
        <stp>BDH|6075584691384048361</stp>
        <tr r="J7" s="29"/>
        <tr r="J29" s="29"/>
      </tp>
      <tp t="e">
        <v>#N/A</v>
        <stp/>
        <stp>BDH|4427304027350484889</stp>
        <tr r="R55" s="24"/>
      </tp>
      <tp t="e">
        <v>#N/A</v>
        <stp/>
        <stp>BDH|5207426867509969311</stp>
        <tr r="W39" s="12"/>
      </tp>
      <tp t="e">
        <v>#N/A</v>
        <stp/>
        <stp>BDH|6967560121324377826</stp>
        <tr r="N7" s="20"/>
        <tr r="N109" s="18"/>
      </tp>
      <tp t="e">
        <v>#N/A</v>
        <stp/>
        <stp>BDH|8197534268681565709</stp>
        <tr r="W37" s="12"/>
      </tp>
      <tp t="e">
        <v>#N/A</v>
        <stp/>
        <stp>BDH|1812444725302660807</stp>
        <tr r="P21" s="12"/>
      </tp>
      <tp t="e">
        <v>#N/A</v>
        <stp/>
        <stp>BDH|2783653318028794025</stp>
        <tr r="M21" s="20"/>
      </tp>
      <tp t="e">
        <v>#N/A</v>
        <stp/>
        <stp>BDH|7392723048168554138</stp>
        <tr r="Y70" s="24"/>
      </tp>
      <tp t="e">
        <v>#N/A</v>
        <stp/>
        <stp>BDH|8705491948803177688</stp>
        <tr r="R25" s="3"/>
      </tp>
      <tp t="e">
        <v>#N/A</v>
        <stp/>
        <stp>BDH|8796625058384356213</stp>
        <tr r="T45" s="18"/>
      </tp>
      <tp t="e">
        <v>#N/A</v>
        <stp/>
        <stp>BDH|7978308586284519554</stp>
        <tr r="C36" s="13"/>
      </tp>
      <tp t="e">
        <v>#N/A</v>
        <stp/>
        <stp>BDH|5850668190317472052</stp>
        <tr r="L99" s="12"/>
      </tp>
      <tp t="e">
        <v>#N/A</v>
        <stp/>
        <stp>BDH|7602807528906304623</stp>
        <tr r="M15" s="23"/>
        <tr r="K58" s="11"/>
      </tp>
      <tp t="e">
        <v>#N/A</v>
        <stp/>
        <stp>BDH|3864628406510050832</stp>
        <tr r="D159" s="18"/>
      </tp>
      <tp t="e">
        <v>#N/A</v>
        <stp/>
        <stp>BDH|9808603477106682366</stp>
        <tr r="H17" s="18"/>
      </tp>
      <tp t="e">
        <v>#N/A</v>
        <stp/>
        <stp>BDH|5698497863459567363</stp>
        <tr r="I49" s="13"/>
        <tr r="G37" s="11"/>
        <tr r="G45" s="10"/>
        <tr r="G53" s="4"/>
        <tr r="G18" s="2"/>
      </tp>
      <tp t="e">
        <v>#N/A</v>
        <stp/>
        <stp>BDH|6269561553872185998</stp>
        <tr r="S70" s="12"/>
      </tp>
      <tp t="e">
        <v>#N/A</v>
        <stp/>
        <stp>BDH|6358873679977621342</stp>
        <tr r="O52" s="13"/>
        <tr r="M47" s="11"/>
        <tr r="M55" s="10"/>
        <tr r="M17" s="4"/>
        <tr r="O10" s="3"/>
        <tr r="M17" s="7"/>
      </tp>
      <tp t="e">
        <v>#N/A</v>
        <stp/>
        <stp>BDH|7570369393059706980</stp>
        <tr r="AA163" s="18"/>
      </tp>
      <tp t="e">
        <v>#N/A</v>
        <stp/>
        <stp>BDH|5852647228989944521</stp>
        <tr r="E37" s="26"/>
      </tp>
      <tp t="e">
        <v>#N/A</v>
        <stp/>
        <stp>BDH|2062814080149759698</stp>
        <tr r="R144" s="18"/>
      </tp>
      <tp t="e">
        <v>#N/A</v>
        <stp/>
        <stp>BDH|7381579409577741860</stp>
        <tr r="J58" s="21"/>
        <tr r="J37" s="25"/>
        <tr r="H53" s="11"/>
        <tr r="H31" s="4"/>
      </tp>
      <tp t="e">
        <v>#N/A</v>
        <stp/>
        <stp>BDH|1510810129057772164</stp>
        <tr r="T144" s="18"/>
      </tp>
      <tp t="e">
        <v>#N/A</v>
        <stp/>
        <stp>BDH|4617925480730101891</stp>
        <tr r="F13" s="12"/>
      </tp>
      <tp t="e">
        <v>#N/A</v>
        <stp/>
        <stp>BDH|2597060683056588193</stp>
        <tr r="T62" s="13"/>
        <tr r="R49" s="11"/>
        <tr r="R57" s="10"/>
        <tr r="R19" s="7"/>
        <tr r="R20" s="2"/>
        <tr r="R18" s="4"/>
      </tp>
      <tp t="e">
        <v>#N/A</v>
        <stp/>
        <stp>BDH|5927408290592195744</stp>
        <tr r="N67" s="24"/>
      </tp>
      <tp t="e">
        <v>#N/A</v>
        <stp/>
        <stp>BDH|5012997407591554074</stp>
        <tr r="Q109" s="12"/>
      </tp>
      <tp t="e">
        <v>#N/A</v>
        <stp/>
        <stp>BDH|9765355369886263758</stp>
        <tr r="U17" s="10"/>
      </tp>
      <tp t="e">
        <v>#N/A</v>
        <stp/>
        <stp>BDH|9256428679925144244</stp>
        <tr r="P16" s="21"/>
      </tp>
      <tp t="e">
        <v>#N/A</v>
        <stp/>
        <stp>BDH|9941226703582548417</stp>
        <tr r="Y22" s="4"/>
      </tp>
      <tp t="e">
        <v>#N/A</v>
        <stp/>
        <stp>BDH|9653398221763560678</stp>
        <tr r="F26" s="7"/>
      </tp>
      <tp t="e">
        <v>#N/A</v>
        <stp/>
        <stp>BDH|4106898242365080067</stp>
        <tr r="X20" s="29"/>
      </tp>
      <tp t="e">
        <v>#N/A</v>
        <stp/>
        <stp>BDH|6347986232358322967</stp>
        <tr r="F80" s="18"/>
      </tp>
      <tp t="e">
        <v>#N/A</v>
        <stp/>
        <stp>BDH|7119556318099960795</stp>
        <tr r="S39" s="13"/>
        <tr r="Q35" s="11"/>
        <tr r="Q43" s="10"/>
        <tr r="S8" s="3"/>
        <tr r="Q52" s="4"/>
      </tp>
      <tp t="e">
        <v>#N/A</v>
        <stp/>
        <stp>BDH|1838858374075171648</stp>
        <tr r="T19" s="34"/>
      </tp>
      <tp t="e">
        <v>#N/A</v>
        <stp/>
        <stp>BDH|4511004426068727381</stp>
        <tr r="S8" s="2"/>
      </tp>
      <tp t="e">
        <v>#N/A</v>
        <stp/>
        <stp>BDH|8130507878695561202</stp>
        <tr r="L10" s="18"/>
      </tp>
      <tp t="e">
        <v>#N/A</v>
        <stp/>
        <stp>BDH|7463557170868414091</stp>
        <tr r="G149" s="18"/>
      </tp>
      <tp t="e">
        <v>#N/A</v>
        <stp/>
        <stp>BDH|5502414499747783262</stp>
        <tr r="N9" s="13"/>
      </tp>
      <tp t="e">
        <v>#N/A</v>
        <stp/>
        <stp>BDH|5879839005595479565</stp>
        <tr r="C78" s="12"/>
      </tp>
      <tp t="e">
        <v>#N/A</v>
        <stp/>
        <stp>BDH|7902110425958586149</stp>
        <tr r="L140" s="18"/>
      </tp>
      <tp t="e">
        <v>#N/A</v>
        <stp/>
        <stp>BDH|4284685116047057900</stp>
        <tr r="F29" s="17"/>
      </tp>
      <tp t="e">
        <v>#N/A</v>
        <stp/>
        <stp>BDH|7991695896025371091</stp>
        <tr r="P46" s="18"/>
      </tp>
      <tp t="e">
        <v>#N/A</v>
        <stp/>
        <stp>BDH|4232098176266074812</stp>
        <tr r="H43" s="12"/>
      </tp>
      <tp t="e">
        <v>#N/A</v>
        <stp/>
        <stp>BDH|7194884076647131224</stp>
        <tr r="G17" s="20"/>
      </tp>
      <tp t="e">
        <v>#N/A</v>
        <stp/>
        <stp>BDH|2428001420664802909</stp>
        <tr r="O15" s="4"/>
      </tp>
      <tp t="e">
        <v>#N/A</v>
        <stp/>
        <stp>BDH|9070838106129093599</stp>
        <tr r="L153" s="18"/>
      </tp>
      <tp t="e">
        <v>#N/A</v>
        <stp/>
        <stp>BDH|8896536318750602196</stp>
        <tr r="Z169" s="18"/>
      </tp>
      <tp t="e">
        <v>#N/A</v>
        <stp/>
        <stp>BDH|8647554546897089381</stp>
        <tr r="V56" s="17"/>
      </tp>
      <tp t="e">
        <v>#N/A</v>
        <stp/>
        <stp>BDH|8245560228391323324</stp>
        <tr r="O23" s="25"/>
        <tr r="M21" s="11"/>
      </tp>
      <tp t="e">
        <v>#N/A</v>
        <stp/>
        <stp>BDH|3256382843928362179</stp>
        <tr r="T23" s="25"/>
        <tr r="R21" s="11"/>
      </tp>
      <tp t="e">
        <v>#N/A</v>
        <stp/>
        <stp>BDH|9583281683116490871</stp>
        <tr r="N172" s="18"/>
      </tp>
      <tp t="e">
        <v>#N/A</v>
        <stp/>
        <stp>BDH|2904752392533228216</stp>
        <tr r="R61" s="11"/>
        <tr r="R69" s="10"/>
        <tr r="R20" s="7"/>
      </tp>
      <tp t="e">
        <v>#N/A</v>
        <stp/>
        <stp>BDH|2234345886502544684</stp>
        <tr r="T38" s="18"/>
      </tp>
      <tp t="e">
        <v>#N/A</v>
        <stp/>
        <stp>BDH|8241291721691386448</stp>
        <tr r="P41" s="11"/>
        <tr r="P8" s="7"/>
        <tr r="P49" s="10"/>
        <tr r="R11" s="3"/>
      </tp>
      <tp t="e">
        <v>#N/A</v>
        <stp/>
        <stp>BDH|2550922897156523986</stp>
        <tr r="R134" s="18"/>
      </tp>
      <tp t="e">
        <v>#N/A</v>
        <stp/>
        <stp>BDH|4501098220623458859</stp>
        <tr r="Q80" s="12"/>
      </tp>
      <tp t="e">
        <v>#N/A</v>
        <stp/>
        <stp>BDH|7064266802788817012</stp>
        <tr r="U21" s="27"/>
      </tp>
      <tp t="e">
        <v>#N/A</v>
        <stp/>
        <stp>BDH|5648755675650940827</stp>
        <tr r="O38" s="6"/>
        <tr r="O18" s="5"/>
      </tp>
      <tp t="e">
        <v>#N/A</v>
        <stp/>
        <stp>BDH|6872640897473117775</stp>
        <tr r="G66" s="21"/>
      </tp>
      <tp t="e">
        <v>#N/A</v>
        <stp/>
        <stp>BDH|9900726930245369554</stp>
        <tr r="P97" s="12"/>
      </tp>
      <tp t="e">
        <v>#N/A</v>
        <stp/>
        <stp>BDH|6327371886421941165</stp>
        <tr r="T21" s="9"/>
        <tr r="T21" s="5"/>
      </tp>
      <tp t="e">
        <v>#N/A</v>
        <stp/>
        <stp>BDH|1194585685055929488</stp>
        <tr r="H31" s="17"/>
      </tp>
      <tp t="e">
        <v>#N/A</v>
        <stp/>
        <stp>BDH|5019933048544225143</stp>
        <tr r="S6" s="27"/>
      </tp>
      <tp t="e">
        <v>#N/A</v>
        <stp/>
        <stp>BDH|9867443601281613160</stp>
        <tr r="I83" s="12"/>
      </tp>
      <tp t="e">
        <v>#N/A</v>
        <stp/>
        <stp>BDH|5889242039158054187</stp>
        <tr r="L7" s="17"/>
      </tp>
      <tp t="e">
        <v>#N/A</v>
        <stp/>
        <stp>BDH|1198736123780805940</stp>
        <tr r="Q6" s="28"/>
      </tp>
      <tp t="e">
        <v>#N/A</v>
        <stp/>
        <stp>BDH|4261661104767809858</stp>
        <tr r="Y27" s="7"/>
      </tp>
      <tp t="e">
        <v>#N/A</v>
        <stp/>
        <stp>BDH|8443074970997653587</stp>
        <tr r="S25" s="11"/>
        <tr r="S33" s="10"/>
      </tp>
      <tp t="e">
        <v>#N/A</v>
        <stp/>
        <stp>BDH|6491639244900739991</stp>
        <tr r="R50" s="21"/>
      </tp>
      <tp t="e">
        <v>#N/A</v>
        <stp/>
        <stp>BDH|9403893179468885315</stp>
        <tr r="O76" s="24"/>
      </tp>
      <tp t="e">
        <v>#N/A</v>
        <stp/>
        <stp>BDH|3210870156855926671</stp>
        <tr r="D17" s="23"/>
      </tp>
      <tp t="e">
        <v>#N/A</v>
        <stp/>
        <stp>BDH|4342905234577379499</stp>
        <tr r="S22" s="10"/>
      </tp>
      <tp t="e">
        <v>#N/A</v>
        <stp/>
        <stp>BDH|3495248574708849318</stp>
        <tr r="L15" s="29"/>
        <tr r="L35" s="29"/>
      </tp>
      <tp t="e">
        <v>#N/A</v>
        <stp/>
        <stp>BDH|7906527836255300938</stp>
        <tr r="F15" s="21"/>
      </tp>
      <tp t="e">
        <v>#N/A</v>
        <stp/>
        <stp>BDH|4101317689135792733</stp>
        <tr r="Y10" s="8"/>
        <tr r="W50" s="6"/>
      </tp>
      <tp t="e">
        <v>#N/A</v>
        <stp/>
        <stp>BDH|5412784491120418649</stp>
        <tr r="AA53" s="12"/>
      </tp>
      <tp t="e">
        <v>#N/A</v>
        <stp/>
        <stp>BDH|3699101638075242910</stp>
        <tr r="S39" s="25"/>
        <tr r="S7" s="13"/>
        <tr r="Q18" s="11"/>
        <tr r="S22" s="13"/>
        <tr r="S7" s="3"/>
      </tp>
      <tp t="e">
        <v>#N/A</v>
        <stp/>
        <stp>BDH|8818481460354485394</stp>
        <tr r="Q29" s="24"/>
      </tp>
      <tp t="e">
        <v>#N/A</v>
        <stp/>
        <stp>BDH|1144398803316630902</stp>
        <tr r="C28" s="12"/>
      </tp>
      <tp t="e">
        <v>#N/A</v>
        <stp/>
        <stp>BDH|2241912291898665796</stp>
        <tr r="O11" s="14"/>
      </tp>
      <tp t="e">
        <v>#N/A</v>
        <stp/>
        <stp>BDH|7516091901928512256</stp>
        <tr r="C19" s="25"/>
      </tp>
      <tp t="e">
        <v>#N/A</v>
        <stp/>
        <stp>BDH|5347469190957066273</stp>
        <tr r="D38" s="25"/>
      </tp>
      <tp t="e">
        <v>#N/A</v>
        <stp/>
        <stp>BDH|6972660114909876518</stp>
        <tr r="E45" s="21"/>
      </tp>
      <tp t="e">
        <v>#N/A</v>
        <stp/>
        <stp>BDH|4460600874101018927</stp>
        <tr r="T133" s="18"/>
      </tp>
      <tp t="e">
        <v>#N/A</v>
        <stp/>
        <stp>BDH|4125760697372275507</stp>
        <tr r="V56" s="13"/>
      </tp>
      <tp t="e">
        <v>#N/A</v>
        <stp/>
        <stp>BDH|9445776951242457444</stp>
        <tr r="AA96" s="12"/>
      </tp>
      <tp t="e">
        <v>#N/A</v>
        <stp/>
        <stp>BDH|6073915715746228544</stp>
        <tr r="P28" s="22"/>
      </tp>
      <tp t="e">
        <v>#N/A</v>
        <stp/>
        <stp>BDH|6036868616280392213</stp>
        <tr r="F65" s="21"/>
        <tr r="C28" s="6"/>
      </tp>
      <tp t="e">
        <v>#N/A</v>
        <stp/>
        <stp>BDH|6393103661078799470</stp>
        <tr r="AA159" s="18"/>
      </tp>
      <tp t="e">
        <v>#N/A</v>
        <stp/>
        <stp>BDH|9903620508727201535</stp>
        <tr r="AA10" s="21"/>
      </tp>
      <tp t="e">
        <v>#N/A</v>
        <stp/>
        <stp>BDH|7147959075985123124</stp>
        <tr r="U35" s="22"/>
      </tp>
      <tp t="e">
        <v>#N/A</v>
        <stp/>
        <stp>BDH|7526307791686627603</stp>
        <tr r="F95" s="12"/>
      </tp>
      <tp t="e">
        <v>#N/A</v>
        <stp/>
        <stp>BDH|7907768477492883826</stp>
        <tr r="E8" s="29"/>
        <tr r="E30" s="29"/>
      </tp>
      <tp t="e">
        <v>#N/A</v>
        <stp/>
        <stp>BDH|2801082070511551977</stp>
        <tr r="H32" s="25"/>
        <tr r="H18" s="27"/>
      </tp>
      <tp t="e">
        <v>#N/A</v>
        <stp/>
        <stp>BDH|1079761842309641605</stp>
        <tr r="T30" s="29"/>
        <tr r="T8" s="29"/>
      </tp>
      <tp t="e">
        <v>#N/A</v>
        <stp/>
        <stp>BDH|3406117480762325546</stp>
        <tr r="W111" s="12"/>
      </tp>
      <tp t="e">
        <v>#N/A</v>
        <stp/>
        <stp>BDH|6691154597410361358</stp>
        <tr r="P56" s="12"/>
      </tp>
      <tp t="e">
        <v>#N/A</v>
        <stp/>
        <stp>BDH|2533002493576015042</stp>
        <tr r="G8" s="22"/>
      </tp>
      <tp t="e">
        <v>#N/A</v>
        <stp/>
        <stp>BDH|6271823306384004740</stp>
        <tr r="M56" s="24"/>
      </tp>
      <tp t="e">
        <v>#N/A</v>
        <stp/>
        <stp>BDH|5127843946301115504</stp>
        <tr r="P80" s="18"/>
      </tp>
      <tp t="e">
        <v>#N/A</v>
        <stp/>
        <stp>BDH|2002975574775115405</stp>
        <tr r="M10" s="17"/>
      </tp>
      <tp t="e">
        <v>#N/A</v>
        <stp/>
        <stp>BDH|5402997908547128666</stp>
        <tr r="F31" s="6"/>
      </tp>
      <tp t="e">
        <v>#N/A</v>
        <stp/>
        <stp>BDH|3174023762151244917</stp>
        <tr r="K39" s="10"/>
        <tr r="K31" s="11"/>
      </tp>
      <tp t="e">
        <v>#N/A</v>
        <stp/>
        <stp>BDH|9647535110305024576</stp>
        <tr r="O6" s="27"/>
      </tp>
      <tp t="e">
        <v>#N/A</v>
        <stp/>
        <stp>BDH|2680075403897771874</stp>
        <tr r="C62" s="21"/>
      </tp>
      <tp t="e">
        <v>#N/A</v>
        <stp/>
        <stp>BDH|9949064569830072249</stp>
        <tr r="N11" s="11"/>
      </tp>
      <tp t="e">
        <v>#N/A</v>
        <stp/>
        <stp>BDH|7700025506488704267</stp>
        <tr r="S18" s="6"/>
      </tp>
      <tp t="e">
        <v>#N/A</v>
        <stp/>
        <stp>BDH|9119370059612543085</stp>
        <tr r="T47" s="22"/>
      </tp>
      <tp t="e">
        <v>#N/A</v>
        <stp/>
        <stp>BDH|5334292208973620963</stp>
        <tr r="O143" s="18"/>
      </tp>
      <tp t="e">
        <v>#N/A</v>
        <stp/>
        <stp>BDH|8897213479921430169</stp>
        <tr r="M29" s="9"/>
      </tp>
      <tp t="e">
        <v>#N/A</v>
        <stp/>
        <stp>BDH|3684528816868567257</stp>
        <tr r="H54" s="6"/>
      </tp>
      <tp t="e">
        <v>#N/A</v>
        <stp/>
        <stp>BDH|7938271278647591815</stp>
        <tr r="Y92" s="12"/>
      </tp>
      <tp t="e">
        <v>#N/A</v>
        <stp/>
        <stp>BDH|4229617423239556479</stp>
        <tr r="U24" s="23"/>
        <tr r="U21" s="30"/>
      </tp>
      <tp t="e">
        <v>#N/A</v>
        <stp/>
        <stp>BDH|3299951085968498742</stp>
        <tr r="U14" s="18"/>
      </tp>
      <tp t="e">
        <v>#N/A</v>
        <stp/>
        <stp>BDH|3468046372138985193</stp>
        <tr r="X164" s="18"/>
      </tp>
      <tp t="e">
        <v>#N/A</v>
        <stp/>
        <stp>BDH|3021812386938738620</stp>
        <tr r="F51" s="18"/>
      </tp>
      <tp t="e">
        <v>#N/A</v>
        <stp/>
        <stp>BDH|6747570884915542334</stp>
        <tr r="R7" s="17"/>
      </tp>
      <tp t="e">
        <v>#N/A</v>
        <stp/>
        <stp>BDH|7490143187650745324</stp>
        <tr r="I30" s="11"/>
        <tr r="I38" s="10"/>
      </tp>
      <tp t="e">
        <v>#N/A</v>
        <stp/>
        <stp>BDH|1528435035668786365</stp>
        <tr r="J20" s="34"/>
      </tp>
      <tp t="e">
        <v>#N/A</v>
        <stp/>
        <stp>BDH|1091852253150143151</stp>
        <tr r="N16" s="6"/>
      </tp>
      <tp t="e">
        <v>#N/A</v>
        <stp/>
        <stp>BDH|9763278597619456612</stp>
        <tr r="Q21" s="27"/>
      </tp>
      <tp t="e">
        <v>#N/A</v>
        <stp/>
        <stp>BDH|1992159934757800928</stp>
        <tr r="D38" s="29"/>
        <tr r="D18" s="29"/>
      </tp>
      <tp t="e">
        <v>#N/A</v>
        <stp/>
        <stp>BDH|1384363081603273444</stp>
        <tr r="R132" s="18"/>
      </tp>
      <tp t="e">
        <v>#N/A</v>
        <stp/>
        <stp>BDH|2758349831308011700</stp>
        <tr r="I61" s="17"/>
      </tp>
      <tp t="e">
        <v>#N/A</v>
        <stp/>
        <stp>BDH|6361198788691773371</stp>
        <tr r="R87" s="12"/>
      </tp>
      <tp t="e">
        <v>#N/A</v>
        <stp/>
        <stp>BDH|5555725683016570126</stp>
        <tr r="M10" s="27"/>
        <tr r="M25" s="25"/>
      </tp>
      <tp t="e">
        <v>#N/A</v>
        <stp/>
        <stp>BDH|7643936013381279377</stp>
        <tr r="Q32" s="12"/>
      </tp>
      <tp t="e">
        <v>#N/A</v>
        <stp/>
        <stp>BDH|1745895921053465586</stp>
        <tr r="R16" s="17"/>
        <tr r="R19" s="28"/>
      </tp>
      <tp t="e">
        <v>#N/A</v>
        <stp/>
        <stp>BDH|7033851521560568020</stp>
        <tr r="N20" s="22"/>
      </tp>
      <tp t="e">
        <v>#N/A</v>
        <stp/>
        <stp>BDH|2412559901958714241</stp>
        <tr r="S22" s="5"/>
      </tp>
      <tp t="e">
        <v>#N/A</v>
        <stp/>
        <stp>BDH|3876421678935956888</stp>
        <tr r="U76" s="12"/>
      </tp>
      <tp t="e">
        <v>#N/A</v>
        <stp/>
        <stp>BDH|2828445488474267757</stp>
        <tr r="O97" s="12"/>
      </tp>
      <tp t="e">
        <v>#N/A</v>
        <stp/>
        <stp>BDH|7846745505489945433</stp>
        <tr r="V90" s="17"/>
        <tr r="V34" s="25"/>
      </tp>
      <tp t="e">
        <v>#N/A</v>
        <stp/>
        <stp>BDH|6208134296284249760</stp>
        <tr r="T30" s="6"/>
      </tp>
      <tp t="e">
        <v>#N/A</v>
        <stp/>
        <stp>BDH|2201007092360457674</stp>
        <tr r="P76" s="17"/>
        <tr r="M9" s="9"/>
        <tr r="M9" s="5"/>
      </tp>
      <tp t="e">
        <v>#N/A</v>
        <stp/>
        <stp>BDH|4722867699051870937</stp>
        <tr r="H51" s="18"/>
      </tp>
      <tp t="e">
        <v>#N/A</v>
        <stp/>
        <stp>BDH|6089861664581608479</stp>
        <tr r="V81" s="18"/>
      </tp>
      <tp t="e">
        <v>#N/A</v>
        <stp/>
        <stp>BDH|7261864105030328215</stp>
        <tr r="P27" s="17"/>
      </tp>
      <tp t="e">
        <v>#N/A</v>
        <stp/>
        <stp>BDH|7691176060948372515</stp>
        <tr r="J23" s="26"/>
      </tp>
      <tp t="e">
        <v>#N/A</v>
        <stp/>
        <stp>BDH|4405474721166899998</stp>
        <tr r="P26" s="13"/>
        <tr r="P16" s="13"/>
        <tr r="N18" s="10"/>
      </tp>
      <tp t="e">
        <v>#N/A</v>
        <stp/>
        <stp>BDH|4057600734615049973</stp>
        <tr r="V35" s="4"/>
      </tp>
      <tp t="e">
        <v>#N/A</v>
        <stp/>
        <stp>BDH|4226834510479611944</stp>
        <tr r="AA124" s="18"/>
      </tp>
      <tp t="e">
        <v>#N/A</v>
        <stp/>
        <stp>BDH|3333120730774722851</stp>
        <tr r="S15" s="9"/>
      </tp>
      <tp t="e">
        <v>#N/A</v>
        <stp/>
        <stp>BDH|8940451259663415725</stp>
        <tr r="Q45" s="6"/>
      </tp>
      <tp t="e">
        <v>#N/A</v>
        <stp/>
        <stp>BDH|7250847817623748057</stp>
        <tr r="Q24" s="24"/>
      </tp>
      <tp t="e">
        <v>#N/A</v>
        <stp/>
        <stp>BDH|7574688500848746494</stp>
        <tr r="Q121" s="18"/>
      </tp>
      <tp t="e">
        <v>#N/A</v>
        <stp/>
        <stp>BDH|3677365385535398059</stp>
        <tr r="M31" s="29"/>
        <tr r="M39" s="29"/>
        <tr r="L11" s="5"/>
        <tr r="L52" s="6"/>
        <tr r="M10" s="2"/>
      </tp>
      <tp t="e">
        <v>#N/A</v>
        <stp/>
        <stp>BDH|8316179479917706497</stp>
        <tr r="X17" s="23"/>
      </tp>
      <tp t="e">
        <v>#N/A</v>
        <stp/>
        <stp>BDH|3240725686245012454</stp>
        <tr r="H38" s="22"/>
      </tp>
      <tp t="e">
        <v>#N/A</v>
        <stp/>
        <stp>BDH|2136625587641134065</stp>
        <tr r="R87" s="18"/>
      </tp>
      <tp t="e">
        <v>#N/A</v>
        <stp/>
        <stp>BDH|5865460746710350882</stp>
        <tr r="R75" s="18"/>
      </tp>
      <tp t="e">
        <v>#N/A</v>
        <stp/>
        <stp>BDH|7645809384028839298</stp>
        <tr r="W77" s="24"/>
      </tp>
      <tp t="e">
        <v>#N/A</v>
        <stp/>
        <stp>BDH|7469237295758389927</stp>
        <tr r="L73" s="17"/>
      </tp>
      <tp t="e">
        <v>#N/A</v>
        <stp/>
        <stp>BDH|1038800100137082333</stp>
        <tr r="H20" s="34"/>
      </tp>
      <tp t="e">
        <v>#N/A</v>
        <stp/>
        <stp>BDH|8729621826896103712</stp>
        <tr r="F89" s="17"/>
      </tp>
      <tp t="e">
        <v>#N/A</v>
        <stp/>
        <stp>BDH|6743427170419277148</stp>
        <tr r="S68" s="24"/>
      </tp>
      <tp t="e">
        <v>#N/A</v>
        <stp/>
        <stp>BDH|8939426832837805526</stp>
        <tr r="I90" s="18"/>
      </tp>
      <tp t="e">
        <v>#N/A</v>
        <stp/>
        <stp>BDH|5362562006705287821</stp>
        <tr r="X63" s="11"/>
        <tr r="X71" s="10"/>
      </tp>
      <tp t="e">
        <v>#N/A</v>
        <stp/>
        <stp>BDH|9741860622899208726</stp>
        <tr r="K48" s="34"/>
      </tp>
      <tp t="e">
        <v>#N/A</v>
        <stp/>
        <stp>BDH|2061872463501192062</stp>
        <tr r="C41" s="18"/>
      </tp>
      <tp t="e">
        <v>#N/A</v>
        <stp/>
        <stp>BDH|7189041305309013331</stp>
        <tr r="L8" s="24"/>
      </tp>
      <tp t="e">
        <v>#N/A</v>
        <stp/>
        <stp>BDH|5179715833554197813</stp>
        <tr r="I25" s="27"/>
      </tp>
      <tp t="e">
        <v>#N/A</v>
        <stp/>
        <stp>BDH|8665204056821748343</stp>
        <tr r="Y17" s="17"/>
        <tr r="Y20" s="28"/>
      </tp>
      <tp t="e">
        <v>#N/A</v>
        <stp/>
        <stp>BDH|5456793350513673988</stp>
        <tr r="D85" s="12"/>
      </tp>
      <tp t="e">
        <v>#N/A</v>
        <stp/>
        <stp>BDH|5785116885788644961</stp>
        <tr r="I35" s="24"/>
      </tp>
      <tp t="e">
        <v>#N/A</v>
        <stp/>
        <stp>BDH|5151919115555448521</stp>
        <tr r="F10" s="10"/>
      </tp>
      <tp t="e">
        <v>#N/A</v>
        <stp/>
        <stp>BDH|8648993542271686982</stp>
        <tr r="N17" s="12"/>
      </tp>
      <tp t="e">
        <v>#N/A</v>
        <stp/>
        <stp>BDH|8609965637946770935</stp>
        <tr r="F18" s="26"/>
      </tp>
      <tp t="e">
        <v>#N/A</v>
        <stp/>
        <stp>BDH|5902700898745369320</stp>
        <tr r="G27" s="18"/>
      </tp>
      <tp t="e">
        <v>#N/A</v>
        <stp/>
        <stp>BDH|1418951375173321172</stp>
        <tr r="H53" s="18"/>
      </tp>
      <tp t="e">
        <v>#N/A</v>
        <stp/>
        <stp>BDH|2363736011110644975</stp>
        <tr r="R139" s="18"/>
      </tp>
      <tp t="e">
        <v>#N/A</v>
        <stp/>
        <stp>BDH|8588118474691245222</stp>
        <tr r="N34" s="12"/>
      </tp>
      <tp t="e">
        <v>#N/A</v>
        <stp/>
        <stp>BDH|8113893538748206626</stp>
        <tr r="F29" s="18"/>
      </tp>
      <tp t="e">
        <v>#N/A</v>
        <stp/>
        <stp>BDH|2116987867052664283</stp>
        <tr r="H171" s="18"/>
      </tp>
      <tp t="e">
        <v>#N/A</v>
        <stp/>
        <stp>BDH|6170971230382402326</stp>
        <tr r="E96" s="12"/>
      </tp>
      <tp t="e">
        <v>#N/A</v>
        <stp/>
        <stp>BDH|8886901458051131818</stp>
        <tr r="K83" s="18"/>
      </tp>
      <tp t="e">
        <v>#N/A</v>
        <stp/>
        <stp>BDH|5517910187319328002</stp>
        <tr r="Q9" s="20"/>
        <tr r="Q111" s="18"/>
      </tp>
      <tp t="e">
        <v>#N/A</v>
        <stp/>
        <stp>BDH|3485815093236181972</stp>
        <tr r="S18" s="25"/>
      </tp>
      <tp t="e">
        <v>#N/A</v>
        <stp/>
        <stp>BDH|6607288854725832929</stp>
        <tr r="R37" s="29"/>
        <tr r="R17" s="29"/>
      </tp>
      <tp t="e">
        <v>#N/A</v>
        <stp/>
        <stp>BDH|7154563560639311045</stp>
        <tr r="E7" s="21"/>
      </tp>
      <tp t="e">
        <v>#N/A</v>
        <stp/>
        <stp>BDH|7267374125119941290</stp>
        <tr r="N146" s="18"/>
      </tp>
      <tp t="e">
        <v>#N/A</v>
        <stp/>
        <stp>BDH|4951296591776900483</stp>
        <tr r="R21" s="4"/>
      </tp>
      <tp t="e">
        <v>#N/A</v>
        <stp/>
        <stp>BDH|7701210499694820573</stp>
        <tr r="L74" s="12"/>
      </tp>
      <tp t="e">
        <v>#N/A</v>
        <stp/>
        <stp>BDH|1482719534261878993</stp>
        <tr r="T7" s="24"/>
      </tp>
      <tp t="e">
        <v>#N/A</v>
        <stp/>
        <stp>BDH|1352114184645723013</stp>
        <tr r="M11" s="11"/>
      </tp>
      <tp t="e">
        <v>#N/A</v>
        <stp/>
        <stp>BDH|8381315290548785756</stp>
        <tr r="G65" s="34"/>
      </tp>
      <tp t="e">
        <v>#N/A</v>
        <stp/>
        <stp>BDH|8249433716829392940</stp>
        <tr r="X37" s="18"/>
      </tp>
      <tp t="e">
        <v>#N/A</v>
        <stp/>
        <stp>BDH|8556613041885791221</stp>
        <tr r="M94" s="17"/>
      </tp>
      <tp t="e">
        <v>#N/A</v>
        <stp/>
        <stp>BDH|3024966905216394109</stp>
        <tr r="T107" s="12"/>
      </tp>
      <tp t="e">
        <v>#N/A</v>
        <stp/>
        <stp>BDH|5283578808154927945</stp>
        <tr r="W84" s="12"/>
      </tp>
      <tp t="e">
        <v>#N/A</v>
        <stp/>
        <stp>BDH|3279723830803703975</stp>
        <tr r="D145" s="18"/>
      </tp>
      <tp t="e">
        <v>#N/A</v>
        <stp/>
        <stp>BDH|4149223688305340689</stp>
        <tr r="E31" s="12"/>
      </tp>
      <tp t="e">
        <v>#N/A</v>
        <stp/>
        <stp>BDH|6317262864919201633</stp>
        <tr r="F14" s="21"/>
      </tp>
      <tp t="e">
        <v>#N/A</v>
        <stp/>
        <stp>BDH|8611966438059066689</stp>
        <tr r="D46" s="13"/>
      </tp>
      <tp t="e">
        <v>#N/A</v>
        <stp/>
        <stp>BDH|3984244791440987558</stp>
        <tr r="W96" s="18"/>
      </tp>
      <tp t="e">
        <v>#N/A</v>
        <stp/>
        <stp>BDH|4059771467069297125</stp>
        <tr r="L76" s="17"/>
        <tr r="I9" s="9"/>
        <tr r="I9" s="5"/>
      </tp>
      <tp t="e">
        <v>#N/A</v>
        <stp/>
        <stp>BDH|8436738691792161972</stp>
        <tr r="I14" s="28"/>
      </tp>
      <tp t="e">
        <v>#N/A</v>
        <stp/>
        <stp>BDH|2954393059820850910</stp>
        <tr r="J26" s="26"/>
      </tp>
      <tp t="e">
        <v>#N/A</v>
        <stp/>
        <stp>BDH|1485390508799637637</stp>
        <tr r="P29" s="21"/>
      </tp>
      <tp t="e">
        <v>#N/A</v>
        <stp/>
        <stp>BDH|7776267163849407762</stp>
        <tr r="Q8" s="11"/>
      </tp>
      <tp t="e">
        <v>#N/A</v>
        <stp/>
        <stp>BDH|8777793210364797794</stp>
        <tr r="N40" s="6"/>
      </tp>
      <tp t="e">
        <v>#N/A</v>
        <stp/>
        <stp>BDH|8892627150560230682</stp>
        <tr r="X102" s="18"/>
      </tp>
      <tp t="e">
        <v>#N/A</v>
        <stp/>
        <stp>BDH|5228908342462251721</stp>
        <tr r="S155" s="18"/>
      </tp>
      <tp t="e">
        <v>#N/A</v>
        <stp/>
        <stp>BDH|5268777736538298411</stp>
        <tr r="I36" s="18"/>
      </tp>
      <tp t="e">
        <v>#N/A</v>
        <stp/>
        <stp>BDH|8860904032068243789</stp>
        <tr r="R23" s="22"/>
      </tp>
      <tp t="e">
        <v>#N/A</v>
        <stp/>
        <stp>BDH|9937956669472290977</stp>
        <tr r="Y20" s="10"/>
      </tp>
      <tp t="e">
        <v>#N/A</v>
        <stp/>
        <stp>BDH|2820820843965001694</stp>
        <tr r="C83" s="18"/>
      </tp>
      <tp t="e">
        <v>#N/A</v>
        <stp/>
        <stp>BDH|6614126941938532603</stp>
        <tr r="K13" s="13"/>
      </tp>
      <tp t="e">
        <v>#N/A</v>
        <stp/>
        <stp>BDH|7954571701996974964</stp>
        <tr r="K51" s="22"/>
      </tp>
      <tp t="e">
        <v>#N/A</v>
        <stp/>
        <stp>BDH|2123618427482460936</stp>
        <tr r="R36" s="12"/>
      </tp>
      <tp t="e">
        <v>#N/A</v>
        <stp/>
        <stp>BDH|7798722286140515565</stp>
        <tr r="X14" s="30"/>
      </tp>
      <tp t="e">
        <v>#N/A</v>
        <stp/>
        <stp>BDH|4065360093363726036</stp>
        <tr r="U66" s="17"/>
      </tp>
      <tp t="e">
        <v>#N/A</v>
        <stp/>
        <stp>BDH|7362564862790525936</stp>
        <tr r="E56" s="17"/>
      </tp>
      <tp t="e">
        <v>#N/A</v>
        <stp/>
        <stp>BDH|2722835016357530166</stp>
        <tr r="L25" s="24"/>
      </tp>
      <tp t="e">
        <v>#N/A</v>
        <stp/>
        <stp>BDH|4339806426684077745</stp>
        <tr r="Q27" s="24"/>
      </tp>
      <tp t="e">
        <v>#N/A</v>
        <stp/>
        <stp>BDH|1566975926710419715</stp>
        <tr r="Q32" s="17"/>
      </tp>
      <tp t="e">
        <v>#N/A</v>
        <stp/>
        <stp>BDH|6105956545080955693</stp>
        <tr r="U117" s="18"/>
      </tp>
      <tp t="e">
        <v>#N/A</v>
        <stp/>
        <stp>BDH|6281871737833741346</stp>
        <tr r="Y37" s="26"/>
      </tp>
      <tp t="e">
        <v>#N/A</v>
        <stp/>
        <stp>BDH|6435442169489979011</stp>
        <tr r="O60" s="18"/>
      </tp>
      <tp t="e">
        <v>#N/A</v>
        <stp/>
        <stp>BDH|5844194378798138697</stp>
        <tr r="Q22" s="22"/>
      </tp>
      <tp t="e">
        <v>#N/A</v>
        <stp/>
        <stp>BDH|4720940454720366550</stp>
        <tr r="Y8" s="18"/>
      </tp>
      <tp t="e">
        <v>#N/A</v>
        <stp/>
        <stp>BDH|6629014584787621441</stp>
        <tr r="J25" s="7"/>
      </tp>
      <tp t="e">
        <v>#N/A</v>
        <stp/>
        <stp>BDH|9058400344126401216</stp>
        <tr r="R43" s="22"/>
      </tp>
      <tp t="e">
        <v>#N/A</v>
        <stp/>
        <stp>BDH|7667776794977240368</stp>
        <tr r="V19" s="34"/>
      </tp>
      <tp t="e">
        <v>#N/A</v>
        <stp/>
        <stp>BDH|5527308574534920898</stp>
        <tr r="D131" s="18"/>
      </tp>
      <tp t="e">
        <v>#N/A</v>
        <stp/>
        <stp>BDH|1012772133811285977</stp>
        <tr r="W30" s="11"/>
        <tr r="W38" s="10"/>
      </tp>
      <tp t="e">
        <v>#N/A</v>
        <stp/>
        <stp>BDH|8474663363465633067</stp>
        <tr r="U23" s="24"/>
      </tp>
      <tp t="e">
        <v>#N/A</v>
        <stp/>
        <stp>BDH|9555655366030223455</stp>
        <tr r="V33" s="29"/>
        <tr r="V13" s="29"/>
        <tr r="V22" s="29"/>
      </tp>
      <tp t="e">
        <v>#N/A</v>
        <stp/>
        <stp>BDH|9685282786308994607</stp>
        <tr r="S70" s="24"/>
      </tp>
      <tp t="e">
        <v>#N/A</v>
        <stp/>
        <stp>BDH|8178358053973648005</stp>
        <tr r="L31" s="12"/>
      </tp>
      <tp t="e">
        <v>#N/A</v>
        <stp/>
        <stp>BDH|1905522588990587174</stp>
        <tr r="W39" s="6"/>
      </tp>
      <tp t="e">
        <v>#N/A</v>
        <stp/>
        <stp>BDH|9451859087067685312</stp>
        <tr r="S56" s="34"/>
      </tp>
      <tp t="e">
        <v>#N/A</v>
        <stp/>
        <stp>BDH|9201307106521171643</stp>
        <tr r="F23" s="17"/>
      </tp>
      <tp t="e">
        <v>#N/A</v>
        <stp/>
        <stp>BDH|8448736020031102174</stp>
        <tr r="W66" s="21"/>
      </tp>
      <tp t="e">
        <v>#N/A</v>
        <stp/>
        <stp>BDH|9934789364251153454</stp>
        <tr r="H77" s="12"/>
      </tp>
      <tp t="e">
        <v>#N/A</v>
        <stp/>
        <stp>BDH|5691122843305120873</stp>
        <tr r="AA103" s="12"/>
      </tp>
      <tp t="e">
        <v>#N/A</v>
        <stp/>
        <stp>BDH|5796335252678166664</stp>
        <tr r="R51" s="22"/>
      </tp>
      <tp t="e">
        <v>#N/A</v>
        <stp/>
        <stp>BDH|3834872570203694281</stp>
        <tr r="L16" s="24"/>
      </tp>
      <tp t="e">
        <v>#N/A</v>
        <stp/>
        <stp>BDH|1422418641339101542</stp>
        <tr r="P47" s="34"/>
      </tp>
      <tp t="e">
        <v>#N/A</v>
        <stp/>
        <stp>BDH|5214052605951251914</stp>
        <tr r="I35" s="6"/>
      </tp>
      <tp t="e">
        <v>#N/A</v>
        <stp/>
        <stp>BDH|1286897318911545479</stp>
        <tr r="Z8" s="20"/>
        <tr r="Z110" s="18"/>
      </tp>
      <tp t="e">
        <v>#N/A</v>
        <stp/>
        <stp>BDH|1474433497491490052</stp>
        <tr r="W112" s="12"/>
      </tp>
      <tp t="e">
        <v>#N/A</v>
        <stp/>
        <stp>BDH|8495716009843454198</stp>
        <tr r="E17" s="9"/>
      </tp>
      <tp t="e">
        <v>#N/A</v>
        <stp/>
        <stp>BDH|8493748223852248207</stp>
        <tr r="N26" s="22"/>
      </tp>
      <tp t="e">
        <v>#N/A</v>
        <stp/>
        <stp>BDH|9619548227585642625</stp>
        <tr r="P19" s="23"/>
        <tr r="N59" s="11"/>
      </tp>
      <tp t="e">
        <v>#N/A</v>
        <stp/>
        <stp>BDH|2368742193621169049</stp>
        <tr r="V7" s="5"/>
        <tr r="V7" s="9"/>
        <tr r="Y14" s="3"/>
        <tr r="W7" s="2"/>
      </tp>
      <tp t="e">
        <v>#N/A</v>
        <stp/>
        <stp>BDH|3233938371528819892</stp>
        <tr r="C91" s="17"/>
      </tp>
      <tp t="e">
        <v>#N/A</v>
        <stp/>
        <stp>BDH|8306708932092739377</stp>
        <tr r="V53" s="6"/>
      </tp>
      <tp t="e">
        <v>#N/A</v>
        <stp/>
        <stp>BDH|8110336527973147755</stp>
        <tr r="M26" s="21"/>
      </tp>
      <tp t="e">
        <v>#N/A</v>
        <stp/>
        <stp>BDH|4099851745202747761</stp>
        <tr r="C20" s="18"/>
      </tp>
      <tp t="e">
        <v>#N/A</v>
        <stp/>
        <stp>BDH|9561708440766679121</stp>
        <tr r="Q104" s="18"/>
      </tp>
      <tp t="e">
        <v>#N/A</v>
        <stp/>
        <stp>BDH|8095224602290575746</stp>
        <tr r="D28" s="12"/>
      </tp>
      <tp t="e">
        <v>#N/A</v>
        <stp/>
        <stp>BDH|1103791499442604014</stp>
        <tr r="X24" s="22"/>
      </tp>
      <tp t="e">
        <v>#N/A</v>
        <stp/>
        <stp>BDH|4618431983946887380</stp>
        <tr r="D20" s="27"/>
      </tp>
      <tp t="e">
        <v>#N/A</v>
        <stp/>
        <stp>BDH|8624438172806246037</stp>
        <tr r="G31" s="18"/>
      </tp>
      <tp t="e">
        <v>#N/A</v>
        <stp/>
        <stp>BDH|3489841323667290377</stp>
        <tr r="X106" s="12"/>
      </tp>
      <tp t="e">
        <v>#N/A</v>
        <stp/>
        <stp>BDH|2287928040395300752</stp>
        <tr r="U23" s="6"/>
      </tp>
      <tp t="e">
        <v>#N/A</v>
        <stp/>
        <stp>BDH|2644435805768405327</stp>
        <tr r="M11" s="10"/>
        <tr r="M14" s="2"/>
      </tp>
      <tp t="e">
        <v>#N/A</v>
        <stp/>
        <stp>BDH|3559154123204232971</stp>
        <tr r="J40" s="6"/>
      </tp>
      <tp t="e">
        <v>#N/A</v>
        <stp/>
        <stp>BDH|9607933862733266833</stp>
        <tr r="D32" s="22"/>
      </tp>
      <tp t="e">
        <v>#N/A</v>
        <stp/>
        <stp>BDH|3533524385081008247</stp>
        <tr r="H61" s="13"/>
      </tp>
      <tp t="e">
        <v>#N/A</v>
        <stp/>
        <stp>BDH|4323574247551063956</stp>
        <tr r="L57" s="34"/>
      </tp>
      <tp t="e">
        <v>#N/A</v>
        <stp/>
        <stp>BDH|4188974972284152338</stp>
        <tr r="V28" s="18"/>
      </tp>
      <tp t="e">
        <v>#N/A</v>
        <stp/>
        <stp>BDH|8523976876289146230</stp>
        <tr r="S38" s="18"/>
      </tp>
      <tp t="e">
        <v>#N/A</v>
        <stp/>
        <stp>BDH|6880898739155664585</stp>
        <tr r="O71" s="17"/>
      </tp>
      <tp t="e">
        <v>#N/A</v>
        <stp/>
        <stp>BDH|5027106671739016776</stp>
        <tr r="T74" s="18"/>
      </tp>
      <tp t="e">
        <v>#N/A</v>
        <stp/>
        <stp>BDH|7227834263970397472</stp>
        <tr r="J67" s="18"/>
      </tp>
      <tp t="e">
        <v>#N/A</v>
        <stp/>
        <stp>BDH|6905988925685322518</stp>
        <tr r="G62" s="12"/>
      </tp>
      <tp t="e">
        <v>#N/A</v>
        <stp/>
        <stp>BDH|6761932317147501401</stp>
        <tr r="L12" s="14"/>
      </tp>
      <tp t="e">
        <v>#N/A</v>
        <stp/>
        <stp>BDH|3634633236212127944</stp>
        <tr r="I18" s="18"/>
      </tp>
      <tp t="e">
        <v>#N/A</v>
        <stp/>
        <stp>BDH|4669605858038057281</stp>
        <tr r="P55" s="6"/>
      </tp>
      <tp t="e">
        <v>#N/A</v>
        <stp/>
        <stp>BDH|5998078456795681888</stp>
        <tr r="H89" s="12"/>
      </tp>
      <tp t="e">
        <v>#N/A</v>
        <stp/>
        <stp>BDH|5540889757720483584</stp>
        <tr r="D34" s="26"/>
      </tp>
      <tp t="e">
        <v>#N/A</v>
        <stp/>
        <stp>BDH|4196176046219512535</stp>
        <tr r="U9" s="17"/>
      </tp>
      <tp t="e">
        <v>#N/A</v>
        <stp/>
        <stp>BDH|7901999704312127131</stp>
        <tr r="AA19" s="22"/>
      </tp>
      <tp t="e">
        <v>#N/A</v>
        <stp/>
        <stp>BDH|2480244766978792375</stp>
        <tr r="G23" s="6"/>
      </tp>
      <tp t="e">
        <v>#N/A</v>
        <stp/>
        <stp>BDH|8069391029791399550</stp>
        <tr r="X27" s="7"/>
      </tp>
      <tp t="e">
        <v>#N/A</v>
        <stp/>
        <stp>BDH|4832238075598941413</stp>
        <tr r="V12" s="14"/>
      </tp>
      <tp t="e">
        <v>#N/A</v>
        <stp/>
        <stp>BDH|4066341820780201808</stp>
        <tr r="K39" s="12"/>
      </tp>
      <tp t="e">
        <v>#N/A</v>
        <stp/>
        <stp>BDH|6489417051752768855</stp>
        <tr r="T15" s="17"/>
        <tr r="T18" s="28"/>
      </tp>
      <tp t="e">
        <v>#N/A</v>
        <stp/>
        <stp>BDH|9512420642973353706</stp>
        <tr r="Z37" s="26"/>
      </tp>
      <tp t="e">
        <v>#N/A</v>
        <stp/>
        <stp>BDH|9164719461677608212</stp>
        <tr r="U10" s="30"/>
      </tp>
      <tp t="e">
        <v>#N/A</v>
        <stp/>
        <stp>BDH|4135489053000515891</stp>
        <tr r="F36" s="13"/>
        <tr r="D24" s="10"/>
        <tr r="D46" s="4"/>
      </tp>
      <tp t="e">
        <v>#N/A</v>
        <stp/>
        <stp>BDH|8378914519465598884</stp>
        <tr r="N104" s="12"/>
      </tp>
      <tp t="e">
        <v>#N/A</v>
        <stp/>
        <stp>BDH|2945059004947788896</stp>
        <tr r="O47" s="21"/>
      </tp>
      <tp t="e">
        <v>#N/A</v>
        <stp/>
        <stp>BDH|2211658346655054877</stp>
        <tr r="W44" s="11"/>
        <tr r="W52" s="10"/>
        <tr r="W16" s="7"/>
      </tp>
      <tp t="e">
        <v>#N/A</v>
        <stp/>
        <stp>BDH|2999937958210278366</stp>
        <tr r="S116" s="18"/>
      </tp>
      <tp t="e">
        <v>#N/A</v>
        <stp/>
        <stp>BDH|2025559796914176749</stp>
        <tr r="I23" s="18"/>
      </tp>
      <tp t="e">
        <v>#N/A</v>
        <stp/>
        <stp>BDH|4045045371769697753</stp>
        <tr r="E28" s="21"/>
      </tp>
      <tp t="e">
        <v>#N/A</v>
        <stp/>
        <stp>BDH|5910989312710262075</stp>
        <tr r="M73" s="18"/>
      </tp>
      <tp t="e">
        <v>#N/A</v>
        <stp/>
        <stp>BDH|9754808613198218501</stp>
        <tr r="L135" s="18"/>
      </tp>
      <tp t="e">
        <v>#N/A</v>
        <stp/>
        <stp>BDH|7422599560261929827</stp>
        <tr r="K20" s="6"/>
      </tp>
      <tp t="e">
        <v>#N/A</v>
        <stp/>
        <stp>BDH|3633758785294671561</stp>
        <tr r="I98" s="12"/>
      </tp>
      <tp t="e">
        <v>#N/A</v>
        <stp/>
        <stp>BDH|6406987918295429669</stp>
        <tr r="G54" s="24"/>
      </tp>
      <tp t="e">
        <v>#N/A</v>
        <stp/>
        <stp>BDH|9458969395320126403</stp>
        <tr r="H51" s="17"/>
      </tp>
      <tp t="e">
        <v>#N/A</v>
        <stp/>
        <stp>BDH|7419922767964327159</stp>
        <tr r="I63" s="24"/>
      </tp>
      <tp t="e">
        <v>#N/A</v>
        <stp/>
        <stp>BDH|9229655651633318423</stp>
        <tr r="C6" s="8"/>
      </tp>
      <tp t="e">
        <v>#N/A</v>
        <stp/>
        <stp>BDH|5148575395975489103</stp>
        <tr r="U45" s="22"/>
      </tp>
      <tp t="e">
        <v>#N/A</v>
        <stp/>
        <stp>BDH|1372814204251722560</stp>
        <tr r="R35" s="34"/>
      </tp>
      <tp t="e">
        <v>#N/A</v>
        <stp/>
        <stp>BDH|4955161575607507881</stp>
        <tr r="Y37" s="18"/>
      </tp>
      <tp t="e">
        <v>#N/A</v>
        <stp/>
        <stp>BDH|8693810275442182846</stp>
        <tr r="W29" s="21"/>
      </tp>
      <tp t="e">
        <v>#N/A</v>
        <stp/>
        <stp>BDH|4183062035178084250</stp>
        <tr r="M48" s="34"/>
      </tp>
      <tp t="e">
        <v>#N/A</v>
        <stp/>
        <stp>BDH|4858847033292971014</stp>
        <tr r="Q167" s="18"/>
      </tp>
      <tp t="e">
        <v>#N/A</v>
        <stp/>
        <stp>BDH|9820894248978987074</stp>
        <tr r="U77" s="12"/>
      </tp>
      <tp t="e">
        <v>#N/A</v>
        <stp/>
        <stp>BDH|9330737020748198969</stp>
        <tr r="T17" s="10"/>
      </tp>
      <tp t="e">
        <v>#N/A</v>
        <stp/>
        <stp>BDH|5101205327480837891</stp>
        <tr r="S156" s="18"/>
      </tp>
      <tp t="e">
        <v>#N/A</v>
        <stp/>
        <stp>BDH|9090488970134752387</stp>
        <tr r="G85" s="18"/>
      </tp>
      <tp t="e">
        <v>#N/A</v>
        <stp/>
        <stp>BDH|2696286380852946706</stp>
        <tr r="S48" s="24"/>
      </tp>
      <tp t="e">
        <v>#N/A</v>
        <stp/>
        <stp>BDH|1583546080910625100</stp>
        <tr r="I32" s="21"/>
      </tp>
      <tp t="e">
        <v>#N/A</v>
        <stp/>
        <stp>BDH|6654116563739442575</stp>
        <tr r="G40" s="34"/>
      </tp>
      <tp t="e">
        <v>#N/A</v>
        <stp/>
        <stp>BDH|3424476784420758270</stp>
        <tr r="L37" s="12"/>
      </tp>
      <tp t="e">
        <v>#N/A</v>
        <stp/>
        <stp>BDH|6061243875747664901</stp>
        <tr r="X47" s="13"/>
      </tp>
      <tp t="e">
        <v>#N/A</v>
        <stp/>
        <stp>BDH|4399957324644695634</stp>
        <tr r="S7" s="10"/>
      </tp>
      <tp t="e">
        <v>#N/A</v>
        <stp/>
        <stp>BDH|9800001273214567791</stp>
        <tr r="L66" s="10"/>
      </tp>
      <tp t="e">
        <v>#N/A</v>
        <stp/>
        <stp>BDH|7171613194331712442</stp>
        <tr r="K42" s="4"/>
      </tp>
      <tp t="e">
        <v>#N/A</v>
        <stp/>
        <stp>BDH|8159197548671573127</stp>
        <tr r="Y74" s="12"/>
      </tp>
      <tp t="e">
        <v>#N/A</v>
        <stp/>
        <stp>BDH|4394578765633377957</stp>
        <tr r="O43" s="13"/>
      </tp>
      <tp t="e">
        <v>#N/A</v>
        <stp/>
        <stp>BDH|1673323335639012564</stp>
        <tr r="H25" s="13"/>
      </tp>
      <tp t="e">
        <v>#N/A</v>
        <stp/>
        <stp>BDH|4594005794594597437</stp>
        <tr r="K92" s="18"/>
      </tp>
      <tp t="e">
        <v>#N/A</v>
        <stp/>
        <stp>BDH|2517916884538657610</stp>
        <tr r="D13" s="13"/>
      </tp>
      <tp t="e">
        <v>#N/A</v>
        <stp/>
        <stp>BDH|2229922341071418327</stp>
        <tr r="V39" s="26"/>
      </tp>
      <tp t="e">
        <v>#N/A</v>
        <stp/>
        <stp>BDH|8213455333372762047</stp>
        <tr r="V54" s="18"/>
      </tp>
      <tp t="e">
        <v>#N/A</v>
        <stp/>
        <stp>BDH|3878837973590854176</stp>
        <tr r="M12" s="17"/>
      </tp>
      <tp t="e">
        <v>#N/A</v>
        <stp/>
        <stp>BDH|2821967713874357390</stp>
        <tr r="K59" s="24"/>
      </tp>
      <tp t="e">
        <v>#N/A</v>
        <stp/>
        <stp>BDH|8262179835942086576</stp>
        <tr r="Z60" s="18"/>
      </tp>
      <tp t="e">
        <v>#N/A</v>
        <stp/>
        <stp>BDH|2416360364128587243</stp>
        <tr r="E49" s="17"/>
      </tp>
      <tp t="e">
        <v>#N/A</v>
        <stp/>
        <stp>BDH|1871983148340955169</stp>
        <tr r="T27" s="21"/>
      </tp>
      <tp t="e">
        <v>#N/A</v>
        <stp/>
        <stp>BDH|9406942007358632569</stp>
        <tr r="M150" s="18"/>
      </tp>
      <tp t="e">
        <v>#N/A</v>
        <stp/>
        <stp>BDH|6488375036789598278</stp>
        <tr r="Z28" s="26"/>
      </tp>
      <tp t="e">
        <v>#N/A</v>
        <stp/>
        <stp>BDH|1992959729790091724</stp>
        <tr r="V89" s="12"/>
      </tp>
      <tp t="e">
        <v>#N/A</v>
        <stp/>
        <stp>BDH|9392130300715018075</stp>
        <tr r="I17" s="11"/>
      </tp>
      <tp t="e">
        <v>#N/A</v>
        <stp/>
        <stp>BDH|6084834774505057101</stp>
        <tr r="M122" s="18"/>
      </tp>
      <tp t="e">
        <v>#N/A</v>
        <stp/>
        <stp>BDH|6525211973919143712</stp>
        <tr r="K59" s="18"/>
      </tp>
      <tp t="e">
        <v>#N/A</v>
        <stp/>
        <stp>BDH|8792853650980398864</stp>
        <tr r="P75" s="18"/>
      </tp>
      <tp t="e">
        <v>#N/A</v>
        <stp/>
        <stp>BDH|6504264582354116578</stp>
        <tr r="Z34" s="12"/>
      </tp>
      <tp t="e">
        <v>#N/A</v>
        <stp/>
        <stp>BDH|9942114058361458138</stp>
        <tr r="M55" s="34"/>
      </tp>
      <tp t="e">
        <v>#N/A</v>
        <stp/>
        <stp>BDH|4473214125558023145</stp>
        <tr r="H118" s="18"/>
      </tp>
      <tp t="e">
        <v>#N/A</v>
        <stp/>
        <stp>BDH|2872482621458392169</stp>
        <tr r="N13" s="11"/>
      </tp>
      <tp t="e">
        <v>#N/A</v>
        <stp/>
        <stp>BDH|8583869360688674310</stp>
        <tr r="O12" s="30"/>
      </tp>
      <tp t="e">
        <v>#N/A</v>
        <stp/>
        <stp>BDH|6675273443039378453</stp>
        <tr r="P137" s="18"/>
      </tp>
      <tp t="e">
        <v>#N/A</v>
        <stp/>
        <stp>BDH|8117265262043750263</stp>
        <tr r="F43" s="22"/>
      </tp>
      <tp t="e">
        <v>#N/A</v>
        <stp/>
        <stp>BDH|2359745986546395669</stp>
        <tr r="S39" s="26"/>
      </tp>
      <tp t="e">
        <v>#N/A</v>
        <stp/>
        <stp>BDH|8212893613885482987</stp>
        <tr r="AA31" s="22"/>
      </tp>
      <tp t="e">
        <v>#N/A</v>
        <stp/>
        <stp>BDH|5438423985304005077</stp>
        <tr r="D8" s="27"/>
      </tp>
      <tp t="e">
        <v>#N/A</v>
        <stp/>
        <stp>BDH|3062860107766573002</stp>
        <tr r="D16" s="22"/>
      </tp>
      <tp t="e">
        <v>#N/A</v>
        <stp/>
        <stp>BDH|2207408003562285972</stp>
        <tr r="Q34" s="22"/>
      </tp>
      <tp t="e">
        <v>#N/A</v>
        <stp/>
        <stp>BDH|8880068737673526583</stp>
        <tr r="F38" s="26"/>
      </tp>
      <tp t="e">
        <v>#N/A</v>
        <stp/>
        <stp>BDH|1478094477198957370</stp>
        <tr r="U11" s="9"/>
      </tp>
      <tp t="e">
        <v>#N/A</v>
        <stp/>
        <stp>BDH|1367549403910398938</stp>
        <tr r="C126" s="18"/>
      </tp>
      <tp t="e">
        <v>#N/A</v>
        <stp/>
        <stp>BDH|5652171684297369626</stp>
        <tr r="J166" s="18"/>
      </tp>
      <tp t="e">
        <v>#N/A</v>
        <stp/>
        <stp>BDH|6901986146140305601</stp>
        <tr r="L21" s="24"/>
      </tp>
      <tp t="e">
        <v>#N/A</v>
        <stp/>
        <stp>BDH|3947887355827545459</stp>
        <tr r="Q23" s="6"/>
      </tp>
      <tp t="e">
        <v>#N/A</v>
        <stp/>
        <stp>BDH|2633415867825404808</stp>
        <tr r="T23" s="10"/>
      </tp>
      <tp t="e">
        <v>#N/A</v>
        <stp/>
        <stp>BDH|8084150265830492200</stp>
        <tr r="E17" s="14"/>
      </tp>
      <tp t="e">
        <v>#N/A</v>
        <stp/>
        <stp>BDH|8471674900764751708</stp>
        <tr r="R109" s="12"/>
      </tp>
      <tp t="e">
        <v>#N/A</v>
        <stp/>
        <stp>BDH|8083267614754248245</stp>
        <tr r="N8" s="17"/>
      </tp>
      <tp t="e">
        <v>#N/A</v>
        <stp/>
        <stp>BDH|4961055690041093182</stp>
        <tr r="P47" s="22"/>
      </tp>
      <tp t="e">
        <v>#N/A</v>
        <stp/>
        <stp>BDH|8448284024854877147</stp>
        <tr r="I25" s="11"/>
        <tr r="I33" s="10"/>
      </tp>
      <tp t="e">
        <v>#N/A</v>
        <stp/>
        <stp>BDH|8692114104167202357</stp>
        <tr r="G44" s="24"/>
      </tp>
      <tp t="e">
        <v>#N/A</v>
        <stp/>
        <stp>BDH|9857321069848314946</stp>
        <tr r="U34" s="22"/>
      </tp>
      <tp t="e">
        <v>#N/A</v>
        <stp/>
        <stp>BDH|6710115694964200746</stp>
        <tr r="Q34" s="10"/>
        <tr r="Q26" s="11"/>
      </tp>
      <tp t="e">
        <v>#N/A</v>
        <stp/>
        <stp>BDH|3883863433262858717</stp>
        <tr r="Y55" s="17"/>
      </tp>
      <tp t="e">
        <v>#N/A</v>
        <stp/>
        <stp>BDH|4054881957987376380</stp>
        <tr r="D30" s="24"/>
      </tp>
      <tp t="e">
        <v>#N/A</v>
        <stp/>
        <stp>BDH|9133120155198014829</stp>
        <tr r="H37" s="34"/>
      </tp>
      <tp t="e">
        <v>#N/A</v>
        <stp/>
        <stp>BDH|9521271234481252408</stp>
        <tr r="W56" s="17"/>
      </tp>
      <tp t="e">
        <v>#N/A</v>
        <stp/>
        <stp>BDH|4823565627156822858</stp>
        <tr r="H13" s="11"/>
      </tp>
      <tp t="e">
        <v>#N/A</v>
        <stp/>
        <stp>BDH|8095747479742820714</stp>
        <tr r="Q145" s="18"/>
      </tp>
      <tp t="e">
        <v>#N/A</v>
        <stp/>
        <stp>BDH|6188734967618362223</stp>
        <tr r="Y99" s="12"/>
      </tp>
      <tp t="e">
        <v>#N/A</v>
        <stp/>
        <stp>BDH|9329368624480318560</stp>
        <tr r="X15" s="9"/>
      </tp>
      <tp t="e">
        <v>#N/A</v>
        <stp/>
        <stp>BDH|1534365853963224963</stp>
        <tr r="R20" s="25"/>
      </tp>
      <tp t="e">
        <v>#N/A</v>
        <stp/>
        <stp>BDH|5075065739318396399</stp>
        <tr r="Q25" s="17"/>
      </tp>
      <tp t="e">
        <v>#N/A</v>
        <stp/>
        <stp>BDH|4698557362182462808</stp>
        <tr r="G28" s="26"/>
      </tp>
      <tp t="e">
        <v>#N/A</v>
        <stp/>
        <stp>BDH|8791849575182295819</stp>
        <tr r="M18" s="25"/>
      </tp>
      <tp t="e">
        <v>#N/A</v>
        <stp/>
        <stp>BDH|4663177900789317177</stp>
        <tr r="P13" s="6"/>
      </tp>
      <tp t="e">
        <v>#N/A</v>
        <stp/>
        <stp>BDH|7123035279549837461</stp>
        <tr r="K63" s="34"/>
      </tp>
      <tp t="e">
        <v>#N/A</v>
        <stp/>
        <stp>BDH|8285602774886178225</stp>
        <tr r="N49" s="18"/>
      </tp>
      <tp t="e">
        <v>#N/A</v>
        <stp/>
        <stp>BDH|9445266916023148405</stp>
        <tr r="C13" s="9"/>
      </tp>
      <tp t="e">
        <v>#N/A</v>
        <stp/>
        <stp>BDH|6049690594924889000</stp>
        <tr r="P26" s="7"/>
      </tp>
      <tp t="e">
        <v>#N/A</v>
        <stp/>
        <stp>BDH|2303757193568560953</stp>
        <tr r="Q35" s="4"/>
      </tp>
      <tp t="e">
        <v>#N/A</v>
        <stp/>
        <stp>BDH|6622263383552633300</stp>
        <tr r="R28" s="18"/>
      </tp>
      <tp t="e">
        <v>#N/A</v>
        <stp/>
        <stp>BDH|9274112284619704454</stp>
        <tr r="O33" s="21"/>
      </tp>
      <tp t="e">
        <v>#N/A</v>
        <stp/>
        <stp>BDH|5057305884455764665</stp>
        <tr r="K85" s="18"/>
      </tp>
      <tp t="e">
        <v>#N/A</v>
        <stp/>
        <stp>BDH|7332263984517455707</stp>
        <tr r="R20" s="24"/>
      </tp>
      <tp t="e">
        <v>#N/A</v>
        <stp/>
        <stp>BDH|9111454858192175785</stp>
        <tr r="D16" s="29"/>
        <tr r="D36" s="29"/>
      </tp>
      <tp t="e">
        <v>#N/A</v>
        <stp/>
        <stp>BDH|1599126692297880383</stp>
        <tr r="U17" s="23"/>
      </tp>
      <tp t="e">
        <v>#N/A</v>
        <stp/>
        <stp>BDH|2360339980844014050</stp>
        <tr r="T8" s="17"/>
      </tp>
      <tp t="e">
        <v>#N/A</v>
        <stp/>
        <stp>BDH|6587201364956400909</stp>
        <tr r="X27" s="12"/>
      </tp>
      <tp t="e">
        <v>#N/A</v>
        <stp/>
        <stp>BDH|6485035591534760647</stp>
        <tr r="T151" s="18"/>
      </tp>
      <tp t="e">
        <v>#N/A</v>
        <stp/>
        <stp>BDH|1503908047572748300</stp>
        <tr r="F30" s="34"/>
      </tp>
      <tp t="e">
        <v>#N/A</v>
        <stp/>
        <stp>BDH|4481311998632102196</stp>
        <tr r="I16" s="13"/>
        <tr r="I26" s="13"/>
        <tr r="G18" s="10"/>
      </tp>
      <tp t="e">
        <v>#N/A</v>
        <stp/>
        <stp>BDH|4070751390564089303</stp>
        <tr r="U29" s="12"/>
      </tp>
      <tp t="e">
        <v>#N/A</v>
        <stp/>
        <stp>BDH|4789707616328744730</stp>
        <tr r="Q69" s="17"/>
      </tp>
      <tp t="e">
        <v>#N/A</v>
        <stp/>
        <stp>BDH|4138513343681378959</stp>
        <tr r="N111" s="12"/>
      </tp>
      <tp t="e">
        <v>#N/A</v>
        <stp/>
        <stp>BDH|8774464956883742754</stp>
        <tr r="E65" s="24"/>
      </tp>
      <tp t="e">
        <v>#N/A</v>
        <stp/>
        <stp>BDH|3430262711444493927</stp>
        <tr r="J65" s="21"/>
        <tr r="G28" s="6"/>
      </tp>
      <tp t="e">
        <v>#N/A</v>
        <stp/>
        <stp>BDH|1575099712788859537</stp>
        <tr r="L87" s="17"/>
      </tp>
      <tp t="e">
        <v>#N/A</v>
        <stp/>
        <stp>BDH|5885724783377409084</stp>
        <tr r="D20" s="17"/>
      </tp>
      <tp t="e">
        <v>#N/A</v>
        <stp/>
        <stp>BDH|8485161117671231426</stp>
        <tr r="K26" s="29"/>
      </tp>
      <tp t="e">
        <v>#N/A</v>
        <stp/>
        <stp>BDH|9293315256645679767</stp>
        <tr r="O48" s="18"/>
      </tp>
      <tp t="e">
        <v>#N/A</v>
        <stp/>
        <stp>BDH|5709032552779270418</stp>
        <tr r="AA29" s="12"/>
      </tp>
      <tp t="e">
        <v>#N/A</v>
        <stp/>
        <stp>BDH|1720582380115896425</stp>
        <tr r="W82" s="17"/>
        <tr r="U6" s="7"/>
        <tr r="W20" s="3"/>
      </tp>
      <tp t="e">
        <v>#N/A</v>
        <stp/>
        <stp>BDH|9294336768454922554</stp>
        <tr r="U29" s="34"/>
      </tp>
      <tp t="e">
        <v>#N/A</v>
        <stp/>
        <stp>BDH|2362114638819962461</stp>
        <tr r="S50" s="34"/>
      </tp>
      <tp t="e">
        <v>#N/A</v>
        <stp/>
        <stp>BDH|5960171893003128398</stp>
        <tr r="G16" s="12"/>
      </tp>
      <tp t="e">
        <v>#N/A</v>
        <stp/>
        <stp>BDH|8180868405129089475</stp>
        <tr r="S45" s="21"/>
      </tp>
      <tp t="e">
        <v>#N/A</v>
        <stp/>
        <stp>BDH|9511601840660687662</stp>
        <tr r="Z14" s="30"/>
      </tp>
      <tp t="e">
        <v>#N/A</v>
        <stp/>
        <stp>BDH|7028955354591744739</stp>
        <tr r="I72" s="10"/>
        <tr r="I64" s="11"/>
      </tp>
      <tp t="e">
        <v>#N/A</v>
        <stp/>
        <stp>BDH|6033380798950078152</stp>
        <tr r="R18" s="26"/>
      </tp>
      <tp t="e">
        <v>#N/A</v>
        <stp/>
        <stp>BDH|2596507721528424057</stp>
        <tr r="U15" s="23"/>
        <tr r="S58" s="11"/>
      </tp>
      <tp t="e">
        <v>#N/A</v>
        <stp/>
        <stp>BDH|8143916611628137559</stp>
        <tr r="K160" s="18"/>
      </tp>
      <tp t="e">
        <v>#N/A</v>
        <stp/>
        <stp>BDH|9437589228466603570</stp>
        <tr r="AA35" s="21"/>
      </tp>
      <tp t="e">
        <v>#N/A</v>
        <stp/>
        <stp>BDH|3370926970157790737</stp>
        <tr r="Q17" s="20"/>
      </tp>
      <tp t="e">
        <v>#N/A</v>
        <stp/>
        <stp>BDH|4058362344867113960</stp>
        <tr r="O38" s="22"/>
      </tp>
      <tp t="e">
        <v>#N/A</v>
        <stp/>
        <stp>BDH|8535972346418539048</stp>
        <tr r="V25" s="13"/>
      </tp>
      <tp t="e">
        <v>#N/A</v>
        <stp/>
        <stp>BDH|26849689391285190</stp>
        <tr r="G73" s="12"/>
      </tp>
      <tp t="e">
        <v>#N/A</v>
        <stp/>
        <stp>BDH|16457651225206470</stp>
        <tr r="Z25" s="26"/>
      </tp>
      <tp t="e">
        <v>#N/A</v>
        <stp/>
        <stp>BDH|27535008316731322</stp>
        <tr r="T66" s="17"/>
      </tp>
      <tp t="e">
        <v>#N/A</v>
        <stp/>
        <stp>BDH|27343405025316693</stp>
        <tr r="U75" s="12"/>
      </tp>
      <tp t="e">
        <v>#N/A</v>
        <stp/>
        <stp>BDH|49045431893511097</stp>
        <tr r="G59" s="12"/>
      </tp>
      <tp t="e">
        <v>#N/A</v>
        <stp/>
        <stp>BDH|7668161994341611084</stp>
        <tr r="U7" s="29"/>
        <tr r="U29" s="29"/>
      </tp>
      <tp t="e">
        <v>#N/A</v>
        <stp/>
        <stp>BDH|9630013732775703186</stp>
        <tr r="R15" s="12"/>
      </tp>
      <tp t="e">
        <v>#N/A</v>
        <stp/>
        <stp>BDH|4746094730439360072</stp>
        <tr r="U28" s="18"/>
      </tp>
      <tp t="e">
        <v>#N/A</v>
        <stp/>
        <stp>BDH|9908606554114433034</stp>
        <tr r="K62" s="10"/>
      </tp>
      <tp t="e">
        <v>#N/A</v>
        <stp/>
        <stp>BDH|1754344989287956395</stp>
        <tr r="U13" s="7"/>
      </tp>
      <tp t="e">
        <v>#N/A</v>
        <stp/>
        <stp>BDH|3135553000299629182</stp>
        <tr r="L85" s="12"/>
      </tp>
      <tp t="e">
        <v>#N/A</v>
        <stp/>
        <stp>BDH|7511294767499129406</stp>
        <tr r="P22" s="10"/>
      </tp>
      <tp t="e">
        <v>#N/A</v>
        <stp/>
        <stp>BDH|8124197455032174067</stp>
        <tr r="X7" s="20"/>
        <tr r="X109" s="18"/>
      </tp>
      <tp t="e">
        <v>#N/A</v>
        <stp/>
        <stp>BDH|7445067490150904017</stp>
        <tr r="X27" s="17"/>
      </tp>
      <tp t="e">
        <v>#N/A</v>
        <stp/>
        <stp>BDH|8652999189895589299</stp>
        <tr r="P44" s="12"/>
      </tp>
      <tp t="e">
        <v>#N/A</v>
        <stp/>
        <stp>BDH|9148893384571300657</stp>
        <tr r="T25" s="3"/>
      </tp>
      <tp t="e">
        <v>#N/A</v>
        <stp/>
        <stp>BDH|2585073321756999800</stp>
        <tr r="D27" s="26"/>
      </tp>
      <tp t="e">
        <v>#N/A</v>
        <stp/>
        <stp>BDH|5432016404559219294</stp>
        <tr r="K26" s="24"/>
      </tp>
      <tp t="e">
        <v>#N/A</v>
        <stp/>
        <stp>BDH|9443313173861589293</stp>
        <tr r="O17" s="22"/>
      </tp>
      <tp t="e">
        <v>#N/A</v>
        <stp/>
        <stp>BDH|5729654313845227998</stp>
        <tr r="V24" s="13"/>
      </tp>
      <tp t="e">
        <v>#N/A</v>
        <stp/>
        <stp>BDH|2728281982323748500</stp>
        <tr r="U50" s="12"/>
      </tp>
      <tp t="e">
        <v>#N/A</v>
        <stp/>
        <stp>BDH|5276893276243136762</stp>
        <tr r="C21" s="10"/>
      </tp>
      <tp t="e">
        <v>#N/A</v>
        <stp/>
        <stp>BDH|4122836078344144114</stp>
        <tr r="G20" s="6"/>
      </tp>
      <tp t="e">
        <v>#N/A</v>
        <stp/>
        <stp>BDH|4755876816543838043</stp>
        <tr r="R19" s="6"/>
      </tp>
      <tp t="e">
        <v>#N/A</v>
        <stp/>
        <stp>BDH|3921127545538613028</stp>
        <tr r="Q29" s="5"/>
      </tp>
      <tp t="e">
        <v>#N/A</v>
        <stp/>
        <stp>BDH|9093650650453930767</stp>
        <tr r="D38" s="22"/>
      </tp>
      <tp t="e">
        <v>#N/A</v>
        <stp/>
        <stp>BDH|4056822658884279321</stp>
        <tr r="X35" s="4"/>
      </tp>
      <tp t="e">
        <v>#N/A</v>
        <stp/>
        <stp>BDH|7437899932471748323</stp>
        <tr r="Z64" s="12"/>
      </tp>
      <tp t="e">
        <v>#N/A</v>
        <stp/>
        <stp>BDH|9903768334226719562</stp>
        <tr r="I47" s="21"/>
      </tp>
      <tp t="e">
        <v>#N/A</v>
        <stp/>
        <stp>BDH|5602564781676226098</stp>
        <tr r="C14" s="8"/>
      </tp>
      <tp t="e">
        <v>#N/A</v>
        <stp/>
        <stp>BDH|6473038986467365786</stp>
        <tr r="S45" s="12"/>
      </tp>
      <tp t="e">
        <v>#N/A</v>
        <stp/>
        <stp>BDH|3143893010216065229</stp>
        <tr r="AA57" s="12"/>
      </tp>
      <tp t="e">
        <v>#N/A</v>
        <stp/>
        <stp>BDH|1062070509968742731</stp>
        <tr r="AA60" s="13"/>
      </tp>
      <tp t="e">
        <v>#N/A</v>
        <stp/>
        <stp>BDH|4571740296351413598</stp>
        <tr r="C35" s="13"/>
      </tp>
      <tp t="e">
        <v>#N/A</v>
        <stp/>
        <stp>BDH|3912657397507976589</stp>
        <tr r="V82" s="18"/>
      </tp>
      <tp t="e">
        <v>#N/A</v>
        <stp/>
        <stp>BDH|9948746697208398135</stp>
        <tr r="U11" s="13"/>
      </tp>
      <tp t="e">
        <v>#N/A</v>
        <stp/>
        <stp>BDH|2517842658213042239</stp>
        <tr r="F16" s="22"/>
      </tp>
      <tp t="e">
        <v>#N/A</v>
        <stp/>
        <stp>BDH|6960530205915468816</stp>
        <tr r="E50" s="21"/>
      </tp>
      <tp t="e">
        <v>#N/A</v>
        <stp/>
        <stp>BDH|6560394062878543510</stp>
        <tr r="G9" s="24"/>
      </tp>
      <tp t="e">
        <v>#N/A</v>
        <stp/>
        <stp>BDH|8228615374801985649</stp>
        <tr r="V8" s="8"/>
      </tp>
      <tp t="e">
        <v>#N/A</v>
        <stp/>
        <stp>BDH|1668099657572785843</stp>
        <tr r="Y12" s="21"/>
      </tp>
      <tp t="e">
        <v>#N/A</v>
        <stp/>
        <stp>BDH|4579855426878421899</stp>
        <tr r="AA37" s="21"/>
        <tr r="AA24" s="3"/>
      </tp>
      <tp t="e">
        <v>#N/A</v>
        <stp/>
        <stp>BDH|2825570282390328153</stp>
        <tr r="W16" s="17"/>
        <tr r="W19" s="28"/>
      </tp>
      <tp t="e">
        <v>#N/A</v>
        <stp/>
        <stp>BDH|4289651498923717631</stp>
        <tr r="N60" s="24"/>
      </tp>
      <tp t="e">
        <v>#N/A</v>
        <stp/>
        <stp>BDH|2860729121258691167</stp>
        <tr r="C19" s="17"/>
      </tp>
      <tp t="e">
        <v>#N/A</v>
        <stp/>
        <stp>BDH|3187029980963081683</stp>
        <tr r="D90" s="17"/>
        <tr r="D34" s="25"/>
      </tp>
      <tp t="e">
        <v>#N/A</v>
        <stp/>
        <stp>BDH|2166095381434053020</stp>
        <tr r="J60" s="18"/>
      </tp>
      <tp t="e">
        <v>#N/A</v>
        <stp/>
        <stp>BDH|7110942969197156165</stp>
        <tr r="Z19" s="13"/>
        <tr r="X61" s="10"/>
        <tr r="X16" s="2"/>
        <tr r="X32" s="4"/>
      </tp>
      <tp t="e">
        <v>#N/A</v>
        <stp/>
        <stp>BDH|3932463586053350217</stp>
        <tr r="T18" s="24"/>
      </tp>
      <tp t="e">
        <v>#N/A</v>
        <stp/>
        <stp>BDH|5503646878573047925</stp>
        <tr r="P19" s="20"/>
      </tp>
      <tp t="e">
        <v>#N/A</v>
        <stp/>
        <stp>BDH|3365375058382364943</stp>
        <tr r="E58" s="17"/>
      </tp>
      <tp t="e">
        <v>#N/A</v>
        <stp/>
        <stp>BDH|9337756514326004792</stp>
        <tr r="H29" s="6"/>
      </tp>
      <tp t="e">
        <v>#N/A</v>
        <stp/>
        <stp>BDH|6177287581161724347</stp>
        <tr r="E73" s="18"/>
      </tp>
      <tp t="e">
        <v>#N/A</v>
        <stp/>
        <stp>BDH|9118933809528818682</stp>
        <tr r="C67" s="17"/>
        <tr r="C18" s="3"/>
      </tp>
      <tp t="e">
        <v>#N/A</v>
        <stp/>
        <stp>BDH|2780493596716284713</stp>
        <tr r="I12" s="30"/>
      </tp>
      <tp t="e">
        <v>#N/A</v>
        <stp/>
        <stp>BDH|2939924108340038581</stp>
        <tr r="R42" s="24"/>
      </tp>
      <tp t="e">
        <v>#N/A</v>
        <stp/>
        <stp>BDH|9774212040482448393</stp>
        <tr r="D162" s="18"/>
      </tp>
      <tp t="e">
        <v>#N/A</v>
        <stp/>
        <stp>BDH|2758884581689194548</stp>
        <tr r="C98" s="18"/>
      </tp>
      <tp t="e">
        <v>#N/A</v>
        <stp/>
        <stp>BDH|4735887918852526198</stp>
        <tr r="N48" s="18"/>
      </tp>
      <tp t="e">
        <v>#N/A</v>
        <stp/>
        <stp>BDH|2805208284374000273</stp>
        <tr r="I23" s="25"/>
        <tr r="G21" s="11"/>
      </tp>
      <tp t="e">
        <v>#N/A</v>
        <stp/>
        <stp>BDH|8870499772605850006</stp>
        <tr r="H25" s="21"/>
      </tp>
      <tp t="e">
        <v>#N/A</v>
        <stp/>
        <stp>BDH|4197565339385354961</stp>
        <tr r="G68" s="12"/>
      </tp>
      <tp t="e">
        <v>#N/A</v>
        <stp/>
        <stp>BDH|8977657275246707158</stp>
        <tr r="V17" s="27"/>
        <tr r="V31" s="25"/>
        <tr r="S14" s="5"/>
      </tp>
      <tp t="e">
        <v>#N/A</v>
        <stp/>
        <stp>BDH|9974874456963289918</stp>
        <tr r="O16" s="30"/>
      </tp>
      <tp t="e">
        <v>#N/A</v>
        <stp/>
        <stp>BDH|7096530250620930911</stp>
        <tr r="Y62" s="17"/>
      </tp>
      <tp t="e">
        <v>#N/A</v>
        <stp/>
        <stp>BDH|4138294606009132149</stp>
        <tr r="S26" s="6"/>
      </tp>
      <tp t="e">
        <v>#N/A</v>
        <stp/>
        <stp>BDH|4741858911431162293</stp>
        <tr r="U30" s="22"/>
      </tp>
      <tp t="e">
        <v>#N/A</v>
        <stp/>
        <stp>BDH|6043788831228453466</stp>
        <tr r="Q52" s="18"/>
      </tp>
      <tp t="e">
        <v>#N/A</v>
        <stp/>
        <stp>BDH|9535280659672688291</stp>
        <tr r="W75" s="24"/>
      </tp>
      <tp t="e">
        <v>#N/A</v>
        <stp/>
        <stp>BDH|3718411617359296186</stp>
        <tr r="M89" s="17"/>
      </tp>
      <tp t="e">
        <v>#N/A</v>
        <stp/>
        <stp>BDH|6459877760965114395</stp>
        <tr r="L95" s="12"/>
      </tp>
      <tp t="e">
        <v>#N/A</v>
        <stp/>
        <stp>BDH|6499823822440658295</stp>
        <tr r="F15" s="17"/>
        <tr r="F18" s="28"/>
      </tp>
      <tp t="e">
        <v>#N/A</v>
        <stp/>
        <stp>BDH|8962424470553919698</stp>
        <tr r="U37" s="34"/>
      </tp>
      <tp t="e">
        <v>#N/A</v>
        <stp/>
        <stp>BDH|5316200698910706049</stp>
        <tr r="Y108" s="12"/>
      </tp>
      <tp t="e">
        <v>#N/A</v>
        <stp/>
        <stp>BDH|6295654693217481086</stp>
        <tr r="G88" s="12"/>
      </tp>
      <tp t="e">
        <v>#N/A</v>
        <stp/>
        <stp>BDH|9469893541558695328</stp>
        <tr r="F8" s="13"/>
      </tp>
      <tp t="e">
        <v>#N/A</v>
        <stp/>
        <stp>BDH|9721170076708929976</stp>
        <tr r="G174" s="18"/>
      </tp>
      <tp t="e">
        <v>#N/A</v>
        <stp/>
        <stp>BDH|6072800829382336027</stp>
        <tr r="M43" s="21"/>
      </tp>
      <tp t="e">
        <v>#N/A</v>
        <stp/>
        <stp>BDH|3627593255438774551</stp>
        <tr r="E6" s="28"/>
      </tp>
      <tp t="e">
        <v>#N/A</v>
        <stp/>
        <stp>BDH|7969365432631102846</stp>
        <tr r="Y41" s="18"/>
      </tp>
      <tp t="e">
        <v>#N/A</v>
        <stp/>
        <stp>BDH|3204076922837896874</stp>
        <tr r="R24" s="21"/>
      </tp>
      <tp t="e">
        <v>#N/A</v>
        <stp/>
        <stp>BDH|4641861429394306424</stp>
        <tr r="S22" s="27"/>
      </tp>
      <tp t="e">
        <v>#N/A</v>
        <stp/>
        <stp>BDH|8119416885718804255</stp>
        <tr r="AA17" s="17"/>
        <tr r="AA20" s="28"/>
      </tp>
      <tp t="e">
        <v>#N/A</v>
        <stp/>
        <stp>BDH|4620552578780162824</stp>
        <tr r="Q48" s="18"/>
      </tp>
      <tp t="e">
        <v>#N/A</v>
        <stp/>
        <stp>BDH|6281707569429650059</stp>
        <tr r="F78" s="18"/>
      </tp>
      <tp t="e">
        <v>#N/A</v>
        <stp/>
        <stp>BDH|7715074626149750296</stp>
        <tr r="L62" s="24"/>
      </tp>
      <tp t="e">
        <v>#N/A</v>
        <stp/>
        <stp>BDH|1570966478466378705</stp>
        <tr r="P53" s="13"/>
      </tp>
      <tp t="e">
        <v>#N/A</v>
        <stp/>
        <stp>BDH|4535876218367544474</stp>
        <tr r="V88" s="12"/>
      </tp>
      <tp t="e">
        <v>#N/A</v>
        <stp/>
        <stp>BDH|1602909422820827445</stp>
        <tr r="Y14" s="13"/>
      </tp>
      <tp t="e">
        <v>#N/A</v>
        <stp/>
        <stp>BDH|8833912286650366748</stp>
        <tr r="W27" s="17"/>
      </tp>
      <tp t="e">
        <v>#N/A</v>
        <stp/>
        <stp>BDH|3187614016342825865</stp>
        <tr r="V20" s="26"/>
      </tp>
      <tp t="e">
        <v>#N/A</v>
        <stp/>
        <stp>BDH|9690047148663707050</stp>
        <tr r="C63" s="17"/>
      </tp>
      <tp t="e">
        <v>#N/A</v>
        <stp/>
        <stp>BDH|8247664044341004588</stp>
        <tr r="Q96" s="18"/>
      </tp>
      <tp t="e">
        <v>#N/A</v>
        <stp/>
        <stp>BDH|4063304683410882134</stp>
        <tr r="F132" s="18"/>
      </tp>
      <tp t="e">
        <v>#N/A</v>
        <stp/>
        <stp>BDH|5475852850914102286</stp>
        <tr r="K25" s="18"/>
      </tp>
      <tp t="e">
        <v>#N/A</v>
        <stp/>
        <stp>BDH|9975186492266218998</stp>
        <tr r="C14" s="23"/>
      </tp>
      <tp t="e">
        <v>#N/A</v>
        <stp/>
        <stp>BDH|8074153631490422488</stp>
        <tr r="M35" s="18"/>
      </tp>
      <tp t="e">
        <v>#N/A</v>
        <stp/>
        <stp>BDH|9317764703850771097</stp>
        <tr r="C13" s="34"/>
      </tp>
      <tp t="e">
        <v>#N/A</v>
        <stp/>
        <stp>BDH|4548950919453953188</stp>
        <tr r="P107" s="12"/>
      </tp>
      <tp t="e">
        <v>#N/A</v>
        <stp/>
        <stp>BDH|9581275270666838425</stp>
        <tr r="L98" s="12"/>
      </tp>
      <tp t="e">
        <v>#N/A</v>
        <stp/>
        <stp>BDH|8030194502257301009</stp>
        <tr r="V25" s="7"/>
      </tp>
      <tp t="e">
        <v>#N/A</v>
        <stp/>
        <stp>BDH|1973539585755424734</stp>
        <tr r="N108" s="12"/>
      </tp>
      <tp t="e">
        <v>#N/A</v>
        <stp/>
        <stp>BDH|2494588158929944553</stp>
        <tr r="L142" s="18"/>
      </tp>
      <tp t="e">
        <v>#N/A</v>
        <stp/>
        <stp>BDH|7185497254999793130</stp>
        <tr r="Q61" s="17"/>
      </tp>
      <tp t="e">
        <v>#N/A</v>
        <stp/>
        <stp>BDH|1445099817447009927</stp>
        <tr r="H10" s="26"/>
      </tp>
      <tp t="e">
        <v>#N/A</v>
        <stp/>
        <stp>BDH|3880012526209308646</stp>
        <tr r="AA18" s="14"/>
      </tp>
      <tp t="e">
        <v>#N/A</v>
        <stp/>
        <stp>BDH|1325036791901187794</stp>
        <tr r="R58" s="17"/>
      </tp>
      <tp t="e">
        <v>#N/A</v>
        <stp/>
        <stp>BDH|9755380775537570466</stp>
        <tr r="O31" s="29"/>
        <tr r="O39" s="29"/>
        <tr r="N11" s="5"/>
        <tr r="N52" s="6"/>
        <tr r="O10" s="2"/>
      </tp>
      <tp t="e">
        <v>#N/A</v>
        <stp/>
        <stp>BDH|8666894480530407627</stp>
        <tr r="T19" s="24"/>
      </tp>
      <tp t="e">
        <v>#N/A</v>
        <stp/>
        <stp>BDH|6758190164688341707</stp>
        <tr r="G20" s="23"/>
      </tp>
      <tp t="e">
        <v>#N/A</v>
        <stp/>
        <stp>BDH|8042525133353866304</stp>
        <tr r="M13" s="10"/>
      </tp>
      <tp t="e">
        <v>#N/A</v>
        <stp/>
        <stp>BDH|6431207091774547797</stp>
        <tr r="T46" s="6"/>
      </tp>
      <tp t="e">
        <v>#N/A</v>
        <stp/>
        <stp>BDH|8953603709087829717</stp>
        <tr r="J7" s="4"/>
      </tp>
      <tp t="e">
        <v>#N/A</v>
        <stp/>
        <stp>BDH|6405176654688612482</stp>
        <tr r="F60" s="13"/>
      </tp>
      <tp t="e">
        <v>#N/A</v>
        <stp/>
        <stp>BDH|4676302620108720384</stp>
        <tr r="X23" s="9"/>
      </tp>
      <tp t="e">
        <v>#N/A</v>
        <stp/>
        <stp>BDH|6697488582052216672</stp>
        <tr r="W62" s="18"/>
      </tp>
      <tp t="e">
        <v>#N/A</v>
        <stp/>
        <stp>BDH|5042733034766737991</stp>
        <tr r="R49" s="12"/>
      </tp>
      <tp t="e">
        <v>#N/A</v>
        <stp/>
        <stp>BDH|4610711400189603483</stp>
        <tr r="D125" s="18"/>
      </tp>
      <tp t="e">
        <v>#N/A</v>
        <stp/>
        <stp>BDH|9856245986259020432</stp>
        <tr r="M40" s="13"/>
        <tr r="K36" s="10"/>
        <tr r="K28" s="11"/>
      </tp>
      <tp t="e">
        <v>#N/A</v>
        <stp/>
        <stp>BDH|8749142078450568071</stp>
        <tr r="C10" s="8"/>
      </tp>
      <tp t="e">
        <v>#N/A</v>
        <stp/>
        <stp>BDH|4266228852679294494</stp>
        <tr r="D48" s="13"/>
      </tp>
      <tp t="e">
        <v>#N/A</v>
        <stp/>
        <stp>BDH|9478679999928779045</stp>
        <tr r="Z54" s="24"/>
      </tp>
      <tp t="e">
        <v>#N/A</v>
        <stp/>
        <stp>BDH|3603241383165020286</stp>
        <tr r="X35" s="26"/>
      </tp>
      <tp t="e">
        <v>#N/A</v>
        <stp/>
        <stp>BDH|5631094989197756487</stp>
        <tr r="X32" s="22"/>
      </tp>
      <tp t="e">
        <v>#N/A</v>
        <stp/>
        <stp>BDH|9138741031614575784</stp>
        <tr r="R158" s="18"/>
      </tp>
      <tp t="e">
        <v>#N/A</v>
        <stp/>
        <stp>BDH|8966421537413038257</stp>
        <tr r="S15" s="5"/>
      </tp>
      <tp t="e">
        <v>#N/A</v>
        <stp/>
        <stp>BDH|4506109689756307568</stp>
        <tr r="R162" s="18"/>
      </tp>
      <tp t="e">
        <v>#N/A</v>
        <stp/>
        <stp>BDH|6338197496847682732</stp>
        <tr r="W25" s="24"/>
      </tp>
      <tp t="e">
        <v>#N/A</v>
        <stp/>
        <stp>BDH|8771193074432415278</stp>
        <tr r="P14" s="34"/>
      </tp>
      <tp t="e">
        <v>#N/A</v>
        <stp/>
        <stp>BDH|2042638696011464283</stp>
        <tr r="AA69" s="12"/>
      </tp>
      <tp t="e">
        <v>#N/A</v>
        <stp/>
        <stp>BDH|3030896609240871519</stp>
        <tr r="W25" s="17"/>
      </tp>
      <tp t="e">
        <v>#N/A</v>
        <stp/>
        <stp>BDH|5257894356123601528</stp>
        <tr r="I167" s="18"/>
      </tp>
      <tp t="e">
        <v>#N/A</v>
        <stp/>
        <stp>BDH|7953452076639202319</stp>
        <tr r="E30" s="5"/>
      </tp>
      <tp t="e">
        <v>#N/A</v>
        <stp/>
        <stp>BDH|1993360935758755743</stp>
        <tr r="N9" s="10"/>
      </tp>
      <tp t="e">
        <v>#N/A</v>
        <stp/>
        <stp>BDH|8610614217528829919</stp>
        <tr r="S11" s="17"/>
      </tp>
      <tp t="e">
        <v>#N/A</v>
        <stp/>
        <stp>BDH|4426870908400349218</stp>
        <tr r="D10" s="29"/>
        <tr r="D25" s="29"/>
        <tr r="D19" s="29"/>
        <tr r="C6" s="9"/>
        <tr r="E12" s="8"/>
        <tr r="C6" s="5"/>
        <tr r="D6" s="2"/>
      </tp>
      <tp t="e">
        <v>#N/A</v>
        <stp/>
        <stp>BDH|6822825343560580450</stp>
        <tr r="W25" s="21"/>
      </tp>
      <tp t="e">
        <v>#N/A</v>
        <stp/>
        <stp>BDH|2737802038446470128</stp>
        <tr r="N37" s="29"/>
        <tr r="N17" s="29"/>
      </tp>
      <tp t="e">
        <v>#N/A</v>
        <stp/>
        <stp>BDH|7450183566397361909</stp>
        <tr r="AA176" s="18"/>
      </tp>
      <tp t="e">
        <v>#N/A</v>
        <stp/>
        <stp>BDH|9708878078081719963</stp>
        <tr r="C7" s="4"/>
      </tp>
      <tp t="e">
        <v>#N/A</v>
        <stp/>
        <stp>BDH|1385007986092475585</stp>
        <tr r="K47" s="21"/>
      </tp>
      <tp t="e">
        <v>#N/A</v>
        <stp/>
        <stp>BDH|4710205669946430833</stp>
        <tr r="X73" s="18"/>
      </tp>
      <tp t="e">
        <v>#N/A</v>
        <stp/>
        <stp>BDH|4599883626001436164</stp>
        <tr r="O30" s="11"/>
        <tr r="O38" s="10"/>
      </tp>
      <tp t="e">
        <v>#N/A</v>
        <stp/>
        <stp>BDH|3582269593011096794</stp>
        <tr r="T59" s="34"/>
      </tp>
      <tp t="e">
        <v>#N/A</v>
        <stp/>
        <stp>BDH|5755203419258687013</stp>
        <tr r="G31" s="22"/>
      </tp>
      <tp t="e">
        <v>#N/A</v>
        <stp/>
        <stp>BDH|8777546268611298401</stp>
        <tr r="X37" s="34"/>
      </tp>
      <tp t="e">
        <v>#N/A</v>
        <stp/>
        <stp>BDH|8786149189337250819</stp>
        <tr r="W46" s="13"/>
      </tp>
      <tp t="e">
        <v>#N/A</v>
        <stp/>
        <stp>BDH|4262763029868311772</stp>
        <tr r="Y30" s="12"/>
      </tp>
      <tp t="e">
        <v>#N/A</v>
        <stp/>
        <stp>BDH|5905460795516680053</stp>
        <tr r="V33" s="34"/>
      </tp>
      <tp t="e">
        <v>#N/A</v>
        <stp/>
        <stp>BDH|6459731580904875364</stp>
        <tr r="X13" s="22"/>
      </tp>
      <tp t="e">
        <v>#N/A</v>
        <stp/>
        <stp>BDH|9662689803234553516</stp>
        <tr r="K82" s="12"/>
      </tp>
      <tp t="e">
        <v>#N/A</v>
        <stp/>
        <stp>BDH|8165685498008640194</stp>
        <tr r="S69" s="17"/>
      </tp>
      <tp t="e">
        <v>#N/A</v>
        <stp/>
        <stp>BDH|9111552485253632991</stp>
        <tr r="V76" s="12"/>
      </tp>
      <tp t="e">
        <v>#N/A</v>
        <stp/>
        <stp>BDH|8643429445146779089</stp>
        <tr r="Y12" s="25"/>
      </tp>
      <tp t="e">
        <v>#N/A</v>
        <stp/>
        <stp>BDH|2733957361555837657</stp>
        <tr r="O50" s="18"/>
      </tp>
      <tp t="e">
        <v>#N/A</v>
        <stp/>
        <stp>BDH|9809548435353295257</stp>
        <tr r="E55" s="24"/>
      </tp>
      <tp t="e">
        <v>#N/A</v>
        <stp/>
        <stp>BDH|6440283271845288812</stp>
        <tr r="AA78" s="24"/>
      </tp>
      <tp t="e">
        <v>#N/A</v>
        <stp/>
        <stp>BDH|5949544104688124660</stp>
        <tr r="N47" s="34"/>
      </tp>
      <tp t="e">
        <v>#N/A</v>
        <stp/>
        <stp>BDH|9912661845060035547</stp>
        <tr r="J11" s="24"/>
      </tp>
      <tp t="e">
        <v>#N/A</v>
        <stp/>
        <stp>BDH|6592480702898059413</stp>
        <tr r="I25" s="7"/>
      </tp>
      <tp t="e">
        <v>#N/A</v>
        <stp/>
        <stp>BDH|5644512406128642694</stp>
        <tr r="T43" s="24"/>
      </tp>
      <tp t="e">
        <v>#N/A</v>
        <stp/>
        <stp>BDH|7614827630535350791</stp>
        <tr r="H11" s="10"/>
        <tr r="H14" s="2"/>
      </tp>
      <tp t="e">
        <v>#N/A</v>
        <stp/>
        <stp>BDH|9587110257306993544</stp>
        <tr r="O11" s="17"/>
      </tp>
      <tp t="e">
        <v>#N/A</v>
        <stp/>
        <stp>BDH|6112328589006766539</stp>
        <tr r="X7" s="17"/>
      </tp>
      <tp t="e">
        <v>#N/A</v>
        <stp/>
        <stp>BDH|8780346746267826637</stp>
        <tr r="T41" s="13"/>
        <tr r="R29" s="11"/>
        <tr r="R37" s="10"/>
      </tp>
      <tp t="e">
        <v>#N/A</v>
        <stp/>
        <stp>BDH|5467211389889352813</stp>
        <tr r="Q20" s="10"/>
      </tp>
      <tp t="e">
        <v>#N/A</v>
        <stp/>
        <stp>BDH|9752971638015590835</stp>
        <tr r="N43" s="18"/>
      </tp>
      <tp t="e">
        <v>#N/A</v>
        <stp/>
        <stp>BDH|8204310704134090192</stp>
        <tr r="M22" s="12"/>
      </tp>
      <tp t="e">
        <v>#N/A</v>
        <stp/>
        <stp>BDH|8800739066134033331</stp>
        <tr r="Z132" s="18"/>
      </tp>
      <tp t="e">
        <v>#N/A</v>
        <stp/>
        <stp>BDH|8585092064536335656</stp>
        <tr r="N84" s="18"/>
      </tp>
      <tp t="e">
        <v>#N/A</v>
        <stp/>
        <stp>BDH|9882915744229628357</stp>
        <tr r="Y74" s="18"/>
      </tp>
      <tp t="e">
        <v>#N/A</v>
        <stp/>
        <stp>BDH|1431093216177094955</stp>
        <tr r="S13" s="34"/>
      </tp>
      <tp t="e">
        <v>#N/A</v>
        <stp/>
        <stp>BDH|2169835543086644698</stp>
        <tr r="E35" s="24"/>
      </tp>
      <tp t="e">
        <v>#N/A</v>
        <stp/>
        <stp>BDH|7721920517988438998</stp>
        <tr r="F17" s="13"/>
      </tp>
      <tp t="e">
        <v>#N/A</v>
        <stp/>
        <stp>BDH|5386911803974947674</stp>
        <tr r="O46" s="22"/>
      </tp>
      <tp t="e">
        <v>#N/A</v>
        <stp/>
        <stp>BDH|2638479688137103779</stp>
        <tr r="D12" s="14"/>
      </tp>
      <tp t="e">
        <v>#N/A</v>
        <stp/>
        <stp>BDH|3029880934303048537</stp>
        <tr r="M56" s="13"/>
      </tp>
      <tp t="e">
        <v>#N/A</v>
        <stp/>
        <stp>BDH|3968221287062544561</stp>
        <tr r="G17" s="17"/>
        <tr r="G20" s="28"/>
      </tp>
      <tp t="e">
        <v>#N/A</v>
        <stp/>
        <stp>BDH|1068365857561906873</stp>
        <tr r="S12" s="30"/>
      </tp>
      <tp t="e">
        <v>#N/A</v>
        <stp/>
        <stp>BDH|1685277188931048467</stp>
        <tr r="T69" s="24"/>
      </tp>
      <tp t="e">
        <v>#N/A</v>
        <stp/>
        <stp>BDH|6021492294756022321</stp>
        <tr r="U58" s="24"/>
      </tp>
      <tp t="e">
        <v>#N/A</v>
        <stp/>
        <stp>BDH|9128530409941398376</stp>
        <tr r="Q9" s="21"/>
      </tp>
      <tp t="e">
        <v>#N/A</v>
        <stp/>
        <stp>BDH|9800536063940299452</stp>
        <tr r="O10" s="24"/>
      </tp>
      <tp t="e">
        <v>#N/A</v>
        <stp/>
        <stp>BDH|4475917661992292794</stp>
        <tr r="Z40" s="17"/>
      </tp>
      <tp t="e">
        <v>#N/A</v>
        <stp/>
        <stp>BDH|8164799087868728171</stp>
        <tr r="R64" s="18"/>
      </tp>
      <tp t="e">
        <v>#N/A</v>
        <stp/>
        <stp>BDH|5617422543058002384</stp>
        <tr r="M21" s="3"/>
      </tp>
      <tp t="e">
        <v>#N/A</v>
        <stp/>
        <stp>BDH|2761782684512205166</stp>
        <tr r="J138" s="18"/>
      </tp>
      <tp t="e">
        <v>#N/A</v>
        <stp/>
        <stp>BDH|8701648601692418299</stp>
        <tr r="L25" s="12"/>
      </tp>
      <tp t="e">
        <v>#N/A</v>
        <stp/>
        <stp>BDH|2451108612544008891</stp>
        <tr r="P20" s="10"/>
      </tp>
      <tp t="e">
        <v>#N/A</v>
        <stp/>
        <stp>BDH|1636248028108300762</stp>
        <tr r="F54" s="18"/>
      </tp>
      <tp t="e">
        <v>#N/A</v>
        <stp/>
        <stp>BDH|6117037646084390884</stp>
        <tr r="P108" s="12"/>
      </tp>
      <tp t="e">
        <v>#N/A</v>
        <stp/>
        <stp>BDH|2188526898076364672</stp>
        <tr r="J60" s="11"/>
      </tp>
      <tp t="e">
        <v>#N/A</v>
        <stp/>
        <stp>BDH|7201273493437059598</stp>
        <tr r="J70" s="18"/>
      </tp>
      <tp t="e">
        <v>#N/A</v>
        <stp/>
        <stp>BDH|9802213806432497743</stp>
        <tr r="L47" s="22"/>
      </tp>
      <tp t="e">
        <v>#N/A</v>
        <stp/>
        <stp>BDH|1760112328374484853</stp>
        <tr r="D67" s="17"/>
        <tr r="D18" s="3"/>
      </tp>
      <tp t="e">
        <v>#N/A</v>
        <stp/>
        <stp>BDH|2047496158024795997</stp>
        <tr r="S13" s="5"/>
      </tp>
      <tp t="e">
        <v>#N/A</v>
        <stp/>
        <stp>BDH|1929977946255387743</stp>
        <tr r="Z150" s="18"/>
      </tp>
      <tp t="e">
        <v>#N/A</v>
        <stp/>
        <stp>BDH|8287304438671267770</stp>
        <tr r="Q58" s="34"/>
      </tp>
      <tp t="e">
        <v>#N/A</v>
        <stp/>
        <stp>BDH|2101290386773980580</stp>
        <tr r="U95" s="18"/>
      </tp>
      <tp t="e">
        <v>#N/A</v>
        <stp/>
        <stp>BDH|4512428758099975290</stp>
        <tr r="H18" s="13"/>
      </tp>
      <tp t="e">
        <v>#N/A</v>
        <stp/>
        <stp>BDH|6888949878563921517</stp>
        <tr r="W36" s="6"/>
      </tp>
      <tp t="e">
        <v>#N/A</v>
        <stp/>
        <stp>BDH|1431996746366620415</stp>
        <tr r="X62" s="24"/>
      </tp>
      <tp t="e">
        <v>#N/A</v>
        <stp/>
        <stp>BDH|5146831044303879420</stp>
        <tr r="M24" s="17"/>
      </tp>
      <tp t="e">
        <v>#N/A</v>
        <stp/>
        <stp>BDH|6881751002887400871</stp>
        <tr r="F25" s="7"/>
      </tp>
      <tp t="e">
        <v>#N/A</v>
        <stp/>
        <stp>BDH|6546395281703379022</stp>
        <tr r="F85" s="12"/>
      </tp>
      <tp t="e">
        <v>#N/A</v>
        <stp/>
        <stp>BDH|7928716227225437976</stp>
        <tr r="C44" s="11"/>
        <tr r="C52" s="10"/>
        <tr r="C16" s="7"/>
      </tp>
      <tp t="e">
        <v>#N/A</v>
        <stp/>
        <stp>BDH|8964500693119405325</stp>
        <tr r="I38" s="26"/>
      </tp>
      <tp t="e">
        <v>#N/A</v>
        <stp/>
        <stp>BDH|2433448777817338882</stp>
        <tr r="E40" s="18"/>
      </tp>
      <tp t="e">
        <v>#N/A</v>
        <stp/>
        <stp>BDH|1547662082587877656</stp>
        <tr r="N92" s="18"/>
      </tp>
      <tp t="e">
        <v>#N/A</v>
        <stp/>
        <stp>BDH|7875081808948053148</stp>
        <tr r="F107" s="18"/>
      </tp>
      <tp t="e">
        <v>#N/A</v>
        <stp/>
        <stp>BDH|6679982715474256453</stp>
        <tr r="L66" s="24"/>
      </tp>
      <tp t="e">
        <v>#N/A</v>
        <stp/>
        <stp>BDH|4472852813843882063</stp>
        <tr r="C58" s="13"/>
      </tp>
      <tp t="e">
        <v>#N/A</v>
        <stp/>
        <stp>BDH|3535277924569235484</stp>
        <tr r="Q54" s="24"/>
      </tp>
      <tp t="e">
        <v>#N/A</v>
        <stp/>
        <stp>BDH|6485897727725414720</stp>
        <tr r="AA8" s="14"/>
      </tp>
      <tp t="e">
        <v>#N/A</v>
        <stp/>
        <stp>BDH|5148085584890218331</stp>
        <tr r="Z23" s="24"/>
      </tp>
      <tp t="e">
        <v>#N/A</v>
        <stp/>
        <stp>BDH|7269095493885239561</stp>
        <tr r="H17" s="29"/>
        <tr r="H37" s="29"/>
      </tp>
      <tp t="e">
        <v>#N/A</v>
        <stp/>
        <stp>BDH|7726463174979876317</stp>
        <tr r="D47" s="22"/>
      </tp>
      <tp t="e">
        <v>#N/A</v>
        <stp/>
        <stp>BDH|9201269114101425581</stp>
        <tr r="O59" s="24"/>
      </tp>
      <tp t="e">
        <v>#N/A</v>
        <stp/>
        <stp>BDH|9246177369729684967</stp>
        <tr r="L8" s="28"/>
      </tp>
      <tp t="e">
        <v>#N/A</v>
        <stp/>
        <stp>BDH|4335298118260733990</stp>
        <tr r="T62" s="18"/>
      </tp>
      <tp t="e">
        <v>#N/A</v>
        <stp/>
        <stp>BDH|2489557722033954860</stp>
        <tr r="P44" s="13"/>
      </tp>
      <tp t="e">
        <v>#N/A</v>
        <stp/>
        <stp>BDH|5834548341139530344</stp>
        <tr r="O40" s="12"/>
      </tp>
      <tp t="e">
        <v>#N/A</v>
        <stp/>
        <stp>BDH|7859617239385446988</stp>
        <tr r="U62" s="10"/>
      </tp>
      <tp t="e">
        <v>#N/A</v>
        <stp/>
        <stp>BDH|5689006979049146527</stp>
        <tr r="J43" s="22"/>
      </tp>
      <tp t="e">
        <v>#N/A</v>
        <stp/>
        <stp>BDH|9126068328847588267</stp>
        <tr r="P96" s="18"/>
      </tp>
      <tp t="e">
        <v>#N/A</v>
        <stp/>
        <stp>BDH|1097846433001949526</stp>
        <tr r="S178" s="18"/>
      </tp>
      <tp t="e">
        <v>#N/A</v>
        <stp/>
        <stp>BDH|5386636396703862721</stp>
        <tr r="R34" s="34"/>
      </tp>
      <tp t="e">
        <v>#N/A</v>
        <stp/>
        <stp>BDH|5768669579282285874</stp>
        <tr r="C15" s="34"/>
      </tp>
      <tp t="e">
        <v>#N/A</v>
        <stp/>
        <stp>BDH|2953163883014369121</stp>
        <tr r="M7" s="17"/>
      </tp>
      <tp t="e">
        <v>#N/A</v>
        <stp/>
        <stp>BDH|7639806931751872325</stp>
        <tr r="T34" s="18"/>
      </tp>
      <tp t="e">
        <v>#N/A</v>
        <stp/>
        <stp>BDH|1342899740946202554</stp>
        <tr r="P57" s="12"/>
      </tp>
      <tp t="e">
        <v>#N/A</v>
        <stp/>
        <stp>BDH|6298306712043897956</stp>
        <tr r="F18" s="22"/>
      </tp>
      <tp t="e">
        <v>#N/A</v>
        <stp/>
        <stp>BDH|8109347178711465346</stp>
        <tr r="L50" s="34"/>
      </tp>
      <tp t="e">
        <v>#N/A</v>
        <stp/>
        <stp>BDH|5014045407772823962</stp>
        <tr r="U12" s="10"/>
      </tp>
      <tp t="e">
        <v>#N/A</v>
        <stp/>
        <stp>BDH|2239672004383526993</stp>
        <tr r="AA24" s="22"/>
      </tp>
      <tp t="e">
        <v>#N/A</v>
        <stp/>
        <stp>BDH|4357647174463767893</stp>
        <tr r="P67" s="12"/>
      </tp>
      <tp t="e">
        <v>#N/A</v>
        <stp/>
        <stp>BDH|7102995816044559563</stp>
        <tr r="N72" s="12"/>
      </tp>
      <tp t="e">
        <v>#N/A</v>
        <stp/>
        <stp>BDH|6610453939897682811</stp>
        <tr r="F17" s="12"/>
      </tp>
      <tp t="e">
        <v>#N/A</v>
        <stp/>
        <stp>BDH|6355375791494040683</stp>
        <tr r="U63" s="12"/>
      </tp>
      <tp t="e">
        <v>#N/A</v>
        <stp/>
        <stp>BDH|3333003863583431894</stp>
        <tr r="Z57" s="18"/>
      </tp>
      <tp t="e">
        <v>#N/A</v>
        <stp/>
        <stp>BDH|7728856319185747514</stp>
        <tr r="AA104" s="18"/>
      </tp>
      <tp t="e">
        <v>#N/A</v>
        <stp/>
        <stp>BDH|2383373479588498042</stp>
        <tr r="W31" s="26"/>
        <tr r="T14" s="9"/>
      </tp>
      <tp t="e">
        <v>#N/A</v>
        <stp/>
        <stp>BDH|7211960033481817221</stp>
        <tr r="S105" s="12"/>
      </tp>
      <tp t="e">
        <v>#N/A</v>
        <stp/>
        <stp>BDH|1812502540689149747</stp>
        <tr r="V22" s="24"/>
      </tp>
      <tp t="e">
        <v>#N/A</v>
        <stp/>
        <stp>BDH|6674082274178567724</stp>
        <tr r="J59" s="17"/>
      </tp>
      <tp t="e">
        <v>#N/A</v>
        <stp/>
        <stp>BDH|8250554912951092388</stp>
        <tr r="F66" s="21"/>
      </tp>
      <tp t="e">
        <v>#N/A</v>
        <stp/>
        <stp>BDH|1053325540979708181</stp>
        <tr r="Q149" s="18"/>
      </tp>
      <tp t="e">
        <v>#N/A</v>
        <stp/>
        <stp>BDH|9418774905336998627</stp>
        <tr r="K15" s="34"/>
      </tp>
      <tp t="e">
        <v>#N/A</v>
        <stp/>
        <stp>BDH|2998366949429928221</stp>
        <tr r="V117" s="18"/>
      </tp>
      <tp t="e">
        <v>#N/A</v>
        <stp/>
        <stp>BDH|9547298693038362411</stp>
        <tr r="J16" s="25"/>
      </tp>
      <tp t="e">
        <v>#N/A</v>
        <stp/>
        <stp>BDH|2740355355428368298</stp>
        <tr r="G58" s="18"/>
      </tp>
      <tp t="e">
        <v>#N/A</v>
        <stp/>
        <stp>BDH|8456693271945172202</stp>
        <tr r="M16" s="6"/>
      </tp>
      <tp t="e">
        <v>#N/A</v>
        <stp/>
        <stp>BDH|9187064930430842426</stp>
        <tr r="Y89" s="18"/>
      </tp>
      <tp t="e">
        <v>#N/A</v>
        <stp/>
        <stp>BDH|4396688991985729007</stp>
        <tr r="Y33" s="17"/>
      </tp>
      <tp t="e">
        <v>#N/A</v>
        <stp/>
        <stp>BDH|1065721218359094071</stp>
        <tr r="X20" s="24"/>
      </tp>
      <tp t="e">
        <v>#N/A</v>
        <stp/>
        <stp>BDH|1916493789373441009</stp>
        <tr r="J43" s="12"/>
      </tp>
      <tp t="e">
        <v>#N/A</v>
        <stp/>
        <stp>BDH|8551677318012773309</stp>
        <tr r="O37" s="29"/>
        <tr r="O17" s="29"/>
      </tp>
      <tp t="e">
        <v>#N/A</v>
        <stp/>
        <stp>BDH|6497640167229817126</stp>
        <tr r="Z19" s="22"/>
      </tp>
      <tp t="e">
        <v>#N/A</v>
        <stp/>
        <stp>BDH|4102656740089093190</stp>
        <tr r="D81" s="12"/>
      </tp>
      <tp t="e">
        <v>#N/A</v>
        <stp/>
        <stp>BDH|8189326666101196298</stp>
        <tr r="T19" s="26"/>
      </tp>
      <tp t="e">
        <v>#N/A</v>
        <stp/>
        <stp>BDH|8721062763117467746</stp>
        <tr r="D21" s="17"/>
        <tr r="D15" s="3"/>
      </tp>
      <tp t="e">
        <v>#N/A</v>
        <stp/>
        <stp>BDH|7396141726212025838</stp>
        <tr r="L13" s="25"/>
      </tp>
      <tp t="e">
        <v>#N/A</v>
        <stp/>
        <stp>BDH|8336610104208102851</stp>
        <tr r="AA41" s="12"/>
      </tp>
      <tp t="e">
        <v>#N/A</v>
        <stp/>
        <stp>BDH|1224952715751346633</stp>
        <tr r="U69" s="24"/>
      </tp>
      <tp t="e">
        <v>#N/A</v>
        <stp/>
        <stp>BDH|8155587314112933063</stp>
        <tr r="V35" s="25"/>
      </tp>
      <tp t="e">
        <v>#N/A</v>
        <stp/>
        <stp>BDH|5934065554276943803</stp>
        <tr r="X97" s="12"/>
      </tp>
      <tp t="e">
        <v>#N/A</v>
        <stp/>
        <stp>BDH|3799231690120193673</stp>
        <tr r="G12" s="20"/>
        <tr r="G113" s="18"/>
      </tp>
      <tp t="e">
        <v>#N/A</v>
        <stp/>
        <stp>BDH|1703366504439581528</stp>
        <tr r="V52" s="18"/>
      </tp>
      <tp t="e">
        <v>#N/A</v>
        <stp/>
        <stp>BDH|2475436390343465216</stp>
        <tr r="P17" s="9"/>
      </tp>
      <tp t="e">
        <v>#N/A</v>
        <stp/>
        <stp>BDH|1847444598287783518</stp>
        <tr r="Y13" s="25"/>
      </tp>
      <tp t="e">
        <v>#N/A</v>
        <stp/>
        <stp>BDH|6030850681128413026</stp>
        <tr r="AA57" s="18"/>
      </tp>
      <tp t="e">
        <v>#N/A</v>
        <stp/>
        <stp>BDH|6785428730108050771</stp>
        <tr r="U44" s="6"/>
      </tp>
      <tp t="e">
        <v>#N/A</v>
        <stp/>
        <stp>BDH|3346836825960498736</stp>
        <tr r="M146" s="18"/>
      </tp>
      <tp t="e">
        <v>#N/A</v>
        <stp/>
        <stp>BDH|1954621412749376180</stp>
        <tr r="P42" s="34"/>
      </tp>
      <tp t="e">
        <v>#N/A</v>
        <stp/>
        <stp>BDH|6071863902077331753</stp>
        <tr r="J67" s="24"/>
      </tp>
      <tp t="e">
        <v>#N/A</v>
        <stp/>
        <stp>BDH|9482583458973607405</stp>
        <tr r="M45" s="24"/>
      </tp>
      <tp t="e">
        <v>#N/A</v>
        <stp/>
        <stp>BDH|3948995252108411947</stp>
        <tr r="G44" s="11"/>
        <tr r="G16" s="7"/>
        <tr r="G52" s="10"/>
      </tp>
      <tp t="e">
        <v>#N/A</v>
        <stp/>
        <stp>BDH|7690653894716728024</stp>
        <tr r="P18" s="21"/>
        <tr r="N23" s="2"/>
        <tr r="P23" s="3"/>
      </tp>
      <tp t="e">
        <v>#N/A</v>
        <stp/>
        <stp>BDH|6258922725753222059</stp>
        <tr r="M46" s="6"/>
      </tp>
      <tp t="e">
        <v>#N/A</v>
        <stp/>
        <stp>BDH|6584367604533445813</stp>
        <tr r="X25" s="11"/>
        <tr r="X33" s="10"/>
      </tp>
      <tp t="e">
        <v>#N/A</v>
        <stp/>
        <stp>BDH|8484336840237368667</stp>
        <tr r="J17" s="9"/>
      </tp>
      <tp t="e">
        <v>#N/A</v>
        <stp/>
        <stp>BDH|9580506220146165664</stp>
        <tr r="X87" s="12"/>
      </tp>
      <tp t="e">
        <v>#N/A</v>
        <stp/>
        <stp>BDH|4283510890276062011</stp>
        <tr r="H29" s="4"/>
      </tp>
      <tp t="e">
        <v>#N/A</v>
        <stp/>
        <stp>BDH|1754714078946429987</stp>
        <tr r="U26" s="29"/>
      </tp>
      <tp t="e">
        <v>#N/A</v>
        <stp/>
        <stp>BDH|9829030170213152388</stp>
        <tr r="R57" s="17"/>
      </tp>
      <tp t="e">
        <v>#N/A</v>
        <stp/>
        <stp>BDH|6785224452076622931</stp>
        <tr r="E132" s="18"/>
      </tp>
      <tp t="e">
        <v>#N/A</v>
        <stp/>
        <stp>BDH|8978228142120905021</stp>
        <tr r="AA43" s="18"/>
      </tp>
      <tp t="e">
        <v>#N/A</v>
        <stp/>
        <stp>BDH|1810907460940392098</stp>
        <tr r="L42" s="21"/>
      </tp>
      <tp t="e">
        <v>#N/A</v>
        <stp/>
        <stp>BDH|9345194445430988242</stp>
        <tr r="W22" s="7"/>
      </tp>
      <tp t="e">
        <v>#N/A</v>
        <stp/>
        <stp>BDH|8994898392152485559</stp>
        <tr r="H78" s="17"/>
      </tp>
      <tp t="e">
        <v>#N/A</v>
        <stp/>
        <stp>BDH|9741168774196790715</stp>
        <tr r="G36" s="29"/>
        <tr r="G16" s="29"/>
      </tp>
      <tp t="e">
        <v>#N/A</v>
        <stp/>
        <stp>BDH|5882902003916817402</stp>
        <tr r="W178" s="18"/>
      </tp>
      <tp t="e">
        <v>#N/A</v>
        <stp/>
        <stp>BDH|4455814366473957790</stp>
        <tr r="W99" s="18"/>
      </tp>
      <tp t="e">
        <v>#N/A</v>
        <stp/>
        <stp>BDH|3986176022588699692</stp>
        <tr r="V29" s="21"/>
      </tp>
      <tp t="e">
        <v>#N/A</v>
        <stp/>
        <stp>BDH|4696414915388879799</stp>
        <tr r="J54" s="10"/>
        <tr r="J46" s="11"/>
        <tr r="L12" s="3"/>
        <tr r="J7" s="7"/>
      </tp>
      <tp t="e">
        <v>#N/A</v>
        <stp/>
        <stp>BDH|3710633192466711424</stp>
        <tr r="R28" s="26"/>
      </tp>
      <tp t="e">
        <v>#N/A</v>
        <stp/>
        <stp>BDH|4194848911465727604</stp>
        <tr r="H99" s="18"/>
      </tp>
      <tp t="e">
        <v>#N/A</v>
        <stp/>
        <stp>BDH|7254359241798703628</stp>
        <tr r="U25" s="27"/>
      </tp>
      <tp t="e">
        <v>#N/A</v>
        <stp/>
        <stp>BDH|8270595725583524286</stp>
        <tr r="J11" s="17"/>
      </tp>
      <tp t="e">
        <v>#N/A</v>
        <stp/>
        <stp>BDH|5410344437398528316</stp>
        <tr r="Q63" s="12"/>
      </tp>
      <tp t="e">
        <v>#N/A</v>
        <stp/>
        <stp>BDH|8229433209645332786</stp>
        <tr r="Y62" s="11"/>
        <tr r="Y70" s="10"/>
      </tp>
      <tp t="e">
        <v>#N/A</v>
        <stp/>
        <stp>BDH|5705000905028604372</stp>
        <tr r="T60" s="17"/>
      </tp>
      <tp t="e">
        <v>#N/A</v>
        <stp/>
        <stp>BDH|2560035185876861288</stp>
        <tr r="G21" s="27"/>
      </tp>
      <tp t="e">
        <v>#N/A</v>
        <stp/>
        <stp>BDH|8249633863297544144</stp>
        <tr r="F31" s="18"/>
      </tp>
      <tp t="e">
        <v>#N/A</v>
        <stp/>
        <stp>BDH|8450745065091737616</stp>
        <tr r="G8" s="13"/>
      </tp>
      <tp t="e">
        <v>#N/A</v>
        <stp/>
        <stp>BDH|3541674895842085045</stp>
        <tr r="G33" s="21"/>
      </tp>
      <tp t="e">
        <v>#N/A</v>
        <stp/>
        <stp>BDH|7410751228055240980</stp>
        <tr r="L34" s="12"/>
      </tp>
      <tp t="e">
        <v>#N/A</v>
        <stp/>
        <stp>BDH|7993996029031220389</stp>
        <tr r="L9" s="8"/>
        <tr r="J49" s="6"/>
      </tp>
      <tp t="e">
        <v>#N/A</v>
        <stp/>
        <stp>BDH|1870693394649669900</stp>
        <tr r="V7" s="4"/>
      </tp>
      <tp t="e">
        <v>#N/A</v>
        <stp/>
        <stp>BDH|1761679261676080926</stp>
        <tr r="Q68" s="12"/>
      </tp>
      <tp t="e">
        <v>#N/A</v>
        <stp/>
        <stp>BDH|9997147436330086582</stp>
        <tr r="Y67" s="12"/>
      </tp>
      <tp t="e">
        <v>#N/A</v>
        <stp/>
        <stp>BDH|9888186934691574428</stp>
        <tr r="C11" s="10"/>
        <tr r="C14" s="2"/>
      </tp>
      <tp t="e">
        <v>#N/A</v>
        <stp/>
        <stp>BDH|8549456414734359746</stp>
        <tr r="T46" s="11"/>
        <tr r="T54" s="10"/>
        <tr r="T7" s="7"/>
        <tr r="V12" s="3"/>
      </tp>
      <tp t="e">
        <v>#N/A</v>
        <stp/>
        <stp>BDH|9066873946369667246</stp>
        <tr r="O20" s="27"/>
      </tp>
      <tp t="e">
        <v>#N/A</v>
        <stp/>
        <stp>BDH|2535866422923076522</stp>
        <tr r="S16" s="25"/>
      </tp>
      <tp t="e">
        <v>#N/A</v>
        <stp/>
        <stp>BDH|4196588440239831229</stp>
        <tr r="Y35" s="24"/>
      </tp>
      <tp t="e">
        <v>#N/A</v>
        <stp/>
        <stp>BDH|8244557455191433758</stp>
        <tr r="Y157" s="18"/>
      </tp>
      <tp t="e">
        <v>#N/A</v>
        <stp/>
        <stp>BDH|7792511431509114654</stp>
        <tr r="R99" s="18"/>
      </tp>
      <tp t="e">
        <v>#N/A</v>
        <stp/>
        <stp>BDH|3616648297992795011</stp>
        <tr r="Y24" s="24"/>
      </tp>
      <tp t="e">
        <v>#N/A</v>
        <stp/>
        <stp>BDH|5112860635640344028</stp>
        <tr r="Z9" s="21"/>
      </tp>
      <tp t="e">
        <v>#N/A</v>
        <stp/>
        <stp>BDH|3590235016256360803</stp>
        <tr r="Q60" s="18"/>
      </tp>
      <tp t="e">
        <v>#N/A</v>
        <stp/>
        <stp>BDH|3178842565176182527</stp>
        <tr r="U38" s="6"/>
        <tr r="U18" s="5"/>
      </tp>
      <tp t="e">
        <v>#N/A</v>
        <stp/>
        <stp>BDH|7426898459301036570</stp>
        <tr r="C13" s="25"/>
      </tp>
      <tp t="e">
        <v>#N/A</v>
        <stp/>
        <stp>BDH|3724469285235224456</stp>
        <tr r="F68" s="10"/>
      </tp>
      <tp t="e">
        <v>#N/A</v>
        <stp/>
        <stp>BDH|9387025355347301543</stp>
        <tr r="G16" s="10"/>
      </tp>
      <tp t="e">
        <v>#N/A</v>
        <stp/>
        <stp>BDH|7330749568218841040</stp>
        <tr r="S16" s="26"/>
      </tp>
      <tp t="e">
        <v>#N/A</v>
        <stp/>
        <stp>BDH|8817561729828622926</stp>
        <tr r="R7" s="10"/>
      </tp>
      <tp t="e">
        <v>#N/A</v>
        <stp/>
        <stp>BDH|5297692449918192104</stp>
        <tr r="D73" s="24"/>
      </tp>
      <tp t="e">
        <v>#N/A</v>
        <stp/>
        <stp>BDH|3184974424230992688</stp>
        <tr r="U78" s="12"/>
      </tp>
      <tp t="e">
        <v>#N/A</v>
        <stp/>
        <stp>BDH|9896332314334931155</stp>
        <tr r="X91" s="12"/>
      </tp>
      <tp t="e">
        <v>#N/A</v>
        <stp/>
        <stp>BDH|4213323902811801894</stp>
        <tr r="I73" s="24"/>
      </tp>
      <tp t="e">
        <v>#N/A</v>
        <stp/>
        <stp>BDH|5341826988552906939</stp>
        <tr r="H7" s="20"/>
        <tr r="H109" s="18"/>
      </tp>
      <tp t="e">
        <v>#N/A</v>
        <stp/>
        <stp>BDH|9619925627515895986</stp>
        <tr r="C27" s="24"/>
      </tp>
      <tp t="e">
        <v>#N/A</v>
        <stp/>
        <stp>BDH|3815307651712972907</stp>
        <tr r="L39" s="26"/>
      </tp>
      <tp t="e">
        <v>#N/A</v>
        <stp/>
        <stp>BDH|4654177985474679720</stp>
        <tr r="H45" s="17"/>
      </tp>
      <tp t="e">
        <v>#N/A</v>
        <stp/>
        <stp>BDH|5732129685243689161</stp>
        <tr r="I67" s="17"/>
        <tr r="I18" s="3"/>
      </tp>
      <tp t="e">
        <v>#N/A</v>
        <stp/>
        <stp>BDH|1775956600802218409</stp>
        <tr r="AA19" s="13"/>
        <tr r="Y61" s="10"/>
        <tr r="Y32" s="4"/>
        <tr r="Y16" s="2"/>
      </tp>
      <tp t="e">
        <v>#N/A</v>
        <stp/>
        <stp>BDH|2461525361827497832</stp>
        <tr r="V20" s="34"/>
      </tp>
      <tp t="e">
        <v>#N/A</v>
        <stp/>
        <stp>BDH|9533041811580370630</stp>
        <tr r="D16" s="23"/>
      </tp>
      <tp t="e">
        <v>#N/A</v>
        <stp/>
        <stp>BDH|9446617663374319351</stp>
        <tr r="T30" s="34"/>
      </tp>
      <tp t="e">
        <v>#N/A</v>
        <stp/>
        <stp>BDH|1875181791597140007</stp>
        <tr r="I79" s="12"/>
      </tp>
      <tp t="e">
        <v>#N/A</v>
        <stp/>
        <stp>BDH|6536137343668085559</stp>
        <tr r="P80" s="12"/>
      </tp>
      <tp t="e">
        <v>#N/A</v>
        <stp/>
        <stp>BDH|9138472200330158375</stp>
        <tr r="W55" s="6"/>
      </tp>
      <tp t="e">
        <v>#N/A</v>
        <stp/>
        <stp>BDH|8750333263434613711</stp>
        <tr r="D20" s="24"/>
      </tp>
      <tp t="e">
        <v>#N/A</v>
        <stp/>
        <stp>BDH|3491625373305096953</stp>
        <tr r="E147" s="18"/>
      </tp>
      <tp t="e">
        <v>#N/A</v>
        <stp/>
        <stp>BDH|2380567262247790801</stp>
        <tr r="C74" s="17"/>
      </tp>
      <tp t="e">
        <v>#N/A</v>
        <stp/>
        <stp>BDH|6348133575127769925</stp>
        <tr r="J22" s="21"/>
      </tp>
      <tp t="e">
        <v>#N/A</v>
        <stp/>
        <stp>BDH|5426511307028216607</stp>
        <tr r="I52" s="22"/>
      </tp>
      <tp t="e">
        <v>#N/A</v>
        <stp/>
        <stp>BDH|4595745811625682967</stp>
        <tr r="Q69" s="12"/>
      </tp>
      <tp t="e">
        <v>#N/A</v>
        <stp/>
        <stp>BDH|3839901648428065805</stp>
        <tr r="W105" s="12"/>
      </tp>
      <tp t="e">
        <v>#N/A</v>
        <stp/>
        <stp>BDH|9931008998847255933</stp>
        <tr r="H15" s="26"/>
      </tp>
      <tp t="e">
        <v>#N/A</v>
        <stp/>
        <stp>BDH|5126951043127361140</stp>
        <tr r="U7" s="8"/>
      </tp>
      <tp t="e">
        <v>#N/A</v>
        <stp/>
        <stp>BDH|7107036424783438826</stp>
        <tr r="M61" s="34"/>
      </tp>
      <tp t="e">
        <v>#N/A</v>
        <stp/>
        <stp>BDH|6903566500919610499</stp>
        <tr r="G90" s="17"/>
        <tr r="G34" s="25"/>
      </tp>
      <tp t="e">
        <v>#N/A</v>
        <stp/>
        <stp>BDH|2681271811176162919</stp>
        <tr r="Y97" s="18"/>
      </tp>
      <tp t="e">
        <v>#N/A</v>
        <stp/>
        <stp>BDH|9973642609210668126</stp>
        <tr r="Y84" s="17"/>
      </tp>
      <tp t="e">
        <v>#N/A</v>
        <stp/>
        <stp>BDH|8035624101449638957</stp>
        <tr r="V51" s="24"/>
      </tp>
      <tp t="e">
        <v>#N/A</v>
        <stp/>
        <stp>BDH|9525164162340046017</stp>
        <tr r="K40" s="13"/>
        <tr r="I28" s="11"/>
        <tr r="I36" s="10"/>
      </tp>
      <tp t="e">
        <v>#N/A</v>
        <stp/>
        <stp>BDH|4002946323708295950</stp>
        <tr r="M21" s="4"/>
      </tp>
      <tp t="e">
        <v>#N/A</v>
        <stp/>
        <stp>BDH|5195833382309980299</stp>
        <tr r="G9" s="34"/>
      </tp>
      <tp t="e">
        <v>#N/A</v>
        <stp/>
        <stp>BDH|9310050936587496345</stp>
        <tr r="M12" s="20"/>
        <tr r="M113" s="18"/>
      </tp>
      <tp t="e">
        <v>#N/A</v>
        <stp/>
        <stp>BDH|2951942218963201775</stp>
        <tr r="G39" s="13"/>
        <tr r="E43" s="10"/>
        <tr r="E35" s="11"/>
        <tr r="E52" s="4"/>
        <tr r="G8" s="3"/>
      </tp>
      <tp t="e">
        <v>#N/A</v>
        <stp/>
        <stp>BDH|3280976173937095465</stp>
        <tr r="AA8" s="24"/>
      </tp>
      <tp t="e">
        <v>#N/A</v>
        <stp/>
        <stp>BDH|3640274491750984695</stp>
        <tr r="R44" s="12"/>
      </tp>
      <tp t="e">
        <v>#N/A</v>
        <stp/>
        <stp>BDH|9880711356683670692</stp>
        <tr r="S44" s="18"/>
      </tp>
      <tp t="e">
        <v>#N/A</v>
        <stp/>
        <stp>BDH|8036823936925721836</stp>
        <tr r="N21" s="12"/>
      </tp>
      <tp t="e">
        <v>#N/A</v>
        <stp/>
        <stp>BDH|2586068056480300969</stp>
        <tr r="C10" s="27"/>
        <tr r="C25" s="25"/>
      </tp>
      <tp t="e">
        <v>#N/A</v>
        <stp/>
        <stp>BDH|8101718140071139417</stp>
        <tr r="AA43" s="13"/>
      </tp>
      <tp t="e">
        <v>#N/A</v>
        <stp/>
        <stp>BDH|9825609933375952721</stp>
        <tr r="N9" s="23"/>
      </tp>
      <tp t="e">
        <v>#N/A</v>
        <stp/>
        <stp>BDH|4947398491478400857</stp>
        <tr r="R8" s="10"/>
      </tp>
      <tp t="e">
        <v>#N/A</v>
        <stp/>
        <stp>BDH|8518573679981837537</stp>
        <tr r="P13" s="11"/>
      </tp>
      <tp t="e">
        <v>#N/A</v>
        <stp/>
        <stp>BDH|7948628008327200811</stp>
        <tr r="K66" s="21"/>
      </tp>
      <tp t="e">
        <v>#N/A</v>
        <stp/>
        <stp>BDH|5168932776620469515</stp>
        <tr r="J24" s="22"/>
      </tp>
      <tp t="e">
        <v>#N/A</v>
        <stp/>
        <stp>BDH|9595075235921468522</stp>
        <tr r="Q27" s="7"/>
      </tp>
      <tp t="e">
        <v>#N/A</v>
        <stp/>
        <stp>BDH|8051957846402341913</stp>
        <tr r="I98" s="18"/>
      </tp>
      <tp t="e">
        <v>#N/A</v>
        <stp/>
        <stp>BDH|7244085588785552462</stp>
        <tr r="Y26" s="29"/>
      </tp>
      <tp t="e">
        <v>#N/A</v>
        <stp/>
        <stp>BDH|5169536772068111101</stp>
        <tr r="F58" s="34"/>
      </tp>
      <tp t="e">
        <v>#N/A</v>
        <stp/>
        <stp>BDH|1778160159418042397</stp>
        <tr r="V55" s="11"/>
      </tp>
      <tp t="e">
        <v>#N/A</v>
        <stp/>
        <stp>BDH|6534506085936662379</stp>
        <tr r="Y86" s="18"/>
      </tp>
      <tp t="e">
        <v>#N/A</v>
        <stp/>
        <stp>BDH|9060792026762996079</stp>
        <tr r="M23" s="18"/>
      </tp>
      <tp t="e">
        <v>#N/A</v>
        <stp/>
        <stp>BDH|3751911465540300212</stp>
        <tr r="K52" s="22"/>
      </tp>
      <tp t="e">
        <v>#N/A</v>
        <stp/>
        <stp>BDH|8512140308854125398</stp>
        <tr r="N32" s="26"/>
      </tp>
      <tp t="e">
        <v>#N/A</v>
        <stp/>
        <stp>BDH|2047142888295969041</stp>
        <tr r="F10" s="34"/>
      </tp>
      <tp t="e">
        <v>#N/A</v>
        <stp/>
        <stp>BDH|9649552109441342384</stp>
        <tr r="AA63" s="24"/>
      </tp>
      <tp t="e">
        <v>#N/A</v>
        <stp/>
        <stp>BDH|2103467165088341601</stp>
        <tr r="W15" s="21"/>
      </tp>
      <tp t="e">
        <v>#N/A</v>
        <stp/>
        <stp>BDH|3955933778293770041</stp>
        <tr r="J6" s="16"/>
        <tr r="K6" s="11"/>
        <tr r="K10" s="4"/>
        <tr r="M6" s="3"/>
      </tp>
      <tp t="e">
        <v>#N/A</v>
        <stp/>
        <stp>BDH|7812083382842460378</stp>
        <tr r="U146" s="18"/>
      </tp>
      <tp t="e">
        <v>#N/A</v>
        <stp/>
        <stp>BDH|7222989959186083326</stp>
        <tr r="W108" s="12"/>
      </tp>
      <tp t="e">
        <v>#N/A</v>
        <stp/>
        <stp>BDH|3710370229424982819</stp>
        <tr r="M44" s="12"/>
      </tp>
      <tp t="e">
        <v>#N/A</v>
        <stp/>
        <stp>BDH|1740961875563260272</stp>
        <tr r="M34" s="11"/>
        <tr r="M42" s="10"/>
      </tp>
      <tp t="e">
        <v>#N/A</v>
        <stp/>
        <stp>BDH|4295947766915263036</stp>
        <tr r="I27" s="17"/>
      </tp>
      <tp t="e">
        <v>#N/A</v>
        <stp/>
        <stp>BDH|4713994899209228342</stp>
        <tr r="N17" s="27"/>
        <tr r="N31" s="25"/>
        <tr r="K14" s="5"/>
      </tp>
      <tp t="e">
        <v>#N/A</v>
        <stp/>
        <stp>BDH|4987795921867752877</stp>
        <tr r="S41" s="17"/>
      </tp>
      <tp t="e">
        <v>#N/A</v>
        <stp/>
        <stp>BDH|8871094921497759364</stp>
        <tr r="V94" s="18"/>
      </tp>
      <tp t="e">
        <v>#N/A</v>
        <stp/>
        <stp>BDH|4290873201002249077</stp>
        <tr r="T77" s="17"/>
        <tr r="T19" s="3"/>
      </tp>
      <tp t="e">
        <v>#N/A</v>
        <stp/>
        <stp>BDH|5900003222970879925</stp>
        <tr r="H111" s="12"/>
      </tp>
      <tp t="e">
        <v>#N/A</v>
        <stp/>
        <stp>BDH|2759789156407855905</stp>
        <tr r="N19" s="20"/>
      </tp>
      <tp t="e">
        <v>#N/A</v>
        <stp/>
        <stp>BDH|4938065377175183887</stp>
        <tr r="T21" s="21"/>
      </tp>
      <tp t="e">
        <v>#N/A</v>
        <stp/>
        <stp>BDH|1699633684939726879</stp>
        <tr r="P40" s="34"/>
      </tp>
      <tp t="e">
        <v>#N/A</v>
        <stp/>
        <stp>BDH|6078059495608527942</stp>
        <tr r="C43" s="6"/>
        <tr r="C19" s="5"/>
      </tp>
      <tp t="e">
        <v>#N/A</v>
        <stp/>
        <stp>BDH|1251995023974912003</stp>
        <tr r="Z21" s="24"/>
      </tp>
      <tp t="e">
        <v>#N/A</v>
        <stp/>
        <stp>BDH|9380566244604320231</stp>
        <tr r="U16" s="23"/>
      </tp>
      <tp t="e">
        <v>#N/A</v>
        <stp/>
        <stp>BDH|5966780913805013834</stp>
        <tr r="D31" s="12"/>
      </tp>
      <tp t="e">
        <v>#N/A</v>
        <stp/>
        <stp>BDH|2273005743748095001</stp>
        <tr r="O57" s="18"/>
      </tp>
      <tp t="e">
        <v>#N/A</v>
        <stp/>
        <stp>BDH|1565412487943035023</stp>
        <tr r="Q25" s="34"/>
      </tp>
      <tp t="e">
        <v>#N/A</v>
        <stp/>
        <stp>BDH|7942329828240346816</stp>
        <tr r="P18" s="12"/>
      </tp>
      <tp t="e">
        <v>#N/A</v>
        <stp/>
        <stp>BDH|9701307215896570365</stp>
        <tr r="T47" s="17"/>
      </tp>
      <tp t="e">
        <v>#N/A</v>
        <stp/>
        <stp>BDH|2310826782279782551</stp>
        <tr r="H92" s="17"/>
        <tr r="H7" s="27"/>
      </tp>
      <tp t="e">
        <v>#N/A</v>
        <stp/>
        <stp>BDH|4144468490413512435</stp>
        <tr r="Q60" s="21"/>
      </tp>
      <tp t="e">
        <v>#N/A</v>
        <stp/>
        <stp>BDH|1049941250777483416</stp>
        <tr r="P22" s="21"/>
      </tp>
      <tp t="e">
        <v>#N/A</v>
        <stp/>
        <stp>BDH|1139455700872566904</stp>
        <tr r="C18" s="26"/>
      </tp>
      <tp t="e">
        <v>#N/A</v>
        <stp/>
        <stp>BDH|2542840972435069629</stp>
        <tr r="K17" s="10"/>
      </tp>
      <tp t="e">
        <v>#N/A</v>
        <stp/>
        <stp>BDH|6295412792304902196</stp>
        <tr r="U59" s="34"/>
      </tp>
      <tp t="e">
        <v>#N/A</v>
        <stp/>
        <stp>BDH|7044729901129427760</stp>
        <tr r="D20" s="25"/>
      </tp>
      <tp t="e">
        <v>#N/A</v>
        <stp/>
        <stp>BDH|9181738053635726005</stp>
        <tr r="S69" s="12"/>
      </tp>
      <tp t="e">
        <v>#N/A</v>
        <stp/>
        <stp>BDH|1545291739377137924</stp>
        <tr r="J56" s="13"/>
      </tp>
      <tp t="e">
        <v>#N/A</v>
        <stp/>
        <stp>BDH|1930446497593882149</stp>
        <tr r="Q127" s="18"/>
      </tp>
      <tp t="e">
        <v>#N/A</v>
        <stp/>
        <stp>BDH|8419102432970597453</stp>
        <tr r="F23" s="23"/>
      </tp>
      <tp t="e">
        <v>#N/A</v>
        <stp/>
        <stp>BDH|9449123717874590326</stp>
        <tr r="K22" s="12"/>
      </tp>
      <tp t="e">
        <v>#N/A</v>
        <stp/>
        <stp>BDH|5093169656418730715</stp>
        <tr r="H86" s="17"/>
      </tp>
      <tp t="e">
        <v>#N/A</v>
        <stp/>
        <stp>BDH|5590826027969202844</stp>
        <tr r="D11" s="24"/>
      </tp>
      <tp t="e">
        <v>#N/A</v>
        <stp/>
        <stp>BDH|1223488880403458089</stp>
        <tr r="H78" s="18"/>
      </tp>
      <tp t="e">
        <v>#N/A</v>
        <stp/>
        <stp>BDH|2663777255287611940</stp>
        <tr r="L176" s="18"/>
      </tp>
      <tp t="e">
        <v>#N/A</v>
        <stp/>
        <stp>BDH|1530993169687502764</stp>
        <tr r="J156" s="18"/>
      </tp>
      <tp t="e">
        <v>#N/A</v>
        <stp/>
        <stp>BDH|2108858843190844099</stp>
        <tr r="Q77" s="24"/>
      </tp>
      <tp t="e">
        <v>#N/A</v>
        <stp/>
        <stp>BDH|6894669308799005703</stp>
        <tr r="Y34" s="17"/>
      </tp>
      <tp t="e">
        <v>#N/A</v>
        <stp/>
        <stp>BDH|8166918012378397673</stp>
        <tr r="U18" s="26"/>
      </tp>
      <tp t="e">
        <v>#N/A</v>
        <stp/>
        <stp>BDH|4905123402759916262</stp>
        <tr r="V37" s="26"/>
      </tp>
      <tp t="e">
        <v>#N/A</v>
        <stp/>
        <stp>BDH|4189049413459764274</stp>
        <tr r="T20" s="34"/>
      </tp>
      <tp t="e">
        <v>#N/A</v>
        <stp/>
        <stp>BDH|9793534312880061304</stp>
        <tr r="W19" s="13"/>
        <tr r="U61" s="10"/>
        <tr r="U32" s="4"/>
        <tr r="U16" s="2"/>
      </tp>
      <tp t="e">
        <v>#N/A</v>
        <stp/>
        <stp>BDH|8194568893689278306</stp>
        <tr r="Z140" s="18"/>
      </tp>
      <tp t="e">
        <v>#N/A</v>
        <stp/>
        <stp>BDH|9973882786404685370</stp>
        <tr r="J56" s="34"/>
      </tp>
      <tp t="e">
        <v>#N/A</v>
        <stp/>
        <stp>BDH|8163687518998373946</stp>
        <tr r="D8" s="10"/>
      </tp>
      <tp t="e">
        <v>#N/A</v>
        <stp/>
        <stp>BDH|3551077593460483436</stp>
        <tr r="R10" s="12"/>
      </tp>
      <tp t="e">
        <v>#N/A</v>
        <stp/>
        <stp>BDH|2545177685143424658</stp>
        <tr r="P10" s="18"/>
      </tp>
      <tp t="e">
        <v>#N/A</v>
        <stp/>
        <stp>BDH|1082689234048388291</stp>
        <tr r="D12" s="13"/>
      </tp>
      <tp t="e">
        <v>#N/A</v>
        <stp/>
        <stp>BDH|9155240662465699670</stp>
        <tr r="N63" s="21"/>
      </tp>
      <tp t="e">
        <v>#N/A</v>
        <stp/>
        <stp>BDH|8737452833484687516</stp>
        <tr r="X175" s="18"/>
      </tp>
      <tp t="e">
        <v>#N/A</v>
        <stp/>
        <stp>BDH|9152654340920313512</stp>
        <tr r="S25" s="18"/>
      </tp>
      <tp t="e">
        <v>#N/A</v>
        <stp/>
        <stp>BDH|1611300571013287832</stp>
        <tr r="I39" s="22"/>
      </tp>
      <tp t="e">
        <v>#N/A</v>
        <stp/>
        <stp>BDH|2082232079189943054</stp>
        <tr r="D70" s="17"/>
      </tp>
      <tp t="e">
        <v>#N/A</v>
        <stp/>
        <stp>BDH|8447573277997377312</stp>
        <tr r="X18" s="17"/>
      </tp>
      <tp t="e">
        <v>#N/A</v>
        <stp/>
        <stp>BDH|4558062082347478539</stp>
        <tr r="X55" s="6"/>
      </tp>
      <tp t="e">
        <v>#N/A</v>
        <stp/>
        <stp>BDH|9281364711704216110</stp>
        <tr r="U43" s="11"/>
        <tr r="U51" s="10"/>
        <tr r="U15" s="7"/>
      </tp>
      <tp t="e">
        <v>#N/A</v>
        <stp/>
        <stp>BDH|7603012896118214858</stp>
        <tr r="Z39" s="12"/>
      </tp>
      <tp t="e">
        <v>#N/A</v>
        <stp/>
        <stp>BDH|6648602501068750669</stp>
        <tr r="D14" s="28"/>
      </tp>
      <tp t="e">
        <v>#N/A</v>
        <stp/>
        <stp>BDH|6456651997484693364</stp>
        <tr r="Q26" s="25"/>
        <tr r="Q12" s="27"/>
      </tp>
      <tp t="e">
        <v>#N/A</v>
        <stp/>
        <stp>BDH|7870419088533533625</stp>
        <tr r="J48" s="18"/>
      </tp>
      <tp t="e">
        <v>#N/A</v>
        <stp/>
        <stp>BDH|2408679961068311474</stp>
        <tr r="K15" s="4"/>
      </tp>
      <tp t="e">
        <v>#N/A</v>
        <stp/>
        <stp>BDH|9381110778800590195</stp>
        <tr r="S20" s="27"/>
      </tp>
      <tp t="e">
        <v>#N/A</v>
        <stp/>
        <stp>BDH|7523867981120709938</stp>
        <tr r="V21" s="5"/>
        <tr r="V21" s="9"/>
      </tp>
      <tp t="e">
        <v>#N/A</v>
        <stp/>
        <stp>BDH|1262169863679720167</stp>
        <tr r="H166" s="18"/>
      </tp>
      <tp t="e">
        <v>#N/A</v>
        <stp/>
        <stp>BDH|6591927253502106634</stp>
        <tr r="W22" s="27"/>
      </tp>
      <tp t="e">
        <v>#N/A</v>
        <stp/>
        <stp>BDH|2067195689860070563</stp>
        <tr r="G17" s="24"/>
      </tp>
      <tp t="e">
        <v>#N/A</v>
        <stp/>
        <stp>BDH|6285807390808713138</stp>
        <tr r="I107" s="12"/>
      </tp>
      <tp t="e">
        <v>#N/A</v>
        <stp/>
        <stp>BDH|6184081188774550425</stp>
        <tr r="W70" s="24"/>
      </tp>
      <tp t="e">
        <v>#N/A</v>
        <stp/>
        <stp>BDH|5223563185573199563</stp>
        <tr r="W82" s="12"/>
      </tp>
      <tp t="e">
        <v>#N/A</v>
        <stp/>
        <stp>BDH|7271018082795375441</stp>
        <tr r="N8" s="27"/>
      </tp>
      <tp t="e">
        <v>#N/A</v>
        <stp/>
        <stp>BDH|4410103000233344805</stp>
        <tr r="V52" s="17"/>
        <tr r="V17" s="3"/>
      </tp>
      <tp t="e">
        <v>#N/A</v>
        <stp/>
        <stp>BDH|8564479041202295465</stp>
        <tr r="U11" s="24"/>
      </tp>
      <tp t="e">
        <v>#N/A</v>
        <stp/>
        <stp>BDH|9349081442065862662</stp>
        <tr r="Q10" s="23"/>
      </tp>
      <tp t="e">
        <v>#N/A</v>
        <stp/>
        <stp>BDH|8535506225814590524</stp>
        <tr r="E22" s="17"/>
      </tp>
      <tp t="e">
        <v>#N/A</v>
        <stp/>
        <stp>BDH|4799664292937240260</stp>
        <tr r="V32" s="12"/>
      </tp>
      <tp t="e">
        <v>#N/A</v>
        <stp/>
        <stp>BDH|9451611778516902032</stp>
        <tr r="S46" s="13"/>
      </tp>
      <tp t="e">
        <v>#N/A</v>
        <stp/>
        <stp>BDH|1004379886834409022</stp>
        <tr r="K65" s="18"/>
      </tp>
      <tp t="e">
        <v>#N/A</v>
        <stp/>
        <stp>BDH|8905156978493226313</stp>
        <tr r="K37" s="26"/>
      </tp>
      <tp t="e">
        <v>#N/A</v>
        <stp/>
        <stp>BDH|2676745405183181818</stp>
        <tr r="X45" s="24"/>
      </tp>
      <tp t="e">
        <v>#N/A</v>
        <stp/>
        <stp>BDH|1633067251719783319</stp>
        <tr r="P67" s="24"/>
      </tp>
      <tp t="e">
        <v>#N/A</v>
        <stp/>
        <stp>BDH|4603725777242520810</stp>
        <tr r="U20" s="30"/>
      </tp>
      <tp t="e">
        <v>#N/A</v>
        <stp/>
        <stp>BDH|9414221557297718716</stp>
        <tr r="E27" s="26"/>
      </tp>
      <tp t="e">
        <v>#N/A</v>
        <stp/>
        <stp>BDH|7007008021673583833</stp>
        <tr r="Z16" s="30"/>
      </tp>
      <tp t="e">
        <v>#N/A</v>
        <stp/>
        <stp>BDH|2659766463238642520</stp>
        <tr r="X52" s="22"/>
      </tp>
      <tp t="e">
        <v>#N/A</v>
        <stp/>
        <stp>BDH|4728861174395734057</stp>
        <tr r="V17" s="10"/>
      </tp>
      <tp t="e">
        <v>#N/A</v>
        <stp/>
        <stp>BDH|7168021195073451356</stp>
        <tr r="P41" s="17"/>
      </tp>
      <tp t="e">
        <v>#N/A</v>
        <stp/>
        <stp>BDH|4534267614809580053</stp>
        <tr r="Q93" s="12"/>
      </tp>
      <tp t="e">
        <v>#N/A</v>
        <stp/>
        <stp>BDH|1879080471411171973</stp>
        <tr r="V15" s="17"/>
        <tr r="V18" s="28"/>
      </tp>
      <tp t="e">
        <v>#N/A</v>
        <stp/>
        <stp>BDH|9444550650096400123</stp>
        <tr r="Y96" s="12"/>
      </tp>
      <tp t="e">
        <v>#N/A</v>
        <stp/>
        <stp>BDH|4714736532538861692</stp>
        <tr r="T12" s="21"/>
      </tp>
      <tp t="e">
        <v>#N/A</v>
        <stp/>
        <stp>BDH|5172966155371778623</stp>
        <tr r="C16" s="6"/>
      </tp>
      <tp t="e">
        <v>#N/A</v>
        <stp/>
        <stp>BDH|7492494286987854247</stp>
        <tr r="W29" s="29"/>
        <tr r="W7" s="29"/>
      </tp>
      <tp t="e">
        <v>#N/A</v>
        <stp/>
        <stp>BDH|4374845324126420608</stp>
        <tr r="Q59" s="34"/>
      </tp>
      <tp t="e">
        <v>#N/A</v>
        <stp/>
        <stp>BDH|6390962772287989199</stp>
        <tr r="K12" s="20"/>
        <tr r="K113" s="18"/>
      </tp>
      <tp t="e">
        <v>#N/A</v>
        <stp/>
        <stp>BDH|4926001298910006362</stp>
        <tr r="O60" s="24"/>
      </tp>
      <tp t="e">
        <v>#N/A</v>
        <stp/>
        <stp>BDH|5048567296575570229</stp>
        <tr r="Z83" s="18"/>
      </tp>
      <tp t="e">
        <v>#N/A</v>
        <stp/>
        <stp>BDH|3908854126950837756</stp>
        <tr r="O20" s="29"/>
      </tp>
      <tp t="e">
        <v>#N/A</v>
        <stp/>
        <stp>BDH|2954460638472988992</stp>
        <tr r="C45" s="12"/>
      </tp>
      <tp t="e">
        <v>#N/A</v>
        <stp/>
        <stp>BDH|3008224241662493900</stp>
        <tr r="X24" s="29"/>
      </tp>
      <tp t="e">
        <v>#N/A</v>
        <stp/>
        <stp>BDH|4885166189390734375</stp>
        <tr r="L73" s="12"/>
      </tp>
      <tp t="e">
        <v>#N/A</v>
        <stp/>
        <stp>BDH|5107019097634951690</stp>
        <tr r="C59" s="13"/>
      </tp>
      <tp t="e">
        <v>#N/A</v>
        <stp/>
        <stp>BDH|7134173786808115863</stp>
        <tr r="R164" s="18"/>
      </tp>
      <tp t="e">
        <v>#N/A</v>
        <stp/>
        <stp>BDH|4349823018434776799</stp>
        <tr r="U36" s="18"/>
      </tp>
      <tp t="e">
        <v>#N/A</v>
        <stp/>
        <stp>BDH|1789086316718604684</stp>
        <tr r="I17" s="20"/>
      </tp>
      <tp t="e">
        <v>#N/A</v>
        <stp/>
        <stp>BDH|3381913661671442305</stp>
        <tr r="F55" s="13"/>
        <tr r="D56" s="10"/>
        <tr r="D48" s="11"/>
        <tr r="D18" s="7"/>
      </tp>
      <tp t="e">
        <v>#N/A</v>
        <stp/>
        <stp>BDH|5751436083732811589</stp>
        <tr r="K25" s="27"/>
      </tp>
      <tp t="e">
        <v>#N/A</v>
        <stp/>
        <stp>BDH|6887970154091417586</stp>
        <tr r="D10" s="18"/>
      </tp>
      <tp t="e">
        <v>#N/A</v>
        <stp/>
        <stp>BDH|5141408322545021845</stp>
        <tr r="M56" s="12"/>
      </tp>
      <tp t="e">
        <v>#N/A</v>
        <stp/>
        <stp>BDH|3679439099444822409</stp>
        <tr r="V11" s="18"/>
      </tp>
      <tp t="e">
        <v>#N/A</v>
        <stp/>
        <stp>BDH|2117817451644693539</stp>
        <tr r="U136" s="18"/>
      </tp>
      <tp t="e">
        <v>#N/A</v>
        <stp/>
        <stp>BDH|9592001102783785447</stp>
        <tr r="V69" s="12"/>
      </tp>
      <tp t="e">
        <v>#N/A</v>
        <stp/>
        <stp>BDH|9312226722511772606</stp>
        <tr r="Q15" s="26"/>
      </tp>
      <tp t="e">
        <v>#N/A</v>
        <stp/>
        <stp>BDH|7775027971357567956</stp>
        <tr r="E58" s="24"/>
      </tp>
      <tp t="e">
        <v>#N/A</v>
        <stp/>
        <stp>BDH|4840090673249039466</stp>
        <tr r="C111" s="12"/>
      </tp>
      <tp t="e">
        <v>#N/A</v>
        <stp/>
        <stp>BDH|1123101077019234002</stp>
        <tr r="M13" s="17"/>
        <tr r="M16" s="28"/>
      </tp>
      <tp t="e">
        <v>#N/A</v>
        <stp/>
        <stp>BDH|2200384299826392047</stp>
        <tr r="P50" s="4"/>
      </tp>
      <tp t="e">
        <v>#N/A</v>
        <stp/>
        <stp>BDH|8460375464612068131</stp>
        <tr r="Q32" s="13"/>
        <tr r="O28" s="10"/>
      </tp>
      <tp t="e">
        <v>#N/A</v>
        <stp/>
        <stp>BDH|7276227111088436211</stp>
        <tr r="F15" s="34"/>
      </tp>
      <tp t="e">
        <v>#N/A</v>
        <stp/>
        <stp>BDH|8563243518213931641</stp>
        <tr r="X49" s="17"/>
      </tp>
      <tp t="e">
        <v>#N/A</v>
        <stp/>
        <stp>BDH|4882095877858131533</stp>
        <tr r="E9" s="10"/>
      </tp>
      <tp t="e">
        <v>#N/A</v>
        <stp/>
        <stp>BDH|4970863204832788081</stp>
        <tr r="K63" s="10"/>
      </tp>
      <tp t="e">
        <v>#N/A</v>
        <stp/>
        <stp>BDH|9926298821292555509</stp>
        <tr r="Y101" s="18"/>
      </tp>
      <tp t="e">
        <v>#N/A</v>
        <stp/>
        <stp>BDH|4027734824579132624</stp>
        <tr r="C60" s="34"/>
      </tp>
      <tp t="e">
        <v>#N/A</v>
        <stp/>
        <stp>BDH|7192782042258793287</stp>
        <tr r="C15" s="24"/>
      </tp>
      <tp t="e">
        <v>#N/A</v>
        <stp/>
        <stp>BDH|4409969569390655598</stp>
        <tr r="T62" s="24"/>
      </tp>
      <tp t="e">
        <v>#N/A</v>
        <stp/>
        <stp>BDH|3462889543441892035</stp>
        <tr r="Q28" s="4"/>
      </tp>
      <tp t="e">
        <v>#N/A</v>
        <stp/>
        <stp>BDH|8130483274732983708</stp>
        <tr r="V111" s="12"/>
      </tp>
      <tp t="e">
        <v>#N/A</v>
        <stp/>
        <stp>BDH|7347764405216524816</stp>
        <tr r="I8" s="25"/>
        <tr r="F10" s="5"/>
        <tr r="G9" s="2"/>
      </tp>
      <tp t="e">
        <v>#N/A</v>
        <stp/>
        <stp>BDH|4582769944341763842</stp>
        <tr r="D14" s="34"/>
      </tp>
      <tp t="e">
        <v>#N/A</v>
        <stp/>
        <stp>BDH|3760929554382155340</stp>
        <tr r="X103" s="12"/>
      </tp>
      <tp t="e">
        <v>#N/A</v>
        <stp/>
        <stp>BDH|6085825632510619320</stp>
        <tr r="Y8" s="17"/>
      </tp>
      <tp t="e">
        <v>#N/A</v>
        <stp/>
        <stp>BDH|7520018795038602831</stp>
        <tr r="W83" s="17"/>
      </tp>
      <tp t="e">
        <v>#N/A</v>
        <stp/>
        <stp>BDH|2152940850419991983</stp>
        <tr r="P50" s="34"/>
      </tp>
      <tp t="e">
        <v>#N/A</v>
        <stp/>
        <stp>BDH|5004209677036574864</stp>
        <tr r="U33" s="17"/>
      </tp>
      <tp t="e">
        <v>#N/A</v>
        <stp/>
        <stp>BDH|8897586335182116205</stp>
        <tr r="G14" s="11"/>
      </tp>
      <tp t="e">
        <v>#N/A</v>
        <stp/>
        <stp>BDH|2629931894895369961</stp>
        <tr r="Q161" s="18"/>
      </tp>
      <tp t="e">
        <v>#N/A</v>
        <stp/>
        <stp>BDH|5434481010758003689</stp>
        <tr r="S25" s="10"/>
      </tp>
      <tp t="e">
        <v>#N/A</v>
        <stp/>
        <stp>BDH|1355914993199686634</stp>
        <tr r="X21" s="12"/>
      </tp>
      <tp t="e">
        <v>#N/A</v>
        <stp/>
        <stp>BDH|2109946424944748324</stp>
        <tr r="D8" s="11"/>
      </tp>
      <tp t="e">
        <v>#N/A</v>
        <stp/>
        <stp>BDH|2837728397175802715</stp>
        <tr r="Z18" s="12"/>
      </tp>
      <tp t="e">
        <v>#N/A</v>
        <stp/>
        <stp>BDH|1791867764193398228</stp>
        <tr r="G9" s="26"/>
      </tp>
      <tp t="e">
        <v>#N/A</v>
        <stp/>
        <stp>BDH|1612708057379214475</stp>
        <tr r="M10" s="23"/>
      </tp>
      <tp t="e">
        <v>#N/A</v>
        <stp/>
        <stp>BDH|4335244113860213920</stp>
        <tr r="Y81" s="18"/>
      </tp>
      <tp t="e">
        <v>#N/A</v>
        <stp/>
        <stp>BDH|2144802313020135564</stp>
        <tr r="U76" s="24"/>
      </tp>
      <tp t="e">
        <v>#N/A</v>
        <stp/>
        <stp>BDH|3237659160194796953</stp>
        <tr r="D11" s="14"/>
      </tp>
      <tp t="e">
        <v>#N/A</v>
        <stp/>
        <stp>BDH|7046415303449075472</stp>
        <tr r="M15" s="22"/>
      </tp>
      <tp t="e">
        <v>#N/A</v>
        <stp/>
        <stp>BDH|3647619681105783644</stp>
        <tr r="Q119" s="18"/>
      </tp>
      <tp t="e">
        <v>#N/A</v>
        <stp/>
        <stp>BDH|8178817552598726307</stp>
        <tr r="Y72" s="24"/>
      </tp>
      <tp t="e">
        <v>#N/A</v>
        <stp/>
        <stp>BDH|2006074733568476755</stp>
        <tr r="C85" s="17"/>
      </tp>
      <tp t="e">
        <v>#N/A</v>
        <stp/>
        <stp>BDH|3268354761080272817</stp>
        <tr r="W8" s="2"/>
      </tp>
      <tp t="e">
        <v>#N/A</v>
        <stp/>
        <stp>BDH|3628793116118827340</stp>
        <tr r="C145" s="18"/>
      </tp>
      <tp t="e">
        <v>#N/A</v>
        <stp/>
        <stp>BDH|3925942983138326481</stp>
        <tr r="I47" s="18"/>
      </tp>
      <tp t="e">
        <v>#N/A</v>
        <stp/>
        <stp>BDH|7210706652599279270</stp>
        <tr r="X35" s="6"/>
      </tp>
      <tp t="e">
        <v>#N/A</v>
        <stp/>
        <stp>BDH|6277800614291104020</stp>
        <tr r="O38" s="12"/>
      </tp>
      <tp t="e">
        <v>#N/A</v>
        <stp/>
        <stp>BDH|2962367881612250597</stp>
        <tr r="C97" s="12"/>
      </tp>
      <tp t="e">
        <v>#N/A</v>
        <stp/>
        <stp>BDH|2859954998075672962</stp>
        <tr r="E40" s="22"/>
      </tp>
      <tp t="e">
        <v>#N/A</v>
        <stp/>
        <stp>BDH|9114753701656567656</stp>
        <tr r="K169" s="18"/>
      </tp>
      <tp t="e">
        <v>#N/A</v>
        <stp/>
        <stp>BDH|4404983672393218795</stp>
        <tr r="I26" s="26"/>
      </tp>
      <tp t="e">
        <v>#N/A</v>
        <stp/>
        <stp>BDH|3388490721759930278</stp>
        <tr r="S8" s="6"/>
      </tp>
      <tp t="e">
        <v>#N/A</v>
        <stp/>
        <stp>BDH|6496908159520845406</stp>
        <tr r="E25" s="22"/>
      </tp>
      <tp t="e">
        <v>#N/A</v>
        <stp/>
        <stp>BDH|3914388843183699917</stp>
        <tr r="L41" s="6"/>
      </tp>
      <tp t="e">
        <v>#N/A</v>
        <stp/>
        <stp>BDH|5507700299586935300</stp>
        <tr r="U70" s="12"/>
      </tp>
      <tp t="e">
        <v>#N/A</v>
        <stp/>
        <stp>BDH|8089017199807543885</stp>
        <tr r="X10" s="26"/>
      </tp>
      <tp t="e">
        <v>#N/A</v>
        <stp/>
        <stp>BDH|8068419331195237474</stp>
        <tr r="C60" s="13"/>
      </tp>
      <tp t="e">
        <v>#N/A</v>
        <stp/>
        <stp>BDH|7242519854000636947</stp>
        <tr r="E90" s="12"/>
      </tp>
      <tp t="e">
        <v>#N/A</v>
        <stp/>
        <stp>BDH|1736676512951029977</stp>
        <tr r="H110" s="12"/>
      </tp>
      <tp t="e">
        <v>#N/A</v>
        <stp/>
        <stp>BDH|5282964852616101123</stp>
        <tr r="L21" s="22"/>
      </tp>
      <tp t="e">
        <v>#N/A</v>
        <stp/>
        <stp>BDH|6972040677797616898</stp>
        <tr r="C65" s="17"/>
      </tp>
      <tp t="e">
        <v>#N/A</v>
        <stp/>
        <stp>BDH|5882137988585146776</stp>
        <tr r="P66" s="21"/>
      </tp>
      <tp t="e">
        <v>#N/A</v>
        <stp/>
        <stp>BDH|5828389890318221972</stp>
        <tr r="T61" s="11"/>
        <tr r="T69" s="10"/>
        <tr r="T20" s="7"/>
      </tp>
      <tp t="e">
        <v>#N/A</v>
        <stp/>
        <stp>BDH|5168082664514080981</stp>
        <tr r="Y161" s="18"/>
      </tp>
      <tp t="e">
        <v>#N/A</v>
        <stp/>
        <stp>BDH|8370375123197787053</stp>
        <tr r="I140" s="18"/>
      </tp>
      <tp t="e">
        <v>#N/A</v>
        <stp/>
        <stp>BDH|3117824637205984384</stp>
        <tr r="S7" s="11"/>
      </tp>
      <tp t="e">
        <v>#N/A</v>
        <stp/>
        <stp>BDH|2631326883945766251</stp>
        <tr r="Q152" s="18"/>
      </tp>
      <tp t="e">
        <v>#N/A</v>
        <stp/>
        <stp>BDH|8093628559885708093</stp>
        <tr r="O42" s="13"/>
      </tp>
      <tp t="e">
        <v>#N/A</v>
        <stp/>
        <stp>BDH|6051923426362374128</stp>
        <tr r="S28" s="21"/>
      </tp>
      <tp t="e">
        <v>#N/A</v>
        <stp/>
        <stp>BDH|9136673221823146036</stp>
        <tr r="Q10" s="24"/>
      </tp>
      <tp t="e">
        <v>#N/A</v>
        <stp/>
        <stp>BDH|1841828878565447537</stp>
        <tr r="Z55" s="18"/>
      </tp>
      <tp t="e">
        <v>#N/A</v>
        <stp/>
        <stp>BDH|4628835316377794417</stp>
        <tr r="J17" s="27"/>
        <tr r="J31" s="25"/>
        <tr r="G14" s="5"/>
      </tp>
      <tp t="e">
        <v>#N/A</v>
        <stp/>
        <stp>BDH|5129239150928612419</stp>
        <tr r="Y41" s="24"/>
      </tp>
      <tp t="e">
        <v>#N/A</v>
        <stp/>
        <stp>BDH|4364716254890275815</stp>
        <tr r="Y8" s="29"/>
        <tr r="Y30" s="29"/>
      </tp>
      <tp t="e">
        <v>#N/A</v>
        <stp/>
        <stp>BDH|1864799585152472254</stp>
        <tr r="H55" s="24"/>
      </tp>
      <tp t="e">
        <v>#N/A</v>
        <stp/>
        <stp>BDH|6296263171164563950</stp>
        <tr r="C17" s="9"/>
      </tp>
      <tp t="e">
        <v>#N/A</v>
        <stp/>
        <stp>BDH|7411821951414101039</stp>
        <tr r="V79" s="12"/>
      </tp>
      <tp t="e">
        <v>#N/A</v>
        <stp/>
        <stp>BDH|1200869702425211210</stp>
        <tr r="F58" s="18"/>
      </tp>
      <tp t="e">
        <v>#N/A</v>
        <stp/>
        <stp>BDH|8477491708657950599</stp>
        <tr r="O54" s="21"/>
      </tp>
      <tp t="e">
        <v>#N/A</v>
        <stp/>
        <stp>BDH|6384686246128942217</stp>
        <tr r="I7" s="4"/>
      </tp>
      <tp t="e">
        <v>#N/A</v>
        <stp/>
        <stp>BDH|5697338692266280707</stp>
        <tr r="M42" s="24"/>
      </tp>
      <tp t="e">
        <v>#N/A</v>
        <stp/>
        <stp>BDH|6864586231929701736</stp>
        <tr r="X22" s="12"/>
      </tp>
      <tp t="e">
        <v>#N/A</v>
        <stp/>
        <stp>BDH|3804239676929189197</stp>
        <tr r="C7" s="28"/>
      </tp>
      <tp t="e">
        <v>#N/A</v>
        <stp/>
        <stp>BDH|3166818200381341467</stp>
        <tr r="O26" s="6"/>
      </tp>
      <tp t="e">
        <v>#N/A</v>
        <stp/>
        <stp>BDH|8754686854911666482</stp>
        <tr r="S41" s="12"/>
      </tp>
      <tp t="e">
        <v>#N/A</v>
        <stp/>
        <stp>BDH|51487549865674606</stp>
        <tr r="U42" s="24"/>
      </tp>
      <tp t="e">
        <v>#N/A</v>
        <stp/>
        <stp>BDH|68435670613446328</stp>
        <tr r="L48" s="18"/>
      </tp>
      <tp t="e">
        <v>#N/A</v>
        <stp/>
        <stp>BDH|84860095316836490</stp>
        <tr r="C9" s="3"/>
      </tp>
      <tp t="e">
        <v>#N/A</v>
        <stp/>
        <stp>BDH|32902037369054050</stp>
        <tr r="Q39" s="12"/>
      </tp>
      <tp t="e">
        <v>#N/A</v>
        <stp/>
        <stp>BDH|80579176527482648</stp>
        <tr r="E98" s="18"/>
      </tp>
      <tp t="e">
        <v>#N/A</v>
        <stp/>
        <stp>BDH|62416643551955277</stp>
        <tr r="N44" s="17"/>
      </tp>
      <tp t="e">
        <v>#N/A</v>
        <stp/>
        <stp>BDH|99493338447977358</stp>
        <tr r="P30" s="9"/>
      </tp>
      <tp t="e">
        <v>#N/A</v>
        <stp/>
        <stp>BDH|98662914942859634</stp>
        <tr r="V29" s="34"/>
      </tp>
      <tp t="e">
        <v>#N/A</v>
        <stp/>
        <stp>BDH|2262645754258020682</stp>
        <tr r="U140" s="18"/>
      </tp>
      <tp t="e">
        <v>#N/A</v>
        <stp/>
        <stp>BDH|5075840599298465332</stp>
        <tr r="Q9" s="22"/>
      </tp>
      <tp t="e">
        <v>#N/A</v>
        <stp/>
        <stp>BDH|1814976756353615155</stp>
        <tr r="AA112" s="12"/>
      </tp>
      <tp t="e">
        <v>#N/A</v>
        <stp/>
        <stp>BDH|2451482097107608775</stp>
        <tr r="T85" s="12"/>
      </tp>
      <tp t="e">
        <v>#N/A</v>
        <stp/>
        <stp>BDH|4520062569068002502</stp>
        <tr r="AA39" s="12"/>
      </tp>
      <tp t="e">
        <v>#N/A</v>
        <stp/>
        <stp>BDH|2986725289900140295</stp>
        <tr r="U103" s="18"/>
      </tp>
      <tp t="e">
        <v>#N/A</v>
        <stp/>
        <stp>BDH|9674269202733159798</stp>
        <tr r="J28" s="18"/>
      </tp>
      <tp t="e">
        <v>#N/A</v>
        <stp/>
        <stp>BDH|6873912833696669561</stp>
        <tr r="T30" s="13"/>
        <tr r="R26" s="10"/>
      </tp>
      <tp t="e">
        <v>#N/A</v>
        <stp/>
        <stp>BDH|4086540293950817759</stp>
        <tr r="R28" s="25"/>
        <tr r="R14" s="27"/>
      </tp>
      <tp t="e">
        <v>#N/A</v>
        <stp/>
        <stp>BDH|4660798235779103610</stp>
        <tr r="Q10" s="13"/>
      </tp>
      <tp t="e">
        <v>#N/A</v>
        <stp/>
        <stp>BDH|7245249814438123392</stp>
        <tr r="V13" s="17"/>
        <tr r="V16" s="28"/>
      </tp>
      <tp t="e">
        <v>#N/A</v>
        <stp/>
        <stp>BDH|7056882315579588822</stp>
        <tr r="V30" s="21"/>
      </tp>
      <tp t="e">
        <v>#N/A</v>
        <stp/>
        <stp>BDH|7691200698635071643</stp>
        <tr r="D64" s="24"/>
      </tp>
      <tp t="e">
        <v>#N/A</v>
        <stp/>
        <stp>BDH|9007281232551381637</stp>
        <tr r="F19" s="5"/>
        <tr r="F43" s="6"/>
      </tp>
      <tp t="e">
        <v>#N/A</v>
        <stp/>
        <stp>BDH|1094655288242149261</stp>
        <tr r="C35" s="26"/>
      </tp>
      <tp t="e">
        <v>#N/A</v>
        <stp/>
        <stp>BDH|7960760069748995152</stp>
        <tr r="V9" s="29"/>
      </tp>
      <tp t="e">
        <v>#N/A</v>
        <stp/>
        <stp>BDH|1980193091027915127</stp>
        <tr r="X8" s="20"/>
        <tr r="X110" s="18"/>
      </tp>
      <tp t="e">
        <v>#N/A</v>
        <stp/>
        <stp>BDH|5749773650090386892</stp>
        <tr r="N78" s="12"/>
      </tp>
      <tp t="e">
        <v>#N/A</v>
        <stp/>
        <stp>BDH|9439269438141038605</stp>
        <tr r="G21" s="3"/>
      </tp>
      <tp t="e">
        <v>#N/A</v>
        <stp/>
        <stp>BDH|5988770451140612835</stp>
        <tr r="Y96" s="18"/>
      </tp>
      <tp t="e">
        <v>#N/A</v>
        <stp/>
        <stp>BDH|4947756586522511659</stp>
        <tr r="F22" s="24"/>
      </tp>
      <tp t="e">
        <v>#N/A</v>
        <stp/>
        <stp>BDH|9896318936554095252</stp>
        <tr r="G9" s="27"/>
      </tp>
      <tp t="e">
        <v>#N/A</v>
        <stp/>
        <stp>BDH|8072371228793569516</stp>
        <tr r="J14" s="17"/>
        <tr r="J17" s="28"/>
      </tp>
      <tp t="e">
        <v>#N/A</v>
        <stp/>
        <stp>BDH|7501921129750749323</stp>
        <tr r="G71" s="24"/>
      </tp>
      <tp t="e">
        <v>#N/A</v>
        <stp/>
        <stp>BDH|1509987663620525102</stp>
        <tr r="E29" s="24"/>
      </tp>
      <tp t="e">
        <v>#N/A</v>
        <stp/>
        <stp>BDH|6937786083097135187</stp>
        <tr r="E18" s="26"/>
      </tp>
      <tp t="e">
        <v>#N/A</v>
        <stp/>
        <stp>BDH|1819149655382497862</stp>
        <tr r="S82" s="17"/>
        <tr r="Q6" s="7"/>
        <tr r="S20" s="3"/>
      </tp>
      <tp t="e">
        <v>#N/A</v>
        <stp/>
        <stp>BDH|8878474587799646253</stp>
        <tr r="Q40" s="34"/>
      </tp>
      <tp t="e">
        <v>#N/A</v>
        <stp/>
        <stp>BDH|4512177142556302887</stp>
        <tr r="Q11" s="28"/>
      </tp>
      <tp t="e">
        <v>#N/A</v>
        <stp/>
        <stp>BDH|2550569587954880479</stp>
        <tr r="G39" s="17"/>
      </tp>
      <tp t="e">
        <v>#N/A</v>
        <stp/>
        <stp>BDH|8217313329660893699</stp>
        <tr r="S52" s="18"/>
      </tp>
      <tp t="e">
        <v>#N/A</v>
        <stp/>
        <stp>BDH|6925324484011763334</stp>
        <tr r="F17" s="22"/>
      </tp>
      <tp t="e">
        <v>#N/A</v>
        <stp/>
        <stp>BDH|2509666289364104703</stp>
        <tr r="F12" s="7"/>
      </tp>
      <tp t="e">
        <v>#N/A</v>
        <stp/>
        <stp>BDH|5552659385261668581</stp>
        <tr r="U19" s="34"/>
      </tp>
      <tp t="e">
        <v>#N/A</v>
        <stp/>
        <stp>BDH|7467719413337455991</stp>
        <tr r="Z25" s="21"/>
      </tp>
      <tp t="e">
        <v>#N/A</v>
        <stp/>
        <stp>BDH|6279726490774863338</stp>
        <tr r="K8" s="27"/>
      </tp>
      <tp t="e">
        <v>#N/A</v>
        <stp/>
        <stp>BDH|1119419354208942765</stp>
        <tr r="C66" s="17"/>
      </tp>
      <tp t="e">
        <v>#N/A</v>
        <stp/>
        <stp>BDH|1220699976648205746</stp>
        <tr r="H53" s="17"/>
        <tr r="H10" s="25"/>
      </tp>
      <tp t="e">
        <v>#N/A</v>
        <stp/>
        <stp>BDH|2135273989604455308</stp>
        <tr r="E20" s="18"/>
      </tp>
      <tp t="e">
        <v>#N/A</v>
        <stp/>
        <stp>BDH|6058821529853553052</stp>
        <tr r="Z9" s="28"/>
      </tp>
      <tp t="e">
        <v>#N/A</v>
        <stp/>
        <stp>BDH|6979136695364002548</stp>
        <tr r="H65" s="18"/>
      </tp>
      <tp t="e">
        <v>#N/A</v>
        <stp/>
        <stp>BDH|4927499682275177283</stp>
        <tr r="E169" s="18"/>
      </tp>
      <tp t="e">
        <v>#N/A</v>
        <stp/>
        <stp>BDH|2111181492536298321</stp>
        <tr r="T55" s="13"/>
        <tr r="R48" s="11"/>
        <tr r="R18" s="7"/>
        <tr r="R56" s="10"/>
      </tp>
      <tp t="e">
        <v>#N/A</v>
        <stp/>
        <stp>BDH|8604098135302560641</stp>
        <tr r="L23" s="25"/>
        <tr r="J21" s="11"/>
      </tp>
      <tp t="e">
        <v>#N/A</v>
        <stp/>
        <stp>BDH|4883028951537215928</stp>
        <tr r="S88" s="18"/>
      </tp>
      <tp t="e">
        <v>#N/A</v>
        <stp/>
        <stp>BDH|1920828327907245358</stp>
        <tr r="E75" s="17"/>
      </tp>
      <tp t="e">
        <v>#N/A</v>
        <stp/>
        <stp>BDH|2353402596968620883</stp>
        <tr r="L12" s="11"/>
      </tp>
      <tp t="e">
        <v>#N/A</v>
        <stp/>
        <stp>BDH|7037016989187739748</stp>
        <tr r="R47" s="12"/>
      </tp>
      <tp t="e">
        <v>#N/A</v>
        <stp/>
        <stp>BDH|4182325698010728171</stp>
        <tr r="H35" s="4"/>
      </tp>
      <tp t="e">
        <v>#N/A</v>
        <stp/>
        <stp>BDH|9578149206397890075</stp>
        <tr r="N69" s="10"/>
        <tr r="N61" s="11"/>
        <tr r="N20" s="7"/>
      </tp>
      <tp t="e">
        <v>#N/A</v>
        <stp/>
        <stp>BDH|5958018370974117914</stp>
        <tr r="F44" s="12"/>
      </tp>
      <tp t="e">
        <v>#N/A</v>
        <stp/>
        <stp>BDH|7882804396338466129</stp>
        <tr r="S45" s="6"/>
      </tp>
      <tp t="e">
        <v>#N/A</v>
        <stp/>
        <stp>BDH|9816604146404461027</stp>
        <tr r="D23" s="20"/>
      </tp>
      <tp t="e">
        <v>#N/A</v>
        <stp/>
        <stp>BDH|7348842178640081778</stp>
        <tr r="K11" s="17"/>
      </tp>
      <tp t="e">
        <v>#N/A</v>
        <stp/>
        <stp>BDH|2545283880556126140</stp>
        <tr r="C10" s="21"/>
      </tp>
      <tp t="e">
        <v>#N/A</v>
        <stp/>
        <stp>BDH|1845473487635168714</stp>
        <tr r="R13" s="5"/>
      </tp>
      <tp t="e">
        <v>#N/A</v>
        <stp/>
        <stp>BDH|5014199085393708039</stp>
        <tr r="L44" s="22"/>
      </tp>
      <tp t="e">
        <v>#N/A</v>
        <stp/>
        <stp>BDH|8522699878571484784</stp>
        <tr r="Q95" s="18"/>
      </tp>
      <tp t="e">
        <v>#N/A</v>
        <stp/>
        <stp>BDH|7178984271132872487</stp>
        <tr r="S32" s="12"/>
      </tp>
      <tp t="e">
        <v>#N/A</v>
        <stp/>
        <stp>BDH|1060881731545976080</stp>
        <tr r="AA16" s="17"/>
        <tr r="AA19" s="28"/>
      </tp>
      <tp t="e">
        <v>#N/A</v>
        <stp/>
        <stp>BDH|1321469888186070458</stp>
        <tr r="Z8" s="26"/>
        <tr r="W10" s="9"/>
      </tp>
      <tp t="e">
        <v>#N/A</v>
        <stp/>
        <stp>BDH|6109138046964427886</stp>
        <tr r="F57" s="13"/>
      </tp>
      <tp t="e">
        <v>#N/A</v>
        <stp/>
        <stp>BDH|5840175143536371977</stp>
        <tr r="E12" s="10"/>
      </tp>
      <tp t="e">
        <v>#N/A</v>
        <stp/>
        <stp>BDH|7093686182102106438</stp>
        <tr r="T11" s="11"/>
      </tp>
      <tp t="e">
        <v>#N/A</v>
        <stp/>
        <stp>BDH|6558920354903926628</stp>
        <tr r="J21" s="21"/>
      </tp>
      <tp t="e">
        <v>#N/A</v>
        <stp/>
        <stp>BDH|8017402448084831386</stp>
        <tr r="F36" s="4"/>
      </tp>
      <tp t="e">
        <v>#N/A</v>
        <stp/>
        <stp>BDH|7890000893597465673</stp>
        <tr r="T50" s="12"/>
      </tp>
      <tp t="e">
        <v>#N/A</v>
        <stp/>
        <stp>BDH|8345938168258627065</stp>
        <tr r="I13" s="8"/>
      </tp>
      <tp t="e">
        <v>#N/A</v>
        <stp/>
        <stp>BDH|9696576328248219935</stp>
        <tr r="E57" s="18"/>
      </tp>
      <tp t="e">
        <v>#N/A</v>
        <stp/>
        <stp>BDH|4999330002040464846</stp>
        <tr r="C21" s="27"/>
      </tp>
      <tp t="e">
        <v>#N/A</v>
        <stp/>
        <stp>BDH|5888169208833680888</stp>
        <tr r="M105" s="18"/>
      </tp>
      <tp t="e">
        <v>#N/A</v>
        <stp/>
        <stp>BDH|4632793964818590268</stp>
        <tr r="Z31" s="12"/>
      </tp>
      <tp t="e">
        <v>#N/A</v>
        <stp/>
        <stp>BDH|3921657385415617778</stp>
        <tr r="W89" s="12"/>
      </tp>
      <tp t="e">
        <v>#N/A</v>
        <stp/>
        <stp>BDH|1695407216182950912</stp>
        <tr r="Z23" s="20"/>
      </tp>
      <tp t="e">
        <v>#N/A</v>
        <stp/>
        <stp>BDH|9477350649908653960</stp>
        <tr r="I59" s="34"/>
      </tp>
      <tp t="e">
        <v>#N/A</v>
        <stp/>
        <stp>BDH|5812018983430751253</stp>
        <tr r="E35" s="29"/>
        <tr r="E15" s="29"/>
      </tp>
      <tp t="e">
        <v>#N/A</v>
        <stp/>
        <stp>BDH|9349006829373185734</stp>
        <tr r="R60" s="12"/>
      </tp>
      <tp t="e">
        <v>#N/A</v>
        <stp/>
        <stp>BDH|1846261380562653609</stp>
        <tr r="X18" s="21"/>
        <tr r="X23" s="3"/>
        <tr r="V23" s="2"/>
      </tp>
      <tp t="e">
        <v>#N/A</v>
        <stp/>
        <stp>BDH|9043055240986820454</stp>
        <tr r="E32" s="17"/>
      </tp>
      <tp t="e">
        <v>#N/A</v>
        <stp/>
        <stp>BDH|8995118615487779033</stp>
        <tr r="N12" s="13"/>
      </tp>
      <tp t="e">
        <v>#N/A</v>
        <stp/>
        <stp>BDH|3026849823313993570</stp>
        <tr r="S30" s="26"/>
      </tp>
      <tp t="e">
        <v>#N/A</v>
        <stp/>
        <stp>BDH|8921576128687733780</stp>
        <tr r="X39" s="29"/>
        <tr r="X31" s="29"/>
        <tr r="W52" s="6"/>
        <tr r="W11" s="5"/>
        <tr r="X10" s="2"/>
      </tp>
      <tp t="e">
        <v>#N/A</v>
        <stp/>
        <stp>BDH|3740387682606047141</stp>
        <tr r="H40" s="13"/>
        <tr r="F36" s="10"/>
        <tr r="F28" s="11"/>
      </tp>
      <tp t="e">
        <v>#N/A</v>
        <stp/>
        <stp>BDH|5090900805810980359</stp>
        <tr r="Y59" s="17"/>
      </tp>
      <tp t="e">
        <v>#N/A</v>
        <stp/>
        <stp>BDH|4953094423731207885</stp>
        <tr r="T147" s="18"/>
      </tp>
      <tp t="e">
        <v>#N/A</v>
        <stp/>
        <stp>BDH|8726090954502247010</stp>
        <tr r="L84" s="12"/>
      </tp>
      <tp t="e">
        <v>#N/A</v>
        <stp/>
        <stp>BDH|3242092280607500372</stp>
        <tr r="L33" s="12"/>
      </tp>
      <tp t="e">
        <v>#N/A</v>
        <stp/>
        <stp>BDH|2920286559918777268</stp>
        <tr r="H28" s="18"/>
      </tp>
      <tp t="e">
        <v>#N/A</v>
        <stp/>
        <stp>BDH|3048494937792356940</stp>
        <tr r="D18" s="25"/>
      </tp>
      <tp t="e">
        <v>#N/A</v>
        <stp/>
        <stp>BDH|2895405091569097905</stp>
        <tr r="O48" s="24"/>
      </tp>
      <tp t="e">
        <v>#N/A</v>
        <stp/>
        <stp>BDH|2210905057058416980</stp>
        <tr r="P7" s="24"/>
      </tp>
      <tp t="e">
        <v>#N/A</v>
        <stp/>
        <stp>BDH|2051415622549281289</stp>
        <tr r="T31" s="24"/>
      </tp>
      <tp t="e">
        <v>#N/A</v>
        <stp/>
        <stp>BDH|1535747327678968360</stp>
        <tr r="L33" s="11"/>
        <tr r="L41" s="10"/>
      </tp>
      <tp t="e">
        <v>#N/A</v>
        <stp/>
        <stp>BDH|6940961522086057444</stp>
        <tr r="V20" s="10"/>
      </tp>
      <tp t="e">
        <v>#N/A</v>
        <stp/>
        <stp>BDH|3410097356771134835</stp>
        <tr r="P90" s="12"/>
      </tp>
      <tp t="e">
        <v>#N/A</v>
        <stp/>
        <stp>BDH|5547439430175924869</stp>
        <tr r="Y38" s="26"/>
      </tp>
      <tp t="e">
        <v>#N/A</v>
        <stp/>
        <stp>BDH|6610896621616005576</stp>
        <tr r="F96" s="12"/>
      </tp>
      <tp t="e">
        <v>#N/A</v>
        <stp/>
        <stp>BDH|8628277565511550282</stp>
        <tr r="L89" s="18"/>
      </tp>
      <tp t="e">
        <v>#N/A</v>
        <stp/>
        <stp>BDH|8075019917527658198</stp>
        <tr r="M107" s="18"/>
      </tp>
      <tp t="e">
        <v>#N/A</v>
        <stp/>
        <stp>BDH|7656474997470798584</stp>
        <tr r="O157" s="18"/>
      </tp>
      <tp t="e">
        <v>#N/A</v>
        <stp/>
        <stp>BDH|1035056962049898167</stp>
        <tr r="L41" s="17"/>
      </tp>
      <tp t="e">
        <v>#N/A</v>
        <stp/>
        <stp>BDH|2114720194863827061</stp>
        <tr r="Z39" s="22"/>
      </tp>
      <tp t="e">
        <v>#N/A</v>
        <stp/>
        <stp>BDH|1071447422840714883</stp>
        <tr r="X51" s="17"/>
      </tp>
      <tp t="e">
        <v>#N/A</v>
        <stp/>
        <stp>BDH|6709113594880251194</stp>
        <tr r="O11" s="29"/>
      </tp>
      <tp t="e">
        <v>#N/A</v>
        <stp/>
        <stp>BDH|8244001776166584686</stp>
        <tr r="F11" s="21"/>
      </tp>
      <tp t="e">
        <v>#N/A</v>
        <stp/>
        <stp>BDH|5963839155102100574</stp>
        <tr r="U22" s="17"/>
      </tp>
      <tp t="e">
        <v>#N/A</v>
        <stp/>
        <stp>BDH|9454836618519290645</stp>
        <tr r="Y32" s="22"/>
      </tp>
      <tp t="e">
        <v>#N/A</v>
        <stp/>
        <stp>BDH|7930214495483599017</stp>
        <tr r="O30" s="13"/>
        <tr r="M26" s="10"/>
      </tp>
      <tp t="e">
        <v>#N/A</v>
        <stp/>
        <stp>BDH|2846252934455976999</stp>
        <tr r="K7" s="34"/>
      </tp>
      <tp t="e">
        <v>#N/A</v>
        <stp/>
        <stp>BDH|8261633100671773085</stp>
        <tr r="N40" s="21"/>
      </tp>
      <tp t="e">
        <v>#N/A</v>
        <stp/>
        <stp>BDH|6703444143030814964</stp>
        <tr r="Q91" s="17"/>
      </tp>
      <tp t="e">
        <v>#N/A</v>
        <stp/>
        <stp>BDH|1470885654102200142</stp>
        <tr r="T124" s="18"/>
      </tp>
      <tp t="e">
        <v>#N/A</v>
        <stp/>
        <stp>BDH|5972976485428603334</stp>
        <tr r="X161" s="18"/>
      </tp>
      <tp t="e">
        <v>#N/A</v>
        <stp/>
        <stp>BDH|7951641798536848134</stp>
        <tr r="J48" s="21"/>
      </tp>
      <tp t="e">
        <v>#N/A</v>
        <stp/>
        <stp>BDH|9270598470823032754</stp>
        <tr r="S39" s="12"/>
      </tp>
      <tp t="e">
        <v>#N/A</v>
        <stp/>
        <stp>BDH|2039071944240547984</stp>
        <tr r="W46" s="18"/>
      </tp>
      <tp t="e">
        <v>#N/A</v>
        <stp/>
        <stp>BDH|8934181842472802055</stp>
        <tr r="U84" s="12"/>
      </tp>
      <tp t="e">
        <v>#N/A</v>
        <stp/>
        <stp>BDH|9851796086480010995</stp>
        <tr r="G35" s="18"/>
      </tp>
      <tp t="e">
        <v>#N/A</v>
        <stp/>
        <stp>BDH|3235248398316896183</stp>
        <tr r="T18" s="20"/>
      </tp>
      <tp t="e">
        <v>#N/A</v>
        <stp/>
        <stp>BDH|7193129082182723381</stp>
        <tr r="Y91" s="12"/>
      </tp>
      <tp t="e">
        <v>#N/A</v>
        <stp/>
        <stp>BDH|9896416810196232558</stp>
        <tr r="X120" s="18"/>
      </tp>
      <tp t="e">
        <v>#N/A</v>
        <stp/>
        <stp>BDH|5391519619807696934</stp>
        <tr r="F7" s="11"/>
      </tp>
      <tp t="e">
        <v>#N/A</v>
        <stp/>
        <stp>BDH|2395284285910574756</stp>
        <tr r="Q33" s="22"/>
      </tp>
      <tp t="e">
        <v>#N/A</v>
        <stp/>
        <stp>BDH|3766802236335865274</stp>
        <tr r="D18" s="30"/>
      </tp>
      <tp t="e">
        <v>#N/A</v>
        <stp/>
        <stp>BDH|9317144157494641680</stp>
        <tr r="D14" s="14"/>
      </tp>
      <tp t="e">
        <v>#N/A</v>
        <stp/>
        <stp>BDH|6253712399873196452</stp>
        <tr r="E35" s="6"/>
      </tp>
      <tp t="e">
        <v>#N/A</v>
        <stp/>
        <stp>BDH|8159302739677618004</stp>
        <tr r="O44" s="11"/>
        <tr r="O52" s="10"/>
        <tr r="O16" s="7"/>
      </tp>
      <tp t="e">
        <v>#N/A</v>
        <stp/>
        <stp>BDH|7525874971747853050</stp>
        <tr r="V43" s="11"/>
        <tr r="V15" s="7"/>
        <tr r="V51" s="10"/>
      </tp>
      <tp t="e">
        <v>#N/A</v>
        <stp/>
        <stp>BDH|3440326050428084289</stp>
        <tr r="R6" s="6"/>
      </tp>
      <tp t="e">
        <v>#N/A</v>
        <stp/>
        <stp>BDH|2612910540739976906</stp>
        <tr r="M16" s="18"/>
      </tp>
      <tp t="e">
        <v>#N/A</v>
        <stp/>
        <stp>BDH|9056483876204802183</stp>
        <tr r="E48" s="12"/>
      </tp>
      <tp t="e">
        <v>#N/A</v>
        <stp/>
        <stp>BDH|4032140095544655795</stp>
        <tr r="Q105" s="18"/>
      </tp>
      <tp t="e">
        <v>#N/A</v>
        <stp/>
        <stp>BDH|9106398653007183746</stp>
        <tr r="F68" s="12"/>
      </tp>
      <tp t="e">
        <v>#N/A</v>
        <stp/>
        <stp>BDH|1117583739108818064</stp>
        <tr r="R51" s="24"/>
      </tp>
      <tp t="e">
        <v>#N/A</v>
        <stp/>
        <stp>BDH|9478289321490369604</stp>
        <tr r="E36" s="6"/>
      </tp>
      <tp t="e">
        <v>#N/A</v>
        <stp/>
        <stp>BDH|4864287873559888757</stp>
        <tr r="U20" s="29"/>
      </tp>
      <tp t="e">
        <v>#N/A</v>
        <stp/>
        <stp>BDH|6672009793511366186</stp>
        <tr r="C174" s="18"/>
      </tp>
      <tp t="e">
        <v>#N/A</v>
        <stp/>
        <stp>BDH|1081169094557888147</stp>
        <tr r="V168" s="18"/>
      </tp>
      <tp t="e">
        <v>#N/A</v>
        <stp/>
        <stp>BDH|7673842813292659398</stp>
        <tr r="H45" s="13"/>
      </tp>
      <tp t="e">
        <v>#N/A</v>
        <stp/>
        <stp>BDH|5761622094073883671</stp>
        <tr r="G42" s="21"/>
      </tp>
      <tp t="e">
        <v>#N/A</v>
        <stp/>
        <stp>BDH|7014068190571003081</stp>
        <tr r="R11" s="10"/>
        <tr r="R14" s="2"/>
      </tp>
      <tp t="e">
        <v>#N/A</v>
        <stp/>
        <stp>BDH|8009792433325343678</stp>
        <tr r="P17" s="13"/>
      </tp>
      <tp t="e">
        <v>#N/A</v>
        <stp/>
        <stp>BDH|8093113238943468638</stp>
        <tr r="AA34" s="13"/>
        <tr r="Y30" s="10"/>
      </tp>
      <tp t="e">
        <v>#N/A</v>
        <stp/>
        <stp>BDH|3623413873637280882</stp>
        <tr r="U30" s="24"/>
      </tp>
      <tp t="e">
        <v>#N/A</v>
        <stp/>
        <stp>BDH|2227199596097469271</stp>
        <tr r="M16" s="10"/>
      </tp>
      <tp t="e">
        <v>#N/A</v>
        <stp/>
        <stp>BDH|3252725289493091071</stp>
        <tr r="L26" s="21"/>
      </tp>
      <tp t="e">
        <v>#N/A</v>
        <stp/>
        <stp>BDH|4236175539479157038</stp>
        <tr r="X30" s="13"/>
        <tr r="V26" s="10"/>
      </tp>
      <tp t="e">
        <v>#N/A</v>
        <stp/>
        <stp>BDH|7090255416498421394</stp>
        <tr r="D17" s="14"/>
      </tp>
      <tp t="e">
        <v>#N/A</v>
        <stp/>
        <stp>BDH|5154143695762770087</stp>
        <tr r="W10" s="17"/>
      </tp>
      <tp t="e">
        <v>#N/A</v>
        <stp/>
        <stp>BDH|7942883549994689017</stp>
        <tr r="L23" s="22"/>
      </tp>
      <tp t="e">
        <v>#N/A</v>
        <stp/>
        <stp>BDH|8268680363933485426</stp>
        <tr r="K39" s="26"/>
      </tp>
      <tp t="e">
        <v>#N/A</v>
        <stp/>
        <stp>BDH|9626059768940520010</stp>
        <tr r="V41" s="17"/>
      </tp>
      <tp t="e">
        <v>#N/A</v>
        <stp/>
        <stp>BDH|1235498380981029340</stp>
        <tr r="G28" s="9"/>
        <tr r="G28" s="5"/>
      </tp>
      <tp t="e">
        <v>#N/A</v>
        <stp/>
        <stp>BDH|8562474213243983178</stp>
        <tr r="I26" s="12"/>
      </tp>
      <tp t="e">
        <v>#N/A</v>
        <stp/>
        <stp>BDH|5316157720040067990</stp>
        <tr r="G66" s="10"/>
      </tp>
      <tp t="e">
        <v>#N/A</v>
        <stp/>
        <stp>BDH|8071187977922606369</stp>
        <tr r="Q19" s="9"/>
      </tp>
      <tp t="e">
        <v>#N/A</v>
        <stp/>
        <stp>BDH|6709887062776070127</stp>
        <tr r="I19" s="20"/>
      </tp>
      <tp t="e">
        <v>#N/A</v>
        <stp/>
        <stp>BDH|9045674464623905555</stp>
        <tr r="Q12" s="24"/>
      </tp>
      <tp t="e">
        <v>#N/A</v>
        <stp/>
        <stp>BDH|7128574688180476553</stp>
        <tr r="Q159" s="18"/>
      </tp>
      <tp t="e">
        <v>#N/A</v>
        <stp/>
        <stp>BDH|4181174444937465990</stp>
        <tr r="O18" s="25"/>
      </tp>
      <tp t="e">
        <v>#N/A</v>
        <stp/>
        <stp>BDH|8959149367115086556</stp>
        <tr r="U160" s="18"/>
      </tp>
      <tp t="e">
        <v>#N/A</v>
        <stp/>
        <stp>BDH|1755326382614918117</stp>
        <tr r="AA55" s="13"/>
        <tr r="Y48" s="11"/>
        <tr r="Y56" s="10"/>
        <tr r="Y18" s="7"/>
      </tp>
      <tp t="e">
        <v>#N/A</v>
        <stp/>
        <stp>BDH|5788615185972454682</stp>
        <tr r="W69" s="17"/>
      </tp>
      <tp t="e">
        <v>#N/A</v>
        <stp/>
        <stp>BDH|9885562651650270629</stp>
        <tr r="Z77" s="18"/>
      </tp>
      <tp t="e">
        <v>#N/A</v>
        <stp/>
        <stp>BDH|1286414682091770399</stp>
        <tr r="I16" s="27"/>
        <tr r="I30" s="25"/>
      </tp>
      <tp t="e">
        <v>#N/A</v>
        <stp/>
        <stp>BDH|5356853708495901780</stp>
        <tr r="L37" s="21"/>
        <tr r="L24" s="3"/>
      </tp>
      <tp t="e">
        <v>#N/A</v>
        <stp/>
        <stp>BDH|9908284103661544584</stp>
        <tr r="K43" s="21"/>
      </tp>
      <tp t="e">
        <v>#N/A</v>
        <stp/>
        <stp>BDH|1976704995216568662</stp>
        <tr r="Q52" s="12"/>
      </tp>
      <tp t="e">
        <v>#N/A</v>
        <stp/>
        <stp>BDH|5423478595865906207</stp>
        <tr r="I12" s="18"/>
      </tp>
      <tp t="e">
        <v>#N/A</v>
        <stp/>
        <stp>BDH|8953344846554559414</stp>
        <tr r="C31" s="22"/>
      </tp>
      <tp t="e">
        <v>#N/A</v>
        <stp/>
        <stp>BDH|3982239869280921854</stp>
        <tr r="V61" s="21"/>
        <tr r="T25" s="2"/>
      </tp>
      <tp t="e">
        <v>#N/A</v>
        <stp/>
        <stp>BDH|8938603302515433403</stp>
        <tr r="P9" s="10"/>
      </tp>
      <tp t="e">
        <v>#N/A</v>
        <stp/>
        <stp>BDH|7169971642111309482</stp>
        <tr r="Z73" s="24"/>
      </tp>
      <tp t="e">
        <v>#N/A</v>
        <stp/>
        <stp>BDH|6962020904500934994</stp>
        <tr r="T21" s="27"/>
      </tp>
      <tp t="e">
        <v>#N/A</v>
        <stp/>
        <stp>BDH|1050794254669386518</stp>
        <tr r="S57" s="17"/>
      </tp>
      <tp t="e">
        <v>#N/A</v>
        <stp/>
        <stp>BDH|7793580284483595613</stp>
        <tr r="N78" s="24"/>
      </tp>
      <tp t="e">
        <v>#N/A</v>
        <stp/>
        <stp>BDH|3515255069409165170</stp>
        <tr r="M24" s="12"/>
      </tp>
      <tp t="e">
        <v>#N/A</v>
        <stp/>
        <stp>BDH|9657735774001713799</stp>
        <tr r="T17" s="27"/>
        <tr r="T31" s="25"/>
        <tr r="Q14" s="5"/>
      </tp>
      <tp t="e">
        <v>#N/A</v>
        <stp/>
        <stp>BDH|4837049194036087479</stp>
        <tr r="L41" s="24"/>
      </tp>
      <tp t="e">
        <v>#N/A</v>
        <stp/>
        <stp>BDH|8296494926114705557</stp>
        <tr r="T8" s="28"/>
      </tp>
      <tp t="e">
        <v>#N/A</v>
        <stp/>
        <stp>BDH|7364894934412827199</stp>
        <tr r="AA8" s="28"/>
      </tp>
      <tp t="e">
        <v>#N/A</v>
        <stp/>
        <stp>BDH|7304905418846210660</stp>
        <tr r="G20" s="27"/>
      </tp>
      <tp t="e">
        <v>#N/A</v>
        <stp/>
        <stp>BDH|9527086855871448234</stp>
        <tr r="E14" s="22"/>
      </tp>
      <tp t="e">
        <v>#N/A</v>
        <stp/>
        <stp>BDH|5298882432827686617</stp>
        <tr r="E21" s="10"/>
      </tp>
      <tp t="e">
        <v>#N/A</v>
        <stp/>
        <stp>BDH|7765227184966707496</stp>
        <tr r="N65" s="12"/>
      </tp>
      <tp t="e">
        <v>#N/A</v>
        <stp/>
        <stp>BDH|2840670384754545719</stp>
        <tr r="L155" s="18"/>
      </tp>
      <tp t="e">
        <v>#N/A</v>
        <stp/>
        <stp>BDH|7749137268958430777</stp>
        <tr r="H65" s="21"/>
        <tr r="E28" s="6"/>
      </tp>
      <tp t="e">
        <v>#N/A</v>
        <stp/>
        <stp>BDH|8885869122488124529</stp>
        <tr r="Y22" s="27"/>
      </tp>
      <tp t="e">
        <v>#N/A</v>
        <stp/>
        <stp>BDH|2816512989727858740</stp>
        <tr r="N27" s="21"/>
      </tp>
      <tp t="e">
        <v>#N/A</v>
        <stp/>
        <stp>BDH|3500903950928023899</stp>
        <tr r="U90" s="12"/>
      </tp>
      <tp t="e">
        <v>#N/A</v>
        <stp/>
        <stp>BDH|6858915610989091850</stp>
        <tr r="E37" s="24"/>
      </tp>
      <tp t="e">
        <v>#N/A</v>
        <stp/>
        <stp>BDH|4182061983437049489</stp>
        <tr r="Y29" s="12"/>
      </tp>
      <tp t="e">
        <v>#N/A</v>
        <stp/>
        <stp>BDH|6784886921312482166</stp>
        <tr r="R76" s="17"/>
        <tr r="O9" s="9"/>
        <tr r="O9" s="5"/>
      </tp>
      <tp t="e">
        <v>#N/A</v>
        <stp/>
        <stp>BDH|7653782623455760867</stp>
        <tr r="L67" s="17"/>
        <tr r="L18" s="3"/>
      </tp>
      <tp t="e">
        <v>#N/A</v>
        <stp/>
        <stp>BDH|3923678196104313778</stp>
        <tr r="L20" s="30"/>
      </tp>
      <tp t="e">
        <v>#N/A</v>
        <stp/>
        <stp>BDH|2827209957579584364</stp>
        <tr r="V41" s="11"/>
        <tr r="V49" s="10"/>
        <tr r="V8" s="7"/>
        <tr r="X11" s="3"/>
      </tp>
      <tp t="e">
        <v>#N/A</v>
        <stp/>
        <stp>BDH|7206861196018849167</stp>
        <tr r="J38" s="22"/>
      </tp>
      <tp t="e">
        <v>#N/A</v>
        <stp/>
        <stp>BDH|4202187021578438034</stp>
        <tr r="F104" s="12"/>
      </tp>
      <tp t="e">
        <v>#N/A</v>
        <stp/>
        <stp>BDH|7686846498848059167</stp>
        <tr r="C50" s="4"/>
      </tp>
      <tp t="e">
        <v>#N/A</v>
        <stp/>
        <stp>BDH|1873479300252439878</stp>
        <tr r="G41" s="21"/>
      </tp>
      <tp t="e">
        <v>#N/A</v>
        <stp/>
        <stp>BDH|4867969970972026723</stp>
        <tr r="C22" s="20"/>
      </tp>
      <tp t="e">
        <v>#N/A</v>
        <stp/>
        <stp>BDH|3117782336359339104</stp>
        <tr r="X105" s="18"/>
      </tp>
      <tp t="e">
        <v>#N/A</v>
        <stp/>
        <stp>BDH|9492118770444942407</stp>
        <tr r="W21" s="9"/>
        <tr r="W21" s="5"/>
      </tp>
      <tp t="e">
        <v>#N/A</v>
        <stp/>
        <stp>BDH|1565900477593922378</stp>
        <tr r="Y17" s="11"/>
      </tp>
      <tp t="e">
        <v>#N/A</v>
        <stp/>
        <stp>BDH|5781983983389140214</stp>
        <tr r="U25" s="10"/>
      </tp>
      <tp t="e">
        <v>#N/A</v>
        <stp/>
        <stp>BDH|9844035523335630129</stp>
        <tr r="V22" s="27"/>
      </tp>
      <tp t="e">
        <v>#N/A</v>
        <stp/>
        <stp>BDH|1091312584582008795</stp>
        <tr r="E55" s="11"/>
      </tp>
      <tp t="e">
        <v>#N/A</v>
        <stp/>
        <stp>BDH|9296441369617360303</stp>
        <tr r="D9" s="34"/>
      </tp>
      <tp t="e">
        <v>#N/A</v>
        <stp/>
        <stp>BDH|5600153259949427723</stp>
        <tr r="U23" s="11"/>
      </tp>
      <tp t="e">
        <v>#N/A</v>
        <stp/>
        <stp>BDH|2827888018533758731</stp>
        <tr r="L41" s="22"/>
      </tp>
      <tp t="e">
        <v>#N/A</v>
        <stp/>
        <stp>BDH|9537493647173537528</stp>
        <tr r="L133" s="18"/>
      </tp>
      <tp t="e">
        <v>#N/A</v>
        <stp/>
        <stp>BDH|6978665796802447414</stp>
        <tr r="W46" s="21"/>
      </tp>
      <tp t="e">
        <v>#N/A</v>
        <stp/>
        <stp>BDH|2870416080780698132</stp>
        <tr r="R12" s="13"/>
      </tp>
      <tp t="e">
        <v>#N/A</v>
        <stp/>
        <stp>BDH|3192452190950989117</stp>
        <tr r="F105" s="18"/>
      </tp>
      <tp t="e">
        <v>#N/A</v>
        <stp/>
        <stp>BDH|9352856569979560163</stp>
        <tr r="M35" s="22"/>
      </tp>
      <tp t="e">
        <v>#N/A</v>
        <stp/>
        <stp>BDH|1769435679029380424</stp>
        <tr r="AA14" s="17"/>
        <tr r="AA17" s="28"/>
      </tp>
      <tp t="e">
        <v>#N/A</v>
        <stp/>
        <stp>BDH|8158813319989696738</stp>
        <tr r="S61" s="12"/>
      </tp>
      <tp t="e">
        <v>#N/A</v>
        <stp/>
        <stp>BDH|2841993628927649134</stp>
        <tr r="M40" s="34"/>
      </tp>
      <tp t="e">
        <v>#N/A</v>
        <stp/>
        <stp>BDH|4644985601281626340</stp>
        <tr r="T22" s="10"/>
      </tp>
      <tp t="e">
        <v>#N/A</v>
        <stp/>
        <stp>BDH|9803255960083758171</stp>
        <tr r="K32" s="22"/>
      </tp>
      <tp t="e">
        <v>#N/A</v>
        <stp/>
        <stp>BDH|5384859933699124895</stp>
        <tr r="Z38" s="22"/>
      </tp>
      <tp t="e">
        <v>#N/A</v>
        <stp/>
        <stp>BDH|7879106944524161902</stp>
        <tr r="H59" s="18"/>
      </tp>
      <tp t="e">
        <v>#N/A</v>
        <stp/>
        <stp>BDH|8720697905627223641</stp>
        <tr r="P27" s="25"/>
        <tr r="P13" s="27"/>
      </tp>
      <tp t="e">
        <v>#N/A</v>
        <stp/>
        <stp>BDH|9184922820684696986</stp>
        <tr r="K67" s="10"/>
      </tp>
      <tp t="e">
        <v>#N/A</v>
        <stp/>
        <stp>BDH|2307346139739708442</stp>
        <tr r="I41" s="11"/>
        <tr r="I49" s="10"/>
        <tr r="I8" s="7"/>
        <tr r="K11" s="3"/>
      </tp>
      <tp t="e">
        <v>#N/A</v>
        <stp/>
        <stp>BDH|2739249184864860327</stp>
        <tr r="U50" s="18"/>
      </tp>
      <tp t="e">
        <v>#N/A</v>
        <stp/>
        <stp>BDH|6582918958006604373</stp>
        <tr r="C32" s="17"/>
      </tp>
      <tp t="e">
        <v>#N/A</v>
        <stp/>
        <stp>BDH|1073252988645789179</stp>
        <tr r="Q24" s="13"/>
      </tp>
      <tp t="e">
        <v>#N/A</v>
        <stp/>
        <stp>BDH|2520662889332524123</stp>
        <tr r="AA92" s="12"/>
      </tp>
      <tp t="e">
        <v>#N/A</v>
        <stp/>
        <stp>BDH|7562679145223810929</stp>
        <tr r="Y55" s="11"/>
      </tp>
      <tp t="e">
        <v>#N/A</v>
        <stp/>
        <stp>BDH|5183705276808363296</stp>
        <tr r="I56" s="34"/>
      </tp>
      <tp t="e">
        <v>#N/A</v>
        <stp/>
        <stp>BDH|8612581723131831186</stp>
        <tr r="H99" s="12"/>
      </tp>
      <tp t="e">
        <v>#N/A</v>
        <stp/>
        <stp>BDH|4562737899595141034</stp>
        <tr r="G16" s="22"/>
      </tp>
      <tp t="e">
        <v>#N/A</v>
        <stp/>
        <stp>BDH|5919823267735865197</stp>
        <tr r="W12" s="13"/>
      </tp>
      <tp t="e">
        <v>#N/A</v>
        <stp/>
        <stp>BDH|9857667726356062450</stp>
        <tr r="O25" s="24"/>
      </tp>
      <tp t="e">
        <v>#N/A</v>
        <stp/>
        <stp>BDH|4634209885986825766</stp>
        <tr r="H31" s="13"/>
        <tr r="F27" s="10"/>
      </tp>
      <tp t="e">
        <v>#N/A</v>
        <stp/>
        <stp>BDH|6955936455293469660</stp>
        <tr r="F12" s="26"/>
      </tp>
      <tp t="e">
        <v>#N/A</v>
        <stp/>
        <stp>BDH|8765314233137078083</stp>
        <tr r="AA21" s="27"/>
      </tp>
      <tp t="e">
        <v>#N/A</v>
        <stp/>
        <stp>BDH|3917137846748963180</stp>
        <tr r="Q23" s="5"/>
      </tp>
      <tp t="e">
        <v>#N/A</v>
        <stp/>
        <stp>BDH|4575154259068129756</stp>
        <tr r="K77" s="24"/>
      </tp>
      <tp t="e">
        <v>#N/A</v>
        <stp/>
        <stp>BDH|1164621078459156670</stp>
        <tr r="G57" s="34"/>
      </tp>
      <tp t="e">
        <v>#N/A</v>
        <stp/>
        <stp>BDH|2090190396582320718</stp>
        <tr r="M88" s="17"/>
      </tp>
      <tp t="e">
        <v>#N/A</v>
        <stp/>
        <stp>BDH|8618554023736930647</stp>
        <tr r="H68" s="12"/>
      </tp>
      <tp t="e">
        <v>#N/A</v>
        <stp/>
        <stp>BDH|5301274443395892926</stp>
        <tr r="D65" s="21"/>
      </tp>
      <tp t="e">
        <v>#N/A</v>
        <stp/>
        <stp>BDH|1063082336298052538</stp>
        <tr r="O74" s="12"/>
      </tp>
      <tp t="e">
        <v>#N/A</v>
        <stp/>
        <stp>BDH|4355769525237925946</stp>
        <tr r="R8" s="22"/>
      </tp>
      <tp t="e">
        <v>#N/A</v>
        <stp/>
        <stp>BDH|2253317824885890929</stp>
        <tr r="AA86" s="18"/>
      </tp>
      <tp t="e">
        <v>#N/A</v>
        <stp/>
        <stp>BDH|4974388679768248776</stp>
        <tr r="K75" s="24"/>
      </tp>
      <tp t="e">
        <v>#N/A</v>
        <stp/>
        <stp>BDH|9491043723720770496</stp>
        <tr r="V75" s="17"/>
      </tp>
      <tp t="e">
        <v>#N/A</v>
        <stp/>
        <stp>BDH|7308297422989337161</stp>
        <tr r="J29" s="6"/>
      </tp>
      <tp t="e">
        <v>#N/A</v>
        <stp/>
        <stp>BDH|6801285825020000989</stp>
        <tr r="P42" s="12"/>
      </tp>
      <tp t="e">
        <v>#N/A</v>
        <stp/>
        <stp>BDH|7669799914407548930</stp>
        <tr r="X8" s="11"/>
      </tp>
      <tp t="e">
        <v>#N/A</v>
        <stp/>
        <stp>BDH|4742733730026083991</stp>
        <tr r="G8" s="23"/>
      </tp>
      <tp t="e">
        <v>#N/A</v>
        <stp/>
        <stp>BDH|4669457329168699517</stp>
        <tr r="S64" s="34"/>
      </tp>
      <tp t="e">
        <v>#N/A</v>
        <stp/>
        <stp>BDH|6781103297277505687</stp>
        <tr r="S36" s="12"/>
      </tp>
      <tp t="e">
        <v>#N/A</v>
        <stp/>
        <stp>BDH|3065340715458895645</stp>
        <tr r="N66" s="10"/>
      </tp>
      <tp t="e">
        <v>#N/A</v>
        <stp/>
        <stp>BDH|6791196063917208928</stp>
        <tr r="V51" s="18"/>
      </tp>
      <tp t="e">
        <v>#N/A</v>
        <stp/>
        <stp>BDH|1571812101394113299</stp>
        <tr r="Y24" s="13"/>
      </tp>
      <tp t="e">
        <v>#N/A</v>
        <stp/>
        <stp>BDH|1561260425516372875</stp>
        <tr r="G20" s="11"/>
      </tp>
      <tp t="e">
        <v>#N/A</v>
        <stp/>
        <stp>BDH|1661846341240501243</stp>
        <tr r="Y84" s="12"/>
      </tp>
      <tp t="e">
        <v>#N/A</v>
        <stp/>
        <stp>BDH|1197157524398541578</stp>
        <tr r="L20" s="34"/>
      </tp>
      <tp t="e">
        <v>#N/A</v>
        <stp/>
        <stp>BDH|7522085990367630697</stp>
        <tr r="D150" s="18"/>
      </tp>
      <tp t="e">
        <v>#N/A</v>
        <stp/>
        <stp>BDH|4769803683783468824</stp>
        <tr r="G65" s="21"/>
        <tr r="D28" s="6"/>
      </tp>
      <tp t="e">
        <v>#N/A</v>
        <stp/>
        <stp>BDH|7278630176599448016</stp>
        <tr r="G6" s="20"/>
        <tr r="G108" s="18"/>
      </tp>
      <tp t="e">
        <v>#N/A</v>
        <stp/>
        <stp>BDH|2062960749642928242</stp>
        <tr r="W23" s="20"/>
      </tp>
      <tp t="e">
        <v>#N/A</v>
        <stp/>
        <stp>BDH|1618480108399708331</stp>
        <tr r="Q165" s="18"/>
      </tp>
      <tp t="e">
        <v>#N/A</v>
        <stp/>
        <stp>BDH|5684714727109168638</stp>
        <tr r="D24" s="23"/>
        <tr r="D21" s="30"/>
      </tp>
      <tp t="e">
        <v>#N/A</v>
        <stp/>
        <stp>BDH|5160659316145793875</stp>
        <tr r="R19" s="14"/>
      </tp>
      <tp t="e">
        <v>#N/A</v>
        <stp/>
        <stp>BDH|8807162956183911030</stp>
        <tr r="Q10" s="26"/>
      </tp>
      <tp t="e">
        <v>#N/A</v>
        <stp/>
        <stp>BDH|3148954762655637627</stp>
        <tr r="X29" s="17"/>
      </tp>
      <tp t="e">
        <v>#N/A</v>
        <stp/>
        <stp>BDH|3113723902002514961</stp>
        <tr r="P166" s="18"/>
      </tp>
      <tp t="e">
        <v>#N/A</v>
        <stp/>
        <stp>BDH|3476290908317481939</stp>
        <tr r="F56" s="24"/>
      </tp>
      <tp t="e">
        <v>#N/A</v>
        <stp/>
        <stp>BDH|3934052987370930404</stp>
        <tr r="Q133" s="18"/>
      </tp>
      <tp t="e">
        <v>#N/A</v>
        <stp/>
        <stp>BDH|1387917973934506463</stp>
        <tr r="Z17" s="17"/>
        <tr r="Z20" s="28"/>
      </tp>
      <tp t="e">
        <v>#N/A</v>
        <stp/>
        <stp>BDH|1053042076141053807</stp>
        <tr r="Y20" s="18"/>
      </tp>
      <tp t="e">
        <v>#N/A</v>
        <stp/>
        <stp>BDH|5355960548145975267</stp>
        <tr r="U65" s="18"/>
      </tp>
      <tp t="e">
        <v>#N/A</v>
        <stp/>
        <stp>BDH|4060355076096346920</stp>
        <tr r="Q58" s="21"/>
        <tr r="Q37" s="25"/>
        <tr r="O53" s="11"/>
        <tr r="O31" s="4"/>
      </tp>
      <tp t="e">
        <v>#N/A</v>
        <stp/>
        <stp>BDH|6639039581523114279</stp>
        <tr r="K52" s="13"/>
        <tr r="I47" s="11"/>
        <tr r="I17" s="7"/>
        <tr r="I55" s="10"/>
        <tr r="I17" s="4"/>
        <tr r="K10" s="3"/>
      </tp>
      <tp t="e">
        <v>#N/A</v>
        <stp/>
        <stp>BDH|7149793902808196790</stp>
        <tr r="F21" s="21"/>
      </tp>
      <tp t="e">
        <v>#N/A</v>
        <stp/>
        <stp>BDH|7599640487197121153</stp>
        <tr r="H11" s="6"/>
      </tp>
      <tp t="e">
        <v>#N/A</v>
        <stp/>
        <stp>BDH|1123883229147583371</stp>
        <tr r="E30" s="21"/>
      </tp>
      <tp t="e">
        <v>#N/A</v>
        <stp/>
        <stp>BDH|8738307786878459470</stp>
        <tr r="T25" s="34"/>
      </tp>
      <tp t="e">
        <v>#N/A</v>
        <stp/>
        <stp>BDH|2702068556171503901</stp>
        <tr r="G60" s="34"/>
      </tp>
      <tp t="e">
        <v>#N/A</v>
        <stp/>
        <stp>BDH|6199301953898031708</stp>
        <tr r="R30" s="26"/>
      </tp>
      <tp t="e">
        <v>#N/A</v>
        <stp/>
        <stp>BDH|2057536708871122983</stp>
        <tr r="Z66" s="18"/>
      </tp>
      <tp t="e">
        <v>#N/A</v>
        <stp/>
        <stp>BDH|3014077701848672423</stp>
        <tr r="AA79" s="18"/>
      </tp>
      <tp t="e">
        <v>#N/A</v>
        <stp/>
        <stp>BDH|8430541053837255035</stp>
        <tr r="M12" s="13"/>
      </tp>
      <tp t="e">
        <v>#N/A</v>
        <stp/>
        <stp>BDH|9536838155662225933</stp>
        <tr r="T39" s="12"/>
      </tp>
      <tp t="e">
        <v>#N/A</v>
        <stp/>
        <stp>BDH|7723830334133453069</stp>
        <tr r="D9" s="12"/>
      </tp>
      <tp t="e">
        <v>#N/A</v>
        <stp/>
        <stp>BDH|2401495106311906808</stp>
        <tr r="W64" s="34"/>
      </tp>
      <tp t="e">
        <v>#N/A</v>
        <stp/>
        <stp>BDH|1168298538257322810</stp>
        <tr r="P9" s="22"/>
      </tp>
      <tp t="e">
        <v>#N/A</v>
        <stp/>
        <stp>BDH|2264516689710103086</stp>
        <tr r="J15" s="25"/>
      </tp>
      <tp t="e">
        <v>#N/A</v>
        <stp/>
        <stp>BDH|2761719112838520324</stp>
        <tr r="X22" s="7"/>
      </tp>
      <tp t="e">
        <v>#N/A</v>
        <stp/>
        <stp>BDH|2831984965246411425</stp>
        <tr r="O43" s="6"/>
        <tr r="O19" s="5"/>
      </tp>
      <tp t="e">
        <v>#N/A</v>
        <stp/>
        <stp>BDH|7361397572798954422</stp>
        <tr r="F9" s="12"/>
      </tp>
      <tp t="e">
        <v>#N/A</v>
        <stp/>
        <stp>BDH|1502901246570733377</stp>
        <tr r="P50" s="6"/>
        <tr r="R10" s="8"/>
      </tp>
      <tp t="e">
        <v>#N/A</v>
        <stp/>
        <stp>BDH|5720007912149408224</stp>
        <tr r="Y75" s="12"/>
      </tp>
      <tp t="e">
        <v>#N/A</v>
        <stp/>
        <stp>BDH|6533001795765142521</stp>
        <tr r="D27" s="18"/>
      </tp>
      <tp t="e">
        <v>#N/A</v>
        <stp/>
        <stp>BDH|2905957313234510197</stp>
        <tr r="E43" s="18"/>
      </tp>
      <tp t="e">
        <v>#N/A</v>
        <stp/>
        <stp>BDH|4632869642802983589</stp>
        <tr r="S81" s="18"/>
      </tp>
      <tp t="e">
        <v>#N/A</v>
        <stp/>
        <stp>BDH|7114253400499036376</stp>
        <tr r="S6" s="15"/>
        <tr r="S6" s="10"/>
        <tr r="S12" s="2"/>
        <tr r="S11" s="4"/>
      </tp>
      <tp t="e">
        <v>#N/A</v>
        <stp/>
        <stp>BDH|6230830395309766104</stp>
        <tr r="V42" s="13"/>
      </tp>
      <tp t="e">
        <v>#N/A</v>
        <stp/>
        <stp>BDH|2365220302437526852</stp>
        <tr r="D26" s="12"/>
      </tp>
      <tp t="e">
        <v>#N/A</v>
        <stp/>
        <stp>BDH|6211865966761861697</stp>
        <tr r="M141" s="18"/>
      </tp>
      <tp t="e">
        <v>#N/A</v>
        <stp/>
        <stp>BDH|5274861923062716232</stp>
        <tr r="D54" s="24"/>
      </tp>
      <tp t="e">
        <v>#N/A</v>
        <stp/>
        <stp>BDH|8754254967105715614</stp>
        <tr r="W72" s="18"/>
      </tp>
      <tp t="e">
        <v>#N/A</v>
        <stp/>
        <stp>BDH|7379746547029125226</stp>
        <tr r="U21" s="3"/>
      </tp>
      <tp t="e">
        <v>#N/A</v>
        <stp/>
        <stp>BDH|7493851614921711014</stp>
        <tr r="H22" s="11"/>
      </tp>
      <tp t="e">
        <v>#N/A</v>
        <stp/>
        <stp>BDH|5903232376068651790</stp>
        <tr r="P31" s="21"/>
      </tp>
      <tp t="e">
        <v>#N/A</v>
        <stp/>
        <stp>BDH|3620639285253265118</stp>
        <tr r="Z10" s="22"/>
      </tp>
      <tp t="e">
        <v>#N/A</v>
        <stp/>
        <stp>BDH|1000121464360501905</stp>
        <tr r="S9" s="17"/>
      </tp>
      <tp t="e">
        <v>#N/A</v>
        <stp/>
        <stp>BDH|9644113898678801646</stp>
        <tr r="L7" s="24"/>
      </tp>
      <tp t="e">
        <v>#N/A</v>
        <stp/>
        <stp>BDH|7671528123857521813</stp>
        <tr r="D91" s="17"/>
      </tp>
      <tp t="e">
        <v>#N/A</v>
        <stp/>
        <stp>BDH|3658100334416058812</stp>
        <tr r="Y120" s="18"/>
      </tp>
      <tp t="e">
        <v>#N/A</v>
        <stp/>
        <stp>BDH|5254039145866501822</stp>
        <tr r="F38" s="11"/>
        <tr r="F46" s="10"/>
      </tp>
      <tp t="e">
        <v>#N/A</v>
        <stp/>
        <stp>BDH|1042752339653757983</stp>
        <tr r="E81" s="12"/>
      </tp>
      <tp t="e">
        <v>#N/A</v>
        <stp/>
        <stp>BDH|7077639834878796539</stp>
        <tr r="I37" s="26"/>
      </tp>
      <tp t="e">
        <v>#N/A</v>
        <stp/>
        <stp>BDH|6308870016919690976</stp>
        <tr r="L59" s="34"/>
      </tp>
      <tp t="e">
        <v>#N/A</v>
        <stp/>
        <stp>BDH|9796253196455544823</stp>
        <tr r="X100" s="18"/>
      </tp>
      <tp t="e">
        <v>#N/A</v>
        <stp/>
        <stp>BDH|8686972016256243965</stp>
        <tr r="C55" s="34"/>
      </tp>
      <tp t="e">
        <v>#N/A</v>
        <stp/>
        <stp>BDH|9574472866081749508</stp>
        <tr r="L148" s="18"/>
      </tp>
      <tp t="e">
        <v>#N/A</v>
        <stp/>
        <stp>BDH|6672527292127414218</stp>
        <tr r="N44" s="18"/>
      </tp>
      <tp t="e">
        <v>#N/A</v>
        <stp/>
        <stp>BDH|8544589898582466926</stp>
        <tr r="AA12" s="30"/>
      </tp>
      <tp t="e">
        <v>#N/A</v>
        <stp/>
        <stp>BDH|9437506248750888772</stp>
        <tr r="Z23" s="22"/>
      </tp>
      <tp t="e">
        <v>#N/A</v>
        <stp/>
        <stp>BDH|3327517204919260071</stp>
        <tr r="L39" s="12"/>
      </tp>
      <tp t="e">
        <v>#N/A</v>
        <stp/>
        <stp>BDH|9393967591075751300</stp>
        <tr r="Q90" s="17"/>
        <tr r="Q34" s="25"/>
      </tp>
      <tp t="e">
        <v>#N/A</v>
        <stp/>
        <stp>BDH|8698318506173729759</stp>
        <tr r="R10" s="10"/>
      </tp>
      <tp t="e">
        <v>#N/A</v>
        <stp/>
        <stp>BDH|6748735466919370124</stp>
        <tr r="S23" s="20"/>
      </tp>
      <tp t="e">
        <v>#N/A</v>
        <stp/>
        <stp>BDH|9264645540840274476</stp>
        <tr r="D29" s="5"/>
      </tp>
      <tp t="e">
        <v>#N/A</v>
        <stp/>
        <stp>BDH|3459294098873131470</stp>
        <tr r="G15" s="5"/>
      </tp>
      <tp t="e">
        <v>#N/A</v>
        <stp/>
        <stp>BDH|8637055861908507945</stp>
        <tr r="F26" s="29"/>
      </tp>
      <tp t="e">
        <v>#N/A</v>
        <stp/>
        <stp>BDH|4624607805438788574</stp>
        <tr r="AA31" s="24"/>
      </tp>
      <tp t="e">
        <v>#N/A</v>
        <stp/>
        <stp>BDH|7518817140522380646</stp>
        <tr r="T12" s="20"/>
        <tr r="T113" s="18"/>
      </tp>
      <tp t="e">
        <v>#N/A</v>
        <stp/>
        <stp>BDH|4400527407968254607</stp>
        <tr r="K23" s="13"/>
      </tp>
      <tp t="e">
        <v>#N/A</v>
        <stp/>
        <stp>BDH|9481505010333594129</stp>
        <tr r="K9" s="13"/>
      </tp>
      <tp t="e">
        <v>#N/A</v>
        <stp/>
        <stp>BDH|5420982143745885241</stp>
        <tr r="U69" s="34"/>
      </tp>
      <tp t="e">
        <v>#N/A</v>
        <stp/>
        <stp>BDH|7681376261568447571</stp>
        <tr r="X53" s="6"/>
      </tp>
      <tp t="e">
        <v>#N/A</v>
        <stp/>
        <stp>BDH|9962783545500464538</stp>
        <tr r="G76" s="24"/>
      </tp>
      <tp t="e">
        <v>#N/A</v>
        <stp/>
        <stp>BDH|9823636493790997924</stp>
        <tr r="V136" s="18"/>
      </tp>
      <tp t="e">
        <v>#N/A</v>
        <stp/>
        <stp>BDH|6589761480870124622</stp>
        <tr r="X10" s="10"/>
      </tp>
      <tp t="e">
        <v>#N/A</v>
        <stp/>
        <stp>BDH|6971337534691717896</stp>
        <tr r="R105" s="18"/>
      </tp>
      <tp t="e">
        <v>#N/A</v>
        <stp/>
        <stp>BDH|7433992649445500015</stp>
        <tr r="M42" s="12"/>
      </tp>
      <tp t="e">
        <v>#N/A</v>
        <stp/>
        <stp>BDH|1790957838877806326</stp>
        <tr r="I16" s="17"/>
        <tr r="I19" s="28"/>
      </tp>
      <tp t="e">
        <v>#N/A</v>
        <stp/>
        <stp>BDH|6585040014668654038</stp>
        <tr r="K111" s="12"/>
      </tp>
      <tp t="e">
        <v>#N/A</v>
        <stp/>
        <stp>BDH|7723037118598960155</stp>
        <tr r="C28" s="18"/>
      </tp>
      <tp t="e">
        <v>#N/A</v>
        <stp/>
        <stp>BDH|8861216220436117187</stp>
        <tr r="M46" s="22"/>
      </tp>
      <tp t="e">
        <v>#N/A</v>
        <stp/>
        <stp>BDH|9526234716557594258</stp>
        <tr r="V15" s="22"/>
      </tp>
      <tp t="e">
        <v>#N/A</v>
        <stp/>
        <stp>BDH|4354347088665838575</stp>
        <tr r="R73" s="17"/>
      </tp>
      <tp t="e">
        <v>#N/A</v>
        <stp/>
        <stp>BDH|2818819035932809444</stp>
        <tr r="W17" s="20"/>
      </tp>
      <tp t="e">
        <v>#N/A</v>
        <stp/>
        <stp>BDH|4215774124498717665</stp>
        <tr r="AA39" s="24"/>
      </tp>
      <tp t="e">
        <v>#N/A</v>
        <stp/>
        <stp>BDH|7070387653969854738</stp>
        <tr r="T91" s="18"/>
      </tp>
      <tp t="e">
        <v>#N/A</v>
        <stp/>
        <stp>BDH|7986184340979412450</stp>
        <tr r="D41" s="18"/>
      </tp>
      <tp t="e">
        <v>#N/A</v>
        <stp/>
        <stp>BDH|4406452709487843806</stp>
        <tr r="G12" s="22"/>
      </tp>
      <tp t="e">
        <v>#N/A</v>
        <stp/>
        <stp>BDH|4817483987283469431</stp>
        <tr r="M133" s="18"/>
      </tp>
      <tp t="e">
        <v>#N/A</v>
        <stp/>
        <stp>BDH|9431661216778633920</stp>
        <tr r="L17" s="10"/>
      </tp>
      <tp t="e">
        <v>#N/A</v>
        <stp/>
        <stp>BDH|6950829959903066725</stp>
        <tr r="N49" s="21"/>
      </tp>
      <tp t="e">
        <v>#N/A</v>
        <stp/>
        <stp>BDH|7466579758051321984</stp>
        <tr r="S67" s="12"/>
      </tp>
      <tp t="e">
        <v>#N/A</v>
        <stp/>
        <stp>BDH|9005958541242163955</stp>
        <tr r="K22" s="17"/>
      </tp>
      <tp t="e">
        <v>#N/A</v>
        <stp/>
        <stp>BDH|2189515584404016441</stp>
        <tr r="W66" s="12"/>
      </tp>
      <tp t="e">
        <v>#N/A</v>
        <stp/>
        <stp>BDH|3733850143164220438</stp>
        <tr r="Z51" s="22"/>
      </tp>
      <tp t="e">
        <v>#N/A</v>
        <stp/>
        <stp>BDH|3231270099565989255</stp>
        <tr r="AA14" s="23"/>
      </tp>
      <tp t="e">
        <v>#N/A</v>
        <stp/>
        <stp>BDH|2011973704806169227</stp>
        <tr r="T37" s="26"/>
      </tp>
      <tp t="e">
        <v>#N/A</v>
        <stp/>
        <stp>BDH|3469870644677739709</stp>
        <tr r="L57" s="17"/>
      </tp>
      <tp t="e">
        <v>#N/A</v>
        <stp/>
        <stp>BDH|3235724249929157681</stp>
        <tr r="M84" s="18"/>
      </tp>
      <tp t="e">
        <v>#N/A</v>
        <stp/>
        <stp>BDH|6523479380304176133</stp>
        <tr r="K118" s="18"/>
      </tp>
      <tp t="e">
        <v>#N/A</v>
        <stp/>
        <stp>BDH|3797913157474200432</stp>
        <tr r="L32" s="24"/>
      </tp>
      <tp t="e">
        <v>#N/A</v>
        <stp/>
        <stp>BDH|6464617087440591773</stp>
        <tr r="U126" s="18"/>
      </tp>
      <tp t="e">
        <v>#N/A</v>
        <stp/>
        <stp>BDH|3870196785123777638</stp>
        <tr r="Y16" s="30"/>
      </tp>
      <tp t="e">
        <v>#N/A</v>
        <stp/>
        <stp>BDH|4261679857888082020</stp>
        <tr r="N60" s="12"/>
      </tp>
      <tp t="e">
        <v>#N/A</v>
        <stp/>
        <stp>BDH|2196810156415326551</stp>
        <tr r="C26" s="7"/>
      </tp>
      <tp t="e">
        <v>#N/A</v>
        <stp/>
        <stp>BDH|9928296082464770859</stp>
        <tr r="X48" s="21"/>
      </tp>
      <tp t="e">
        <v>#N/A</v>
        <stp/>
        <stp>BDH|6640168404370495817</stp>
        <tr r="K48" s="13"/>
      </tp>
      <tp t="e">
        <v>#N/A</v>
        <stp/>
        <stp>BDH|6570864945023339641</stp>
        <tr r="AA93" s="17"/>
        <tr r="AA13" s="28"/>
      </tp>
      <tp t="e">
        <v>#N/A</v>
        <stp/>
        <stp>BDH|9798604144802456661</stp>
        <tr r="K7" s="8"/>
      </tp>
      <tp t="e">
        <v>#N/A</v>
        <stp/>
        <stp>BDH|5304540538584772892</stp>
        <tr r="V24" s="34"/>
      </tp>
      <tp t="e">
        <v>#N/A</v>
        <stp/>
        <stp>BDH|5657275531858681373</stp>
        <tr r="N24" s="11"/>
        <tr r="P29" s="13"/>
        <tr r="N32" s="10"/>
        <tr r="N45" s="4"/>
      </tp>
      <tp t="e">
        <v>#N/A</v>
        <stp/>
        <stp>BDH|6978907621667117584</stp>
        <tr r="L18" s="22"/>
      </tp>
      <tp t="e">
        <v>#N/A</v>
        <stp/>
        <stp>BDH|9294611552880102513</stp>
        <tr r="C30" s="12"/>
      </tp>
      <tp t="e">
        <v>#N/A</v>
        <stp/>
        <stp>BDH|9538776864627716000</stp>
        <tr r="L156" s="18"/>
      </tp>
      <tp t="e">
        <v>#N/A</v>
        <stp/>
        <stp>BDH|6831347408112471810</stp>
        <tr r="S12" s="21"/>
      </tp>
      <tp t="e">
        <v>#N/A</v>
        <stp/>
        <stp>BDH|2440637098744903676</stp>
        <tr r="R169" s="18"/>
      </tp>
      <tp t="e">
        <v>#N/A</v>
        <stp/>
        <stp>BDH|3865811557837690694</stp>
        <tr r="P15" s="4"/>
      </tp>
      <tp t="e">
        <v>#N/A</v>
        <stp/>
        <stp>BDH|4779161472009667442</stp>
        <tr r="J84" s="18"/>
      </tp>
      <tp t="e">
        <v>#N/A</v>
        <stp/>
        <stp>BDH|3401663595552703113</stp>
        <tr r="Z126" s="18"/>
      </tp>
      <tp t="e">
        <v>#N/A</v>
        <stp/>
        <stp>BDH|4021225496187570704</stp>
        <tr r="M13" s="2"/>
      </tp>
      <tp t="e">
        <v>#N/A</v>
        <stp/>
        <stp>BDH|8420328570957779400</stp>
        <tr r="P11" s="10"/>
        <tr r="P14" s="2"/>
      </tp>
      <tp t="e">
        <v>#N/A</v>
        <stp/>
        <stp>BDH|7330831060937847198</stp>
        <tr r="Y44" s="12"/>
      </tp>
      <tp t="e">
        <v>#N/A</v>
        <stp/>
        <stp>BDH|9043700298711834917</stp>
        <tr r="L16" s="30"/>
      </tp>
      <tp t="e">
        <v>#N/A</v>
        <stp/>
        <stp>BDH|6018033486247758632</stp>
        <tr r="O63" s="17"/>
      </tp>
      <tp t="e">
        <v>#N/A</v>
        <stp/>
        <stp>BDH|6649313596884007708</stp>
        <tr r="G43" s="6"/>
        <tr r="G19" s="5"/>
      </tp>
      <tp t="e">
        <v>#N/A</v>
        <stp/>
        <stp>BDH|5722806850452224545</stp>
        <tr r="Z99" s="12"/>
      </tp>
      <tp t="e">
        <v>#N/A</v>
        <stp/>
        <stp>BDH|9694207649380916075</stp>
        <tr r="F38" s="12"/>
      </tp>
      <tp t="e">
        <v>#N/A</v>
        <stp/>
        <stp>BDH|7890391470025349935</stp>
        <tr r="P12" s="14"/>
      </tp>
      <tp t="e">
        <v>#N/A</v>
        <stp/>
        <stp>BDH|1599299019884479906</stp>
        <tr r="R30" s="34"/>
      </tp>
      <tp t="e">
        <v>#N/A</v>
        <stp/>
        <stp>BDH|7398001867257133941</stp>
        <tr r="J68" s="12"/>
      </tp>
      <tp t="e">
        <v>#N/A</v>
        <stp/>
        <stp>BDH|7041535913348723468</stp>
        <tr r="E45" s="17"/>
      </tp>
      <tp t="e">
        <v>#N/A</v>
        <stp/>
        <stp>BDH|9369698639761372215</stp>
        <tr r="V86" s="18"/>
      </tp>
      <tp t="e">
        <v>#N/A</v>
        <stp/>
        <stp>BDH|2874438079778260612</stp>
        <tr r="I31" s="24"/>
      </tp>
      <tp t="e">
        <v>#N/A</v>
        <stp/>
        <stp>BDH|6902796406386611818</stp>
        <tr r="AA75" s="17"/>
      </tp>
      <tp t="e">
        <v>#N/A</v>
        <stp/>
        <stp>BDH|1661546100823677850</stp>
        <tr r="K91" s="18"/>
      </tp>
      <tp t="e">
        <v>#N/A</v>
        <stp/>
        <stp>BDH|5616372591916573642</stp>
        <tr r="P12" s="21"/>
      </tp>
      <tp t="e">
        <v>#N/A</v>
        <stp/>
        <stp>BDH|2056923533901979697</stp>
        <tr r="E22" s="7"/>
      </tp>
      <tp t="e">
        <v>#N/A</v>
        <stp/>
        <stp>BDH|2157887254132959258</stp>
        <tr r="W106" s="18"/>
      </tp>
      <tp t="e">
        <v>#N/A</v>
        <stp/>
        <stp>BDH|9728506870556741264</stp>
        <tr r="AA25" s="22"/>
      </tp>
      <tp t="e">
        <v>#N/A</v>
        <stp/>
        <stp>BDH|2050789375324974929</stp>
        <tr r="O47" s="18"/>
      </tp>
      <tp t="e">
        <v>#N/A</v>
        <stp/>
        <stp>BDH|7916830600954880441</stp>
        <tr r="X21" s="21"/>
      </tp>
      <tp t="e">
        <v>#N/A</v>
        <stp/>
        <stp>BDH|1515095126719804542</stp>
        <tr r="W7" s="17"/>
      </tp>
      <tp t="e">
        <v>#N/A</v>
        <stp/>
        <stp>BDH|6911372546246881868</stp>
        <tr r="X14" s="14"/>
      </tp>
      <tp t="e">
        <v>#N/A</v>
        <stp/>
        <stp>BDH|8538547734362118327</stp>
        <tr r="V123" s="18"/>
      </tp>
      <tp t="e">
        <v>#N/A</v>
        <stp/>
        <stp>BDH|9315562344063275454</stp>
        <tr r="W138" s="18"/>
      </tp>
      <tp t="e">
        <v>#N/A</v>
        <stp/>
        <stp>BDH|1846175085947414089</stp>
        <tr r="L18" s="26"/>
      </tp>
      <tp t="e">
        <v>#N/A</v>
        <stp/>
        <stp>BDH|4863314564349913720</stp>
        <tr r="K62" s="12"/>
      </tp>
      <tp t="e">
        <v>#N/A</v>
        <stp/>
        <stp>BDH|3978917372435815745</stp>
        <tr r="F41" s="13"/>
        <tr r="D29" s="11"/>
        <tr r="D37" s="10"/>
      </tp>
      <tp t="e">
        <v>#N/A</v>
        <stp/>
        <stp>BDH|9449641908750681089</stp>
        <tr r="V11" s="12"/>
      </tp>
      <tp t="e">
        <v>#N/A</v>
        <stp/>
        <stp>BDH|7680085288422136219</stp>
        <tr r="X43" s="21"/>
      </tp>
      <tp t="e">
        <v>#N/A</v>
        <stp/>
        <stp>BDH|2402564472349522636</stp>
        <tr r="H36" s="12"/>
      </tp>
      <tp t="e">
        <v>#N/A</v>
        <stp/>
        <stp>BDH|2160641571074140830</stp>
        <tr r="R19" s="20"/>
      </tp>
      <tp t="e">
        <v>#N/A</v>
        <stp/>
        <stp>BDH|7035944876604106252</stp>
        <tr r="H173" s="18"/>
      </tp>
      <tp t="e">
        <v>#N/A</v>
        <stp/>
        <stp>BDH|6912173722708351292</stp>
        <tr r="E69" s="17"/>
      </tp>
      <tp t="e">
        <v>#N/A</v>
        <stp/>
        <stp>BDH|9114928512969570722</stp>
        <tr r="H95" s="12"/>
      </tp>
      <tp t="e">
        <v>#N/A</v>
        <stp/>
        <stp>BDH|8145048822124104108</stp>
        <tr r="C20" s="26"/>
      </tp>
      <tp t="e">
        <v>#N/A</v>
        <stp/>
        <stp>BDH|7885813492398944148</stp>
        <tr r="I42" s="13"/>
      </tp>
      <tp t="e">
        <v>#N/A</v>
        <stp/>
        <stp>BDH|9318037787807096913</stp>
        <tr r="M172" s="18"/>
      </tp>
      <tp t="e">
        <v>#N/A</v>
        <stp/>
        <stp>BDH|8125274659691907107</stp>
        <tr r="M89" s="18"/>
      </tp>
      <tp t="e">
        <v>#N/A</v>
        <stp/>
        <stp>BDH|7515107912771015917</stp>
        <tr r="S24" s="17"/>
      </tp>
      <tp t="e">
        <v>#N/A</v>
        <stp/>
        <stp>BDH|7835066481304108481</stp>
        <tr r="O39" s="13"/>
        <tr r="M35" s="11"/>
        <tr r="M43" s="10"/>
        <tr r="M52" s="4"/>
        <tr r="O8" s="3"/>
      </tp>
      <tp t="e">
        <v>#N/A</v>
        <stp/>
        <stp>BDH|1820718218020301843</stp>
        <tr r="J39" s="18"/>
      </tp>
      <tp t="e">
        <v>#N/A</v>
        <stp/>
        <stp>BDH|9946206830997646096</stp>
        <tr r="S21" s="9"/>
        <tr r="S21" s="5"/>
      </tp>
      <tp t="e">
        <v>#N/A</v>
        <stp/>
        <stp>BDH|5965345304869622090</stp>
        <tr r="K32" s="21"/>
      </tp>
      <tp t="e">
        <v>#N/A</v>
        <stp/>
        <stp>BDH|7646242893866524525</stp>
        <tr r="O12" s="22"/>
      </tp>
      <tp t="e">
        <v>#N/A</v>
        <stp/>
        <stp>BDH|1008519367658855583</stp>
        <tr r="L48" s="21"/>
      </tp>
      <tp t="e">
        <v>#N/A</v>
        <stp/>
        <stp>BDH|9002366928997954012</stp>
        <tr r="F144" s="18"/>
      </tp>
      <tp t="e">
        <v>#N/A</v>
        <stp/>
        <stp>BDH|8988011624876800329</stp>
        <tr r="R39" s="25"/>
        <tr r="R7" s="13"/>
        <tr r="R22" s="13"/>
        <tr r="P18" s="11"/>
        <tr r="R7" s="3"/>
      </tp>
      <tp t="e">
        <v>#N/A</v>
        <stp/>
        <stp>BDH|5425361192878125872</stp>
        <tr r="R10" s="13"/>
      </tp>
      <tp t="e">
        <v>#N/A</v>
        <stp/>
        <stp>BDH|7785429344229605118</stp>
        <tr r="W30" s="17"/>
      </tp>
      <tp t="e">
        <v>#N/A</v>
        <stp/>
        <stp>BDH|3899384737804384826</stp>
        <tr r="Q57" s="17"/>
      </tp>
      <tp t="e">
        <v>#N/A</v>
        <stp/>
        <stp>BDH|1118338456410119836</stp>
        <tr r="H94" s="17"/>
      </tp>
      <tp t="e">
        <v>#N/A</v>
        <stp/>
        <stp>BDH|7135646697825770230</stp>
        <tr r="C178" s="18"/>
      </tp>
      <tp t="e">
        <v>#N/A</v>
        <stp/>
        <stp>BDH|5011405549859763380</stp>
        <tr r="F48" s="12"/>
      </tp>
      <tp t="e">
        <v>#N/A</v>
        <stp/>
        <stp>BDH|4607546812599418628</stp>
        <tr r="G80" s="12"/>
      </tp>
      <tp t="e">
        <v>#N/A</v>
        <stp/>
        <stp>BDH|1028316049970754992</stp>
        <tr r="N39" s="22"/>
      </tp>
      <tp t="e">
        <v>#N/A</v>
        <stp/>
        <stp>BDH|1691941971045621534</stp>
        <tr r="T78" s="24"/>
      </tp>
      <tp t="e">
        <v>#N/A</v>
        <stp/>
        <stp>BDH|9232902901086044944</stp>
        <tr r="K89" s="18"/>
      </tp>
      <tp t="e">
        <v>#N/A</v>
        <stp/>
        <stp>BDH|7438941656496407257</stp>
        <tr r="T48" s="13"/>
      </tp>
      <tp t="e">
        <v>#N/A</v>
        <stp/>
        <stp>BDH|3214543682619444870</stp>
        <tr r="N14" s="30"/>
      </tp>
      <tp t="e">
        <v>#N/A</v>
        <stp/>
        <stp>BDH|7334419089863505791</stp>
        <tr r="P19" s="6"/>
      </tp>
      <tp t="e">
        <v>#N/A</v>
        <stp/>
        <stp>BDH|5751355275029241727</stp>
        <tr r="U48" s="18"/>
      </tp>
      <tp t="e">
        <v>#N/A</v>
        <stp/>
        <stp>BDH|2680377715139744648</stp>
        <tr r="M55" s="17"/>
      </tp>
      <tp t="e">
        <v>#N/A</v>
        <stp/>
        <stp>BDH|7875993508100621185</stp>
        <tr r="O38" s="29"/>
        <tr r="O18" s="29"/>
      </tp>
      <tp t="e">
        <v>#N/A</v>
        <stp/>
        <stp>BDH|7244847310686917786</stp>
        <tr r="D27" s="21"/>
      </tp>
      <tp t="e">
        <v>#N/A</v>
        <stp/>
        <stp>BDH|6622828603979305836</stp>
        <tr r="G93" s="12"/>
      </tp>
      <tp t="e">
        <v>#N/A</v>
        <stp/>
        <stp>BDH|6503895789179251004</stp>
        <tr r="W63" s="21"/>
      </tp>
      <tp t="e">
        <v>#N/A</v>
        <stp/>
        <stp>BDH|1783379168592833973</stp>
        <tr r="L23" s="6"/>
      </tp>
      <tp t="e">
        <v>#N/A</v>
        <stp/>
        <stp>BDH|6406534793300379504</stp>
        <tr r="F39" s="22"/>
      </tp>
      <tp t="e">
        <v>#N/A</v>
        <stp/>
        <stp>BDH|3507943357377836794</stp>
        <tr r="T86" s="12"/>
      </tp>
      <tp t="e">
        <v>#N/A</v>
        <stp/>
        <stp>BDH|4538373986039705947</stp>
        <tr r="J27" s="24"/>
      </tp>
      <tp t="e">
        <v>#N/A</v>
        <stp/>
        <stp>BDH|3235472686781244164</stp>
        <tr r="V38" s="26"/>
      </tp>
      <tp t="e">
        <v>#N/A</v>
        <stp/>
        <stp>BDH|4104048790111373317</stp>
        <tr r="D78" s="24"/>
      </tp>
      <tp t="e">
        <v>#N/A</v>
        <stp/>
        <stp>BDH|2515887807911562480</stp>
        <tr r="O94" s="12"/>
      </tp>
      <tp t="e">
        <v>#N/A</v>
        <stp/>
        <stp>BDH|3722796396336942468</stp>
        <tr r="O36" s="18"/>
      </tp>
      <tp t="e">
        <v>#N/A</v>
        <stp/>
        <stp>BDH|5160318581322317356</stp>
        <tr r="T173" s="18"/>
      </tp>
      <tp t="e">
        <v>#N/A</v>
        <stp/>
        <stp>BDH|3950716636999050195</stp>
        <tr r="D14" s="3"/>
      </tp>
      <tp t="e">
        <v>#N/A</v>
        <stp/>
        <stp>BDH|3547249988114738292</stp>
        <tr r="G45" s="21"/>
      </tp>
      <tp t="e">
        <v>#N/A</v>
        <stp/>
        <stp>BDH|4982337547665232987</stp>
        <tr r="H64" s="12"/>
      </tp>
      <tp t="e">
        <v>#N/A</v>
        <stp/>
        <stp>BDH|5037694119969057477</stp>
        <tr r="P39" s="18"/>
      </tp>
      <tp t="e">
        <v>#N/A</v>
        <stp/>
        <stp>BDH|8682387176573778081</stp>
        <tr r="C131" s="18"/>
      </tp>
      <tp t="e">
        <v>#N/A</v>
        <stp/>
        <stp>BDH|6827836374255966321</stp>
        <tr r="E48" s="17"/>
      </tp>
      <tp t="e">
        <v>#N/A</v>
        <stp/>
        <stp>BDH|8139592906276857427</stp>
        <tr r="R48" s="22"/>
      </tp>
      <tp t="e">
        <v>#N/A</v>
        <stp/>
        <stp>BDH|8750920810086448950</stp>
        <tr r="H51" s="24"/>
      </tp>
      <tp t="e">
        <v>#N/A</v>
        <stp/>
        <stp>BDH|7081641550962816981</stp>
        <tr r="E25" s="7"/>
      </tp>
      <tp t="e">
        <v>#N/A</v>
        <stp/>
        <stp>BDH|5560547452113153965</stp>
        <tr r="O12" s="26"/>
      </tp>
      <tp t="e">
        <v>#N/A</v>
        <stp/>
        <stp>BDH|5428680419038038511</stp>
        <tr r="M14" s="28"/>
      </tp>
      <tp t="e">
        <v>#N/A</v>
        <stp/>
        <stp>BDH|8885488780203581819</stp>
        <tr r="R44" s="11"/>
        <tr r="R52" s="10"/>
        <tr r="R16" s="7"/>
      </tp>
      <tp t="e">
        <v>#N/A</v>
        <stp/>
        <stp>BDH|5834098239889962056</stp>
        <tr r="S89" s="12"/>
      </tp>
      <tp t="e">
        <v>#N/A</v>
        <stp/>
        <stp>BDH|6130828774370798642</stp>
        <tr r="L7" s="4"/>
      </tp>
      <tp t="e">
        <v>#N/A</v>
        <stp/>
        <stp>BDH|2573775851237562825</stp>
        <tr r="J8" s="12"/>
      </tp>
      <tp t="e">
        <v>#N/A</v>
        <stp/>
        <stp>BDH|4661113142317755961</stp>
        <tr r="N49" s="12"/>
      </tp>
      <tp t="e">
        <v>#N/A</v>
        <stp/>
        <stp>BDH|3214807435622312503</stp>
        <tr r="T68" s="34"/>
      </tp>
      <tp t="e">
        <v>#N/A</v>
        <stp/>
        <stp>BDH|4950426350529660392</stp>
        <tr r="W76" s="17"/>
        <tr r="T9" s="9"/>
        <tr r="T9" s="5"/>
      </tp>
      <tp t="e">
        <v>#N/A</v>
        <stp/>
        <stp>BDH|6836519655100883901</stp>
        <tr r="Y80" s="12"/>
      </tp>
      <tp t="e">
        <v>#N/A</v>
        <stp/>
        <stp>BDH|9268050849562929033</stp>
        <tr r="F35" s="4"/>
      </tp>
      <tp t="e">
        <v>#N/A</v>
        <stp/>
        <stp>BDH|5510086003989234388</stp>
        <tr r="AA13" s="24"/>
      </tp>
      <tp t="e">
        <v>#N/A</v>
        <stp/>
        <stp>BDH|7711230655436628932</stp>
        <tr r="P39" s="6"/>
      </tp>
      <tp t="e">
        <v>#N/A</v>
        <stp/>
        <stp>BDH|9557365836115976383</stp>
        <tr r="E11" s="10"/>
        <tr r="E14" s="2"/>
      </tp>
      <tp t="e">
        <v>#N/A</v>
        <stp/>
        <stp>BDH|2413834628227273094</stp>
        <tr r="X7" s="34"/>
      </tp>
      <tp t="e">
        <v>#N/A</v>
        <stp/>
        <stp>BDH|1389641932139396225</stp>
        <tr r="J35" s="4"/>
      </tp>
      <tp t="e">
        <v>#N/A</v>
        <stp/>
        <stp>BDH|1852832516301022692</stp>
        <tr r="R14" s="23"/>
      </tp>
      <tp t="e">
        <v>#N/A</v>
        <stp/>
        <stp>BDH|8556693675561843753</stp>
        <tr r="U40" s="22"/>
      </tp>
      <tp t="e">
        <v>#N/A</v>
        <stp/>
        <stp>BDH|6291224133998789008</stp>
        <tr r="Q34" s="17"/>
      </tp>
      <tp t="e">
        <v>#N/A</v>
        <stp/>
        <stp>BDH|1777839258977033480</stp>
        <tr r="J18" s="25"/>
      </tp>
      <tp t="e">
        <v>#N/A</v>
        <stp/>
        <stp>BDH|5408110135941250968</stp>
        <tr r="I59" s="21"/>
        <tr r="G54" s="11"/>
      </tp>
      <tp t="e">
        <v>#N/A</v>
        <stp/>
        <stp>BDH|3940337844028925335</stp>
        <tr r="N156" s="18"/>
      </tp>
      <tp t="e">
        <v>#N/A</v>
        <stp/>
        <stp>BDH|1016693088785508502</stp>
        <tr r="E6" s="19"/>
        <tr r="E35" s="17"/>
        <tr r="E16" s="3"/>
      </tp>
      <tp t="e">
        <v>#N/A</v>
        <stp/>
        <stp>BDH|9651127341406854595</stp>
        <tr r="Q164" s="18"/>
      </tp>
      <tp t="e">
        <v>#N/A</v>
        <stp/>
        <stp>BDH|3069461692606163711</stp>
        <tr r="O13" s="24"/>
      </tp>
      <tp t="e">
        <v>#N/A</v>
        <stp/>
        <stp>BDH|5334464982903691551</stp>
        <tr r="U96" s="18"/>
      </tp>
      <tp t="e">
        <v>#N/A</v>
        <stp/>
        <stp>BDH|7784285288451487378</stp>
        <tr r="K58" s="18"/>
      </tp>
      <tp t="e">
        <v>#N/A</v>
        <stp/>
        <stp>BDH|2298802303780055550</stp>
        <tr r="R30" s="11"/>
        <tr r="R38" s="10"/>
      </tp>
      <tp t="e">
        <v>#N/A</v>
        <stp/>
        <stp>BDH|9320533054154203229</stp>
        <tr r="G26" s="13"/>
        <tr r="G16" s="13"/>
        <tr r="E18" s="10"/>
      </tp>
      <tp t="e">
        <v>#N/A</v>
        <stp/>
        <stp>BDH|9272391648764013579</stp>
        <tr r="T61" s="13"/>
      </tp>
      <tp t="e">
        <v>#N/A</v>
        <stp/>
        <stp>BDH|3521077420999408724</stp>
        <tr r="AA38" s="12"/>
      </tp>
      <tp t="e">
        <v>#N/A</v>
        <stp/>
        <stp>BDH|4661557462200093852</stp>
        <tr r="E7" s="9"/>
        <tr r="E7" s="5"/>
        <tr r="F7" s="2"/>
        <tr r="H14" s="3"/>
      </tp>
      <tp t="e">
        <v>#N/A</v>
        <stp/>
        <stp>BDH|2385922436013376406</stp>
        <tr r="W58" s="12"/>
      </tp>
      <tp t="e">
        <v>#N/A</v>
        <stp/>
        <stp>BDH|5911334319738497030</stp>
        <tr r="C55" s="11"/>
      </tp>
      <tp t="e">
        <v>#N/A</v>
        <stp/>
        <stp>BDH|4595710195570030554</stp>
        <tr r="H93" s="17"/>
        <tr r="H13" s="28"/>
      </tp>
      <tp t="e">
        <v>#N/A</v>
        <stp/>
        <stp>BDH|4826081004392584953</stp>
        <tr r="Y159" s="18"/>
      </tp>
      <tp t="e">
        <v>#N/A</v>
        <stp/>
        <stp>BDH|8504180420260992401</stp>
        <tr r="Y39" s="17"/>
      </tp>
      <tp t="e">
        <v>#N/A</v>
        <stp/>
        <stp>BDH|3862008324099126796</stp>
        <tr r="T70" s="24"/>
      </tp>
      <tp t="e">
        <v>#N/A</v>
        <stp/>
        <stp>BDH|5804095496667698450</stp>
        <tr r="W35" s="26"/>
      </tp>
      <tp t="e">
        <v>#N/A</v>
        <stp/>
        <stp>BDH|9501797803166287794</stp>
        <tr r="W28" s="26"/>
      </tp>
      <tp t="e">
        <v>#N/A</v>
        <stp/>
        <stp>BDH|3310778423668003132</stp>
        <tr r="Q35" s="18"/>
      </tp>
      <tp t="e">
        <v>#N/A</v>
        <stp/>
        <stp>BDH|5235913530309099977</stp>
        <tr r="U92" s="18"/>
      </tp>
      <tp t="e">
        <v>#N/A</v>
        <stp/>
        <stp>BDH|4169020938661984964</stp>
        <tr r="N12" s="25"/>
      </tp>
      <tp t="e">
        <v>#N/A</v>
        <stp/>
        <stp>BDH|1175061820368004439</stp>
        <tr r="V59" s="12"/>
      </tp>
      <tp t="e">
        <v>#N/A</v>
        <stp/>
        <stp>BDH|1886297790543560603</stp>
        <tr r="L44" s="24"/>
      </tp>
      <tp t="e">
        <v>#N/A</v>
        <stp/>
        <stp>BDH|3658109152599622164</stp>
        <tr r="J21" s="22"/>
      </tp>
      <tp t="e">
        <v>#N/A</v>
        <stp/>
        <stp>BDH|6558357598483496080</stp>
        <tr r="L13" s="12"/>
      </tp>
      <tp t="e">
        <v>#N/A</v>
        <stp/>
        <stp>BDH|9084208284428613475</stp>
        <tr r="O23" s="21"/>
      </tp>
      <tp t="e">
        <v>#N/A</v>
        <stp/>
        <stp>BDH|9659443892519640237</stp>
        <tr r="X19" s="17"/>
      </tp>
      <tp t="e">
        <v>#N/A</v>
        <stp/>
        <stp>BDH|3041206190214623332</stp>
        <tr r="G84" s="18"/>
      </tp>
      <tp t="e">
        <v>#N/A</v>
        <stp/>
        <stp>BDH|9745536038085820510</stp>
        <tr r="W39" s="26"/>
      </tp>
      <tp t="e">
        <v>#N/A</v>
        <stp/>
        <stp>BDH|1219467276914695916</stp>
        <tr r="M7" s="23"/>
      </tp>
      <tp t="e">
        <v>#N/A</v>
        <stp/>
        <stp>BDH|8785159767034750477</stp>
        <tr r="O57" s="34"/>
      </tp>
      <tp t="e">
        <v>#N/A</v>
        <stp/>
        <stp>BDH|5315320853305213950</stp>
        <tr r="I118" s="18"/>
      </tp>
      <tp t="e">
        <v>#N/A</v>
        <stp/>
        <stp>BDH|2536677380926490536</stp>
        <tr r="C100" s="18"/>
      </tp>
      <tp t="e">
        <v>#N/A</v>
        <stp/>
        <stp>BDH|6669218826388487107</stp>
        <tr r="R153" s="18"/>
      </tp>
      <tp t="e">
        <v>#N/A</v>
        <stp/>
        <stp>BDH|8359374117761706414</stp>
        <tr r="D39" s="18"/>
      </tp>
      <tp t="e">
        <v>#N/A</v>
        <stp/>
        <stp>BDH|5770113469275246887</stp>
        <tr r="S13" s="20"/>
        <tr r="S114" s="18"/>
      </tp>
      <tp t="e">
        <v>#N/A</v>
        <stp/>
        <stp>BDH|4044254889050018194</stp>
        <tr r="D11" s="17"/>
      </tp>
      <tp t="e">
        <v>#N/A</v>
        <stp/>
        <stp>BDH|4601093689376569563</stp>
        <tr r="T118" s="18"/>
      </tp>
      <tp t="e">
        <v>#N/A</v>
        <stp/>
        <stp>BDH|4237810130238259840</stp>
        <tr r="I10" s="34"/>
      </tp>
      <tp t="e">
        <v>#N/A</v>
        <stp/>
        <stp>BDH|8303100116762258526</stp>
        <tr r="L14" s="30"/>
      </tp>
      <tp t="e">
        <v>#N/A</v>
        <stp/>
        <stp>BDH|2578371429369759597</stp>
        <tr r="AA90" s="18"/>
      </tp>
      <tp t="e">
        <v>#N/A</v>
        <stp/>
        <stp>BDH|9438071223277520305</stp>
        <tr r="AA10" s="24"/>
      </tp>
      <tp t="e">
        <v>#N/A</v>
        <stp/>
        <stp>BDH|9428156457567108527</stp>
        <tr r="F123" s="18"/>
      </tp>
      <tp t="e">
        <v>#N/A</v>
        <stp/>
        <stp>BDH|8668032030675431147</stp>
        <tr r="O9" s="21"/>
      </tp>
      <tp t="e">
        <v>#N/A</v>
        <stp/>
        <stp>BDH|4927805321593804254</stp>
        <tr r="N28" s="9"/>
        <tr r="N28" s="5"/>
      </tp>
      <tp t="e">
        <v>#N/A</v>
        <stp/>
        <stp>BDH|3941253496640816778</stp>
        <tr r="G95" s="12"/>
      </tp>
      <tp t="e">
        <v>#N/A</v>
        <stp/>
        <stp>BDH|4496563959328652387</stp>
        <tr r="C6" s="28"/>
      </tp>
      <tp t="e">
        <v>#N/A</v>
        <stp/>
        <stp>BDH|5498812856897599030</stp>
        <tr r="K24" s="34"/>
      </tp>
      <tp t="e">
        <v>#N/A</v>
        <stp/>
        <stp>BDH|2618928042874080433</stp>
        <tr r="W141" s="18"/>
      </tp>
      <tp t="e">
        <v>#N/A</v>
        <stp/>
        <stp>BDH|2872973164034795690</stp>
        <tr r="AA8" s="25"/>
        <tr r="X10" s="5"/>
        <tr r="Y9" s="2"/>
      </tp>
      <tp t="e">
        <v>#N/A</v>
        <stp/>
        <stp>BDH|2379045480455186033</stp>
        <tr r="H63" s="17"/>
      </tp>
      <tp t="e">
        <v>#N/A</v>
        <stp/>
        <stp>BDH|8039035849711854278</stp>
        <tr r="U14" s="11"/>
      </tp>
      <tp t="e">
        <v>#N/A</v>
        <stp/>
        <stp>BDH|6272151836293024848</stp>
        <tr r="Q57" s="18"/>
      </tp>
      <tp t="e">
        <v>#N/A</v>
        <stp/>
        <stp>BDH|61279336203539026</stp>
        <tr r="W142" s="18"/>
      </tp>
      <tp t="e">
        <v>#N/A</v>
        <stp/>
        <stp>BDH|22949385437642402</stp>
        <tr r="I62" s="17"/>
      </tp>
      <tp t="e">
        <v>#N/A</v>
        <stp/>
        <stp>BDH|29923986493656050</stp>
        <tr r="G32" s="21"/>
      </tp>
      <tp t="e">
        <v>#N/A</v>
        <stp/>
        <stp>BDH|22409147050481240</stp>
        <tr r="I8" s="4"/>
      </tp>
      <tp t="e">
        <v>#N/A</v>
        <stp/>
        <stp>BDH|74001219834984724</stp>
        <tr r="O20" s="10"/>
      </tp>
      <tp t="e">
        <v>#N/A</v>
        <stp/>
        <stp>BDH|67520302140243787</stp>
        <tr r="O100" s="12"/>
      </tp>
      <tp t="e">
        <v>#N/A</v>
        <stp/>
        <stp>BDH|35016523880390082</stp>
        <tr r="V100" s="18"/>
      </tp>
      <tp t="e">
        <v>#N/A</v>
        <stp/>
        <stp>BDH|8304584934236579000</stp>
        <tr r="K30" s="26"/>
      </tp>
      <tp t="e">
        <v>#N/A</v>
        <stp/>
        <stp>BDH|8306610013906208198</stp>
        <tr r="F160" s="18"/>
      </tp>
      <tp t="e">
        <v>#N/A</v>
        <stp/>
        <stp>BDH|4392890453311390003</stp>
        <tr r="Y36" s="21"/>
      </tp>
      <tp t="e">
        <v>#N/A</v>
        <stp/>
        <stp>BDH|9406398581879325352</stp>
        <tr r="J62" s="11"/>
        <tr r="J70" s="10"/>
      </tp>
      <tp t="e">
        <v>#N/A</v>
        <stp/>
        <stp>BDH|4406744528770500971</stp>
        <tr r="C22" s="22"/>
      </tp>
      <tp t="e">
        <v>#N/A</v>
        <stp/>
        <stp>BDH|9618177147541916550</stp>
        <tr r="S59" s="12"/>
      </tp>
      <tp t="e">
        <v>#N/A</v>
        <stp/>
        <stp>BDH|3180218329479033233</stp>
        <tr r="P14" s="21"/>
      </tp>
      <tp t="e">
        <v>#N/A</v>
        <stp/>
        <stp>BDH|4920627677595318855</stp>
        <tr r="T61" s="18"/>
      </tp>
      <tp t="e">
        <v>#N/A</v>
        <stp/>
        <stp>BDH|1275112487924983470</stp>
        <tr r="K27" s="18"/>
      </tp>
      <tp t="e">
        <v>#N/A</v>
        <stp/>
        <stp>BDH|1744442819028333431</stp>
        <tr r="U6" s="16"/>
        <tr r="V6" s="11"/>
        <tr r="X6" s="3"/>
        <tr r="V10" s="4"/>
      </tp>
      <tp t="e">
        <v>#N/A</v>
        <stp/>
        <stp>BDH|7390875049584669718</stp>
        <tr r="G68" s="10"/>
      </tp>
      <tp t="e">
        <v>#N/A</v>
        <stp/>
        <stp>BDH|4985308586464357367</stp>
        <tr r="M14" s="4"/>
      </tp>
      <tp t="e">
        <v>#N/A</v>
        <stp/>
        <stp>BDH|1623128491169832870</stp>
        <tr r="M49" s="12"/>
      </tp>
      <tp t="e">
        <v>#N/A</v>
        <stp/>
        <stp>BDH|2257142696454397692</stp>
        <tr r="S9" s="29"/>
      </tp>
      <tp t="e">
        <v>#N/A</v>
        <stp/>
        <stp>BDH|7938802710111017739</stp>
        <tr r="G121" s="18"/>
      </tp>
      <tp t="e">
        <v>#N/A</v>
        <stp/>
        <stp>BDH|8913111164824734310</stp>
        <tr r="P78" s="18"/>
      </tp>
      <tp t="e">
        <v>#N/A</v>
        <stp/>
        <stp>BDH|2903636247138651019</stp>
        <tr r="Z17" s="27"/>
        <tr r="Z31" s="25"/>
        <tr r="W14" s="5"/>
      </tp>
      <tp t="e">
        <v>#N/A</v>
        <stp/>
        <stp>BDH|4645422498974621507</stp>
        <tr r="J41" s="21"/>
      </tp>
      <tp t="e">
        <v>#N/A</v>
        <stp/>
        <stp>BDH|3389453096090212687</stp>
        <tr r="K11" s="24"/>
      </tp>
      <tp t="e">
        <v>#N/A</v>
        <stp/>
        <stp>BDH|8939078532510052366</stp>
        <tr r="H18" s="30"/>
      </tp>
      <tp t="e">
        <v>#N/A</v>
        <stp/>
        <stp>BDH|5507981688435804979</stp>
        <tr r="AA10" s="13"/>
      </tp>
      <tp t="e">
        <v>#N/A</v>
        <stp/>
        <stp>BDH|8390596393239172526</stp>
        <tr r="K15" s="24"/>
      </tp>
      <tp t="e">
        <v>#N/A</v>
        <stp/>
        <stp>BDH|7899709630112492964</stp>
        <tr r="W8" s="11"/>
      </tp>
      <tp t="e">
        <v>#N/A</v>
        <stp/>
        <stp>BDH|9897456051591001166</stp>
        <tr r="H72" s="18"/>
      </tp>
      <tp t="e">
        <v>#N/A</v>
        <stp/>
        <stp>BDH|5050503882697088787</stp>
        <tr r="D24" s="29"/>
      </tp>
      <tp t="e">
        <v>#N/A</v>
        <stp/>
        <stp>BDH|4008882119865364083</stp>
        <tr r="O11" s="7"/>
      </tp>
      <tp t="e">
        <v>#N/A</v>
        <stp/>
        <stp>BDH|9386142709535243565</stp>
        <tr r="AA33" s="21"/>
      </tp>
      <tp t="e">
        <v>#N/A</v>
        <stp/>
        <stp>BDH|9386230880479333291</stp>
        <tr r="J7" s="10"/>
      </tp>
      <tp t="e">
        <v>#N/A</v>
        <stp/>
        <stp>BDH|8837752230721643503</stp>
        <tr r="J42" s="12"/>
      </tp>
      <tp t="e">
        <v>#N/A</v>
        <stp/>
        <stp>BDH|4023716369944144928</stp>
        <tr r="K27" s="7"/>
      </tp>
      <tp t="e">
        <v>#N/A</v>
        <stp/>
        <stp>BDH|1303781926618479421</stp>
        <tr r="T17" s="9"/>
      </tp>
      <tp t="e">
        <v>#N/A</v>
        <stp/>
        <stp>BDH|1871856065632122525</stp>
        <tr r="P34" s="13"/>
        <tr r="N30" s="10"/>
      </tp>
      <tp t="e">
        <v>#N/A</v>
        <stp/>
        <stp>BDH|6175076884272808413</stp>
        <tr r="P37" s="34"/>
      </tp>
      <tp t="e">
        <v>#N/A</v>
        <stp/>
        <stp>BDH|6441212838479440626</stp>
        <tr r="P10" s="30"/>
      </tp>
      <tp t="e">
        <v>#N/A</v>
        <stp/>
        <stp>BDH|3908562885283351525</stp>
        <tr r="X45" s="13"/>
      </tp>
      <tp t="e">
        <v>#N/A</v>
        <stp/>
        <stp>BDH|6177381003388930585</stp>
        <tr r="P11" s="6"/>
      </tp>
      <tp t="e">
        <v>#N/A</v>
        <stp/>
        <stp>BDH|2418448614807718882</stp>
        <tr r="F11" s="6"/>
      </tp>
      <tp t="e">
        <v>#N/A</v>
        <stp/>
        <stp>BDH|3019064579159756533</stp>
        <tr r="Z32" s="26"/>
      </tp>
      <tp t="e">
        <v>#N/A</v>
        <stp/>
        <stp>BDH|3293938868264016020</stp>
        <tr r="Y84" s="18"/>
      </tp>
      <tp t="e">
        <v>#N/A</v>
        <stp/>
        <stp>BDH|5310882434350354670</stp>
        <tr r="Y46" s="21"/>
      </tp>
      <tp t="e">
        <v>#N/A</v>
        <stp/>
        <stp>BDH|6911776766647144820</stp>
        <tr r="K18" s="21"/>
        <tr r="K23" s="3"/>
        <tr r="I23" s="2"/>
      </tp>
      <tp t="e">
        <v>#N/A</v>
        <stp/>
        <stp>BDH|6264341503218760596</stp>
        <tr r="U135" s="18"/>
      </tp>
      <tp t="e">
        <v>#N/A</v>
        <stp/>
        <stp>BDH|8867963795409600964</stp>
        <tr r="U130" s="18"/>
      </tp>
      <tp t="e">
        <v>#N/A</v>
        <stp/>
        <stp>BDH|9370887080725326431</stp>
        <tr r="R7" s="8"/>
      </tp>
      <tp t="e">
        <v>#N/A</v>
        <stp/>
        <stp>BDH|5184004345930983969</stp>
        <tr r="V160" s="18"/>
      </tp>
      <tp t="e">
        <v>#N/A</v>
        <stp/>
        <stp>BDH|4623991245547135601</stp>
        <tr r="Q29" s="9"/>
      </tp>
      <tp t="e">
        <v>#N/A</v>
        <stp/>
        <stp>BDH|9187982752255057809</stp>
        <tr r="H60" s="34"/>
      </tp>
      <tp t="e">
        <v>#N/A</v>
        <stp/>
        <stp>BDH|7901120990772865585</stp>
        <tr r="C84" s="12"/>
      </tp>
      <tp t="e">
        <v>#N/A</v>
        <stp/>
        <stp>BDH|2350894833298626947</stp>
        <tr r="C38" s="29"/>
        <tr r="C18" s="29"/>
      </tp>
      <tp t="e">
        <v>#N/A</v>
        <stp/>
        <stp>BDH|8539111797690075885</stp>
        <tr r="E21" s="3"/>
      </tp>
      <tp t="e">
        <v>#N/A</v>
        <stp/>
        <stp>BDH|9782317921495498584</stp>
        <tr r="L36" s="13"/>
        <tr r="J24" s="10"/>
        <tr r="J46" s="4"/>
      </tp>
      <tp t="e">
        <v>#N/A</v>
        <stp/>
        <stp>BDH|2565949608561023221</stp>
        <tr r="N22" s="29"/>
        <tr r="N33" s="29"/>
        <tr r="N13" s="29"/>
      </tp>
      <tp t="e">
        <v>#N/A</v>
        <stp/>
        <stp>BDH|6108899290549100625</stp>
        <tr r="U158" s="18"/>
      </tp>
      <tp t="e">
        <v>#N/A</v>
        <stp/>
        <stp>BDH|4299399480974504351</stp>
        <tr r="E62" s="17"/>
      </tp>
      <tp t="e">
        <v>#N/A</v>
        <stp/>
        <stp>BDH|1464000429598231348</stp>
        <tr r="P27" s="12"/>
      </tp>
      <tp t="e">
        <v>#N/A</v>
        <stp/>
        <stp>BDH|6250736625998662397</stp>
        <tr r="F28" s="18"/>
      </tp>
      <tp t="e">
        <v>#N/A</v>
        <stp/>
        <stp>BDH|4540091712979216470</stp>
        <tr r="M41" s="17"/>
      </tp>
      <tp t="e">
        <v>#N/A</v>
        <stp/>
        <stp>BDH|8889374737177506760</stp>
        <tr r="Z87" s="17"/>
      </tp>
      <tp t="e">
        <v>#N/A</v>
        <stp/>
        <stp>BDH|8159328502520307395</stp>
        <tr r="O49" s="17"/>
      </tp>
      <tp t="e">
        <v>#N/A</v>
        <stp/>
        <stp>BDH|7846035323874375901</stp>
        <tr r="M61" s="21"/>
        <tr r="K25" s="2"/>
      </tp>
      <tp t="e">
        <v>#N/A</v>
        <stp/>
        <stp>BDH|7669412834849958116</stp>
        <tr r="N66" s="21"/>
      </tp>
      <tp t="e">
        <v>#N/A</v>
        <stp/>
        <stp>BDH|6369562444536880926</stp>
        <tr r="H47" s="12"/>
      </tp>
      <tp t="e">
        <v>#N/A</v>
        <stp/>
        <stp>BDH|8806272820913609325</stp>
        <tr r="U13" s="9"/>
      </tp>
      <tp t="e">
        <v>#N/A</v>
        <stp/>
        <stp>BDH|8045852538173607809</stp>
        <tr r="I35" s="25"/>
      </tp>
      <tp t="e">
        <v>#N/A</v>
        <stp/>
        <stp>BDH|6164482724459086159</stp>
        <tr r="Q84" s="18"/>
      </tp>
      <tp t="e">
        <v>#N/A</v>
        <stp/>
        <stp>BDH|6046652073818681786</stp>
        <tr r="E13" s="10"/>
      </tp>
      <tp t="e">
        <v>#N/A</v>
        <stp/>
        <stp>BDH|2838558813939213743</stp>
        <tr r="T26" s="22"/>
      </tp>
      <tp t="e">
        <v>#N/A</v>
        <stp/>
        <stp>BDH|8651119976596900009</stp>
        <tr r="H16" s="25"/>
      </tp>
      <tp t="e">
        <v>#N/A</v>
        <stp/>
        <stp>BDH|5930550828353843944</stp>
        <tr r="O49" s="18"/>
      </tp>
      <tp t="e">
        <v>#N/A</v>
        <stp/>
        <stp>BDH|5915414625368101345</stp>
        <tr r="P57" s="17"/>
      </tp>
      <tp t="e">
        <v>#N/A</v>
        <stp/>
        <stp>BDH|3497572557913814840</stp>
        <tr r="H8" s="27"/>
      </tp>
      <tp t="e">
        <v>#N/A</v>
        <stp/>
        <stp>BDH|1195256443577895870</stp>
        <tr r="K56" s="34"/>
      </tp>
      <tp t="e">
        <v>#N/A</v>
        <stp/>
        <stp>BDH|8419150372124365285</stp>
        <tr r="O25" s="22"/>
      </tp>
      <tp t="e">
        <v>#N/A</v>
        <stp/>
        <stp>BDH|3244810944771840674</stp>
        <tr r="H29" s="17"/>
      </tp>
      <tp t="e">
        <v>#N/A</v>
        <stp/>
        <stp>BDH|5704924201656864246</stp>
        <tr r="W16" s="25"/>
      </tp>
      <tp t="e">
        <v>#N/A</v>
        <stp/>
        <stp>BDH|2194815229295693575</stp>
        <tr r="Z72" s="18"/>
      </tp>
      <tp t="e">
        <v>#N/A</v>
        <stp/>
        <stp>BDH|7468180065509056114</stp>
        <tr r="E53" s="18"/>
      </tp>
      <tp t="e">
        <v>#N/A</v>
        <stp/>
        <stp>BDH|9723588745020491066</stp>
        <tr r="Z17" s="22"/>
      </tp>
      <tp t="e">
        <v>#N/A</v>
        <stp/>
        <stp>BDH|1382195191929735843</stp>
        <tr r="V13" s="18"/>
      </tp>
      <tp t="e">
        <v>#N/A</v>
        <stp/>
        <stp>BDH|3623393936158453351</stp>
        <tr r="O99" s="18"/>
      </tp>
      <tp t="e">
        <v>#N/A</v>
        <stp/>
        <stp>BDH|4378996519510345484</stp>
        <tr r="M62" s="12"/>
      </tp>
      <tp t="e">
        <v>#N/A</v>
        <stp/>
        <stp>BDH|5365536987239655993</stp>
        <tr r="J21" s="27"/>
      </tp>
      <tp t="e">
        <v>#N/A</v>
        <stp/>
        <stp>BDH|3216881962485463045</stp>
        <tr r="C32" s="13"/>
      </tp>
      <tp t="e">
        <v>#N/A</v>
        <stp/>
        <stp>BDH|7324744383336466684</stp>
        <tr r="U70" s="24"/>
      </tp>
      <tp t="e">
        <v>#N/A</v>
        <stp/>
        <stp>BDH|1941634695143150563</stp>
        <tr r="I42" s="12"/>
      </tp>
      <tp t="e">
        <v>#N/A</v>
        <stp/>
        <stp>BDH|1536445819395168914</stp>
        <tr r="J37" s="24"/>
      </tp>
      <tp t="e">
        <v>#N/A</v>
        <stp/>
        <stp>BDH|7624401212243848942</stp>
        <tr r="Y72" s="17"/>
      </tp>
      <tp t="e">
        <v>#N/A</v>
        <stp/>
        <stp>BDH|8166280520593421356</stp>
        <tr r="W25" s="3"/>
      </tp>
      <tp t="e">
        <v>#N/A</v>
        <stp/>
        <stp>BDH|6188790893746487671</stp>
        <tr r="U16" s="17"/>
        <tr r="U19" s="28"/>
      </tp>
      <tp t="e">
        <v>#N/A</v>
        <stp/>
        <stp>BDH|1200684287944662332</stp>
        <tr r="N34" s="6"/>
      </tp>
      <tp t="e">
        <v>#N/A</v>
        <stp/>
        <stp>BDH|8548078111431834032</stp>
        <tr r="C31" s="21"/>
      </tp>
      <tp t="e">
        <v>#N/A</v>
        <stp/>
        <stp>BDH|9805042819690580084</stp>
        <tr r="Q48" s="17"/>
      </tp>
      <tp t="e">
        <v>#N/A</v>
        <stp/>
        <stp>BDH|1735996177642431558</stp>
        <tr r="Q23" s="9"/>
      </tp>
      <tp t="e">
        <v>#N/A</v>
        <stp/>
        <stp>BDH|5865873147652439348</stp>
        <tr r="I63" s="11"/>
        <tr r="I71" s="10"/>
      </tp>
      <tp t="e">
        <v>#N/A</v>
        <stp/>
        <stp>BDH|4497188645869149007</stp>
        <tr r="J38" s="17"/>
      </tp>
      <tp t="e">
        <v>#N/A</v>
        <stp/>
        <stp>BDH|3392398991758046938</stp>
        <tr r="D37" s="21"/>
        <tr r="D24" s="3"/>
      </tp>
      <tp t="e">
        <v>#N/A</v>
        <stp/>
        <stp>BDH|7536777028388322218</stp>
        <tr r="V72" s="18"/>
      </tp>
      <tp t="e">
        <v>#N/A</v>
        <stp/>
        <stp>BDH|3287002926239802045</stp>
        <tr r="M26" s="12"/>
      </tp>
      <tp t="e">
        <v>#N/A</v>
        <stp/>
        <stp>BDH|7007478107752067985</stp>
        <tr r="M77" s="18"/>
      </tp>
      <tp t="e">
        <v>#N/A</v>
        <stp/>
        <stp>BDH|2143047758666383961</stp>
        <tr r="L29" s="24"/>
      </tp>
      <tp t="e">
        <v>#N/A</v>
        <stp/>
        <stp>BDH|4362287621128789454</stp>
        <tr r="I22" s="5"/>
      </tp>
      <tp t="e">
        <v>#N/A</v>
        <stp/>
        <stp>BDH|9489621971482967267</stp>
        <tr r="M29" s="5"/>
      </tp>
      <tp t="e">
        <v>#N/A</v>
        <stp/>
        <stp>BDH|1183363585022821027</stp>
        <tr r="N7" s="10"/>
      </tp>
      <tp t="e">
        <v>#N/A</v>
        <stp/>
        <stp>BDH|6789643660187232997</stp>
        <tr r="H62" s="34"/>
      </tp>
      <tp t="e">
        <v>#N/A</v>
        <stp/>
        <stp>BDH|9596139746017981316</stp>
        <tr r="AA20" s="23"/>
      </tp>
      <tp t="e">
        <v>#N/A</v>
        <stp/>
        <stp>BDH|8782404153073429280</stp>
        <tr r="O62" s="10"/>
      </tp>
      <tp t="e">
        <v>#N/A</v>
        <stp/>
        <stp>BDH|9066656802407637099</stp>
        <tr r="F25" s="10"/>
      </tp>
      <tp t="e">
        <v>#N/A</v>
        <stp/>
        <stp>BDH|6322941388097160874</stp>
        <tr r="Y7" s="17"/>
      </tp>
      <tp t="e">
        <v>#N/A</v>
        <stp/>
        <stp>BDH|3813056151139718726</stp>
        <tr r="J171" s="18"/>
      </tp>
      <tp t="e">
        <v>#N/A</v>
        <stp/>
        <stp>BDH|9853920348074232896</stp>
        <tr r="D129" s="18"/>
      </tp>
      <tp t="e">
        <v>#N/A</v>
        <stp/>
        <stp>BDH|6104362982127979254</stp>
        <tr r="Q28" s="18"/>
      </tp>
      <tp t="e">
        <v>#N/A</v>
        <stp/>
        <stp>BDH|5441841208204978180</stp>
        <tr r="X26" s="17"/>
      </tp>
      <tp t="e">
        <v>#N/A</v>
        <stp/>
        <stp>BDH|8046335214571862361</stp>
        <tr r="J49" s="13"/>
        <tr r="H37" s="11"/>
        <tr r="H45" s="10"/>
        <tr r="H53" s="4"/>
        <tr r="H18" s="2"/>
      </tp>
      <tp t="e">
        <v>#N/A</v>
        <stp/>
        <stp>BDH|1926051414639168100</stp>
        <tr r="T85" s="18"/>
      </tp>
      <tp t="e">
        <v>#N/A</v>
        <stp/>
        <stp>BDH|8139007419093258233</stp>
        <tr r="U33" s="11"/>
        <tr r="U41" s="10"/>
      </tp>
      <tp t="e">
        <v>#N/A</v>
        <stp/>
        <stp>BDH|9725541352147808600</stp>
        <tr r="J95" s="12"/>
      </tp>
      <tp t="e">
        <v>#N/A</v>
        <stp/>
        <stp>BDH|8849560207715632065</stp>
        <tr r="K66" s="10"/>
      </tp>
      <tp t="e">
        <v>#N/A</v>
        <stp/>
        <stp>BDH|6930069467921144903</stp>
        <tr r="Z153" s="18"/>
      </tp>
      <tp t="e">
        <v>#N/A</v>
        <stp/>
        <stp>BDH|8084886089485096587</stp>
        <tr r="U24" s="24"/>
      </tp>
      <tp t="e">
        <v>#N/A</v>
        <stp/>
        <stp>BDH|4555985655314175402</stp>
        <tr r="I18" s="22"/>
      </tp>
      <tp t="e">
        <v>#N/A</v>
        <stp/>
        <stp>BDH|4478308957843982937</stp>
        <tr r="Y11" s="13"/>
      </tp>
      <tp t="e">
        <v>#N/A</v>
        <stp/>
        <stp>BDH|7348247023276596980</stp>
        <tr r="R45" s="24"/>
      </tp>
      <tp t="e">
        <v>#N/A</v>
        <stp/>
        <stp>BDH|1138890764251094653</stp>
        <tr r="R68" s="34"/>
      </tp>
      <tp t="e">
        <v>#N/A</v>
        <stp/>
        <stp>BDH|9894347847175375313</stp>
        <tr r="E19" s="25"/>
      </tp>
      <tp t="e">
        <v>#N/A</v>
        <stp/>
        <stp>BDH|2014186180461185201</stp>
        <tr r="E8" s="28"/>
      </tp>
      <tp t="e">
        <v>#N/A</v>
        <stp/>
        <stp>BDH|3687575028805280927</stp>
        <tr r="C87" s="18"/>
      </tp>
      <tp t="e">
        <v>#N/A</v>
        <stp/>
        <stp>BDH|8530886262097699901</stp>
        <tr r="Z61" s="17"/>
      </tp>
      <tp t="e">
        <v>#N/A</v>
        <stp/>
        <stp>BDH|9149410828820551744</stp>
        <tr r="D97" s="18"/>
      </tp>
      <tp t="e">
        <v>#N/A</v>
        <stp/>
        <stp>BDH|1540971932924016790</stp>
        <tr r="E68" s="34"/>
      </tp>
      <tp t="e">
        <v>#N/A</v>
        <stp/>
        <stp>BDH|5693956518095326010</stp>
        <tr r="G63" s="17"/>
      </tp>
      <tp t="e">
        <v>#N/A</v>
        <stp/>
        <stp>BDH|7474205221017873849</stp>
        <tr r="T9" s="26"/>
      </tp>
      <tp t="e">
        <v>#N/A</v>
        <stp/>
        <stp>BDH|4683626885341913310</stp>
        <tr r="W12" s="17"/>
      </tp>
      <tp t="e">
        <v>#N/A</v>
        <stp/>
        <stp>BDH|9152634056391597385</stp>
        <tr r="X69" s="34"/>
      </tp>
      <tp t="e">
        <v>#N/A</v>
        <stp/>
        <stp>BDH|4256757578374977886</stp>
        <tr r="P53" s="12"/>
      </tp>
      <tp t="e">
        <v>#N/A</v>
        <stp/>
        <stp>BDH|1137123880374904443</stp>
        <tr r="N53" s="17"/>
        <tr r="N10" s="25"/>
      </tp>
      <tp t="e">
        <v>#N/A</v>
        <stp/>
        <stp>BDH|2736934762792934713</stp>
        <tr r="S68" s="10"/>
      </tp>
      <tp t="e">
        <v>#N/A</v>
        <stp/>
        <stp>BDH|9295298246611101624</stp>
        <tr r="E16" s="29"/>
        <tr r="E36" s="29"/>
      </tp>
      <tp t="e">
        <v>#N/A</v>
        <stp/>
        <stp>BDH|2654952950752820451</stp>
        <tr r="T56" s="24"/>
      </tp>
      <tp t="e">
        <v>#N/A</v>
        <stp/>
        <stp>BDH|5156507140804717889</stp>
        <tr r="S19" s="10"/>
      </tp>
      <tp t="e">
        <v>#N/A</v>
        <stp/>
        <stp>BDH|9762315809152834093</stp>
        <tr r="L59" s="21"/>
        <tr r="J54" s="11"/>
      </tp>
      <tp t="e">
        <v>#N/A</v>
        <stp/>
        <stp>BDH|2821074479505934815</stp>
        <tr r="I39" s="25"/>
        <tr r="I22" s="13"/>
        <tr r="I7" s="13"/>
        <tr r="G18" s="11"/>
        <tr r="I7" s="3"/>
      </tp>
      <tp t="e">
        <v>#N/A</v>
        <stp/>
        <stp>BDH|8610364463747843253</stp>
        <tr r="N22" s="18"/>
      </tp>
      <tp t="e">
        <v>#N/A</v>
        <stp/>
        <stp>BDH|6512626685798934856</stp>
        <tr r="J44" s="13"/>
      </tp>
      <tp t="e">
        <v>#N/A</v>
        <stp/>
        <stp>BDH|8369595526606717151</stp>
        <tr r="K65" s="34"/>
      </tp>
      <tp t="e">
        <v>#N/A</v>
        <stp/>
        <stp>BDH|3841354996400079157</stp>
        <tr r="V14" s="8"/>
      </tp>
      <tp t="e">
        <v>#N/A</v>
        <stp/>
        <stp>BDH|9209870475908740699</stp>
        <tr r="W14" s="20"/>
        <tr r="W115" s="18"/>
      </tp>
      <tp t="e">
        <v>#N/A</v>
        <stp/>
        <stp>BDH|8016931241655945855</stp>
        <tr r="E20" s="17"/>
      </tp>
      <tp t="e">
        <v>#N/A</v>
        <stp/>
        <stp>BDH|8039681945544631653</stp>
        <tr r="P41" s="24"/>
      </tp>
      <tp t="e">
        <v>#N/A</v>
        <stp/>
        <stp>BDH|3628264238079157374</stp>
        <tr r="T10" s="17"/>
      </tp>
      <tp t="e">
        <v>#N/A</v>
        <stp/>
        <stp>BDH|7500841653726984458</stp>
        <tr r="T69" s="17"/>
      </tp>
      <tp t="e">
        <v>#N/A</v>
        <stp/>
        <stp>BDH|1697115499610653169</stp>
        <tr r="Q72" s="12"/>
      </tp>
      <tp t="e">
        <v>#N/A</v>
        <stp/>
        <stp>BDH|5497286712547658969</stp>
        <tr r="E49" s="21"/>
      </tp>
      <tp t="e">
        <v>#N/A</v>
        <stp/>
        <stp>BDH|9205949888169491947</stp>
        <tr r="M6" s="16"/>
        <tr r="N6" s="11"/>
        <tr r="P6" s="3"/>
        <tr r="N10" s="4"/>
      </tp>
      <tp t="e">
        <v>#N/A</v>
        <stp/>
        <stp>BDH|7701909926203948767</stp>
        <tr r="H30" s="18"/>
      </tp>
      <tp t="e">
        <v>#N/A</v>
        <stp/>
        <stp>BDH|2308236559588234558</stp>
        <tr r="L10" s="12"/>
      </tp>
      <tp t="e">
        <v>#N/A</v>
        <stp/>
        <stp>BDH|3916828295152327831</stp>
        <tr r="K13" s="22"/>
      </tp>
      <tp t="e">
        <v>#N/A</v>
        <stp/>
        <stp>BDH|7367308428668117642</stp>
        <tr r="Z15" s="26"/>
      </tp>
      <tp t="e">
        <v>#N/A</v>
        <stp/>
        <stp>BDH|3687439083963038480</stp>
        <tr r="H157" s="18"/>
      </tp>
      <tp t="e">
        <v>#N/A</v>
        <stp/>
        <stp>BDH|6901359233358783668</stp>
        <tr r="M25" s="27"/>
      </tp>
      <tp t="e">
        <v>#N/A</v>
        <stp/>
        <stp>BDH|7118108896143853417</stp>
        <tr r="O29" s="5"/>
      </tp>
      <tp t="e">
        <v>#N/A</v>
        <stp/>
        <stp>BDH|3816047483523809099</stp>
        <tr r="L31" s="22"/>
      </tp>
      <tp t="e">
        <v>#N/A</v>
        <stp/>
        <stp>BDH|9933440063612903198</stp>
        <tr r="N41" s="34"/>
      </tp>
      <tp t="e">
        <v>#N/A</v>
        <stp/>
        <stp>BDH|1808977114337396661</stp>
        <tr r="V8" s="4"/>
      </tp>
      <tp t="e">
        <v>#N/A</v>
        <stp/>
        <stp>BDH|5251531071646880965</stp>
        <tr r="N48" s="12"/>
      </tp>
      <tp t="e">
        <v>#N/A</v>
        <stp/>
        <stp>BDH|4267710721808931152</stp>
        <tr r="T54" s="13"/>
      </tp>
      <tp t="e">
        <v>#N/A</v>
        <stp/>
        <stp>BDH|3144996620536518639</stp>
        <tr r="I10" s="18"/>
      </tp>
      <tp t="e">
        <v>#N/A</v>
        <stp/>
        <stp>BDH|9834790338980719505</stp>
        <tr r="J61" s="18"/>
      </tp>
      <tp t="e">
        <v>#N/A</v>
        <stp/>
        <stp>BDH|3107417555163383980</stp>
        <tr r="D13" s="18"/>
      </tp>
      <tp t="e">
        <v>#N/A</v>
        <stp/>
        <stp>BDH|8399034662213844545</stp>
        <tr r="T32" s="17"/>
      </tp>
      <tp t="e">
        <v>#N/A</v>
        <stp/>
        <stp>BDH|7774495482446637555</stp>
        <tr r="Y99" s="18"/>
      </tp>
      <tp t="e">
        <v>#N/A</v>
        <stp/>
        <stp>BDH|4834466710051449851</stp>
        <tr r="I45" s="12"/>
      </tp>
      <tp t="e">
        <v>#N/A</v>
        <stp/>
        <stp>BDH|1643551241721870956</stp>
        <tr r="L33" s="22"/>
      </tp>
      <tp t="e">
        <v>#N/A</v>
        <stp/>
        <stp>BDH|4778531518238662051</stp>
        <tr r="G44" s="12"/>
      </tp>
      <tp t="e">
        <v>#N/A</v>
        <stp/>
        <stp>BDH|6139385045190238917</stp>
        <tr r="Y143" s="18"/>
      </tp>
      <tp t="e">
        <v>#N/A</v>
        <stp/>
        <stp>BDH|4788559793559970970</stp>
        <tr r="Q7" s="10"/>
      </tp>
      <tp t="e">
        <v>#N/A</v>
        <stp/>
        <stp>BDH|2541481338474350996</stp>
        <tr r="N20" s="18"/>
      </tp>
      <tp t="e">
        <v>#N/A</v>
        <stp/>
        <stp>BDH|7753764755385269896</stp>
        <tr r="D25" s="7"/>
      </tp>
      <tp t="e">
        <v>#N/A</v>
        <stp/>
        <stp>BDH|2335058583803333195</stp>
        <tr r="L51" s="12"/>
      </tp>
      <tp t="e">
        <v>#N/A</v>
        <stp/>
        <stp>BDH|2373794826808396707</stp>
        <tr r="F21" s="10"/>
      </tp>
      <tp t="e">
        <v>#N/A</v>
        <stp/>
        <stp>BDH|8833213057343363422</stp>
        <tr r="G66" s="12"/>
      </tp>
      <tp t="e">
        <v>#N/A</v>
        <stp/>
        <stp>BDH|9521322955745493299</stp>
        <tr r="F26" s="21"/>
      </tp>
      <tp t="e">
        <v>#N/A</v>
        <stp/>
        <stp>BDH|9530060948243012647</stp>
        <tr r="P16" s="6"/>
      </tp>
      <tp t="e">
        <v>#N/A</v>
        <stp/>
        <stp>BDH|4655335736599579594</stp>
        <tr r="D71" s="18"/>
      </tp>
      <tp t="e">
        <v>#N/A</v>
        <stp/>
        <stp>BDH|4847855381769590569</stp>
        <tr r="Q59" s="21"/>
        <tr r="O54" s="11"/>
      </tp>
      <tp t="e">
        <v>#N/A</v>
        <stp/>
        <stp>BDH|5229157388216898288</stp>
        <tr r="C30" s="24"/>
      </tp>
      <tp t="e">
        <v>#N/A</v>
        <stp/>
        <stp>BDH|5480473790440951053</stp>
        <tr r="AA19" s="25"/>
      </tp>
      <tp t="e">
        <v>#N/A</v>
        <stp/>
        <stp>BDH|2159884367686771269</stp>
        <tr r="S16" s="12"/>
      </tp>
      <tp t="e">
        <v>#N/A</v>
        <stp/>
        <stp>BDH|5172602684482282180</stp>
        <tr r="P17" s="12"/>
      </tp>
      <tp t="e">
        <v>#N/A</v>
        <stp/>
        <stp>BDH|1834694887095167289</stp>
        <tr r="G14" s="20"/>
        <tr r="G115" s="18"/>
      </tp>
      <tp t="e">
        <v>#N/A</v>
        <stp/>
        <stp>BDH|4702137941808843123</stp>
        <tr r="O29" s="21"/>
      </tp>
      <tp t="e">
        <v>#N/A</v>
        <stp/>
        <stp>BDH|2708286687310594024</stp>
        <tr r="K36" s="18"/>
      </tp>
      <tp t="e">
        <v>#N/A</v>
        <stp/>
        <stp>BDH|1903243358817946934</stp>
        <tr r="G10" s="18"/>
      </tp>
      <tp t="e">
        <v>#N/A</v>
        <stp/>
        <stp>BDH|6986331275089103313</stp>
        <tr r="D153" s="18"/>
      </tp>
      <tp t="e">
        <v>#N/A</v>
        <stp/>
        <stp>BDH|6110821179827351660</stp>
        <tr r="S8" s="21"/>
      </tp>
      <tp t="e">
        <v>#N/A</v>
        <stp/>
        <stp>BDH|6309298145689523150</stp>
        <tr r="M8" s="22"/>
      </tp>
      <tp t="e">
        <v>#N/A</v>
        <stp/>
        <stp>BDH|9572284676415196152</stp>
        <tr r="M26" s="11"/>
        <tr r="M34" s="10"/>
      </tp>
      <tp t="e">
        <v>#N/A</v>
        <stp/>
        <stp>BDH|6900007664950708852</stp>
        <tr r="Y100" s="18"/>
      </tp>
      <tp t="e">
        <v>#N/A</v>
        <stp/>
        <stp>BDH|9174074881909058080</stp>
        <tr r="D30" s="22"/>
      </tp>
      <tp t="e">
        <v>#N/A</v>
        <stp/>
        <stp>BDH|3102286050405481925</stp>
        <tr r="J24" s="13"/>
      </tp>
      <tp t="e">
        <v>#N/A</v>
        <stp/>
        <stp>BDH|5996414458329744584</stp>
        <tr r="D33" s="34"/>
      </tp>
      <tp t="e">
        <v>#N/A</v>
        <stp/>
        <stp>BDH|3592956650545649290</stp>
        <tr r="O46" s="21"/>
      </tp>
      <tp t="e">
        <v>#N/A</v>
        <stp/>
        <stp>BDH|1285476908098071518</stp>
        <tr r="W15" s="12"/>
      </tp>
      <tp t="e">
        <v>#N/A</v>
        <stp/>
        <stp>BDH|6454594932631366900</stp>
        <tr r="F43" s="12"/>
      </tp>
      <tp t="e">
        <v>#N/A</v>
        <stp/>
        <stp>BDH|3593600928859054615</stp>
        <tr r="C58" s="24"/>
      </tp>
      <tp t="e">
        <v>#N/A</v>
        <stp/>
        <stp>BDH|4172711389270613335</stp>
        <tr r="AA27" s="21"/>
      </tp>
      <tp t="e">
        <v>#N/A</v>
        <stp/>
        <stp>BDH|2820695830509504682</stp>
        <tr r="G78" s="17"/>
      </tp>
      <tp t="e">
        <v>#N/A</v>
        <stp/>
        <stp>BDH|6851840691209621677</stp>
        <tr r="D46" s="17"/>
      </tp>
      <tp t="e">
        <v>#N/A</v>
        <stp/>
        <stp>BDH|5324987750100424134</stp>
        <tr r="S25" s="27"/>
      </tp>
      <tp t="e">
        <v>#N/A</v>
        <stp/>
        <stp>BDH|9876630909457801061</stp>
        <tr r="Y56" s="17"/>
      </tp>
      <tp t="e">
        <v>#N/A</v>
        <stp/>
        <stp>BDH|5040215895484165296</stp>
        <tr r="Y14" s="28"/>
      </tp>
      <tp t="e">
        <v>#N/A</v>
        <stp/>
        <stp>BDH|6961674527743221972</stp>
        <tr r="I43" s="22"/>
      </tp>
      <tp t="e">
        <v>#N/A</v>
        <stp/>
        <stp>BDH|9162231424569269881</stp>
        <tr r="S15" s="6"/>
      </tp>
      <tp t="e">
        <v>#N/A</v>
        <stp/>
        <stp>BDH|2904945876206058276</stp>
        <tr r="W54" s="13"/>
      </tp>
      <tp t="e">
        <v>#N/A</v>
        <stp/>
        <stp>BDH|2608274752725848873</stp>
        <tr r="S9" s="22"/>
      </tp>
      <tp t="e">
        <v>#N/A</v>
        <stp/>
        <stp>BDH|5297147467022924848</stp>
        <tr r="W7" s="8"/>
      </tp>
      <tp t="e">
        <v>#N/A</v>
        <stp/>
        <stp>BDH|9035944894222539392</stp>
        <tr r="N6" s="16"/>
        <tr r="O6" s="11"/>
        <tr r="O10" s="4"/>
        <tr r="Q6" s="3"/>
      </tp>
      <tp t="e">
        <v>#N/A</v>
        <stp/>
        <stp>BDH|3971730232577410804</stp>
        <tr r="J29" s="5"/>
      </tp>
      <tp t="e">
        <v>#N/A</v>
        <stp/>
        <stp>BDH|4955963756179723922</stp>
        <tr r="D41" s="12"/>
      </tp>
      <tp t="e">
        <v>#N/A</v>
        <stp/>
        <stp>BDH|2254992731176034662</stp>
        <tr r="U10" s="11"/>
      </tp>
      <tp t="e">
        <v>#N/A</v>
        <stp/>
        <stp>BDH|2411347972298802663</stp>
        <tr r="R168" s="18"/>
      </tp>
      <tp t="e">
        <v>#N/A</v>
        <stp/>
        <stp>BDH|9796787536903778627</stp>
        <tr r="F11" s="7"/>
      </tp>
      <tp t="e">
        <v>#N/A</v>
        <stp/>
        <stp>BDH|4084989631102635438</stp>
        <tr r="T63" s="24"/>
      </tp>
      <tp t="e">
        <v>#N/A</v>
        <stp/>
        <stp>BDH|5497387707567108960</stp>
        <tr r="I10" s="26"/>
      </tp>
      <tp t="e">
        <v>#N/A</v>
        <stp/>
        <stp>BDH|1675291273575616968</stp>
        <tr r="T13" s="20"/>
        <tr r="T114" s="18"/>
      </tp>
      <tp t="e">
        <v>#N/A</v>
        <stp/>
        <stp>BDH|6902072999936346185</stp>
        <tr r="O80" s="18"/>
      </tp>
      <tp t="e">
        <v>#N/A</v>
        <stp/>
        <stp>BDH|9789066959193206762</stp>
        <tr r="R61" s="13"/>
      </tp>
      <tp t="e">
        <v>#N/A</v>
        <stp/>
        <stp>BDH|5528908938090873790</stp>
        <tr r="W11" s="11"/>
      </tp>
      <tp t="e">
        <v>#N/A</v>
        <stp/>
        <stp>BDH|8476500375226807459</stp>
        <tr r="N68" s="12"/>
      </tp>
      <tp t="e">
        <v>#N/A</v>
        <stp/>
        <stp>BDH|6581986632176455274</stp>
        <tr r="G45" s="17"/>
      </tp>
      <tp t="e">
        <v>#N/A</v>
        <stp/>
        <stp>BDH|7543911864183893343</stp>
        <tr r="K43" s="4"/>
      </tp>
      <tp t="e">
        <v>#N/A</v>
        <stp/>
        <stp>BDH|6441260988862710613</stp>
        <tr r="S29" s="21"/>
      </tp>
      <tp t="e">
        <v>#N/A</v>
        <stp/>
        <stp>BDH|6907959963396369702</stp>
        <tr r="X37" s="26"/>
      </tp>
      <tp t="e">
        <v>#N/A</v>
        <stp/>
        <stp>BDH|3253487626224153904</stp>
        <tr r="E32" s="24"/>
      </tp>
      <tp t="e">
        <v>#N/A</v>
        <stp/>
        <stp>BDH|9533609611256005099</stp>
        <tr r="G13" s="23"/>
        <tr r="E57" s="11"/>
        <tr r="E38" s="4"/>
      </tp>
      <tp t="e">
        <v>#N/A</v>
        <stp/>
        <stp>BDH|3548383273307039836</stp>
        <tr r="Q13" s="18"/>
      </tp>
      <tp t="e">
        <v>#N/A</v>
        <stp/>
        <stp>BDH|3845592937708396589</stp>
        <tr r="G36" s="18"/>
      </tp>
      <tp t="e">
        <v>#N/A</v>
        <stp/>
        <stp>BDH|7866770339269914225</stp>
        <tr r="Q65" s="10"/>
        <tr r="Q39" s="4"/>
      </tp>
      <tp t="e">
        <v>#N/A</v>
        <stp/>
        <stp>BDH|7014062898393386508</stp>
        <tr r="P17" s="21"/>
      </tp>
      <tp t="e">
        <v>#N/A</v>
        <stp/>
        <stp>BDH|3721834049056643161</stp>
        <tr r="O133" s="18"/>
      </tp>
      <tp t="e">
        <v>#N/A</v>
        <stp/>
        <stp>BDH|8662402839627249005</stp>
        <tr r="S9" s="24"/>
      </tp>
      <tp t="e">
        <v>#N/A</v>
        <stp/>
        <stp>BDH|1100158930283870818</stp>
        <tr r="U29" s="9"/>
      </tp>
      <tp t="e">
        <v>#N/A</v>
        <stp/>
        <stp>BDH|8888755470782882286</stp>
        <tr r="X32" s="21"/>
      </tp>
      <tp t="e">
        <v>#N/A</v>
        <stp/>
        <stp>BDH|8789195616159794921</stp>
        <tr r="V10" s="27"/>
        <tr r="V25" s="25"/>
      </tp>
      <tp t="e">
        <v>#N/A</v>
        <stp/>
        <stp>BDH|5850010111745468913</stp>
        <tr r="L18" s="34"/>
      </tp>
      <tp t="e">
        <v>#N/A</v>
        <stp/>
        <stp>BDH|4345690794064322700</stp>
        <tr r="D56" s="17"/>
      </tp>
      <tp t="e">
        <v>#N/A</v>
        <stp/>
        <stp>BDH|8628394272306373234</stp>
        <tr r="L25" s="21"/>
      </tp>
      <tp t="e">
        <v>#N/A</v>
        <stp/>
        <stp>BDH|2524539078131757946</stp>
        <tr r="Y47" s="21"/>
      </tp>
      <tp t="e">
        <v>#N/A</v>
        <stp/>
        <stp>BDH|1373074078506761869</stp>
        <tr r="G16" s="26"/>
      </tp>
      <tp t="e">
        <v>#N/A</v>
        <stp/>
        <stp>BDH|1128078679396315810</stp>
        <tr r="S21" s="34"/>
      </tp>
      <tp t="e">
        <v>#N/A</v>
        <stp/>
        <stp>BDH|5012043854189987140</stp>
        <tr r="S10" s="22"/>
      </tp>
      <tp t="e">
        <v>#N/A</v>
        <stp/>
        <stp>BDH|9837268135414641401</stp>
        <tr r="U17" s="22"/>
      </tp>
      <tp t="e">
        <v>#N/A</v>
        <stp/>
        <stp>BDH|5982114053809299047</stp>
        <tr r="K41" s="11"/>
        <tr r="K49" s="10"/>
        <tr r="K8" s="7"/>
        <tr r="M11" s="3"/>
      </tp>
      <tp t="e">
        <v>#N/A</v>
        <stp/>
        <stp>BDH|1332191992451338068</stp>
        <tr r="N21" s="2"/>
      </tp>
      <tp t="e">
        <v>#N/A</v>
        <stp/>
        <stp>BDH|5625839919797751365</stp>
        <tr r="L17" s="13"/>
      </tp>
      <tp t="e">
        <v>#N/A</v>
        <stp/>
        <stp>BDH|7010988967854592474</stp>
        <tr r="X66" s="17"/>
      </tp>
      <tp t="e">
        <v>#N/A</v>
        <stp/>
        <stp>BDH|3414301948629100509</stp>
        <tr r="W29" s="18"/>
      </tp>
      <tp t="e">
        <v>#N/A</v>
        <stp/>
        <stp>BDH|5860856547396459738</stp>
        <tr r="N9" s="24"/>
      </tp>
      <tp t="e">
        <v>#N/A</v>
        <stp/>
        <stp>BDH|7026843106113962497</stp>
        <tr r="P17" s="10"/>
      </tp>
      <tp t="e">
        <v>#N/A</v>
        <stp/>
        <stp>BDH|3278945719014478794</stp>
        <tr r="M61" s="17"/>
      </tp>
      <tp t="e">
        <v>#N/A</v>
        <stp/>
        <stp>BDH|5638614040466628930</stp>
        <tr r="I36" s="13"/>
        <tr r="G24" s="10"/>
        <tr r="G46" s="4"/>
      </tp>
      <tp t="e">
        <v>#N/A</v>
        <stp/>
        <stp>BDH|5158416990085739550</stp>
        <tr r="M41" s="24"/>
      </tp>
      <tp t="e">
        <v>#N/A</v>
        <stp/>
        <stp>BDH|9319264930227757701</stp>
        <tr r="O111" s="12"/>
      </tp>
      <tp t="e">
        <v>#N/A</v>
        <stp/>
        <stp>BDH|5427625151386360861</stp>
        <tr r="AA12" s="17"/>
      </tp>
      <tp t="e">
        <v>#N/A</v>
        <stp/>
        <stp>BDH|5253561922423748936</stp>
        <tr r="N6" s="20"/>
        <tr r="N108" s="18"/>
      </tp>
      <tp t="e">
        <v>#N/A</v>
        <stp/>
        <stp>BDH|1668923862310362672</stp>
        <tr r="N64" s="10"/>
        <tr r="N25" s="4"/>
      </tp>
      <tp t="e">
        <v>#N/A</v>
        <stp/>
        <stp>BDH|4262741891587089558</stp>
        <tr r="Z167" s="18"/>
      </tp>
      <tp t="e">
        <v>#N/A</v>
        <stp/>
        <stp>BDH|5594570472377183837</stp>
        <tr r="X87" s="18"/>
      </tp>
      <tp t="e">
        <v>#N/A</v>
        <stp/>
        <stp>BDH|2042014071269061421</stp>
        <tr r="P33" s="17"/>
      </tp>
      <tp t="e">
        <v>#N/A</v>
        <stp/>
        <stp>BDH|3033403689790806732</stp>
        <tr r="E47" s="22"/>
      </tp>
      <tp t="e">
        <v>#N/A</v>
        <stp/>
        <stp>BDH|5161024966559729201</stp>
        <tr r="K44" s="12"/>
      </tp>
      <tp t="e">
        <v>#N/A</v>
        <stp/>
        <stp>BDH|8346252091069109242</stp>
        <tr r="Q176" s="18"/>
      </tp>
      <tp t="e">
        <v>#N/A</v>
        <stp/>
        <stp>BDH|9120126837061264246</stp>
        <tr r="C68" s="24"/>
      </tp>
      <tp t="e">
        <v>#N/A</v>
        <stp/>
        <stp>BDH|8331160995711772957</stp>
        <tr r="O23" s="26"/>
      </tp>
      <tp t="e">
        <v>#N/A</v>
        <stp/>
        <stp>BDH|1787939729012604097</stp>
        <tr r="N117" s="18"/>
      </tp>
      <tp t="e">
        <v>#N/A</v>
        <stp/>
        <stp>BDH|4014899754365683495</stp>
        <tr r="Q98" s="12"/>
      </tp>
      <tp t="e">
        <v>#N/A</v>
        <stp/>
        <stp>BDH|3410910771323724616</stp>
        <tr r="Q8" s="8"/>
      </tp>
      <tp t="e">
        <v>#N/A</v>
        <stp/>
        <stp>BDH|7653237693857711333</stp>
        <tr r="O7" s="20"/>
        <tr r="O109" s="18"/>
      </tp>
      <tp t="e">
        <v>#N/A</v>
        <stp/>
        <stp>BDH|6263096071889197099</stp>
        <tr r="Q55" s="18"/>
      </tp>
      <tp t="e">
        <v>#N/A</v>
        <stp/>
        <stp>BDH|2464242940175155938</stp>
        <tr r="L7" s="28"/>
      </tp>
      <tp t="e">
        <v>#N/A</v>
        <stp/>
        <stp>BDH|9067327911331482252</stp>
        <tr r="H42" s="11"/>
        <tr r="H14" s="7"/>
        <tr r="H50" s="10"/>
        <tr r="J9" s="3"/>
      </tp>
      <tp t="e">
        <v>#N/A</v>
        <stp/>
        <stp>BDH|9813886238158296284</stp>
        <tr r="D26" s="7"/>
      </tp>
      <tp t="e">
        <v>#N/A</v>
        <stp/>
        <stp>BDH|9485356732106615774</stp>
        <tr r="Z154" s="18"/>
      </tp>
      <tp t="e">
        <v>#N/A</v>
        <stp/>
        <stp>BDH|2024217492818728965</stp>
        <tr r="W100" s="12"/>
      </tp>
      <tp t="e">
        <v>#N/A</v>
        <stp/>
        <stp>BDH|6680016036504100927</stp>
        <tr r="Y72" s="12"/>
      </tp>
      <tp t="e">
        <v>#N/A</v>
        <stp/>
        <stp>BDH|6608831602790394663</stp>
        <tr r="T9" s="21"/>
      </tp>
      <tp t="e">
        <v>#N/A</v>
        <stp/>
        <stp>BDH|6975667878006083957</stp>
        <tr r="D58" s="12"/>
      </tp>
      <tp t="e">
        <v>#N/A</v>
        <stp/>
        <stp>BDH|5682577979759911636</stp>
        <tr r="F12" s="12"/>
      </tp>
      <tp t="e">
        <v>#N/A</v>
        <stp/>
        <stp>BDH|6038366032447296947</stp>
        <tr r="W16" s="18"/>
      </tp>
      <tp t="e">
        <v>#N/A</v>
        <stp/>
        <stp>BDH|3682445258619862303</stp>
        <tr r="AA75" s="18"/>
      </tp>
      <tp t="e">
        <v>#N/A</v>
        <stp/>
        <stp>BDH|8962668975439864802</stp>
        <tr r="Y16" s="23"/>
      </tp>
      <tp t="e">
        <v>#N/A</v>
        <stp/>
        <stp>BDH|9423929716651228801</stp>
        <tr r="J112" s="12"/>
      </tp>
      <tp t="e">
        <v>#N/A</v>
        <stp/>
        <stp>BDH|6842222180681117580</stp>
        <tr r="C28" s="21"/>
      </tp>
      <tp t="e">
        <v>#N/A</v>
        <stp/>
        <stp>BDH|8692300114942916081</stp>
        <tr r="N37" s="12"/>
      </tp>
      <tp t="e">
        <v>#N/A</v>
        <stp/>
        <stp>BDH|1292822649963361694</stp>
        <tr r="T21" s="6"/>
      </tp>
      <tp t="e">
        <v>#N/A</v>
        <stp/>
        <stp>BDH|5682193888340413409</stp>
        <tr r="Z23" s="21"/>
      </tp>
      <tp t="e">
        <v>#N/A</v>
        <stp/>
        <stp>BDH|8944652340292926065</stp>
        <tr r="O40" s="13"/>
        <tr r="M28" s="11"/>
        <tr r="M36" s="10"/>
      </tp>
      <tp t="e">
        <v>#N/A</v>
        <stp/>
        <stp>BDH|2678405445963308939</stp>
        <tr r="D12" s="26"/>
      </tp>
      <tp t="e">
        <v>#N/A</v>
        <stp/>
        <stp>BDH|3311956937343661240</stp>
        <tr r="U41" s="21"/>
      </tp>
      <tp t="e">
        <v>#N/A</v>
        <stp/>
        <stp>BDH|4553545290634703453</stp>
        <tr r="C31" s="12"/>
      </tp>
      <tp t="e">
        <v>#N/A</v>
        <stp/>
        <stp>BDH|4631875336221571616</stp>
        <tr r="G30" s="9"/>
      </tp>
      <tp t="e">
        <v>#N/A</v>
        <stp/>
        <stp>BDH|7154012192894897293</stp>
        <tr r="W135" s="18"/>
      </tp>
      <tp t="e">
        <v>#N/A</v>
        <stp/>
        <stp>BDH|8471656656055379673</stp>
        <tr r="C34" s="17"/>
      </tp>
      <tp t="e">
        <v>#N/A</v>
        <stp/>
        <stp>BDH|9245621227451016444</stp>
        <tr r="H55" s="11"/>
      </tp>
      <tp t="e">
        <v>#N/A</v>
        <stp/>
        <stp>BDH|6355428552646074908</stp>
        <tr r="T23" s="21"/>
      </tp>
      <tp t="e">
        <v>#N/A</v>
        <stp/>
        <stp>BDH|1777322340439368753</stp>
        <tr r="F176" s="18"/>
      </tp>
      <tp t="e">
        <v>#N/A</v>
        <stp/>
        <stp>BDH|1698853251746295230</stp>
        <tr r="C153" s="18"/>
      </tp>
      <tp t="e">
        <v>#N/A</v>
        <stp/>
        <stp>BDH|1498872333494395601</stp>
        <tr r="U99" s="18"/>
      </tp>
      <tp t="e">
        <v>#N/A</v>
        <stp/>
        <stp>BDH|2246154480287746431</stp>
        <tr r="E97" s="18"/>
      </tp>
      <tp t="e">
        <v>#N/A</v>
        <stp/>
        <stp>BDH|8234994413470232896</stp>
        <tr r="Q66" s="18"/>
      </tp>
      <tp t="e">
        <v>#N/A</v>
        <stp/>
        <stp>BDH|8536112621857677408</stp>
        <tr r="L8" s="13"/>
      </tp>
      <tp t="e">
        <v>#N/A</v>
        <stp/>
        <stp>BDH|3256920415885131678</stp>
        <tr r="Y77" s="17"/>
        <tr r="Y19" s="3"/>
      </tp>
      <tp t="e">
        <v>#N/A</v>
        <stp/>
        <stp>BDH|7847075312986919870</stp>
        <tr r="I60" s="11"/>
      </tp>
      <tp t="e">
        <v>#N/A</v>
        <stp/>
        <stp>BDH|4917569865569019694</stp>
        <tr r="P25" s="24"/>
      </tp>
      <tp t="e">
        <v>#N/A</v>
        <stp/>
        <stp>BDH|7537469686795015664</stp>
        <tr r="I44" s="18"/>
      </tp>
      <tp t="e">
        <v>#N/A</v>
        <stp/>
        <stp>BDH|5523367080525083303</stp>
        <tr r="Y68" s="18"/>
      </tp>
      <tp t="e">
        <v>#N/A</v>
        <stp/>
        <stp>BDH|5883797146996398874</stp>
        <tr r="R33" s="18"/>
      </tp>
      <tp t="e">
        <v>#N/A</v>
        <stp/>
        <stp>BDH|7889569481695498785</stp>
        <tr r="T83" s="12"/>
      </tp>
      <tp t="e">
        <v>#N/A</v>
        <stp/>
        <stp>BDH|7662393829867712926</stp>
        <tr r="T65" s="21"/>
        <tr r="Q28" s="6"/>
      </tp>
      <tp t="e">
        <v>#N/A</v>
        <stp/>
        <stp>BDH|5660958137743731407</stp>
        <tr r="U63" s="21"/>
      </tp>
      <tp t="e">
        <v>#N/A</v>
        <stp/>
        <stp>BDH|7665035696092585456</stp>
        <tr r="E58" s="21"/>
        <tr r="E37" s="25"/>
        <tr r="C53" s="11"/>
        <tr r="C31" s="4"/>
      </tp>
      <tp t="e">
        <v>#N/A</v>
        <stp/>
        <stp>BDH|7314407721010525948</stp>
        <tr r="S29" s="24"/>
      </tp>
      <tp t="e">
        <v>#N/A</v>
        <stp/>
        <stp>BDH|9675459665375633631</stp>
        <tr r="S12" s="12"/>
      </tp>
      <tp t="e">
        <v>#N/A</v>
        <stp/>
        <stp>BDH|7019805223976276325</stp>
        <tr r="C91" s="12"/>
      </tp>
      <tp t="e">
        <v>#N/A</v>
        <stp/>
        <stp>BDH|8540389935596845632</stp>
        <tr r="P125" s="18"/>
      </tp>
      <tp t="e">
        <v>#N/A</v>
        <stp/>
        <stp>BDH|3778249042319745457</stp>
        <tr r="I8" s="6"/>
      </tp>
      <tp t="e">
        <v>#N/A</v>
        <stp/>
        <stp>BDH|1591016257254648867</stp>
        <tr r="V8" s="13"/>
      </tp>
      <tp t="e">
        <v>#N/A</v>
        <stp/>
        <stp>BDH|5646724202708456223</stp>
        <tr r="L21" s="18"/>
      </tp>
      <tp t="e">
        <v>#N/A</v>
        <stp/>
        <stp>BDH|1460973591328009127</stp>
        <tr r="J12" s="13"/>
      </tp>
      <tp t="e">
        <v>#N/A</v>
        <stp/>
        <stp>BDH|7344732642858461468</stp>
        <tr r="Y7" s="4"/>
      </tp>
      <tp t="e">
        <v>#N/A</v>
        <stp/>
        <stp>BDH|5930089876968020271</stp>
        <tr r="V50" s="12"/>
      </tp>
      <tp t="e">
        <v>#N/A</v>
        <stp/>
        <stp>BDH|9708937283195548522</stp>
        <tr r="Y10" s="11"/>
      </tp>
      <tp t="e">
        <v>#N/A</v>
        <stp/>
        <stp>BDH|3295323781512152209</stp>
        <tr r="M175" s="18"/>
      </tp>
      <tp t="e">
        <v>#N/A</v>
        <stp/>
        <stp>BDH|9491163835500686314</stp>
        <tr r="O24" s="12"/>
      </tp>
      <tp t="e">
        <v>#N/A</v>
        <stp/>
        <stp>BDH|2939923247195566295</stp>
        <tr r="K11" s="18"/>
      </tp>
      <tp t="e">
        <v>#N/A</v>
        <stp/>
        <stp>BDH|3326012911779501365</stp>
        <tr r="T64" s="34"/>
      </tp>
      <tp t="e">
        <v>#N/A</v>
        <stp/>
        <stp>BDH|7468893858737367561</stp>
        <tr r="T11" s="17"/>
      </tp>
      <tp t="e">
        <v>#N/A</v>
        <stp/>
        <stp>BDH|8692388624794256586</stp>
        <tr r="M145" s="18"/>
      </tp>
      <tp t="e">
        <v>#N/A</v>
        <stp/>
        <stp>BDH|9562577093489741465</stp>
        <tr r="O47" s="12"/>
      </tp>
      <tp t="e">
        <v>#N/A</v>
        <stp/>
        <stp>BDH|8791787058346233459</stp>
        <tr r="K10" s="10"/>
      </tp>
      <tp t="e">
        <v>#N/A</v>
        <stp/>
        <stp>BDH|4963937626940482787</stp>
        <tr r="I21" s="9"/>
        <tr r="I21" s="5"/>
      </tp>
      <tp t="e">
        <v>#N/A</v>
        <stp/>
        <stp>BDH|6670869280349385732</stp>
        <tr r="AA26" s="21"/>
      </tp>
      <tp t="e">
        <v>#N/A</v>
        <stp/>
        <stp>BDH|9556162028711210397</stp>
        <tr r="Q33" s="13"/>
        <tr r="O29" s="10"/>
      </tp>
      <tp t="e">
        <v>#N/A</v>
        <stp/>
        <stp>BDH|3097305380995633560</stp>
        <tr r="D89" s="17"/>
      </tp>
      <tp t="e">
        <v>#N/A</v>
        <stp/>
        <stp>BDH|4094593284148416993</stp>
        <tr r="S13" s="6"/>
      </tp>
      <tp t="e">
        <v>#N/A</v>
        <stp/>
        <stp>BDH|1647049999769237990</stp>
        <tr r="K61" s="21"/>
        <tr r="I25" s="2"/>
      </tp>
      <tp t="e">
        <v>#N/A</v>
        <stp/>
        <stp>BDH|7015867930027394356</stp>
        <tr r="V29" s="29"/>
        <tr r="V7" s="29"/>
      </tp>
      <tp t="e">
        <v>#N/A</v>
        <stp/>
        <stp>BDH|3003039346388773724</stp>
        <tr r="S72" s="18"/>
      </tp>
      <tp t="e">
        <v>#N/A</v>
        <stp/>
        <stp>BDH|5097697928730059914</stp>
        <tr r="U58" s="34"/>
      </tp>
      <tp t="e">
        <v>#N/A</v>
        <stp/>
        <stp>BDH|9104438390049402560</stp>
        <tr r="G89" s="17"/>
      </tp>
      <tp t="e">
        <v>#N/A</v>
        <stp/>
        <stp>BDH|1422429608459712496</stp>
        <tr r="W42" s="21"/>
      </tp>
      <tp t="e">
        <v>#N/A</v>
        <stp/>
        <stp>BDH|9411629908695856260</stp>
        <tr r="G49" s="21"/>
      </tp>
      <tp t="e">
        <v>#N/A</v>
        <stp/>
        <stp>BDH|5586958104853628720</stp>
        <tr r="K151" s="18"/>
      </tp>
      <tp t="e">
        <v>#N/A</v>
        <stp/>
        <stp>BDH|2100878260751733511</stp>
        <tr r="E59" s="24"/>
      </tp>
      <tp t="e">
        <v>#N/A</v>
        <stp/>
        <stp>BDH|7183995227237901362</stp>
        <tr r="P10" s="13"/>
      </tp>
      <tp t="e">
        <v>#N/A</v>
        <stp/>
        <stp>BDH|9210037546791782404</stp>
        <tr r="O130" s="18"/>
      </tp>
      <tp t="e">
        <v>#N/A</v>
        <stp/>
        <stp>BDH|1190234196502258060</stp>
        <tr r="D42" s="13"/>
      </tp>
      <tp t="e">
        <v>#N/A</v>
        <stp/>
        <stp>BDH|1246604009359897636</stp>
        <tr r="N29" s="4"/>
      </tp>
      <tp t="e">
        <v>#N/A</v>
        <stp/>
        <stp>BDH|1467520380555684107</stp>
        <tr r="M34" s="13"/>
        <tr r="K30" s="10"/>
      </tp>
      <tp t="e">
        <v>#N/A</v>
        <stp/>
        <stp>BDH|3277227194825345570</stp>
        <tr r="P51" s="12"/>
      </tp>
      <tp t="e">
        <v>#N/A</v>
        <stp/>
        <stp>BDH|2788907791109150377</stp>
        <tr r="J54" s="6"/>
      </tp>
      <tp t="e">
        <v>#N/A</v>
        <stp/>
        <stp>BDH|7671056425859412427</stp>
        <tr r="M32" s="17"/>
      </tp>
      <tp t="e">
        <v>#N/A</v>
        <stp/>
        <stp>BDH|5178804298754092892</stp>
        <tr r="K21" s="27"/>
      </tp>
      <tp t="e">
        <v>#N/A</v>
        <stp/>
        <stp>BDH|6795470926719004161</stp>
        <tr r="T11" s="28"/>
      </tp>
      <tp t="e">
        <v>#N/A</v>
        <stp/>
        <stp>BDH|5293327068001159994</stp>
        <tr r="I40" s="6"/>
      </tp>
      <tp t="e">
        <v>#N/A</v>
        <stp/>
        <stp>BDH|3740577182806300015</stp>
        <tr r="F38" s="6"/>
        <tr r="F18" s="5"/>
      </tp>
      <tp t="e">
        <v>#N/A</v>
        <stp/>
        <stp>BDH|5331976013202413738</stp>
        <tr r="V12" s="24"/>
      </tp>
      <tp t="e">
        <v>#N/A</v>
        <stp/>
        <stp>BDH|8139192749165585046</stp>
        <tr r="I20" s="24"/>
      </tp>
      <tp t="e">
        <v>#N/A</v>
        <stp/>
        <stp>BDH|7186755974219795667</stp>
        <tr r="P19" s="26"/>
      </tp>
      <tp t="e">
        <v>#N/A</v>
        <stp/>
        <stp>BDH|3447417747513567860</stp>
        <tr r="N14" s="4"/>
      </tp>
      <tp t="e">
        <v>#N/A</v>
        <stp/>
        <stp>BDH|8262369337213359318</stp>
        <tr r="Y65" s="12"/>
      </tp>
      <tp t="e">
        <v>#N/A</v>
        <stp/>
        <stp>BDH|1218947531716628500</stp>
        <tr r="H10" s="6"/>
      </tp>
      <tp t="e">
        <v>#N/A</v>
        <stp/>
        <stp>BDH|4458545161898487743</stp>
        <tr r="I110" s="12"/>
      </tp>
      <tp t="e">
        <v>#N/A</v>
        <stp/>
        <stp>BDH|5683060798792153689</stp>
        <tr r="W39" s="18"/>
      </tp>
      <tp t="e">
        <v>#N/A</v>
        <stp/>
        <stp>BDH|3740811818440706282</stp>
        <tr r="F16" s="10"/>
      </tp>
      <tp t="e">
        <v>#N/A</v>
        <stp/>
        <stp>BDH|9594317730506101749</stp>
        <tr r="L43" s="13"/>
      </tp>
      <tp t="e">
        <v>#N/A</v>
        <stp/>
        <stp>BDH|9134474425217638044</stp>
        <tr r="Q16" s="18"/>
      </tp>
      <tp t="e">
        <v>#N/A</v>
        <stp/>
        <stp>BDH|8534922477258341622</stp>
        <tr r="S12" s="22"/>
      </tp>
      <tp t="e">
        <v>#N/A</v>
        <stp/>
        <stp>BDH|7519348302085750959</stp>
        <tr r="Z48" s="18"/>
      </tp>
      <tp t="e">
        <v>#N/A</v>
        <stp/>
        <stp>BDH|2918097802368453274</stp>
        <tr r="P89" s="12"/>
      </tp>
      <tp t="e">
        <v>#N/A</v>
        <stp/>
        <stp>BDH|1237237871848805498</stp>
        <tr r="U36" s="13"/>
        <tr r="S24" s="10"/>
        <tr r="S46" s="4"/>
      </tp>
      <tp t="e">
        <v>#N/A</v>
        <stp/>
        <stp>BDH|6038384729318756775</stp>
        <tr r="N58" s="21"/>
        <tr r="N37" s="25"/>
        <tr r="L53" s="11"/>
        <tr r="L31" s="4"/>
      </tp>
      <tp t="e">
        <v>#N/A</v>
        <stp/>
        <stp>BDH|8191214540854669277</stp>
        <tr r="H46" s="11"/>
        <tr r="H7" s="7"/>
        <tr r="H54" s="10"/>
        <tr r="J12" s="3"/>
      </tp>
      <tp t="e">
        <v>#N/A</v>
        <stp/>
        <stp>BDH|5648824563235167670</stp>
        <tr r="G56" s="34"/>
      </tp>
      <tp t="e">
        <v>#N/A</v>
        <stp/>
        <stp>BDH|6488875443961253335</stp>
        <tr r="F13" s="22"/>
      </tp>
      <tp t="e">
        <v>#N/A</v>
        <stp/>
        <stp>BDH|4559412833889182273</stp>
        <tr r="J42" s="17"/>
      </tp>
      <tp t="e">
        <v>#N/A</v>
        <stp/>
        <stp>BDH|6841435892402016183</stp>
        <tr r="Y7" s="20"/>
        <tr r="Y109" s="18"/>
      </tp>
      <tp t="e">
        <v>#N/A</v>
        <stp/>
        <stp>BDH|1106857737295331711</stp>
        <tr r="H20" s="18"/>
      </tp>
      <tp t="e">
        <v>#N/A</v>
        <stp/>
        <stp>BDH|1497653772761527979</stp>
        <tr r="E60" s="12"/>
      </tp>
      <tp t="e">
        <v>#N/A</v>
        <stp/>
        <stp>BDH|5367926619124160181</stp>
        <tr r="V42" s="4"/>
      </tp>
      <tp t="e">
        <v>#N/A</v>
        <stp/>
        <stp>BDH|9301532143322051222</stp>
        <tr r="N53" s="12"/>
      </tp>
      <tp t="e">
        <v>#N/A</v>
        <stp/>
        <stp>BDH|6879324790325934125</stp>
        <tr r="S100" s="12"/>
      </tp>
      <tp t="e">
        <v>#N/A</v>
        <stp/>
        <stp>BDH|5694302625614599872</stp>
        <tr r="C29" s="6"/>
      </tp>
      <tp t="e">
        <v>#N/A</v>
        <stp/>
        <stp>BDH|8593150471156275026</stp>
        <tr r="E16" s="20"/>
      </tp>
      <tp t="e">
        <v>#N/A</v>
        <stp/>
        <stp>BDH|5705559097445120456</stp>
        <tr r="C15" s="17"/>
        <tr r="C18" s="28"/>
      </tp>
      <tp t="e">
        <v>#N/A</v>
        <stp/>
        <stp>BDH|7012856931916015256</stp>
        <tr r="K61" s="18"/>
      </tp>
      <tp t="e">
        <v>#N/A</v>
        <stp/>
        <stp>BDH|7546049316726501832</stp>
        <tr r="G61" s="21"/>
        <tr r="E25" s="2"/>
      </tp>
      <tp t="e">
        <v>#N/A</v>
        <stp/>
        <stp>BDH|8870597685755562809</stp>
        <tr r="Z39" s="26"/>
      </tp>
      <tp t="e">
        <v>#N/A</v>
        <stp/>
        <stp>BDH|1762349023761369926</stp>
        <tr r="H10" s="21"/>
      </tp>
      <tp t="e">
        <v>#N/A</v>
        <stp/>
        <stp>BDH|2416972732007101719</stp>
        <tr r="H49" s="4"/>
      </tp>
      <tp t="e">
        <v>#N/A</v>
        <stp/>
        <stp>BDH|5677986720942675495</stp>
        <tr r="O7" s="34"/>
      </tp>
      <tp t="e">
        <v>#N/A</v>
        <stp/>
        <stp>BDH|2200942220754678518</stp>
        <tr r="L107" s="18"/>
      </tp>
      <tp t="e">
        <v>#N/A</v>
        <stp/>
        <stp>BDH|4509897683009947579</stp>
        <tr r="H35" s="22"/>
      </tp>
      <tp t="e">
        <v>#N/A</v>
        <stp/>
        <stp>BDH|5490223763351268865</stp>
        <tr r="R15" s="23"/>
        <tr r="P58" s="11"/>
      </tp>
      <tp t="e">
        <v>#N/A</v>
        <stp/>
        <stp>BDH|5554167496867525215</stp>
        <tr r="N68" s="18"/>
      </tp>
      <tp t="e">
        <v>#N/A</v>
        <stp/>
        <stp>BDH|5596903608661950555</stp>
        <tr r="R35" s="24"/>
      </tp>
      <tp t="e">
        <v>#N/A</v>
        <stp/>
        <stp>BDH|3097675041531523827</stp>
        <tr r="W62" s="34"/>
      </tp>
      <tp t="e">
        <v>#N/A</v>
        <stp/>
        <stp>BDH|3210867699118810249</stp>
        <tr r="U147" s="18"/>
      </tp>
      <tp t="e">
        <v>#N/A</v>
        <stp/>
        <stp>BDH|8162429019460873532</stp>
        <tr r="G29" s="13"/>
        <tr r="E24" s="11"/>
        <tr r="E32" s="10"/>
        <tr r="E45" s="4"/>
      </tp>
      <tp t="e">
        <v>#N/A</v>
        <stp/>
        <stp>BDH|1304960732311252248</stp>
        <tr r="Y168" s="18"/>
      </tp>
      <tp t="e">
        <v>#N/A</v>
        <stp/>
        <stp>BDH|1733624225964366926</stp>
        <tr r="AA101" s="12"/>
      </tp>
      <tp t="e">
        <v>#N/A</v>
        <stp/>
        <stp>BDH|2021120040816501964</stp>
        <tr r="M8" s="11"/>
      </tp>
      <tp t="e">
        <v>#N/A</v>
        <stp/>
        <stp>BDH|9198980332593248886</stp>
        <tr r="W13" s="13"/>
      </tp>
      <tp t="e">
        <v>#N/A</v>
        <stp/>
        <stp>BDH|2427854059713610481</stp>
        <tr r="S32" s="24"/>
      </tp>
      <tp t="e">
        <v>#N/A</v>
        <stp/>
        <stp>BDH|1262218924100588946</stp>
        <tr r="Z14" s="8"/>
      </tp>
      <tp t="e">
        <v>#N/A</v>
        <stp/>
        <stp>BDH|5439175962863363948</stp>
        <tr r="C33" s="22"/>
      </tp>
      <tp t="e">
        <v>#N/A</v>
        <stp/>
        <stp>BDH|4637521386504777530</stp>
        <tr r="T29" s="24"/>
      </tp>
      <tp t="e">
        <v>#N/A</v>
        <stp/>
        <stp>BDH|9246026456506428245</stp>
        <tr r="X8" s="12"/>
      </tp>
      <tp t="e">
        <v>#N/A</v>
        <stp/>
        <stp>BDH|9640558533145675209</stp>
        <tr r="S40" s="12"/>
      </tp>
      <tp t="e">
        <v>#N/A</v>
        <stp/>
        <stp>BDH|9997904029802533835</stp>
        <tr r="K51" s="34"/>
      </tp>
      <tp t="e">
        <v>#N/A</v>
        <stp/>
        <stp>BDH|7713436547837385864</stp>
        <tr r="I14" s="21"/>
      </tp>
      <tp t="e">
        <v>#N/A</v>
        <stp/>
        <stp>BDH|2650321261397666852</stp>
        <tr r="E128" s="18"/>
      </tp>
      <tp t="e">
        <v>#N/A</v>
        <stp/>
        <stp>BDH|3968772352049902037</stp>
        <tr r="J52" s="13"/>
        <tr r="H47" s="11"/>
        <tr r="H55" s="10"/>
        <tr r="H17" s="7"/>
        <tr r="H17" s="4"/>
        <tr r="J10" s="3"/>
      </tp>
      <tp t="e">
        <v>#N/A</v>
        <stp/>
        <stp>BDH|1320924043745720131</stp>
        <tr r="X68" s="24"/>
      </tp>
      <tp t="e">
        <v>#N/A</v>
        <stp/>
        <stp>BDH|7975891937630720460</stp>
        <tr r="T49" s="22"/>
      </tp>
      <tp t="e">
        <v>#N/A</v>
        <stp/>
        <stp>BDH|4707434223219914382</stp>
        <tr r="P98" s="18"/>
      </tp>
      <tp t="e">
        <v>#N/A</v>
        <stp/>
        <stp>BDH|9546636782348107734</stp>
        <tr r="M32" s="26"/>
      </tp>
      <tp t="e">
        <v>#N/A</v>
        <stp/>
        <stp>BDH|3013551835605057866</stp>
        <tr r="U25" s="34"/>
      </tp>
      <tp t="e">
        <v>#N/A</v>
        <stp/>
        <stp>BDH|3430013895511700310</stp>
        <tr r="O20" s="30"/>
      </tp>
      <tp t="e">
        <v>#N/A</v>
        <stp/>
        <stp>BDH|5970446209378350113</stp>
        <tr r="D29" s="24"/>
      </tp>
      <tp t="e">
        <v>#N/A</v>
        <stp/>
        <stp>BDH|8983618070792670384</stp>
        <tr r="K93" s="17"/>
        <tr r="K13" s="28"/>
      </tp>
      <tp t="e">
        <v>#N/A</v>
        <stp/>
        <stp>BDH|9901464542723902224</stp>
        <tr r="S104" s="12"/>
      </tp>
      <tp t="e">
        <v>#N/A</v>
        <stp/>
        <stp>BDH|5456114225316242841</stp>
        <tr r="P63" s="17"/>
      </tp>
      <tp t="e">
        <v>#N/A</v>
        <stp/>
        <stp>BDH|1260360614803096860</stp>
        <tr r="AA50" s="12"/>
      </tp>
      <tp t="e">
        <v>#N/A</v>
        <stp/>
        <stp>BDH|9873986057788408551</stp>
        <tr r="C44" s="21"/>
      </tp>
      <tp t="e">
        <v>#N/A</v>
        <stp/>
        <stp>BDH|6764821874216513723</stp>
        <tr r="Z26" s="18"/>
      </tp>
      <tp t="e">
        <v>#N/A</v>
        <stp/>
        <stp>BDH|8598319867221017455</stp>
        <tr r="G37" s="12"/>
      </tp>
      <tp t="e">
        <v>#N/A</v>
        <stp/>
        <stp>BDH|1075100640055010960</stp>
        <tr r="H15" s="12"/>
      </tp>
      <tp t="e">
        <v>#N/A</v>
        <stp/>
        <stp>BDH|3174917232835485406</stp>
        <tr r="C49" s="12"/>
      </tp>
      <tp t="e">
        <v>#N/A</v>
        <stp/>
        <stp>BDH|9040013031591011365</stp>
        <tr r="M24" s="20"/>
      </tp>
      <tp t="e">
        <v>#N/A</v>
        <stp/>
        <stp>BDH|6700907710443791563</stp>
        <tr r="N50" s="21"/>
      </tp>
      <tp t="e">
        <v>#N/A</v>
        <stp/>
        <stp>BDH|2771834569937270395</stp>
        <tr r="T33" s="34"/>
      </tp>
      <tp t="e">
        <v>#N/A</v>
        <stp/>
        <stp>BDH|6550404531959183038</stp>
        <tr r="N89" s="18"/>
      </tp>
      <tp t="e">
        <v>#N/A</v>
        <stp/>
        <stp>BDH|9689059175717977199</stp>
        <tr r="P58" s="17"/>
      </tp>
      <tp t="e">
        <v>#N/A</v>
        <stp/>
        <stp>BDH|3257104580840353277</stp>
        <tr r="W40" s="29"/>
      </tp>
      <tp t="e">
        <v>#N/A</v>
        <stp/>
        <stp>BDH|9816051466456991146</stp>
        <tr r="M23" s="11"/>
      </tp>
      <tp t="e">
        <v>#N/A</v>
        <stp/>
        <stp>BDH|9197711060790059061</stp>
        <tr r="X76" s="17"/>
        <tr r="U9" s="9"/>
        <tr r="U9" s="5"/>
      </tp>
      <tp t="e">
        <v>#N/A</v>
        <stp/>
        <stp>BDH|3298805661457316262</stp>
        <tr r="H48" s="21"/>
      </tp>
      <tp t="e">
        <v>#N/A</v>
        <stp/>
        <stp>BDH|3636893453905335390</stp>
        <tr r="X8" s="29"/>
        <tr r="X30" s="29"/>
      </tp>
      <tp t="e">
        <v>#N/A</v>
        <stp/>
        <stp>BDH|8971188302709101842</stp>
        <tr r="AA160" s="18"/>
      </tp>
      <tp t="e">
        <v>#N/A</v>
        <stp/>
        <stp>BDH|2411907861317496276</stp>
        <tr r="R67" s="34"/>
      </tp>
      <tp t="e">
        <v>#N/A</v>
        <stp/>
        <stp>BDH|3287755386681113560</stp>
        <tr r="V138" s="18"/>
      </tp>
      <tp t="e">
        <v>#N/A</v>
        <stp/>
        <stp>BDH|9565187069093536578</stp>
        <tr r="X35" s="21"/>
      </tp>
      <tp t="e">
        <v>#N/A</v>
        <stp/>
        <stp>BDH|7210656387771292044</stp>
        <tr r="S139" s="18"/>
      </tp>
      <tp t="e">
        <v>#N/A</v>
        <stp/>
        <stp>BDH|2797714983164483179</stp>
        <tr r="T40" s="22"/>
      </tp>
      <tp t="e">
        <v>#N/A</v>
        <stp/>
        <stp>BDH|8808777159563285126</stp>
        <tr r="S54" s="10"/>
        <tr r="S7" s="7"/>
        <tr r="S46" s="11"/>
        <tr r="U12" s="3"/>
      </tp>
      <tp t="e">
        <v>#N/A</v>
        <stp/>
        <stp>BDH|4469496912458920109</stp>
        <tr r="E105" s="12"/>
      </tp>
      <tp t="e">
        <v>#N/A</v>
        <stp/>
        <stp>BDH|8372140572322025439</stp>
        <tr r="Y93" s="18"/>
      </tp>
      <tp t="e">
        <v>#N/A</v>
        <stp/>
        <stp>BDH|8156529944643241231</stp>
        <tr r="X148" s="18"/>
      </tp>
      <tp t="e">
        <v>#N/A</v>
        <stp/>
        <stp>BDH|8717006004297229766</stp>
        <tr r="G19" s="12"/>
      </tp>
      <tp t="e">
        <v>#N/A</v>
        <stp/>
        <stp>BDH|7336903854371479244</stp>
        <tr r="G12" s="18"/>
      </tp>
      <tp t="e">
        <v>#N/A</v>
        <stp/>
        <stp>BDH|6420434481403348126</stp>
        <tr r="U7" s="11"/>
      </tp>
      <tp t="e">
        <v>#N/A</v>
        <stp/>
        <stp>BDH|2181454846012141848</stp>
        <tr r="I60" s="17"/>
      </tp>
      <tp t="e">
        <v>#N/A</v>
        <stp/>
        <stp>BDH|5993852397834948857</stp>
        <tr r="E75" s="24"/>
      </tp>
      <tp t="e">
        <v>#N/A</v>
        <stp/>
        <stp>BDH|8548771449246541590</stp>
        <tr r="O92" s="17"/>
        <tr r="O7" s="27"/>
      </tp>
      <tp t="e">
        <v>#N/A</v>
        <stp/>
        <stp>BDH|8900885192114062540</stp>
        <tr r="E47" s="17"/>
      </tp>
      <tp t="e">
        <v>#N/A</v>
        <stp/>
        <stp>BDH|4409440236193456851</stp>
        <tr r="I19" s="34"/>
      </tp>
      <tp t="e">
        <v>#N/A</v>
        <stp/>
        <stp>BDH|9090279356545103370</stp>
        <tr r="Y54" s="10"/>
        <tr r="Y46" s="11"/>
        <tr r="Y7" s="7"/>
        <tr r="AA12" s="3"/>
      </tp>
      <tp t="e">
        <v>#N/A</v>
        <stp/>
        <stp>BDH|7124741349598818432</stp>
        <tr r="N42" s="21"/>
      </tp>
      <tp t="e">
        <v>#N/A</v>
        <stp/>
        <stp>BDH|3434151881162546022</stp>
        <tr r="N126" s="18"/>
      </tp>
      <tp t="e">
        <v>#N/A</v>
        <stp/>
        <stp>BDH|5202720997904355739</stp>
        <tr r="N38" s="25"/>
      </tp>
      <tp t="e">
        <v>#N/A</v>
        <stp/>
        <stp>BDH|9366520827201070716</stp>
        <tr r="M139" s="18"/>
      </tp>
      <tp t="e">
        <v>#N/A</v>
        <stp/>
        <stp>BDH|9850447932895167388</stp>
        <tr r="W40" s="34"/>
      </tp>
      <tp t="e">
        <v>#N/A</v>
        <stp/>
        <stp>BDH|1071206560758363544</stp>
        <tr r="T24" s="24"/>
      </tp>
      <tp t="e">
        <v>#N/A</v>
        <stp/>
        <stp>BDH|2720816312135419670</stp>
        <tr r="L36" s="4"/>
      </tp>
      <tp t="e">
        <v>#N/A</v>
        <stp/>
        <stp>BDH|5910276958288579245</stp>
        <tr r="U8" s="18"/>
      </tp>
      <tp t="e">
        <v>#N/A</v>
        <stp/>
        <stp>BDH|8605657866021096129</stp>
        <tr r="V7" s="10"/>
      </tp>
      <tp t="e">
        <v>#N/A</v>
        <stp/>
        <stp>BDH|4793387288535449248</stp>
        <tr r="S16" s="20"/>
      </tp>
      <tp t="e">
        <v>#N/A</v>
        <stp/>
        <stp>BDH|5256356813657120820</stp>
        <tr r="E51" s="34"/>
      </tp>
      <tp t="e">
        <v>#N/A</v>
        <stp/>
        <stp>BDH|2990313685117851628</stp>
        <tr r="S57" s="18"/>
      </tp>
      <tp t="e">
        <v>#N/A</v>
        <stp/>
        <stp>BDH|9932742702792911411</stp>
        <tr r="D99" s="12"/>
      </tp>
      <tp t="e">
        <v>#N/A</v>
        <stp/>
        <stp>BDH|9810172460075825308</stp>
        <tr r="U23" s="17"/>
      </tp>
      <tp t="e">
        <v>#N/A</v>
        <stp/>
        <stp>BDH|9343898187723259287</stp>
        <tr r="I31" s="22"/>
      </tp>
      <tp t="e">
        <v>#N/A</v>
        <stp/>
        <stp>BDH|2692377788374642581</stp>
        <tr r="K95" s="18"/>
      </tp>
      <tp t="e">
        <v>#N/A</v>
        <stp/>
        <stp>BDH|2848808255567224083</stp>
        <tr r="F150" s="18"/>
      </tp>
      <tp t="e">
        <v>#N/A</v>
        <stp/>
        <stp>BDH|2301476214618694712</stp>
        <tr r="Y34" s="13"/>
        <tr r="W30" s="10"/>
      </tp>
      <tp t="e">
        <v>#N/A</v>
        <stp/>
        <stp>BDH|1998438539998755636</stp>
        <tr r="V69" s="34"/>
      </tp>
      <tp t="e">
        <v>#N/A</v>
        <stp/>
        <stp>BDH|2305640107845647916</stp>
        <tr r="L41" s="13"/>
        <tr r="J29" s="11"/>
        <tr r="J37" s="10"/>
      </tp>
      <tp t="e">
        <v>#N/A</v>
        <stp/>
        <stp>BDH|3094938650961556617</stp>
        <tr r="K39" s="17"/>
      </tp>
      <tp t="e">
        <v>#N/A</v>
        <stp/>
        <stp>BDH|8048277761731083516</stp>
        <tr r="R18" s="24"/>
      </tp>
      <tp t="e">
        <v>#N/A</v>
        <stp/>
        <stp>BDH|2272469071071649847</stp>
        <tr r="I24" s="17"/>
      </tp>
      <tp t="e">
        <v>#N/A</v>
        <stp/>
        <stp>BDH|6964744593782994201</stp>
        <tr r="U16" s="20"/>
      </tp>
      <tp t="e">
        <v>#N/A</v>
        <stp/>
        <stp>BDH|9268012248397932258</stp>
        <tr r="K13" s="17"/>
        <tr r="K16" s="28"/>
      </tp>
      <tp t="e">
        <v>#N/A</v>
        <stp/>
        <stp>BDH|9463229906760400334</stp>
        <tr r="T11" s="7"/>
      </tp>
      <tp t="e">
        <v>#N/A</v>
        <stp/>
        <stp>BDH|7354669980598729957</stp>
        <tr r="L104" s="18"/>
      </tp>
      <tp t="e">
        <v>#N/A</v>
        <stp/>
        <stp>BDH|8595003466733242566</stp>
        <tr r="AA44" s="17"/>
      </tp>
      <tp t="e">
        <v>#N/A</v>
        <stp/>
        <stp>BDH|2038229581663633320</stp>
        <tr r="V28" s="17"/>
      </tp>
      <tp t="e">
        <v>#N/A</v>
        <stp/>
        <stp>BDH|9573236300595888692</stp>
        <tr r="W93" s="18"/>
      </tp>
      <tp t="e">
        <v>#N/A</v>
        <stp/>
        <stp>BDH|4171467767697092971</stp>
        <tr r="C73" s="24"/>
      </tp>
      <tp t="e">
        <v>#N/A</v>
        <stp/>
        <stp>BDH|9503308379180305587</stp>
        <tr r="K36" s="6"/>
      </tp>
      <tp t="e">
        <v>#N/A</v>
        <stp/>
        <stp>BDH|9711667502027723005</stp>
        <tr r="S8" s="11"/>
      </tp>
      <tp t="e">
        <v>#N/A</v>
        <stp/>
        <stp>BDH|1254145793627216636</stp>
        <tr r="H49" s="21"/>
      </tp>
      <tp t="e">
        <v>#N/A</v>
        <stp/>
        <stp>BDH|7002217278589465395</stp>
        <tr r="J77" s="17"/>
        <tr r="J19" s="3"/>
      </tp>
      <tp t="e">
        <v>#N/A</v>
        <stp/>
        <stp>BDH|9055295829755368471</stp>
        <tr r="X18" s="22"/>
      </tp>
      <tp t="e">
        <v>#N/A</v>
        <stp/>
        <stp>BDH|6868507849808402719</stp>
        <tr r="U73" s="18"/>
      </tp>
      <tp t="e">
        <v>#N/A</v>
        <stp/>
        <stp>BDH|4073219889342953458</stp>
        <tr r="I19" s="12"/>
      </tp>
      <tp t="e">
        <v>#N/A</v>
        <stp/>
        <stp>BDH|8078476561404638644</stp>
        <tr r="AA136" s="18"/>
      </tp>
      <tp t="e">
        <v>#N/A</v>
        <stp/>
        <stp>BDH|9243754469729933936</stp>
        <tr r="S14" s="14"/>
      </tp>
      <tp t="e">
        <v>#N/A</v>
        <stp/>
        <stp>BDH|3755139707788197260</stp>
        <tr r="P16" s="17"/>
        <tr r="P19" s="28"/>
      </tp>
      <tp t="e">
        <v>#N/A</v>
        <stp/>
        <stp>BDH|7258333146769131120</stp>
        <tr r="R48" s="18"/>
      </tp>
      <tp t="e">
        <v>#N/A</v>
        <stp/>
        <stp>BDH|7676556937070820981</stp>
        <tr r="I90" s="12"/>
      </tp>
      <tp t="e">
        <v>#N/A</v>
        <stp/>
        <stp>BDH|4438931667380146350</stp>
        <tr r="J66" s="21"/>
      </tp>
      <tp t="e">
        <v>#N/A</v>
        <stp/>
        <stp>BDH|9982237473943863755</stp>
        <tr r="R30" s="21"/>
      </tp>
      <tp t="e">
        <v>#N/A</v>
        <stp/>
        <stp>BDH|7838233022499422693</stp>
        <tr r="Z71" s="12"/>
      </tp>
      <tp t="e">
        <v>#N/A</v>
        <stp/>
        <stp>BDH|9735711913252854590</stp>
        <tr r="S12" s="26"/>
      </tp>
      <tp t="e">
        <v>#N/A</v>
        <stp/>
        <stp>BDH|4298837772435496636</stp>
        <tr r="V86" s="12"/>
      </tp>
      <tp t="e">
        <v>#N/A</v>
        <stp/>
        <stp>BDH|4587903367613583032</stp>
        <tr r="G63" s="18"/>
      </tp>
      <tp t="e">
        <v>#N/A</v>
        <stp/>
        <stp>BDH|9827895695533654360</stp>
        <tr r="Q21" s="2"/>
      </tp>
      <tp t="e">
        <v>#N/A</v>
        <stp/>
        <stp>BDH|3983836358894018260</stp>
        <tr r="V35" s="21"/>
      </tp>
      <tp t="e">
        <v>#N/A</v>
        <stp/>
        <stp>BDH|3617879005945956692</stp>
        <tr r="D19" s="12"/>
      </tp>
      <tp t="e">
        <v>#N/A</v>
        <stp/>
        <stp>BDH|3256782510115825862</stp>
        <tr r="F52" s="17"/>
        <tr r="F17" s="3"/>
      </tp>
      <tp t="e">
        <v>#N/A</v>
        <stp/>
        <stp>BDH|6810133435399257582</stp>
        <tr r="V108" s="12"/>
      </tp>
      <tp t="e">
        <v>#N/A</v>
        <stp/>
        <stp>BDH|1064899222746856574</stp>
        <tr r="W54" s="6"/>
      </tp>
      <tp t="e">
        <v>#N/A</v>
        <stp/>
        <stp>BDH|1241662104398384775</stp>
        <tr r="T42" s="12"/>
      </tp>
      <tp t="e">
        <v>#N/A</v>
        <stp/>
        <stp>BDH|3974108299475648627</stp>
        <tr r="D98" s="18"/>
      </tp>
      <tp t="e">
        <v>#N/A</v>
        <stp/>
        <stp>BDH|1567360526808619077</stp>
        <tr r="X131" s="18"/>
      </tp>
      <tp t="e">
        <v>#N/A</v>
        <stp/>
        <stp>BDH|2284842514782362153</stp>
        <tr r="F10" s="24"/>
      </tp>
      <tp t="e">
        <v>#N/A</v>
        <stp/>
        <stp>BDH|5593843067427545470</stp>
        <tr r="M9" s="13"/>
      </tp>
      <tp t="e">
        <v>#N/A</v>
        <stp/>
        <stp>BDH|6711933016453080564</stp>
        <tr r="D49" s="12"/>
      </tp>
      <tp t="e">
        <v>#N/A</v>
        <stp/>
        <stp>BDH|8629058866474671273</stp>
        <tr r="V34" s="29"/>
        <tr r="V23" s="29"/>
        <tr r="V14" s="29"/>
      </tp>
      <tp t="e">
        <v>#N/A</v>
        <stp/>
        <stp>BDH|9261324116872790159</stp>
        <tr r="U37" s="24"/>
      </tp>
      <tp t="e">
        <v>#N/A</v>
        <stp/>
        <stp>BDH|6392901607026426140</stp>
        <tr r="S173" s="18"/>
      </tp>
      <tp t="e">
        <v>#N/A</v>
        <stp/>
        <stp>BDH|8981114916400834021</stp>
        <tr r="O36" s="34"/>
      </tp>
      <tp t="e">
        <v>#N/A</v>
        <stp/>
        <stp>BDH|6194753403230116924</stp>
        <tr r="Z44" s="17"/>
      </tp>
      <tp t="e">
        <v>#N/A</v>
        <stp/>
        <stp>BDH|4279402029842734883</stp>
        <tr r="F69" s="24"/>
      </tp>
      <tp t="e">
        <v>#N/A</v>
        <stp/>
        <stp>BDH|1745647898686828078</stp>
        <tr r="L16" s="34"/>
      </tp>
      <tp t="e">
        <v>#N/A</v>
        <stp/>
        <stp>BDH|4795667917328355317</stp>
        <tr r="P71" s="18"/>
      </tp>
      <tp t="e">
        <v>#N/A</v>
        <stp/>
        <stp>BDH|1242561322216117838</stp>
        <tr r="X33" s="13"/>
        <tr r="V29" s="10"/>
      </tp>
      <tp t="e">
        <v>#N/A</v>
        <stp/>
        <stp>BDH|2754755017115276938</stp>
        <tr r="V83" s="12"/>
      </tp>
      <tp t="e">
        <v>#N/A</v>
        <stp/>
        <stp>BDH|4045301722274699900</stp>
        <tr r="D36" s="21"/>
      </tp>
      <tp t="e">
        <v>#N/A</v>
        <stp/>
        <stp>BDH|1714857947952435752</stp>
        <tr r="S11" s="24"/>
      </tp>
      <tp t="e">
        <v>#N/A</v>
        <stp/>
        <stp>BDH|2161233397240299130</stp>
        <tr r="I13" s="24"/>
      </tp>
      <tp t="e">
        <v>#N/A</v>
        <stp/>
        <stp>BDH|7645708802829620168</stp>
        <tr r="I82" s="17"/>
        <tr r="G6" s="7"/>
        <tr r="I20" s="3"/>
      </tp>
      <tp t="e">
        <v>#N/A</v>
        <stp/>
        <stp>BDH|5464100014644493918</stp>
        <tr r="D65" s="34"/>
      </tp>
      <tp t="e">
        <v>#N/A</v>
        <stp/>
        <stp>BDH|9665765750224333763</stp>
        <tr r="E26" s="18"/>
      </tp>
      <tp t="e">
        <v>#N/A</v>
        <stp/>
        <stp>BDH|5823543587283751397</stp>
        <tr r="K33" s="22"/>
      </tp>
      <tp t="e">
        <v>#N/A</v>
        <stp/>
        <stp>BDH|2410640120206652836</stp>
        <tr r="U18" s="9"/>
      </tp>
      <tp t="e">
        <v>#N/A</v>
        <stp/>
        <stp>BDH|7577652543078029567</stp>
        <tr r="G8" s="8"/>
      </tp>
      <tp t="e">
        <v>#N/A</v>
        <stp/>
        <stp>BDH|3998101697863905020</stp>
        <tr r="Z18" s="22"/>
      </tp>
      <tp t="e">
        <v>#N/A</v>
        <stp/>
        <stp>BDH|7979334261138875265</stp>
        <tr r="H34" s="17"/>
      </tp>
      <tp t="e">
        <v>#N/A</v>
        <stp/>
        <stp>BDH|8400400921251301732</stp>
        <tr r="Z57" s="17"/>
      </tp>
      <tp t="e">
        <v>#N/A</v>
        <stp/>
        <stp>BDH|8440528195495180970</stp>
        <tr r="U61" s="12"/>
      </tp>
      <tp t="e">
        <v>#N/A</v>
        <stp/>
        <stp>BDH|8475198801836843716</stp>
        <tr r="T12" s="30"/>
      </tp>
      <tp t="e">
        <v>#N/A</v>
        <stp/>
        <stp>BDH|9503750427063629747</stp>
        <tr r="F71" s="24"/>
      </tp>
      <tp t="e">
        <v>#N/A</v>
        <stp/>
        <stp>BDH|2261730730367229962</stp>
        <tr r="T33" s="29"/>
        <tr r="T13" s="29"/>
        <tr r="T22" s="29"/>
      </tp>
      <tp t="e">
        <v>#N/A</v>
        <stp/>
        <stp>BDH|2851970300505858620</stp>
        <tr r="C55" s="6"/>
      </tp>
      <tp t="e">
        <v>#N/A</v>
        <stp/>
        <stp>BDH|7003394721196437893</stp>
        <tr r="C16" s="20"/>
      </tp>
      <tp t="e">
        <v>#N/A</v>
        <stp/>
        <stp>BDH|7980111791401815648</stp>
        <tr r="H39" s="12"/>
      </tp>
      <tp t="e">
        <v>#N/A</v>
        <stp/>
        <stp>BDH|6964600748894589812</stp>
        <tr r="R13" s="12"/>
      </tp>
      <tp t="e">
        <v>#N/A</v>
        <stp/>
        <stp>BDH|1534656720825698830</stp>
        <tr r="L98" s="18"/>
      </tp>
      <tp t="e">
        <v>#N/A</v>
        <stp/>
        <stp>BDH|3424972924535064527</stp>
        <tr r="S28" s="4"/>
      </tp>
      <tp t="e">
        <v>#N/A</v>
        <stp/>
        <stp>BDH|8227211169482735680</stp>
        <tr r="H7" s="4"/>
      </tp>
      <tp t="e">
        <v>#N/A</v>
        <stp/>
        <stp>BDH|9104645077475218554</stp>
        <tr r="N20" s="25"/>
      </tp>
      <tp t="e">
        <v>#N/A</v>
        <stp/>
        <stp>BDH|5924265295177902161</stp>
        <tr r="U42" s="4"/>
      </tp>
      <tp t="e">
        <v>#N/A</v>
        <stp/>
        <stp>BDH|7120144991374921380</stp>
        <tr r="Q41" s="13"/>
        <tr r="O29" s="11"/>
        <tr r="O37" s="10"/>
      </tp>
      <tp t="e">
        <v>#N/A</v>
        <stp/>
        <stp>BDH|9829619434553907719</stp>
        <tr r="H40" s="17"/>
      </tp>
      <tp t="e">
        <v>#N/A</v>
        <stp/>
        <stp>BDH|4645241629605675982</stp>
        <tr r="X15" s="21"/>
      </tp>
      <tp t="e">
        <v>#N/A</v>
        <stp/>
        <stp>BDH|8973027340616883268</stp>
        <tr r="J10" s="13"/>
      </tp>
      <tp t="e">
        <v>#N/A</v>
        <stp/>
        <stp>BDH|1306850984800197968</stp>
        <tr r="AA14" s="20"/>
        <tr r="AA115" s="18"/>
      </tp>
      <tp t="e">
        <v>#N/A</v>
        <stp/>
        <stp>BDH|9209802986839378824</stp>
        <tr r="C79" s="12"/>
      </tp>
      <tp t="e">
        <v>#N/A</v>
        <stp/>
        <stp>BDH|6685491163279974504</stp>
        <tr r="D79" s="12"/>
      </tp>
      <tp t="e">
        <v>#N/A</v>
        <stp/>
        <stp>BDH|3983009085203128089</stp>
        <tr r="V20" s="18"/>
      </tp>
      <tp t="e">
        <v>#N/A</v>
        <stp/>
        <stp>BDH|8207641066151289170</stp>
        <tr r="Q178" s="18"/>
      </tp>
      <tp t="e">
        <v>#N/A</v>
        <stp/>
        <stp>BDH|9008892247969330483</stp>
        <tr r="J16" s="12"/>
      </tp>
      <tp t="e">
        <v>#N/A</v>
        <stp/>
        <stp>BDH|9355743522881936596</stp>
        <tr r="Q10" s="28"/>
      </tp>
      <tp t="e">
        <v>#N/A</v>
        <stp/>
        <stp>BDH|3933789754779418047</stp>
        <tr r="N122" s="18"/>
      </tp>
      <tp t="e">
        <v>#N/A</v>
        <stp/>
        <stp>BDH|8512643393279092674</stp>
        <tr r="I105" s="18"/>
      </tp>
      <tp t="e">
        <v>#N/A</v>
        <stp/>
        <stp>BDH|1408682928519592443</stp>
        <tr r="G25" s="10"/>
      </tp>
      <tp t="e">
        <v>#N/A</v>
        <stp/>
        <stp>BDH|7967060408876633941</stp>
        <tr r="F16" s="6"/>
      </tp>
      <tp t="e">
        <v>#N/A</v>
        <stp/>
        <stp>BDH|3388429313588124669</stp>
        <tr r="Y12" s="30"/>
      </tp>
      <tp t="e">
        <v>#N/A</v>
        <stp/>
        <stp>BDH|2495388489748312939</stp>
        <tr r="D23" s="24"/>
      </tp>
      <tp t="e">
        <v>#N/A</v>
        <stp/>
        <stp>BDH|38192626013972518</stp>
        <tr r="J22" s="27"/>
      </tp>
      <tp t="e">
        <v>#N/A</v>
        <stp/>
        <stp>BDH|57537105531554148</stp>
        <tr r="P44" s="18"/>
      </tp>
      <tp t="e">
        <v>#N/A</v>
        <stp/>
        <stp>BDH|64324217211302679</stp>
        <tr r="F24" s="20"/>
      </tp>
      <tp t="e">
        <v>#N/A</v>
        <stp/>
        <stp>BDH|41447143530983521</stp>
        <tr r="G92" s="12"/>
      </tp>
      <tp t="e">
        <v>#N/A</v>
        <stp/>
        <stp>BDH|73757369087765373</stp>
        <tr r="D47" s="24"/>
      </tp>
      <tp t="e">
        <v>#N/A</v>
        <stp/>
        <stp>BDH|44981450648655138</stp>
        <tr r="I177" s="18"/>
      </tp>
      <tp t="e">
        <v>#N/A</v>
        <stp/>
        <stp>BDH|1402954073100013685</stp>
        <tr r="W12" s="18"/>
      </tp>
      <tp t="e">
        <v>#N/A</v>
        <stp/>
        <stp>BDH|8369562969577375557</stp>
        <tr r="R24" s="20"/>
      </tp>
      <tp t="e">
        <v>#N/A</v>
        <stp/>
        <stp>BDH|4112877560156535594</stp>
        <tr r="I27" s="7"/>
      </tp>
      <tp t="e">
        <v>#N/A</v>
        <stp/>
        <stp>BDH|8275063418944692407</stp>
        <tr r="J33" s="12"/>
      </tp>
      <tp t="e">
        <v>#N/A</v>
        <stp/>
        <stp>BDH|7897500296827659527</stp>
        <tr r="J53" s="6"/>
      </tp>
      <tp t="e">
        <v>#N/A</v>
        <stp/>
        <stp>BDH|9032001385738856072</stp>
        <tr r="P54" s="34"/>
      </tp>
      <tp t="e">
        <v>#N/A</v>
        <stp/>
        <stp>BDH|9177371253505822373</stp>
        <tr r="Z46" s="18"/>
      </tp>
      <tp t="e">
        <v>#N/A</v>
        <stp/>
        <stp>BDH|1114071868216003840</stp>
        <tr r="T40" s="24"/>
      </tp>
      <tp t="e">
        <v>#N/A</v>
        <stp/>
        <stp>BDH|9444521330210548691</stp>
        <tr r="H50" s="6"/>
        <tr r="J10" s="8"/>
      </tp>
      <tp t="e">
        <v>#N/A</v>
        <stp/>
        <stp>BDH|2960025091493171112</stp>
        <tr r="D34" s="34"/>
      </tp>
      <tp t="e">
        <v>#N/A</v>
        <stp/>
        <stp>BDH|7040934929553367631</stp>
        <tr r="U10" s="10"/>
      </tp>
      <tp t="e">
        <v>#N/A</v>
        <stp/>
        <stp>BDH|7639227478779304256</stp>
        <tr r="I74" s="17"/>
      </tp>
      <tp t="e">
        <v>#N/A</v>
        <stp/>
        <stp>BDH|2485785616164390931</stp>
        <tr r="C40" s="12"/>
      </tp>
      <tp t="e">
        <v>#N/A</v>
        <stp/>
        <stp>BDH|3188896676860531511</stp>
        <tr r="E42" s="24"/>
      </tp>
      <tp t="e">
        <v>#N/A</v>
        <stp/>
        <stp>BDH|8915505925045523332</stp>
        <tr r="N23" s="22"/>
      </tp>
      <tp t="e">
        <v>#N/A</v>
        <stp/>
        <stp>BDH|9893831757235594834</stp>
        <tr r="C16" s="11"/>
      </tp>
      <tp t="e">
        <v>#N/A</v>
        <stp/>
        <stp>BDH|1639926443203918640</stp>
        <tr r="Q36" s="4"/>
      </tp>
      <tp t="e">
        <v>#N/A</v>
        <stp/>
        <stp>BDH|3324178486947951410</stp>
        <tr r="Z35" s="13"/>
        <tr r="X31" s="10"/>
      </tp>
      <tp t="e">
        <v>#N/A</v>
        <stp/>
        <stp>BDH|4504645148128651757</stp>
        <tr r="O28" s="26"/>
      </tp>
      <tp t="e">
        <v>#N/A</v>
        <stp/>
        <stp>BDH|3333994227488727907</stp>
        <tr r="K56" s="11"/>
        <tr r="K24" s="4"/>
      </tp>
      <tp t="e">
        <v>#N/A</v>
        <stp/>
        <stp>BDH|2840639480445205030</stp>
        <tr r="O15" s="13"/>
      </tp>
      <tp t="e">
        <v>#N/A</v>
        <stp/>
        <stp>BDH|6825950206895716362</stp>
        <tr r="J66" s="34"/>
      </tp>
      <tp t="e">
        <v>#N/A</v>
        <stp/>
        <stp>BDH|1366450095182867718</stp>
        <tr r="G15" s="23"/>
        <tr r="E58" s="11"/>
      </tp>
      <tp t="e">
        <v>#N/A</v>
        <stp/>
        <stp>BDH|3250900708810853383</stp>
        <tr r="X90" s="12"/>
      </tp>
      <tp t="e">
        <v>#N/A</v>
        <stp/>
        <stp>BDH|9533892995417375608</stp>
        <tr r="M72" s="10"/>
        <tr r="M64" s="11"/>
      </tp>
      <tp t="e">
        <v>#N/A</v>
        <stp/>
        <stp>BDH|3323884624446418619</stp>
        <tr r="Z67" s="12"/>
      </tp>
      <tp t="e">
        <v>#N/A</v>
        <stp/>
        <stp>BDH|6106819172088114892</stp>
        <tr r="Q59" s="17"/>
      </tp>
      <tp t="e">
        <v>#N/A</v>
        <stp/>
        <stp>BDH|6787819915843038597</stp>
        <tr r="W26" s="25"/>
        <tr r="W12" s="27"/>
      </tp>
      <tp t="e">
        <v>#N/A</v>
        <stp/>
        <stp>BDH|2718448181731106693</stp>
        <tr r="D73" s="12"/>
      </tp>
      <tp t="e">
        <v>#N/A</v>
        <stp/>
        <stp>BDH|2030046122281821848</stp>
        <tr r="K68" s="24"/>
      </tp>
      <tp t="e">
        <v>#N/A</v>
        <stp/>
        <stp>BDH|1316001192966834736</stp>
        <tr r="G128" s="18"/>
      </tp>
      <tp t="e">
        <v>#N/A</v>
        <stp/>
        <stp>BDH|4988337673440501967</stp>
        <tr r="R46" s="18"/>
      </tp>
      <tp t="e">
        <v>#N/A</v>
        <stp/>
        <stp>BDH|9846572325947327032</stp>
        <tr r="Q39" s="22"/>
      </tp>
      <tp t="e">
        <v>#N/A</v>
        <stp/>
        <stp>BDH|1197004783289868919</stp>
        <tr r="F30" s="22"/>
      </tp>
      <tp t="e">
        <v>#N/A</v>
        <stp/>
        <stp>BDH|1371474016285854814</stp>
        <tr r="N33" s="13"/>
        <tr r="L29" s="10"/>
      </tp>
      <tp t="e">
        <v>#N/A</v>
        <stp/>
        <stp>BDH|2027678602949830463</stp>
        <tr r="M6" s="28"/>
      </tp>
      <tp t="e">
        <v>#N/A</v>
        <stp/>
        <stp>BDH|3880706560018053338</stp>
        <tr r="P45" s="13"/>
      </tp>
      <tp t="e">
        <v>#N/A</v>
        <stp/>
        <stp>BDH|8762970387121541190</stp>
        <tr r="V38" s="18"/>
      </tp>
      <tp t="e">
        <v>#N/A</v>
        <stp/>
        <stp>BDH|2751689250648488001</stp>
        <tr r="U40" s="18"/>
      </tp>
      <tp t="e">
        <v>#N/A</v>
        <stp/>
        <stp>BDH|7183666656098284585</stp>
        <tr r="M17" s="24"/>
      </tp>
      <tp t="e">
        <v>#N/A</v>
        <stp/>
        <stp>BDH|8367594111305376034</stp>
        <tr r="T25" s="18"/>
      </tp>
      <tp t="e">
        <v>#N/A</v>
        <stp/>
        <stp>BDH|1773657029129160515</stp>
        <tr r="Q8" s="12"/>
      </tp>
      <tp t="e">
        <v>#N/A</v>
        <stp/>
        <stp>BDH|6420248890936349285</stp>
        <tr r="I8" s="34"/>
      </tp>
      <tp t="e">
        <v>#N/A</v>
        <stp/>
        <stp>BDH|3997708666112425907</stp>
        <tr r="C59" s="18"/>
      </tp>
      <tp t="e">
        <v>#N/A</v>
        <stp/>
        <stp>BDH|9911210082119337326</stp>
        <tr r="T15" s="12"/>
      </tp>
      <tp t="e">
        <v>#N/A</v>
        <stp/>
        <stp>BDH|4747549415640867958</stp>
        <tr r="O40" s="21"/>
      </tp>
      <tp t="e">
        <v>#N/A</v>
        <stp/>
        <stp>BDH|3892493882570137699</stp>
        <tr r="Q16" s="23"/>
      </tp>
      <tp t="e">
        <v>#N/A</v>
        <stp/>
        <stp>BDH|6081553328768782010</stp>
        <tr r="I128" s="18"/>
      </tp>
      <tp t="e">
        <v>#N/A</v>
        <stp/>
        <stp>BDH|9042668059481346278</stp>
        <tr r="Q48" s="13"/>
      </tp>
      <tp t="e">
        <v>#N/A</v>
        <stp/>
        <stp>BDH|4058923720243854515</stp>
        <tr r="F90" s="17"/>
        <tr r="F34" s="25"/>
      </tp>
      <tp t="e">
        <v>#N/A</v>
        <stp/>
        <stp>BDH|7791388649049543082</stp>
        <tr r="X51" s="24"/>
      </tp>
      <tp t="e">
        <v>#N/A</v>
        <stp/>
        <stp>BDH|6578693594409372900</stp>
        <tr r="G34" s="26"/>
      </tp>
      <tp t="e">
        <v>#N/A</v>
        <stp/>
        <stp>BDH|3884293182293164398</stp>
        <tr r="Z92" s="12"/>
      </tp>
      <tp t="e">
        <v>#N/A</v>
        <stp/>
        <stp>BDH|3543745789081039434</stp>
        <tr r="G87" s="12"/>
      </tp>
      <tp t="e">
        <v>#N/A</v>
        <stp/>
        <stp>BDH|8366342492528777390</stp>
        <tr r="J31" s="17"/>
      </tp>
      <tp t="e">
        <v>#N/A</v>
        <stp/>
        <stp>BDH|8055932584810488081</stp>
        <tr r="E13" s="23"/>
        <tr r="C57" s="11"/>
        <tr r="C38" s="4"/>
      </tp>
      <tp t="e">
        <v>#N/A</v>
        <stp/>
        <stp>BDH|9982671851070199359</stp>
        <tr r="H13" s="17"/>
        <tr r="H16" s="28"/>
      </tp>
      <tp t="e">
        <v>#N/A</v>
        <stp/>
        <stp>BDH|6483980867591347130</stp>
        <tr r="L17" s="21"/>
      </tp>
      <tp t="e">
        <v>#N/A</v>
        <stp/>
        <stp>BDH|9617091262540646609</stp>
        <tr r="O85" s="18"/>
      </tp>
      <tp t="e">
        <v>#N/A</v>
        <stp/>
        <stp>BDH|6843752157979029415</stp>
        <tr r="G16" s="18"/>
      </tp>
      <tp t="e">
        <v>#N/A</v>
        <stp/>
        <stp>BDH|6090415021889398086</stp>
        <tr r="X8" s="13"/>
      </tp>
      <tp t="e">
        <v>#N/A</v>
        <stp/>
        <stp>BDH|8002537958732498342</stp>
        <tr r="M7" s="30"/>
      </tp>
      <tp t="e">
        <v>#N/A</v>
        <stp/>
        <stp>BDH|1011957791898973062</stp>
        <tr r="F8" s="22"/>
      </tp>
      <tp t="e">
        <v>#N/A</v>
        <stp/>
        <stp>BDH|7459436875818119581</stp>
        <tr r="D19" s="25"/>
      </tp>
      <tp t="e">
        <v>#N/A</v>
        <stp/>
        <stp>BDH|5605371620808822521</stp>
        <tr r="S26" s="22"/>
      </tp>
      <tp t="e">
        <v>#N/A</v>
        <stp/>
        <stp>BDH|2977338000488605071</stp>
        <tr r="X30" s="26"/>
      </tp>
      <tp t="e">
        <v>#N/A</v>
        <stp/>
        <stp>BDH|2801443671941557932</stp>
        <tr r="X6" s="15"/>
        <tr r="X6" s="10"/>
        <tr r="X12" s="2"/>
        <tr r="X11" s="4"/>
      </tp>
      <tp t="e">
        <v>#N/A</v>
        <stp/>
        <stp>BDH|2271846056974901225</stp>
        <tr r="R59" s="18"/>
      </tp>
      <tp t="e">
        <v>#N/A</v>
        <stp/>
        <stp>BDH|8611665332873184789</stp>
        <tr r="W11" s="17"/>
      </tp>
      <tp t="e">
        <v>#N/A</v>
        <stp/>
        <stp>BDH|2987127104912023848</stp>
        <tr r="Z93" s="18"/>
      </tp>
      <tp t="e">
        <v>#N/A</v>
        <stp/>
        <stp>BDH|6374609284522942353</stp>
        <tr r="AA13" s="20"/>
        <tr r="AA114" s="18"/>
      </tp>
      <tp t="e">
        <v>#N/A</v>
        <stp/>
        <stp>BDH|7538568768409448447</stp>
        <tr r="C9" s="18"/>
      </tp>
      <tp t="e">
        <v>#N/A</v>
        <stp/>
        <stp>BDH|1262995101946817794</stp>
        <tr r="T92" s="18"/>
      </tp>
      <tp t="e">
        <v>#N/A</v>
        <stp/>
        <stp>BDH|6301089246589147277</stp>
        <tr r="M22" s="7"/>
      </tp>
      <tp t="e">
        <v>#N/A</v>
        <stp/>
        <stp>BDH|6308939779133374211</stp>
        <tr r="J99" s="12"/>
      </tp>
      <tp t="e">
        <v>#N/A</v>
        <stp/>
        <stp>BDH|5959864442048158844</stp>
        <tr r="AA22" s="21"/>
      </tp>
      <tp t="e">
        <v>#N/A</v>
        <stp/>
        <stp>BDH|9569368358620317609</stp>
        <tr r="S39" s="24"/>
      </tp>
      <tp t="e">
        <v>#N/A</v>
        <stp/>
        <stp>BDH|8106652769760049152</stp>
        <tr r="P93" s="17"/>
        <tr r="P13" s="28"/>
      </tp>
      <tp t="e">
        <v>#N/A</v>
        <stp/>
        <stp>BDH|3989240491936107752</stp>
        <tr r="Y173" s="18"/>
      </tp>
      <tp t="e">
        <v>#N/A</v>
        <stp/>
        <stp>BDH|5928314412306257803</stp>
        <tr r="V40" s="17"/>
      </tp>
      <tp t="e">
        <v>#N/A</v>
        <stp/>
        <stp>BDH|2462715497161266486</stp>
        <tr r="S124" s="18"/>
      </tp>
      <tp t="e">
        <v>#N/A</v>
        <stp/>
        <stp>BDH|1520208907278832229</stp>
        <tr r="O28" s="34"/>
      </tp>
      <tp t="e">
        <v>#N/A</v>
        <stp/>
        <stp>BDH|9373152145912891730</stp>
        <tr r="R19" s="25"/>
      </tp>
      <tp t="e">
        <v>#N/A</v>
        <stp/>
        <stp>BDH|1723385904809789242</stp>
        <tr r="N68" s="10"/>
      </tp>
      <tp t="e">
        <v>#N/A</v>
        <stp/>
        <stp>BDH|4813624580112540174</stp>
        <tr r="G96" s="18"/>
      </tp>
      <tp t="e">
        <v>#N/A</v>
        <stp/>
        <stp>BDH|4428350924495528983</stp>
        <tr r="G17" s="18"/>
      </tp>
      <tp t="e">
        <v>#N/A</v>
        <stp/>
        <stp>BDH|6251087785136457131</stp>
        <tr r="V144" s="18"/>
      </tp>
      <tp t="e">
        <v>#N/A</v>
        <stp/>
        <stp>BDH|1426739280041880675</stp>
        <tr r="H23" s="13"/>
      </tp>
      <tp t="e">
        <v>#N/A</v>
        <stp/>
        <stp>BDH|4380319485854757285</stp>
        <tr r="H23" s="5"/>
      </tp>
      <tp t="e">
        <v>#N/A</v>
        <stp/>
        <stp>BDH|9469016147810918430</stp>
        <tr r="AA6" s="20"/>
        <tr r="AA108" s="18"/>
      </tp>
      <tp t="e">
        <v>#N/A</v>
        <stp/>
        <stp>BDH|2561101322758685090</stp>
        <tr r="T22" s="7"/>
      </tp>
      <tp t="e">
        <v>#N/A</v>
        <stp/>
        <stp>BDH|1423358655369529793</stp>
        <tr r="F36" s="6"/>
      </tp>
      <tp t="e">
        <v>#N/A</v>
        <stp/>
        <stp>BDH|7496451132971981822</stp>
        <tr r="I41" s="13"/>
        <tr r="G29" s="11"/>
        <tr r="G37" s="10"/>
      </tp>
      <tp t="e">
        <v>#N/A</v>
        <stp/>
        <stp>BDH|5375327433464994836</stp>
        <tr r="T83" s="17"/>
      </tp>
      <tp t="e">
        <v>#N/A</v>
        <stp/>
        <stp>BDH|4090463289909697810</stp>
        <tr r="J119" s="18"/>
      </tp>
      <tp t="e">
        <v>#N/A</v>
        <stp/>
        <stp>BDH|1751078349398435457</stp>
        <tr r="W28" s="17"/>
      </tp>
      <tp t="e">
        <v>#N/A</v>
        <stp/>
        <stp>BDH|9804938851938197432</stp>
        <tr r="X27" s="21"/>
      </tp>
      <tp t="e">
        <v>#N/A</v>
        <stp/>
        <stp>BDH|6333546385814858622</stp>
        <tr r="Y134" s="18"/>
      </tp>
      <tp t="e">
        <v>#N/A</v>
        <stp/>
        <stp>BDH|7173237887712441699</stp>
        <tr r="F41" s="17"/>
      </tp>
      <tp t="e">
        <v>#N/A</v>
        <stp/>
        <stp>BDH|4486652887733798099</stp>
        <tr r="K20" s="29"/>
      </tp>
      <tp t="e">
        <v>#N/A</v>
        <stp/>
        <stp>BDH|5857976311854100076</stp>
        <tr r="U29" s="5"/>
      </tp>
      <tp t="e">
        <v>#N/A</v>
        <stp/>
        <stp>BDH|2691186400692432827</stp>
        <tr r="R30" s="18"/>
      </tp>
      <tp t="e">
        <v>#N/A</v>
        <stp/>
        <stp>BDH|4349400099817599779</stp>
        <tr r="X74" s="18"/>
      </tp>
      <tp t="e">
        <v>#N/A</v>
        <stp/>
        <stp>BDH|4477695513842240841</stp>
        <tr r="N73" s="17"/>
      </tp>
      <tp t="e">
        <v>#N/A</v>
        <stp/>
        <stp>BDH|1521613058893218866</stp>
        <tr r="R66" s="34"/>
      </tp>
      <tp t="e">
        <v>#N/A</v>
        <stp/>
        <stp>BDH|1566502819889035541</stp>
        <tr r="T89" s="12"/>
      </tp>
      <tp t="e">
        <v>#N/A</v>
        <stp/>
        <stp>BDH|3127015459369426658</stp>
        <tr r="Z104" s="12"/>
      </tp>
      <tp t="e">
        <v>#N/A</v>
        <stp/>
        <stp>BDH|7896448005298783265</stp>
        <tr r="X57" s="18"/>
      </tp>
      <tp t="e">
        <v>#N/A</v>
        <stp/>
        <stp>BDH|8855752276769627843</stp>
        <tr r="W41" s="21"/>
      </tp>
      <tp t="e">
        <v>#N/A</v>
        <stp/>
        <stp>BDH|8319180529293840137</stp>
        <tr r="S53" s="13"/>
      </tp>
      <tp t="e">
        <v>#N/A</v>
        <stp/>
        <stp>BDH|6793387698357892264</stp>
        <tr r="X35" s="29"/>
        <tr r="X15" s="29"/>
      </tp>
      <tp t="e">
        <v>#N/A</v>
        <stp/>
        <stp>BDH|9176911659404708872</stp>
        <tr r="S77" s="24"/>
      </tp>
      <tp t="e">
        <v>#N/A</v>
        <stp/>
        <stp>BDH|9332531929456806186</stp>
        <tr r="N67" s="12"/>
      </tp>
      <tp t="e">
        <v>#N/A</v>
        <stp/>
        <stp>BDH|3297362490738466898</stp>
        <tr r="Z30" s="13"/>
        <tr r="X26" s="10"/>
      </tp>
      <tp t="e">
        <v>#N/A</v>
        <stp/>
        <stp>BDH|9134309150320091682</stp>
        <tr r="T56" s="34"/>
      </tp>
      <tp t="e">
        <v>#N/A</v>
        <stp/>
        <stp>BDH|6963824363495059411</stp>
        <tr r="L31" s="6"/>
      </tp>
      <tp t="e">
        <v>#N/A</v>
        <stp/>
        <stp>BDH|5285011089986411273</stp>
        <tr r="P8" s="24"/>
      </tp>
      <tp t="e">
        <v>#N/A</v>
        <stp/>
        <stp>BDH|4781831647435981430</stp>
        <tr r="M42" s="22"/>
      </tp>
      <tp t="e">
        <v>#N/A</v>
        <stp/>
        <stp>BDH|8653274276007624386</stp>
        <tr r="D25" s="18"/>
      </tp>
      <tp t="e">
        <v>#N/A</v>
        <stp/>
        <stp>BDH|3481776690921913533</stp>
        <tr r="K32" s="24"/>
      </tp>
      <tp t="e">
        <v>#N/A</v>
        <stp/>
        <stp>BDH|9095075667644164289</stp>
        <tr r="P25" s="7"/>
      </tp>
      <tp t="e">
        <v>#N/A</v>
        <stp/>
        <stp>BDH|1966213073445659841</stp>
        <tr r="F43" s="17"/>
        <tr r="F9" s="25"/>
      </tp>
      <tp t="e">
        <v>#N/A</v>
        <stp/>
        <stp>BDH|6761189374001185833</stp>
        <tr r="L16" s="13"/>
        <tr r="L26" s="13"/>
        <tr r="J18" s="10"/>
      </tp>
      <tp t="e">
        <v>#N/A</v>
        <stp/>
        <stp>BDH|1964672454703710846</stp>
        <tr r="K28" s="22"/>
      </tp>
      <tp t="e">
        <v>#N/A</v>
        <stp/>
        <stp>BDH|7737927299436766822</stp>
        <tr r="D23" s="25"/>
      </tp>
      <tp t="e">
        <v>#N/A</v>
        <stp/>
        <stp>BDH|7427846332603945622</stp>
        <tr r="O9" s="34"/>
      </tp>
      <tp t="e">
        <v>#N/A</v>
        <stp/>
        <stp>BDH|8642131211332932341</stp>
        <tr r="V60" s="34"/>
      </tp>
      <tp t="e">
        <v>#N/A</v>
        <stp/>
        <stp>BDH|6240639606328998170</stp>
        <tr r="G21" s="10"/>
      </tp>
      <tp t="e">
        <v>#N/A</v>
        <stp/>
        <stp>BDH|6686035207529272699</stp>
        <tr r="S59" s="17"/>
      </tp>
      <tp t="e">
        <v>#N/A</v>
        <stp/>
        <stp>BDH|8713093417239722974</stp>
        <tr r="H26" s="22"/>
      </tp>
      <tp t="e">
        <v>#N/A</v>
        <stp/>
        <stp>BDH|2934800082343577871</stp>
        <tr r="K43" s="18"/>
      </tp>
      <tp t="e">
        <v>#N/A</v>
        <stp/>
        <stp>BDH|7340953938562330647</stp>
        <tr r="F9" s="34"/>
      </tp>
      <tp t="e">
        <v>#N/A</v>
        <stp/>
        <stp>BDH|7134284443200679854</stp>
        <tr r="G19" s="14"/>
      </tp>
      <tp t="e">
        <v>#N/A</v>
        <stp/>
        <stp>BDH|2404469689144103331</stp>
        <tr r="C68" s="17"/>
      </tp>
      <tp t="e">
        <v>#N/A</v>
        <stp/>
        <stp>BDH|8940510736736431139</stp>
        <tr r="P64" s="18"/>
      </tp>
      <tp t="e">
        <v>#N/A</v>
        <stp/>
        <stp>BDH|9103468855429205895</stp>
        <tr r="U29" s="21"/>
      </tp>
      <tp t="e">
        <v>#N/A</v>
        <stp/>
        <stp>BDH|5771833616443904628</stp>
        <tr r="X74" s="17"/>
      </tp>
      <tp t="e">
        <v>#N/A</v>
        <stp/>
        <stp>BDH|6059833861602880330</stp>
        <tr r="Q39" s="6"/>
      </tp>
      <tp t="e">
        <v>#N/A</v>
        <stp/>
        <stp>BDH|8011081427946725510</stp>
        <tr r="R137" s="18"/>
      </tp>
      <tp t="e">
        <v>#N/A</v>
        <stp/>
        <stp>BDH|1486954805984493597</stp>
        <tr r="R17" s="21"/>
      </tp>
      <tp t="e">
        <v>#N/A</v>
        <stp/>
        <stp>BDH|1895127932488571247</stp>
        <tr r="AA7" s="14"/>
      </tp>
      <tp t="e">
        <v>#N/A</v>
        <stp/>
        <stp>BDH|9907327501367692457</stp>
        <tr r="N62" s="18"/>
      </tp>
      <tp t="e">
        <v>#N/A</v>
        <stp/>
        <stp>BDH|7631525143107852868</stp>
        <tr r="T8" s="14"/>
      </tp>
      <tp t="e">
        <v>#N/A</v>
        <stp/>
        <stp>BDH|9808555116903022723</stp>
        <tr r="K87" s="17"/>
      </tp>
      <tp t="e">
        <v>#N/A</v>
        <stp/>
        <stp>BDH|5596374188425529267</stp>
        <tr r="W121" s="18"/>
      </tp>
      <tp t="e">
        <v>#N/A</v>
        <stp/>
        <stp>BDH|1475992410903720331</stp>
        <tr r="E64" s="11"/>
        <tr r="E72" s="10"/>
      </tp>
      <tp t="e">
        <v>#N/A</v>
        <stp/>
        <stp>BDH|4390199852518882192</stp>
        <tr r="Z33" s="21"/>
      </tp>
      <tp t="e">
        <v>#N/A</v>
        <stp/>
        <stp>BDH|1633709281264638385</stp>
        <tr r="M6" s="19"/>
        <tr r="M35" s="17"/>
        <tr r="M16" s="3"/>
      </tp>
      <tp t="e">
        <v>#N/A</v>
        <stp/>
        <stp>BDH|1081895164347172128</stp>
        <tr r="R66" s="10"/>
      </tp>
      <tp t="e">
        <v>#N/A</v>
        <stp/>
        <stp>BDH|5889212383443579518</stp>
        <tr r="G15" s="34"/>
      </tp>
      <tp t="e">
        <v>#N/A</v>
        <stp/>
        <stp>BDH|7621003059608063310</stp>
        <tr r="Z75" s="12"/>
      </tp>
      <tp t="e">
        <v>#N/A</v>
        <stp/>
        <stp>BDH|8130514668174642602</stp>
        <tr r="Z26" s="24"/>
      </tp>
      <tp t="e">
        <v>#N/A</v>
        <stp/>
        <stp>BDH|5947867254708742923</stp>
        <tr r="R46" s="21"/>
      </tp>
      <tp t="e">
        <v>#N/A</v>
        <stp/>
        <stp>BDH|2534825199213234924</stp>
        <tr r="P9" s="6"/>
      </tp>
      <tp t="e">
        <v>#N/A</v>
        <stp/>
        <stp>BDH|1378970951270231494</stp>
        <tr r="P33" s="10"/>
        <tr r="P25" s="11"/>
      </tp>
      <tp t="e">
        <v>#N/A</v>
        <stp/>
        <stp>BDH|1261890195459049004</stp>
        <tr r="E15" s="23"/>
        <tr r="C58" s="11"/>
      </tp>
      <tp t="e">
        <v>#N/A</v>
        <stp/>
        <stp>BDH|1646776633045578990</stp>
        <tr r="AA46" s="24"/>
      </tp>
      <tp t="e">
        <v>#N/A</v>
        <stp/>
        <stp>BDH|7441431496205668694</stp>
        <tr r="Z28" s="12"/>
      </tp>
      <tp t="e">
        <v>#N/A</v>
        <stp/>
        <stp>BDH|6978387207505161996</stp>
        <tr r="F118" s="18"/>
      </tp>
      <tp t="e">
        <v>#N/A</v>
        <stp/>
        <stp>BDH|5655106688810967599</stp>
        <tr r="L10" s="34"/>
      </tp>
      <tp t="e">
        <v>#N/A</v>
        <stp/>
        <stp>BDH|2185018217272927804</stp>
        <tr r="I38" s="18"/>
      </tp>
      <tp t="e">
        <v>#N/A</v>
        <stp/>
        <stp>BDH|9661088189018106089</stp>
        <tr r="O55" s="34"/>
      </tp>
      <tp t="e">
        <v>#N/A</v>
        <stp/>
        <stp>BDH|9697449611807995247</stp>
        <tr r="D42" s="17"/>
      </tp>
      <tp t="e">
        <v>#N/A</v>
        <stp/>
        <stp>BDH|9566431273055362687</stp>
        <tr r="G24" s="24"/>
      </tp>
      <tp t="e">
        <v>#N/A</v>
        <stp/>
        <stp>BDH|8067098849826841364</stp>
        <tr r="M66" s="18"/>
      </tp>
      <tp t="e">
        <v>#N/A</v>
        <stp/>
        <stp>BDH|9710323170493915721</stp>
        <tr r="E7" s="34"/>
      </tp>
      <tp t="e">
        <v>#N/A</v>
        <stp/>
        <stp>BDH|9328821739179731217</stp>
        <tr r="K71" s="18"/>
      </tp>
      <tp t="e">
        <v>#N/A</v>
        <stp/>
        <stp>BDH|7080206069062140863</stp>
        <tr r="U49" s="12"/>
      </tp>
      <tp t="e">
        <v>#N/A</v>
        <stp/>
        <stp>BDH|5913243734195623818</stp>
        <tr r="S22" s="4"/>
      </tp>
      <tp t="e">
        <v>#N/A</v>
        <stp/>
        <stp>BDH|2654852149535128258</stp>
        <tr r="M26" s="22"/>
      </tp>
      <tp t="e">
        <v>#N/A</v>
        <stp/>
        <stp>BDH|3002859261613276783</stp>
        <tr r="C89" s="18"/>
      </tp>
      <tp t="e">
        <v>#N/A</v>
        <stp/>
        <stp>BDH|5999973130141960796</stp>
        <tr r="G15" s="24"/>
      </tp>
      <tp t="e">
        <v>#N/A</v>
        <stp/>
        <stp>BDH|9292555458449629971</stp>
        <tr r="U96" s="12"/>
      </tp>
      <tp t="e">
        <v>#N/A</v>
        <stp/>
        <stp>BDH|4422114756018895152</stp>
        <tr r="O35" s="13"/>
        <tr r="M31" s="10"/>
      </tp>
      <tp t="e">
        <v>#N/A</v>
        <stp/>
        <stp>BDH|1404299499546236582</stp>
        <tr r="E11" s="24"/>
      </tp>
      <tp t="e">
        <v>#N/A</v>
        <stp/>
        <stp>BDH|7120586484927548464</stp>
        <tr r="U52" s="17"/>
        <tr r="U17" s="3"/>
      </tp>
      <tp t="e">
        <v>#N/A</v>
        <stp/>
        <stp>BDH|2487086560884385913</stp>
        <tr r="J49" s="17"/>
      </tp>
      <tp t="e">
        <v>#N/A</v>
        <stp/>
        <stp>BDH|1104946204837625690</stp>
        <tr r="X20" s="34"/>
      </tp>
      <tp t="e">
        <v>#N/A</v>
        <stp/>
        <stp>BDH|3586534897022822472</stp>
        <tr r="W11" s="13"/>
      </tp>
      <tp t="e">
        <v>#N/A</v>
        <stp/>
        <stp>BDH|5685902227111753681</stp>
        <tr r="W30" s="12"/>
      </tp>
      <tp t="e">
        <v>#N/A</v>
        <stp/>
        <stp>BDH|9266367021321843038</stp>
        <tr r="Y27" s="21"/>
      </tp>
      <tp t="e">
        <v>#N/A</v>
        <stp/>
        <stp>BDH|3121827516976231591</stp>
        <tr r="U7" s="34"/>
      </tp>
      <tp t="e">
        <v>#N/A</v>
        <stp/>
        <stp>BDH|8556870749614171955</stp>
        <tr r="O50" s="34"/>
      </tp>
      <tp t="e">
        <v>#N/A</v>
        <stp/>
        <stp>BDH|5933851962605618774</stp>
        <tr r="M39" s="25"/>
        <tr r="M7" s="13"/>
        <tr r="M22" s="13"/>
        <tr r="K18" s="11"/>
        <tr r="M7" s="3"/>
      </tp>
      <tp t="e">
        <v>#N/A</v>
        <stp/>
        <stp>BDH|5088283297930875784</stp>
        <tr r="R86" s="17"/>
      </tp>
      <tp t="e">
        <v>#N/A</v>
        <stp/>
        <stp>BDH|9221402224187949106</stp>
        <tr r="H36" s="13"/>
        <tr r="F24" s="10"/>
        <tr r="F46" s="4"/>
      </tp>
      <tp t="e">
        <v>#N/A</v>
        <stp/>
        <stp>BDH|4635374395462878536</stp>
        <tr r="I37" s="18"/>
      </tp>
      <tp t="e">
        <v>#N/A</v>
        <stp/>
        <stp>BDH|2237129255338955739</stp>
        <tr r="D35" s="22"/>
      </tp>
      <tp t="e">
        <v>#N/A</v>
        <stp/>
        <stp>BDH|9927979615148396076</stp>
        <tr r="C77" s="18"/>
      </tp>
      <tp t="e">
        <v>#N/A</v>
        <stp/>
        <stp>BDH|1549924418050941091</stp>
        <tr r="F18" s="13"/>
      </tp>
      <tp t="e">
        <v>#N/A</v>
        <stp/>
        <stp>BDH|5887945367437496404</stp>
        <tr r="T7" s="4"/>
      </tp>
      <tp t="e">
        <v>#N/A</v>
        <stp/>
        <stp>BDH|7990903283396581905</stp>
        <tr r="M156" s="18"/>
      </tp>
      <tp t="e">
        <v>#N/A</v>
        <stp/>
        <stp>BDH|5900420602191609906</stp>
        <tr r="AA25" s="17"/>
      </tp>
      <tp t="e">
        <v>#N/A</v>
        <stp/>
        <stp>BDH|6372515968514267876</stp>
        <tr r="I43" s="13"/>
      </tp>
      <tp t="e">
        <v>#N/A</v>
        <stp/>
        <stp>BDH|8718428079532595062</stp>
        <tr r="U92" s="12"/>
      </tp>
      <tp t="e">
        <v>#N/A</v>
        <stp/>
        <stp>BDH|6038333988117024345</stp>
        <tr r="E66" s="21"/>
      </tp>
      <tp t="e">
        <v>#N/A</v>
        <stp/>
        <stp>BDH|3338665460088374297</stp>
        <tr r="H44" s="22"/>
      </tp>
      <tp t="e">
        <v>#N/A</v>
        <stp/>
        <stp>BDH|7984336002364363942</stp>
        <tr r="E100" s="12"/>
      </tp>
      <tp t="e">
        <v>#N/A</v>
        <stp/>
        <stp>BDH|8886912880449023965</stp>
        <tr r="N36" s="34"/>
      </tp>
      <tp t="e">
        <v>#N/A</v>
        <stp/>
        <stp>BDH|2383983575215642076</stp>
        <tr r="U42" s="12"/>
      </tp>
      <tp t="e">
        <v>#N/A</v>
        <stp/>
        <stp>BDH|9215699164087921791</stp>
        <tr r="C69" s="18"/>
      </tp>
      <tp t="e">
        <v>#N/A</v>
        <stp/>
        <stp>BDH|4093718581391883370</stp>
        <tr r="Z50" s="21"/>
      </tp>
      <tp t="e">
        <v>#N/A</v>
        <stp/>
        <stp>BDH|2491273839609641332</stp>
        <tr r="U10" s="21"/>
      </tp>
      <tp t="e">
        <v>#N/A</v>
        <stp/>
        <stp>BDH|5219959516703758797</stp>
        <tr r="P18" s="30"/>
      </tp>
      <tp t="e">
        <v>#N/A</v>
        <stp/>
        <stp>BDH|6269379645481672991</stp>
        <tr r="Y18" s="21"/>
        <tr r="Y23" s="3"/>
        <tr r="W23" s="2"/>
      </tp>
      <tp t="e">
        <v>#N/A</v>
        <stp/>
        <stp>BDH|4794421130053926937</stp>
        <tr r="X46" s="13"/>
      </tp>
      <tp t="e">
        <v>#N/A</v>
        <stp/>
        <stp>BDH|4622336313246085993</stp>
        <tr r="T26" s="17"/>
      </tp>
      <tp t="e">
        <v>#N/A</v>
        <stp/>
        <stp>BDH|3097531096352356492</stp>
        <tr r="S75" s="12"/>
      </tp>
      <tp t="e">
        <v>#N/A</v>
        <stp/>
        <stp>BDH|5764146344460093981</stp>
        <tr r="J16" s="26"/>
      </tp>
      <tp t="e">
        <v>#N/A</v>
        <stp/>
        <stp>BDH|8895815735243319903</stp>
        <tr r="U24" s="20"/>
      </tp>
      <tp t="e">
        <v>#N/A</v>
        <stp/>
        <stp>BDH|3642289541134532850</stp>
        <tr r="C116" s="18"/>
      </tp>
      <tp t="e">
        <v>#N/A</v>
        <stp/>
        <stp>BDH|8611072009926475732</stp>
        <tr r="S13" s="10"/>
      </tp>
      <tp t="e">
        <v>#N/A</v>
        <stp/>
        <stp>BDH|4384867652344946417</stp>
        <tr r="Y65" s="24"/>
      </tp>
      <tp t="e">
        <v>#N/A</v>
        <stp/>
        <stp>BDH|8080848321048895326</stp>
        <tr r="Y19" s="22"/>
      </tp>
      <tp t="e">
        <v>#N/A</v>
        <stp/>
        <stp>BDH|6728146634545070889</stp>
        <tr r="G13" s="24"/>
      </tp>
      <tp t="e">
        <v>#N/A</v>
        <stp/>
        <stp>BDH|8243015112503688383</stp>
        <tr r="I50" s="6"/>
        <tr r="K10" s="8"/>
      </tp>
      <tp t="e">
        <v>#N/A</v>
        <stp/>
        <stp>BDH|9259146964591593680</stp>
        <tr r="Q173" s="18"/>
      </tp>
      <tp t="e">
        <v>#N/A</v>
        <stp/>
        <stp>BDH|8423248502040819354</stp>
        <tr r="V74" s="17"/>
      </tp>
      <tp t="e">
        <v>#N/A</v>
        <stp/>
        <stp>BDH|2323059789912240128</stp>
        <tr r="G92" s="18"/>
      </tp>
      <tp t="e">
        <v>#N/A</v>
        <stp/>
        <stp>BDH|2823014794160413257</stp>
        <tr r="X56" s="17"/>
      </tp>
      <tp t="e">
        <v>#N/A</v>
        <stp/>
        <stp>BDH|4467274519919092763</stp>
        <tr r="Y20" s="30"/>
      </tp>
      <tp t="e">
        <v>#N/A</v>
        <stp/>
        <stp>BDH|3117793753241176966</stp>
        <tr r="C149" s="18"/>
      </tp>
      <tp t="e">
        <v>#N/A</v>
        <stp/>
        <stp>BDH|6350652479636714841</stp>
        <tr r="C56" s="34"/>
      </tp>
      <tp t="e">
        <v>#N/A</v>
        <stp/>
        <stp>BDH|3319597810396710815</stp>
        <tr r="V14" s="23"/>
      </tp>
      <tp t="e">
        <v>#N/A</v>
        <stp/>
        <stp>BDH|8128031466056004183</stp>
        <tr r="Q25" s="21"/>
      </tp>
      <tp t="e">
        <v>#N/A</v>
        <stp/>
        <stp>BDH|3891141755856542807</stp>
        <tr r="Z7" s="23"/>
      </tp>
      <tp t="e">
        <v>#N/A</v>
        <stp/>
        <stp>BDH|1105792484442119514</stp>
        <tr r="I62" s="12"/>
      </tp>
      <tp t="e">
        <v>#N/A</v>
        <stp/>
        <stp>BDH|3508090135408451112</stp>
        <tr r="K29" s="34"/>
      </tp>
      <tp t="e">
        <v>#N/A</v>
        <stp/>
        <stp>BDH|7363701690183939367</stp>
        <tr r="G18" s="22"/>
      </tp>
      <tp t="e">
        <v>#N/A</v>
        <stp/>
        <stp>BDH|5421121491773941722</stp>
        <tr r="T25" s="13"/>
      </tp>
      <tp t="e">
        <v>#N/A</v>
        <stp/>
        <stp>BDH|2810223280313308253</stp>
        <tr r="U11" s="18"/>
      </tp>
      <tp t="e">
        <v>#N/A</v>
        <stp/>
        <stp>BDH|3768941778896594223</stp>
        <tr r="C49" s="13"/>
      </tp>
      <tp t="e">
        <v>#N/A</v>
        <stp/>
        <stp>BDH|1331932524591985219</stp>
        <tr r="N38" s="24"/>
      </tp>
      <tp t="e">
        <v>#N/A</v>
        <stp/>
        <stp>BDH|9064498924017995182</stp>
        <tr r="J28" s="17"/>
      </tp>
      <tp t="e">
        <v>#N/A</v>
        <stp/>
        <stp>BDH|5943920045662237305</stp>
        <tr r="U68" s="18"/>
      </tp>
      <tp t="e">
        <v>#N/A</v>
        <stp/>
        <stp>BDH|7799203576968517386</stp>
        <tr r="V15" s="34"/>
      </tp>
      <tp t="e">
        <v>#N/A</v>
        <stp/>
        <stp>BDH|7995826444235682752</stp>
        <tr r="J53" s="18"/>
      </tp>
      <tp t="e">
        <v>#N/A</v>
        <stp/>
        <stp>BDH|8265678076872742285</stp>
        <tr r="X65" s="21"/>
        <tr r="U28" s="6"/>
      </tp>
      <tp t="e">
        <v>#N/A</v>
        <stp/>
        <stp>BDH|7845165220468720551</stp>
        <tr r="T90" s="12"/>
      </tp>
      <tp t="e">
        <v>#N/A</v>
        <stp/>
        <stp>BDH|5546006689042817685</stp>
        <tr r="J88" s="18"/>
      </tp>
      <tp t="e">
        <v>#N/A</v>
        <stp/>
        <stp>BDH|6828605776809608746</stp>
        <tr r="D50" s="12"/>
      </tp>
      <tp t="e">
        <v>#N/A</v>
        <stp/>
        <stp>BDH|3239886087908728267</stp>
        <tr r="M60" s="12"/>
      </tp>
      <tp t="e">
        <v>#N/A</v>
        <stp/>
        <stp>BDH|5505546909999753032</stp>
        <tr r="X8" s="25"/>
        <tr r="U10" s="5"/>
        <tr r="V9" s="2"/>
      </tp>
      <tp t="e">
        <v>#N/A</v>
        <stp/>
        <stp>BDH|3310301699917530732</stp>
        <tr r="U18" s="34"/>
      </tp>
      <tp t="e">
        <v>#N/A</v>
        <stp/>
        <stp>BDH|8873429091064364840</stp>
        <tr r="K26" s="22"/>
      </tp>
      <tp t="e">
        <v>#N/A</v>
        <stp/>
        <stp>BDH|3053823433057491697</stp>
        <tr r="O68" s="24"/>
      </tp>
      <tp t="e">
        <v>#N/A</v>
        <stp/>
        <stp>BDH|6140452894284893645</stp>
        <tr r="N13" s="14"/>
      </tp>
      <tp t="e">
        <v>#N/A</v>
        <stp/>
        <stp>BDH|6124973918911085628</stp>
        <tr r="Y57" s="12"/>
      </tp>
      <tp t="e">
        <v>#N/A</v>
        <stp/>
        <stp>BDH|8210687673095464518</stp>
        <tr r="V72" s="24"/>
      </tp>
      <tp t="e">
        <v>#N/A</v>
        <stp/>
        <stp>BDH|4399803424685950222</stp>
        <tr r="V69" s="18"/>
      </tp>
      <tp t="e">
        <v>#N/A</v>
        <stp/>
        <stp>BDH|7100509766174817932</stp>
        <tr r="M15" s="11"/>
      </tp>
      <tp t="e">
        <v>#N/A</v>
        <stp/>
        <stp>BDH|9121870104468996074</stp>
        <tr r="P58" s="18"/>
      </tp>
      <tp t="e">
        <v>#N/A</v>
        <stp/>
        <stp>BDH|3698887817230640332</stp>
        <tr r="M35" s="13"/>
        <tr r="K31" s="10"/>
      </tp>
      <tp t="e">
        <v>#N/A</v>
        <stp/>
        <stp>BDH|5988080699327667227</stp>
        <tr r="C9" s="29"/>
      </tp>
      <tp t="e">
        <v>#N/A</v>
        <stp/>
        <stp>BDH|8281417019605056160</stp>
        <tr r="I22" s="17"/>
      </tp>
      <tp t="e">
        <v>#N/A</v>
        <stp/>
        <stp>BDH|7912959581028107707</stp>
        <tr r="F7" s="10"/>
      </tp>
      <tp t="e">
        <v>#N/A</v>
        <stp/>
        <stp>BDH|2853216896989774943</stp>
        <tr r="C171" s="18"/>
      </tp>
      <tp t="e">
        <v>#N/A</v>
        <stp/>
        <stp>BDH|9111796339511982544</stp>
        <tr r="X104" s="18"/>
      </tp>
      <tp t="e">
        <v>#N/A</v>
        <stp/>
        <stp>BDH|5597976304590301594</stp>
        <tr r="R43" s="6"/>
        <tr r="R19" s="5"/>
      </tp>
      <tp t="e">
        <v>#N/A</v>
        <stp/>
        <stp>BDH|4941265752953115918</stp>
        <tr r="D119" s="18"/>
      </tp>
      <tp t="e">
        <v>#N/A</v>
        <stp/>
        <stp>BDH|1758018888196095634</stp>
        <tr r="L10" s="30"/>
      </tp>
      <tp t="e">
        <v>#N/A</v>
        <stp/>
        <stp>BDH|9117512208326229373</stp>
        <tr r="O39" s="18"/>
      </tp>
      <tp t="e">
        <v>#N/A</v>
        <stp/>
        <stp>BDH|9970052523300657240</stp>
        <tr r="J24" s="12"/>
      </tp>
      <tp t="e">
        <v>#N/A</v>
        <stp/>
        <stp>BDH|9551113967075647281</stp>
        <tr r="V150" s="18"/>
      </tp>
      <tp t="e">
        <v>#N/A</v>
        <stp/>
        <stp>BDH|6130620902348474184</stp>
        <tr r="Q13" s="25"/>
      </tp>
      <tp t="e">
        <v>#N/A</v>
        <stp/>
        <stp>BDH|1458966060545947261</stp>
        <tr r="O48" s="22"/>
      </tp>
      <tp t="e">
        <v>#N/A</v>
        <stp/>
        <stp>BDH|8716945618181352852</stp>
        <tr r="E15" s="9"/>
      </tp>
      <tp t="e">
        <v>#N/A</v>
        <stp/>
        <stp>BDH|3822121223319463003</stp>
        <tr r="H14" s="13"/>
      </tp>
      <tp t="e">
        <v>#N/A</v>
        <stp/>
        <stp>BDH|8875854330482268825</stp>
        <tr r="N13" s="18"/>
      </tp>
      <tp t="e">
        <v>#N/A</v>
        <stp/>
        <stp>BDH|7896520664708327508</stp>
        <tr r="I48" s="18"/>
      </tp>
      <tp t="e">
        <v>#N/A</v>
        <stp/>
        <stp>BDH|2675111969359729543</stp>
        <tr r="C47" s="21"/>
      </tp>
      <tp t="e">
        <v>#N/A</v>
        <stp/>
        <stp>BDH|7256314711508830473</stp>
        <tr r="I40" s="29"/>
      </tp>
      <tp t="e">
        <v>#N/A</v>
        <stp/>
        <stp>BDH|9147230282539428397</stp>
        <tr r="J21" s="18"/>
      </tp>
      <tp t="e">
        <v>#N/A</v>
        <stp/>
        <stp>BDH|7982314581961468404</stp>
        <tr r="X6" s="28"/>
      </tp>
      <tp t="e">
        <v>#N/A</v>
        <stp/>
        <stp>BDH|2525205187139650895</stp>
        <tr r="R18" s="12"/>
      </tp>
      <tp t="e">
        <v>#N/A</v>
        <stp/>
        <stp>BDH|3812695630088451787</stp>
        <tr r="D57" s="13"/>
      </tp>
      <tp t="e">
        <v>#N/A</v>
        <stp/>
        <stp>BDH|8498482342453356203</stp>
        <tr r="N175" s="18"/>
      </tp>
      <tp t="e">
        <v>#N/A</v>
        <stp/>
        <stp>BDH|2422622799947797358</stp>
        <tr r="V158" s="18"/>
      </tp>
      <tp t="e">
        <v>#N/A</v>
        <stp/>
        <stp>BDH|5488088662249338309</stp>
        <tr r="I15" s="25"/>
      </tp>
      <tp t="e">
        <v>#N/A</v>
        <stp/>
        <stp>BDH|8078196370937740034</stp>
        <tr r="K124" s="18"/>
      </tp>
      <tp t="e">
        <v>#N/A</v>
        <stp/>
        <stp>BDH|8469808488908696974</stp>
        <tr r="R7" s="28"/>
      </tp>
      <tp t="e">
        <v>#N/A</v>
        <stp/>
        <stp>BDH|9004152729221053218</stp>
        <tr r="R20" s="30"/>
      </tp>
      <tp t="e">
        <v>#N/A</v>
        <stp/>
        <stp>BDH|5860457299029841819</stp>
        <tr r="I33" s="22"/>
      </tp>
      <tp t="e">
        <v>#N/A</v>
        <stp/>
        <stp>BDH|9396290959471972676</stp>
        <tr r="U39" s="24"/>
      </tp>
      <tp t="e">
        <v>#N/A</v>
        <stp/>
        <stp>BDH|1007595725138182703</stp>
        <tr r="F47" s="17"/>
      </tp>
      <tp t="e">
        <v>#N/A</v>
        <stp/>
        <stp>BDH|2889866334539576923</stp>
        <tr r="U25" s="18"/>
      </tp>
      <tp t="e">
        <v>#N/A</v>
        <stp/>
        <stp>BDH|6150591364358690470</stp>
        <tr r="W42" s="13"/>
      </tp>
      <tp t="e">
        <v>#N/A</v>
        <stp/>
        <stp>BDH|5999135653289394179</stp>
        <tr r="L39" s="6"/>
      </tp>
      <tp t="e">
        <v>#N/A</v>
        <stp/>
        <stp>BDH|8176716892787752872</stp>
        <tr r="K57" s="13"/>
      </tp>
      <tp t="e">
        <v>#N/A</v>
        <stp/>
        <stp>BDH|7991897526907722334</stp>
        <tr r="W129" s="18"/>
      </tp>
      <tp t="e">
        <v>#N/A</v>
        <stp/>
        <stp>BDH|2121651854660447860</stp>
        <tr r="M8" s="12"/>
      </tp>
      <tp t="e">
        <v>#N/A</v>
        <stp/>
        <stp>BDH|8236875597420556057</stp>
        <tr r="J8" s="24"/>
      </tp>
      <tp t="e">
        <v>#N/A</v>
        <stp/>
        <stp>BDH|9545276199698852311</stp>
        <tr r="U103" s="12"/>
      </tp>
      <tp t="e">
        <v>#N/A</v>
        <stp/>
        <stp>BDH|9033215661417472366</stp>
        <tr r="H17" s="12"/>
      </tp>
      <tp t="e">
        <v>#N/A</v>
        <stp/>
        <stp>BDH|1536435594843790674</stp>
        <tr r="I21" s="12"/>
      </tp>
      <tp t="e">
        <v>#N/A</v>
        <stp/>
        <stp>BDH|6381101197761694604</stp>
        <tr r="M22" s="11"/>
      </tp>
      <tp t="e">
        <v>#N/A</v>
        <stp/>
        <stp>BDH|6264737851608355511</stp>
        <tr r="R35" s="29"/>
        <tr r="R15" s="29"/>
      </tp>
      <tp t="e">
        <v>#N/A</v>
        <stp/>
        <stp>BDH|8331155071116326167</stp>
        <tr r="W53" s="17"/>
        <tr r="W10" s="25"/>
      </tp>
      <tp t="e">
        <v>#N/A</v>
        <stp/>
        <stp>BDH|7897356565058294384</stp>
        <tr r="J25" s="18"/>
      </tp>
      <tp t="e">
        <v>#N/A</v>
        <stp/>
        <stp>BDH|5280103463813588869</stp>
        <tr r="Y52" s="21"/>
      </tp>
      <tp t="e">
        <v>#N/A</v>
        <stp/>
        <stp>BDH|6960994483066034814</stp>
        <tr r="D169" s="18"/>
      </tp>
      <tp t="e">
        <v>#N/A</v>
        <stp/>
        <stp>BDH|7479113693085794338</stp>
        <tr r="G170" s="18"/>
      </tp>
      <tp t="e">
        <v>#N/A</v>
        <stp/>
        <stp>BDH|6950280985376612302</stp>
        <tr r="V27" s="24"/>
      </tp>
      <tp t="e">
        <v>#N/A</v>
        <stp/>
        <stp>BDH|9832319128527734648</stp>
        <tr r="Y12" s="12"/>
      </tp>
      <tp t="e">
        <v>#N/A</v>
        <stp/>
        <stp>BDH|8403216574361377506</stp>
        <tr r="H35" s="6"/>
      </tp>
      <tp t="e">
        <v>#N/A</v>
        <stp/>
        <stp>BDH|2550868112613062139</stp>
        <tr r="U35" s="18"/>
      </tp>
      <tp t="e">
        <v>#N/A</v>
        <stp/>
        <stp>BDH|7017869429705820159</stp>
        <tr r="O58" s="18"/>
      </tp>
      <tp t="e">
        <v>#N/A</v>
        <stp/>
        <stp>BDH|4723507081486111657</stp>
        <tr r="X71" s="12"/>
      </tp>
      <tp t="e">
        <v>#N/A</v>
        <stp/>
        <stp>BDH|5323877840525100576</stp>
        <tr r="O13" s="25"/>
      </tp>
      <tp t="e">
        <v>#N/A</v>
        <stp/>
        <stp>BDH|8050478171051216365</stp>
        <tr r="D14" s="8"/>
      </tp>
      <tp t="e">
        <v>#N/A</v>
        <stp/>
        <stp>BDH|7850727538299302339</stp>
        <tr r="J161" s="18"/>
      </tp>
      <tp t="e">
        <v>#N/A</v>
        <stp/>
        <stp>BDH|4600285664379888007</stp>
        <tr r="Q97" s="12"/>
      </tp>
      <tp t="e">
        <v>#N/A</v>
        <stp/>
        <stp>BDH|1227759856522107827</stp>
        <tr r="J23" s="10"/>
      </tp>
      <tp t="e">
        <v>#N/A</v>
        <stp/>
        <stp>BDH|6504937060920647022</stp>
        <tr r="I170" s="18"/>
      </tp>
      <tp t="e">
        <v>#N/A</v>
        <stp/>
        <stp>BDH|5507651036909144054</stp>
        <tr r="T49" s="17"/>
      </tp>
      <tp t="e">
        <v>#N/A</v>
        <stp/>
        <stp>BDH|5991316280381218686</stp>
        <tr r="N70" s="12"/>
      </tp>
      <tp t="e">
        <v>#N/A</v>
        <stp/>
        <stp>BDH|3710565621714315918</stp>
        <tr r="Q6" s="15"/>
        <tr r="Q6" s="10"/>
        <tr r="Q12" s="2"/>
        <tr r="Q11" s="4"/>
      </tp>
      <tp t="e">
        <v>#N/A</v>
        <stp/>
        <stp>BDH|4046540991361124068</stp>
        <tr r="Z62" s="24"/>
      </tp>
      <tp t="e">
        <v>#N/A</v>
        <stp/>
        <stp>BDH|3451736174208256238</stp>
        <tr r="O18" s="6"/>
      </tp>
      <tp t="e">
        <v>#N/A</v>
        <stp/>
        <stp>BDH|9732448040612203231</stp>
        <tr r="E22" s="5"/>
      </tp>
      <tp t="e">
        <v>#N/A</v>
        <stp/>
        <stp>BDH|6289325221347501962</stp>
        <tr r="L11" s="6"/>
      </tp>
      <tp t="e">
        <v>#N/A</v>
        <stp/>
        <stp>BDH|7214602914270664928</stp>
        <tr r="V44" s="21"/>
      </tp>
      <tp t="e">
        <v>#N/A</v>
        <stp/>
        <stp>BDH|9702396651186404098</stp>
        <tr r="C23" s="26"/>
      </tp>
      <tp t="e">
        <v>#N/A</v>
        <stp/>
        <stp>BDH|7159235759121165888</stp>
        <tr r="E70" s="12"/>
      </tp>
      <tp t="e">
        <v>#N/A</v>
        <stp/>
        <stp>BDH|9730046773864051326</stp>
        <tr r="K9" s="28"/>
      </tp>
      <tp t="e">
        <v>#N/A</v>
        <stp/>
        <stp>BDH|5761710070899155555</stp>
        <tr r="U24" s="22"/>
      </tp>
      <tp t="e">
        <v>#N/A</v>
        <stp/>
        <stp>BDH|3989359588820260141</stp>
        <tr r="D48" s="12"/>
      </tp>
      <tp t="e">
        <v>#N/A</v>
        <stp/>
        <stp>BDH|9627112130894620634</stp>
        <tr r="X72" s="12"/>
      </tp>
      <tp t="e">
        <v>#N/A</v>
        <stp/>
        <stp>BDH|2510357279579810623</stp>
        <tr r="V128" s="18"/>
      </tp>
      <tp t="e">
        <v>#N/A</v>
        <stp/>
        <stp>BDH|9308198735017509599</stp>
        <tr r="R9" s="22"/>
      </tp>
      <tp t="e">
        <v>#N/A</v>
        <stp/>
        <stp>BDH|9538341141573773441</stp>
        <tr r="W69" s="34"/>
      </tp>
      <tp t="e">
        <v>#N/A</v>
        <stp/>
        <stp>BDH|4588795296433981000</stp>
        <tr r="Y11" s="28"/>
      </tp>
      <tp t="e">
        <v>#N/A</v>
        <stp/>
        <stp>BDH|1107876926693473174</stp>
        <tr r="H158" s="18"/>
      </tp>
      <tp t="e">
        <v>#N/A</v>
        <stp/>
        <stp>BDH|4134307687100376661</stp>
        <tr r="S9" s="13"/>
      </tp>
      <tp t="e">
        <v>#N/A</v>
        <stp/>
        <stp>BDH|5981926848999434846</stp>
        <tr r="H93" s="18"/>
      </tp>
      <tp t="e">
        <v>#N/A</v>
        <stp/>
        <stp>BDH|9166295076753916647</stp>
        <tr r="W13" s="18"/>
      </tp>
      <tp t="e">
        <v>#N/A</v>
        <stp/>
        <stp>BDH|2808293882538711975</stp>
        <tr r="U174" s="18"/>
      </tp>
      <tp t="e">
        <v>#N/A</v>
        <stp/>
        <stp>BDH|7710869844363092160</stp>
        <tr r="X14" s="10"/>
      </tp>
      <tp t="e">
        <v>#N/A</v>
        <stp/>
        <stp>BDH|9062714100481454661</stp>
        <tr r="P26" s="11"/>
        <tr r="P34" s="10"/>
      </tp>
      <tp t="e">
        <v>#N/A</v>
        <stp/>
        <stp>BDH|8533101775134360300</stp>
        <tr r="F169" s="18"/>
      </tp>
      <tp t="e">
        <v>#N/A</v>
        <stp/>
        <stp>BDH|7890806668503196326</stp>
        <tr r="X150" s="18"/>
      </tp>
      <tp t="e">
        <v>#N/A</v>
        <stp/>
        <stp>BDH|3529266993276376704</stp>
        <tr r="U11" s="10"/>
        <tr r="U14" s="2"/>
      </tp>
      <tp t="e">
        <v>#N/A</v>
        <stp/>
        <stp>BDH|6736904547517543563</stp>
        <tr r="E126" s="18"/>
      </tp>
      <tp t="e">
        <v>#N/A</v>
        <stp/>
        <stp>BDH|5052597652049866500</stp>
        <tr r="R43" s="4"/>
      </tp>
      <tp t="e">
        <v>#N/A</v>
        <stp/>
        <stp>BDH|6747653358309183588</stp>
        <tr r="J17" s="22"/>
      </tp>
      <tp t="e">
        <v>#N/A</v>
        <stp/>
        <stp>BDH|2038459262748580111</stp>
        <tr r="X26" s="7"/>
      </tp>
      <tp t="e">
        <v>#N/A</v>
        <stp/>
        <stp>BDH|6140823264450608127</stp>
        <tr r="H8" s="18"/>
      </tp>
      <tp t="e">
        <v>#N/A</v>
        <stp/>
        <stp>BDH|4711993395439045485</stp>
        <tr r="U30" s="17"/>
      </tp>
      <tp t="e">
        <v>#N/A</v>
        <stp/>
        <stp>BDH|1896903152133044798</stp>
        <tr r="M49" s="34"/>
      </tp>
      <tp t="e">
        <v>#N/A</v>
        <stp/>
        <stp>BDH|3323483699024208336</stp>
        <tr r="G52" s="22"/>
      </tp>
      <tp t="e">
        <v>#N/A</v>
        <stp/>
        <stp>BDH|7736796291321990159</stp>
        <tr r="J23" s="9"/>
      </tp>
      <tp t="e">
        <v>#N/A</v>
        <stp/>
        <stp>BDH|6310408482927341412</stp>
        <tr r="N17" s="17"/>
        <tr r="N20" s="28"/>
      </tp>
      <tp t="e">
        <v>#N/A</v>
        <stp/>
        <stp>BDH|1155967637176035436</stp>
        <tr r="V57" s="12"/>
      </tp>
      <tp t="e">
        <v>#N/A</v>
        <stp/>
        <stp>BDH|7512256361459248301</stp>
        <tr r="W21" s="22"/>
      </tp>
      <tp t="e">
        <v>#N/A</v>
        <stp/>
        <stp>BDH|8708477480059641455</stp>
        <tr r="P30" s="6"/>
      </tp>
      <tp t="e">
        <v>#N/A</v>
        <stp/>
        <stp>BDH|6696790726923996930</stp>
        <tr r="E10" s="11"/>
      </tp>
      <tp t="e">
        <v>#N/A</v>
        <stp/>
        <stp>BDH|7464228771153466800</stp>
        <tr r="D29" s="17"/>
      </tp>
      <tp t="e">
        <v>#N/A</v>
        <stp/>
        <stp>BDH|9196054706525623573</stp>
        <tr r="W30" s="6"/>
      </tp>
      <tp t="e">
        <v>#N/A</v>
        <stp/>
        <stp>BDH|5619564552958475452</stp>
        <tr r="H85" s="18"/>
      </tp>
      <tp t="e">
        <v>#N/A</v>
        <stp/>
        <stp>BDH|7954753912271554988</stp>
        <tr r="O84" s="17"/>
      </tp>
      <tp t="e">
        <v>#N/A</v>
        <stp/>
        <stp>BDH|1198059455039080421</stp>
        <tr r="P19" s="12"/>
      </tp>
      <tp t="e">
        <v>#N/A</v>
        <stp/>
        <stp>BDH|8074329100596060415</stp>
        <tr r="S51" s="17"/>
      </tp>
      <tp t="e">
        <v>#N/A</v>
        <stp/>
        <stp>BDH|7595003796293036403</stp>
        <tr r="F11" s="10"/>
        <tr r="F14" s="2"/>
      </tp>
      <tp t="e">
        <v>#N/A</v>
        <stp/>
        <stp>BDH|4670809117572214601</stp>
        <tr r="Y54" s="24"/>
      </tp>
      <tp t="e">
        <v>#N/A</v>
        <stp/>
        <stp>BDH|7933736769169979698</stp>
        <tr r="D24" s="17"/>
      </tp>
      <tp t="e">
        <v>#N/A</v>
        <stp/>
        <stp>BDH|9749927981013206259</stp>
        <tr r="W12" s="21"/>
      </tp>
      <tp t="e">
        <v>#N/A</v>
        <stp/>
        <stp>BDH|5392006170479137212</stp>
        <tr r="Q16" s="26"/>
      </tp>
      <tp t="e">
        <v>#N/A</v>
        <stp/>
        <stp>BDH|4325392552639387283</stp>
        <tr r="K12" s="30"/>
      </tp>
      <tp t="e">
        <v>#N/A</v>
        <stp/>
        <stp>BDH|4101262922938150572</stp>
        <tr r="O87" s="12"/>
      </tp>
      <tp t="e">
        <v>#N/A</v>
        <stp/>
        <stp>BDH|9024914688855830422</stp>
        <tr r="X8" s="2"/>
      </tp>
      <tp t="e">
        <v>#N/A</v>
        <stp/>
        <stp>BDH|8476046707801040042</stp>
        <tr r="T30" s="5"/>
      </tp>
      <tp t="e">
        <v>#N/A</v>
        <stp/>
        <stp>BDH|2685437809329752686</stp>
        <tr r="S123" s="18"/>
      </tp>
      <tp t="e">
        <v>#N/A</v>
        <stp/>
        <stp>BDH|1453219030129128070</stp>
        <tr r="U91" s="18"/>
      </tp>
      <tp t="e">
        <v>#N/A</v>
        <stp/>
        <stp>BDH|6439251033619433758</stp>
        <tr r="I106" s="12"/>
      </tp>
      <tp t="e">
        <v>#N/A</v>
        <stp/>
        <stp>BDH|1969061085992936203</stp>
        <tr r="Z14" s="21"/>
      </tp>
      <tp t="e">
        <v>#N/A</v>
        <stp/>
        <stp>BDH|7903035092653281495</stp>
        <tr r="I25" s="26"/>
      </tp>
      <tp t="e">
        <v>#N/A</v>
        <stp/>
        <stp>BDH|5753594252904743882</stp>
        <tr r="AA54" s="18"/>
      </tp>
      <tp t="e">
        <v>#N/A</v>
        <stp/>
        <stp>BDH|8763166934014498727</stp>
        <tr r="AA34" s="18"/>
      </tp>
      <tp t="e">
        <v>#N/A</v>
        <stp/>
        <stp>BDH|4182735490552959183</stp>
        <tr r="F30" s="17"/>
      </tp>
      <tp t="e">
        <v>#N/A</v>
        <stp/>
        <stp>BDH|4855910517325717096</stp>
        <tr r="T48" s="24"/>
      </tp>
      <tp t="e">
        <v>#N/A</v>
        <stp/>
        <stp>BDH|2957856520440870141</stp>
        <tr r="Z18" s="17"/>
      </tp>
      <tp t="e">
        <v>#N/A</v>
        <stp/>
        <stp>BDH|6317927845007258562</stp>
        <tr r="R7" s="23"/>
      </tp>
      <tp t="e">
        <v>#N/A</v>
        <stp/>
        <stp>BDH|9619770292499055731</stp>
        <tr r="S62" s="17"/>
      </tp>
      <tp t="e">
        <v>#N/A</v>
        <stp/>
        <stp>BDH|7167932521237678250</stp>
        <tr r="F13" s="8"/>
      </tp>
      <tp t="e">
        <v>#N/A</v>
        <stp/>
        <stp>BDH|1277607832238726571</stp>
        <tr r="V43" s="24"/>
      </tp>
      <tp t="e">
        <v>#N/A</v>
        <stp/>
        <stp>BDH|6412886651621867357</stp>
        <tr r="W17" s="22"/>
      </tp>
      <tp t="e">
        <v>#N/A</v>
        <stp/>
        <stp>BDH|2647340764217353953</stp>
        <tr r="I20" s="34"/>
      </tp>
      <tp t="e">
        <v>#N/A</v>
        <stp/>
        <stp>BDH|6484656979209051789</stp>
        <tr r="U72" s="18"/>
      </tp>
      <tp t="e">
        <v>#N/A</v>
        <stp/>
        <stp>BDH|9276576067262639140</stp>
        <tr r="J100" s="18"/>
      </tp>
      <tp t="e">
        <v>#N/A</v>
        <stp/>
        <stp>BDH|3529820305554178633</stp>
        <tr r="D108" s="12"/>
      </tp>
      <tp t="e">
        <v>#N/A</v>
        <stp/>
        <stp>BDH|4477574082512101205</stp>
        <tr r="U42" s="11"/>
        <tr r="U14" s="7"/>
        <tr r="U50" s="10"/>
        <tr r="W9" s="3"/>
      </tp>
      <tp t="e">
        <v>#N/A</v>
        <stp/>
        <stp>BDH|9052222540526705051</stp>
        <tr r="R22" s="11"/>
      </tp>
      <tp t="e">
        <v>#N/A</v>
        <stp/>
        <stp>BDH|2696954442860645672</stp>
        <tr r="I23" s="23"/>
      </tp>
      <tp t="e">
        <v>#N/A</v>
        <stp/>
        <stp>BDH|5888068181661824577</stp>
        <tr r="P16" s="22"/>
      </tp>
      <tp t="e">
        <v>#N/A</v>
        <stp/>
        <stp>BDH|2623913111983739019</stp>
        <tr r="L44" s="17"/>
      </tp>
      <tp t="e">
        <v>#N/A</v>
        <stp/>
        <stp>BDH|2588640874053038959</stp>
        <tr r="Q18" s="23"/>
      </tp>
      <tp t="e">
        <v>#N/A</v>
        <stp/>
        <stp>BDH|8585000594440706869</stp>
        <tr r="O37" s="26"/>
      </tp>
      <tp t="e">
        <v>#N/A</v>
        <stp/>
        <stp>BDH|3571332385242255317</stp>
        <tr r="J43" s="11"/>
        <tr r="J51" s="10"/>
        <tr r="J15" s="7"/>
      </tp>
      <tp t="e">
        <v>#N/A</v>
        <stp/>
        <stp>BDH|2725753850718551176</stp>
        <tr r="L97" s="18"/>
      </tp>
      <tp t="e">
        <v>#N/A</v>
        <stp/>
        <stp>BDH|6821247938016056845</stp>
        <tr r="J47" s="21"/>
      </tp>
      <tp t="e">
        <v>#N/A</v>
        <stp/>
        <stp>BDH|9771385946371068693</stp>
        <tr r="Q14" s="21"/>
      </tp>
      <tp t="e">
        <v>#N/A</v>
        <stp/>
        <stp>BDH|1448023146734525856</stp>
        <tr r="V35" s="6"/>
      </tp>
      <tp t="e">
        <v>#N/A</v>
        <stp/>
        <stp>BDH|7713149107589682621</stp>
        <tr r="C21" s="18"/>
      </tp>
      <tp t="e">
        <v>#N/A</v>
        <stp/>
        <stp>BDH|7783860046344396645</stp>
        <tr r="V26" s="22"/>
      </tp>
      <tp t="e">
        <v>#N/A</v>
        <stp/>
        <stp>BDH|2543326864258503667</stp>
        <tr r="P26" s="12"/>
      </tp>
      <tp t="e">
        <v>#N/A</v>
        <stp/>
        <stp>BDH|5038060418838782594</stp>
        <tr r="I48" s="24"/>
      </tp>
      <tp t="e">
        <v>#N/A</v>
        <stp/>
        <stp>BDH|4805871728646326143</stp>
        <tr r="C89" s="17"/>
      </tp>
      <tp t="e">
        <v>#N/A</v>
        <stp/>
        <stp>BDH|3681449956099496201</stp>
        <tr r="V20" s="29"/>
      </tp>
      <tp t="e">
        <v>#N/A</v>
        <stp/>
        <stp>BDH|8839844806920227984</stp>
        <tr r="J169" s="18"/>
      </tp>
      <tp t="e">
        <v>#N/A</v>
        <stp/>
        <stp>BDH|5686807496438065506</stp>
        <tr r="Q45" s="12"/>
      </tp>
      <tp t="e">
        <v>#N/A</v>
        <stp/>
        <stp>BDH|9974084568600195687</stp>
        <tr r="X20" s="25"/>
      </tp>
      <tp t="e">
        <v>#N/A</v>
        <stp/>
        <stp>BDH|6284533335141316870</stp>
        <tr r="Y122" s="18"/>
      </tp>
      <tp t="e">
        <v>#N/A</v>
        <stp/>
        <stp>BDH|7823002720885921911</stp>
        <tr r="R68" s="17"/>
        <tr r="O8" s="9"/>
        <tr r="O8" s="5"/>
      </tp>
      <tp t="e">
        <v>#N/A</v>
        <stp/>
        <stp>BDH|6681251963059756277</stp>
        <tr r="C107" s="18"/>
      </tp>
      <tp t="e">
        <v>#N/A</v>
        <stp/>
        <stp>BDH|1094914400783034213</stp>
        <tr r="T53" s="13"/>
      </tp>
      <tp t="e">
        <v>#N/A</v>
        <stp/>
        <stp>BDH|9808616619280788776</stp>
        <tr r="T19" s="6"/>
      </tp>
      <tp t="e">
        <v>#N/A</v>
        <stp/>
        <stp>BDH|8607129051340048554</stp>
        <tr r="J43" s="13"/>
      </tp>
      <tp t="e">
        <v>#N/A</v>
        <stp/>
        <stp>BDH|2769768397883788613</stp>
        <tr r="U81" s="12"/>
      </tp>
      <tp t="e">
        <v>#N/A</v>
        <stp/>
        <stp>BDH|4753862867074696702</stp>
        <tr r="Q75" s="18"/>
      </tp>
      <tp t="e">
        <v>#N/A</v>
        <stp/>
        <stp>BDH|2382718787095097155</stp>
        <tr r="W13" s="25"/>
      </tp>
      <tp t="e">
        <v>#N/A</v>
        <stp/>
        <stp>BDH|1334680398157689055</stp>
        <tr r="L88" s="18"/>
      </tp>
      <tp t="e">
        <v>#N/A</v>
        <stp/>
        <stp>BDH|9637643306367456108</stp>
        <tr r="U19" s="26"/>
      </tp>
      <tp t="e">
        <v>#N/A</v>
        <stp/>
        <stp>BDH|3900828439273264202</stp>
        <tr r="E18" s="25"/>
      </tp>
      <tp t="e">
        <v>#N/A</v>
        <stp/>
        <stp>BDH|4876219153989939325</stp>
        <tr r="Y34" s="21"/>
      </tp>
      <tp t="e">
        <v>#N/A</v>
        <stp/>
        <stp>BDH|2353076043676155971</stp>
        <tr r="C105" s="12"/>
      </tp>
      <tp t="e">
        <v>#N/A</v>
        <stp/>
        <stp>BDH|5906415168346752862</stp>
        <tr r="Q156" s="18"/>
      </tp>
      <tp t="e">
        <v>#N/A</v>
        <stp/>
        <stp>BDH|5071066871399732210</stp>
        <tr r="E40" s="13"/>
        <tr r="C28" s="11"/>
        <tr r="C36" s="10"/>
      </tp>
      <tp t="e">
        <v>#N/A</v>
        <stp/>
        <stp>BDH|1971150193908898866</stp>
        <tr r="P41" s="12"/>
      </tp>
      <tp t="e">
        <v>#N/A</v>
        <stp/>
        <stp>BDH|9670332453461088778</stp>
        <tr r="Y13" s="18"/>
      </tp>
      <tp t="e">
        <v>#N/A</v>
        <stp/>
        <stp>BDH|9562655635221431402</stp>
        <tr r="I75" s="18"/>
      </tp>
      <tp t="e">
        <v>#N/A</v>
        <stp/>
        <stp>BDH|2736515412796471916</stp>
        <tr r="T10" s="6"/>
      </tp>
      <tp t="e">
        <v>#N/A</v>
        <stp/>
        <stp>BDH|4062714840177338933</stp>
        <tr r="N25" s="6"/>
      </tp>
      <tp t="e">
        <v>#N/A</v>
        <stp/>
        <stp>BDH|7891816068860710075</stp>
        <tr r="M38" s="11"/>
        <tr r="M46" s="10"/>
      </tp>
      <tp t="e">
        <v>#N/A</v>
        <stp/>
        <stp>BDH|8080998488160645066</stp>
        <tr r="D47" s="21"/>
      </tp>
      <tp t="e">
        <v>#N/A</v>
        <stp/>
        <stp>BDH|9160036170176765142</stp>
        <tr r="P68" s="24"/>
      </tp>
      <tp t="e">
        <v>#N/A</v>
        <stp/>
        <stp>BDH|8282572651983624234</stp>
        <tr r="E7" s="28"/>
      </tp>
      <tp t="e">
        <v>#N/A</v>
        <stp/>
        <stp>BDH|9005330525768710902</stp>
        <tr r="C45" s="24"/>
      </tp>
      <tp t="e">
        <v>#N/A</v>
        <stp/>
        <stp>BDH|1532313555217736975</stp>
        <tr r="O22" s="11"/>
      </tp>
      <tp t="e">
        <v>#N/A</v>
        <stp/>
        <stp>BDH|3225979064224057108</stp>
        <tr r="S9" s="6"/>
      </tp>
      <tp t="e">
        <v>#N/A</v>
        <stp/>
        <stp>BDH|2879425983256036187</stp>
        <tr r="K46" s="22"/>
      </tp>
      <tp t="e">
        <v>#N/A</v>
        <stp/>
        <stp>BDH|8142230807055171657</stp>
        <tr r="U26" s="12"/>
      </tp>
      <tp t="e">
        <v>#N/A</v>
        <stp/>
        <stp>BDH|1211506983237463247</stp>
        <tr r="J26" s="17"/>
      </tp>
      <tp t="e">
        <v>#N/A</v>
        <stp/>
        <stp>BDH|8693918524178428266</stp>
        <tr r="D25" s="24"/>
      </tp>
      <tp t="e">
        <v>#N/A</v>
        <stp/>
        <stp>BDH|8620952591013704247</stp>
        <tr r="J34" s="17"/>
      </tp>
      <tp t="e">
        <v>#N/A</v>
        <stp/>
        <stp>BDH|8050928392028829998</stp>
        <tr r="D68" s="12"/>
      </tp>
      <tp t="e">
        <v>#N/A</v>
        <stp/>
        <stp>BDH|9849393771426374223</stp>
        <tr r="D76" s="18"/>
      </tp>
      <tp t="e">
        <v>#N/A</v>
        <stp/>
        <stp>BDH|9047755777628133822</stp>
        <tr r="H75" s="18"/>
      </tp>
      <tp t="e">
        <v>#N/A</v>
        <stp/>
        <stp>BDH|9654855544369786512</stp>
        <tr r="H14" s="6"/>
      </tp>
      <tp t="e">
        <v>#N/A</v>
        <stp/>
        <stp>BDH|7344964943294399742</stp>
        <tr r="AA24" s="21"/>
      </tp>
      <tp t="e">
        <v>#N/A</v>
        <stp/>
        <stp>BDH|4926738804043611992</stp>
        <tr r="K164" s="18"/>
      </tp>
      <tp t="e">
        <v>#N/A</v>
        <stp/>
        <stp>BDH|9543369942272438544</stp>
        <tr r="R6" s="15"/>
        <tr r="R6" s="10"/>
        <tr r="R12" s="2"/>
        <tr r="R11" s="4"/>
      </tp>
      <tp t="e">
        <v>#N/A</v>
        <stp/>
        <stp>BDH|9486019451567392265</stp>
        <tr r="O12" s="17"/>
      </tp>
      <tp t="e">
        <v>#N/A</v>
        <stp/>
        <stp>BDH|8223423747914024562</stp>
        <tr r="D32" s="17"/>
      </tp>
      <tp t="e">
        <v>#N/A</v>
        <stp/>
        <stp>BDH|5265007641350524878</stp>
        <tr r="J19" s="14"/>
      </tp>
      <tp t="e">
        <v>#N/A</v>
        <stp/>
        <stp>BDH|6997958596556384984</stp>
        <tr r="F17" s="14"/>
      </tp>
      <tp t="e">
        <v>#N/A</v>
        <stp/>
        <stp>BDH|1469739211377310945</stp>
        <tr r="M58" s="13"/>
      </tp>
      <tp t="e">
        <v>#N/A</v>
        <stp/>
        <stp>BDH|7718085424845805924</stp>
        <tr r="O22" s="21"/>
      </tp>
      <tp t="e">
        <v>#N/A</v>
        <stp/>
        <stp>BDH|2486271916329298168</stp>
        <tr r="R33" s="34"/>
      </tp>
      <tp t="e">
        <v>#N/A</v>
        <stp/>
        <stp>BDH|7394308303045184802</stp>
        <tr r="X18" s="29"/>
        <tr r="X38" s="29"/>
      </tp>
      <tp t="e">
        <v>#N/A</v>
        <stp/>
        <stp>BDH|8499422652460127046</stp>
        <tr r="X13" s="2"/>
      </tp>
      <tp t="e">
        <v>#N/A</v>
        <stp/>
        <stp>BDH|3473766253020623869</stp>
        <tr r="Q27" s="12"/>
      </tp>
      <tp t="e">
        <v>#N/A</v>
        <stp/>
        <stp>BDH|2175052360505088852</stp>
        <tr r="X38" s="24"/>
      </tp>
      <tp t="e">
        <v>#N/A</v>
        <stp/>
        <stp>BDH|9489530611177456336</stp>
        <tr r="N13" s="27"/>
        <tr r="N27" s="25"/>
      </tp>
      <tp t="e">
        <v>#N/A</v>
        <stp/>
        <stp>BDH|3437443686686390045</stp>
        <tr r="H66" s="10"/>
      </tp>
      <tp t="e">
        <v>#N/A</v>
        <stp/>
        <stp>BDH|6260947256365777668</stp>
        <tr r="S58" s="18"/>
      </tp>
      <tp t="e">
        <v>#N/A</v>
        <stp/>
        <stp>BDH|8389480216894452089</stp>
        <tr r="M57" s="12"/>
      </tp>
      <tp t="e">
        <v>#N/A</v>
        <stp/>
        <stp>BDH|5187975585019750454</stp>
        <tr r="T72" s="17"/>
      </tp>
      <tp t="e">
        <v>#N/A</v>
        <stp/>
        <stp>BDH|8129649337692709641</stp>
        <tr r="U53" s="17"/>
        <tr r="U10" s="25"/>
      </tp>
      <tp t="e">
        <v>#N/A</v>
        <stp/>
        <stp>BDH|3488858296283757818</stp>
        <tr r="N46" s="17"/>
      </tp>
      <tp t="e">
        <v>#N/A</v>
        <stp/>
        <stp>BDH|5539587679016682833</stp>
        <tr r="P15" s="29"/>
        <tr r="P35" s="29"/>
      </tp>
      <tp t="e">
        <v>#N/A</v>
        <stp/>
        <stp>BDH|7436448634681132841</stp>
        <tr r="I51" s="34"/>
      </tp>
      <tp t="e">
        <v>#N/A</v>
        <stp/>
        <stp>BDH|1735795727828950515</stp>
        <tr r="X33" s="17"/>
      </tp>
      <tp t="e">
        <v>#N/A</v>
        <stp/>
        <stp>BDH|2234721755790436908</stp>
        <tr r="C64" s="10"/>
        <tr r="C25" s="4"/>
      </tp>
      <tp t="e">
        <v>#N/A</v>
        <stp/>
        <stp>BDH|1600991371746876001</stp>
        <tr r="O66" s="34"/>
      </tp>
      <tp t="e">
        <v>#N/A</v>
        <stp/>
        <stp>BDH|9513837172767686849</stp>
        <tr r="U50" s="17"/>
      </tp>
      <tp t="e">
        <v>#N/A</v>
        <stp/>
        <stp>BDH|8362745077504561530</stp>
        <tr r="E24" s="13"/>
      </tp>
      <tp t="e">
        <v>#N/A</v>
        <stp/>
        <stp>BDH|1188789049253338853</stp>
        <tr r="C61" s="21"/>
      </tp>
      <tp t="e">
        <v>#N/A</v>
        <stp/>
        <stp>BDH|4618954242939768909</stp>
        <tr r="S99" s="12"/>
      </tp>
      <tp t="e">
        <v>#N/A</v>
        <stp/>
        <stp>BDH|4749168595573398613</stp>
        <tr r="G83" s="17"/>
      </tp>
      <tp t="e">
        <v>#N/A</v>
        <stp/>
        <stp>BDH|5708103553120781859</stp>
        <tr r="X38" s="25"/>
      </tp>
      <tp t="e">
        <v>#N/A</v>
        <stp/>
        <stp>BDH|1943734598042148456</stp>
        <tr r="I20" s="11"/>
      </tp>
      <tp t="e">
        <v>#N/A</v>
        <stp/>
        <stp>BDH|3133198597906937404</stp>
        <tr r="T56" s="13"/>
      </tp>
      <tp t="e">
        <v>#N/A</v>
        <stp/>
        <stp>BDH|4753405726328625314</stp>
        <tr r="R52" s="13"/>
        <tr r="P47" s="11"/>
        <tr r="P55" s="10"/>
        <tr r="P17" s="7"/>
        <tr r="P17" s="4"/>
        <tr r="R10" s="3"/>
      </tp>
      <tp t="e">
        <v>#N/A</v>
        <stp/>
        <stp>BDH|8139664910250959685</stp>
        <tr r="L36" s="29"/>
        <tr r="L16" s="29"/>
      </tp>
      <tp t="e">
        <v>#N/A</v>
        <stp/>
        <stp>BDH|2067363892467231606</stp>
        <tr r="H11" s="14"/>
      </tp>
      <tp t="e">
        <v>#N/A</v>
        <stp/>
        <stp>BDH|7615496291425852601</stp>
        <tr r="P13" s="2"/>
      </tp>
      <tp t="e">
        <v>#N/A</v>
        <stp/>
        <stp>BDH|2789843343815462222</stp>
        <tr r="S7" s="24"/>
      </tp>
      <tp t="e">
        <v>#N/A</v>
        <stp/>
        <stp>BDH|8814425147799889832</stp>
        <tr r="AA30" s="17"/>
      </tp>
      <tp t="e">
        <v>#N/A</v>
        <stp/>
        <stp>BDH|6030834415450787672</stp>
        <tr r="I10" s="12"/>
      </tp>
      <tp t="e">
        <v>#N/A</v>
        <stp/>
        <stp>BDH|4284741826041573937</stp>
        <tr r="P12" s="11"/>
      </tp>
      <tp t="e">
        <v>#N/A</v>
        <stp/>
        <stp>BDH|4393002664079375224</stp>
        <tr r="T82" s="18"/>
      </tp>
      <tp t="e">
        <v>#N/A</v>
        <stp/>
        <stp>BDH|9503563550645790524</stp>
        <tr r="V91" s="17"/>
      </tp>
      <tp t="e">
        <v>#N/A</v>
        <stp/>
        <stp>BDH|9502751784968798759</stp>
        <tr r="N16" s="26"/>
      </tp>
      <tp t="e">
        <v>#N/A</v>
        <stp/>
        <stp>BDH|9687166646446630362</stp>
        <tr r="T16" s="20"/>
      </tp>
      <tp t="e">
        <v>#N/A</v>
        <stp/>
        <stp>BDH|8667158441527217361</stp>
        <tr r="C155" s="18"/>
      </tp>
      <tp t="e">
        <v>#N/A</v>
        <stp/>
        <stp>BDH|3634708249569017094</stp>
        <tr r="Q25" s="6"/>
      </tp>
      <tp t="e">
        <v>#N/A</v>
        <stp/>
        <stp>BDH|2699781658769214025</stp>
        <tr r="Q15" s="13"/>
      </tp>
      <tp t="e">
        <v>#N/A</v>
        <stp/>
        <stp>BDH|6911478183271318281</stp>
        <tr r="G90" s="18"/>
      </tp>
      <tp t="e">
        <v>#N/A</v>
        <stp/>
        <stp>BDH|5426737366355046878</stp>
        <tr r="V30" s="6"/>
      </tp>
      <tp t="e">
        <v>#N/A</v>
        <stp/>
        <stp>BDH|2961785614939537463</stp>
        <tr r="F15" s="13"/>
      </tp>
      <tp t="e">
        <v>#N/A</v>
        <stp/>
        <stp>BDH|8607056712926511624</stp>
        <tr r="X82" s="18"/>
      </tp>
      <tp t="e">
        <v>#N/A</v>
        <stp/>
        <stp>BDH|9518477200821035547</stp>
        <tr r="K14" s="4"/>
      </tp>
      <tp t="e">
        <v>#N/A</v>
        <stp/>
        <stp>BDH|5396248861428994096</stp>
        <tr r="Y145" s="18"/>
      </tp>
      <tp t="e">
        <v>#N/A</v>
        <stp/>
        <stp>BDH|2514852143727195040</stp>
        <tr r="R48" s="12"/>
      </tp>
      <tp t="e">
        <v>#N/A</v>
        <stp/>
        <stp>BDH|1448401294346289342</stp>
        <tr r="G17" s="14"/>
      </tp>
      <tp t="e">
        <v>#N/A</v>
        <stp/>
        <stp>BDH|6782904520745854192</stp>
        <tr r="Y8" s="14"/>
      </tp>
      <tp t="e">
        <v>#N/A</v>
        <stp/>
        <stp>BDH|3424757439987624982</stp>
        <tr r="T44" s="6"/>
      </tp>
      <tp t="e">
        <v>#N/A</v>
        <stp/>
        <stp>BDH|7971809969312437222</stp>
        <tr r="Q86" s="18"/>
      </tp>
      <tp t="e">
        <v>#N/A</v>
        <stp/>
        <stp>BDH|1469445300954050863</stp>
        <tr r="AA62" s="24"/>
      </tp>
      <tp t="e">
        <v>#N/A</v>
        <stp/>
        <stp>BDH|1156032744398712479</stp>
        <tr r="M8" s="2"/>
      </tp>
      <tp t="e">
        <v>#N/A</v>
        <stp/>
        <stp>BDH|3026410895466293103</stp>
        <tr r="AA13" s="12"/>
      </tp>
      <tp t="e">
        <v>#N/A</v>
        <stp/>
        <stp>BDH|4448193616995823852</stp>
        <tr r="L22" s="12"/>
      </tp>
      <tp t="e">
        <v>#N/A</v>
        <stp/>
        <stp>BDH|5762654681404297671</stp>
        <tr r="M22" s="20"/>
      </tp>
      <tp t="e">
        <v>#N/A</v>
        <stp/>
        <stp>BDH|8639725842343199112</stp>
        <tr r="AA21" s="22"/>
      </tp>
      <tp t="e">
        <v>#N/A</v>
        <stp/>
        <stp>BDH|2760375126589900398</stp>
        <tr r="Z7" s="14"/>
      </tp>
      <tp t="e">
        <v>#N/A</v>
        <stp/>
        <stp>BDH|4393331994743155434</stp>
        <tr r="R157" s="18"/>
      </tp>
      <tp t="e">
        <v>#N/A</v>
        <stp/>
        <stp>BDH|2437651727658661773</stp>
        <tr r="H25" s="3"/>
      </tp>
      <tp t="e">
        <v>#N/A</v>
        <stp/>
        <stp>BDH|5864970329193568440</stp>
        <tr r="H134" s="18"/>
      </tp>
      <tp t="e">
        <v>#N/A</v>
        <stp/>
        <stp>BDH|7366565803378126303</stp>
        <tr r="I22" s="24"/>
      </tp>
      <tp t="e">
        <v>#N/A</v>
        <stp/>
        <stp>BDH|9426190515098943867</stp>
        <tr r="N38" s="18"/>
      </tp>
      <tp t="e">
        <v>#N/A</v>
        <stp/>
        <stp>BDH|2417922237394446525</stp>
        <tr r="V11" s="21"/>
      </tp>
      <tp t="e">
        <v>#N/A</v>
        <stp/>
        <stp>BDH|8816815990538796899</stp>
        <tr r="J65" s="17"/>
      </tp>
      <tp t="e">
        <v>#N/A</v>
        <stp/>
        <stp>BDH|1339042280045789579</stp>
        <tr r="V63" s="11"/>
        <tr r="V71" s="10"/>
      </tp>
      <tp t="e">
        <v>#N/A</v>
        <stp/>
        <stp>BDH|9206421674037114420</stp>
        <tr r="Z105" s="18"/>
      </tp>
      <tp t="e">
        <v>#N/A</v>
        <stp/>
        <stp>BDH|8025948090641353009</stp>
        <tr r="S57" s="34"/>
      </tp>
      <tp t="e">
        <v>#N/A</v>
        <stp/>
        <stp>BDH|3390466921209353508</stp>
        <tr r="G13" s="13"/>
      </tp>
      <tp t="e">
        <v>#N/A</v>
        <stp/>
        <stp>BDH|7095729811161330972</stp>
        <tr r="Q111" s="12"/>
      </tp>
      <tp t="e">
        <v>#N/A</v>
        <stp/>
        <stp>BDH|9077819586873651360</stp>
        <tr r="F44" s="17"/>
      </tp>
      <tp t="e">
        <v>#N/A</v>
        <stp/>
        <stp>BDH|5958238838938315566</stp>
        <tr r="U57" s="24"/>
      </tp>
      <tp t="e">
        <v>#N/A</v>
        <stp/>
        <stp>BDH|9636206565473353777</stp>
        <tr r="P23" s="24"/>
      </tp>
      <tp t="e">
        <v>#N/A</v>
        <stp/>
        <stp>BDH|5176469505949705124</stp>
        <tr r="K14" s="13"/>
      </tp>
      <tp t="e">
        <v>#N/A</v>
        <stp/>
        <stp>BDH|1018363022119174027</stp>
        <tr r="L119" s="18"/>
      </tp>
      <tp t="e">
        <v>#N/A</v>
        <stp/>
        <stp>BDH|3714383715591800954</stp>
        <tr r="O19" s="13"/>
        <tr r="M61" s="10"/>
        <tr r="M32" s="4"/>
        <tr r="M16" s="2"/>
      </tp>
      <tp t="e">
        <v>#N/A</v>
        <stp/>
        <stp>BDH|2265385198095558403</stp>
        <tr r="K17" s="29"/>
        <tr r="K37" s="29"/>
      </tp>
      <tp t="e">
        <v>#N/A</v>
        <stp/>
        <stp>BDH|6087249286600216573</stp>
        <tr r="R12" s="10"/>
      </tp>
      <tp t="e">
        <v>#N/A</v>
        <stp/>
        <stp>BDH|5752706165109227474</stp>
        <tr r="T24" s="21"/>
      </tp>
      <tp t="e">
        <v>#N/A</v>
        <stp/>
        <stp>BDH|8136025572096259047</stp>
        <tr r="I12" s="20"/>
        <tr r="I113" s="18"/>
      </tp>
      <tp t="e">
        <v>#N/A</v>
        <stp/>
        <stp>BDH|9078220156113717443</stp>
        <tr r="AA25" s="18"/>
      </tp>
      <tp t="e">
        <v>#N/A</v>
        <stp/>
        <stp>BDH|8033015642017292268</stp>
        <tr r="H33" s="34"/>
      </tp>
      <tp t="e">
        <v>#N/A</v>
        <stp/>
        <stp>BDH|6672355250470283968</stp>
        <tr r="V16" s="18"/>
      </tp>
      <tp t="e">
        <v>#N/A</v>
        <stp/>
        <stp>BDH|2455937737946286755</stp>
        <tr r="K38" s="24"/>
      </tp>
      <tp t="e">
        <v>#N/A</v>
        <stp/>
        <stp>BDH|2409234214750755830</stp>
        <tr r="K10" s="17"/>
      </tp>
      <tp t="e">
        <v>#N/A</v>
        <stp/>
        <stp>BDH|4021829631134432201</stp>
        <tr r="R19" s="10"/>
      </tp>
      <tp t="e">
        <v>#N/A</v>
        <stp/>
        <stp>BDH|4505399384680678690</stp>
        <tr r="K32" s="26"/>
      </tp>
      <tp t="e">
        <v>#N/A</v>
        <stp/>
        <stp>BDH|9795460474372307111</stp>
        <tr r="U72" s="17"/>
      </tp>
      <tp t="e">
        <v>#N/A</v>
        <stp/>
        <stp>BDH|6768904216915351255</stp>
        <tr r="E43" s="24"/>
      </tp>
      <tp t="e">
        <v>#N/A</v>
        <stp/>
        <stp>BDH|5305802166823660141</stp>
        <tr r="H19" s="14"/>
      </tp>
      <tp t="e">
        <v>#N/A</v>
        <stp/>
        <stp>BDH|4161731546858772645</stp>
        <tr r="S66" s="12"/>
      </tp>
      <tp t="e">
        <v>#N/A</v>
        <stp/>
        <stp>BDH|5552290475079895060</stp>
        <tr r="I29" s="4"/>
      </tp>
      <tp t="e">
        <v>#N/A</v>
        <stp/>
        <stp>BDH|1941461683762246699</stp>
        <tr r="R24" s="22"/>
      </tp>
      <tp t="e">
        <v>#N/A</v>
        <stp/>
        <stp>BDH|4271639476158502450</stp>
        <tr r="L165" s="18"/>
      </tp>
      <tp t="e">
        <v>#N/A</v>
        <stp/>
        <stp>BDH|9385681109190414616</stp>
        <tr r="Y69" s="17"/>
      </tp>
      <tp t="e">
        <v>#N/A</v>
        <stp/>
        <stp>BDH|2790710971733061807</stp>
        <tr r="J60" s="34"/>
      </tp>
      <tp t="e">
        <v>#N/A</v>
        <stp/>
        <stp>BDH|9967287761112261667</stp>
        <tr r="Z26" s="26"/>
      </tp>
      <tp t="e">
        <v>#N/A</v>
        <stp/>
        <stp>BDH|5459971904252134724</stp>
        <tr r="G10" s="23"/>
      </tp>
      <tp t="e">
        <v>#N/A</v>
        <stp/>
        <stp>BDH|7439921352506678461</stp>
        <tr r="T84" s="18"/>
      </tp>
      <tp t="e">
        <v>#N/A</v>
        <stp/>
        <stp>BDH|3431402295503159440</stp>
        <tr r="X28" s="9"/>
        <tr r="X28" s="5"/>
      </tp>
      <tp t="e">
        <v>#N/A</v>
        <stp/>
        <stp>BDH|5520623094563537027</stp>
        <tr r="P30" s="22"/>
      </tp>
      <tp t="e">
        <v>#N/A</v>
        <stp/>
        <stp>BDH|2361941826765747527</stp>
        <tr r="R20" s="26"/>
      </tp>
      <tp t="e">
        <v>#N/A</v>
        <stp/>
        <stp>BDH|5811472395887695680</stp>
        <tr r="L173" s="18"/>
      </tp>
      <tp t="e">
        <v>#N/A</v>
        <stp/>
        <stp>BDH|2654843833830146048</stp>
        <tr r="U41" s="24"/>
      </tp>
      <tp t="e">
        <v>#N/A</v>
        <stp/>
        <stp>BDH|7177721142655438811</stp>
        <tr r="Y24" s="12"/>
      </tp>
      <tp t="e">
        <v>#N/A</v>
        <stp/>
        <stp>BDH|1384873601083987386</stp>
        <tr r="L49" s="6"/>
        <tr r="N9" s="8"/>
      </tp>
      <tp t="e">
        <v>#N/A</v>
        <stp/>
        <stp>BDH|7640002257043175845</stp>
        <tr r="E29" s="21"/>
      </tp>
      <tp t="e">
        <v>#N/A</v>
        <stp/>
        <stp>BDH|4163569042468053419</stp>
        <tr r="L47" s="34"/>
      </tp>
      <tp t="e">
        <v>#N/A</v>
        <stp/>
        <stp>BDH|9589150485391292835</stp>
        <tr r="V30" s="9"/>
      </tp>
      <tp t="e">
        <v>#N/A</v>
        <stp/>
        <stp>BDH|6930526210709742281</stp>
        <tr r="N35" s="22"/>
      </tp>
      <tp t="e">
        <v>#N/A</v>
        <stp/>
        <stp>BDH|7269269895860278577</stp>
        <tr r="E16" s="10"/>
      </tp>
      <tp t="e">
        <v>#N/A</v>
        <stp/>
        <stp>BDH|6775330646180473826</stp>
        <tr r="W34" s="18"/>
      </tp>
      <tp t="e">
        <v>#N/A</v>
        <stp/>
        <stp>BDH|2153331877748344720</stp>
        <tr r="O22" s="9"/>
      </tp>
      <tp t="e">
        <v>#N/A</v>
        <stp/>
        <stp>BDH|5583671667669501549</stp>
        <tr r="Y53" s="17"/>
        <tr r="Y10" s="25"/>
      </tp>
      <tp t="e">
        <v>#N/A</v>
        <stp/>
        <stp>BDH|5581537391193198321</stp>
        <tr r="Q169" s="18"/>
      </tp>
      <tp t="e">
        <v>#N/A</v>
        <stp/>
        <stp>BDH|2405178764615770940</stp>
        <tr r="N8" s="28"/>
      </tp>
      <tp t="e">
        <v>#N/A</v>
        <stp/>
        <stp>BDH|9593593997278713480</stp>
        <tr r="X31" s="6"/>
      </tp>
      <tp t="e">
        <v>#N/A</v>
        <stp/>
        <stp>BDH|6863369957340916944</stp>
        <tr r="I59" s="13"/>
      </tp>
      <tp t="e">
        <v>#N/A</v>
        <stp/>
        <stp>BDH|3509614337846255950</stp>
        <tr r="Y38" s="10"/>
        <tr r="Y30" s="11"/>
      </tp>
      <tp t="e">
        <v>#N/A</v>
        <stp/>
        <stp>BDH|8669007526390320378</stp>
        <tr r="S132" s="18"/>
      </tp>
      <tp t="e">
        <v>#N/A</v>
        <stp/>
        <stp>BDH|6581571864585777953</stp>
        <tr r="Y37" s="29"/>
        <tr r="Y17" s="29"/>
      </tp>
      <tp t="e">
        <v>#N/A</v>
        <stp/>
        <stp>BDH|6465173833915731837</stp>
        <tr r="V38" s="17"/>
      </tp>
      <tp t="e">
        <v>#N/A</v>
        <stp/>
        <stp>BDH|5256747115098136269</stp>
        <tr r="N61" s="12"/>
      </tp>
      <tp t="e">
        <v>#N/A</v>
        <stp/>
        <stp>BDH|4185114231449433610</stp>
        <tr r="H15" s="21"/>
      </tp>
      <tp t="e">
        <v>#N/A</v>
        <stp/>
        <stp>BDH|1693403184245607103</stp>
        <tr r="K16" s="11"/>
      </tp>
      <tp t="e">
        <v>#N/A</v>
        <stp/>
        <stp>BDH|1394802752131774427</stp>
        <tr r="U12" s="30"/>
      </tp>
      <tp t="e">
        <v>#N/A</v>
        <stp/>
        <stp>BDH|8993163022653962100</stp>
        <tr r="T97" s="12"/>
      </tp>
      <tp t="e">
        <v>#N/A</v>
        <stp/>
        <stp>BDH|2003833433420350078</stp>
        <tr r="M35" s="34"/>
      </tp>
      <tp t="e">
        <v>#N/A</v>
        <stp/>
        <stp>BDH|3764341627689126219</stp>
        <tr r="V39" s="6"/>
      </tp>
      <tp t="e">
        <v>#N/A</v>
        <stp/>
        <stp>BDH|8231218755103176530</stp>
        <tr r="M30" s="6"/>
      </tp>
      <tp t="e">
        <v>#N/A</v>
        <stp/>
        <stp>BDH|9217438894599427453</stp>
        <tr r="Y19" s="17"/>
      </tp>
      <tp t="e">
        <v>#N/A</v>
        <stp/>
        <stp>BDH|8042998878757330865</stp>
        <tr r="K23" s="6"/>
      </tp>
      <tp t="e">
        <v>#N/A</v>
        <stp/>
        <stp>BDH|4476289953468331284</stp>
        <tr r="Q62" s="10"/>
      </tp>
      <tp t="e">
        <v>#N/A</v>
        <stp/>
        <stp>BDH|1485293897157929474</stp>
        <tr r="W63" s="18"/>
      </tp>
      <tp t="e">
        <v>#N/A</v>
        <stp/>
        <stp>BDH|5973441781843123390</stp>
        <tr r="X22" s="27"/>
      </tp>
      <tp t="e">
        <v>#N/A</v>
        <stp/>
        <stp>BDH|7860913828483390667</stp>
        <tr r="AA45" s="12"/>
      </tp>
      <tp t="e">
        <v>#N/A</v>
        <stp/>
        <stp>BDH|2111894445855111283</stp>
        <tr r="K65" s="17"/>
      </tp>
      <tp t="e">
        <v>#N/A</v>
        <stp/>
        <stp>BDH|1715234699005188682</stp>
        <tr r="E143" s="18"/>
      </tp>
      <tp t="e">
        <v>#N/A</v>
        <stp/>
        <stp>BDH|3915198695066512446</stp>
        <tr r="C51" s="24"/>
      </tp>
      <tp t="e">
        <v>#N/A</v>
        <stp/>
        <stp>BDH|4831268416577472987</stp>
        <tr r="J13" s="34"/>
      </tp>
      <tp t="e">
        <v>#N/A</v>
        <stp/>
        <stp>BDH|8051275140586717155</stp>
        <tr r="Z10" s="30"/>
      </tp>
      <tp t="e">
        <v>#N/A</v>
        <stp/>
        <stp>BDH|3392895558515720208</stp>
        <tr r="K56" s="24"/>
      </tp>
      <tp t="e">
        <v>#N/A</v>
        <stp/>
        <stp>BDH|2658889546317850059</stp>
        <tr r="I96" s="12"/>
      </tp>
      <tp t="e">
        <v>#N/A</v>
        <stp/>
        <stp>BDH|7462646870018626731</stp>
        <tr r="T17" s="22"/>
      </tp>
      <tp t="e">
        <v>#N/A</v>
        <stp/>
        <stp>BDH|2665843827155271420</stp>
        <tr r="H10" s="23"/>
      </tp>
      <tp t="e">
        <v>#N/A</v>
        <stp/>
        <stp>BDH|4688451916940030801</stp>
        <tr r="J78" s="12"/>
      </tp>
      <tp t="e">
        <v>#N/A</v>
        <stp/>
        <stp>BDH|3188506141182096954</stp>
        <tr r="G16" s="30"/>
      </tp>
      <tp t="e">
        <v>#N/A</v>
        <stp/>
        <stp>BDH|6684302409899948534</stp>
        <tr r="E10" s="10"/>
      </tp>
      <tp t="e">
        <v>#N/A</v>
        <stp/>
        <stp>BDH|7364895702704850253</stp>
        <tr r="D45" s="6"/>
      </tp>
      <tp t="e">
        <v>#N/A</v>
        <stp/>
        <stp>BDH|8471767721650021461</stp>
        <tr r="R55" s="17"/>
      </tp>
      <tp t="e">
        <v>#N/A</v>
        <stp/>
        <stp>BDH|1660747397360318636</stp>
        <tr r="U128" s="18"/>
      </tp>
      <tp t="e">
        <v>#N/A</v>
        <stp/>
        <stp>BDH|4169006890570162457</stp>
        <tr r="L104" s="12"/>
      </tp>
      <tp t="e">
        <v>#N/A</v>
        <stp/>
        <stp>BDH|5157592181271815040</stp>
        <tr r="Y13" s="26"/>
      </tp>
      <tp t="e">
        <v>#N/A</v>
        <stp/>
        <stp>BDH|6103810671795469505</stp>
        <tr r="G30" s="11"/>
        <tr r="G38" s="10"/>
      </tp>
      <tp t="e">
        <v>#N/A</v>
        <stp/>
        <stp>BDH|7919804916317846026</stp>
        <tr r="Q8" s="18"/>
      </tp>
      <tp t="e">
        <v>#N/A</v>
        <stp/>
        <stp>BDH|5705746331651452931</stp>
        <tr r="W11" s="20"/>
        <tr r="W112" s="18"/>
      </tp>
      <tp t="e">
        <v>#N/A</v>
        <stp/>
        <stp>BDH|9399153917295298565</stp>
        <tr r="I25" s="12"/>
      </tp>
      <tp t="e">
        <v>#N/A</v>
        <stp/>
        <stp>BDH|4442665515418498268</stp>
        <tr r="L13" s="10"/>
      </tp>
      <tp t="e">
        <v>#N/A</v>
        <stp/>
        <stp>BDH|8004706922364123063</stp>
        <tr r="O63" s="21"/>
      </tp>
      <tp t="e">
        <v>#N/A</v>
        <stp/>
        <stp>BDH|9435988839273240929</stp>
        <tr r="K156" s="18"/>
      </tp>
      <tp t="e">
        <v>#N/A</v>
        <stp/>
        <stp>BDH|9399281407901941302</stp>
        <tr r="N158" s="18"/>
      </tp>
      <tp t="e">
        <v>#N/A</v>
        <stp/>
        <stp>BDH|4467498498854799478</stp>
        <tr r="P12" s="12"/>
      </tp>
      <tp t="e">
        <v>#N/A</v>
        <stp/>
        <stp>BDH|2973853464113861655</stp>
        <tr r="N62" s="34"/>
      </tp>
      <tp t="e">
        <v>#N/A</v>
        <stp/>
        <stp>BDH|2299578272379206004</stp>
        <tr r="M68" s="18"/>
      </tp>
      <tp t="e">
        <v>#N/A</v>
        <stp/>
        <stp>BDH|4331368674408678121</stp>
        <tr r="X26" s="26"/>
      </tp>
      <tp t="e">
        <v>#N/A</v>
        <stp/>
        <stp>BDH|6476894957115680792</stp>
        <tr r="Z14" s="20"/>
        <tr r="Z115" s="18"/>
      </tp>
      <tp t="e">
        <v>#N/A</v>
        <stp/>
        <stp>BDH|8854426084925858837</stp>
        <tr r="I29" s="22"/>
      </tp>
      <tp t="e">
        <v>#N/A</v>
        <stp/>
        <stp>BDH|2499226213591221923</stp>
        <tr r="S21" s="12"/>
      </tp>
      <tp t="e">
        <v>#N/A</v>
        <stp/>
        <stp>BDH|2992561989857592162</stp>
        <tr r="U9" s="26"/>
      </tp>
      <tp t="e">
        <v>#N/A</v>
        <stp/>
        <stp>BDH|9229740414915532323</stp>
        <tr r="G77" s="24"/>
      </tp>
      <tp t="e">
        <v>#N/A</v>
        <stp/>
        <stp>BDH|2299335686003208300</stp>
        <tr r="K51" s="24"/>
      </tp>
      <tp t="e">
        <v>#N/A</v>
        <stp/>
        <stp>BDH|4588036282580712566</stp>
        <tr r="Y45" s="21"/>
      </tp>
      <tp t="e">
        <v>#N/A</v>
        <stp/>
        <stp>BDH|6730946202244426209</stp>
        <tr r="V38" s="24"/>
      </tp>
      <tp t="e">
        <v>#N/A</v>
        <stp/>
        <stp>BDH|7824999462938293947</stp>
        <tr r="T29" s="22"/>
      </tp>
      <tp t="e">
        <v>#N/A</v>
        <stp/>
        <stp>BDH|8096351357164752300</stp>
        <tr r="P31" s="18"/>
      </tp>
      <tp t="e">
        <v>#N/A</v>
        <stp/>
        <stp>BDH|5556303625839341466</stp>
        <tr r="J174" s="18"/>
      </tp>
      <tp t="e">
        <v>#N/A</v>
        <stp/>
        <stp>BDH|4600573883357785704</stp>
        <tr r="G64" s="12"/>
      </tp>
      <tp t="e">
        <v>#N/A</v>
        <stp/>
        <stp>BDH|6477910611954965387</stp>
        <tr r="I12" s="21"/>
      </tp>
      <tp t="e">
        <v>#N/A</v>
        <stp/>
        <stp>BDH|7187156472578537067</stp>
        <tr r="M11" s="22"/>
      </tp>
      <tp t="e">
        <v>#N/A</v>
        <stp/>
        <stp>BDH|7209014156273680861</stp>
        <tr r="S17" s="14"/>
      </tp>
      <tp t="e">
        <v>#N/A</v>
        <stp/>
        <stp>BDH|3009475698153281482</stp>
        <tr r="N14" s="13"/>
      </tp>
      <tp t="e">
        <v>#N/A</v>
        <stp/>
        <stp>BDH|4701810246715389461</stp>
        <tr r="Z78" s="24"/>
      </tp>
      <tp t="e">
        <v>#N/A</v>
        <stp/>
        <stp>BDH|81566478077262180</stp>
        <tr r="F25" s="18"/>
      </tp>
      <tp t="e">
        <v>#N/A</v>
        <stp/>
        <stp>BDH|41584237521931323</stp>
        <tr r="G57" s="24"/>
      </tp>
      <tp t="e">
        <v>#N/A</v>
        <stp/>
        <stp>BDH|42235930132708779</stp>
        <tr r="V9" s="21"/>
      </tp>
      <tp t="e">
        <v>#N/A</v>
        <stp/>
        <stp>BDH|41183708710604564</stp>
        <tr r="U25" s="17"/>
      </tp>
      <tp t="e">
        <v>#N/A</v>
        <stp/>
        <stp>BDH|90519765603859420</stp>
        <tr r="T23" s="13"/>
      </tp>
      <tp t="e">
        <v>#N/A</v>
        <stp/>
        <stp>BDH|9736260568554746343</stp>
        <tr r="J39" s="29"/>
        <tr r="J31" s="29"/>
        <tr r="I52" s="6"/>
        <tr r="J10" s="2"/>
        <tr r="I11" s="5"/>
      </tp>
      <tp t="e">
        <v>#N/A</v>
        <stp/>
        <stp>BDH|7033667896631271384</stp>
        <tr r="AA10" s="26"/>
      </tp>
      <tp t="e">
        <v>#N/A</v>
        <stp/>
        <stp>BDH|4231614658758072517</stp>
        <tr r="T61" s="10"/>
        <tr r="V19" s="13"/>
        <tr r="T16" s="2"/>
        <tr r="T32" s="4"/>
      </tp>
      <tp t="e">
        <v>#N/A</v>
        <stp/>
        <stp>BDH|8739147658473688578</stp>
        <tr r="H63" s="34"/>
      </tp>
      <tp t="e">
        <v>#N/A</v>
        <stp/>
        <stp>BDH|5695437028619116069</stp>
        <tr r="Y43" s="17"/>
        <tr r="Y9" s="25"/>
      </tp>
      <tp t="e">
        <v>#N/A</v>
        <stp/>
        <stp>BDH|2715985104498585948</stp>
        <tr r="T119" s="18"/>
      </tp>
      <tp t="e">
        <v>#N/A</v>
        <stp/>
        <stp>BDH|8283778924242964527</stp>
        <tr r="M42" s="13"/>
      </tp>
      <tp t="e">
        <v>#N/A</v>
        <stp/>
        <stp>BDH|8228828743089911709</stp>
        <tr r="I12" s="24"/>
      </tp>
      <tp t="e">
        <v>#N/A</v>
        <stp/>
        <stp>BDH|9226267113735412591</stp>
        <tr r="S25" s="26"/>
      </tp>
      <tp t="e">
        <v>#N/A</v>
        <stp/>
        <stp>BDH|7132834310527003380</stp>
        <tr r="D17" s="22"/>
      </tp>
      <tp t="e">
        <v>#N/A</v>
        <stp/>
        <stp>BDH|7038032888526653373</stp>
        <tr r="M82" s="18"/>
      </tp>
      <tp t="e">
        <v>#N/A</v>
        <stp/>
        <stp>BDH|8504478904352584497</stp>
        <tr r="H46" s="21"/>
      </tp>
      <tp t="e">
        <v>#N/A</v>
        <stp/>
        <stp>BDH|6601092662713203952</stp>
        <tr r="Z101" s="12"/>
      </tp>
      <tp t="e">
        <v>#N/A</v>
        <stp/>
        <stp>BDH|8879715212165762162</stp>
        <tr r="L72" s="10"/>
        <tr r="L64" s="11"/>
      </tp>
      <tp t="e">
        <v>#N/A</v>
        <stp/>
        <stp>BDH|2226986638352080089</stp>
        <tr r="I21" s="17"/>
        <tr r="I15" s="3"/>
      </tp>
      <tp t="e">
        <v>#N/A</v>
        <stp/>
        <stp>BDH|1674791624269223730</stp>
        <tr r="X63" s="12"/>
      </tp>
      <tp t="e">
        <v>#N/A</v>
        <stp/>
        <stp>BDH|2931041195657719653</stp>
        <tr r="J59" s="34"/>
      </tp>
      <tp t="e">
        <v>#N/A</v>
        <stp/>
        <stp>BDH|5921195985680909667</stp>
        <tr r="F39" s="24"/>
      </tp>
      <tp t="e">
        <v>#N/A</v>
        <stp/>
        <stp>BDH|9500552842052089083</stp>
        <tr r="D26" s="21"/>
      </tp>
      <tp t="e">
        <v>#N/A</v>
        <stp/>
        <stp>BDH|9472917105323997933</stp>
        <tr r="X19" s="11"/>
      </tp>
      <tp t="e">
        <v>#N/A</v>
        <stp/>
        <stp>BDH|5186567090594941747</stp>
        <tr r="V68" s="12"/>
      </tp>
      <tp t="e">
        <v>#N/A</v>
        <stp/>
        <stp>BDH|6796861736882915549</stp>
        <tr r="J7" s="24"/>
      </tp>
      <tp t="e">
        <v>#N/A</v>
        <stp/>
        <stp>BDH|7762330478188773118</stp>
        <tr r="X65" s="34"/>
      </tp>
      <tp t="e">
        <v>#N/A</v>
        <stp/>
        <stp>BDH|5742169342048179280</stp>
        <tr r="X13" s="8"/>
      </tp>
      <tp t="e">
        <v>#N/A</v>
        <stp/>
        <stp>BDH|5121056873739494190</stp>
        <tr r="N25" s="22"/>
      </tp>
      <tp t="e">
        <v>#N/A</v>
        <stp/>
        <stp>BDH|1503957121594913429</stp>
        <tr r="P92" s="17"/>
        <tr r="P7" s="27"/>
      </tp>
      <tp t="e">
        <v>#N/A</v>
        <stp/>
        <stp>BDH|9383097536399476921</stp>
        <tr r="F13" s="6"/>
      </tp>
      <tp t="e">
        <v>#N/A</v>
        <stp/>
        <stp>BDH|1014865943023885471</stp>
        <tr r="E36" s="4"/>
      </tp>
      <tp t="e">
        <v>#N/A</v>
        <stp/>
        <stp>BDH|3885611595451600701</stp>
        <tr r="S20" s="24"/>
      </tp>
      <tp t="e">
        <v>#N/A</v>
        <stp/>
        <stp>BDH|4978528992715021736</stp>
        <tr r="H16" s="23"/>
      </tp>
      <tp t="e">
        <v>#N/A</v>
        <stp/>
        <stp>BDH|1939074304758583354</stp>
        <tr r="G88" s="17"/>
      </tp>
      <tp t="e">
        <v>#N/A</v>
        <stp/>
        <stp>BDH|2113988617692560215</stp>
        <tr r="D19" s="14"/>
      </tp>
      <tp t="e">
        <v>#N/A</v>
        <stp/>
        <stp>BDH|1102618187322928747</stp>
        <tr r="C101" s="12"/>
      </tp>
      <tp t="e">
        <v>#N/A</v>
        <stp/>
        <stp>BDH|6661855951597067691</stp>
        <tr r="Z35" s="25"/>
      </tp>
      <tp t="e">
        <v>#N/A</v>
        <stp/>
        <stp>BDH|9343691956738567825</stp>
        <tr r="U90" s="17"/>
        <tr r="U34" s="25"/>
      </tp>
      <tp t="e">
        <v>#N/A</v>
        <stp/>
        <stp>BDH|6966203927035763922</stp>
        <tr r="D17" s="34"/>
      </tp>
      <tp t="e">
        <v>#N/A</v>
        <stp/>
        <stp>BDH|5060712037192513984</stp>
        <tr r="W18" s="22"/>
      </tp>
      <tp t="e">
        <v>#N/A</v>
        <stp/>
        <stp>BDH|4559384765692162922</stp>
        <tr r="G10" s="24"/>
      </tp>
      <tp t="e">
        <v>#N/A</v>
        <stp/>
        <stp>BDH|8801566702510613710</stp>
        <tr r="D51" s="34"/>
      </tp>
      <tp t="e">
        <v>#N/A</v>
        <stp/>
        <stp>BDH|8410478978975668464</stp>
        <tr r="J178" s="18"/>
      </tp>
      <tp t="e">
        <v>#N/A</v>
        <stp/>
        <stp>BDH|5479989344975547761</stp>
        <tr r="Z63" s="24"/>
      </tp>
      <tp t="e">
        <v>#N/A</v>
        <stp/>
        <stp>BDH|3068727651553922813</stp>
        <tr r="J168" s="18"/>
      </tp>
      <tp t="e">
        <v>#N/A</v>
        <stp/>
        <stp>BDH|8754064605097872573</stp>
        <tr r="K24" s="22"/>
      </tp>
      <tp t="e">
        <v>#N/A</v>
        <stp/>
        <stp>BDH|9209933184857968579</stp>
        <tr r="P44" s="21"/>
      </tp>
      <tp t="e">
        <v>#N/A</v>
        <stp/>
        <stp>BDH|9451793151579226855</stp>
        <tr r="Q17" s="34"/>
      </tp>
      <tp t="e">
        <v>#N/A</v>
        <stp/>
        <stp>BDH|8909607866596210467</stp>
        <tr r="K23" s="26"/>
      </tp>
      <tp t="e">
        <v>#N/A</v>
        <stp/>
        <stp>BDH|9842254394158401066</stp>
        <tr r="N10" s="26"/>
      </tp>
      <tp t="e">
        <v>#N/A</v>
        <stp/>
        <stp>BDH|4821820292916582964</stp>
        <tr r="P49" s="4"/>
      </tp>
      <tp t="e">
        <v>#N/A</v>
        <stp/>
        <stp>BDH|5628887137621024526</stp>
        <tr r="Z8" s="13"/>
      </tp>
      <tp t="e">
        <v>#N/A</v>
        <stp/>
        <stp>BDH|5807760051548505513</stp>
        <tr r="Z43" s="24"/>
      </tp>
      <tp t="e">
        <v>#N/A</v>
        <stp/>
        <stp>BDH|5873435934350429805</stp>
        <tr r="M33" s="17"/>
      </tp>
      <tp t="e">
        <v>#N/A</v>
        <stp/>
        <stp>BDH|8982502345476212557</stp>
        <tr r="U60" s="21"/>
      </tp>
      <tp t="e">
        <v>#N/A</v>
        <stp/>
        <stp>BDH|5686092283975522229</stp>
        <tr r="I17" s="18"/>
      </tp>
      <tp t="e">
        <v>#N/A</v>
        <stp/>
        <stp>BDH|7012259808106108971</stp>
        <tr r="W78" s="12"/>
      </tp>
      <tp t="e">
        <v>#N/A</v>
        <stp/>
        <stp>BDH|5392710401430125894</stp>
        <tr r="S29" s="29"/>
        <tr r="S7" s="29"/>
      </tp>
      <tp t="e">
        <v>#N/A</v>
        <stp/>
        <stp>BDH|3754652841802831907</stp>
        <tr r="V8" s="25"/>
        <tr r="T9" s="2"/>
        <tr r="S10" s="5"/>
      </tp>
      <tp t="e">
        <v>#N/A</v>
        <stp/>
        <stp>BDH|8444681671842025165</stp>
        <tr r="H91" s="17"/>
      </tp>
      <tp t="e">
        <v>#N/A</v>
        <stp/>
        <stp>BDH|7513418372566465897</stp>
        <tr r="O61" s="11"/>
        <tr r="O69" s="10"/>
        <tr r="O20" s="7"/>
      </tp>
      <tp t="e">
        <v>#N/A</v>
        <stp/>
        <stp>BDH|3525895028695783686</stp>
        <tr r="N36" s="6"/>
      </tp>
      <tp t="e">
        <v>#N/A</v>
        <stp/>
        <stp>BDH|9718008439252025257</stp>
        <tr r="X10" s="13"/>
      </tp>
      <tp t="e">
        <v>#N/A</v>
        <stp/>
        <stp>BDH|9701873831698175083</stp>
        <tr r="W38" s="6"/>
        <tr r="W18" s="5"/>
      </tp>
      <tp t="e">
        <v>#N/A</v>
        <stp/>
        <stp>BDH|8262242555515312080</stp>
        <tr r="V76" s="24"/>
      </tp>
      <tp t="e">
        <v>#N/A</v>
        <stp/>
        <stp>BDH|8559547607024845366</stp>
        <tr r="V11" s="20"/>
        <tr r="V112" s="18"/>
      </tp>
      <tp t="e">
        <v>#N/A</v>
        <stp/>
        <stp>BDH|1270773794822990706</stp>
        <tr r="L11" s="11"/>
      </tp>
      <tp t="e">
        <v>#N/A</v>
        <stp/>
        <stp>BDH|9139413419304610271</stp>
        <tr r="S10" s="11"/>
      </tp>
      <tp t="e">
        <v>#N/A</v>
        <stp/>
        <stp>BDH|8227323757027674394</stp>
        <tr r="W11" s="24"/>
      </tp>
      <tp t="e">
        <v>#N/A</v>
        <stp/>
        <stp>BDH|9553665581625853821</stp>
        <tr r="W43" s="18"/>
      </tp>
      <tp t="e">
        <v>#N/A</v>
        <stp/>
        <stp>BDH|5040502128629873185</stp>
        <tr r="N51" s="10"/>
        <tr r="N15" s="7"/>
        <tr r="N43" s="11"/>
      </tp>
      <tp t="e">
        <v>#N/A</v>
        <stp/>
        <stp>BDH|4772070254183937857</stp>
        <tr r="M30" s="21"/>
      </tp>
      <tp t="e">
        <v>#N/A</v>
        <stp/>
        <stp>BDH|5913377950869684004</stp>
        <tr r="Y16" s="24"/>
      </tp>
      <tp t="e">
        <v>#N/A</v>
        <stp/>
        <stp>BDH|8447927002722883949</stp>
        <tr r="AA19" s="23"/>
        <tr r="Y59" s="11"/>
      </tp>
      <tp t="e">
        <v>#N/A</v>
        <stp/>
        <stp>BDH|2163890275667667033</stp>
        <tr r="T62" s="17"/>
      </tp>
      <tp t="e">
        <v>#N/A</v>
        <stp/>
        <stp>BDH|8238489414842475520</stp>
        <tr r="AA50" s="18"/>
      </tp>
      <tp t="e">
        <v>#N/A</v>
        <stp/>
        <stp>BDH|9267692872714251633</stp>
        <tr r="D34" s="17"/>
      </tp>
      <tp t="e">
        <v>#N/A</v>
        <stp/>
        <stp>BDH|2801544691217455317</stp>
        <tr r="S55" s="11"/>
      </tp>
      <tp t="e">
        <v>#N/A</v>
        <stp/>
        <stp>BDH|8612317360620649790</stp>
        <tr r="N34" s="13"/>
        <tr r="L30" s="10"/>
      </tp>
      <tp t="e">
        <v>#N/A</v>
        <stp/>
        <stp>BDH|2222841760035640380</stp>
        <tr r="S11" s="11"/>
      </tp>
      <tp t="e">
        <v>#N/A</v>
        <stp/>
        <stp>BDH|9969579599097982860</stp>
        <tr r="W94" s="18"/>
      </tp>
      <tp t="e">
        <v>#N/A</v>
        <stp/>
        <stp>BDH|3533456860352856904</stp>
        <tr r="Y56" s="11"/>
        <tr r="Y24" s="4"/>
      </tp>
      <tp t="e">
        <v>#N/A</v>
        <stp/>
        <stp>BDH|1939940943594183279</stp>
        <tr r="K34" s="22"/>
      </tp>
      <tp t="e">
        <v>#N/A</v>
        <stp/>
        <stp>BDH|8188049630370963143</stp>
        <tr r="U8" s="11"/>
      </tp>
      <tp t="e">
        <v>#N/A</v>
        <stp/>
        <stp>BDH|4005305098643373732</stp>
        <tr r="T12" s="26"/>
      </tp>
      <tp t="e">
        <v>#N/A</v>
        <stp/>
        <stp>BDH|2023426873729115284</stp>
        <tr r="P33" s="12"/>
      </tp>
      <tp t="e">
        <v>#N/A</v>
        <stp/>
        <stp>BDH|2214052045899983535</stp>
        <tr r="Z22" s="18"/>
      </tp>
      <tp t="e">
        <v>#N/A</v>
        <stp/>
        <stp>BDH|6220777940026489994</stp>
        <tr r="C69" s="34"/>
      </tp>
      <tp t="e">
        <v>#N/A</v>
        <stp/>
        <stp>BDH|5085292818025803911</stp>
        <tr r="P74" s="12"/>
      </tp>
      <tp t="e">
        <v>#N/A</v>
        <stp/>
        <stp>BDH|2652727388286233168</stp>
        <tr r="C23" s="29"/>
        <tr r="C14" s="29"/>
        <tr r="C34" s="29"/>
      </tp>
      <tp t="e">
        <v>#N/A</v>
        <stp/>
        <stp>BDH|1967799649119526146</stp>
        <tr r="K91" s="17"/>
      </tp>
      <tp t="e">
        <v>#N/A</v>
        <stp/>
        <stp>BDH|7507666799815153731</stp>
        <tr r="C7" s="11"/>
      </tp>
      <tp t="e">
        <v>#N/A</v>
        <stp/>
        <stp>BDH|8431565987019497695</stp>
        <tr r="E103" s="18"/>
      </tp>
      <tp t="e">
        <v>#N/A</v>
        <stp/>
        <stp>BDH|9350692515490398447</stp>
        <tr r="C12" s="26"/>
      </tp>
      <tp t="e">
        <v>#N/A</v>
        <stp/>
        <stp>BDH|6764668664014474895</stp>
        <tr r="C92" s="18"/>
      </tp>
      <tp t="e">
        <v>#N/A</v>
        <stp/>
        <stp>BDH|9152456428972346772</stp>
        <tr r="S33" s="21"/>
      </tp>
      <tp t="e">
        <v>#N/A</v>
        <stp/>
        <stp>BDH|6911914201404689175</stp>
        <tr r="S44" s="21"/>
      </tp>
      <tp t="e">
        <v>#N/A</v>
        <stp/>
        <stp>BDH|6692992526351946683</stp>
        <tr r="K48" s="18"/>
      </tp>
      <tp t="e">
        <v>#N/A</v>
        <stp/>
        <stp>BDH|5241875745406093583</stp>
        <tr r="U14" s="23"/>
      </tp>
      <tp t="e">
        <v>#N/A</v>
        <stp/>
        <stp>BDH|5278499895263233140</stp>
        <tr r="Z75" s="24"/>
      </tp>
      <tp t="e">
        <v>#N/A</v>
        <stp/>
        <stp>BDH|9989557747181278316</stp>
        <tr r="G102" s="18"/>
      </tp>
      <tp t="e">
        <v>#N/A</v>
        <stp/>
        <stp>BDH|5900584572824971925</stp>
        <tr r="L134" s="18"/>
      </tp>
      <tp t="e">
        <v>#N/A</v>
        <stp/>
        <stp>BDH|3472224035049244199</stp>
        <tr r="K13" s="12"/>
      </tp>
      <tp t="e">
        <v>#N/A</v>
        <stp/>
        <stp>BDH|2099394551369961796</stp>
        <tr r="G54" s="10"/>
        <tr r="G46" s="11"/>
        <tr r="G7" s="7"/>
        <tr r="I12" s="3"/>
      </tp>
      <tp t="e">
        <v>#N/A</v>
        <stp/>
        <stp>BDH|9254801112599192389</stp>
        <tr r="F84" s="17"/>
      </tp>
      <tp t="e">
        <v>#N/A</v>
        <stp/>
        <stp>BDH|9000772348423467320</stp>
        <tr r="U48" s="34"/>
      </tp>
      <tp t="e">
        <v>#N/A</v>
        <stp/>
        <stp>BDH|3889582432979350686</stp>
        <tr r="T56" s="17"/>
      </tp>
      <tp t="e">
        <v>#N/A</v>
        <stp/>
        <stp>BDH|5660210583204935145</stp>
        <tr r="N116" s="18"/>
      </tp>
      <tp t="e">
        <v>#N/A</v>
        <stp/>
        <stp>BDH|4733443759246503960</stp>
        <tr r="U28" s="9"/>
        <tr r="U28" s="5"/>
      </tp>
      <tp t="e">
        <v>#N/A</v>
        <stp/>
        <stp>BDH|5023709707209687183</stp>
        <tr r="AA42" s="13"/>
      </tp>
      <tp t="e">
        <v>#N/A</v>
        <stp/>
        <stp>BDH|7524245109156930980</stp>
        <tr r="D84" s="18"/>
      </tp>
      <tp t="e">
        <v>#N/A</v>
        <stp/>
        <stp>BDH|5319290989185854020</stp>
        <tr r="Z49" s="13"/>
        <tr r="X37" s="11"/>
        <tr r="X45" s="10"/>
        <tr r="X53" s="4"/>
        <tr r="X18" s="2"/>
      </tp>
      <tp t="e">
        <v>#N/A</v>
        <stp/>
        <stp>BDH|2487924835814993638</stp>
        <tr r="O43" s="21"/>
      </tp>
      <tp t="e">
        <v>#N/A</v>
        <stp/>
        <stp>BDH|4812258981257476319</stp>
        <tr r="W13" s="26"/>
      </tp>
      <tp t="e">
        <v>#N/A</v>
        <stp/>
        <stp>BDH|4964602502061526972</stp>
        <tr r="X61" s="18"/>
      </tp>
      <tp t="e">
        <v>#N/A</v>
        <stp/>
        <stp>BDH|1527195718103523880</stp>
        <tr r="C38" s="26"/>
      </tp>
      <tp t="e">
        <v>#N/A</v>
        <stp/>
        <stp>BDH|4080625680235938528</stp>
        <tr r="M68" s="24"/>
      </tp>
      <tp t="e">
        <v>#N/A</v>
        <stp/>
        <stp>BDH|8055736587485817852</stp>
        <tr r="N73" s="12"/>
      </tp>
      <tp t="e">
        <v>#N/A</v>
        <stp/>
        <stp>BDH|3552230977695871903</stp>
        <tr r="D12" s="7"/>
      </tp>
      <tp t="e">
        <v>#N/A</v>
        <stp/>
        <stp>BDH|4479824014400225792</stp>
        <tr r="P64" s="24"/>
      </tp>
      <tp t="e">
        <v>#N/A</v>
        <stp/>
        <stp>BDH|5672390477382302923</stp>
        <tr r="C6" s="3"/>
      </tp>
      <tp t="e">
        <v>#N/A</v>
        <stp/>
        <stp>BDH|8017454777309838832</stp>
        <tr r="E8" s="4"/>
      </tp>
      <tp t="e">
        <v>#N/A</v>
        <stp/>
        <stp>BDH|9658362746506633297</stp>
        <tr r="V58" s="21"/>
        <tr r="V37" s="25"/>
        <tr r="T53" s="11"/>
        <tr r="T31" s="4"/>
      </tp>
      <tp t="e">
        <v>#N/A</v>
        <stp/>
        <stp>BDH|9817277409726995761</stp>
        <tr r="Y38" s="12"/>
      </tp>
      <tp t="e">
        <v>#N/A</v>
        <stp/>
        <stp>BDH|6252096086801027540</stp>
        <tr r="H106" s="12"/>
      </tp>
      <tp t="e">
        <v>#N/A</v>
        <stp/>
        <stp>BDH|9520218249460671520</stp>
        <tr r="E8" s="22"/>
      </tp>
      <tp t="e">
        <v>#N/A</v>
        <stp/>
        <stp>BDH|6802049583207054365</stp>
        <tr r="H170" s="18"/>
      </tp>
      <tp t="e">
        <v>#N/A</v>
        <stp/>
        <stp>BDH|1959054574854457857</stp>
        <tr r="W22" s="21"/>
      </tp>
      <tp t="e">
        <v>#N/A</v>
        <stp/>
        <stp>BDH|9763458265659847866</stp>
        <tr r="K44" s="17"/>
      </tp>
      <tp t="e">
        <v>#N/A</v>
        <stp/>
        <stp>BDH|2759151388076270719</stp>
        <tr r="Z176" s="18"/>
      </tp>
      <tp t="e">
        <v>#N/A</v>
        <stp/>
        <stp>BDH|7349616919648784251</stp>
        <tr r="I14" s="30"/>
      </tp>
      <tp t="e">
        <v>#N/A</v>
        <stp/>
        <stp>BDH|5126251995727897300</stp>
        <tr r="J88" s="17"/>
      </tp>
      <tp t="e">
        <v>#N/A</v>
        <stp/>
        <stp>BDH|5924517475688176558</stp>
        <tr r="Q11" s="22"/>
      </tp>
      <tp t="e">
        <v>#N/A</v>
        <stp/>
        <stp>BDH|7601053694516687281</stp>
        <tr r="S38" s="10"/>
        <tr r="S30" s="11"/>
      </tp>
      <tp t="e">
        <v>#N/A</v>
        <stp/>
        <stp>BDH|5984152691464128352</stp>
        <tr r="C62" s="24"/>
      </tp>
      <tp t="e">
        <v>#N/A</v>
        <stp/>
        <stp>BDH|8017340003414950501</stp>
        <tr r="U39" s="29"/>
        <tr r="U31" s="29"/>
        <tr r="T11" s="5"/>
        <tr r="T52" s="6"/>
        <tr r="U10" s="2"/>
      </tp>
      <tp t="e">
        <v>#N/A</v>
        <stp/>
        <stp>BDH|4787067889961442723</stp>
        <tr r="F15" s="4"/>
      </tp>
      <tp t="e">
        <v>#N/A</v>
        <stp/>
        <stp>BDH|9000294976771809793</stp>
        <tr r="F7" s="17"/>
      </tp>
      <tp t="e">
        <v>#N/A</v>
        <stp/>
        <stp>BDH|7523668167489966438</stp>
        <tr r="P106" s="18"/>
      </tp>
      <tp t="e">
        <v>#N/A</v>
        <stp/>
        <stp>BDH|5120946729583141735</stp>
        <tr r="Y23" s="24"/>
      </tp>
      <tp t="e">
        <v>#N/A</v>
        <stp/>
        <stp>BDH|8660294803414521474</stp>
        <tr r="K10" s="6"/>
      </tp>
      <tp t="e">
        <v>#N/A</v>
        <stp/>
        <stp>BDH|2946857152312275724</stp>
        <tr r="AA43" s="24"/>
      </tp>
      <tp t="e">
        <v>#N/A</v>
        <stp/>
        <stp>BDH|5603872572806519688</stp>
        <tr r="J157" s="18"/>
      </tp>
      <tp t="e">
        <v>#N/A</v>
        <stp/>
        <stp>BDH|7610784186786349454</stp>
        <tr r="S140" s="18"/>
      </tp>
      <tp t="e">
        <v>#N/A</v>
        <stp/>
        <stp>BDH|5499168351628463394</stp>
        <tr r="S78" s="12"/>
      </tp>
      <tp t="e">
        <v>#N/A</v>
        <stp/>
        <stp>BDH|2328892017091526066</stp>
        <tr r="S54" s="21"/>
      </tp>
      <tp t="e">
        <v>#N/A</v>
        <stp/>
        <stp>BDH|2262766367971448899</stp>
        <tr r="V101" s="12"/>
      </tp>
      <tp t="e">
        <v>#N/A</v>
        <stp/>
        <stp>BDH|7514023938358258633</stp>
        <tr r="W172" s="18"/>
      </tp>
      <tp t="e">
        <v>#N/A</v>
        <stp/>
        <stp>BDH|3382780671910528914</stp>
        <tr r="L54" s="24"/>
      </tp>
      <tp t="e">
        <v>#N/A</v>
        <stp/>
        <stp>BDH|2372287026490572864</stp>
        <tr r="R29" s="6"/>
      </tp>
      <tp t="e">
        <v>#N/A</v>
        <stp/>
        <stp>BDH|4269150839569915594</stp>
        <tr r="V7" s="8"/>
      </tp>
      <tp t="e">
        <v>#N/A</v>
        <stp/>
        <stp>BDH|9846186544711368795</stp>
        <tr r="Y112" s="12"/>
      </tp>
      <tp t="e">
        <v>#N/A</v>
        <stp/>
        <stp>BDH|4813697617998048182</stp>
        <tr r="E41" s="18"/>
      </tp>
      <tp t="e">
        <v>#N/A</v>
        <stp/>
        <stp>BDH|9627224949590185522</stp>
        <tr r="Y119" s="18"/>
      </tp>
      <tp t="e">
        <v>#N/A</v>
        <stp/>
        <stp>BDH|8952233851542033759</stp>
        <tr r="C42" s="11"/>
        <tr r="C50" s="10"/>
        <tr r="C14" s="7"/>
        <tr r="E9" s="3"/>
      </tp>
      <tp t="e">
        <v>#N/A</v>
        <stp/>
        <stp>BDH|1502369295345983419</stp>
        <tr r="F29" s="4"/>
      </tp>
      <tp t="e">
        <v>#N/A</v>
        <stp/>
        <stp>BDH|7840187510924915970</stp>
        <tr r="H57" s="17"/>
      </tp>
      <tp t="e">
        <v>#N/A</v>
        <stp/>
        <stp>BDH|6457824853812930321</stp>
        <tr r="I87" s="12"/>
      </tp>
      <tp t="e">
        <v>#N/A</v>
        <stp/>
        <stp>BDH|2473825969931536743</stp>
        <tr r="K22" s="7"/>
      </tp>
      <tp t="e">
        <v>#N/A</v>
        <stp/>
        <stp>BDH|8992446232186651370</stp>
        <tr r="Y58" s="17"/>
      </tp>
      <tp t="e">
        <v>#N/A</v>
        <stp/>
        <stp>BDH|3882869135806749426</stp>
        <tr r="X14" s="6"/>
      </tp>
      <tp t="e">
        <v>#N/A</v>
        <stp/>
        <stp>BDH|5888072790197321123</stp>
        <tr r="AA88" s="17"/>
      </tp>
      <tp t="e">
        <v>#N/A</v>
        <stp/>
        <stp>BDH|1920251074967158975</stp>
        <tr r="N27" s="24"/>
      </tp>
      <tp t="e">
        <v>#N/A</v>
        <stp/>
        <stp>BDH|2094509335086330889</stp>
        <tr r="O7" s="24"/>
      </tp>
      <tp t="e">
        <v>#N/A</v>
        <stp/>
        <stp>BDH|8245908915632005897</stp>
        <tr r="M26" s="29"/>
      </tp>
      <tp t="e">
        <v>#N/A</v>
        <stp/>
        <stp>BDH|3578558972942425988</stp>
        <tr r="E37" s="21"/>
        <tr r="E24" s="3"/>
      </tp>
      <tp t="e">
        <v>#N/A</v>
        <stp/>
        <stp>BDH|8457141327272007398</stp>
        <tr r="U23" s="5"/>
      </tp>
      <tp t="e">
        <v>#N/A</v>
        <stp/>
        <stp>BDH|5180431386516985525</stp>
        <tr r="E35" s="13"/>
        <tr r="C31" s="10"/>
      </tp>
      <tp t="e">
        <v>#N/A</v>
        <stp/>
        <stp>BDH|9374202318399307977</stp>
        <tr r="R35" s="18"/>
      </tp>
      <tp t="e">
        <v>#N/A</v>
        <stp/>
        <stp>BDH|1538415242398152380</stp>
        <tr r="R30" s="6"/>
      </tp>
      <tp t="e">
        <v>#N/A</v>
        <stp/>
        <stp>BDH|3230993326094286608</stp>
        <tr r="J98" s="12"/>
      </tp>
      <tp t="e">
        <v>#N/A</v>
        <stp/>
        <stp>BDH|4764022899730472774</stp>
        <tr r="R20" s="11"/>
      </tp>
      <tp t="e">
        <v>#N/A</v>
        <stp/>
        <stp>BDH|7330249587576796185</stp>
        <tr r="X11" s="14"/>
      </tp>
      <tp t="e">
        <v>#N/A</v>
        <stp/>
        <stp>BDH|1441151027281869912</stp>
        <tr r="C39" s="13"/>
        <tr r="C8" s="3"/>
      </tp>
      <tp t="e">
        <v>#N/A</v>
        <stp/>
        <stp>BDH|5573082484731256644</stp>
        <tr r="I14" s="27"/>
        <tr r="I28" s="25"/>
      </tp>
      <tp t="e">
        <v>#N/A</v>
        <stp/>
        <stp>BDH|8016795276104068600</stp>
        <tr r="Q21" s="18"/>
      </tp>
      <tp t="e">
        <v>#N/A</v>
        <stp/>
        <stp>BDH|7959052181260665540</stp>
        <tr r="I111" s="12"/>
      </tp>
      <tp t="e">
        <v>#N/A</v>
        <stp/>
        <stp>BDH|5001419597960071295</stp>
        <tr r="S14" s="30"/>
      </tp>
      <tp t="e">
        <v>#N/A</v>
        <stp/>
        <stp>BDH|1296387142898433437</stp>
        <tr r="O78" s="24"/>
      </tp>
      <tp t="e">
        <v>#N/A</v>
        <stp/>
        <stp>BDH|9499689471557703550</stp>
        <tr r="Y12" s="11"/>
      </tp>
      <tp t="e">
        <v>#N/A</v>
        <stp/>
        <stp>BDH|8063896461039732507</stp>
        <tr r="R69" s="12"/>
      </tp>
      <tp t="e">
        <v>#N/A</v>
        <stp/>
        <stp>BDH|2579867308788540817</stp>
        <tr r="J48" s="24"/>
      </tp>
      <tp t="e">
        <v>#N/A</v>
        <stp/>
        <stp>BDH|3308919702897775782</stp>
        <tr r="L12" s="22"/>
      </tp>
      <tp t="e">
        <v>#N/A</v>
        <stp/>
        <stp>BDH|2057294315008329307</stp>
        <tr r="W65" s="34"/>
      </tp>
      <tp t="e">
        <v>#N/A</v>
        <stp/>
        <stp>BDH|8797862807079975308</stp>
        <tr r="Y67" s="24"/>
      </tp>
      <tp t="e">
        <v>#N/A</v>
        <stp/>
        <stp>BDH|4174788896560185015</stp>
        <tr r="V57" s="34"/>
      </tp>
      <tp t="e">
        <v>#N/A</v>
        <stp/>
        <stp>BDH|9944641241284054535</stp>
        <tr r="Q16" s="20"/>
      </tp>
      <tp t="e">
        <v>#N/A</v>
        <stp/>
        <stp>BDH|9620998802952436867</stp>
        <tr r="X56" s="12"/>
      </tp>
      <tp t="e">
        <v>#N/A</v>
        <stp/>
        <stp>BDH|7485872875632800015</stp>
        <tr r="D11" s="22"/>
      </tp>
      <tp t="e">
        <v>#N/A</v>
        <stp/>
        <stp>BDH|7762320585444735289</stp>
        <tr r="V13" s="24"/>
      </tp>
      <tp t="e">
        <v>#N/A</v>
        <stp/>
        <stp>BDH|4226080533625441828</stp>
        <tr r="L17" s="23"/>
      </tp>
      <tp t="e">
        <v>#N/A</v>
        <stp/>
        <stp>BDH|7971617224809061036</stp>
        <tr r="O66" s="21"/>
      </tp>
      <tp t="e">
        <v>#N/A</v>
        <stp/>
        <stp>BDH|9004246238074190624</stp>
        <tr r="X10" s="21"/>
      </tp>
      <tp t="e">
        <v>#N/A</v>
        <stp/>
        <stp>BDH|2398041440215143995</stp>
        <tr r="Y31" s="26"/>
        <tr r="V14" s="9"/>
      </tp>
      <tp t="e">
        <v>#N/A</v>
        <stp/>
        <stp>BDH|1315998735301035003</stp>
        <tr r="L109" s="12"/>
      </tp>
      <tp t="e">
        <v>#N/A</v>
        <stp/>
        <stp>BDH|4520689971206215912</stp>
        <tr r="R45" s="22"/>
      </tp>
      <tp t="e">
        <v>#N/A</v>
        <stp/>
        <stp>BDH|5764748448775750931</stp>
        <tr r="L55" s="13"/>
        <tr r="J48" s="11"/>
        <tr r="J56" s="10"/>
        <tr r="J18" s="7"/>
      </tp>
      <tp t="e">
        <v>#N/A</v>
        <stp/>
        <stp>BDH|2286737493251418791</stp>
        <tr r="X43" s="18"/>
      </tp>
      <tp t="e">
        <v>#N/A</v>
        <stp/>
        <stp>BDH|5292394435776337925</stp>
        <tr r="U17" s="24"/>
      </tp>
      <tp t="e">
        <v>#N/A</v>
        <stp/>
        <stp>BDH|4138038434584896918</stp>
        <tr r="R29" s="17"/>
      </tp>
      <tp t="e">
        <v>#N/A</v>
        <stp/>
        <stp>BDH|3711234589316386511</stp>
        <tr r="N38" s="29"/>
        <tr r="N18" s="29"/>
      </tp>
      <tp t="e">
        <v>#N/A</v>
        <stp/>
        <stp>BDH|1444777309994177842</stp>
        <tr r="Y55" s="24"/>
      </tp>
      <tp t="e">
        <v>#N/A</v>
        <stp/>
        <stp>BDH|7320950535663983452</stp>
        <tr r="F19" s="34"/>
      </tp>
      <tp t="e">
        <v>#N/A</v>
        <stp/>
        <stp>BDH|8858086653481985651</stp>
        <tr r="H31" s="18"/>
      </tp>
      <tp t="e">
        <v>#N/A</v>
        <stp/>
        <stp>BDH|5449491795376381440</stp>
        <tr r="R8" s="14"/>
      </tp>
      <tp t="e">
        <v>#N/A</v>
        <stp/>
        <stp>BDH|3890818254913112708</stp>
        <tr r="I69" s="18"/>
      </tp>
      <tp t="e">
        <v>#N/A</v>
        <stp/>
        <stp>BDH|5712535938428807180</stp>
        <tr r="H52" s="22"/>
      </tp>
      <tp t="e">
        <v>#N/A</v>
        <stp/>
        <stp>BDH|8159317169607610035</stp>
        <tr r="H13" s="5"/>
      </tp>
      <tp t="e">
        <v>#N/A</v>
        <stp/>
        <stp>BDH|9261527342941820369</stp>
        <tr r="E16" s="22"/>
      </tp>
      <tp t="e">
        <v>#N/A</v>
        <stp/>
        <stp>BDH|8401486611524856395</stp>
        <tr r="M10" s="12"/>
      </tp>
      <tp t="e">
        <v>#N/A</v>
        <stp/>
        <stp>BDH|6950425003020575815</stp>
        <tr r="W25" s="6"/>
      </tp>
      <tp t="e">
        <v>#N/A</v>
        <stp/>
        <stp>BDH|8046371264521657697</stp>
        <tr r="S92" s="18"/>
      </tp>
      <tp t="e">
        <v>#N/A</v>
        <stp/>
        <stp>BDH|9241080203115223675</stp>
        <tr r="W9" s="17"/>
      </tp>
      <tp t="e">
        <v>#N/A</v>
        <stp/>
        <stp>BDH|9311823204448876313</stp>
        <tr r="O29" s="34"/>
      </tp>
      <tp t="e">
        <v>#N/A</v>
        <stp/>
        <stp>BDH|1166531112799445686</stp>
        <tr r="D41" s="6"/>
      </tp>
      <tp t="e">
        <v>#N/A</v>
        <stp/>
        <stp>BDH|1572166862625527980</stp>
        <tr r="E33" s="22"/>
      </tp>
      <tp t="e">
        <v>#N/A</v>
        <stp/>
        <stp>BDH|1987648382771601453</stp>
        <tr r="P19" s="34"/>
      </tp>
      <tp t="e">
        <v>#N/A</v>
        <stp/>
        <stp>BDH|3340617517326917806</stp>
        <tr r="P20" s="30"/>
      </tp>
      <tp t="e">
        <v>#N/A</v>
        <stp/>
        <stp>BDH|3463360080377834560</stp>
        <tr r="G68" s="24"/>
      </tp>
      <tp t="e">
        <v>#N/A</v>
        <stp/>
        <stp>BDH|8270990782300027350</stp>
        <tr r="S48" s="22"/>
      </tp>
      <tp t="e">
        <v>#N/A</v>
        <stp/>
        <stp>BDH|4394138092651928773</stp>
        <tr r="E22" s="20"/>
      </tp>
      <tp t="e">
        <v>#N/A</v>
        <stp/>
        <stp>BDH|1819878220011107020</stp>
        <tr r="V152" s="18"/>
      </tp>
      <tp t="e">
        <v>#N/A</v>
        <stp/>
        <stp>BDH|2640234753878838722</stp>
        <tr r="V36" s="4"/>
      </tp>
      <tp t="e">
        <v>#N/A</v>
        <stp/>
        <stp>BDH|4354382054390795844</stp>
        <tr r="L103" s="12"/>
      </tp>
      <tp t="e">
        <v>#N/A</v>
        <stp/>
        <stp>BDH|2305266498366380525</stp>
        <tr r="T34" s="29"/>
        <tr r="T23" s="29"/>
        <tr r="T14" s="29"/>
      </tp>
      <tp t="e">
        <v>#N/A</v>
        <stp/>
        <stp>BDH|6778208488621616750</stp>
        <tr r="G8" s="18"/>
      </tp>
      <tp t="e">
        <v>#N/A</v>
        <stp/>
        <stp>BDH|8563206422785266799</stp>
        <tr r="P101" s="12"/>
      </tp>
      <tp t="e">
        <v>#N/A</v>
        <stp/>
        <stp>BDH|8735144948831612615</stp>
        <tr r="T44" s="12"/>
      </tp>
      <tp t="e">
        <v>#N/A</v>
        <stp/>
        <stp>BDH|3379805039524184674</stp>
        <tr r="H22" s="7"/>
      </tp>
      <tp t="e">
        <v>#N/A</v>
        <stp/>
        <stp>BDH|7361544299347022629</stp>
        <tr r="U16" s="27"/>
        <tr r="U30" s="25"/>
      </tp>
      <tp t="e">
        <v>#N/A</v>
        <stp/>
        <stp>BDH|9048613526013398483</stp>
        <tr r="I51" s="12"/>
      </tp>
      <tp t="e">
        <v>#N/A</v>
        <stp/>
        <stp>BDH|4716151349203573828</stp>
        <tr r="X86" s="18"/>
      </tp>
      <tp t="e">
        <v>#N/A</v>
        <stp/>
        <stp>BDH|7403629508969590275</stp>
        <tr r="D17" s="11"/>
      </tp>
      <tp t="e">
        <v>#N/A</v>
        <stp/>
        <stp>BDH|1704114369978140426</stp>
        <tr r="Q40" s="29"/>
      </tp>
      <tp t="e">
        <v>#N/A</v>
        <stp/>
        <stp>BDH|5249988671813437238</stp>
        <tr r="AA40" s="22"/>
      </tp>
      <tp t="e">
        <v>#N/A</v>
        <stp/>
        <stp>BDH|8608784793244012819</stp>
        <tr r="X83" s="18"/>
      </tp>
      <tp t="e">
        <v>#N/A</v>
        <stp/>
        <stp>BDH|3109780157899582261</stp>
        <tr r="H21" s="17"/>
        <tr r="H15" s="3"/>
      </tp>
      <tp t="e">
        <v>#N/A</v>
        <stp/>
        <stp>BDH|9739016219044330617</stp>
        <tr r="X22" s="24"/>
      </tp>
      <tp t="e">
        <v>#N/A</v>
        <stp/>
        <stp>BDH|2569974613523474381</stp>
        <tr r="F35" s="25"/>
      </tp>
      <tp t="e">
        <v>#N/A</v>
        <stp/>
        <stp>BDH|4759501897780850257</stp>
        <tr r="V30" s="12"/>
      </tp>
      <tp t="e">
        <v>#N/A</v>
        <stp/>
        <stp>BDH|9081490068919937852</stp>
        <tr r="R31" s="13"/>
        <tr r="P27" s="10"/>
      </tp>
      <tp t="e">
        <v>#N/A</v>
        <stp/>
        <stp>BDH|2688968099171785939</stp>
        <tr r="U18" s="14"/>
      </tp>
      <tp t="e">
        <v>#N/A</v>
        <stp/>
        <stp>BDH|9161301519341451013</stp>
        <tr r="W95" s="12"/>
      </tp>
      <tp t="e">
        <v>#N/A</v>
        <stp/>
        <stp>BDH|1864315904511212925</stp>
        <tr r="G62" s="13"/>
        <tr r="E49" s="11"/>
        <tr r="E19" s="7"/>
        <tr r="E57" s="10"/>
        <tr r="E20" s="2"/>
        <tr r="E18" s="4"/>
      </tp>
      <tp t="e">
        <v>#N/A</v>
        <stp/>
        <stp>BDH|6011601210688573383</stp>
        <tr r="G22" s="20"/>
      </tp>
      <tp t="e">
        <v>#N/A</v>
        <stp/>
        <stp>BDH|6476501692935388585</stp>
        <tr r="Q14" s="34"/>
      </tp>
      <tp t="e">
        <v>#N/A</v>
        <stp/>
        <stp>BDH|6667796593312760060</stp>
        <tr r="H125" s="18"/>
      </tp>
      <tp t="e">
        <v>#N/A</v>
        <stp/>
        <stp>BDH|5885058952122679841</stp>
        <tr r="I13" s="25"/>
      </tp>
      <tp t="e">
        <v>#N/A</v>
        <stp/>
        <stp>BDH|5649550246678007685</stp>
        <tr r="AA131" s="18"/>
      </tp>
      <tp t="e">
        <v>#N/A</v>
        <stp/>
        <stp>BDH|6784763338698378073</stp>
        <tr r="O24" s="24"/>
      </tp>
      <tp t="e">
        <v>#N/A</v>
        <stp/>
        <stp>BDH|3040574394944937173</stp>
        <tr r="V25" s="17"/>
      </tp>
      <tp t="e">
        <v>#N/A</v>
        <stp/>
        <stp>BDH|7693697293487776564</stp>
        <tr r="Q9" s="13"/>
      </tp>
      <tp t="e">
        <v>#N/A</v>
        <stp/>
        <stp>BDH|9168289342421332450</stp>
        <tr r="M31" s="18"/>
      </tp>
      <tp t="e">
        <v>#N/A</v>
        <stp/>
        <stp>BDH|7275837631833907543</stp>
        <tr r="J14" s="34"/>
      </tp>
      <tp t="e">
        <v>#N/A</v>
        <stp/>
        <stp>BDH|9271636635985838310</stp>
        <tr r="O34" s="6"/>
      </tp>
      <tp t="e">
        <v>#N/A</v>
        <stp/>
        <stp>BDH|3797633337359900572</stp>
        <tr r="H6" s="19"/>
        <tr r="H35" s="17"/>
        <tr r="H16" s="3"/>
      </tp>
      <tp t="e">
        <v>#N/A</v>
        <stp/>
        <stp>BDH|5494211699645369123</stp>
        <tr r="P13" s="5"/>
      </tp>
      <tp t="e">
        <v>#N/A</v>
        <stp/>
        <stp>BDH|6323541787958882958</stp>
        <tr r="M17" s="21"/>
      </tp>
      <tp t="e">
        <v>#N/A</v>
        <stp/>
        <stp>BDH|9893304073872469529</stp>
        <tr r="E68" s="17"/>
      </tp>
      <tp t="e">
        <v>#N/A</v>
        <stp/>
        <stp>BDH|4769588110452263800</stp>
        <tr r="AA105" s="12"/>
      </tp>
      <tp t="e">
        <v>#N/A</v>
        <stp/>
        <stp>BDH|1266894660107085264</stp>
        <tr r="M58" s="18"/>
      </tp>
      <tp t="e">
        <v>#N/A</v>
        <stp/>
        <stp>BDH|7994006611738357462</stp>
        <tr r="W67" s="18"/>
      </tp>
      <tp t="e">
        <v>#N/A</v>
        <stp/>
        <stp>BDH|5477581229828981018</stp>
        <tr r="U54" s="21"/>
      </tp>
      <tp t="e">
        <v>#N/A</v>
        <stp/>
        <stp>BDH|9540625208162198737</stp>
        <tr r="K62" s="18"/>
      </tp>
      <tp t="e">
        <v>#N/A</v>
        <stp/>
        <stp>BDH|7721686443247719869</stp>
        <tr r="G33" s="10"/>
        <tr r="G25" s="11"/>
      </tp>
      <tp t="e">
        <v>#N/A</v>
        <stp/>
        <stp>BDH|8577487622585280103</stp>
        <tr r="E65" s="34"/>
      </tp>
      <tp t="e">
        <v>#N/A</v>
        <stp/>
        <stp>BDH|2415336896234173623</stp>
        <tr r="M53" s="13"/>
      </tp>
      <tp t="e">
        <v>#N/A</v>
        <stp/>
        <stp>BDH|4355111660149818085</stp>
        <tr r="T11" s="13"/>
      </tp>
      <tp t="e">
        <v>#N/A</v>
        <stp/>
        <stp>BDH|7332665298974667699</stp>
        <tr r="L64" s="24"/>
      </tp>
      <tp t="e">
        <v>#N/A</v>
        <stp/>
        <stp>BDH|8545204933254028740</stp>
        <tr r="S26" s="24"/>
      </tp>
      <tp t="e">
        <v>#N/A</v>
        <stp/>
        <stp>BDH|2535118171569368748</stp>
        <tr r="M37" s="21"/>
        <tr r="M24" s="3"/>
      </tp>
      <tp t="e">
        <v>#N/A</v>
        <stp/>
        <stp>BDH|5533876658606035483</stp>
        <tr r="I10" s="27"/>
        <tr r="I25" s="25"/>
      </tp>
      <tp t="e">
        <v>#N/A</v>
        <stp/>
        <stp>BDH|3301791730445970811</stp>
        <tr r="AA11" s="24"/>
      </tp>
      <tp t="e">
        <v>#N/A</v>
        <stp/>
        <stp>BDH|8512650926351470706</stp>
        <tr r="D75" s="18"/>
      </tp>
      <tp t="e">
        <v>#N/A</v>
        <stp/>
        <stp>BDH|8266053669776500290</stp>
        <tr r="Y40" s="10"/>
        <tr r="Y32" s="11"/>
      </tp>
      <tp t="e">
        <v>#N/A</v>
        <stp/>
        <stp>BDH|8501980468109605413</stp>
        <tr r="G64" s="17"/>
      </tp>
      <tp t="e">
        <v>#N/A</v>
        <stp/>
        <stp>BDH|9445090486722122983</stp>
        <tr r="Y72" s="18"/>
      </tp>
      <tp t="e">
        <v>#N/A</v>
        <stp/>
        <stp>BDH|8019419641366515478</stp>
        <tr r="P94" s="18"/>
      </tp>
      <tp t="e">
        <v>#N/A</v>
        <stp/>
        <stp>BDH|6972992907364731120</stp>
        <tr r="P91" s="17"/>
      </tp>
      <tp t="e">
        <v>#N/A</v>
        <stp/>
        <stp>BDH|8032240036084455743</stp>
        <tr r="M70" s="12"/>
      </tp>
      <tp t="e">
        <v>#N/A</v>
        <stp/>
        <stp>BDH|5576932031244078155</stp>
        <tr r="U33" s="18"/>
      </tp>
      <tp t="e">
        <v>#N/A</v>
        <stp/>
        <stp>BDH|7436465055295634932</stp>
        <tr r="H133" s="18"/>
      </tp>
      <tp t="e">
        <v>#N/A</v>
        <stp/>
        <stp>BDH|9394459172504534432</stp>
        <tr r="Z47" s="22"/>
      </tp>
      <tp t="e">
        <v>#N/A</v>
        <stp/>
        <stp>BDH|2557676598027019086</stp>
        <tr r="Y12" s="20"/>
        <tr r="Y113" s="18"/>
      </tp>
      <tp t="e">
        <v>#N/A</v>
        <stp/>
        <stp>BDH|5760849001036907198</stp>
        <tr r="O16" s="14"/>
      </tp>
      <tp t="e">
        <v>#N/A</v>
        <stp/>
        <stp>BDH|2296318451037874981</stp>
        <tr r="K35" s="18"/>
      </tp>
      <tp t="e">
        <v>#N/A</v>
        <stp/>
        <stp>BDH|3526073320868775379</stp>
        <tr r="R43" s="18"/>
      </tp>
      <tp t="e">
        <v>#N/A</v>
        <stp/>
        <stp>BDH|9166845766328803597</stp>
        <tr r="K29" s="13"/>
        <tr r="I24" s="11"/>
        <tr r="I45" s="4"/>
        <tr r="I32" s="10"/>
      </tp>
      <tp t="e">
        <v>#N/A</v>
        <stp/>
        <stp>BDH|5046053942353506803</stp>
        <tr r="G98" s="12"/>
      </tp>
      <tp t="e">
        <v>#N/A</v>
        <stp/>
        <stp>BDH|9799279073331014715</stp>
        <tr r="W9" s="26"/>
      </tp>
      <tp t="e">
        <v>#N/A</v>
        <stp/>
        <stp>BDH|8747012643243552527</stp>
        <tr r="M34" s="12"/>
      </tp>
      <tp t="e">
        <v>#N/A</v>
        <stp/>
        <stp>BDH|9260603750224947495</stp>
        <tr r="Q57" s="24"/>
      </tp>
      <tp t="e">
        <v>#N/A</v>
        <stp/>
        <stp>BDH|2165821113104439563</stp>
        <tr r="W86" s="12"/>
      </tp>
      <tp t="e">
        <v>#N/A</v>
        <stp/>
        <stp>BDH|8929728328810666772</stp>
        <tr r="AA86" s="12"/>
      </tp>
      <tp t="e">
        <v>#N/A</v>
        <stp/>
        <stp>BDH|9810429885247853859</stp>
        <tr r="M19" s="14"/>
      </tp>
      <tp t="e">
        <v>#N/A</v>
        <stp/>
        <stp>BDH|9763118112083581030</stp>
        <tr r="D11" s="9"/>
      </tp>
      <tp t="e">
        <v>#N/A</v>
        <stp/>
        <stp>BDH|3952436785106895352</stp>
        <tr r="R39" s="24"/>
      </tp>
      <tp t="e">
        <v>#N/A</v>
        <stp/>
        <stp>BDH|7036504635812560921</stp>
        <tr r="Z8" s="28"/>
      </tp>
      <tp t="e">
        <v>#N/A</v>
        <stp/>
        <stp>BDH|3389486470793806911</stp>
        <tr r="C32" s="21"/>
      </tp>
      <tp t="e">
        <v>#N/A</v>
        <stp/>
        <stp>BDH|9775069657540124651</stp>
        <tr r="Z88" s="12"/>
      </tp>
      <tp t="e">
        <v>#N/A</v>
        <stp/>
        <stp>BDH|1325946924935658572</stp>
        <tr r="W25" s="29"/>
        <tr r="W19" s="29"/>
        <tr r="W10" s="29"/>
        <tr r="X12" s="8"/>
        <tr r="V6" s="9"/>
        <tr r="W6" s="2"/>
        <tr r="V6" s="5"/>
      </tp>
      <tp t="e">
        <v>#N/A</v>
        <stp/>
        <stp>BDH|5020289922457120897</stp>
        <tr r="L47" s="17"/>
      </tp>
      <tp t="e">
        <v>#N/A</v>
        <stp/>
        <stp>BDH|8470525542700268349</stp>
        <tr r="U31" s="26"/>
        <tr r="R14" s="9"/>
      </tp>
      <tp t="e">
        <v>#N/A</v>
        <stp/>
        <stp>BDH|1900409916929594783</stp>
        <tr r="O167" s="18"/>
      </tp>
      <tp t="e">
        <v>#N/A</v>
        <stp/>
        <stp>BDH|9352906577734682901</stp>
        <tr r="P52" s="12"/>
      </tp>
      <tp t="e">
        <v>#N/A</v>
        <stp/>
        <stp>BDH|5629911465743099300</stp>
        <tr r="J6" s="6"/>
      </tp>
      <tp t="e">
        <v>#N/A</v>
        <stp/>
        <stp>BDH|8512384932667467598</stp>
        <tr r="S26" s="26"/>
      </tp>
      <tp t="e">
        <v>#N/A</v>
        <stp/>
        <stp>BDH|9484830030730156846</stp>
        <tr r="H8" s="12"/>
      </tp>
      <tp t="e">
        <v>#N/A</v>
        <stp/>
        <stp>BDH|8385644243103477325</stp>
        <tr r="L56" s="12"/>
      </tp>
      <tp t="e">
        <v>#N/A</v>
        <stp/>
        <stp>BDH|1616015086002484173</stp>
        <tr r="G97" s="12"/>
      </tp>
      <tp t="e">
        <v>#N/A</v>
        <stp/>
        <stp>BDH|5546768664286395868</stp>
        <tr r="K19" s="12"/>
      </tp>
      <tp t="e">
        <v>#N/A</v>
        <stp/>
        <stp>BDH|8055063176964461167</stp>
        <tr r="H52" s="17"/>
        <tr r="H17" s="3"/>
      </tp>
      <tp t="e">
        <v>#N/A</v>
        <stp/>
        <stp>BDH|5742008323284442924</stp>
        <tr r="U55" s="18"/>
      </tp>
      <tp t="e">
        <v>#N/A</v>
        <stp/>
        <stp>BDH|7985407437862867850</stp>
        <tr r="N82" s="17"/>
        <tr r="L6" s="7"/>
        <tr r="N20" s="3"/>
      </tp>
      <tp t="e">
        <v>#N/A</v>
        <stp/>
        <stp>BDH|5733285123798968766</stp>
        <tr r="L61" s="18"/>
      </tp>
      <tp t="e">
        <v>#N/A</v>
        <stp/>
        <stp>BDH|6504557196769568907</stp>
        <tr r="C59" s="24"/>
      </tp>
      <tp t="e">
        <v>#N/A</v>
        <stp/>
        <stp>BDH|5172095586410837755</stp>
        <tr r="G46" s="21"/>
      </tp>
      <tp t="e">
        <v>#N/A</v>
        <stp/>
        <stp>BDH|4065431810399707277</stp>
        <tr r="P43" s="21"/>
      </tp>
      <tp t="e">
        <v>#N/A</v>
        <stp/>
        <stp>BDH|3709250744327448815</stp>
        <tr r="Y138" s="18"/>
      </tp>
      <tp t="e">
        <v>#N/A</v>
        <stp/>
        <stp>BDH|8266117157952635419</stp>
        <tr r="W46" s="17"/>
      </tp>
      <tp t="e">
        <v>#N/A</v>
        <stp/>
        <stp>BDH|1864443759622650804</stp>
        <tr r="M17" s="18"/>
      </tp>
      <tp t="e">
        <v>#N/A</v>
        <stp/>
        <stp>BDH|5985849656233093188</stp>
        <tr r="AA83" s="17"/>
      </tp>
      <tp t="e">
        <v>#N/A</v>
        <stp/>
        <stp>BDH|4638187850682823852</stp>
        <tr r="X19" s="25"/>
      </tp>
      <tp t="e">
        <v>#N/A</v>
        <stp/>
        <stp>BDH|3632031632153325974</stp>
        <tr r="S101" s="18"/>
      </tp>
      <tp t="e">
        <v>#N/A</v>
        <stp/>
        <stp>BDH|1017315101678104027</stp>
        <tr r="Y40" s="21"/>
      </tp>
      <tp t="e">
        <v>#N/A</v>
        <stp/>
        <stp>BDH|7723517854685044812</stp>
        <tr r="AA55" s="17"/>
      </tp>
      <tp t="e">
        <v>#N/A</v>
        <stp/>
        <stp>BDH|7030057113145225972</stp>
        <tr r="W82" s="18"/>
      </tp>
      <tp t="e">
        <v>#N/A</v>
        <stp/>
        <stp>BDH|5497931964855647561</stp>
        <tr r="E11" s="7"/>
      </tp>
      <tp t="e">
        <v>#N/A</v>
        <stp/>
        <stp>BDH|9433203434951595364</stp>
        <tr r="I163" s="18"/>
      </tp>
      <tp t="e">
        <v>#N/A</v>
        <stp/>
        <stp>BDH|7736845477060717203</stp>
        <tr r="C19" s="34"/>
      </tp>
      <tp t="e">
        <v>#N/A</v>
        <stp/>
        <stp>BDH|6311970203593601620</stp>
        <tr r="P20" s="6"/>
      </tp>
      <tp t="e">
        <v>#N/A</v>
        <stp/>
        <stp>BDH|8959483750796146532</stp>
        <tr r="T62" s="11"/>
        <tr r="T70" s="10"/>
      </tp>
      <tp t="e">
        <v>#N/A</v>
        <stp/>
        <stp>BDH|7318237711158219601</stp>
        <tr r="Q11" s="20"/>
        <tr r="Q112" s="18"/>
      </tp>
      <tp t="e">
        <v>#N/A</v>
        <stp/>
        <stp>BDH|5571813324083151626</stp>
        <tr r="Y8" s="8"/>
      </tp>
      <tp t="e">
        <v>#N/A</v>
        <stp/>
        <stp>BDH|6510182740709657087</stp>
        <tr r="C26" s="18"/>
      </tp>
      <tp t="e">
        <v>#N/A</v>
        <stp/>
        <stp>BDH|9763844035070436818</stp>
        <tr r="K8" s="6"/>
      </tp>
      <tp t="e">
        <v>#N/A</v>
        <stp/>
        <stp>BDH|1051617465422174968</stp>
        <tr r="D13" s="20"/>
        <tr r="D114" s="18"/>
      </tp>
      <tp t="e">
        <v>#N/A</v>
        <stp/>
        <stp>BDH|7057599931122315985</stp>
        <tr r="T80" s="18"/>
      </tp>
      <tp t="e">
        <v>#N/A</v>
        <stp/>
        <stp>BDH|8714703017065239118</stp>
        <tr r="X78" s="17"/>
      </tp>
      <tp t="e">
        <v>#N/A</v>
        <stp/>
        <stp>BDH|2017693279829367004</stp>
        <tr r="H60" s="17"/>
      </tp>
      <tp t="e">
        <v>#N/A</v>
        <stp/>
        <stp>BDH|3133704732754321939</stp>
        <tr r="F72" s="17"/>
      </tp>
      <tp t="e">
        <v>#N/A</v>
        <stp/>
        <stp>BDH|8636159073617267311</stp>
        <tr r="S60" s="11"/>
      </tp>
      <tp t="e">
        <v>#N/A</v>
        <stp/>
        <stp>BDH|3003760025845415943</stp>
        <tr r="Z142" s="18"/>
      </tp>
      <tp t="e">
        <v>#N/A</v>
        <stp/>
        <stp>BDH|9317630456829608935</stp>
        <tr r="V8" s="34"/>
      </tp>
      <tp t="e">
        <v>#N/A</v>
        <stp/>
        <stp>BDH|8612434637827119203</stp>
        <tr r="W175" s="18"/>
      </tp>
      <tp t="e">
        <v>#N/A</v>
        <stp/>
        <stp>BDH|1711832812985003754</stp>
        <tr r="Y16" s="26"/>
      </tp>
      <tp t="e">
        <v>#N/A</v>
        <stp/>
        <stp>BDH|1876811629928496947</stp>
        <tr r="P7" s="28"/>
      </tp>
      <tp t="e">
        <v>#N/A</v>
        <stp/>
        <stp>BDH|6577263651162051921</stp>
        <tr r="Q13" s="22"/>
      </tp>
      <tp t="e">
        <v>#N/A</v>
        <stp/>
        <stp>BDH|6120334266069573010</stp>
        <tr r="I18" s="23"/>
      </tp>
      <tp t="e">
        <v>#N/A</v>
        <stp/>
        <stp>BDH|7066637885076172576</stp>
        <tr r="P47" s="18"/>
      </tp>
      <tp t="e">
        <v>#N/A</v>
        <stp/>
        <stp>BDH|8425007780359547311</stp>
        <tr r="C78" s="24"/>
      </tp>
      <tp t="e">
        <v>#N/A</v>
        <stp/>
        <stp>BDH|2540565483993087603</stp>
        <tr r="F61" s="18"/>
      </tp>
      <tp t="e">
        <v>#N/A</v>
        <stp/>
        <stp>BDH|3791805271967268141</stp>
        <tr r="P34" s="26"/>
      </tp>
      <tp t="e">
        <v>#N/A</v>
        <stp/>
        <stp>BDH|3868993087011164971</stp>
        <tr r="K57" s="18"/>
      </tp>
      <tp t="e">
        <v>#N/A</v>
        <stp/>
        <stp>BDH|9748491978460453021</stp>
        <tr r="N12" s="20"/>
        <tr r="N113" s="18"/>
      </tp>
      <tp t="e">
        <v>#N/A</v>
        <stp/>
        <stp>BDH|4589879241785363705</stp>
        <tr r="F23" s="10"/>
      </tp>
      <tp t="e">
        <v>#N/A</v>
        <stp/>
        <stp>BDH|9692366201531193106</stp>
        <tr r="M39" s="22"/>
      </tp>
      <tp t="e">
        <v>#N/A</v>
        <stp/>
        <stp>BDH|8320573962956580735</stp>
        <tr r="S64" s="18"/>
      </tp>
      <tp t="e">
        <v>#N/A</v>
        <stp/>
        <stp>BDH|3568229836761688975</stp>
        <tr r="E26" s="6"/>
      </tp>
      <tp t="e">
        <v>#N/A</v>
        <stp/>
        <stp>BDH|5521042113076342810</stp>
        <tr r="M9" s="29"/>
      </tp>
      <tp t="e">
        <v>#N/A</v>
        <stp/>
        <stp>BDH|9611893704803870839</stp>
        <tr r="Z46" s="22"/>
      </tp>
      <tp t="e">
        <v>#N/A</v>
        <stp/>
        <stp>BDH|1595658670232930894</stp>
        <tr r="E67" s="17"/>
        <tr r="E18" s="3"/>
      </tp>
      <tp t="e">
        <v>#N/A</v>
        <stp/>
        <stp>BDH|1547943708325173784</stp>
        <tr r="O6" s="20"/>
        <tr r="O108" s="18"/>
      </tp>
      <tp t="e">
        <v>#N/A</v>
        <stp/>
        <stp>BDH|4163754195691061114</stp>
        <tr r="C40" s="29"/>
      </tp>
      <tp t="e">
        <v>#N/A</v>
        <stp/>
        <stp>BDH|7646808126711531650</stp>
        <tr r="C7" s="2"/>
        <tr r="E14" s="3"/>
      </tp>
      <tp t="e">
        <v>#N/A</v>
        <stp/>
        <stp>BDH|4519204459958958151</stp>
        <tr r="N39" s="18"/>
      </tp>
      <tp t="e">
        <v>#N/A</v>
        <stp/>
        <stp>BDH|4171918370486164615</stp>
        <tr r="I9" s="26"/>
      </tp>
      <tp t="e">
        <v>#N/A</v>
        <stp/>
        <stp>BDH|9174233076563098540</stp>
        <tr r="H9" s="21"/>
      </tp>
      <tp t="e">
        <v>#N/A</v>
        <stp/>
        <stp>BDH|3448671111848619647</stp>
        <tr r="Z14" s="22"/>
      </tp>
      <tp t="e">
        <v>#N/A</v>
        <stp/>
        <stp>BDH|8706318537362020013</stp>
        <tr r="W34" s="6"/>
      </tp>
      <tp t="e">
        <v>#N/A</v>
        <stp/>
        <stp>BDH|8015504353933165120</stp>
        <tr r="R81" s="12"/>
      </tp>
      <tp t="e">
        <v>#N/A</v>
        <stp/>
        <stp>BDH|7479652768824013996</stp>
        <tr r="O48" s="34"/>
      </tp>
      <tp t="e">
        <v>#N/A</v>
        <stp/>
        <stp>BDH|7260875645724602569</stp>
        <tr r="W23" s="9"/>
      </tp>
      <tp t="e">
        <v>#N/A</v>
        <stp/>
        <stp>BDH|6764471293395399401</stp>
        <tr r="P19" s="25"/>
      </tp>
      <tp t="e">
        <v>#N/A</v>
        <stp/>
        <stp>BDH|2349468490654317167</stp>
        <tr r="L49" s="24"/>
      </tp>
      <tp t="e">
        <v>#N/A</v>
        <stp/>
        <stp>BDH|1342351989128790881</stp>
        <tr r="F62" s="11"/>
        <tr r="F70" s="10"/>
      </tp>
      <tp t="e">
        <v>#N/A</v>
        <stp/>
        <stp>BDH|8526434015754099334</stp>
        <tr r="P62" s="12"/>
      </tp>
      <tp t="e">
        <v>#N/A</v>
        <stp/>
        <stp>BDH|5941322958291424879</stp>
        <tr r="AA37" s="26"/>
      </tp>
      <tp t="e">
        <v>#N/A</v>
        <stp/>
        <stp>BDH|5685272784420270576</stp>
        <tr r="P43" s="13"/>
      </tp>
      <tp t="e">
        <v>#N/A</v>
        <stp/>
        <stp>BDH|3216697889994768356</stp>
        <tr r="O10" s="10"/>
      </tp>
      <tp t="e">
        <v>#N/A</v>
        <stp/>
        <stp>BDH|5151115130898051502</stp>
        <tr r="E18" s="21"/>
        <tr r="C23" s="2"/>
        <tr r="E23" s="3"/>
      </tp>
      <tp t="e">
        <v>#N/A</v>
        <stp/>
        <stp>BDH|8887865199797437437</stp>
        <tr r="C40" s="34"/>
      </tp>
      <tp t="e">
        <v>#N/A</v>
        <stp/>
        <stp>BDH|5017929434390013564</stp>
        <tr r="L11" s="29"/>
      </tp>
      <tp t="e">
        <v>#N/A</v>
        <stp/>
        <stp>BDH|7349321697535068277</stp>
        <tr r="C102" s="12"/>
      </tp>
      <tp t="e">
        <v>#N/A</v>
        <stp/>
        <stp>BDH|3351282414602990879</stp>
        <tr r="Q19" s="13"/>
        <tr r="O61" s="10"/>
        <tr r="O16" s="2"/>
        <tr r="O32" s="4"/>
      </tp>
      <tp t="e">
        <v>#N/A</v>
        <stp/>
        <stp>BDH|5153957676085152426</stp>
        <tr r="H19" s="23"/>
        <tr r="F59" s="11"/>
      </tp>
      <tp t="e">
        <v>#N/A</v>
        <stp/>
        <stp>BDH|4633096777339955003</stp>
        <tr r="O43" s="4"/>
      </tp>
      <tp t="e">
        <v>#N/A</v>
        <stp/>
        <stp>BDH|4230907505477254047</stp>
        <tr r="L16" s="18"/>
      </tp>
      <tp t="e">
        <v>#N/A</v>
        <stp/>
        <stp>BDH|5117050674629973182</stp>
        <tr r="Z91" s="18"/>
      </tp>
      <tp t="e">
        <v>#N/A</v>
        <stp/>
        <stp>BDH|6344917374680027275</stp>
        <tr r="V174" s="18"/>
      </tp>
      <tp t="e">
        <v>#N/A</v>
        <stp/>
        <stp>BDH|9816410816054910272</stp>
        <tr r="Q71" s="18"/>
      </tp>
      <tp t="e">
        <v>#N/A</v>
        <stp/>
        <stp>BDH|1790135475505489844</stp>
        <tr r="F70" s="24"/>
      </tp>
      <tp t="e">
        <v>#N/A</v>
        <stp/>
        <stp>BDH|3452904423587620503</stp>
        <tr r="K166" s="18"/>
      </tp>
      <tp t="e">
        <v>#N/A</v>
        <stp/>
        <stp>BDH|3130175372999385662</stp>
        <tr r="T8" s="12"/>
      </tp>
      <tp t="e">
        <v>#N/A</v>
        <stp/>
        <stp>BDH|6152514011051312934</stp>
        <tr r="Q30" s="11"/>
        <tr r="Q38" s="10"/>
      </tp>
      <tp t="e">
        <v>#N/A</v>
        <stp/>
        <stp>BDH|6979072386677014396</stp>
        <tr r="X58" s="21"/>
        <tr r="X37" s="25"/>
        <tr r="V53" s="11"/>
        <tr r="V31" s="4"/>
      </tp>
      <tp t="e">
        <v>#N/A</v>
        <stp/>
        <stp>BDH|6496419117778724142</stp>
        <tr r="P29" s="17"/>
      </tp>
      <tp t="e">
        <v>#N/A</v>
        <stp/>
        <stp>BDH|4367557825318516174</stp>
        <tr r="H33" s="13"/>
        <tr r="F29" s="10"/>
      </tp>
      <tp t="e">
        <v>#N/A</v>
        <stp/>
        <stp>BDH|1561862258164241287</stp>
        <tr r="Z35" s="24"/>
      </tp>
      <tp t="e">
        <v>#N/A</v>
        <stp/>
        <stp>BDH|4414148901806358932</stp>
        <tr r="J27" s="17"/>
      </tp>
      <tp t="e">
        <v>#N/A</v>
        <stp/>
        <stp>BDH|9036659384479517459</stp>
        <tr r="P16" s="26"/>
      </tp>
      <tp t="e">
        <v>#N/A</v>
        <stp/>
        <stp>BDH|1287919111360603354</stp>
        <tr r="Y12" s="18"/>
      </tp>
      <tp t="e">
        <v>#N/A</v>
        <stp/>
        <stp>BDH|8777035231103166253</stp>
        <tr r="J78" s="24"/>
      </tp>
      <tp t="e">
        <v>#N/A</v>
        <stp/>
        <stp>BDH|9009432884249319657</stp>
        <tr r="W53" s="13"/>
      </tp>
      <tp t="e">
        <v>#N/A</v>
        <stp/>
        <stp>BDH|7039436187028457916</stp>
        <tr r="W75" s="18"/>
      </tp>
      <tp t="e">
        <v>#N/A</v>
        <stp/>
        <stp>BDH|7355874159260527098</stp>
        <tr r="X94" s="17"/>
      </tp>
      <tp t="e">
        <v>#N/A</v>
        <stp/>
        <stp>BDH|7081212521379323423</stp>
        <tr r="V29" s="6"/>
      </tp>
      <tp t="e">
        <v>#N/A</v>
        <stp/>
        <stp>BDH|7297449607811352835</stp>
        <tr r="D39" s="17"/>
      </tp>
      <tp t="e">
        <v>#N/A</v>
        <stp/>
        <stp>BDH|1156368295630731143</stp>
        <tr r="W124" s="18"/>
      </tp>
      <tp t="e">
        <v>#N/A</v>
        <stp/>
        <stp>BDH|3297964948543568785</stp>
        <tr r="R9" s="13"/>
      </tp>
      <tp t="e">
        <v>#N/A</v>
        <stp/>
        <stp>BDH|2814681796925655216</stp>
        <tr r="C12" s="12"/>
      </tp>
      <tp t="e">
        <v>#N/A</v>
        <stp/>
        <stp>BDH|2437701331128103459</stp>
        <tr r="O14" s="18"/>
      </tp>
      <tp t="e">
        <v>#N/A</v>
        <stp/>
        <stp>BDH|7086367494581786648</stp>
        <tr r="K13" s="20"/>
        <tr r="K114" s="18"/>
      </tp>
      <tp t="e">
        <v>#N/A</v>
        <stp/>
        <stp>BDH|5852117183565887332</stp>
        <tr r="N11" s="6"/>
      </tp>
      <tp t="e">
        <v>#N/A</v>
        <stp/>
        <stp>BDH|1570363384186004668</stp>
        <tr r="X18" s="18"/>
      </tp>
      <tp t="e">
        <v>#N/A</v>
        <stp/>
        <stp>BDH|1409503769610586890</stp>
        <tr r="X178" s="18"/>
      </tp>
      <tp t="e">
        <v>#N/A</v>
        <stp/>
        <stp>BDH|6928080096780790510</stp>
        <tr r="O27" s="26"/>
      </tp>
      <tp t="e">
        <v>#N/A</v>
        <stp/>
        <stp>BDH|8247978046516266903</stp>
        <tr r="Q76" s="17"/>
        <tr r="N9" s="9"/>
        <tr r="N9" s="5"/>
      </tp>
      <tp t="e">
        <v>#N/A</v>
        <stp/>
        <stp>BDH|1362025989215092694</stp>
        <tr r="S85" s="12"/>
      </tp>
      <tp t="e">
        <v>#N/A</v>
        <stp/>
        <stp>BDH|9882542012577731083</stp>
        <tr r="W8" s="24"/>
      </tp>
      <tp t="e">
        <v>#N/A</v>
        <stp/>
        <stp>BDH|9819011000547982413</stp>
        <tr r="AA38" s="17"/>
      </tp>
      <tp t="e">
        <v>#N/A</v>
        <stp/>
        <stp>BDH|9653721524151266742</stp>
        <tr r="M20" s="27"/>
      </tp>
      <tp t="e">
        <v>#N/A</v>
        <stp/>
        <stp>BDH|2183816224206191434</stp>
        <tr r="U85" s="12"/>
      </tp>
      <tp t="e">
        <v>#N/A</v>
        <stp/>
        <stp>BDH|9532098848691281604</stp>
        <tr r="O8" s="25"/>
        <tr r="L10" s="5"/>
        <tr r="M9" s="2"/>
      </tp>
      <tp t="e">
        <v>#N/A</v>
        <stp/>
        <stp>BDH|6713439773026198900</stp>
        <tr r="N64" s="21"/>
        <tr r="L23" s="7"/>
      </tp>
      <tp t="e">
        <v>#N/A</v>
        <stp/>
        <stp>BDH|9212813894616105405</stp>
        <tr r="S165" s="18"/>
      </tp>
      <tp t="e">
        <v>#N/A</v>
        <stp/>
        <stp>BDH|2331430317128014513</stp>
        <tr r="T35" s="29"/>
        <tr r="T15" s="29"/>
      </tp>
      <tp t="e">
        <v>#N/A</v>
        <stp/>
        <stp>BDH|2721201358657000895</stp>
        <tr r="O63" s="10"/>
      </tp>
      <tp t="e">
        <v>#N/A</v>
        <stp/>
        <stp>BDH|8217329730265736719</stp>
        <tr r="U67" s="10"/>
      </tp>
      <tp t="e">
        <v>#N/A</v>
        <stp/>
        <stp>BDH|4166485098331719201</stp>
        <tr r="X41" s="10"/>
        <tr r="X33" s="11"/>
      </tp>
      <tp t="e">
        <v>#N/A</v>
        <stp/>
        <stp>BDH|6056863633590561765</stp>
        <tr r="O77" s="18"/>
      </tp>
      <tp t="e">
        <v>#N/A</v>
        <stp/>
        <stp>BDH|3282089768438163750</stp>
        <tr r="AA12" s="27"/>
        <tr r="AA26" s="25"/>
      </tp>
      <tp t="e">
        <v>#N/A</v>
        <stp/>
        <stp>BDH|9809108927927963704</stp>
        <tr r="W44" s="17"/>
      </tp>
      <tp t="e">
        <v>#N/A</v>
        <stp/>
        <stp>BDH|4330703692225426533</stp>
        <tr r="AA25" s="26"/>
      </tp>
      <tp t="e">
        <v>#N/A</v>
        <stp/>
        <stp>BDH|3285021851165698912</stp>
        <tr r="L71" s="12"/>
      </tp>
      <tp t="e">
        <v>#N/A</v>
        <stp/>
        <stp>BDH|5283597001893805944</stp>
        <tr r="H22" s="24"/>
      </tp>
      <tp t="e">
        <v>#N/A</v>
        <stp/>
        <stp>BDH|3009609021208591521</stp>
        <tr r="H85" s="12"/>
      </tp>
      <tp t="e">
        <v>#N/A</v>
        <stp/>
        <stp>BDH|8479772814777319321</stp>
        <tr r="Z100" s="18"/>
      </tp>
      <tp t="e">
        <v>#N/A</v>
        <stp/>
        <stp>BDH|3856580871202636916</stp>
        <tr r="J83" s="17"/>
      </tp>
      <tp t="e">
        <v>#N/A</v>
        <stp/>
        <stp>BDH|4260110997767558171</stp>
        <tr r="Y11" s="22"/>
      </tp>
      <tp t="e">
        <v>#N/A</v>
        <stp/>
        <stp>BDH|1332344933959790252</stp>
        <tr r="C38" s="25"/>
      </tp>
      <tp t="e">
        <v>#N/A</v>
        <stp/>
        <stp>BDH|8340880095122948114</stp>
        <tr r="K59" s="13"/>
      </tp>
      <tp t="e">
        <v>#N/A</v>
        <stp/>
        <stp>BDH|6586180886371859459</stp>
        <tr r="I23" s="6"/>
      </tp>
      <tp t="e">
        <v>#N/A</v>
        <stp/>
        <stp>BDH|7682830809756912339</stp>
        <tr r="R55" s="11"/>
      </tp>
      <tp t="e">
        <v>#N/A</v>
        <stp/>
        <stp>BDH|5666772663487512916</stp>
        <tr r="V19" s="5"/>
        <tr r="V43" s="6"/>
      </tp>
      <tp t="e">
        <v>#N/A</v>
        <stp/>
        <stp>BDH|3122888409849717815</stp>
        <tr r="U12" s="17"/>
      </tp>
      <tp t="e">
        <v>#N/A</v>
        <stp/>
        <stp>BDH|4209394631776566893</stp>
        <tr r="J45" s="17"/>
      </tp>
      <tp t="e">
        <v>#N/A</v>
        <stp/>
        <stp>BDH|2333621897176937196</stp>
        <tr r="S98" s="12"/>
      </tp>
      <tp t="e">
        <v>#N/A</v>
        <stp/>
        <stp>BDH|5782072112726213867</stp>
        <tr r="G160" s="18"/>
      </tp>
      <tp t="e">
        <v>#N/A</v>
        <stp/>
        <stp>BDH|3146288745499847627</stp>
        <tr r="C70" s="18"/>
      </tp>
      <tp t="e">
        <v>#N/A</v>
        <stp/>
        <stp>BDH|8009489275876294795</stp>
        <tr r="X9" s="26"/>
      </tp>
      <tp t="e">
        <v>#N/A</v>
        <stp/>
        <stp>BDH|1384069727949220066</stp>
        <tr r="Z10" s="23"/>
      </tp>
      <tp t="e">
        <v>#N/A</v>
        <stp/>
        <stp>BDH|6302000655818254121</stp>
        <tr r="P15" s="11"/>
      </tp>
      <tp t="e">
        <v>#N/A</v>
        <stp/>
        <stp>BDH|2232772191711639749</stp>
        <tr r="G16" s="20"/>
      </tp>
      <tp t="e">
        <v>#N/A</v>
        <stp/>
        <stp>BDH|3189086839209401323</stp>
        <tr r="K38" s="18"/>
      </tp>
      <tp t="e">
        <v>#N/A</v>
        <stp/>
        <stp>BDH|9301786850034597580</stp>
        <tr r="D75" s="12"/>
      </tp>
      <tp t="e">
        <v>#N/A</v>
        <stp/>
        <stp>BDH|1994686144490616955</stp>
        <tr r="C16" s="26"/>
      </tp>
      <tp t="e">
        <v>#N/A</v>
        <stp/>
        <stp>BDH|9379738063643372160</stp>
        <tr r="W29" s="34"/>
      </tp>
      <tp t="e">
        <v>#N/A</v>
        <stp/>
        <stp>BDH|8870610947228022889</stp>
        <tr r="Z61" s="18"/>
      </tp>
      <tp t="e">
        <v>#N/A</v>
        <stp/>
        <stp>BDH|3693631238519390595</stp>
        <tr r="X11" s="12"/>
      </tp>
      <tp t="e">
        <v>#N/A</v>
        <stp/>
        <stp>BDH|9007534103505017371</stp>
        <tr r="S10" s="27"/>
        <tr r="S25" s="25"/>
      </tp>
      <tp t="e">
        <v>#N/A</v>
        <stp/>
        <stp>BDH|9948063628626122712</stp>
        <tr r="C9" s="23"/>
      </tp>
      <tp t="e">
        <v>#N/A</v>
        <stp/>
        <stp>BDH|6317955474791343366</stp>
        <tr r="E25" s="17"/>
      </tp>
      <tp t="e">
        <v>#N/A</v>
        <stp/>
        <stp>BDH|2393889019117616630</stp>
        <tr r="P67" s="18"/>
      </tp>
      <tp t="e">
        <v>#N/A</v>
        <stp/>
        <stp>BDH|3340027354938021428</stp>
        <tr r="I10" s="13"/>
      </tp>
      <tp t="e">
        <v>#N/A</v>
        <stp/>
        <stp>BDH|6631934373541454357</stp>
        <tr r="H19" s="9"/>
      </tp>
      <tp t="e">
        <v>#N/A</v>
        <stp/>
        <stp>BDH|2044312013668717222</stp>
        <tr r="L28" s="34"/>
      </tp>
      <tp t="e">
        <v>#N/A</v>
        <stp/>
        <stp>BDH|3319818200241209078</stp>
        <tr r="U57" s="17"/>
      </tp>
      <tp t="e">
        <v>#N/A</v>
        <stp/>
        <stp>BDH|6010212376750760971</stp>
        <tr r="U7" s="23"/>
      </tp>
      <tp t="e">
        <v>#N/A</v>
        <stp/>
        <stp>BDH|9431009250083304509</stp>
        <tr r="K62" s="21"/>
      </tp>
      <tp t="e">
        <v>#N/A</v>
        <stp/>
        <stp>BDH|6128186059791752904</stp>
        <tr r="D12" s="10"/>
      </tp>
      <tp t="e">
        <v>#N/A</v>
        <stp/>
        <stp>BDH|2181048091299611856</stp>
        <tr r="S61" s="17"/>
      </tp>
      <tp t="e">
        <v>#N/A</v>
        <stp/>
        <stp>BDH|2312171102000953981</stp>
        <tr r="AA8" s="17"/>
      </tp>
      <tp t="e">
        <v>#N/A</v>
        <stp/>
        <stp>BDH|2001532896001051523</stp>
        <tr r="X102" s="12"/>
      </tp>
      <tp t="e">
        <v>#N/A</v>
        <stp/>
        <stp>BDH|8790018120418104802</stp>
        <tr r="N22" s="11"/>
      </tp>
      <tp t="e">
        <v>#N/A</v>
        <stp/>
        <stp>BDH|9668056136552050227</stp>
        <tr r="G36" s="4"/>
      </tp>
      <tp t="e">
        <v>#N/A</v>
        <stp/>
        <stp>BDH|6187644200988235201</stp>
        <tr r="I9" s="34"/>
      </tp>
      <tp t="e">
        <v>#N/A</v>
        <stp/>
        <stp>BDH|1709339202839073111</stp>
        <tr r="Z160" s="18"/>
      </tp>
      <tp t="e">
        <v>#N/A</v>
        <stp/>
        <stp>BDH|3770992308975998583</stp>
        <tr r="Z8" s="14"/>
      </tp>
      <tp t="e">
        <v>#N/A</v>
        <stp/>
        <stp>BDH|5432028995714532219</stp>
        <tr r="M71" s="18"/>
      </tp>
      <tp t="e">
        <v>#N/A</v>
        <stp/>
        <stp>BDH|6378403360517142953</stp>
        <tr r="O37" s="21"/>
        <tr r="O24" s="3"/>
      </tp>
      <tp t="e">
        <v>#N/A</v>
        <stp/>
        <stp>BDH|5878025548073451811</stp>
        <tr r="AA76" s="12"/>
      </tp>
      <tp t="e">
        <v>#N/A</v>
        <stp/>
        <stp>BDH|4815525089770126358</stp>
        <tr r="F66" s="34"/>
      </tp>
      <tp t="e">
        <v>#N/A</v>
        <stp/>
        <stp>BDH|3403922247586094267</stp>
        <tr r="N7" s="17"/>
      </tp>
      <tp t="e">
        <v>#N/A</v>
        <stp/>
        <stp>BDH|5017433843626771908</stp>
        <tr r="Y17" s="22"/>
      </tp>
      <tp t="e">
        <v>#N/A</v>
        <stp/>
        <stp>BDH|5191855416142675430</stp>
        <tr r="M9" s="6"/>
      </tp>
      <tp t="e">
        <v>#N/A</v>
        <stp/>
        <stp>BDH|8412379852242298649</stp>
        <tr r="H27" s="18"/>
      </tp>
      <tp t="e">
        <v>#N/A</v>
        <stp/>
        <stp>BDH|1947587623334525808</stp>
        <tr r="I64" s="18"/>
      </tp>
      <tp t="e">
        <v>#N/A</v>
        <stp/>
        <stp>BDH|2632451220407140958</stp>
        <tr r="P59" s="13"/>
      </tp>
      <tp t="e">
        <v>#N/A</v>
        <stp/>
        <stp>BDH|4551759234043190928</stp>
        <tr r="N7" s="34"/>
      </tp>
      <tp t="e">
        <v>#N/A</v>
        <stp/>
        <stp>BDH|5874496326368490146</stp>
        <tr r="E52" s="17"/>
        <tr r="E17" s="3"/>
      </tp>
      <tp t="e">
        <v>#N/A</v>
        <stp/>
        <stp>BDH|6937667465494487895</stp>
        <tr r="X106" s="18"/>
      </tp>
      <tp t="e">
        <v>#N/A</v>
        <stp/>
        <stp>BDH|6389892935221001684</stp>
        <tr r="K23" s="9"/>
      </tp>
      <tp t="e">
        <v>#N/A</v>
        <stp/>
        <stp>BDH|1311538667621739970</stp>
        <tr r="M62" s="34"/>
      </tp>
      <tp t="e">
        <v>#N/A</v>
        <stp/>
        <stp>BDH|2324915647961158434</stp>
        <tr r="W7" s="21"/>
      </tp>
      <tp t="e">
        <v>#N/A</v>
        <stp/>
        <stp>BDH|8624308756135605115</stp>
        <tr r="X9" s="10"/>
      </tp>
      <tp t="e">
        <v>#N/A</v>
        <stp/>
        <stp>BDH|3011870723847672450</stp>
        <tr r="Y104" s="12"/>
      </tp>
      <tp t="e">
        <v>#N/A</v>
        <stp/>
        <stp>BDH|8967900940756795996</stp>
        <tr r="O13" s="11"/>
      </tp>
      <tp t="e">
        <v>#N/A</v>
        <stp/>
        <stp>BDH|9980571209511644759</stp>
        <tr r="AA18" s="12"/>
      </tp>
      <tp t="e">
        <v>#N/A</v>
        <stp/>
        <stp>BDH|9416611203992711759</stp>
        <tr r="W39" s="22"/>
      </tp>
      <tp t="e">
        <v>#N/A</v>
        <stp/>
        <stp>BDH|6514029901175282900</stp>
        <tr r="E23" s="11"/>
      </tp>
      <tp t="e">
        <v>#N/A</v>
        <stp/>
        <stp>BDH|7744268771980203864</stp>
        <tr r="Q60" s="11"/>
      </tp>
      <tp t="e">
        <v>#N/A</v>
        <stp/>
        <stp>BDH|6029980557030374084</stp>
        <tr r="X37" s="29"/>
        <tr r="X17" s="29"/>
      </tp>
      <tp t="e">
        <v>#N/A</v>
        <stp/>
        <stp>BDH|8987700281975493888</stp>
        <tr r="E9" s="34"/>
      </tp>
      <tp t="e">
        <v>#N/A</v>
        <stp/>
        <stp>BDH|2995097168608489680</stp>
        <tr r="AA94" s="12"/>
      </tp>
      <tp t="e">
        <v>#N/A</v>
        <stp/>
        <stp>BDH|8647494225733748793</stp>
        <tr r="J99" s="18"/>
      </tp>
      <tp t="e">
        <v>#N/A</v>
        <stp/>
        <stp>BDH|6511924532867387126</stp>
        <tr r="P111" s="12"/>
      </tp>
      <tp t="e">
        <v>#N/A</v>
        <stp/>
        <stp>BDH|1769536562521173931</stp>
        <tr r="M13" s="20"/>
        <tr r="M114" s="18"/>
      </tp>
      <tp t="e">
        <v>#N/A</v>
        <stp/>
        <stp>BDH|6662477831132230961</stp>
        <tr r="K23" s="23"/>
      </tp>
      <tp t="e">
        <v>#N/A</v>
        <stp/>
        <stp>BDH|9233433553654164675</stp>
        <tr r="J58" s="34"/>
      </tp>
      <tp t="e">
        <v>#N/A</v>
        <stp/>
        <stp>BDH|9451007074080228465</stp>
        <tr r="O26" s="13"/>
        <tr r="O16" s="13"/>
        <tr r="M18" s="10"/>
      </tp>
      <tp t="e">
        <v>#N/A</v>
        <stp/>
        <stp>BDH|5465095276348778083</stp>
        <tr r="Z59" s="13"/>
      </tp>
      <tp t="e">
        <v>#N/A</v>
        <stp/>
        <stp>BDH|6674528556255026968</stp>
        <tr r="O30" s="34"/>
      </tp>
      <tp t="e">
        <v>#N/A</v>
        <stp/>
        <stp>BDH|3592118158258958511</stp>
        <tr r="M16" s="12"/>
      </tp>
      <tp t="e">
        <v>#N/A</v>
        <stp/>
        <stp>BDH|4327403196412049116</stp>
        <tr r="H108" s="12"/>
      </tp>
      <tp t="e">
        <v>#N/A</v>
        <stp/>
        <stp>BDH|4835382210339740530</stp>
        <tr r="Y45" s="12"/>
      </tp>
      <tp t="e">
        <v>#N/A</v>
        <stp/>
        <stp>BDH|8290270864893417516</stp>
        <tr r="V17" s="14"/>
      </tp>
      <tp t="e">
        <v>#N/A</v>
        <stp/>
        <stp>BDH|3640875946075479070</stp>
        <tr r="K63" s="24"/>
      </tp>
      <tp t="e">
        <v>#N/A</v>
        <stp/>
        <stp>BDH|2590904785459128052</stp>
        <tr r="X24" s="6"/>
      </tp>
      <tp t="e">
        <v>#N/A</v>
        <stp/>
        <stp>BDH|5623039795475568310</stp>
        <tr r="R159" s="18"/>
      </tp>
      <tp t="e">
        <v>#N/A</v>
        <stp/>
        <stp>BDH|4683846078608860966</stp>
        <tr r="R124" s="18"/>
      </tp>
      <tp t="e">
        <v>#N/A</v>
        <stp/>
        <stp>BDH|5822181236695140839</stp>
        <tr r="I33" s="21"/>
      </tp>
      <tp t="e">
        <v>#N/A</v>
        <stp/>
        <stp>BDH|3327158652209311433</stp>
        <tr r="M21" s="24"/>
      </tp>
      <tp t="e">
        <v>#N/A</v>
        <stp/>
        <stp>BDH|5298608280253591230</stp>
        <tr r="AA60" s="17"/>
      </tp>
      <tp t="e">
        <v>#N/A</v>
        <stp/>
        <stp>BDH|8766502796856232872</stp>
        <tr r="O100" s="18"/>
      </tp>
      <tp t="e">
        <v>#N/A</v>
        <stp/>
        <stp>BDH|8763630046943740316</stp>
        <tr r="S12" s="11"/>
      </tp>
      <tp t="e">
        <v>#N/A</v>
        <stp/>
        <stp>BDH|1178948555584064341</stp>
        <tr r="L31" s="11"/>
        <tr r="L39" s="10"/>
      </tp>
      <tp t="e">
        <v>#N/A</v>
        <stp/>
        <stp>BDH|7315041490312363608</stp>
        <tr r="Z9" s="26"/>
      </tp>
      <tp t="e">
        <v>#N/A</v>
        <stp/>
        <stp>BDH|7458777674744196921</stp>
        <tr r="Q67" s="10"/>
      </tp>
      <tp t="e">
        <v>#N/A</v>
        <stp/>
        <stp>BDH|6049869348811803128</stp>
        <tr r="Z8" s="24"/>
      </tp>
      <tp t="e">
        <v>#N/A</v>
        <stp/>
        <stp>BDH|2539810137257288455</stp>
        <tr r="Z65" s="17"/>
      </tp>
      <tp t="e">
        <v>#N/A</v>
        <stp/>
        <stp>BDH|6330011532056781936</stp>
        <tr r="E52" s="12"/>
      </tp>
      <tp t="e">
        <v>#N/A</v>
        <stp/>
        <stp>BDH|1873739721388774696</stp>
        <tr r="L25" s="26"/>
      </tp>
      <tp t="e">
        <v>#N/A</v>
        <stp/>
        <stp>BDH|8025587940276933558</stp>
        <tr r="N16" s="34"/>
      </tp>
      <tp t="e">
        <v>#N/A</v>
        <stp/>
        <stp>BDH|2690516081227070225</stp>
        <tr r="E9" s="24"/>
      </tp>
      <tp t="e">
        <v>#N/A</v>
        <stp/>
        <stp>BDH|3079857923640516378</stp>
        <tr r="D57" s="18"/>
      </tp>
      <tp t="e">
        <v>#N/A</v>
        <stp/>
        <stp>BDH|3702487984330981563</stp>
        <tr r="K13" s="7"/>
      </tp>
      <tp t="e">
        <v>#N/A</v>
        <stp/>
        <stp>BDH|2589052963146725807</stp>
        <tr r="C75" s="17"/>
      </tp>
      <tp t="e">
        <v>#N/A</v>
        <stp/>
        <stp>BDH|2521528771413435963</stp>
        <tr r="P76" s="18"/>
      </tp>
      <tp t="e">
        <v>#N/A</v>
        <stp/>
        <stp>BDH|5587403111488163217</stp>
        <tr r="D38" s="18"/>
      </tp>
      <tp t="e">
        <v>#N/A</v>
        <stp/>
        <stp>BDH|3500931956684607136</stp>
        <tr r="K30" s="17"/>
      </tp>
      <tp t="e">
        <v>#N/A</v>
        <stp/>
        <stp>BDH|1870695393373759705</stp>
        <tr r="W62" s="17"/>
      </tp>
      <tp t="e">
        <v>#N/A</v>
        <stp/>
        <stp>BDH|5924448887991828270</stp>
        <tr r="K67" s="34"/>
      </tp>
      <tp t="e">
        <v>#N/A</v>
        <stp/>
        <stp>BDH|3353532134607652874</stp>
        <tr r="M21" s="21"/>
      </tp>
      <tp t="e">
        <v>#N/A</v>
        <stp/>
        <stp>BDH|5053009262068195165</stp>
        <tr r="Z107" s="12"/>
      </tp>
      <tp t="e">
        <v>#N/A</v>
        <stp/>
        <stp>BDH|5445982128037945382</stp>
        <tr r="V32" s="17"/>
      </tp>
      <tp t="e">
        <v>#N/A</v>
        <stp/>
        <stp>BDH|3539860735042033032</stp>
        <tr r="N26" s="6"/>
      </tp>
      <tp t="e">
        <v>#N/A</v>
        <stp/>
        <stp>BDH|7328367156788698309</stp>
        <tr r="I39" s="29"/>
        <tr r="I31" s="29"/>
        <tr r="H52" s="6"/>
        <tr r="H11" s="5"/>
        <tr r="I10" s="2"/>
      </tp>
      <tp t="e">
        <v>#N/A</v>
        <stp/>
        <stp>BDH|3339874220930352329</stp>
        <tr r="Z178" s="18"/>
      </tp>
      <tp t="e">
        <v>#N/A</v>
        <stp/>
        <stp>BDH|8192602328903867541</stp>
        <tr r="K14" s="30"/>
      </tp>
      <tp t="e">
        <v>#N/A</v>
        <stp/>
        <stp>BDH|7530711891070160311</stp>
        <tr r="P56" s="34"/>
      </tp>
      <tp t="e">
        <v>#N/A</v>
        <stp/>
        <stp>BDH|1246114099444806770</stp>
        <tr r="S73" s="17"/>
      </tp>
      <tp t="e">
        <v>#N/A</v>
        <stp/>
        <stp>BDH|4314316812108068454</stp>
        <tr r="X52" s="17"/>
        <tr r="X17" s="3"/>
      </tp>
      <tp t="e">
        <v>#N/A</v>
        <stp/>
        <stp>BDH|5805240981092861702</stp>
        <tr r="C63" s="10"/>
      </tp>
      <tp t="e">
        <v>#N/A</v>
        <stp/>
        <stp>BDH|8712332107121000066</stp>
        <tr r="S40" s="29"/>
      </tp>
      <tp t="e">
        <v>#N/A</v>
        <stp/>
        <stp>BDH|9226055325522316347</stp>
        <tr r="S7" s="9"/>
        <tr r="S7" s="5"/>
        <tr r="T7" s="2"/>
        <tr r="V14" s="3"/>
      </tp>
      <tp t="e">
        <v>#N/A</v>
        <stp/>
        <stp>BDH|8912458918963303424</stp>
        <tr r="I28" s="18"/>
      </tp>
      <tp t="e">
        <v>#N/A</v>
        <stp/>
        <stp>BDH|3327973272085732246</stp>
        <tr r="I45" s="22"/>
      </tp>
      <tp t="e">
        <v>#N/A</v>
        <stp/>
        <stp>BDH|5304289136986006884</stp>
        <tr r="M28" s="34"/>
      </tp>
      <tp t="e">
        <v>#N/A</v>
        <stp/>
        <stp>BDH|7300108378373894865</stp>
        <tr r="Y75" s="17"/>
      </tp>
      <tp t="e">
        <v>#N/A</v>
        <stp/>
        <stp>BDH|1610631961678847395</stp>
        <tr r="G166" s="18"/>
      </tp>
      <tp t="e">
        <v>#N/A</v>
        <stp/>
        <stp>BDH|4949407278478025542</stp>
        <tr r="J68" s="34"/>
      </tp>
      <tp t="e">
        <v>#N/A</v>
        <stp/>
        <stp>BDH|2755384655669993768</stp>
        <tr r="G9" s="20"/>
        <tr r="G111" s="18"/>
      </tp>
      <tp t="e">
        <v>#N/A</v>
        <stp/>
        <stp>BDH|5579438912893245935</stp>
        <tr r="AA24" s="23"/>
        <tr r="AA21" s="30"/>
      </tp>
      <tp t="e">
        <v>#N/A</v>
        <stp/>
        <stp>BDH|3248894317870071099</stp>
        <tr r="R61" s="12"/>
      </tp>
      <tp t="e">
        <v>#N/A</v>
        <stp/>
        <stp>BDH|9490578660976294648</stp>
        <tr r="F156" s="18"/>
      </tp>
      <tp t="e">
        <v>#N/A</v>
        <stp/>
        <stp>BDH|1317619411538534436</stp>
        <tr r="S6" s="8"/>
        <tr r="Q48" s="6"/>
      </tp>
      <tp t="e">
        <v>#N/A</v>
        <stp/>
        <stp>BDH|1006069851478708655</stp>
        <tr r="J148" s="18"/>
      </tp>
      <tp t="e">
        <v>#N/A</v>
        <stp/>
        <stp>BDH|9232070724663182255</stp>
        <tr r="Y41" s="12"/>
      </tp>
      <tp t="e">
        <v>#N/A</v>
        <stp/>
        <stp>BDH|5054400796244588667</stp>
        <tr r="T73" s="18"/>
      </tp>
      <tp t="e">
        <v>#N/A</v>
        <stp/>
        <stp>BDH|8746055312845174645</stp>
        <tr r="J14" s="18"/>
      </tp>
      <tp t="e">
        <v>#N/A</v>
        <stp/>
        <stp>BDH|8518466921953740700</stp>
        <tr r="N15" s="25"/>
      </tp>
      <tp t="e">
        <v>#N/A</v>
        <stp/>
        <stp>BDH|8185601651526621734</stp>
        <tr r="S24" s="21"/>
      </tp>
      <tp t="e">
        <v>#N/A</v>
        <stp/>
        <stp>BDH|4505428743588139604</stp>
        <tr r="D16" s="10"/>
      </tp>
      <tp t="e">
        <v>#N/A</v>
        <stp/>
        <stp>BDH|3194650071120478845</stp>
        <tr r="L55" s="18"/>
      </tp>
      <tp t="e">
        <v>#N/A</v>
        <stp/>
        <stp>BDH|8578767152344692427</stp>
        <tr r="AA100" s="12"/>
      </tp>
      <tp t="e">
        <v>#N/A</v>
        <stp/>
        <stp>BDH|6647639180197007501</stp>
        <tr r="AA16" s="14"/>
      </tp>
      <tp t="e">
        <v>#N/A</v>
        <stp/>
        <stp>BDH|2362273846299399743</stp>
        <tr r="X12" s="22"/>
      </tp>
      <tp t="e">
        <v>#N/A</v>
        <stp/>
        <stp>BDH|9817695607600469578</stp>
        <tr r="Q47" s="17"/>
      </tp>
      <tp t="e">
        <v>#N/A</v>
        <stp/>
        <stp>BDH|1712403691306780046</stp>
        <tr r="C68" s="18"/>
      </tp>
      <tp t="e">
        <v>#N/A</v>
        <stp/>
        <stp>BDH|4009606873477291844</stp>
        <tr r="Q7" s="30"/>
      </tp>
      <tp t="e">
        <v>#N/A</v>
        <stp/>
        <stp>BDH|7084242876070714804</stp>
        <tr r="U11" s="7"/>
      </tp>
      <tp t="e">
        <v>#N/A</v>
        <stp/>
        <stp>BDH|8455776574291062328</stp>
        <tr r="Y8" s="10"/>
      </tp>
      <tp t="e">
        <v>#N/A</v>
        <stp/>
        <stp>BDH|9782180420450238080</stp>
        <tr r="M41" s="22"/>
      </tp>
      <tp t="e">
        <v>#N/A</v>
        <stp/>
        <stp>BDH|8928592662553131268</stp>
        <tr r="U48" s="22"/>
      </tp>
      <tp t="e">
        <v>#N/A</v>
        <stp/>
        <stp>BDH|36744147102505643</stp>
        <tr r="C13" s="10"/>
      </tp>
      <tp t="e">
        <v>#N/A</v>
        <stp/>
        <stp>BDH|73053583688009772</stp>
        <tr r="K42" s="13"/>
      </tp>
      <tp t="e">
        <v>#N/A</v>
        <stp/>
        <stp>BDH|25278635622751485</stp>
        <tr r="F50" s="12"/>
      </tp>
      <tp t="e">
        <v>#N/A</v>
        <stp/>
        <stp>BDH|73699342662653777</stp>
        <tr r="U18" s="6"/>
      </tp>
      <tp t="e">
        <v>#N/A</v>
        <stp/>
        <stp>BDH|5542082372769199048</stp>
        <tr r="D10" s="26"/>
      </tp>
      <tp t="e">
        <v>#N/A</v>
        <stp/>
        <stp>BDH|4721490771914593801</stp>
        <tr r="AA18" s="24"/>
      </tp>
      <tp t="e">
        <v>#N/A</v>
        <stp/>
        <stp>BDH|9563161769670253527</stp>
        <tr r="W13" s="6"/>
      </tp>
      <tp t="e">
        <v>#N/A</v>
        <stp/>
        <stp>BDH|4380427342098846718</stp>
        <tr r="Y103" s="18"/>
      </tp>
      <tp t="e">
        <v>#N/A</v>
        <stp/>
        <stp>BDH|3960913853460250437</stp>
        <tr r="AA58" s="13"/>
      </tp>
      <tp t="e">
        <v>#N/A</v>
        <stp/>
        <stp>BDH|8277985135470365962</stp>
        <tr r="K57" s="24"/>
      </tp>
      <tp t="e">
        <v>#N/A</v>
        <stp/>
        <stp>BDH|5898830871307167618</stp>
        <tr r="Y33" s="13"/>
        <tr r="W29" s="10"/>
      </tp>
      <tp t="e">
        <v>#N/A</v>
        <stp/>
        <stp>BDH|5840146092043769530</stp>
        <tr r="C48" s="12"/>
      </tp>
      <tp t="e">
        <v>#N/A</v>
        <stp/>
        <stp>BDH|7166231782216938032</stp>
        <tr r="G74" s="12"/>
      </tp>
      <tp t="e">
        <v>#N/A</v>
        <stp/>
        <stp>BDH|3933013090509445866</stp>
        <tr r="S120" s="18"/>
      </tp>
      <tp t="e">
        <v>#N/A</v>
        <stp/>
        <stp>BDH|5766915122021815465</stp>
        <tr r="G70" s="24"/>
      </tp>
      <tp t="e">
        <v>#N/A</v>
        <stp/>
        <stp>BDH|4191027529014637964</stp>
        <tr r="K172" s="18"/>
      </tp>
      <tp t="e">
        <v>#N/A</v>
        <stp/>
        <stp>BDH|8972122113516197532</stp>
        <tr r="D10" s="27"/>
        <tr r="D25" s="25"/>
      </tp>
      <tp t="e">
        <v>#N/A</v>
        <stp/>
        <stp>BDH|1615627709178484434</stp>
        <tr r="M86" s="18"/>
      </tp>
      <tp t="e">
        <v>#N/A</v>
        <stp/>
        <stp>BDH|8579615393899918540</stp>
        <tr r="U18" s="23"/>
      </tp>
      <tp t="e">
        <v>#N/A</v>
        <stp/>
        <stp>BDH|8988450416371251723</stp>
        <tr r="K155" s="18"/>
      </tp>
      <tp t="e">
        <v>#N/A</v>
        <stp/>
        <stp>BDH|3433999220071352243</stp>
        <tr r="F17" s="21"/>
      </tp>
      <tp t="e">
        <v>#N/A</v>
        <stp/>
        <stp>BDH|5721792142938639506</stp>
        <tr r="G23" s="24"/>
      </tp>
      <tp t="e">
        <v>#N/A</v>
        <stp/>
        <stp>BDH|2880837621804983790</stp>
        <tr r="K168" s="18"/>
      </tp>
      <tp t="e">
        <v>#N/A</v>
        <stp/>
        <stp>BDH|8792031056424126291</stp>
        <tr r="G35" s="6"/>
      </tp>
      <tp t="e">
        <v>#N/A</v>
        <stp/>
        <stp>BDH|6825667427260780940</stp>
        <tr r="I8" s="27"/>
      </tp>
      <tp t="e">
        <v>#N/A</v>
        <stp/>
        <stp>BDH|1861398630602215896</stp>
        <tr r="K15" s="26"/>
      </tp>
      <tp t="e">
        <v>#N/A</v>
        <stp/>
        <stp>BDH|5214819060085000597</stp>
        <tr r="G120" s="18"/>
      </tp>
      <tp t="e">
        <v>#N/A</v>
        <stp/>
        <stp>BDH|4530875520853867606</stp>
        <tr r="E14" s="27"/>
        <tr r="E28" s="25"/>
      </tp>
      <tp t="e">
        <v>#N/A</v>
        <stp/>
        <stp>BDH|5700383194452899690</stp>
        <tr r="AA42" s="22"/>
      </tp>
      <tp t="e">
        <v>#N/A</v>
        <stp/>
        <stp>BDH|7480601617679894207</stp>
        <tr r="E44" s="17"/>
      </tp>
      <tp t="e">
        <v>#N/A</v>
        <stp/>
        <stp>BDH|1200793873393683959</stp>
        <tr r="S126" s="18"/>
      </tp>
      <tp t="e">
        <v>#N/A</v>
        <stp/>
        <stp>BDH|5256000893443235483</stp>
        <tr r="T77" s="18"/>
      </tp>
      <tp t="e">
        <v>#N/A</v>
        <stp/>
        <stp>BDH|7038490714318126173</stp>
        <tr r="I49" s="34"/>
      </tp>
      <tp t="e">
        <v>#N/A</v>
        <stp/>
        <stp>BDH|2562312737409197099</stp>
        <tr r="D40" s="24"/>
      </tp>
      <tp t="e">
        <v>#N/A</v>
        <stp/>
        <stp>BDH|7588244029405607958</stp>
        <tr r="W12" s="24"/>
      </tp>
      <tp t="e">
        <v>#N/A</v>
        <stp/>
        <stp>BDH|3878495700304830821</stp>
        <tr r="O19" s="20"/>
      </tp>
      <tp t="e">
        <v>#N/A</v>
        <stp/>
        <stp>BDH|2021757141572727880</stp>
        <tr r="W35" s="21"/>
      </tp>
      <tp t="e">
        <v>#N/A</v>
        <stp/>
        <stp>BDH|1372098732858751140</stp>
        <tr r="T12" s="14"/>
      </tp>
      <tp t="e">
        <v>#N/A</v>
        <stp/>
        <stp>BDH|9093316805917817675</stp>
        <tr r="X94" s="12"/>
      </tp>
      <tp t="e">
        <v>#N/A</v>
        <stp/>
        <stp>BDH|4615814888148366777</stp>
        <tr r="O51" s="22"/>
      </tp>
      <tp t="e">
        <v>#N/A</v>
        <stp/>
        <stp>BDH|2168702822278971416</stp>
        <tr r="AA11" s="18"/>
      </tp>
      <tp t="e">
        <v>#N/A</v>
        <stp/>
        <stp>BDH|2064897900586707753</stp>
        <tr r="X17" s="20"/>
      </tp>
      <tp t="e">
        <v>#N/A</v>
        <stp/>
        <stp>BDH|1828014798966902539</stp>
        <tr r="S25" s="17"/>
      </tp>
      <tp t="e">
        <v>#N/A</v>
        <stp/>
        <stp>BDH|9367199715117274560</stp>
        <tr r="H7" s="9"/>
        <tr r="H7" s="5"/>
        <tr r="K14" s="3"/>
        <tr r="I7" s="2"/>
      </tp>
      <tp t="e">
        <v>#N/A</v>
        <stp/>
        <stp>BDH|9483425019227403006</stp>
        <tr r="S10" s="23"/>
      </tp>
      <tp t="e">
        <v>#N/A</v>
        <stp/>
        <stp>BDH|1655601032058980764</stp>
        <tr r="O14" s="20"/>
        <tr r="O115" s="18"/>
      </tp>
      <tp t="e">
        <v>#N/A</v>
        <stp/>
        <stp>BDH|4780885765379630875</stp>
        <tr r="M75" s="24"/>
      </tp>
      <tp t="e">
        <v>#N/A</v>
        <stp/>
        <stp>BDH|8767321503597421798</stp>
        <tr r="K20" s="11"/>
      </tp>
      <tp t="e">
        <v>#N/A</v>
        <stp/>
        <stp>BDH|9015298177340732722</stp>
        <tr r="T30" s="24"/>
      </tp>
      <tp t="e">
        <v>#N/A</v>
        <stp/>
        <stp>BDH|4622012944903006882</stp>
        <tr r="T14" s="13"/>
      </tp>
      <tp t="e">
        <v>#N/A</v>
        <stp/>
        <stp>BDH|6980450467197743876</stp>
        <tr r="R17" s="20"/>
      </tp>
      <tp t="e">
        <v>#N/A</v>
        <stp/>
        <stp>BDH|3663788113587426923</stp>
        <tr r="Q14" s="4"/>
      </tp>
      <tp t="e">
        <v>#N/A</v>
        <stp/>
        <stp>BDH|7865809570553799049</stp>
        <tr r="P19" s="17"/>
      </tp>
      <tp t="e">
        <v>#N/A</v>
        <stp/>
        <stp>BDH|7652920076962953004</stp>
        <tr r="G8" s="26"/>
        <tr r="D10" s="9"/>
      </tp>
      <tp t="e">
        <v>#N/A</v>
        <stp/>
        <stp>BDH|1533099694110235315</stp>
        <tr r="N30" s="22"/>
      </tp>
      <tp t="e">
        <v>#N/A</v>
        <stp/>
        <stp>BDH|5364696060319994787</stp>
        <tr r="U23" s="29"/>
        <tr r="U14" s="29"/>
        <tr r="U34" s="29"/>
      </tp>
      <tp t="e">
        <v>#N/A</v>
        <stp/>
        <stp>BDH|4265087596346788007</stp>
        <tr r="D46" s="6"/>
      </tp>
      <tp t="e">
        <v>#N/A</v>
        <stp/>
        <stp>BDH|3035199765628474737</stp>
        <tr r="N41" s="17"/>
      </tp>
      <tp t="e">
        <v>#N/A</v>
        <stp/>
        <stp>BDH|4216819733213866730</stp>
        <tr r="C8" s="11"/>
      </tp>
      <tp t="e">
        <v>#N/A</v>
        <stp/>
        <stp>BDH|3899808168416390080</stp>
        <tr r="AA11" s="21"/>
      </tp>
      <tp t="e">
        <v>#N/A</v>
        <stp/>
        <stp>BDH|6297260386624082398</stp>
        <tr r="W31" s="6"/>
      </tp>
      <tp t="e">
        <v>#N/A</v>
        <stp/>
        <stp>BDH|1265599475791645933</stp>
        <tr r="E30" s="25"/>
        <tr r="E16" s="27"/>
      </tp>
      <tp t="e">
        <v>#N/A</v>
        <stp/>
        <stp>BDH|4730739219989254049</stp>
        <tr r="J136" s="18"/>
      </tp>
      <tp t="e">
        <v>#N/A</v>
        <stp/>
        <stp>BDH|7038133582076994337</stp>
        <tr r="G32" s="17"/>
      </tp>
      <tp t="e">
        <v>#N/A</v>
        <stp/>
        <stp>BDH|2992256477198046404</stp>
        <tr r="R42" s="21"/>
      </tp>
      <tp t="e">
        <v>#N/A</v>
        <stp/>
        <stp>BDH|5753427342579965760</stp>
        <tr r="V14" s="28"/>
      </tp>
      <tp t="e">
        <v>#N/A</v>
        <stp/>
        <stp>BDH|3504882855305446044</stp>
        <tr r="K9" s="24"/>
      </tp>
      <tp t="e">
        <v>#N/A</v>
        <stp/>
        <stp>BDH|7534599846538199536</stp>
        <tr r="W91" s="18"/>
      </tp>
      <tp t="e">
        <v>#N/A</v>
        <stp/>
        <stp>BDH|9531412315110074797</stp>
        <tr r="P29" s="5"/>
      </tp>
      <tp t="e">
        <v>#N/A</v>
        <stp/>
        <stp>BDH|8303276841202425796</stp>
        <tr r="O18" s="13"/>
      </tp>
      <tp t="e">
        <v>#N/A</v>
        <stp/>
        <stp>BDH|5178375819094606812</stp>
        <tr r="N19" s="10"/>
      </tp>
      <tp t="e">
        <v>#N/A</v>
        <stp/>
        <stp>BDH|9285088220138050827</stp>
        <tr r="O58" s="21"/>
        <tr r="O37" s="25"/>
        <tr r="M53" s="11"/>
        <tr r="M31" s="4"/>
      </tp>
      <tp t="e">
        <v>#N/A</v>
        <stp/>
        <stp>BDH|3511544151211963912</stp>
        <tr r="F73" s="18"/>
      </tp>
      <tp t="e">
        <v>#N/A</v>
        <stp/>
        <stp>BDH|3060484220008957695</stp>
        <tr r="Y81" s="12"/>
      </tp>
      <tp t="e">
        <v>#N/A</v>
        <stp/>
        <stp>BDH|1775196993240508206</stp>
        <tr r="R26" s="6"/>
      </tp>
      <tp t="e">
        <v>#N/A</v>
        <stp/>
        <stp>BDH|8856232143010967594</stp>
        <tr r="O41" s="11"/>
        <tr r="O8" s="7"/>
        <tr r="O49" s="10"/>
        <tr r="Q11" s="3"/>
      </tp>
      <tp t="e">
        <v>#N/A</v>
        <stp/>
        <stp>BDH|9306005526190406090</stp>
        <tr r="I41" s="22"/>
      </tp>
      <tp t="e">
        <v>#N/A</v>
        <stp/>
        <stp>BDH|9875377525052733154</stp>
        <tr r="C29" s="17"/>
      </tp>
      <tp t="e">
        <v>#N/A</v>
        <stp/>
        <stp>BDH|5653652429072360816</stp>
        <tr r="L50" s="4"/>
      </tp>
      <tp t="e">
        <v>#N/A</v>
        <stp/>
        <stp>BDH|1059582433998195420</stp>
        <tr r="S50" s="12"/>
      </tp>
      <tp t="e">
        <v>#N/A</v>
        <stp/>
        <stp>BDH|1095771088101366446</stp>
        <tr r="W127" s="18"/>
      </tp>
      <tp t="e">
        <v>#N/A</v>
        <stp/>
        <stp>BDH|9404264617828528987</stp>
        <tr r="G23" s="21"/>
      </tp>
      <tp t="e">
        <v>#N/A</v>
        <stp/>
        <stp>BDH|3280019591625891426</stp>
        <tr r="H178" s="18"/>
      </tp>
      <tp t="e">
        <v>#N/A</v>
        <stp/>
        <stp>BDH|2753249964045720886</stp>
        <tr r="P22" s="9"/>
      </tp>
      <tp t="e">
        <v>#N/A</v>
        <stp/>
        <stp>BDH|7570911806977946233</stp>
        <tr r="M14" s="11"/>
      </tp>
      <tp t="e">
        <v>#N/A</v>
        <stp/>
        <stp>BDH|8686995160165777900</stp>
        <tr r="F100" s="18"/>
      </tp>
      <tp t="e">
        <v>#N/A</v>
        <stp/>
        <stp>BDH|6350301939394690945</stp>
        <tr r="P62" s="17"/>
      </tp>
      <tp t="e">
        <v>#N/A</v>
        <stp/>
        <stp>BDH|4144891200431497642</stp>
        <tr r="I68" s="18"/>
      </tp>
      <tp t="e">
        <v>#N/A</v>
        <stp/>
        <stp>BDH|1354882332272597341</stp>
        <tr r="G12" s="30"/>
      </tp>
      <tp t="e">
        <v>#N/A</v>
        <stp/>
        <stp>BDH|5195061152299920245</stp>
        <tr r="G58" s="13"/>
      </tp>
      <tp t="e">
        <v>#N/A</v>
        <stp/>
        <stp>BDH|7219095687840701431</stp>
        <tr r="X86" s="17"/>
      </tp>
      <tp t="e">
        <v>#N/A</v>
        <stp/>
        <stp>BDH|3101853606479238988</stp>
        <tr r="L22" s="11"/>
      </tp>
      <tp t="e">
        <v>#N/A</v>
        <stp/>
        <stp>BDH|6327927909785193114</stp>
        <tr r="Z95" s="12"/>
      </tp>
      <tp t="e">
        <v>#N/A</v>
        <stp/>
        <stp>BDH|8525110821693421399</stp>
        <tr r="K11" s="29"/>
      </tp>
      <tp t="e">
        <v>#N/A</v>
        <stp/>
        <stp>BDH|9850223630483658048</stp>
        <tr r="N101" s="12"/>
      </tp>
      <tp t="e">
        <v>#N/A</v>
        <stp/>
        <stp>BDH|3454188740158071544</stp>
        <tr r="Y14" s="11"/>
      </tp>
      <tp t="e">
        <v>#N/A</v>
        <stp/>
        <stp>BDH|5091954509751563613</stp>
        <tr r="P88" s="17"/>
      </tp>
      <tp t="e">
        <v>#N/A</v>
        <stp/>
        <stp>BDH|9041029104331611380</stp>
        <tr r="V32" s="13"/>
        <tr r="T28" s="10"/>
      </tp>
      <tp t="e">
        <v>#N/A</v>
        <stp/>
        <stp>BDH|5402005558983672824</stp>
        <tr r="I83" s="18"/>
      </tp>
      <tp t="e">
        <v>#N/A</v>
        <stp/>
        <stp>BDH|3122817808356194610</stp>
        <tr r="M138" s="18"/>
      </tp>
      <tp t="e">
        <v>#N/A</v>
        <stp/>
        <stp>BDH|1611166602882943935</stp>
        <tr r="E119" s="18"/>
      </tp>
      <tp t="e">
        <v>#N/A</v>
        <stp/>
        <stp>BDH|6522690905002457959</stp>
        <tr r="O15" s="34"/>
      </tp>
      <tp t="e">
        <v>#N/A</v>
        <stp/>
        <stp>BDH|9896676034691573660</stp>
        <tr r="Y13" s="23"/>
        <tr r="W57" s="11"/>
        <tr r="W38" s="4"/>
      </tp>
      <tp t="e">
        <v>#N/A</v>
        <stp/>
        <stp>BDH|4172737781084362488</stp>
        <tr r="N20" s="29"/>
      </tp>
      <tp t="e">
        <v>#N/A</v>
        <stp/>
        <stp>BDH|1925908521011625079</stp>
        <tr r="E60" s="17"/>
      </tp>
      <tp t="e">
        <v>#N/A</v>
        <stp/>
        <stp>BDH|6341956260537851573</stp>
        <tr r="T30" s="9"/>
      </tp>
      <tp t="e">
        <v>#N/A</v>
        <stp/>
        <stp>BDH|9623406269788546836</stp>
        <tr r="G161" s="18"/>
      </tp>
      <tp t="e">
        <v>#N/A</v>
        <stp/>
        <stp>BDH|4414296322687284848</stp>
        <tr r="C66" s="18"/>
      </tp>
      <tp t="e">
        <v>#N/A</v>
        <stp/>
        <stp>BDH|7420953638543805584</stp>
        <tr r="E82" s="18"/>
      </tp>
      <tp t="e">
        <v>#N/A</v>
        <stp/>
        <stp>BDH|8787916999192195176</stp>
        <tr r="K69" s="24"/>
      </tp>
      <tp t="e">
        <v>#N/A</v>
        <stp/>
        <stp>BDH|8461863789085743651</stp>
        <tr r="N13" s="5"/>
      </tp>
      <tp t="e">
        <v>#N/A</v>
        <stp/>
        <stp>BDH|9279220916181608095</stp>
        <tr r="K15" s="23"/>
        <tr r="I58" s="11"/>
      </tp>
      <tp t="e">
        <v>#N/A</v>
        <stp/>
        <stp>BDH|9966063716824970798</stp>
        <tr r="E22" s="4"/>
      </tp>
      <tp t="e">
        <v>#N/A</v>
        <stp/>
        <stp>BDH|4265057240729959271</stp>
        <tr r="V24" s="12"/>
      </tp>
      <tp t="e">
        <v>#N/A</v>
        <stp/>
        <stp>BDH|3130515599576474241</stp>
        <tr r="X48" s="18"/>
      </tp>
      <tp t="e">
        <v>#N/A</v>
        <stp/>
        <stp>BDH|7716445845648939464</stp>
        <tr r="G101" s="12"/>
      </tp>
      <tp t="e">
        <v>#N/A</v>
        <stp/>
        <stp>BDH|4366683182798336934</stp>
        <tr r="R9" s="18"/>
      </tp>
      <tp t="e">
        <v>#N/A</v>
        <stp/>
        <stp>BDH|5604982859535718792</stp>
        <tr r="AA10" s="18"/>
      </tp>
      <tp t="e">
        <v>#N/A</v>
        <stp/>
        <stp>BDH|6383648559657721903</stp>
        <tr r="E13" s="20"/>
        <tr r="E114" s="18"/>
      </tp>
      <tp t="e">
        <v>#N/A</v>
        <stp/>
        <stp>BDH|6966197057658691189</stp>
        <tr r="D69" s="24"/>
      </tp>
      <tp t="e">
        <v>#N/A</v>
        <stp/>
        <stp>BDH|1707041905429651397</stp>
        <tr r="O21" s="27"/>
      </tp>
      <tp t="e">
        <v>#N/A</v>
        <stp/>
        <stp>BDH|2844710044613161952</stp>
        <tr r="N25" s="12"/>
      </tp>
      <tp t="e">
        <v>#N/A</v>
        <stp/>
        <stp>BDH|6605059199184779049</stp>
        <tr r="O43" s="12"/>
      </tp>
      <tp t="e">
        <v>#N/A</v>
        <stp/>
        <stp>BDH|2088638106276958951</stp>
        <tr r="R8" s="8"/>
      </tp>
      <tp t="e">
        <v>#N/A</v>
        <stp/>
        <stp>BDH|7151764934388307094</stp>
        <tr r="T51" s="18"/>
      </tp>
      <tp t="e">
        <v>#N/A</v>
        <stp/>
        <stp>BDH|4809260810294600814</stp>
        <tr r="I24" s="13"/>
      </tp>
      <tp t="e">
        <v>#N/A</v>
        <stp/>
        <stp>BDH|4440382421877009948</stp>
        <tr r="H22" s="29"/>
        <tr r="H13" s="29"/>
        <tr r="H33" s="29"/>
      </tp>
      <tp t="e">
        <v>#N/A</v>
        <stp/>
        <stp>BDH|3049023073706972911</stp>
        <tr r="F10" s="18"/>
      </tp>
      <tp t="e">
        <v>#N/A</v>
        <stp/>
        <stp>BDH|4920778987019053909</stp>
        <tr r="Z43" s="13"/>
      </tp>
      <tp t="e">
        <v>#N/A</v>
        <stp/>
        <stp>BDH|8638214604177892629</stp>
        <tr r="Y19" s="26"/>
      </tp>
      <tp t="e">
        <v>#N/A</v>
        <stp/>
        <stp>BDH|2619895745991462472</stp>
        <tr r="R19" s="26"/>
      </tp>
      <tp t="e">
        <v>#N/A</v>
        <stp/>
        <stp>BDH|6603951121563945529</stp>
        <tr r="F53" s="6"/>
      </tp>
      <tp t="e">
        <v>#N/A</v>
        <stp/>
        <stp>BDH|7286890855117077677</stp>
        <tr r="F30" s="11"/>
        <tr r="F38" s="10"/>
      </tp>
      <tp t="e">
        <v>#N/A</v>
        <stp/>
        <stp>BDH|4601299980181764415</stp>
        <tr r="S50" s="6"/>
        <tr r="U10" s="8"/>
      </tp>
      <tp t="e">
        <v>#N/A</v>
        <stp/>
        <stp>BDH|7956834082014430859</stp>
        <tr r="U53" s="18"/>
      </tp>
      <tp t="e">
        <v>#N/A</v>
        <stp/>
        <stp>BDH|5721665384467496781</stp>
        <tr r="Z47" s="24"/>
      </tp>
      <tp t="e">
        <v>#N/A</v>
        <stp/>
        <stp>BDH|9813717113125756148</stp>
        <tr r="J9" s="18"/>
      </tp>
      <tp t="e">
        <v>#N/A</v>
        <stp/>
        <stp>BDH|5554845984939430780</stp>
        <tr r="P39" s="22"/>
      </tp>
      <tp t="e">
        <v>#N/A</v>
        <stp/>
        <stp>BDH|8708098667094423146</stp>
        <tr r="V48" s="12"/>
      </tp>
      <tp t="e">
        <v>#N/A</v>
        <stp/>
        <stp>BDH|8593639538891629716</stp>
        <tr r="T72" s="24"/>
      </tp>
      <tp t="e">
        <v>#N/A</v>
        <stp/>
        <stp>BDH|6691150286332460680</stp>
        <tr r="Y71" s="18"/>
      </tp>
      <tp t="e">
        <v>#N/A</v>
        <stp/>
        <stp>BDH|5951908406694048360</stp>
        <tr r="I159" s="18"/>
      </tp>
      <tp t="e">
        <v>#N/A</v>
        <stp/>
        <stp>BDH|4662234997694924028</stp>
        <tr r="U51" s="17"/>
      </tp>
      <tp t="e">
        <v>#N/A</v>
        <stp/>
        <stp>BDH|3993734058482978820</stp>
        <tr r="Q91" s="12"/>
      </tp>
      <tp t="e">
        <v>#N/A</v>
        <stp/>
        <stp>BDH|2329192054489089472</stp>
        <tr r="E97" s="12"/>
      </tp>
      <tp t="e">
        <v>#N/A</v>
        <stp/>
        <stp>BDH|7770973648299105808</stp>
        <tr r="S20" s="30"/>
      </tp>
      <tp t="e">
        <v>#N/A</v>
        <stp/>
        <stp>BDH|2847507735136674954</stp>
        <tr r="I78" s="17"/>
      </tp>
      <tp t="e">
        <v>#N/A</v>
        <stp/>
        <stp>BDH|1821644641711634953</stp>
        <tr r="N44" s="12"/>
      </tp>
      <tp t="e">
        <v>#N/A</v>
        <stp/>
        <stp>BDH|9657062779101169461</stp>
        <tr r="Z77" s="17"/>
        <tr r="Z19" s="3"/>
      </tp>
      <tp t="e">
        <v>#N/A</v>
        <stp/>
        <stp>BDH|9826714868933893076</stp>
        <tr r="X25" s="3"/>
      </tp>
      <tp t="e">
        <v>#N/A</v>
        <stp/>
        <stp>BDH|9450372771437510191</stp>
        <tr r="M57" s="34"/>
      </tp>
      <tp t="e">
        <v>#N/A</v>
        <stp/>
        <stp>BDH|3631131790437219794</stp>
        <tr r="C146" s="18"/>
      </tp>
      <tp t="e">
        <v>#N/A</v>
        <stp/>
        <stp>BDH|5908033188352562494</stp>
        <tr r="M18" s="9"/>
      </tp>
      <tp t="e">
        <v>#N/A</v>
        <stp/>
        <stp>BDH|5245123183521409690</stp>
        <tr r="R12" s="26"/>
      </tp>
      <tp t="e">
        <v>#N/A</v>
        <stp/>
        <stp>BDH|3940479394887472200</stp>
        <tr r="F25" s="12"/>
      </tp>
      <tp t="e">
        <v>#N/A</v>
        <stp/>
        <stp>BDH|5730851524361849507</stp>
        <tr r="J76" s="17"/>
        <tr r="G9" s="9"/>
        <tr r="G9" s="5"/>
      </tp>
      <tp t="e">
        <v>#N/A</v>
        <stp/>
        <stp>BDH|8022186695252504963</stp>
        <tr r="Y47" s="18"/>
      </tp>
      <tp t="e">
        <v>#N/A</v>
        <stp/>
        <stp>BDH|3766513243418265192</stp>
        <tr r="O26" s="7"/>
      </tp>
      <tp t="e">
        <v>#N/A</v>
        <stp/>
        <stp>BDH|4719818600181084685</stp>
        <tr r="J160" s="18"/>
      </tp>
      <tp t="e">
        <v>#N/A</v>
        <stp/>
        <stp>BDH|8782424366950851154</stp>
        <tr r="L53" s="17"/>
        <tr r="L10" s="25"/>
      </tp>
      <tp t="e">
        <v>#N/A</v>
        <stp/>
        <stp>BDH|9887579550111306327</stp>
        <tr r="U30" s="34"/>
      </tp>
      <tp t="e">
        <v>#N/A</v>
        <stp/>
        <stp>BDH|8807710580509331541</stp>
        <tr r="P16" s="27"/>
        <tr r="P30" s="25"/>
      </tp>
      <tp t="e">
        <v>#N/A</v>
        <stp/>
        <stp>BDH|3000232488143077152</stp>
        <tr r="F75" s="18"/>
      </tp>
      <tp t="e">
        <v>#N/A</v>
        <stp/>
        <stp>BDH|5273116840532449999</stp>
        <tr r="C11" s="7"/>
      </tp>
      <tp t="e">
        <v>#N/A</v>
        <stp/>
        <stp>BDH|9483383135782120067</stp>
        <tr r="V72" s="12"/>
      </tp>
      <tp t="e">
        <v>#N/A</v>
        <stp/>
        <stp>BDH|3268599486170738545</stp>
        <tr r="W21" s="18"/>
      </tp>
      <tp t="e">
        <v>#N/A</v>
        <stp/>
        <stp>BDH|8819713372616552509</stp>
        <tr r="E7" s="10"/>
      </tp>
      <tp t="e">
        <v>#N/A</v>
        <stp/>
        <stp>BDH|6618530538613448879</stp>
        <tr r="H25" s="10"/>
      </tp>
      <tp t="e">
        <v>#N/A</v>
        <stp/>
        <stp>BDH|3894208990680640309</stp>
        <tr r="E29" s="22"/>
      </tp>
      <tp t="e">
        <v>#N/A</v>
        <stp/>
        <stp>BDH|7936703702923701823</stp>
        <tr r="W61" s="34"/>
      </tp>
      <tp t="e">
        <v>#N/A</v>
        <stp/>
        <stp>BDH|8236888634308214024</stp>
        <tr r="R40" s="34"/>
      </tp>
      <tp t="e">
        <v>#N/A</v>
        <stp/>
        <stp>BDH|1386951859343635574</stp>
        <tr r="E19" s="10"/>
      </tp>
      <tp t="e">
        <v>#N/A</v>
        <stp/>
        <stp>BDH|9881392509927679609</stp>
        <tr r="Q26" s="24"/>
      </tp>
      <tp t="e">
        <v>#N/A</v>
        <stp/>
        <stp>BDH|5172412653849416693</stp>
        <tr r="P8" s="8"/>
      </tp>
      <tp t="e">
        <v>#N/A</v>
        <stp/>
        <stp>BDH|8950903084624074638</stp>
        <tr r="P33" s="22"/>
      </tp>
      <tp t="e">
        <v>#N/A</v>
        <stp/>
        <stp>BDH|7292599202880379940</stp>
        <tr r="L37" s="29"/>
        <tr r="L17" s="29"/>
      </tp>
      <tp t="e">
        <v>#N/A</v>
        <stp/>
        <stp>BDH|8750798672080201302</stp>
        <tr r="G29" s="21"/>
      </tp>
      <tp t="e">
        <v>#N/A</v>
        <stp/>
        <stp>BDH|8977347513444132519</stp>
        <tr r="M151" s="18"/>
      </tp>
      <tp t="e">
        <v>#N/A</v>
        <stp/>
        <stp>BDH|8275888372744412827</stp>
        <tr r="Y22" s="21"/>
      </tp>
      <tp t="e">
        <v>#N/A</v>
        <stp/>
        <stp>BDH|5295925609690774703</stp>
        <tr r="W85" s="12"/>
      </tp>
      <tp t="e">
        <v>#N/A</v>
        <stp/>
        <stp>BDH|7315772541068912733</stp>
        <tr r="U8" s="26"/>
        <tr r="R10" s="9"/>
      </tp>
      <tp t="e">
        <v>#N/A</v>
        <stp/>
        <stp>BDH|3495732884956866145</stp>
        <tr r="H20" s="10"/>
      </tp>
      <tp t="e">
        <v>#N/A</v>
        <stp/>
        <stp>BDH|1273697745928194000</stp>
        <tr r="X45" s="21"/>
      </tp>
      <tp t="e">
        <v>#N/A</v>
        <stp/>
        <stp>BDH|3185420730908971756</stp>
        <tr r="P8" s="12"/>
      </tp>
      <tp t="e">
        <v>#N/A</v>
        <stp/>
        <stp>BDH|9129381860253569437</stp>
        <tr r="C20" s="30"/>
      </tp>
      <tp t="e">
        <v>#N/A</v>
        <stp/>
        <stp>BDH|4312325189371516525</stp>
        <tr r="M161" s="18"/>
      </tp>
      <tp t="e">
        <v>#N/A</v>
        <stp/>
        <stp>BDH|8387959958246938983</stp>
        <tr r="J21" s="12"/>
      </tp>
      <tp t="e">
        <v>#N/A</v>
        <stp/>
        <stp>BDH|5848656983620520045</stp>
        <tr r="H57" s="13"/>
      </tp>
      <tp t="e">
        <v>#N/A</v>
        <stp/>
        <stp>BDH|2688958218501343072</stp>
        <tr r="R53" s="13"/>
      </tp>
      <tp t="e">
        <v>#N/A</v>
        <stp/>
        <stp>BDH|8053489832670697430</stp>
        <tr r="F22" s="12"/>
      </tp>
      <tp t="e">
        <v>#N/A</v>
        <stp/>
        <stp>BDH|8970568033335187026</stp>
        <tr r="T19" s="14"/>
      </tp>
      <tp t="e">
        <v>#N/A</v>
        <stp/>
        <stp>BDH|7181769489652057110</stp>
        <tr r="N35" s="18"/>
      </tp>
      <tp t="e">
        <v>#N/A</v>
        <stp/>
        <stp>BDH|9764320948581186439</stp>
        <tr r="I53" s="12"/>
      </tp>
      <tp t="e">
        <v>#N/A</v>
        <stp/>
        <stp>BDH|8016045773490135491</stp>
        <tr r="J15" s="26"/>
      </tp>
      <tp t="e">
        <v>#N/A</v>
        <stp/>
        <stp>BDH|1806979900726082503</stp>
        <tr r="V56" s="12"/>
      </tp>
      <tp t="e">
        <v>#N/A</v>
        <stp/>
        <stp>BDH|1364340048789427446</stp>
        <tr r="C18" s="30"/>
      </tp>
      <tp t="e">
        <v>#N/A</v>
        <stp/>
        <stp>BDH|3578414484650892479</stp>
        <tr r="K19" s="34"/>
      </tp>
      <tp t="e">
        <v>#N/A</v>
        <stp/>
        <stp>BDH|5264892025511111504</stp>
        <tr r="L111" s="12"/>
      </tp>
      <tp t="e">
        <v>#N/A</v>
        <stp/>
        <stp>BDH|1154708004184909938</stp>
        <tr r="S93" s="12"/>
      </tp>
      <tp t="e">
        <v>#N/A</v>
        <stp/>
        <stp>BDH|5283937132152532699</stp>
        <tr r="U141" s="18"/>
      </tp>
      <tp t="e">
        <v>#N/A</v>
        <stp/>
        <stp>BDH|2374834028981162268</stp>
        <tr r="AA10" s="28"/>
      </tp>
      <tp t="e">
        <v>#N/A</v>
        <stp/>
        <stp>BDH|6121310649469519333</stp>
        <tr r="E19" s="6"/>
      </tp>
      <tp t="e">
        <v>#N/A</v>
        <stp/>
        <stp>BDH|4001857936131420580</stp>
        <tr r="E31" s="13"/>
        <tr r="C27" s="10"/>
      </tp>
      <tp t="e">
        <v>#N/A</v>
        <stp/>
        <stp>BDH|4724301101274920804</stp>
        <tr r="O95" s="18"/>
      </tp>
      <tp t="e">
        <v>#N/A</v>
        <stp/>
        <stp>BDH|4951353478758929324</stp>
        <tr r="W13" s="21"/>
      </tp>
      <tp t="e">
        <v>#N/A</v>
        <stp/>
        <stp>BDH|8563584306683438501</stp>
        <tr r="G18" s="26"/>
      </tp>
      <tp t="e">
        <v>#N/A</v>
        <stp/>
        <stp>BDH|8501457035227922331</stp>
        <tr r="X29" s="13"/>
        <tr r="V24" s="11"/>
        <tr r="V45" s="4"/>
        <tr r="V32" s="10"/>
      </tp>
      <tp t="e">
        <v>#N/A</v>
        <stp/>
        <stp>BDH|5984696998877353645</stp>
        <tr r="F40" s="13"/>
        <tr r="D28" s="11"/>
        <tr r="D36" s="10"/>
      </tp>
      <tp t="e">
        <v>#N/A</v>
        <stp/>
        <stp>BDH|1272686856909597069</stp>
        <tr r="D46" s="22"/>
      </tp>
      <tp t="e">
        <v>#N/A</v>
        <stp/>
        <stp>BDH|6536981523693281536</stp>
        <tr r="K8" s="23"/>
      </tp>
      <tp t="e">
        <v>#N/A</v>
        <stp/>
        <stp>BDH|5513518362755866815</stp>
        <tr r="S24" s="20"/>
      </tp>
      <tp t="e">
        <v>#N/A</v>
        <stp/>
        <stp>BDH|6804524892110486130</stp>
        <tr r="O72" s="17"/>
      </tp>
      <tp t="e">
        <v>#N/A</v>
        <stp/>
        <stp>BDH|1346887934961829084</stp>
        <tr r="W8" s="17"/>
      </tp>
      <tp t="e">
        <v>#N/A</v>
        <stp/>
        <stp>BDH|6574187021817026936</stp>
        <tr r="E64" s="21"/>
        <tr r="C23" s="7"/>
      </tp>
      <tp t="e">
        <v>#N/A</v>
        <stp/>
        <stp>BDH|7319423224838335295</stp>
        <tr r="K35" s="24"/>
      </tp>
      <tp t="e">
        <v>#N/A</v>
        <stp/>
        <stp>BDH|9987683705216906226</stp>
        <tr r="O22" s="10"/>
      </tp>
      <tp t="e">
        <v>#N/A</v>
        <stp/>
        <stp>BDH|9453335394579984152</stp>
        <tr r="I92" s="18"/>
      </tp>
      <tp t="e">
        <v>#N/A</v>
        <stp/>
        <stp>BDH|9985172290412970887</stp>
        <tr r="V45" s="6"/>
      </tp>
      <tp t="e">
        <v>#N/A</v>
        <stp/>
        <stp>BDH|8874442316591070759</stp>
        <tr r="P16" s="34"/>
      </tp>
      <tp t="e">
        <v>#N/A</v>
        <stp/>
        <stp>BDH|5065999874584380423</stp>
        <tr r="L8" s="27"/>
      </tp>
      <tp t="e">
        <v>#N/A</v>
        <stp/>
        <stp>BDH|7897572420453393807</stp>
        <tr r="Q7" s="20"/>
        <tr r="Q109" s="18"/>
      </tp>
      <tp t="e">
        <v>#N/A</v>
        <stp/>
        <stp>BDH|7485951572931853374</stp>
        <tr r="V9" s="34"/>
      </tp>
      <tp t="e">
        <v>#N/A</v>
        <stp/>
        <stp>BDH|5127270475338986369</stp>
        <tr r="S15" s="26"/>
      </tp>
      <tp t="e">
        <v>#N/A</v>
        <stp/>
        <stp>BDH|7690510031722271889</stp>
        <tr r="H35" s="34"/>
      </tp>
      <tp t="e">
        <v>#N/A</v>
        <stp/>
        <stp>BDH|9530016208844758678</stp>
        <tr r="M121" s="18"/>
      </tp>
      <tp t="e">
        <v>#N/A</v>
        <stp/>
        <stp>BDH|7213991541209694808</stp>
        <tr r="M124" s="18"/>
      </tp>
      <tp t="e">
        <v>#N/A</v>
        <stp/>
        <stp>BDH|5858683238433745835</stp>
        <tr r="J100" s="12"/>
      </tp>
      <tp t="e">
        <v>#N/A</v>
        <stp/>
        <stp>BDH|6064991944544316420</stp>
        <tr r="S67" s="17"/>
        <tr r="S18" s="3"/>
      </tp>
      <tp t="e">
        <v>#N/A</v>
        <stp/>
        <stp>BDH|3421639421538923439</stp>
        <tr r="L73" s="18"/>
      </tp>
      <tp t="e">
        <v>#N/A</v>
        <stp/>
        <stp>BDH|4133177269309550167</stp>
        <tr r="S91" s="18"/>
      </tp>
      <tp t="e">
        <v>#N/A</v>
        <stp/>
        <stp>BDH|7030831703650821443</stp>
        <tr r="J64" s="34"/>
      </tp>
      <tp t="e">
        <v>#N/A</v>
        <stp/>
        <stp>BDH|5859612187377427763</stp>
        <tr r="X66" s="18"/>
      </tp>
      <tp t="e">
        <v>#N/A</v>
        <stp/>
        <stp>BDH|2503907388648022017</stp>
        <tr r="J87" s="12"/>
      </tp>
      <tp t="e">
        <v>#N/A</v>
        <stp/>
        <stp>BDH|8762236414566593698</stp>
        <tr r="O22" s="12"/>
      </tp>
      <tp t="e">
        <v>#N/A</v>
        <stp/>
        <stp>BDH|4546076068271109874</stp>
        <tr r="W24" s="13"/>
      </tp>
      <tp t="e">
        <v>#N/A</v>
        <stp/>
        <stp>BDH|5348896802084641222</stp>
        <tr r="E38" s="18"/>
      </tp>
      <tp t="e">
        <v>#N/A</v>
        <stp/>
        <stp>BDH|9283751980235986825</stp>
        <tr r="R136" s="18"/>
      </tp>
      <tp t="e">
        <v>#N/A</v>
        <stp/>
        <stp>BDH|9605992292755709763</stp>
        <tr r="G16" s="34"/>
      </tp>
      <tp t="e">
        <v>#N/A</v>
        <stp/>
        <stp>BDH|6971939439431753686</stp>
        <tr r="T172" s="18"/>
      </tp>
      <tp t="e">
        <v>#N/A</v>
        <stp/>
        <stp>BDH|6431846428563414408</stp>
        <tr r="G22" s="12"/>
      </tp>
      <tp t="e">
        <v>#N/A</v>
        <stp/>
        <stp>BDH|8813153273850233500</stp>
        <tr r="C72" s="18"/>
      </tp>
      <tp t="e">
        <v>#N/A</v>
        <stp/>
        <stp>BDH|1134691191686740329</stp>
        <tr r="V16" s="23"/>
      </tp>
      <tp t="e">
        <v>#N/A</v>
        <stp/>
        <stp>BDH|8189855766309966471</stp>
        <tr r="F98" s="18"/>
      </tp>
      <tp t="e">
        <v>#N/A</v>
        <stp/>
        <stp>BDH|5856914223857338253</stp>
        <tr r="H9" s="26"/>
      </tp>
      <tp t="e">
        <v>#N/A</v>
        <stp/>
        <stp>BDH|1801844512774336718</stp>
        <tr r="H56" s="17"/>
      </tp>
      <tp t="e">
        <v>#N/A</v>
        <stp/>
        <stp>BDH|6961828163105247663</stp>
        <tr r="P14" s="27"/>
        <tr r="P28" s="25"/>
      </tp>
      <tp t="e">
        <v>#N/A</v>
        <stp/>
        <stp>BDH|5155538193472403091</stp>
        <tr r="Z61" s="12"/>
      </tp>
      <tp t="e">
        <v>#N/A</v>
        <stp/>
        <stp>BDH|8438729996335820843</stp>
        <tr r="H11" s="17"/>
      </tp>
      <tp t="e">
        <v>#N/A</v>
        <stp/>
        <stp>BDH|3681220195150813353</stp>
        <tr r="G14" s="14"/>
      </tp>
      <tp t="e">
        <v>#N/A</v>
        <stp/>
        <stp>BDH|2356909208459206953</stp>
        <tr r="P143" s="18"/>
      </tp>
      <tp t="e">
        <v>#N/A</v>
        <stp/>
        <stp>BDH|8342769426447609192</stp>
        <tr r="G96" s="12"/>
      </tp>
      <tp t="e">
        <v>#N/A</v>
        <stp/>
        <stp>BDH|3240892743840332477</stp>
        <tr r="U11" s="29"/>
      </tp>
      <tp t="e">
        <v>#N/A</v>
        <stp/>
        <stp>BDH|8185277912532021282</stp>
        <tr r="T42" s="34"/>
      </tp>
      <tp t="e">
        <v>#N/A</v>
        <stp/>
        <stp>BDH|6018200931809400594</stp>
        <tr r="R44" s="13"/>
      </tp>
      <tp t="e">
        <v>#N/A</v>
        <stp/>
        <stp>BDH|3473599587195450026</stp>
        <tr r="D67" s="18"/>
      </tp>
      <tp t="e">
        <v>#N/A</v>
        <stp/>
        <stp>BDH|3922462393467182212</stp>
        <tr r="E39" s="18"/>
      </tp>
      <tp t="e">
        <v>#N/A</v>
        <stp/>
        <stp>BDH|7052419438842681932</stp>
        <tr r="K40" s="24"/>
      </tp>
      <tp t="e">
        <v>#N/A</v>
        <stp/>
        <stp>BDH|2326451435148676684</stp>
        <tr r="P23" s="25"/>
        <tr r="N21" s="11"/>
      </tp>
      <tp t="e">
        <v>#N/A</v>
        <stp/>
        <stp>BDH|8303493507110179714</stp>
        <tr r="R11" s="18"/>
      </tp>
      <tp t="e">
        <v>#N/A</v>
        <stp/>
        <stp>BDH|2264310163435529981</stp>
        <tr r="I15" s="26"/>
      </tp>
      <tp t="e">
        <v>#N/A</v>
        <stp/>
        <stp>BDH|7438330094415920374</stp>
        <tr r="R42" s="22"/>
      </tp>
      <tp t="e">
        <v>#N/A</v>
        <stp/>
        <stp>BDH|8359605427376957106</stp>
        <tr r="Q10" s="17"/>
      </tp>
      <tp t="e">
        <v>#N/A</v>
        <stp/>
        <stp>BDH|2481399226441728917</stp>
        <tr r="U66" s="34"/>
      </tp>
      <tp t="e">
        <v>#N/A</v>
        <stp/>
        <stp>BDH|9607549812550574688</stp>
        <tr r="K46" s="6"/>
      </tp>
      <tp t="e">
        <v>#N/A</v>
        <stp/>
        <stp>BDH|4113641243129924426</stp>
        <tr r="T10" s="8"/>
        <tr r="R50" s="6"/>
      </tp>
      <tp t="e">
        <v>#N/A</v>
        <stp/>
        <stp>BDH|2206331952236741992</stp>
        <tr r="F49" s="17"/>
      </tp>
      <tp t="e">
        <v>#N/A</v>
        <stp/>
        <stp>BDH|7922000432346255940</stp>
        <tr r="V126" s="18"/>
      </tp>
      <tp t="e">
        <v>#N/A</v>
        <stp/>
        <stp>BDH|8447134464263927777</stp>
        <tr r="I132" s="18"/>
      </tp>
      <tp t="e">
        <v>#N/A</v>
        <stp/>
        <stp>BDH|9851511030252265666</stp>
        <tr r="D16" s="14"/>
      </tp>
      <tp t="e">
        <v>#N/A</v>
        <stp/>
        <stp>BDH|4875034264768385115</stp>
        <tr r="P49" s="18"/>
      </tp>
      <tp t="e">
        <v>#N/A</v>
        <stp/>
        <stp>BDH|6673036044520597994</stp>
        <tr r="N22" s="20"/>
      </tp>
      <tp t="e">
        <v>#N/A</v>
        <stp/>
        <stp>BDH|1757998732779055916</stp>
        <tr r="S23" s="21"/>
      </tp>
      <tp t="e">
        <v>#N/A</v>
        <stp/>
        <stp>BDH|5250664880213885312</stp>
        <tr r="Y48" s="22"/>
      </tp>
      <tp t="e">
        <v>#N/A</v>
        <stp/>
        <stp>BDH|4893016831188658433</stp>
        <tr r="E7" s="20"/>
        <tr r="E109" s="18"/>
      </tp>
      <tp t="e">
        <v>#N/A</v>
        <stp/>
        <stp>BDH|3488842122281675394</stp>
        <tr r="J109" s="12"/>
      </tp>
      <tp t="e">
        <v>#N/A</v>
        <stp/>
        <stp>BDH|1794100667265859855</stp>
        <tr r="I7" s="10"/>
      </tp>
      <tp t="e">
        <v>#N/A</v>
        <stp/>
        <stp>BDH|3653471194735905019</stp>
        <tr r="P22" s="4"/>
      </tp>
      <tp t="e">
        <v>#N/A</v>
        <stp/>
        <stp>BDH|5617689134618375343</stp>
        <tr r="H43" s="24"/>
      </tp>
      <tp t="e">
        <v>#N/A</v>
        <stp/>
        <stp>BDH|7086940998818527448</stp>
        <tr r="W7" s="9"/>
        <tr r="W7" s="5"/>
        <tr r="Z14" s="3"/>
        <tr r="X7" s="2"/>
      </tp>
      <tp t="e">
        <v>#N/A</v>
        <stp/>
        <stp>BDH|2353526009148780427</stp>
        <tr r="I94" s="12"/>
      </tp>
      <tp t="e">
        <v>#N/A</v>
        <stp/>
        <stp>BDH|8292478164695997453</stp>
        <tr r="AA127" s="18"/>
      </tp>
      <tp t="e">
        <v>#N/A</v>
        <stp/>
        <stp>BDH|1014882467013369718</stp>
        <tr r="P60" s="34"/>
      </tp>
      <tp t="e">
        <v>#N/A</v>
        <stp/>
        <stp>BDH|6944921707510645478</stp>
        <tr r="R129" s="18"/>
      </tp>
      <tp t="e">
        <v>#N/A</v>
        <stp/>
        <stp>BDH|8651891605032382942</stp>
        <tr r="AA11" s="28"/>
      </tp>
      <tp t="e">
        <v>#N/A</v>
        <stp/>
        <stp>BDH|8877318139616107538</stp>
        <tr r="N99" s="12"/>
      </tp>
      <tp t="e">
        <v>#N/A</v>
        <stp/>
        <stp>BDH|4861661398226130656</stp>
        <tr r="AA43" s="17"/>
        <tr r="AA9" s="25"/>
      </tp>
      <tp t="e">
        <v>#N/A</v>
        <stp/>
        <stp>BDH|9203938356279093750</stp>
        <tr r="K30" s="13"/>
        <tr r="I26" s="10"/>
      </tp>
      <tp t="e">
        <v>#N/A</v>
        <stp/>
        <stp>BDH|9213550502776456130</stp>
        <tr r="T15" s="26"/>
      </tp>
      <tp t="e">
        <v>#N/A</v>
        <stp/>
        <stp>BDH|2649737296046504140</stp>
        <tr r="O11" s="6"/>
      </tp>
      <tp t="e">
        <v>#N/A</v>
        <stp/>
        <stp>BDH|1247077016968486350</stp>
        <tr r="T31" s="6"/>
      </tp>
      <tp t="e">
        <v>#N/A</v>
        <stp/>
        <stp>BDH|8218247635692221037</stp>
        <tr r="I60" s="24"/>
      </tp>
      <tp t="e">
        <v>#N/A</v>
        <stp/>
        <stp>BDH|3294086988542469249</stp>
        <tr r="G75" s="12"/>
      </tp>
      <tp t="e">
        <v>#N/A</v>
        <stp/>
        <stp>BDH|6362203409028140795</stp>
        <tr r="H59" s="24"/>
      </tp>
      <tp t="e">
        <v>#N/A</v>
        <stp/>
        <stp>BDH|8266902978794951912</stp>
        <tr r="J94" s="18"/>
      </tp>
      <tp t="e">
        <v>#N/A</v>
        <stp/>
        <stp>BDH|4465988043333996140</stp>
        <tr r="T29" s="18"/>
      </tp>
      <tp t="e">
        <v>#N/A</v>
        <stp/>
        <stp>BDH|6449920852495269442</stp>
        <tr r="O13" s="8"/>
      </tp>
      <tp t="e">
        <v>#N/A</v>
        <stp/>
        <stp>BDH|1226515317518049662</stp>
        <tr r="W57" s="17"/>
      </tp>
      <tp t="e">
        <v>#N/A</v>
        <stp/>
        <stp>BDH|1219772485770184538</stp>
        <tr r="O8" s="13"/>
      </tp>
      <tp t="e">
        <v>#N/A</v>
        <stp/>
        <stp>BDH|5733342893987487367</stp>
        <tr r="V16" s="26"/>
      </tp>
      <tp t="e">
        <v>#N/A</v>
        <stp/>
        <stp>BDH|4817546677309876414</stp>
        <tr r="T16" s="24"/>
      </tp>
      <tp t="e">
        <v>#N/A</v>
        <stp/>
        <stp>BDH|4325173775070006936</stp>
        <tr r="D49" s="18"/>
      </tp>
      <tp t="e">
        <v>#N/A</v>
        <stp/>
        <stp>BDH|6938978518806071343</stp>
        <tr r="C135" s="18"/>
      </tp>
      <tp t="e">
        <v>#N/A</v>
        <stp/>
        <stp>BDH|3630842868507017182</stp>
        <tr r="E29" s="9"/>
      </tp>
      <tp t="e">
        <v>#N/A</v>
        <stp/>
        <stp>BDH|3231655047072762856</stp>
        <tr r="Z18" s="23"/>
      </tp>
      <tp t="e">
        <v>#N/A</v>
        <stp/>
        <stp>BDH|9439705873546464413</stp>
        <tr r="U29" s="17"/>
      </tp>
      <tp t="e">
        <v>#N/A</v>
        <stp/>
        <stp>BDH|7908362292050760682</stp>
        <tr r="N20" s="24"/>
      </tp>
      <tp t="e">
        <v>#N/A</v>
        <stp/>
        <stp>BDH|4648937638215767081</stp>
        <tr r="V28" s="22"/>
      </tp>
      <tp t="e">
        <v>#N/A</v>
        <stp/>
        <stp>BDH|2743894565246981103</stp>
        <tr r="F62" s="10"/>
      </tp>
      <tp t="e">
        <v>#N/A</v>
        <stp/>
        <stp>BDH|7684664155389063671</stp>
        <tr r="N9" s="11"/>
      </tp>
      <tp t="e">
        <v>#N/A</v>
        <stp/>
        <stp>BDH|9462758451025420567</stp>
        <tr r="Z39" s="25"/>
        <tr r="Z7" s="13"/>
        <tr r="Z22" s="13"/>
        <tr r="X18" s="11"/>
        <tr r="Z7" s="3"/>
      </tp>
      <tp t="e">
        <v>#N/A</v>
        <stp/>
        <stp>BDH|9691734402284318165</stp>
        <tr r="E23" s="13"/>
      </tp>
      <tp t="e">
        <v>#N/A</v>
        <stp/>
        <stp>BDH|7605363199976844035</stp>
        <tr r="N62" s="21"/>
      </tp>
      <tp t="e">
        <v>#N/A</v>
        <stp/>
        <stp>BDH|3295635393967791077</stp>
        <tr r="F26" s="17"/>
      </tp>
      <tp t="e">
        <v>#N/A</v>
        <stp/>
        <stp>BDH|8970037929916920780</stp>
        <tr r="U31" s="11"/>
        <tr r="U39" s="10"/>
      </tp>
      <tp t="e">
        <v>#N/A</v>
        <stp/>
        <stp>BDH|2169868342716762304</stp>
        <tr r="J45" s="6"/>
      </tp>
      <tp t="e">
        <v>#N/A</v>
        <stp/>
        <stp>BDH|1596502095633737554</stp>
        <tr r="E55" s="17"/>
      </tp>
      <tp t="e">
        <v>#N/A</v>
        <stp/>
        <stp>BDH|2495394793574426780</stp>
        <tr r="C49" s="18"/>
      </tp>
      <tp t="e">
        <v>#N/A</v>
        <stp/>
        <stp>BDH|9499094939310167175</stp>
        <tr r="F16" s="17"/>
        <tr r="F19" s="28"/>
      </tp>
      <tp t="e">
        <v>#N/A</v>
        <stp/>
        <stp>BDH|3061219384592118066</stp>
        <tr r="T28" s="17"/>
      </tp>
      <tp t="e">
        <v>#N/A</v>
        <stp/>
        <stp>BDH|9792460553683711073</stp>
        <tr r="G30" s="12"/>
      </tp>
      <tp t="e">
        <v>#N/A</v>
        <stp/>
        <stp>BDH|6151799881155973727</stp>
        <tr r="D12" s="12"/>
      </tp>
      <tp t="e">
        <v>#N/A</v>
        <stp/>
        <stp>BDH|1298286606089732190</stp>
        <tr r="M43" s="22"/>
      </tp>
      <tp t="e">
        <v>#N/A</v>
        <stp/>
        <stp>BDH|6343432387759757828</stp>
        <tr r="T16" s="22"/>
      </tp>
      <tp t="e">
        <v>#N/A</v>
        <stp/>
        <stp>BDH|2678555483861236505</stp>
        <tr r="T58" s="13"/>
      </tp>
      <tp t="e">
        <v>#N/A</v>
        <stp/>
        <stp>BDH|5085556696583719165</stp>
        <tr r="E71" s="18"/>
      </tp>
      <tp t="e">
        <v>#N/A</v>
        <stp/>
        <stp>BDH|2052949232396076547</stp>
        <tr r="P15" s="13"/>
      </tp>
      <tp t="e">
        <v>#N/A</v>
        <stp/>
        <stp>BDH|8284593134047478293</stp>
        <tr r="Q52" s="21"/>
      </tp>
      <tp t="e">
        <v>#N/A</v>
        <stp/>
        <stp>BDH|7972011129566757848</stp>
        <tr r="T36" s="6"/>
      </tp>
      <tp t="e">
        <v>#N/A</v>
        <stp/>
        <stp>BDH|1948866141302867449</stp>
        <tr r="F65" s="18"/>
      </tp>
      <tp t="e">
        <v>#N/A</v>
        <stp/>
        <stp>BDH|4379945530317689228</stp>
        <tr r="Z49" s="18"/>
      </tp>
      <tp t="e">
        <v>#N/A</v>
        <stp/>
        <stp>BDH|6577022582635373055</stp>
        <tr r="X30" s="6"/>
      </tp>
      <tp t="e">
        <v>#N/A</v>
        <stp/>
        <stp>BDH|1725773040039522063</stp>
        <tr r="W31" s="12"/>
      </tp>
      <tp t="e">
        <v>#N/A</v>
        <stp/>
        <stp>BDH|6491934432014491324</stp>
        <tr r="K10" s="34"/>
      </tp>
      <tp t="e">
        <v>#N/A</v>
        <stp/>
        <stp>BDH|6745335689165945374</stp>
        <tr r="Y25" s="27"/>
      </tp>
      <tp t="e">
        <v>#N/A</v>
        <stp/>
        <stp>BDH|3353632093482678564</stp>
        <tr r="X18" s="24"/>
      </tp>
      <tp t="e">
        <v>#N/A</v>
        <stp/>
        <stp>BDH|5132810930367206210</stp>
        <tr r="M50" s="18"/>
      </tp>
      <tp t="e">
        <v>#N/A</v>
        <stp/>
        <stp>BDH|9952934194056450497</stp>
        <tr r="K10" s="12"/>
      </tp>
      <tp t="e">
        <v>#N/A</v>
        <stp/>
        <stp>BDH|9474732440804087547</stp>
        <tr r="D40" s="6"/>
      </tp>
      <tp t="e">
        <v>#N/A</v>
        <stp/>
        <stp>BDH|9423551221277506263</stp>
        <tr r="AA26" s="22"/>
      </tp>
      <tp t="e">
        <v>#N/A</v>
        <stp/>
        <stp>BDH|8725449054397523518</stp>
        <tr r="V45" s="21"/>
      </tp>
      <tp t="e">
        <v>#N/A</v>
        <stp/>
        <stp>BDH|9445890847379145781</stp>
        <tr r="E43" s="12"/>
      </tp>
      <tp t="e">
        <v>#N/A</v>
        <stp/>
        <stp>BDH|1397473267830530854</stp>
        <tr r="D122" s="18"/>
      </tp>
      <tp t="e">
        <v>#N/A</v>
        <stp/>
        <stp>BDH|3715937704115173425</stp>
        <tr r="S82" s="18"/>
      </tp>
      <tp t="e">
        <v>#N/A</v>
        <stp/>
        <stp>BDH|6765040981356415351</stp>
        <tr r="F171" s="18"/>
      </tp>
      <tp t="e">
        <v>#N/A</v>
        <stp/>
        <stp>BDH|5527517284504645750</stp>
        <tr r="AA35" s="26"/>
      </tp>
      <tp t="e">
        <v>#N/A</v>
        <stp/>
        <stp>BDH|2737431084526383308</stp>
        <tr r="R92" s="18"/>
      </tp>
      <tp t="e">
        <v>#N/A</v>
        <stp/>
        <stp>BDH|1058814534538725911</stp>
        <tr r="O36" s="4"/>
      </tp>
      <tp t="e">
        <v>#N/A</v>
        <stp/>
        <stp>BDH|5217935181718734746</stp>
        <tr r="R171" s="18"/>
      </tp>
      <tp t="e">
        <v>#N/A</v>
        <stp/>
        <stp>BDH|2717759947182745814</stp>
        <tr r="J94" s="17"/>
      </tp>
      <tp t="e">
        <v>#N/A</v>
        <stp/>
        <stp>BDH|7130959064101019233</stp>
        <tr r="L34" s="17"/>
      </tp>
      <tp t="e">
        <v>#N/A</v>
        <stp/>
        <stp>BDH|3031144027692919998</stp>
        <tr r="N25" s="3"/>
      </tp>
      <tp t="e">
        <v>#N/A</v>
        <stp/>
        <stp>BDH|9595397739004153673</stp>
        <tr r="L131" s="18"/>
      </tp>
      <tp t="e">
        <v>#N/A</v>
        <stp/>
        <stp>BDH|5473138058442914852</stp>
        <tr r="Y50" s="12"/>
      </tp>
      <tp t="e">
        <v>#N/A</v>
        <stp/>
        <stp>BDH|1630447751838018305</stp>
        <tr r="M92" s="17"/>
        <tr r="M7" s="27"/>
      </tp>
      <tp t="e">
        <v>#N/A</v>
        <stp/>
        <stp>BDH|3385932715918295841</stp>
        <tr r="H12" s="13"/>
      </tp>
      <tp t="e">
        <v>#N/A</v>
        <stp/>
        <stp>BDH|9309279828107872574</stp>
        <tr r="W29" s="24"/>
      </tp>
      <tp t="e">
        <v>#N/A</v>
        <stp/>
        <stp>BDH|3711412816585641858</stp>
        <tr r="G7" s="30"/>
      </tp>
      <tp t="e">
        <v>#N/A</v>
        <stp/>
        <stp>BDH|3444234864529195516</stp>
        <tr r="Z58" s="18"/>
      </tp>
      <tp t="e">
        <v>#N/A</v>
        <stp/>
        <stp>BDH|5771204314465622868</stp>
        <tr r="L14" s="14"/>
      </tp>
      <tp t="e">
        <v>#N/A</v>
        <stp/>
        <stp>BDH|2350906526943553132</stp>
        <tr r="U26" s="18"/>
      </tp>
      <tp t="e">
        <v>#N/A</v>
        <stp/>
        <stp>BDH|4121283557670936848</stp>
        <tr r="O11" s="22"/>
      </tp>
      <tp t="e">
        <v>#N/A</v>
        <stp/>
        <stp>BDH|8994673765041857203</stp>
        <tr r="Y124" s="18"/>
      </tp>
      <tp t="e">
        <v>#N/A</v>
        <stp/>
        <stp>BDH|1065313733543799965</stp>
        <tr r="G49" s="13"/>
        <tr r="E37" s="11"/>
        <tr r="E45" s="10"/>
        <tr r="E53" s="4"/>
        <tr r="E18" s="2"/>
      </tp>
      <tp t="e">
        <v>#N/A</v>
        <stp/>
        <stp>BDH|2483636368339838042</stp>
        <tr r="J155" s="18"/>
      </tp>
      <tp t="e">
        <v>#N/A</v>
        <stp/>
        <stp>BDH|1685055480460678261</stp>
        <tr r="Z58" s="21"/>
        <tr r="Z37" s="25"/>
        <tr r="X53" s="11"/>
        <tr r="X31" s="4"/>
      </tp>
      <tp t="e">
        <v>#N/A</v>
        <stp/>
        <stp>BDH|5936386255859522121</stp>
        <tr r="K21" s="24"/>
      </tp>
      <tp t="e">
        <v>#N/A</v>
        <stp/>
        <stp>BDH|1692756867273300843</stp>
        <tr r="Z71" s="18"/>
      </tp>
      <tp t="e">
        <v>#N/A</v>
        <stp/>
        <stp>BDH|9893561015983170598</stp>
        <tr r="H35" s="24"/>
      </tp>
      <tp t="e">
        <v>#N/A</v>
        <stp/>
        <stp>BDH|6352165865178449244</stp>
        <tr r="R178" s="18"/>
      </tp>
      <tp t="e">
        <v>#N/A</v>
        <stp/>
        <stp>BDH|7648565706389571034</stp>
        <tr r="I49" s="22"/>
      </tp>
      <tp t="e">
        <v>#N/A</v>
        <stp/>
        <stp>BDH|1532897437318277991</stp>
        <tr r="J124" s="18"/>
      </tp>
      <tp t="e">
        <v>#N/A</v>
        <stp/>
        <stp>BDH|9888630458891664057</stp>
        <tr r="K16" s="22"/>
      </tp>
      <tp t="e">
        <v>#N/A</v>
        <stp/>
        <stp>BDH|8356339271261760669</stp>
        <tr r="M21" s="18"/>
      </tp>
      <tp t="e">
        <v>#N/A</v>
        <stp/>
        <stp>BDH|4709134460320143852</stp>
        <tr r="T52" s="12"/>
      </tp>
      <tp t="e">
        <v>#N/A</v>
        <stp/>
        <stp>BDH|9396343807903666264</stp>
        <tr r="X8" s="17"/>
      </tp>
      <tp t="e">
        <v>#N/A</v>
        <stp/>
        <stp>BDH|7602753561668353510</stp>
        <tr r="S9" s="26"/>
      </tp>
      <tp t="e">
        <v>#N/A</v>
        <stp/>
        <stp>BDH|7381500578999940725</stp>
        <tr r="M62" s="21"/>
      </tp>
      <tp t="e">
        <v>#N/A</v>
        <stp/>
        <stp>BDH|4818400198847589552</stp>
        <tr r="N14" s="11"/>
      </tp>
      <tp t="e">
        <v>#N/A</v>
        <stp/>
        <stp>BDH|6780946449748224888</stp>
        <tr r="Y56" s="24"/>
      </tp>
      <tp t="e">
        <v>#N/A</v>
        <stp/>
        <stp>BDH|2367836233502360000</stp>
        <tr r="F13" s="23"/>
        <tr r="D57" s="11"/>
        <tr r="D38" s="4"/>
      </tp>
      <tp t="e">
        <v>#N/A</v>
        <stp/>
        <stp>BDH|7199384883782889520</stp>
        <tr r="X40" s="17"/>
      </tp>
      <tp t="e">
        <v>#N/A</v>
        <stp/>
        <stp>BDH|7443171798547909322</stp>
        <tr r="D15" s="12"/>
      </tp>
      <tp t="e">
        <v>#N/A</v>
        <stp/>
        <stp>BDH|2163967722802680034</stp>
        <tr r="O23" s="24"/>
      </tp>
      <tp t="e">
        <v>#N/A</v>
        <stp/>
        <stp>BDH|5622901811396315044</stp>
        <tr r="E38" s="17"/>
      </tp>
      <tp t="e">
        <v>#N/A</v>
        <stp/>
        <stp>BDH|8283814550277586963</stp>
        <tr r="F125" s="18"/>
      </tp>
      <tp t="e">
        <v>#N/A</v>
        <stp/>
        <stp>BDH|3318310593895559749</stp>
        <tr r="P39" s="17"/>
      </tp>
      <tp t="e">
        <v>#N/A</v>
        <stp/>
        <stp>BDH|1041604994600630520</stp>
        <tr r="D28" s="9"/>
        <tr r="D28" s="5"/>
      </tp>
      <tp t="e">
        <v>#N/A</v>
        <stp/>
        <stp>BDH|6367216211739511762</stp>
        <tr r="Y130" s="18"/>
      </tp>
      <tp t="e">
        <v>#N/A</v>
        <stp/>
        <stp>BDH|9632521817256068030</stp>
        <tr r="F94" s="18"/>
      </tp>
      <tp t="e">
        <v>#N/A</v>
        <stp/>
        <stp>BDH|7213975356867437779</stp>
        <tr r="D143" s="18"/>
      </tp>
      <tp t="e">
        <v>#N/A</v>
        <stp/>
        <stp>BDH|4688798349728330452</stp>
        <tr r="Y7" s="21"/>
      </tp>
      <tp t="e">
        <v>#N/A</v>
        <stp/>
        <stp>BDH|6508822521161502635</stp>
        <tr r="AA18" s="13"/>
      </tp>
      <tp t="e">
        <v>#N/A</v>
        <stp/>
        <stp>BDH|8585584228650255476</stp>
        <tr r="R30" s="12"/>
      </tp>
      <tp t="e">
        <v>#N/A</v>
        <stp/>
        <stp>BDH|1639869307296602411</stp>
        <tr r="I71" s="17"/>
      </tp>
      <tp t="e">
        <v>#N/A</v>
        <stp/>
        <stp>BDH|9183702295779155551</stp>
        <tr r="V57" s="18"/>
      </tp>
      <tp t="e">
        <v>#N/A</v>
        <stp/>
        <stp>BDH|4588872508296892129</stp>
        <tr r="L24" s="24"/>
      </tp>
      <tp t="e">
        <v>#N/A</v>
        <stp/>
        <stp>BDH|4200649581473343241</stp>
        <tr r="Z78" s="17"/>
      </tp>
      <tp t="e">
        <v>#N/A</v>
        <stp/>
        <stp>BDH|8110748903145423122</stp>
        <tr r="E34" s="34"/>
      </tp>
      <tp t="e">
        <v>#N/A</v>
        <stp/>
        <stp>BDH|9488572365262246346</stp>
        <tr r="C30" s="22"/>
      </tp>
      <tp t="e">
        <v>#N/A</v>
        <stp/>
        <stp>BDH|9892802026680629882</stp>
        <tr r="Q50" s="12"/>
      </tp>
      <tp t="e">
        <v>#N/A</v>
        <stp/>
        <stp>BDH|2353774441383282977</stp>
        <tr r="L7" s="9"/>
        <tr r="O14" s="3"/>
        <tr r="L7" s="5"/>
        <tr r="M7" s="2"/>
      </tp>
      <tp t="e">
        <v>#N/A</v>
        <stp/>
        <stp>BDH|2361841787389004008</stp>
        <tr r="S46" s="22"/>
      </tp>
      <tp t="e">
        <v>#N/A</v>
        <stp/>
        <stp>BDH|1027576407809062605</stp>
        <tr r="U59" s="24"/>
      </tp>
      <tp t="e">
        <v>#N/A</v>
        <stp/>
        <stp>BDH|2579155374156090945</stp>
        <tr r="X11" s="17"/>
      </tp>
      <tp t="e">
        <v>#N/A</v>
        <stp/>
        <stp>BDH|6461474716889219175</stp>
        <tr r="T78" s="18"/>
      </tp>
      <tp t="e">
        <v>#N/A</v>
        <stp/>
        <stp>BDH|4977782398049090892</stp>
        <tr r="Q23" s="10"/>
      </tp>
      <tp t="e">
        <v>#N/A</v>
        <stp/>
        <stp>BDH|7514158012024626845</stp>
        <tr r="H25" s="26"/>
      </tp>
      <tp t="e">
        <v>#N/A</v>
        <stp/>
        <stp>BDH|8257653069361932278</stp>
        <tr r="G23" s="29"/>
        <tr r="G34" s="29"/>
        <tr r="G14" s="29"/>
      </tp>
      <tp t="e">
        <v>#N/A</v>
        <stp/>
        <stp>BDH|7726440758988970522</stp>
        <tr r="H45" s="21"/>
      </tp>
      <tp t="e">
        <v>#N/A</v>
        <stp/>
        <stp>BDH|4650574086627170571</stp>
        <tr r="S39" s="17"/>
      </tp>
      <tp t="e">
        <v>#N/A</v>
        <stp/>
        <stp>BDH|1492867205782492021</stp>
        <tr r="N164" s="18"/>
      </tp>
      <tp t="e">
        <v>#N/A</v>
        <stp/>
        <stp>BDH|9583194644542006599</stp>
        <tr r="E16" s="24"/>
      </tp>
      <tp t="e">
        <v>#N/A</v>
        <stp/>
        <stp>BDH|5148871149692711092</stp>
        <tr r="K27" s="12"/>
      </tp>
      <tp t="e">
        <v>#N/A</v>
        <stp/>
        <stp>BDH|4768087162880983952</stp>
        <tr r="N23" s="17"/>
      </tp>
      <tp t="e">
        <v>#N/A</v>
        <stp/>
        <stp>BDH|1304339913621050929</stp>
        <tr r="C12" s="22"/>
      </tp>
      <tp t="e">
        <v>#N/A</v>
        <stp/>
        <stp>BDH|2053602985731443607</stp>
        <tr r="P62" s="24"/>
      </tp>
      <tp t="e">
        <v>#N/A</v>
        <stp/>
        <stp>BDH|3224928163853715451</stp>
        <tr r="T13" s="11"/>
      </tp>
      <tp t="e">
        <v>#N/A</v>
        <stp/>
        <stp>BDH|8519286162180946770</stp>
        <tr r="T66" s="18"/>
      </tp>
      <tp t="e">
        <v>#N/A</v>
        <stp/>
        <stp>BDH|3498728800816796902</stp>
        <tr r="E19" s="11"/>
      </tp>
      <tp t="e">
        <v>#N/A</v>
        <stp/>
        <stp>BDH|9154725557834339469</stp>
        <tr r="Z162" s="18"/>
      </tp>
      <tp t="e">
        <v>#N/A</v>
        <stp/>
        <stp>BDH|8485051362625490063</stp>
        <tr r="T8" s="10"/>
      </tp>
      <tp t="e">
        <v>#N/A</v>
        <stp/>
        <stp>BDH|5906606177906794983</stp>
        <tr r="U46" s="18"/>
      </tp>
      <tp t="e">
        <v>#N/A</v>
        <stp/>
        <stp>BDH|6913424839332363805</stp>
        <tr r="X57" s="13"/>
      </tp>
      <tp t="e">
        <v>#N/A</v>
        <stp/>
        <stp>BDH|1042339591943732340</stp>
        <tr r="H35" s="29"/>
        <tr r="H15" s="29"/>
      </tp>
      <tp t="e">
        <v>#N/A</v>
        <stp/>
        <stp>BDH|7104068405808221415</stp>
        <tr r="N24" s="6"/>
      </tp>
      <tp t="e">
        <v>#N/A</v>
        <stp/>
        <stp>BDH|3168084114569521092</stp>
        <tr r="E34" s="21"/>
      </tp>
      <tp t="e">
        <v>#N/A</v>
        <stp/>
        <stp>BDH|1172723233067779964</stp>
        <tr r="I43" s="11"/>
        <tr r="I51" s="10"/>
        <tr r="I15" s="7"/>
      </tp>
      <tp t="e">
        <v>#N/A</v>
        <stp/>
        <stp>BDH|8590197960887558384</stp>
        <tr r="R37" s="24"/>
      </tp>
      <tp t="e">
        <v>#N/A</v>
        <stp/>
        <stp>BDH|3330892050294872133</stp>
        <tr r="M27" s="7"/>
      </tp>
      <tp t="e">
        <v>#N/A</v>
        <stp/>
        <stp>BDH|6084007484144292171</stp>
        <tr r="U20" s="11"/>
      </tp>
      <tp t="e">
        <v>#N/A</v>
        <stp/>
        <stp>BDH|9443497414305948212</stp>
        <tr r="H41" s="12"/>
      </tp>
      <tp t="e">
        <v>#N/A</v>
        <stp/>
        <stp>BDH|3022846667186255009</stp>
        <tr r="O21" s="18"/>
      </tp>
      <tp t="e">
        <v>#N/A</v>
        <stp/>
        <stp>BDH|6722133659881893848</stp>
        <tr r="AA73" s="24"/>
      </tp>
      <tp t="e">
        <v>#N/A</v>
        <stp/>
        <stp>BDH|7449879007544324062</stp>
        <tr r="R45" s="12"/>
      </tp>
      <tp t="e">
        <v>#N/A</v>
        <stp/>
        <stp>BDH|9287790054805981573</stp>
        <tr r="L23" s="20"/>
      </tp>
      <tp t="e">
        <v>#N/A</v>
        <stp/>
        <stp>BDH|8785933215008090309</stp>
        <tr r="E79" s="12"/>
      </tp>
      <tp t="e">
        <v>#N/A</v>
        <stp/>
        <stp>BDH|7189920567117366464</stp>
        <tr r="I64" s="17"/>
      </tp>
      <tp t="e">
        <v>#N/A</v>
        <stp/>
        <stp>BDH|8877499873056250611</stp>
        <tr r="Z100" s="12"/>
      </tp>
      <tp t="e">
        <v>#N/A</v>
        <stp/>
        <stp>BDH|8242276446912402766</stp>
        <tr r="D80" s="12"/>
      </tp>
      <tp t="e">
        <v>#N/A</v>
        <stp/>
        <stp>BDH|3196454094822511748</stp>
        <tr r="I49" s="4"/>
      </tp>
      <tp t="e">
        <v>#N/A</v>
        <stp/>
        <stp>BDH|6020900124936031054</stp>
        <tr r="H19" s="18"/>
      </tp>
      <tp t="e">
        <v>#N/A</v>
        <stp/>
        <stp>BDH|1096956530499323975</stp>
        <tr r="V9" s="12"/>
      </tp>
      <tp t="e">
        <v>#N/A</v>
        <stp/>
        <stp>BDH|1307306987049481812</stp>
        <tr r="N42" s="34"/>
      </tp>
      <tp t="e">
        <v>#N/A</v>
        <stp/>
        <stp>BDH|4765220536657560979</stp>
        <tr r="E22" s="24"/>
      </tp>
      <tp t="e">
        <v>#N/A</v>
        <stp/>
        <stp>BDH|4486722005628254006</stp>
        <tr r="D27" s="11"/>
        <tr r="D39" s="11"/>
        <tr r="D35" s="10"/>
        <tr r="D47" s="10"/>
      </tp>
      <tp t="e">
        <v>#N/A</v>
        <stp/>
        <stp>BDH|9582854589133815103</stp>
        <tr r="M83" s="17"/>
      </tp>
      <tp t="e">
        <v>#N/A</v>
        <stp/>
        <stp>BDH|3867248833689840062</stp>
        <tr r="C65" s="24"/>
      </tp>
      <tp t="e">
        <v>#N/A</v>
        <stp/>
        <stp>BDH|3035715827848725502</stp>
        <tr r="X98" s="12"/>
      </tp>
      <tp t="e">
        <v>#N/A</v>
        <stp/>
        <stp>BDH|7349852928886771087</stp>
        <tr r="H58" s="24"/>
      </tp>
      <tp t="e">
        <v>#N/A</v>
        <stp/>
        <stp>BDH|3719065990015778402</stp>
        <tr r="C18" s="9"/>
      </tp>
      <tp t="e">
        <v>#N/A</v>
        <stp/>
        <stp>BDH|5374510904268641360</stp>
        <tr r="X76" s="24"/>
      </tp>
      <tp t="e">
        <v>#N/A</v>
        <stp/>
        <stp>BDH|9630522702753738474</stp>
        <tr r="G22" s="11"/>
      </tp>
      <tp t="e">
        <v>#N/A</v>
        <stp/>
        <stp>BDH|8262460367920566109</stp>
        <tr r="X20" s="6"/>
      </tp>
      <tp t="e">
        <v>#N/A</v>
        <stp/>
        <stp>BDH|2971621607986869929</stp>
        <tr r="W133" s="18"/>
      </tp>
      <tp t="e">
        <v>#N/A</v>
        <stp/>
        <stp>BDH|2252852078104935205</stp>
        <tr r="T148" s="18"/>
      </tp>
      <tp t="e">
        <v>#N/A</v>
        <stp/>
        <stp>BDH|2284049910258139010</stp>
        <tr r="W60" s="12"/>
      </tp>
      <tp t="e">
        <v>#N/A</v>
        <stp/>
        <stp>BDH|5069723233289352342</stp>
        <tr r="W70" s="17"/>
      </tp>
      <tp t="e">
        <v>#N/A</v>
        <stp/>
        <stp>BDH|6403875229745508292</stp>
        <tr r="C7" s="8"/>
      </tp>
      <tp t="e">
        <v>#N/A</v>
        <stp/>
        <stp>BDH|6035784620559895168</stp>
        <tr r="P48" s="22"/>
      </tp>
      <tp t="e">
        <v>#N/A</v>
        <stp/>
        <stp>BDH|1098107695872504065</stp>
        <tr r="O16" s="17"/>
        <tr r="O19" s="28"/>
      </tp>
      <tp t="e">
        <v>#N/A</v>
        <stp/>
        <stp>BDH|7919114338558156676</stp>
        <tr r="X67" s="24"/>
      </tp>
      <tp t="e">
        <v>#N/A</v>
        <stp/>
        <stp>BDH|8060547947166426411</stp>
        <tr r="G39" s="25"/>
        <tr r="G22" s="13"/>
        <tr r="E18" s="11"/>
        <tr r="G7" s="13"/>
        <tr r="G7" s="3"/>
      </tp>
      <tp t="e">
        <v>#N/A</v>
        <stp/>
        <stp>BDH|8450247479155920363</stp>
        <tr r="Y23" s="26"/>
      </tp>
      <tp t="e">
        <v>#N/A</v>
        <stp/>
        <stp>BDH|7903284408309974762</stp>
        <tr r="T33" s="21"/>
      </tp>
      <tp t="e">
        <v>#N/A</v>
        <stp/>
        <stp>BDH|9802187021612000373</stp>
        <tr r="R40" s="12"/>
      </tp>
      <tp t="e">
        <v>#N/A</v>
        <stp/>
        <stp>BDH|3848491144601417970</stp>
        <tr r="D151" s="18"/>
      </tp>
      <tp t="e">
        <v>#N/A</v>
        <stp/>
        <stp>BDH|8776003902531419275</stp>
        <tr r="AA11" s="17"/>
      </tp>
      <tp t="e">
        <v>#N/A</v>
        <stp/>
        <stp>BDH|9214242906711572136</stp>
        <tr r="M18" s="27"/>
        <tr r="M32" s="25"/>
      </tp>
      <tp t="e">
        <v>#N/A</v>
        <stp/>
        <stp>BDH|2218842243835096037</stp>
        <tr r="R77" s="17"/>
        <tr r="R19" s="3"/>
      </tp>
      <tp t="e">
        <v>#N/A</v>
        <stp/>
        <stp>BDH|4929734103581624995</stp>
        <tr r="X26" s="21"/>
      </tp>
      <tp t="e">
        <v>#N/A</v>
        <stp/>
        <stp>BDH|5834562482957888424</stp>
        <tr r="Z90" s="17"/>
        <tr r="Z34" s="25"/>
      </tp>
      <tp t="e">
        <v>#N/A</v>
        <stp/>
        <stp>BDH|8639816814763128944</stp>
        <tr r="V19" s="24"/>
      </tp>
      <tp t="e">
        <v>#N/A</v>
        <stp/>
        <stp>BDH|9379753625147040055</stp>
        <tr r="D17" s="10"/>
      </tp>
      <tp t="e">
        <v>#N/A</v>
        <stp/>
        <stp>BDH|3322504032378343646</stp>
        <tr r="H7" s="8"/>
      </tp>
      <tp t="e">
        <v>#N/A</v>
        <stp/>
        <stp>BDH|4724187228634059811</stp>
        <tr r="C92" s="12"/>
      </tp>
      <tp t="e">
        <v>#N/A</v>
        <stp/>
        <stp>BDH|2154604834649541564</stp>
        <tr r="H55" s="6"/>
      </tp>
      <tp t="e">
        <v>#N/A</v>
        <stp/>
        <stp>BDH|8573711097625530805</stp>
        <tr r="M8" s="24"/>
      </tp>
      <tp t="e">
        <v>#N/A</v>
        <stp/>
        <stp>BDH|6783096086100677581</stp>
        <tr r="L8" s="14"/>
      </tp>
      <tp t="e">
        <v>#N/A</v>
        <stp/>
        <stp>BDH|4597230753538051030</stp>
        <tr r="Q21" s="4"/>
      </tp>
      <tp t="e">
        <v>#N/A</v>
        <stp/>
        <stp>BDH|9926763113882291689</stp>
        <tr r="I69" s="24"/>
      </tp>
      <tp t="e">
        <v>#N/A</v>
        <stp/>
        <stp>BDH|7654268349292841872</stp>
        <tr r="W17" s="24"/>
      </tp>
      <tp t="e">
        <v>#N/A</v>
        <stp/>
        <stp>BDH|2819988298049635083</stp>
        <tr r="I28" s="26"/>
      </tp>
      <tp t="e">
        <v>#N/A</v>
        <stp/>
        <stp>BDH|8604059425143916291</stp>
        <tr r="M19" s="26"/>
      </tp>
      <tp t="e">
        <v>#N/A</v>
        <stp/>
        <stp>BDH|3538988708240426173</stp>
        <tr r="O51" s="24"/>
      </tp>
      <tp t="e">
        <v>#N/A</v>
        <stp/>
        <stp>BDH|3688375187127744470</stp>
        <tr r="N65" s="24"/>
      </tp>
      <tp t="e">
        <v>#N/A</v>
        <stp/>
        <stp>BDH|8790037577574527002</stp>
        <tr r="N21" s="4"/>
      </tp>
      <tp t="e">
        <v>#N/A</v>
        <stp/>
        <stp>BDH|2499306197563374066</stp>
        <tr r="X18" s="9"/>
      </tp>
      <tp t="e">
        <v>#N/A</v>
        <stp/>
        <stp>BDH|4074728695145744460</stp>
        <tr r="T72" s="12"/>
      </tp>
      <tp t="e">
        <v>#N/A</v>
        <stp/>
        <stp>BDH|3103730488996573194</stp>
        <tr r="L18" s="14"/>
      </tp>
      <tp t="e">
        <v>#N/A</v>
        <stp/>
        <stp>BDH|4980763939079681269</stp>
        <tr r="T36" s="29"/>
        <tr r="T16" s="29"/>
      </tp>
      <tp t="e">
        <v>#N/A</v>
        <stp/>
        <stp>BDH|8013574426945348142</stp>
        <tr r="Q65" s="18"/>
      </tp>
      <tp t="e">
        <v>#N/A</v>
        <stp/>
        <stp>BDH|2463914413789991891</stp>
        <tr r="H89" s="18"/>
      </tp>
      <tp t="e">
        <v>#N/A</v>
        <stp/>
        <stp>BDH|6594319333964725967</stp>
        <tr r="C30" s="9"/>
      </tp>
      <tp t="e">
        <v>#N/A</v>
        <stp/>
        <stp>BDH|6346701915883775876</stp>
        <tr r="W7" s="11"/>
      </tp>
      <tp t="e">
        <v>#N/A</v>
        <stp/>
        <stp>BDH|1133618307489725561</stp>
        <tr r="R21" s="34"/>
      </tp>
      <tp t="e">
        <v>#N/A</v>
        <stp/>
        <stp>BDH|5707803696488037778</stp>
        <tr r="N18" s="21"/>
        <tr r="L23" s="2"/>
        <tr r="N23" s="3"/>
      </tp>
      <tp t="e">
        <v>#N/A</v>
        <stp/>
        <stp>BDH|8480825477108034470</stp>
        <tr r="N37" s="24"/>
      </tp>
      <tp t="e">
        <v>#N/A</v>
        <stp/>
        <stp>BDH|8071403712454466208</stp>
        <tr r="G19" s="13"/>
        <tr r="E61" s="10"/>
        <tr r="E16" s="2"/>
        <tr r="E32" s="4"/>
      </tp>
      <tp t="e">
        <v>#N/A</v>
        <stp/>
        <stp>BDH|6686227168379870025</stp>
        <tr r="G33" s="34"/>
      </tp>
      <tp t="e">
        <v>#N/A</v>
        <stp/>
        <stp>BDH|8447008102137234420</stp>
        <tr r="E21" s="34"/>
      </tp>
      <tp t="e">
        <v>#N/A</v>
        <stp/>
        <stp>BDH|5764525150207137933</stp>
        <tr r="H68" s="17"/>
        <tr r="E8" s="9"/>
        <tr r="E8" s="5"/>
      </tp>
      <tp t="e">
        <v>#N/A</v>
        <stp/>
        <stp>BDH|7233000401325596918</stp>
        <tr r="D36" s="4"/>
      </tp>
      <tp t="e">
        <v>#N/A</v>
        <stp/>
        <stp>BDH|2738851256066069234</stp>
        <tr r="Q65" s="21"/>
        <tr r="N28" s="6"/>
      </tp>
      <tp t="e">
        <v>#N/A</v>
        <stp/>
        <stp>BDH|7832102981540939574</stp>
        <tr r="S13" s="23"/>
        <tr r="Q57" s="11"/>
        <tr r="Q38" s="4"/>
      </tp>
      <tp t="e">
        <v>#N/A</v>
        <stp/>
        <stp>BDH|4501033532869711549</stp>
        <tr r="M79" s="18"/>
      </tp>
      <tp t="e">
        <v>#N/A</v>
        <stp/>
        <stp>BDH|6646236184833507439</stp>
        <tr r="R22" s="17"/>
      </tp>
      <tp t="e">
        <v>#N/A</v>
        <stp/>
        <stp>BDH|9004600557291955095</stp>
        <tr r="V43" s="21"/>
      </tp>
      <tp t="e">
        <v>#N/A</v>
        <stp/>
        <stp>BDH|8598944636279197014</stp>
        <tr r="H19" s="10"/>
      </tp>
      <tp t="e">
        <v>#N/A</v>
        <stp/>
        <stp>BDH|8276090209912634138</stp>
        <tr r="Z48" s="12"/>
      </tp>
      <tp t="e">
        <v>#N/A</v>
        <stp/>
        <stp>BDH|6655302406738444630</stp>
        <tr r="E19" s="5"/>
        <tr r="E43" s="6"/>
      </tp>
      <tp t="e">
        <v>#N/A</v>
        <stp/>
        <stp>BDH|9167003913717479411</stp>
        <tr r="J43" s="17"/>
        <tr r="J9" s="25"/>
      </tp>
      <tp t="e">
        <v>#N/A</v>
        <stp/>
        <stp>BDH|5108914085226269904</stp>
        <tr r="V21" s="12"/>
      </tp>
      <tp t="e">
        <v>#N/A</v>
        <stp/>
        <stp>BDH|7915772546776629992</stp>
        <tr r="R37" s="12"/>
      </tp>
      <tp t="e">
        <v>#N/A</v>
        <stp/>
        <stp>BDH|6270574906849782137</stp>
        <tr r="W16" s="23"/>
      </tp>
      <tp t="e">
        <v>#N/A</v>
        <stp/>
        <stp>BDH|2442037387028016975</stp>
        <tr r="F23" s="6"/>
      </tp>
      <tp t="e">
        <v>#N/A</v>
        <stp/>
        <stp>BDH|4338631792297523704</stp>
        <tr r="D53" s="12"/>
      </tp>
      <tp t="e">
        <v>#N/A</v>
        <stp/>
        <stp>BDH|2095121408938950042</stp>
        <tr r="Y60" s="11"/>
      </tp>
      <tp t="e">
        <v>#N/A</v>
        <stp/>
        <stp>BDH|5530971150461289378</stp>
        <tr r="Z67" s="24"/>
      </tp>
      <tp t="e">
        <v>#N/A</v>
        <stp/>
        <stp>BDH|6915867309215129000</stp>
        <tr r="G95" s="18"/>
      </tp>
      <tp t="e">
        <v>#N/A</v>
        <stp/>
        <stp>BDH|8789736471266095523</stp>
        <tr r="P35" s="24"/>
      </tp>
      <tp t="e">
        <v>#N/A</v>
        <stp/>
        <stp>BDH|4043654896172413206</stp>
        <tr r="O58" s="13"/>
      </tp>
      <tp t="e">
        <v>#N/A</v>
        <stp/>
        <stp>BDH|8153678645228312977</stp>
        <tr r="M28" s="17"/>
      </tp>
      <tp t="e">
        <v>#N/A</v>
        <stp/>
        <stp>BDH|3496621440103458955</stp>
        <tr r="Z166" s="18"/>
      </tp>
      <tp t="e">
        <v>#N/A</v>
        <stp/>
        <stp>BDH|3439249259438639785</stp>
        <tr r="AA23" s="13"/>
      </tp>
      <tp t="e">
        <v>#N/A</v>
        <stp/>
        <stp>BDH|5238969877013265367</stp>
        <tr r="L15" s="10"/>
      </tp>
      <tp t="e">
        <v>#N/A</v>
        <stp/>
        <stp>BDH|1697800178266926302</stp>
        <tr r="O82" s="18"/>
      </tp>
      <tp t="e">
        <v>#N/A</v>
        <stp/>
        <stp>BDH|4613282351410947818</stp>
        <tr r="D30" s="17"/>
      </tp>
      <tp t="e">
        <v>#N/A</v>
        <stp/>
        <stp>BDH|8474958052309005647</stp>
        <tr r="J17" s="21"/>
      </tp>
      <tp t="e">
        <v>#N/A</v>
        <stp/>
        <stp>BDH|5486018551172329908</stp>
        <tr r="C22" s="5"/>
      </tp>
      <tp t="e">
        <v>#N/A</v>
        <stp/>
        <stp>BDH|3317009240895332978</stp>
        <tr r="N46" s="13"/>
      </tp>
      <tp t="e">
        <v>#N/A</v>
        <stp/>
        <stp>BDH|4137360362682292807</stp>
        <tr r="U94" s="17"/>
      </tp>
      <tp t="e">
        <v>#N/A</v>
        <stp/>
        <stp>BDH|8870479514123827547</stp>
        <tr r="T21" s="20"/>
      </tp>
      <tp t="e">
        <v>#N/A</v>
        <stp/>
        <stp>BDH|8549153569833773792</stp>
        <tr r="J14" s="30"/>
      </tp>
      <tp t="e">
        <v>#N/A</v>
        <stp/>
        <stp>BDH|1200719332487123975</stp>
        <tr r="C25" s="18"/>
      </tp>
      <tp t="e">
        <v>#N/A</v>
        <stp/>
        <stp>BDH|3243586892780798486</stp>
        <tr r="X19" s="26"/>
      </tp>
      <tp t="e">
        <v>#N/A</v>
        <stp/>
        <stp>BDH|3727869116042740372</stp>
        <tr r="Y13" s="11"/>
      </tp>
      <tp t="e">
        <v>#N/A</v>
        <stp/>
        <stp>BDH|1285411584663259526</stp>
        <tr r="K13" s="34"/>
      </tp>
      <tp t="e">
        <v>#N/A</v>
        <stp/>
        <stp>BDH|6936115152769995046</stp>
        <tr r="Q18" s="26"/>
      </tp>
      <tp t="e">
        <v>#N/A</v>
        <stp/>
        <stp>BDH|9361058543505250300</stp>
        <tr r="O20" s="12"/>
      </tp>
      <tp t="e">
        <v>#N/A</v>
        <stp/>
        <stp>BDH|9768049866457260303</stp>
        <tr r="K8" s="20"/>
        <tr r="K110" s="18"/>
      </tp>
      <tp t="e">
        <v>#N/A</v>
        <stp/>
        <stp>BDH|2833395789841856375</stp>
        <tr r="U94" s="18"/>
      </tp>
      <tp t="e">
        <v>#N/A</v>
        <stp/>
        <stp>BDH|9684611800683962797</stp>
        <tr r="J32" s="26"/>
      </tp>
      <tp t="e">
        <v>#N/A</v>
        <stp/>
        <stp>BDH|6614612332429534145</stp>
        <tr r="P93" s="12"/>
      </tp>
      <tp t="e">
        <v>#N/A</v>
        <stp/>
        <stp>BDH|9446296418658529947</stp>
        <tr r="O14" s="22"/>
      </tp>
      <tp t="e">
        <v>#N/A</v>
        <stp/>
        <stp>BDH|9786018304076296449</stp>
        <tr r="N68" s="17"/>
        <tr r="K8" s="9"/>
        <tr r="K8" s="5"/>
      </tp>
      <tp t="e">
        <v>#N/A</v>
        <stp/>
        <stp>BDH|9510052666260651444</stp>
        <tr r="W15" s="5"/>
      </tp>
      <tp t="e">
        <v>#N/A</v>
        <stp/>
        <stp>BDH|8389139654110600760</stp>
        <tr r="K6" s="28"/>
      </tp>
      <tp t="e">
        <v>#N/A</v>
        <stp/>
        <stp>BDH|5338979917220418639</stp>
        <tr r="U9" s="20"/>
        <tr r="U111" s="18"/>
      </tp>
      <tp t="e">
        <v>#N/A</v>
        <stp/>
        <stp>BDH|9157474741435628757</stp>
        <tr r="I11" s="17"/>
      </tp>
      <tp t="e">
        <v>#N/A</v>
        <stp/>
        <stp>BDH|9831123558002250446</stp>
        <tr r="S29" s="12"/>
      </tp>
      <tp t="e">
        <v>#N/A</v>
        <stp/>
        <stp>BDH|6818933446662836214</stp>
        <tr r="R38" s="25"/>
      </tp>
      <tp t="e">
        <v>#N/A</v>
        <stp/>
        <stp>BDH|2770029884304196547</stp>
        <tr r="P11" s="13"/>
      </tp>
      <tp t="e">
        <v>#N/A</v>
        <stp/>
        <stp>BDH|6344976766940293240</stp>
        <tr r="F45" s="13"/>
      </tp>
      <tp t="e">
        <v>#N/A</v>
        <stp/>
        <stp>BDH|1586532133718093416</stp>
        <tr r="E11" s="6"/>
      </tp>
      <tp t="e">
        <v>#N/A</v>
        <stp/>
        <stp>BDH|8805017778207624335</stp>
        <tr r="M131" s="18"/>
      </tp>
      <tp t="e">
        <v>#N/A</v>
        <stp/>
        <stp>BDH|2440873720226222555</stp>
        <tr r="G14" s="17"/>
        <tr r="G17" s="28"/>
      </tp>
      <tp t="e">
        <v>#N/A</v>
        <stp/>
        <stp>BDH|9704336165746706123</stp>
        <tr r="X9" s="13"/>
      </tp>
      <tp t="e">
        <v>#N/A</v>
        <stp/>
        <stp>BDH|6184302781602199457</stp>
        <tr r="X41" s="13"/>
        <tr r="V29" s="11"/>
        <tr r="V37" s="10"/>
      </tp>
      <tp t="e">
        <v>#N/A</v>
        <stp/>
        <stp>BDH|8358164106676435436</stp>
        <tr r="P35" s="25"/>
      </tp>
      <tp t="e">
        <v>#N/A</v>
        <stp/>
        <stp>BDH|9724553435402476677</stp>
        <tr r="C62" s="34"/>
      </tp>
      <tp t="e">
        <v>#N/A</v>
        <stp/>
        <stp>BDH|3701131573016266812</stp>
        <tr r="T42" s="4"/>
      </tp>
      <tp t="e">
        <v>#N/A</v>
        <stp/>
        <stp>BDH|4137581366125335985</stp>
        <tr r="F86" s="12"/>
      </tp>
      <tp t="e">
        <v>#N/A</v>
        <stp/>
        <stp>BDH|8274966595416429512</stp>
        <tr r="I34" s="34"/>
      </tp>
      <tp t="e">
        <v>#N/A</v>
        <stp/>
        <stp>BDH|3249224712498660306</stp>
        <tr r="X171" s="18"/>
      </tp>
      <tp t="e">
        <v>#N/A</v>
        <stp/>
        <stp>BDH|4306161903079409765</stp>
        <tr r="V21" s="24"/>
      </tp>
      <tp t="e">
        <v>#N/A</v>
        <stp/>
        <stp>BDH|1720621323217153933</stp>
        <tr r="J24" s="24"/>
      </tp>
      <tp t="e">
        <v>#N/A</v>
        <stp/>
        <stp>BDH|8293712481848161472</stp>
        <tr r="T17" s="21"/>
      </tp>
      <tp t="e">
        <v>#N/A</v>
        <stp/>
        <stp>BDH|7035499135888911314</stp>
        <tr r="J10" s="30"/>
      </tp>
      <tp t="e">
        <v>#N/A</v>
        <stp/>
        <stp>BDH|7344192521879908669</stp>
        <tr r="Y90" s="12"/>
      </tp>
      <tp t="e">
        <v>#N/A</v>
        <stp/>
        <stp>BDH|9540283803116356694</stp>
        <tr r="C16" s="22"/>
      </tp>
      <tp t="e">
        <v>#N/A</v>
        <stp/>
        <stp>BDH|3515020662258530646</stp>
        <tr r="S133" s="18"/>
      </tp>
      <tp t="e">
        <v>#N/A</v>
        <stp/>
        <stp>BDH|5764476613018405338</stp>
        <tr r="J16" s="6"/>
      </tp>
      <tp t="e">
        <v>#N/A</v>
        <stp/>
        <stp>BDH|2281903352280468507</stp>
        <tr r="Q24" s="17"/>
      </tp>
      <tp t="e">
        <v>#N/A</v>
        <stp/>
        <stp>BDH|3049849496778378155</stp>
        <tr r="F67" s="34"/>
      </tp>
      <tp t="e">
        <v>#N/A</v>
        <stp/>
        <stp>BDH|4517958913113108463</stp>
        <tr r="E58" s="12"/>
      </tp>
      <tp t="e">
        <v>#N/A</v>
        <stp/>
        <stp>BDH|7582093515384956947</stp>
        <tr r="Y6" s="15"/>
        <tr r="Y6" s="10"/>
        <tr r="Y11" s="4"/>
        <tr r="Y12" s="2"/>
      </tp>
      <tp t="e">
        <v>#N/A</v>
        <stp/>
        <stp>BDH|2982265606113839852</stp>
        <tr r="S23" s="11"/>
      </tp>
      <tp t="e">
        <v>#N/A</v>
        <stp/>
        <stp>BDH|5943943381787845809</stp>
        <tr r="P43" s="18"/>
      </tp>
      <tp t="e">
        <v>#N/A</v>
        <stp/>
        <stp>BDH|7072832044177098730</stp>
        <tr r="I99" s="12"/>
      </tp>
      <tp t="e">
        <v>#N/A</v>
        <stp/>
        <stp>BDH|9207245216284296563</stp>
        <tr r="P26" s="26"/>
      </tp>
      <tp t="e">
        <v>#N/A</v>
        <stp/>
        <stp>BDH|9809884264884008801</stp>
        <tr r="E56" s="13"/>
      </tp>
      <tp t="e">
        <v>#N/A</v>
        <stp/>
        <stp>BDH|1450072318943799888</stp>
        <tr r="W22" s="24"/>
      </tp>
      <tp t="e">
        <v>#N/A</v>
        <stp/>
        <stp>BDH|1017162724549057072</stp>
        <tr r="C23" s="22"/>
      </tp>
      <tp t="e">
        <v>#N/A</v>
        <stp/>
        <stp>BDH|9109760414685309157</stp>
        <tr r="G69" s="24"/>
      </tp>
      <tp t="e">
        <v>#N/A</v>
        <stp/>
        <stp>BDH|9509702615791078553</stp>
        <tr r="M19" s="34"/>
      </tp>
      <tp t="e">
        <v>#N/A</v>
        <stp/>
        <stp>BDH|3769247617028718360</stp>
        <tr r="W14" s="6"/>
      </tp>
      <tp t="e">
        <v>#N/A</v>
        <stp/>
        <stp>BDH|7744226286302344455</stp>
        <tr r="Q16" s="14"/>
      </tp>
      <tp t="e">
        <v>#N/A</v>
        <stp/>
        <stp>BDH|3250770265241618836</stp>
        <tr r="J9" s="10"/>
      </tp>
      <tp t="e">
        <v>#N/A</v>
        <stp/>
        <stp>BDH|9300963094033577117</stp>
        <tr r="AA37" s="18"/>
      </tp>
      <tp t="e">
        <v>#N/A</v>
        <stp/>
        <stp>BDH|8928371212307076694</stp>
        <tr r="Z16" s="20"/>
      </tp>
      <tp t="e">
        <v>#N/A</v>
        <stp/>
        <stp>BDH|2455630643478460355</stp>
        <tr r="J28" s="34"/>
      </tp>
      <tp t="e">
        <v>#N/A</v>
        <stp/>
        <stp>BDH|4059214826726617942</stp>
        <tr r="Q19" s="29"/>
        <tr r="Q10" s="29"/>
        <tr r="Q25" s="29"/>
        <tr r="P6" s="9"/>
        <tr r="R12" s="8"/>
        <tr r="P6" s="5"/>
        <tr r="Q6" s="2"/>
      </tp>
      <tp t="e">
        <v>#N/A</v>
        <stp/>
        <stp>BDH|6038979020256148039</stp>
        <tr r="F8" s="34"/>
      </tp>
      <tp t="e">
        <v>#N/A</v>
        <stp/>
        <stp>BDH|6191917227753441568</stp>
        <tr r="E94" s="17"/>
      </tp>
      <tp t="e">
        <v>#N/A</v>
        <stp/>
        <stp>BDH|7121979422970675771</stp>
        <tr r="R25" s="21"/>
      </tp>
      <tp t="e">
        <v>#N/A</v>
        <stp/>
        <stp>BDH|1300304621018066376</stp>
        <tr r="Y73" s="17"/>
      </tp>
      <tp t="e">
        <v>#N/A</v>
        <stp/>
        <stp>BDH|6585715170229895492</stp>
        <tr r="L30" s="5"/>
      </tp>
      <tp t="e">
        <v>#N/A</v>
        <stp/>
        <stp>BDH|9840414441291532385</stp>
        <tr r="C82" s="12"/>
      </tp>
      <tp t="e">
        <v>#N/A</v>
        <stp/>
        <stp>BDH|2670986828062224017</stp>
        <tr r="I104" s="12"/>
      </tp>
      <tp t="e">
        <v>#N/A</v>
        <stp/>
        <stp>BDH|1867107546719387689</stp>
        <tr r="Y62" s="24"/>
      </tp>
      <tp t="e">
        <v>#N/A</v>
        <stp/>
        <stp>BDH|6633888051591887121</stp>
        <tr r="C8" s="14"/>
      </tp>
      <tp t="e">
        <v>#N/A</v>
        <stp/>
        <stp>BDH|1737857567366118210</stp>
        <tr r="G64" s="21"/>
        <tr r="E23" s="7"/>
      </tp>
      <tp t="e">
        <v>#N/A</v>
        <stp/>
        <stp>BDH|9273619700771760516</stp>
        <tr r="V15" s="10"/>
      </tp>
      <tp t="e">
        <v>#N/A</v>
        <stp/>
        <stp>BDH|4152158834658520500</stp>
        <tr r="E31" s="26"/>
      </tp>
      <tp t="e">
        <v>#N/A</v>
        <stp/>
        <stp>BDH|9038866096482009158</stp>
        <tr r="G105" s="12"/>
      </tp>
      <tp t="e">
        <v>#N/A</v>
        <stp/>
        <stp>BDH|5045412597516290512</stp>
        <tr r="Q90" s="18"/>
      </tp>
      <tp t="e">
        <v>#N/A</v>
        <stp/>
        <stp>BDH|4448217072228788251</stp>
        <tr r="L69" s="24"/>
      </tp>
      <tp t="e">
        <v>#N/A</v>
        <stp/>
        <stp>BDH|8096367765227670103</stp>
        <tr r="D15" s="25"/>
      </tp>
      <tp t="e">
        <v>#N/A</v>
        <stp/>
        <stp>BDH|5697913984127652805</stp>
        <tr r="G76" s="12"/>
      </tp>
      <tp t="e">
        <v>#N/A</v>
        <stp/>
        <stp>BDH|3945923269732281552</stp>
        <tr r="T45" s="17"/>
      </tp>
      <tp t="e">
        <v>#N/A</v>
        <stp/>
        <stp>BDH|7383252487456019045</stp>
        <tr r="G39" s="26"/>
      </tp>
      <tp t="e">
        <v>#N/A</v>
        <stp/>
        <stp>BDH|3681056477329751665</stp>
        <tr r="P20" s="27"/>
      </tp>
      <tp t="e">
        <v>#N/A</v>
        <stp/>
        <stp>BDH|5119732040478096573</stp>
        <tr r="O72" s="24"/>
      </tp>
      <tp t="e">
        <v>#N/A</v>
        <stp/>
        <stp>BDH|6327541312079064009</stp>
        <tr r="M8" s="34"/>
      </tp>
      <tp t="e">
        <v>#N/A</v>
        <stp/>
        <stp>BDH|7318346945938537323</stp>
        <tr r="T11" s="21"/>
      </tp>
      <tp t="e">
        <v>#N/A</v>
        <stp/>
        <stp>BDH|6047936147349361929</stp>
        <tr r="U47" s="12"/>
      </tp>
      <tp t="e">
        <v>#N/A</v>
        <stp/>
        <stp>BDH|1743846083393274978</stp>
        <tr r="Y18" s="18"/>
      </tp>
      <tp t="e">
        <v>#N/A</v>
        <stp/>
        <stp>BDH|68709216176993699</stp>
        <tr r="J56" s="12"/>
      </tp>
      <tp t="e">
        <v>#N/A</v>
        <stp/>
        <stp>BDH|12743486628298165</stp>
        <tr r="L7" s="14"/>
      </tp>
      <tp t="e">
        <v>#N/A</v>
        <stp/>
        <stp>BDH|15209467941981394</stp>
        <tr r="D20" s="10"/>
      </tp>
      <tp t="e">
        <v>#N/A</v>
        <stp/>
        <stp>BDH|80402046511290742</stp>
        <tr r="J25" s="11"/>
        <tr r="J33" s="10"/>
      </tp>
      <tp t="e">
        <v>#N/A</v>
        <stp/>
        <stp>BDH|15885673660598949</stp>
        <tr r="H51" s="10"/>
        <tr r="H43" s="11"/>
        <tr r="H15" s="7"/>
      </tp>
      <tp t="e">
        <v>#N/A</v>
        <stp/>
        <stp>BDH|43165164285257485</stp>
        <tr r="H78" s="12"/>
      </tp>
      <tp t="e">
        <v>#N/A</v>
        <stp/>
        <stp>BDH|18835538814774950</stp>
        <tr r="J15" s="17"/>
        <tr r="J18" s="28"/>
      </tp>
      <tp t="e">
        <v>#N/A</v>
        <stp/>
        <stp>BDH|7735363347247466385</stp>
        <tr r="G78" s="18"/>
      </tp>
      <tp t="e">
        <v>#N/A</v>
        <stp/>
        <stp>BDH|5852147520667004565</stp>
        <tr r="J63" s="18"/>
      </tp>
      <tp t="e">
        <v>#N/A</v>
        <stp/>
        <stp>BDH|2985458542046724033</stp>
        <tr r="X94" s="18"/>
      </tp>
      <tp t="e">
        <v>#N/A</v>
        <stp/>
        <stp>BDH|4588581544154119528</stp>
        <tr r="Q25" s="26"/>
      </tp>
      <tp t="e">
        <v>#N/A</v>
        <stp/>
        <stp>BDH|9770263560019237096</stp>
        <tr r="C60" s="18"/>
      </tp>
      <tp t="e">
        <v>#N/A</v>
        <stp/>
        <stp>BDH|5893015867892642520</stp>
        <tr r="C17" s="18"/>
      </tp>
      <tp t="e">
        <v>#N/A</v>
        <stp/>
        <stp>BDH|1623560909748658853</stp>
        <tr r="AA30" s="24"/>
      </tp>
      <tp t="e">
        <v>#N/A</v>
        <stp/>
        <stp>BDH|5928726202032129425</stp>
        <tr r="AA17" s="14"/>
      </tp>
      <tp t="e">
        <v>#N/A</v>
        <stp/>
        <stp>BDH|8246556673087758994</stp>
        <tr r="K30" s="29"/>
        <tr r="K8" s="29"/>
      </tp>
      <tp t="e">
        <v>#N/A</v>
        <stp/>
        <stp>BDH|2445956093185190399</stp>
        <tr r="D24" s="21"/>
      </tp>
      <tp t="e">
        <v>#N/A</v>
        <stp/>
        <stp>BDH|4429307116043935115</stp>
        <tr r="AA10" s="30"/>
      </tp>
      <tp t="e">
        <v>#N/A</v>
        <stp/>
        <stp>BDH|5883724546337022568</stp>
        <tr r="L47" s="12"/>
      </tp>
      <tp t="e">
        <v>#N/A</v>
        <stp/>
        <stp>BDH|5978897648459749455</stp>
        <tr r="Q52" s="13"/>
        <tr r="O47" s="11"/>
        <tr r="O55" s="10"/>
        <tr r="O17" s="7"/>
        <tr r="O17" s="4"/>
        <tr r="Q10" s="3"/>
      </tp>
      <tp t="e">
        <v>#N/A</v>
        <stp/>
        <stp>BDH|6245214418228452953</stp>
        <tr r="N19" s="17"/>
      </tp>
      <tp t="e">
        <v>#N/A</v>
        <stp/>
        <stp>BDH|7478364652283335696</stp>
        <tr r="Y80" s="18"/>
      </tp>
      <tp t="e">
        <v>#N/A</v>
        <stp/>
        <stp>BDH|3813022786786517931</stp>
        <tr r="AA40" s="21"/>
      </tp>
      <tp t="e">
        <v>#N/A</v>
        <stp/>
        <stp>BDH|2626641258346658362</stp>
        <tr r="Q15" s="10"/>
      </tp>
      <tp t="e">
        <v>#N/A</v>
        <stp/>
        <stp>BDH|3013517722061826112</stp>
        <tr r="P9" s="27"/>
      </tp>
      <tp t="e">
        <v>#N/A</v>
        <stp/>
        <stp>BDH|4423884595860015139</stp>
        <tr r="C58" s="21"/>
        <tr r="C37" s="25"/>
      </tp>
      <tp t="e">
        <v>#N/A</v>
        <stp/>
        <stp>BDH|4967043394401536864</stp>
        <tr r="X58" s="34"/>
      </tp>
      <tp t="e">
        <v>#N/A</v>
        <stp/>
        <stp>BDH|4833585657834861450</stp>
        <tr r="L34" s="21"/>
      </tp>
      <tp t="e">
        <v>#N/A</v>
        <stp/>
        <stp>BDH|7609388564292380439</stp>
        <tr r="H146" s="18"/>
      </tp>
      <tp t="e">
        <v>#N/A</v>
        <stp/>
        <stp>BDH|7593349317603486285</stp>
        <tr r="F87" s="12"/>
      </tp>
      <tp t="e">
        <v>#N/A</v>
        <stp/>
        <stp>BDH|9678720604832341890</stp>
        <tr r="U41" s="18"/>
      </tp>
      <tp t="e">
        <v>#N/A</v>
        <stp/>
        <stp>BDH|8098111690137913323</stp>
        <tr r="I30" s="6"/>
      </tp>
      <tp t="e">
        <v>#N/A</v>
        <stp/>
        <stp>BDH|7254037939516290604</stp>
        <tr r="H58" s="21"/>
        <tr r="H37" s="25"/>
        <tr r="F53" s="11"/>
        <tr r="F31" s="4"/>
      </tp>
      <tp t="e">
        <v>#N/A</v>
        <stp/>
        <stp>BDH|2800834315538688723</stp>
        <tr r="Q34" s="6"/>
      </tp>
      <tp t="e">
        <v>#N/A</v>
        <stp/>
        <stp>BDH|7988110815641661215</stp>
        <tr r="W18" s="25"/>
      </tp>
      <tp t="e">
        <v>#N/A</v>
        <stp/>
        <stp>BDH|3279858921219866446</stp>
        <tr r="G67" s="12"/>
      </tp>
      <tp t="e">
        <v>#N/A</v>
        <stp/>
        <stp>BDH|9939835651754645478</stp>
        <tr r="V85" s="12"/>
      </tp>
      <tp t="e">
        <v>#N/A</v>
        <stp/>
        <stp>BDH|7181756558453079260</stp>
        <tr r="Y109" s="12"/>
      </tp>
      <tp t="e">
        <v>#N/A</v>
        <stp/>
        <stp>BDH|9355406659555788972</stp>
        <tr r="H83" s="12"/>
      </tp>
      <tp t="e">
        <v>#N/A</v>
        <stp/>
        <stp>BDH|5992137628770117297</stp>
        <tr r="C56" s="24"/>
      </tp>
      <tp t="e">
        <v>#N/A</v>
        <stp/>
        <stp>BDH|7933659504216443363</stp>
        <tr r="N82" s="18"/>
      </tp>
      <tp t="e">
        <v>#N/A</v>
        <stp/>
        <stp>BDH|8721080897286364307</stp>
        <tr r="M24" s="24"/>
      </tp>
      <tp t="e">
        <v>#N/A</v>
        <stp/>
        <stp>BDH|4240795064229518813</stp>
        <tr r="G59" s="13"/>
      </tp>
      <tp t="e">
        <v>#N/A</v>
        <stp/>
        <stp>BDH|3575028640982520195</stp>
        <tr r="G72" s="24"/>
      </tp>
      <tp t="e">
        <v>#N/A</v>
        <stp/>
        <stp>BDH|8054953480214729996</stp>
        <tr r="M11" s="13"/>
      </tp>
      <tp t="e">
        <v>#N/A</v>
        <stp/>
        <stp>BDH|7947066362327072265</stp>
        <tr r="V21" s="22"/>
      </tp>
      <tp t="e">
        <v>#N/A</v>
        <stp/>
        <stp>BDH|6177822750456066984</stp>
        <tr r="H20" s="11"/>
      </tp>
      <tp t="e">
        <v>#N/A</v>
        <stp/>
        <stp>BDH|6628241108263410353</stp>
        <tr r="Y9" s="28"/>
      </tp>
      <tp t="e">
        <v>#N/A</v>
        <stp/>
        <stp>BDH|2167451346786929000</stp>
        <tr r="Q14" s="10"/>
      </tp>
      <tp t="e">
        <v>#N/A</v>
        <stp/>
        <stp>BDH|4584366421344075598</stp>
        <tr r="Y25" s="26"/>
      </tp>
      <tp t="e">
        <v>#N/A</v>
        <stp/>
        <stp>BDH|1020003164022721181</stp>
        <tr r="K170" s="18"/>
      </tp>
      <tp t="e">
        <v>#N/A</v>
        <stp/>
        <stp>BDH|3933794606552908240</stp>
        <tr r="T160" s="18"/>
      </tp>
      <tp t="e">
        <v>#N/A</v>
        <stp/>
        <stp>BDH|5323801023478333381</stp>
        <tr r="O120" s="18"/>
      </tp>
      <tp t="e">
        <v>#N/A</v>
        <stp/>
        <stp>BDH|8687358698970184614</stp>
        <tr r="L27" s="7"/>
      </tp>
      <tp t="e">
        <v>#N/A</v>
        <stp/>
        <stp>BDH|2137487231160170127</stp>
        <tr r="D19" s="34"/>
      </tp>
      <tp t="e">
        <v>#N/A</v>
        <stp/>
        <stp>BDH|1465307899409691609</stp>
        <tr r="F59" s="18"/>
      </tp>
      <tp t="e">
        <v>#N/A</v>
        <stp/>
        <stp>BDH|9564037287606878325</stp>
        <tr r="X27" s="25"/>
        <tr r="X13" s="27"/>
      </tp>
      <tp t="e">
        <v>#N/A</v>
        <stp/>
        <stp>BDH|4640253672307991239</stp>
        <tr r="Q122" s="18"/>
      </tp>
      <tp t="e">
        <v>#N/A</v>
        <stp/>
        <stp>BDH|1351099563791384217</stp>
        <tr r="N53" s="13"/>
      </tp>
      <tp t="e">
        <v>#N/A</v>
        <stp/>
        <stp>BDH|7576596105323269503</stp>
        <tr r="Q25" s="7"/>
      </tp>
      <tp t="e">
        <v>#N/A</v>
        <stp/>
        <stp>BDH|1447872698643617767</stp>
        <tr r="L16" s="25"/>
      </tp>
      <tp t="e">
        <v>#N/A</v>
        <stp/>
        <stp>BDH|1768194482108504425</stp>
        <tr r="O87" s="17"/>
      </tp>
      <tp t="e">
        <v>#N/A</v>
        <stp/>
        <stp>BDH|7173430928190570548</stp>
        <tr r="E19" s="26"/>
      </tp>
      <tp t="e">
        <v>#N/A</v>
        <stp/>
        <stp>BDH|2457685538685784687</stp>
        <tr r="O34" s="12"/>
      </tp>
      <tp t="e">
        <v>#N/A</v>
        <stp/>
        <stp>BDH|1518635824850151182</stp>
        <tr r="AA15" s="17"/>
        <tr r="AA18" s="28"/>
      </tp>
      <tp t="e">
        <v>#N/A</v>
        <stp/>
        <stp>BDH|5205801177948746697</stp>
        <tr r="Y65" s="17"/>
      </tp>
      <tp t="e">
        <v>#N/A</v>
        <stp/>
        <stp>BDH|4876071779635986242</stp>
        <tr r="J7" s="34"/>
      </tp>
      <tp t="e">
        <v>#N/A</v>
        <stp/>
        <stp>BDH|6965452117411636669</stp>
        <tr r="R72" s="12"/>
      </tp>
      <tp t="e">
        <v>#N/A</v>
        <stp/>
        <stp>BDH|9939047217038790467</stp>
        <tr r="C14" s="18"/>
      </tp>
      <tp t="e">
        <v>#N/A</v>
        <stp/>
        <stp>BDH|9966976794339390427</stp>
        <tr r="S20" s="29"/>
      </tp>
      <tp t="e">
        <v>#N/A</v>
        <stp/>
        <stp>BDH|4509221405734983603</stp>
        <tr r="O19" s="12"/>
      </tp>
      <tp t="e">
        <v>#N/A</v>
        <stp/>
        <stp>BDH|3410551659865339206</stp>
        <tr r="J26" s="6"/>
      </tp>
      <tp t="e">
        <v>#N/A</v>
        <stp/>
        <stp>BDH|6874553075374082433</stp>
        <tr r="X60" s="12"/>
      </tp>
      <tp t="e">
        <v>#N/A</v>
        <stp/>
        <stp>BDH|3394371941520622083</stp>
        <tr r="M104" s="18"/>
      </tp>
      <tp t="e">
        <v>#N/A</v>
        <stp/>
        <stp>BDH|5822571078743535098</stp>
        <tr r="K18" s="12"/>
      </tp>
      <tp t="e">
        <v>#N/A</v>
        <stp/>
        <stp>BDH|4620972528879164230</stp>
        <tr r="J10" s="17"/>
      </tp>
      <tp t="e">
        <v>#N/A</v>
        <stp/>
        <stp>BDH|4527575141965823402</stp>
        <tr r="M8" s="4"/>
      </tp>
      <tp t="e">
        <v>#N/A</v>
        <stp/>
        <stp>BDH|5490244907334935753</stp>
        <tr r="F62" s="13"/>
        <tr r="D49" s="11"/>
        <tr r="D57" s="10"/>
        <tr r="D19" s="7"/>
        <tr r="D20" s="2"/>
        <tr r="D18" s="4"/>
      </tp>
      <tp t="e">
        <v>#N/A</v>
        <stp/>
        <stp>BDH|9988042429677583895</stp>
        <tr r="R41" s="6"/>
      </tp>
      <tp t="e">
        <v>#N/A</v>
        <stp/>
        <stp>BDH|3321286701736321311</stp>
        <tr r="V86" s="17"/>
      </tp>
      <tp t="e">
        <v>#N/A</v>
        <stp/>
        <stp>BDH|4744648378195284415</stp>
        <tr r="E64" s="24"/>
      </tp>
      <tp t="e">
        <v>#N/A</v>
        <stp/>
        <stp>BDH|8366277397820993723</stp>
        <tr r="N44" s="24"/>
      </tp>
      <tp t="e">
        <v>#N/A</v>
        <stp/>
        <stp>BDH|2108084219954879309</stp>
        <tr r="C70" s="24"/>
      </tp>
      <tp t="e">
        <v>#N/A</v>
        <stp/>
        <stp>BDH|3534363832040058796</stp>
        <tr r="AA7" s="20"/>
        <tr r="AA109" s="18"/>
      </tp>
      <tp t="e">
        <v>#N/A</v>
        <stp/>
        <stp>BDH|1058313477282746393</stp>
        <tr r="Y23" s="22"/>
      </tp>
      <tp t="e">
        <v>#N/A</v>
        <stp/>
        <stp>BDH|4805290129172747277</stp>
        <tr r="Q30" s="29"/>
        <tr r="Q8" s="29"/>
      </tp>
      <tp t="e">
        <v>#N/A</v>
        <stp/>
        <stp>BDH|5384496406950521517</stp>
        <tr r="Z40" s="18"/>
      </tp>
      <tp t="e">
        <v>#N/A</v>
        <stp/>
        <stp>BDH|7077999830540392920</stp>
        <tr r="O61" s="21"/>
        <tr r="M25" s="2"/>
      </tp>
      <tp t="e">
        <v>#N/A</v>
        <stp/>
        <stp>BDH|1921873159771801973</stp>
        <tr r="F126" s="18"/>
      </tp>
      <tp t="e">
        <v>#N/A</v>
        <stp/>
        <stp>BDH|3850377258637866677</stp>
        <tr r="I93" s="17"/>
        <tr r="I13" s="28"/>
      </tp>
      <tp t="e">
        <v>#N/A</v>
        <stp/>
        <stp>BDH|2909171862070146150</stp>
        <tr r="H23" s="9"/>
      </tp>
      <tp t="e">
        <v>#N/A</v>
        <stp/>
        <stp>BDH|9614661218423885989</stp>
        <tr r="T48" s="18"/>
      </tp>
      <tp t="e">
        <v>#N/A</v>
        <stp/>
        <stp>BDH|4061069816846911713</stp>
        <tr r="U54" s="34"/>
      </tp>
      <tp t="e">
        <v>#N/A</v>
        <stp/>
        <stp>BDH|7522195837059351807</stp>
        <tr r="G42" s="22"/>
      </tp>
      <tp t="e">
        <v>#N/A</v>
        <stp/>
        <stp>BDH|4818636196328104741</stp>
        <tr r="E25" s="27"/>
      </tp>
      <tp t="e">
        <v>#N/A</v>
        <stp/>
        <stp>BDH|5174717329524841095</stp>
        <tr r="H19" s="11"/>
      </tp>
      <tp t="e">
        <v>#N/A</v>
        <stp/>
        <stp>BDH|4592491960523306179</stp>
        <tr r="P12" s="10"/>
      </tp>
      <tp t="e">
        <v>#N/A</v>
        <stp/>
        <stp>BDH|9393688800378624354</stp>
        <tr r="N55" s="24"/>
      </tp>
      <tp t="e">
        <v>#N/A</v>
        <stp/>
        <stp>BDH|6982739323280730764</stp>
        <tr r="L13" s="9"/>
      </tp>
      <tp t="e">
        <v>#N/A</v>
        <stp/>
        <stp>BDH|8124981042646626750</stp>
        <tr r="V53" s="17"/>
        <tr r="V10" s="25"/>
      </tp>
      <tp t="e">
        <v>#N/A</v>
        <stp/>
        <stp>BDH|5769990473736039955</stp>
        <tr r="Y123" s="18"/>
      </tp>
      <tp t="e">
        <v>#N/A</v>
        <stp/>
        <stp>BDH|7978444812326543023</stp>
        <tr r="F134" s="18"/>
      </tp>
      <tp t="e">
        <v>#N/A</v>
        <stp/>
        <stp>BDH|4106350746422241586</stp>
        <tr r="P133" s="18"/>
      </tp>
      <tp t="e">
        <v>#N/A</v>
        <stp/>
        <stp>BDH|6223984340296256907</stp>
        <tr r="H66" s="34"/>
      </tp>
      <tp t="e">
        <v>#N/A</v>
        <stp/>
        <stp>BDH|2885016731405446047</stp>
        <tr r="Z48" s="22"/>
      </tp>
      <tp t="e">
        <v>#N/A</v>
        <stp/>
        <stp>BDH|6631805779114173969</stp>
        <tr r="E56" s="24"/>
      </tp>
      <tp t="e">
        <v>#N/A</v>
        <stp/>
        <stp>BDH|7582991641109788729</stp>
        <tr r="L42" s="13"/>
      </tp>
      <tp t="e">
        <v>#N/A</v>
        <stp/>
        <stp>BDH|1601420250473452789</stp>
        <tr r="W34" s="22"/>
      </tp>
      <tp t="e">
        <v>#N/A</v>
        <stp/>
        <stp>BDH|6764170046616718199</stp>
        <tr r="L20" s="11"/>
      </tp>
      <tp t="e">
        <v>#N/A</v>
        <stp/>
        <stp>BDH|7410019816772941023</stp>
        <tr r="J46" s="24"/>
      </tp>
      <tp t="e">
        <v>#N/A</v>
        <stp/>
        <stp>BDH|6576001632960942161</stp>
        <tr r="H18" s="23"/>
      </tp>
      <tp t="e">
        <v>#N/A</v>
        <stp/>
        <stp>BDH|4032588824915109258</stp>
        <tr r="X31" s="24"/>
      </tp>
      <tp t="e">
        <v>#N/A</v>
        <stp/>
        <stp>BDH|8939802020583492557</stp>
        <tr r="N31" s="29"/>
        <tr r="N39" s="29"/>
        <tr r="M52" s="6"/>
        <tr r="N10" s="2"/>
        <tr r="M11" s="5"/>
      </tp>
      <tp t="e">
        <v>#N/A</v>
        <stp/>
        <stp>BDH|3489963995777986069</stp>
        <tr r="Y51" s="18"/>
      </tp>
      <tp t="e">
        <v>#N/A</v>
        <stp/>
        <stp>BDH|5115757714903010483</stp>
        <tr r="F78" s="24"/>
      </tp>
      <tp t="e">
        <v>#N/A</v>
        <stp/>
        <stp>BDH|8936994869103235038</stp>
        <tr r="S16" s="18"/>
      </tp>
      <tp t="e">
        <v>#N/A</v>
        <stp/>
        <stp>BDH|6156782156924411433</stp>
        <tr r="M7" s="11"/>
      </tp>
      <tp t="e">
        <v>#N/A</v>
        <stp/>
        <stp>BDH|9539349163868878029</stp>
        <tr r="M16" s="24"/>
      </tp>
      <tp t="e">
        <v>#N/A</v>
        <stp/>
        <stp>BDH|1081382992149416666</stp>
        <tr r="K154" s="18"/>
      </tp>
      <tp t="e">
        <v>#N/A</v>
        <stp/>
        <stp>BDH|9381453480077875663</stp>
        <tr r="C32" s="11"/>
        <tr r="C40" s="10"/>
      </tp>
      <tp t="e">
        <v>#N/A</v>
        <stp/>
        <stp>BDH|9483104788843292762</stp>
        <tr r="AA66" s="12"/>
      </tp>
      <tp t="e">
        <v>#N/A</v>
        <stp/>
        <stp>BDH|4567633869813672314</stp>
        <tr r="J98" s="18"/>
      </tp>
      <tp t="e">
        <v>#N/A</v>
        <stp/>
        <stp>BDH|3998077032000076447</stp>
        <tr r="U20" s="27"/>
      </tp>
      <tp t="e">
        <v>#N/A</v>
        <stp/>
        <stp>BDH|4180410000807946305</stp>
        <tr r="M78" s="17"/>
      </tp>
      <tp t="e">
        <v>#N/A</v>
        <stp/>
        <stp>BDH|2228751123501925245</stp>
        <tr r="G28" s="22"/>
      </tp>
      <tp t="e">
        <v>#N/A</v>
        <stp/>
        <stp>BDH|4520811995751840001</stp>
        <tr r="AA58" s="17"/>
      </tp>
      <tp t="e">
        <v>#N/A</v>
        <stp/>
        <stp>BDH|5713028042954783198</stp>
        <tr r="E49" s="34"/>
      </tp>
      <tp t="e">
        <v>#N/A</v>
        <stp/>
        <stp>BDH|1914471470072296459</stp>
        <tr r="E26" s="21"/>
      </tp>
      <tp t="e">
        <v>#N/A</v>
        <stp/>
        <stp>BDH|3875113617933551428</stp>
        <tr r="AA30" s="26"/>
      </tp>
      <tp t="e">
        <v>#N/A</v>
        <stp/>
        <stp>BDH|1216783110390277316</stp>
        <tr r="T43" s="4"/>
      </tp>
      <tp t="e">
        <v>#N/A</v>
        <stp/>
        <stp>BDH|5533585541373518304</stp>
        <tr r="R70" s="12"/>
      </tp>
      <tp t="e">
        <v>#N/A</v>
        <stp/>
        <stp>BDH|8587331877240993811</stp>
        <tr r="K17" s="22"/>
      </tp>
      <tp t="e">
        <v>#N/A</v>
        <stp/>
        <stp>BDH|6242066209640620224</stp>
        <tr r="J82" s="18"/>
      </tp>
      <tp t="e">
        <v>#N/A</v>
        <stp/>
        <stp>BDH|7494886342029044679</stp>
        <tr r="T23" s="17"/>
      </tp>
      <tp t="e">
        <v>#N/A</v>
        <stp/>
        <stp>BDH|6620735148892529318</stp>
        <tr r="D61" s="13"/>
      </tp>
      <tp t="e">
        <v>#N/A</v>
        <stp/>
        <stp>BDH|2705272424690442695</stp>
        <tr r="F13" s="7"/>
      </tp>
      <tp t="e">
        <v>#N/A</v>
        <stp/>
        <stp>BDH|3066567648595623313</stp>
        <tr r="R84" s="18"/>
      </tp>
      <tp t="e">
        <v>#N/A</v>
        <stp/>
        <stp>BDH|5470007521031445280</stp>
        <tr r="Y34" s="11"/>
        <tr r="Y42" s="10"/>
      </tp>
      <tp t="e">
        <v>#N/A</v>
        <stp/>
        <stp>BDH|4822645067088073824</stp>
        <tr r="X40" s="10"/>
        <tr r="X32" s="11"/>
      </tp>
      <tp t="e">
        <v>#N/A</v>
        <stp/>
        <stp>BDH|2343696877131754630</stp>
        <tr r="Y26" s="24"/>
      </tp>
      <tp t="e">
        <v>#N/A</v>
        <stp/>
        <stp>BDH|1973668763186445313</stp>
        <tr r="E60" s="21"/>
      </tp>
      <tp t="e">
        <v>#N/A</v>
        <stp/>
        <stp>BDH|6762482816340662769</stp>
        <tr r="I62" s="13"/>
        <tr r="G57" s="10"/>
        <tr r="G49" s="11"/>
        <tr r="G19" s="7"/>
        <tr r="G20" s="2"/>
        <tr r="G18" s="4"/>
      </tp>
      <tp t="e">
        <v>#N/A</v>
        <stp/>
        <stp>BDH|2734493062844505003</stp>
        <tr r="L10" s="10"/>
      </tp>
      <tp t="e">
        <v>#N/A</v>
        <stp/>
        <stp>BDH|9012064549921665807</stp>
        <tr r="E45" s="13"/>
      </tp>
      <tp t="e">
        <v>#N/A</v>
        <stp/>
        <stp>BDH|5643546152831852012</stp>
        <tr r="C66" s="34"/>
      </tp>
      <tp t="e">
        <v>#N/A</v>
        <stp/>
        <stp>BDH|6831159798889879349</stp>
        <tr r="H16" s="30"/>
      </tp>
      <tp t="e">
        <v>#N/A</v>
        <stp/>
        <stp>BDH|8902616979559895406</stp>
        <tr r="U32" s="11"/>
        <tr r="U40" s="10"/>
      </tp>
      <tp t="e">
        <v>#N/A</v>
        <stp/>
        <stp>BDH|6698346302140989109</stp>
        <tr r="G13" s="18"/>
      </tp>
      <tp t="e">
        <v>#N/A</v>
        <stp/>
        <stp>BDH|3985257342321032071</stp>
        <tr r="Y167" s="18"/>
      </tp>
      <tp t="e">
        <v>#N/A</v>
        <stp/>
        <stp>BDH|1521593124151696377</stp>
        <tr r="C13" s="24"/>
      </tp>
      <tp t="e">
        <v>#N/A</v>
        <stp/>
        <stp>BDH|4666090497368338128</stp>
        <tr r="AA28" s="17"/>
      </tp>
      <tp t="e">
        <v>#N/A</v>
        <stp/>
        <stp>BDH|9891651720931222812</stp>
        <tr r="K110" s="12"/>
      </tp>
      <tp t="e">
        <v>#N/A</v>
        <stp/>
        <stp>BDH|5088536646695986521</stp>
        <tr r="I25" s="13"/>
      </tp>
      <tp t="e">
        <v>#N/A</v>
        <stp/>
        <stp>BDH|5830065372592605442</stp>
        <tr r="X80" s="18"/>
      </tp>
      <tp t="e">
        <v>#N/A</v>
        <stp/>
        <stp>BDH|3003314788414695819</stp>
        <tr r="N143" s="18"/>
      </tp>
      <tp t="e">
        <v>#N/A</v>
        <stp/>
        <stp>BDH|3922888248288685310</stp>
        <tr r="O42" s="11"/>
        <tr r="O14" s="7"/>
        <tr r="O50" s="10"/>
        <tr r="Q9" s="3"/>
      </tp>
      <tp t="e">
        <v>#N/A</v>
        <stp/>
        <stp>BDH|9451056389765077060</stp>
        <tr r="L60" s="11"/>
      </tp>
      <tp t="e">
        <v>#N/A</v>
        <stp/>
        <stp>BDH|1783421819129197932</stp>
        <tr r="I22" s="7"/>
      </tp>
      <tp t="e">
        <v>#N/A</v>
        <stp/>
        <stp>BDH|3116866991430965616</stp>
        <tr r="J60" s="12"/>
      </tp>
      <tp t="e">
        <v>#N/A</v>
        <stp/>
        <stp>BDH|1886708985879697353</stp>
        <tr r="E148" s="18"/>
      </tp>
      <tp t="e">
        <v>#N/A</v>
        <stp/>
        <stp>BDH|1323008781328980554</stp>
        <tr r="M100" s="18"/>
      </tp>
      <tp t="e">
        <v>#N/A</v>
        <stp/>
        <stp>BDH|1867467346675104072</stp>
        <tr r="I9" s="21"/>
      </tp>
      <tp t="e">
        <v>#N/A</v>
        <stp/>
        <stp>BDH|3744037061484353587</stp>
        <tr r="D44" s="6"/>
      </tp>
      <tp t="e">
        <v>#N/A</v>
        <stp/>
        <stp>BDH|7753393422266598478</stp>
        <tr r="J40" s="10"/>
        <tr r="J32" s="11"/>
      </tp>
      <tp t="e">
        <v>#N/A</v>
        <stp/>
        <stp>BDH|4014196414964380402</stp>
        <tr r="I17" s="34"/>
      </tp>
      <tp t="e">
        <v>#N/A</v>
        <stp/>
        <stp>BDH|4071577430406093099</stp>
        <tr r="I9" s="13"/>
      </tp>
      <tp t="e">
        <v>#N/A</v>
        <stp/>
        <stp>BDH|6906932323159607017</stp>
        <tr r="D10" s="11"/>
      </tp>
      <tp t="e">
        <v>#N/A</v>
        <stp/>
        <stp>BDH|9702197657629531026</stp>
        <tr r="J44" s="6"/>
      </tp>
      <tp t="e">
        <v>#N/A</v>
        <stp/>
        <stp>BDH|4048381691188458235</stp>
        <tr r="R41" s="34"/>
      </tp>
      <tp t="e">
        <v>#N/A</v>
        <stp/>
        <stp>BDH|7779338191981229890</stp>
        <tr r="R13" s="13"/>
      </tp>
      <tp t="e">
        <v>#N/A</v>
        <stp/>
        <stp>BDH|2185300615546930239</stp>
        <tr r="Y11" s="10"/>
        <tr r="Y14" s="2"/>
      </tp>
      <tp t="e">
        <v>#N/A</v>
        <stp/>
        <stp>BDH|6623407669039965984</stp>
        <tr r="Z21" s="17"/>
        <tr r="Z15" s="3"/>
      </tp>
      <tp t="e">
        <v>#N/A</v>
        <stp/>
        <stp>BDH|1334081212687029370</stp>
        <tr r="O53" s="17"/>
        <tr r="O10" s="25"/>
      </tp>
      <tp t="e">
        <v>#N/A</v>
        <stp/>
        <stp>BDH|3955812301747406839</stp>
        <tr r="S12" s="10"/>
      </tp>
      <tp t="e">
        <v>#N/A</v>
        <stp/>
        <stp>BDH|3940965672408450179</stp>
        <tr r="Q27" s="26"/>
      </tp>
      <tp t="e">
        <v>#N/A</v>
        <stp/>
        <stp>BDH|2307955241369960209</stp>
        <tr r="H65" s="34"/>
      </tp>
      <tp t="e">
        <v>#N/A</v>
        <stp/>
        <stp>BDH|4206679751471258281</stp>
        <tr r="T51" s="12"/>
      </tp>
      <tp t="e">
        <v>#N/A</v>
        <stp/>
        <stp>BDH|5186094670722246447</stp>
        <tr r="N83" s="18"/>
      </tp>
      <tp t="e">
        <v>#N/A</v>
        <stp/>
        <stp>BDH|9902305084422704449</stp>
        <tr r="J6" s="15"/>
        <tr r="J6" s="10"/>
        <tr r="J12" s="2"/>
        <tr r="J11" s="4"/>
      </tp>
      <tp t="e">
        <v>#N/A</v>
        <stp/>
        <stp>BDH|3413813685770881765</stp>
        <tr r="I16" s="11"/>
      </tp>
      <tp t="e">
        <v>#N/A</v>
        <stp/>
        <stp>BDH|3682215134090551680</stp>
        <tr r="X14" s="34"/>
      </tp>
      <tp t="e">
        <v>#N/A</v>
        <stp/>
        <stp>BDH|3210851488483394426</stp>
        <tr r="S10" s="30"/>
      </tp>
      <tp t="e">
        <v>#N/A</v>
        <stp/>
        <stp>BDH|4120486523965233364</stp>
        <tr r="X108" s="12"/>
      </tp>
      <tp t="e">
        <v>#N/A</v>
        <stp/>
        <stp>BDH|9258105578889524210</stp>
        <tr r="C12" s="25"/>
      </tp>
      <tp t="e">
        <v>#N/A</v>
        <stp/>
        <stp>BDH|2777289760430035214</stp>
        <tr r="C49" s="22"/>
      </tp>
      <tp t="e">
        <v>#N/A</v>
        <stp/>
        <stp>BDH|2816513538279645999</stp>
        <tr r="F34" s="34"/>
      </tp>
      <tp t="e">
        <v>#N/A</v>
        <stp/>
        <stp>BDH|3570108374742836376</stp>
        <tr r="E21" s="6"/>
      </tp>
      <tp t="e">
        <v>#N/A</v>
        <stp/>
        <stp>BDH|4583016159381776446</stp>
        <tr r="M65" s="18"/>
      </tp>
      <tp t="e">
        <v>#N/A</v>
        <stp/>
        <stp>BDH|6331177400353339098</stp>
        <tr r="E13" s="24"/>
      </tp>
      <tp t="e">
        <v>#N/A</v>
        <stp/>
        <stp>BDH|7255738948716748601</stp>
        <tr r="P8" s="2"/>
      </tp>
      <tp t="e">
        <v>#N/A</v>
        <stp/>
        <stp>BDH|1172436200195987457</stp>
        <tr r="U71" s="17"/>
      </tp>
      <tp t="e">
        <v>#N/A</v>
        <stp/>
        <stp>BDH|2156568838518957882</stp>
        <tr r="J105" s="12"/>
      </tp>
      <tp t="e">
        <v>#N/A</v>
        <stp/>
        <stp>BDH|4253709265154005593</stp>
        <tr r="E13" s="5"/>
      </tp>
      <tp t="e">
        <v>#N/A</v>
        <stp/>
        <stp>BDH|5977741266950348065</stp>
        <tr r="V39" s="13"/>
        <tr r="T43" s="10"/>
        <tr r="T35" s="11"/>
        <tr r="T52" s="4"/>
        <tr r="V8" s="3"/>
      </tp>
      <tp t="e">
        <v>#N/A</v>
        <stp/>
        <stp>BDH|2711679369013210549</stp>
        <tr r="E29" s="4"/>
      </tp>
      <tp t="e">
        <v>#N/A</v>
        <stp/>
        <stp>BDH|2803146906064402316</stp>
        <tr r="C42" s="22"/>
      </tp>
      <tp t="e">
        <v>#N/A</v>
        <stp/>
        <stp>BDH|6994688162413851143</stp>
        <tr r="H8" s="10"/>
      </tp>
      <tp t="e">
        <v>#N/A</v>
        <stp/>
        <stp>BDH|8295354498542435449</stp>
        <tr r="J18" s="6"/>
      </tp>
      <tp t="e">
        <v>#N/A</v>
        <stp/>
        <stp>BDH|5313485763290412335</stp>
        <tr r="W24" s="34"/>
      </tp>
      <tp t="e">
        <v>#N/A</v>
        <stp/>
        <stp>BDH|1406699386958448306</stp>
        <tr r="W92" s="12"/>
      </tp>
      <tp t="e">
        <v>#N/A</v>
        <stp/>
        <stp>BDH|2563254114664815130</stp>
        <tr r="D8" s="21"/>
      </tp>
      <tp t="e">
        <v>#N/A</v>
        <stp/>
        <stp>BDH|6386178792473824913</stp>
        <tr r="D15" s="9"/>
      </tp>
      <tp t="e">
        <v>#N/A</v>
        <stp/>
        <stp>BDH|8487788779399834525</stp>
        <tr r="Z22" s="22"/>
      </tp>
      <tp t="e">
        <v>#N/A</v>
        <stp/>
        <stp>BDH|2946390458073295359</stp>
        <tr r="Z27" s="21"/>
      </tp>
      <tp t="e">
        <v>#N/A</v>
        <stp/>
        <stp>BDH|7460576667541921123</stp>
        <tr r="Q97" s="18"/>
      </tp>
      <tp t="e">
        <v>#N/A</v>
        <stp/>
        <stp>BDH|7479582221793225707</stp>
        <tr r="K53" s="6"/>
      </tp>
      <tp t="e">
        <v>#N/A</v>
        <stp/>
        <stp>BDH|2923848347798595203</stp>
        <tr r="N52" s="22"/>
      </tp>
      <tp t="e">
        <v>#N/A</v>
        <stp/>
        <stp>BDH|6808702137365437345</stp>
        <tr r="F63" s="34"/>
      </tp>
      <tp t="e">
        <v>#N/A</v>
        <stp/>
        <stp>BDH|8124591186334111507</stp>
        <tr r="T86" s="18"/>
      </tp>
      <tp t="e">
        <v>#N/A</v>
        <stp/>
        <stp>BDH|2362699993048712118</stp>
        <tr r="O10" s="22"/>
      </tp>
      <tp t="e">
        <v>#N/A</v>
        <stp/>
        <stp>BDH|5443069269547103051</stp>
        <tr r="K12" s="12"/>
      </tp>
      <tp t="e">
        <v>#N/A</v>
        <stp/>
        <stp>BDH|5685842364717909804</stp>
        <tr r="R31" s="24"/>
      </tp>
      <tp t="e">
        <v>#N/A</v>
        <stp/>
        <stp>BDH|5972981298464638508</stp>
        <tr r="F155" s="18"/>
      </tp>
      <tp t="e">
        <v>#N/A</v>
        <stp/>
        <stp>BDH|3888477523539364805</stp>
        <tr r="O8" s="11"/>
      </tp>
      <tp t="e">
        <v>#N/A</v>
        <stp/>
        <stp>BDH|9153019965592983939</stp>
        <tr r="T166" s="18"/>
      </tp>
      <tp t="e">
        <v>#N/A</v>
        <stp/>
        <stp>BDH|5720926787933910347</stp>
        <tr r="J13" s="21"/>
      </tp>
      <tp t="e">
        <v>#N/A</v>
        <stp/>
        <stp>BDH|2739285922041652748</stp>
        <tr r="P83" s="18"/>
      </tp>
      <tp t="e">
        <v>#N/A</v>
        <stp/>
        <stp>BDH|2925457351965026225</stp>
        <tr r="K8" s="14"/>
      </tp>
      <tp t="e">
        <v>#N/A</v>
        <stp/>
        <stp>BDH|1653419873561361784</stp>
        <tr r="K85" s="17"/>
      </tp>
      <tp t="e">
        <v>#N/A</v>
        <stp/>
        <stp>BDH|6884365316691317141</stp>
        <tr r="F46" s="6"/>
      </tp>
      <tp t="e">
        <v>#N/A</v>
        <stp/>
        <stp>BDH|4387588914880010403</stp>
        <tr r="N25" s="18"/>
      </tp>
      <tp t="e">
        <v>#N/A</v>
        <stp/>
        <stp>BDH|8588809521981816733</stp>
        <tr r="G35" s="4"/>
      </tp>
      <tp t="e">
        <v>#N/A</v>
        <stp/>
        <stp>BDH|7226911132358784194</stp>
        <tr r="E64" s="18"/>
      </tp>
      <tp t="e">
        <v>#N/A</v>
        <stp/>
        <stp>BDH|4367585927890516766</stp>
        <tr r="T33" s="12"/>
      </tp>
      <tp t="e">
        <v>#N/A</v>
        <stp/>
        <stp>BDH|7446183070645750048</stp>
        <tr r="X46" s="17"/>
      </tp>
      <tp t="e">
        <v>#N/A</v>
        <stp/>
        <stp>BDH|7177661588839158417</stp>
        <tr r="E83" s="17"/>
      </tp>
      <tp t="e">
        <v>#N/A</v>
        <stp/>
        <stp>BDH|7132914846189128788</stp>
        <tr r="N29" s="22"/>
      </tp>
      <tp t="e">
        <v>#N/A</v>
        <stp/>
        <stp>BDH|9888975004061264567</stp>
        <tr r="S17" s="12"/>
      </tp>
      <tp t="e">
        <v>#N/A</v>
        <stp/>
        <stp>BDH|8717983267433513028</stp>
        <tr r="G49" s="34"/>
      </tp>
      <tp t="e">
        <v>#N/A</v>
        <stp/>
        <stp>BDH|2843397288908447521</stp>
        <tr r="S62" s="11"/>
        <tr r="S70" s="10"/>
      </tp>
      <tp t="e">
        <v>#N/A</v>
        <stp/>
        <stp>BDH|7039687634803633550</stp>
        <tr r="U82" s="18"/>
      </tp>
      <tp t="e">
        <v>#N/A</v>
        <stp/>
        <stp>BDH|3650226031703991533</stp>
        <tr r="L22" s="24"/>
      </tp>
      <tp t="e">
        <v>#N/A</v>
        <stp/>
        <stp>BDH|7295401034680289487</stp>
        <tr r="O18" s="23"/>
      </tp>
      <tp t="e">
        <v>#N/A</v>
        <stp/>
        <stp>BDH|7902529094009186620</stp>
        <tr r="K30" s="21"/>
      </tp>
      <tp t="e">
        <v>#N/A</v>
        <stp/>
        <stp>BDH|3051291873217064561</stp>
        <tr r="W41" s="6"/>
      </tp>
      <tp t="e">
        <v>#N/A</v>
        <stp/>
        <stp>BDH|2905850585891016758</stp>
        <tr r="P124" s="18"/>
      </tp>
      <tp t="e">
        <v>#N/A</v>
        <stp/>
        <stp>BDH|1052723060253945770</stp>
        <tr r="C28" s="22"/>
      </tp>
      <tp t="e">
        <v>#N/A</v>
        <stp/>
        <stp>BDH|3141686571400429604</stp>
        <tr r="M31" s="11"/>
        <tr r="M39" s="10"/>
      </tp>
      <tp t="e">
        <v>#N/A</v>
        <stp/>
        <stp>BDH|2614155911221977771</stp>
        <tr r="K14" s="20"/>
        <tr r="K115" s="18"/>
      </tp>
      <tp t="e">
        <v>#N/A</v>
        <stp/>
        <stp>BDH|2258398051312570239</stp>
        <tr r="K7" s="4"/>
      </tp>
      <tp t="e">
        <v>#N/A</v>
        <stp/>
        <stp>BDH|1124306316942348589</stp>
        <tr r="D16" s="21"/>
      </tp>
      <tp t="e">
        <v>#N/A</v>
        <stp/>
        <stp>BDH|6814841381550059210</stp>
        <tr r="Z89" s="17"/>
      </tp>
      <tp t="e">
        <v>#N/A</v>
        <stp/>
        <stp>BDH|6967141604705406613</stp>
        <tr r="E31" s="25"/>
        <tr r="E17" s="27"/>
      </tp>
      <tp t="e">
        <v>#N/A</v>
        <stp/>
        <stp>BDH|9065792091571122250</stp>
        <tr r="R65" s="21"/>
        <tr r="O28" s="6"/>
      </tp>
      <tp t="e">
        <v>#N/A</v>
        <stp/>
        <stp>BDH|6098067953580105789</stp>
        <tr r="W57" s="12"/>
      </tp>
      <tp t="e">
        <v>#N/A</v>
        <stp/>
        <stp>BDH|9120521338252342940</stp>
        <tr r="I82" s="18"/>
      </tp>
      <tp t="e">
        <v>#N/A</v>
        <stp/>
        <stp>BDH|3342185765014212405</stp>
        <tr r="J16" s="14"/>
      </tp>
      <tp t="e">
        <v>#N/A</v>
        <stp/>
        <stp>BDH|5858241173320706442</stp>
        <tr r="E40" s="21"/>
      </tp>
      <tp t="e">
        <v>#N/A</v>
        <stp/>
        <stp>BDH|2990096878044793533</stp>
        <tr r="J45" s="12"/>
      </tp>
      <tp t="e">
        <v>#N/A</v>
        <stp/>
        <stp>BDH|3929320666461175305</stp>
        <tr r="T104" s="18"/>
      </tp>
      <tp t="e">
        <v>#N/A</v>
        <stp/>
        <stp>BDH|9791189885463023762</stp>
        <tr r="J15" s="10"/>
      </tp>
      <tp t="e">
        <v>#N/A</v>
        <stp/>
        <stp>BDH|2669595031658084829</stp>
        <tr r="Q27" s="17"/>
      </tp>
      <tp t="e">
        <v>#N/A</v>
        <stp/>
        <stp>BDH|5333083142643588609</stp>
        <tr r="I141" s="18"/>
      </tp>
      <tp t="e">
        <v>#N/A</v>
        <stp/>
        <stp>BDH|7871966752196060901</stp>
        <tr r="D66" s="34"/>
      </tp>
      <tp t="e">
        <v>#N/A</v>
        <stp/>
        <stp>BDH|1840677708206879530</stp>
        <tr r="U29" s="24"/>
      </tp>
      <tp t="e">
        <v>#N/A</v>
        <stp/>
        <stp>BDH|9025201793212659492</stp>
        <tr r="AA39" s="17"/>
      </tp>
      <tp t="e">
        <v>#N/A</v>
        <stp/>
        <stp>BDH|4860316930419554909</stp>
        <tr r="U14" s="20"/>
        <tr r="U115" s="18"/>
      </tp>
      <tp t="e">
        <v>#N/A</v>
        <stp/>
        <stp>BDH|2951739514461548174</stp>
        <tr r="G6" s="27"/>
      </tp>
      <tp t="e">
        <v>#N/A</v>
        <stp/>
        <stp>BDH|4639638813234937331</stp>
        <tr r="M23" s="21"/>
      </tp>
      <tp t="e">
        <v>#N/A</v>
        <stp/>
        <stp>BDH|5317192076707671068</stp>
        <tr r="M26" s="24"/>
      </tp>
      <tp t="e">
        <v>#N/A</v>
        <stp/>
        <stp>BDH|3234289446363571255</stp>
        <tr r="F59" s="13"/>
      </tp>
      <tp t="e">
        <v>#N/A</v>
        <stp/>
        <stp>BDH|1936464832384876699</stp>
        <tr r="J19" s="10"/>
      </tp>
      <tp t="e">
        <v>#N/A</v>
        <stp/>
        <stp>BDH|3900118006503372510</stp>
        <tr r="D89" s="18"/>
      </tp>
      <tp t="e">
        <v>#N/A</v>
        <stp/>
        <stp>BDH|7124290818472894245</stp>
        <tr r="P10" s="22"/>
      </tp>
      <tp t="e">
        <v>#N/A</v>
        <stp/>
        <stp>BDH|7860737472132298173</stp>
        <tr r="Y32" s="13"/>
        <tr r="W28" s="10"/>
      </tp>
      <tp t="e">
        <v>#N/A</v>
        <stp/>
        <stp>BDH|5572195962004182230</stp>
        <tr r="P22" s="27"/>
      </tp>
      <tp t="e">
        <v>#N/A</v>
        <stp/>
        <stp>BDH|4117156180899029080</stp>
        <tr r="N56" s="11"/>
        <tr r="N24" s="4"/>
      </tp>
      <tp t="e">
        <v>#N/A</v>
        <stp/>
        <stp>BDH|2845547621435597443</stp>
        <tr r="L16" s="27"/>
        <tr r="L30" s="25"/>
      </tp>
      <tp t="e">
        <v>#N/A</v>
        <stp/>
        <stp>BDH|5026411874865109786</stp>
        <tr r="Y12" s="26"/>
      </tp>
      <tp t="e">
        <v>#N/A</v>
        <stp/>
        <stp>BDH|9560408998134945486</stp>
        <tr r="S154" s="18"/>
      </tp>
      <tp t="e">
        <v>#N/A</v>
        <stp/>
        <stp>BDH|7628697053554155418</stp>
        <tr r="D110" s="12"/>
      </tp>
      <tp t="e">
        <v>#N/A</v>
        <stp/>
        <stp>BDH|6940256370305494244</stp>
        <tr r="Q20" s="24"/>
      </tp>
      <tp t="e">
        <v>#N/A</v>
        <stp/>
        <stp>BDH|8250543068478570779</stp>
        <tr r="M9" s="34"/>
      </tp>
      <tp t="e">
        <v>#N/A</v>
        <stp/>
        <stp>BDH|5961737524806012227</stp>
        <tr r="I88" s="18"/>
      </tp>
      <tp t="e">
        <v>#N/A</v>
        <stp/>
        <stp>BDH|5447371462901523581</stp>
        <tr r="S11" s="13"/>
      </tp>
      <tp t="e">
        <v>#N/A</v>
        <stp/>
        <stp>BDH|3041274172296891414</stp>
        <tr r="H16" s="20"/>
      </tp>
      <tp t="e">
        <v>#N/A</v>
        <stp/>
        <stp>BDH|2539616969570580646</stp>
        <tr r="L55" s="11"/>
      </tp>
      <tp t="e">
        <v>#N/A</v>
        <stp/>
        <stp>BDH|4130075460831944734</stp>
        <tr r="I24" s="34"/>
      </tp>
      <tp t="e">
        <v>#N/A</v>
        <stp/>
        <stp>BDH|3172479263071167499</stp>
        <tr r="K20" s="22"/>
      </tp>
      <tp t="e">
        <v>#N/A</v>
        <stp/>
        <stp>BDH|2171687124016190418</stp>
        <tr r="N74" s="12"/>
      </tp>
      <tp t="e">
        <v>#N/A</v>
        <stp/>
        <stp>BDH|1199080051557088757</stp>
        <tr r="M28" s="21"/>
      </tp>
      <tp t="e">
        <v>#N/A</v>
        <stp/>
        <stp>BDH|2503614075533474485</stp>
        <tr r="S110" s="12"/>
      </tp>
      <tp t="e">
        <v>#N/A</v>
        <stp/>
        <stp>BDH|7346896427419724077</stp>
        <tr r="T22" s="20"/>
      </tp>
      <tp t="e">
        <v>#N/A</v>
        <stp/>
        <stp>BDH|6014261908924620458</stp>
        <tr r="Q17" s="22"/>
      </tp>
      <tp t="e">
        <v>#N/A</v>
        <stp/>
        <stp>BDH|7034133078245578036</stp>
        <tr r="C12" s="18"/>
      </tp>
      <tp t="e">
        <v>#N/A</v>
        <stp/>
        <stp>BDH|1414532926955902759</stp>
        <tr r="D8" s="23"/>
      </tp>
      <tp t="e">
        <v>#N/A</v>
        <stp/>
        <stp>BDH|1757618367756996351</stp>
        <tr r="G49" s="17"/>
      </tp>
      <tp t="e">
        <v>#N/A</v>
        <stp/>
        <stp>BDH|4073210062464977076</stp>
        <tr r="S20" s="26"/>
      </tp>
      <tp t="e">
        <v>#N/A</v>
        <stp/>
        <stp>BDH|7957725037236662173</stp>
        <tr r="M54" s="6"/>
      </tp>
      <tp t="e">
        <v>#N/A</v>
        <stp/>
        <stp>BDH|3608569571883555693</stp>
        <tr r="D155" s="18"/>
      </tp>
      <tp t="e">
        <v>#N/A</v>
        <stp/>
        <stp>BDH|3940016324380837595</stp>
        <tr r="Y54" s="17"/>
      </tp>
      <tp t="e">
        <v>#N/A</v>
        <stp/>
        <stp>BDH|8442881300224468056</stp>
        <tr r="U49" s="13"/>
        <tr r="S45" s="10"/>
        <tr r="S37" s="11"/>
        <tr r="S53" s="4"/>
        <tr r="S18" s="2"/>
      </tp>
      <tp t="e">
        <v>#N/A</v>
        <stp/>
        <stp>BDH|7607545736194876115</stp>
        <tr r="U173" s="18"/>
      </tp>
      <tp t="e">
        <v>#N/A</v>
        <stp/>
        <stp>BDH|8948518651724338871</stp>
        <tr r="F75" s="24"/>
      </tp>
      <tp t="e">
        <v>#N/A</v>
        <stp/>
        <stp>BDH|5565756465236884603</stp>
        <tr r="P18" s="34"/>
      </tp>
      <tp t="e">
        <v>#N/A</v>
        <stp/>
        <stp>BDH|5621266742002990564</stp>
        <tr r="Y136" s="18"/>
      </tp>
      <tp t="e">
        <v>#N/A</v>
        <stp/>
        <stp>BDH|7429752610960856545</stp>
        <tr r="J7" s="20"/>
        <tr r="J109" s="18"/>
      </tp>
      <tp t="e">
        <v>#N/A</v>
        <stp/>
        <stp>BDH|6458385360255826299</stp>
        <tr r="C15" s="5"/>
      </tp>
      <tp t="e">
        <v>#N/A</v>
        <stp/>
        <stp>BDH|7015633459882772204</stp>
        <tr r="C25" s="10"/>
      </tp>
      <tp t="e">
        <v>#N/A</v>
        <stp/>
        <stp>BDH|9770876449951124052</stp>
        <tr r="J18" s="26"/>
      </tp>
      <tp t="e">
        <v>#N/A</v>
        <stp/>
        <stp>BDH|5711899337258319273</stp>
        <tr r="M23" s="10"/>
      </tp>
      <tp t="e">
        <v>#N/A</v>
        <stp/>
        <stp>BDH|3289266928137047010</stp>
        <tr r="V19" s="25"/>
      </tp>
      <tp t="e">
        <v>#N/A</v>
        <stp/>
        <stp>BDH|5694882653608257423</stp>
        <tr r="J29" s="22"/>
      </tp>
      <tp t="e">
        <v>#N/A</v>
        <stp/>
        <stp>BDH|1323380260858168877</stp>
        <tr r="K26" s="7"/>
      </tp>
      <tp t="e">
        <v>#N/A</v>
        <stp/>
        <stp>BDH|1917458312641526160</stp>
        <tr r="T16" s="25"/>
      </tp>
      <tp t="e">
        <v>#N/A</v>
        <stp/>
        <stp>BDH|2365619672243458495</stp>
        <tr r="X31" s="13"/>
        <tr r="V27" s="10"/>
      </tp>
      <tp t="e">
        <v>#N/A</v>
        <stp/>
        <stp>BDH|3748293332027195102</stp>
        <tr r="M39" s="26"/>
      </tp>
      <tp t="e">
        <v>#N/A</v>
        <stp/>
        <stp>BDH|6388394107317053606</stp>
        <tr r="J49" s="4"/>
      </tp>
      <tp t="e">
        <v>#N/A</v>
        <stp/>
        <stp>BDH|2684066319077777036</stp>
        <tr r="K12" s="27"/>
        <tr r="K26" s="25"/>
      </tp>
      <tp t="e">
        <v>#N/A</v>
        <stp/>
        <stp>BDH|3683785639266844524</stp>
        <tr r="F16" s="20"/>
      </tp>
      <tp t="e">
        <v>#N/A</v>
        <stp/>
        <stp>BDH|7381889776358054408</stp>
        <tr r="F71" s="12"/>
      </tp>
      <tp t="e">
        <v>#N/A</v>
        <stp/>
        <stp>BDH|3805074789308803738</stp>
        <tr r="C30" s="21"/>
      </tp>
      <tp t="e">
        <v>#N/A</v>
        <stp/>
        <stp>BDH|3111709349725663136</stp>
        <tr r="N33" s="18"/>
      </tp>
      <tp t="e">
        <v>#N/A</v>
        <stp/>
        <stp>BDH|2400409465657479387</stp>
        <tr r="L19" s="12"/>
      </tp>
      <tp t="e">
        <v>#N/A</v>
        <stp/>
        <stp>BDH|8465068887523871702</stp>
        <tr r="I22" s="4"/>
      </tp>
      <tp t="e">
        <v>#N/A</v>
        <stp/>
        <stp>BDH|9368324972648632176</stp>
        <tr r="Y59" s="18"/>
      </tp>
      <tp t="e">
        <v>#N/A</v>
        <stp/>
        <stp>BDH|7321177135049720847</stp>
        <tr r="C19" s="9"/>
      </tp>
      <tp t="e">
        <v>#N/A</v>
        <stp/>
        <stp>BDH|6243678336872078513</stp>
        <tr r="Y37" s="22"/>
      </tp>
      <tp t="e">
        <v>#N/A</v>
        <stp/>
        <stp>BDH|9357660696493930182</stp>
        <tr r="H21" s="10"/>
      </tp>
      <tp t="e">
        <v>#N/A</v>
        <stp/>
        <stp>BDH|7753752798978999517</stp>
        <tr r="S39" s="29"/>
        <tr r="S31" s="29"/>
        <tr r="R52" s="6"/>
        <tr r="R11" s="5"/>
        <tr r="S10" s="2"/>
      </tp>
      <tp t="e">
        <v>#N/A</v>
        <stp/>
        <stp>BDH|5520311025772256214</stp>
        <tr r="J30" s="18"/>
      </tp>
      <tp t="e">
        <v>#N/A</v>
        <stp/>
        <stp>BDH|8302031246689555117</stp>
        <tr r="C49" s="4"/>
      </tp>
      <tp t="e">
        <v>#N/A</v>
        <stp/>
        <stp>BDH|6258324562307144013</stp>
        <tr r="K101" s="12"/>
      </tp>
      <tp t="e">
        <v>#N/A</v>
        <stp/>
        <stp>BDH|2912082125563633701</stp>
        <tr r="G30" s="6"/>
      </tp>
      <tp t="e">
        <v>#N/A</v>
        <stp/>
        <stp>BDH|8190772963958140562</stp>
        <tr r="C86" s="12"/>
      </tp>
      <tp t="e">
        <v>#N/A</v>
        <stp/>
        <stp>BDH|3727489827002282387</stp>
        <tr r="Q56" s="34"/>
      </tp>
      <tp t="e">
        <v>#N/A</v>
        <stp/>
        <stp>BDH|4997627650363989001</stp>
        <tr r="O16" s="24"/>
      </tp>
      <tp t="e">
        <v>#N/A</v>
        <stp/>
        <stp>BDH|3032066560544748530</stp>
        <tr r="Q46" s="17"/>
      </tp>
      <tp t="e">
        <v>#N/A</v>
        <stp/>
        <stp>BDH|6638324245673776642</stp>
        <tr r="M25" s="13"/>
      </tp>
      <tp t="e">
        <v>#N/A</v>
        <stp/>
        <stp>BDH|7731157591073748864</stp>
        <tr r="W76" s="12"/>
      </tp>
      <tp t="e">
        <v>#N/A</v>
        <stp/>
        <stp>BDH|7634043737324057471</stp>
        <tr r="AA42" s="12"/>
      </tp>
      <tp t="e">
        <v>#N/A</v>
        <stp/>
        <stp>BDH|1545226360647610632</stp>
        <tr r="AA76" s="17"/>
        <tr r="X9" s="9"/>
        <tr r="X9" s="5"/>
      </tp>
      <tp t="e">
        <v>#N/A</v>
        <stp/>
        <stp>BDH|4113662764067908784</stp>
        <tr r="W8" s="26"/>
        <tr r="T10" s="9"/>
      </tp>
      <tp t="e">
        <v>#N/A</v>
        <stp/>
        <stp>BDH|8162549000448240159</stp>
        <tr r="F13" s="14"/>
      </tp>
      <tp t="e">
        <v>#N/A</v>
        <stp/>
        <stp>BDH|6590642752210616171</stp>
        <tr r="K127" s="18"/>
      </tp>
      <tp t="e">
        <v>#N/A</v>
        <stp/>
        <stp>BDH|6290302027735727606</stp>
        <tr r="E24" s="17"/>
      </tp>
      <tp t="e">
        <v>#N/A</v>
        <stp/>
        <stp>BDH|3360321061455036728</stp>
        <tr r="I12" s="25"/>
      </tp>
      <tp t="e">
        <v>#N/A</v>
        <stp/>
        <stp>BDH|8892218392736987105</stp>
        <tr r="F130" s="18"/>
      </tp>
      <tp t="e">
        <v>#N/A</v>
        <stp/>
        <stp>BDH|4135626602687305109</stp>
        <tr r="N38" s="17"/>
      </tp>
      <tp t="e">
        <v>#N/A</v>
        <stp/>
        <stp>BDH|2858444269931133561</stp>
        <tr r="Q43" s="13"/>
      </tp>
      <tp t="e">
        <v>#N/A</v>
        <stp/>
        <stp>BDH|7629305698340487981</stp>
        <tr r="W18" s="18"/>
      </tp>
      <tp t="e">
        <v>#N/A</v>
        <stp/>
        <stp>BDH|6480675951557722677</stp>
        <tr r="I104" s="18"/>
      </tp>
      <tp t="e">
        <v>#N/A</v>
        <stp/>
        <stp>BDH|6727282612764630598</stp>
        <tr r="I62" s="11"/>
        <tr r="I70" s="10"/>
      </tp>
      <tp t="e">
        <v>#N/A</v>
        <stp/>
        <stp>BDH|1832314842610999204</stp>
        <tr r="F6" s="16"/>
        <tr r="G6" s="11"/>
        <tr r="G10" s="4"/>
        <tr r="I6" s="3"/>
      </tp>
      <tp t="e">
        <v>#N/A</v>
        <stp/>
        <stp>BDH|6396429322971860593</stp>
        <tr r="S33" s="13"/>
        <tr r="Q29" s="10"/>
      </tp>
      <tp t="e">
        <v>#N/A</v>
        <stp/>
        <stp>BDH|8634838827165848382</stp>
        <tr r="V162" s="18"/>
      </tp>
      <tp t="e">
        <v>#N/A</v>
        <stp/>
        <stp>BDH|4691863523949398326</stp>
        <tr r="J33" s="17"/>
      </tp>
      <tp t="e">
        <v>#N/A</v>
        <stp/>
        <stp>BDH|7257170377462881786</stp>
        <tr r="G68" s="18"/>
      </tp>
      <tp t="e">
        <v>#N/A</v>
        <stp/>
        <stp>BDH|7137450411671480733</stp>
        <tr r="P43" s="6"/>
        <tr r="P19" s="5"/>
      </tp>
      <tp t="e">
        <v>#N/A</v>
        <stp/>
        <stp>BDH|2395505410201881398</stp>
        <tr r="Z35" s="21"/>
      </tp>
      <tp t="e">
        <v>#N/A</v>
        <stp/>
        <stp>BDH|6974003368246582260</stp>
        <tr r="AA39" s="18"/>
      </tp>
      <tp t="e">
        <v>#N/A</v>
        <stp/>
        <stp>BDH|5126331741830694663</stp>
        <tr r="AA64" s="17"/>
      </tp>
      <tp t="e">
        <v>#N/A</v>
        <stp/>
        <stp>BDH|1008363264288795869</stp>
        <tr r="F33" s="22"/>
      </tp>
      <tp t="e">
        <v>#N/A</v>
        <stp/>
        <stp>BDH|6564781106225107094</stp>
        <tr r="K30" s="5"/>
      </tp>
      <tp t="e">
        <v>#N/A</v>
        <stp/>
        <stp>BDH|8148614883587708574</stp>
        <tr r="O17" s="21"/>
      </tp>
      <tp t="e">
        <v>#N/A</v>
        <stp/>
        <stp>BDH|9536529157209517468</stp>
        <tr r="N59" s="18"/>
      </tp>
      <tp t="e">
        <v>#N/A</v>
        <stp/>
        <stp>BDH|4658680109813349578</stp>
        <tr r="T29" s="17"/>
      </tp>
      <tp t="e">
        <v>#N/A</v>
        <stp/>
        <stp>BDH|2275195718636312034</stp>
        <tr r="G35" s="34"/>
      </tp>
      <tp t="e">
        <v>#N/A</v>
        <stp/>
        <stp>BDH|9804670979955082950</stp>
        <tr r="F98" s="12"/>
      </tp>
      <tp t="e">
        <v>#N/A</v>
        <stp/>
        <stp>BDH|9260406782251779044</stp>
        <tr r="F69" s="34"/>
      </tp>
      <tp t="e">
        <v>#N/A</v>
        <stp/>
        <stp>BDH|4047189705313970279</stp>
        <tr r="F8" s="12"/>
      </tp>
      <tp t="e">
        <v>#N/A</v>
        <stp/>
        <stp>BDH|4394006224154545619</stp>
        <tr r="T19" s="25"/>
      </tp>
      <tp t="e">
        <v>#N/A</v>
        <stp/>
        <stp>BDH|9363644596123182138</stp>
        <tr r="H62" s="12"/>
      </tp>
      <tp t="e">
        <v>#N/A</v>
        <stp/>
        <stp>BDH|2841254054089948837</stp>
        <tr r="G131" s="18"/>
      </tp>
      <tp t="e">
        <v>#N/A</v>
        <stp/>
        <stp>BDH|6540450155740294349</stp>
        <tr r="S7" s="23"/>
      </tp>
      <tp t="e">
        <v>#N/A</v>
        <stp/>
        <stp>BDH|7032282275451677781</stp>
        <tr r="P35" s="13"/>
        <tr r="N31" s="10"/>
      </tp>
      <tp t="e">
        <v>#N/A</v>
        <stp/>
        <stp>BDH|8202953755346403653</stp>
        <tr r="W31" s="22"/>
      </tp>
      <tp t="e">
        <v>#N/A</v>
        <stp/>
        <stp>BDH|5010519561781190325</stp>
        <tr r="O54" s="17"/>
      </tp>
      <tp t="e">
        <v>#N/A</v>
        <stp/>
        <stp>BDH|1307293108471958681</stp>
        <tr r="I154" s="18"/>
      </tp>
      <tp t="e">
        <v>#N/A</v>
        <stp/>
        <stp>BDH|2737369632932708470</stp>
        <tr r="C48" s="13"/>
      </tp>
      <tp t="e">
        <v>#N/A</v>
        <stp/>
        <stp>BDH|1084714422774583451</stp>
        <tr r="V18" s="18"/>
      </tp>
      <tp t="e">
        <v>#N/A</v>
        <stp/>
        <stp>BDH|2275861284477405170</stp>
        <tr r="P32" s="12"/>
      </tp>
      <tp t="e">
        <v>#N/A</v>
        <stp/>
        <stp>BDH|8670999444801166095</stp>
        <tr r="I8" s="28"/>
      </tp>
      <tp t="e">
        <v>#N/A</v>
        <stp/>
        <stp>BDH|6530676081368535450</stp>
        <tr r="W68" s="18"/>
      </tp>
      <tp t="e">
        <v>#N/A</v>
        <stp/>
        <stp>BDH|5010324833162570376</stp>
        <tr r="S23" s="10"/>
      </tp>
      <tp t="e">
        <v>#N/A</v>
        <stp/>
        <stp>BDH|5170115664227003174</stp>
        <tr r="Q29" s="13"/>
        <tr r="O24" s="11"/>
        <tr r="O32" s="10"/>
        <tr r="O45" s="4"/>
      </tp>
      <tp t="e">
        <v>#N/A</v>
        <stp/>
        <stp>BDH|6061264671245332277</stp>
        <tr r="K22" s="24"/>
      </tp>
      <tp t="e">
        <v>#N/A</v>
        <stp/>
        <stp>BDH|9557132437499450662</stp>
        <tr r="S18" s="24"/>
      </tp>
      <tp t="e">
        <v>#N/A</v>
        <stp/>
        <stp>BDH|2554955340568603352</stp>
        <tr r="Q13" s="34"/>
      </tp>
      <tp t="e">
        <v>#N/A</v>
        <stp/>
        <stp>BDH|1313407061130043714</stp>
        <tr r="S25" s="3"/>
      </tp>
      <tp t="e">
        <v>#N/A</v>
        <stp/>
        <stp>BDH|7538112441574475224</stp>
        <tr r="M174" s="18"/>
      </tp>
      <tp t="e">
        <v>#N/A</v>
        <stp/>
        <stp>BDH|4454849893758841988</stp>
        <tr r="T28" s="4"/>
      </tp>
      <tp t="e">
        <v>#N/A</v>
        <stp/>
        <stp>BDH|9144129692052520779</stp>
        <tr r="AA171" s="18"/>
      </tp>
      <tp t="e">
        <v>#N/A</v>
        <stp/>
        <stp>BDH|2605052252703575074</stp>
        <tr r="S44" s="24"/>
      </tp>
      <tp t="e">
        <v>#N/A</v>
        <stp/>
        <stp>BDH|1316562155345140022</stp>
        <tr r="R35" s="13"/>
        <tr r="P31" s="10"/>
      </tp>
      <tp t="e">
        <v>#N/A</v>
        <stp/>
        <stp>BDH|7988331622144266698</stp>
        <tr r="S61" s="13"/>
      </tp>
      <tp t="e">
        <v>#N/A</v>
        <stp/>
        <stp>BDH|5719761155287185463</stp>
        <tr r="H42" s="21"/>
      </tp>
      <tp t="e">
        <v>#N/A</v>
        <stp/>
        <stp>BDH|6928521076278688880</stp>
        <tr r="W33" s="13"/>
        <tr r="U29" s="10"/>
      </tp>
      <tp t="e">
        <v>#N/A</v>
        <stp/>
        <stp>BDH|9762947311613881696</stp>
        <tr r="Z8" s="17"/>
      </tp>
      <tp t="e">
        <v>#N/A</v>
        <stp/>
        <stp>BDH|6845399046345435006</stp>
        <tr r="Z106" s="12"/>
      </tp>
      <tp t="e">
        <v>#N/A</v>
        <stp/>
        <stp>BDH|7552331391070288967</stp>
        <tr r="C99" s="12"/>
      </tp>
      <tp t="e">
        <v>#N/A</v>
        <stp/>
        <stp>BDH|7285454225766867397</stp>
        <tr r="P8" s="34"/>
      </tp>
      <tp t="e">
        <v>#N/A</v>
        <stp/>
        <stp>BDH|4926625602461911738</stp>
        <tr r="X20" s="30"/>
      </tp>
      <tp t="e">
        <v>#N/A</v>
        <stp/>
        <stp>BDH|2051176810950209667</stp>
        <tr r="L43" s="24"/>
      </tp>
      <tp t="e">
        <v>#N/A</v>
        <stp/>
        <stp>BDH|2711577936613190344</stp>
        <tr r="P36" s="13"/>
        <tr r="N24" s="10"/>
        <tr r="N46" s="4"/>
      </tp>
      <tp t="e">
        <v>#N/A</v>
        <stp/>
        <stp>BDH|4717214503927672507</stp>
        <tr r="J13" s="23"/>
        <tr r="H57" s="11"/>
        <tr r="H38" s="4"/>
      </tp>
      <tp t="e">
        <v>#N/A</v>
        <stp/>
        <stp>BDH|7331127640233786552</stp>
        <tr r="S35" s="21"/>
      </tp>
      <tp t="e">
        <v>#N/A</v>
        <stp/>
        <stp>BDH|4069828263989390712</stp>
        <tr r="V157" s="18"/>
      </tp>
      <tp t="e">
        <v>#N/A</v>
        <stp/>
        <stp>BDH|4151633077381503039</stp>
        <tr r="D79" s="18"/>
      </tp>
      <tp t="e">
        <v>#N/A</v>
        <stp/>
        <stp>BDH|4919848052125421886</stp>
        <tr r="S14" s="6"/>
      </tp>
      <tp t="e">
        <v>#N/A</v>
        <stp/>
        <stp>BDH|5296702796467795809</stp>
        <tr r="D7" s="17"/>
      </tp>
      <tp t="e">
        <v>#N/A</v>
        <stp/>
        <stp>BDH|1557804671938279250</stp>
        <tr r="I165" s="18"/>
      </tp>
      <tp t="e">
        <v>#N/A</v>
        <stp/>
        <stp>BDH|7430818403572016951</stp>
        <tr r="R40" s="17"/>
      </tp>
      <tp t="e">
        <v>#N/A</v>
        <stp/>
        <stp>BDH|6187283238061660243</stp>
        <tr r="K37" s="18"/>
      </tp>
      <tp t="e">
        <v>#N/A</v>
        <stp/>
        <stp>BDH|8062115590080542479</stp>
        <tr r="T25" s="22"/>
      </tp>
      <tp t="e">
        <v>#N/A</v>
        <stp/>
        <stp>BDH|4574971595397068772</stp>
        <tr r="W150" s="18"/>
      </tp>
      <tp t="e">
        <v>#N/A</v>
        <stp/>
        <stp>BDH|6937560435307973336</stp>
        <tr r="K14" s="27"/>
        <tr r="K28" s="25"/>
      </tp>
      <tp t="e">
        <v>#N/A</v>
        <stp/>
        <stp>BDH|4569407928456975042</stp>
        <tr r="S43" s="13"/>
      </tp>
      <tp t="e">
        <v>#N/A</v>
        <stp/>
        <stp>BDH|5320759836185930099</stp>
        <tr r="R86" s="12"/>
      </tp>
      <tp t="e">
        <v>#N/A</v>
        <stp/>
        <stp>BDH|4095079394760253911</stp>
        <tr r="Q9" s="17"/>
      </tp>
      <tp t="e">
        <v>#N/A</v>
        <stp/>
        <stp>BDH|1639832676863022938</stp>
        <tr r="O26" s="22"/>
      </tp>
      <tp t="e">
        <v>#N/A</v>
        <stp/>
        <stp>BDH|1423445242256144333</stp>
        <tr r="M85" s="17"/>
      </tp>
      <tp t="e">
        <v>#N/A</v>
        <stp/>
        <stp>BDH|1499125172610607328</stp>
        <tr r="H11" s="18"/>
      </tp>
      <tp t="e">
        <v>#N/A</v>
        <stp/>
        <stp>BDH|5830295767214419127</stp>
        <tr r="E90" s="17"/>
        <tr r="E34" s="25"/>
      </tp>
      <tp t="e">
        <v>#N/A</v>
        <stp/>
        <stp>BDH|1114364923323158757</stp>
        <tr r="M170" s="18"/>
      </tp>
      <tp t="e">
        <v>#N/A</v>
        <stp/>
        <stp>BDH|1424696127613256283</stp>
        <tr r="X163" s="18"/>
      </tp>
      <tp t="e">
        <v>#N/A</v>
        <stp/>
        <stp>BDH|6748322126484275712</stp>
        <tr r="Y175" s="18"/>
      </tp>
      <tp t="e">
        <v>#N/A</v>
        <stp/>
        <stp>BDH|3964795116221534035</stp>
        <tr r="Q7" s="9"/>
        <tr r="R7" s="2"/>
        <tr r="Q7" s="5"/>
        <tr r="T14" s="3"/>
      </tp>
      <tp t="e">
        <v>#N/A</v>
        <stp/>
        <stp>BDH|3335301323257400146</stp>
        <tr r="X25" s="17"/>
      </tp>
      <tp t="e">
        <v>#N/A</v>
        <stp/>
        <stp>BDH|8138592609851993889</stp>
        <tr r="K88" s="12"/>
      </tp>
      <tp t="e">
        <v>#N/A</v>
        <stp/>
        <stp>BDH|5680168001803051315</stp>
        <tr r="J38" s="12"/>
      </tp>
      <tp t="e">
        <v>#N/A</v>
        <stp/>
        <stp>BDH|5764407095809537571</stp>
        <tr r="T8" s="22"/>
      </tp>
      <tp t="e">
        <v>#N/A</v>
        <stp/>
        <stp>BDH|2498737140573421632</stp>
        <tr r="X41" s="12"/>
      </tp>
      <tp t="e">
        <v>#N/A</v>
        <stp/>
        <stp>BDH|9761951963702997082</stp>
        <tr r="X40" s="29"/>
      </tp>
      <tp t="e">
        <v>#N/A</v>
        <stp/>
        <stp>BDH|9915657885387976408</stp>
        <tr r="T37" s="29"/>
        <tr r="T17" s="29"/>
      </tp>
      <tp t="e">
        <v>#N/A</v>
        <stp/>
        <stp>BDH|5468649167509755805</stp>
        <tr r="N26" s="18"/>
      </tp>
      <tp t="e">
        <v>#N/A</v>
        <stp/>
        <stp>BDH|6758536359811972346</stp>
        <tr r="C49" s="6"/>
        <tr r="E9" s="8"/>
      </tp>
      <tp t="e">
        <v>#N/A</v>
        <stp/>
        <stp>BDH|3349001875232024268</stp>
        <tr r="G122" s="18"/>
      </tp>
      <tp t="e">
        <v>#N/A</v>
        <stp/>
        <stp>BDH|3413107704023726579</stp>
        <tr r="Q12" s="21"/>
      </tp>
      <tp t="e">
        <v>#N/A</v>
        <stp/>
        <stp>BDH|3138326107173490700</stp>
        <tr r="D101" s="12"/>
      </tp>
      <tp t="e">
        <v>#N/A</v>
        <stp/>
        <stp>BDH|4559039791028623113</stp>
        <tr r="C75" s="12"/>
      </tp>
      <tp t="e">
        <v>#N/A</v>
        <stp/>
        <stp>BDH|5161430561942408172</stp>
        <tr r="D71" s="17"/>
      </tp>
      <tp t="e">
        <v>#N/A</v>
        <stp/>
        <stp>BDH|7204122321086497656</stp>
        <tr r="C20" s="10"/>
      </tp>
      <tp t="e">
        <v>#N/A</v>
        <stp/>
        <stp>BDH|1337333033981769443</stp>
        <tr r="P28" s="12"/>
      </tp>
      <tp t="e">
        <v>#N/A</v>
        <stp/>
        <stp>BDH|6242085563961026596</stp>
        <tr r="J68" s="10"/>
      </tp>
      <tp t="e">
        <v>#N/A</v>
        <stp/>
        <stp>BDH|7525834394716650448</stp>
        <tr r="V18" s="26"/>
      </tp>
      <tp t="e">
        <v>#N/A</v>
        <stp/>
        <stp>BDH|1028860963379782226</stp>
        <tr r="Z26" s="22"/>
      </tp>
      <tp t="e">
        <v>#N/A</v>
        <stp/>
        <stp>BDH|7525439410601707712</stp>
        <tr r="G24" s="13"/>
      </tp>
      <tp t="e">
        <v>#N/A</v>
        <stp/>
        <stp>BDH|4364270487808200211</stp>
        <tr r="I15" s="4"/>
      </tp>
      <tp t="e">
        <v>#N/A</v>
        <stp/>
        <stp>BDH|4146453555199291830</stp>
        <tr r="M91" s="18"/>
      </tp>
      <tp t="e">
        <v>#N/A</v>
        <stp/>
        <stp>BDH|2043498133864821528</stp>
        <tr r="X69" s="24"/>
      </tp>
      <tp t="e">
        <v>#N/A</v>
        <stp/>
        <stp>BDH|1264760195059511249</stp>
        <tr r="C8" s="13"/>
      </tp>
      <tp t="e">
        <v>#N/A</v>
        <stp/>
        <stp>BDH|1930297700536786177</stp>
        <tr r="X21" s="4"/>
      </tp>
      <tp t="e">
        <v>#N/A</v>
        <stp/>
        <stp>BDH|2039933433838343432</stp>
        <tr r="G52" s="17"/>
        <tr r="G17" s="3"/>
      </tp>
      <tp t="e">
        <v>#N/A</v>
        <stp/>
        <stp>BDH|5048097552717836339</stp>
        <tr r="E66" s="18"/>
      </tp>
      <tp t="e">
        <v>#N/A</v>
        <stp/>
        <stp>BDH|6943792437842392456</stp>
        <tr r="N95" s="18"/>
      </tp>
      <tp t="e">
        <v>#N/A</v>
        <stp/>
        <stp>BDH|8154927687564647932</stp>
        <tr r="AA47" s="13"/>
      </tp>
      <tp t="e">
        <v>#N/A</v>
        <stp/>
        <stp>BDH|4298604666364690436</stp>
        <tr r="Y15" s="22"/>
      </tp>
      <tp t="e">
        <v>#N/A</v>
        <stp/>
        <stp>BDH|9331002071189031332</stp>
        <tr r="V7" s="14"/>
      </tp>
      <tp t="e">
        <v>#N/A</v>
        <stp/>
        <stp>BDH|2971883177090720907</stp>
        <tr r="N94" s="17"/>
      </tp>
      <tp t="e">
        <v>#N/A</v>
        <stp/>
        <stp>BDH|3434291177513861131</stp>
        <tr r="N26" s="24"/>
      </tp>
      <tp t="e">
        <v>#N/A</v>
        <stp/>
        <stp>BDH|1277927784283236771</stp>
        <tr r="C85" s="12"/>
      </tp>
      <tp t="e">
        <v>#N/A</v>
        <stp/>
        <stp>BDH|7025734958519903833</stp>
        <tr r="D59" s="24"/>
      </tp>
      <tp t="e">
        <v>#N/A</v>
        <stp/>
        <stp>BDH|6448772231841067738</stp>
        <tr r="J21" s="9"/>
        <tr r="J21" s="5"/>
      </tp>
      <tp t="e">
        <v>#N/A</v>
        <stp/>
        <stp>BDH|8162257692343742405</stp>
        <tr r="M57" s="13"/>
      </tp>
      <tp t="e">
        <v>#N/A</v>
        <stp/>
        <stp>BDH|1878616419666736467</stp>
        <tr r="E66" s="17"/>
      </tp>
      <tp t="e">
        <v>#N/A</v>
        <stp/>
        <stp>BDH|1666277336887496323</stp>
        <tr r="P6" s="19"/>
        <tr r="P35" s="17"/>
        <tr r="P16" s="3"/>
      </tp>
      <tp t="e">
        <v>#N/A</v>
        <stp/>
        <stp>BDH|9013956703864345049</stp>
        <tr r="L59" s="17"/>
      </tp>
      <tp t="e">
        <v>#N/A</v>
        <stp/>
        <stp>BDH|6141576153162097048</stp>
        <tr r="U22" s="10"/>
      </tp>
      <tp t="e">
        <v>#N/A</v>
        <stp/>
        <stp>BDH|1110022914427265343</stp>
        <tr r="M15" s="21"/>
      </tp>
      <tp t="e">
        <v>#N/A</v>
        <stp/>
        <stp>BDH|3539910612967501828</stp>
        <tr r="U178" s="18"/>
      </tp>
      <tp t="e">
        <v>#N/A</v>
        <stp/>
        <stp>BDH|3049663065540617741</stp>
        <tr r="N155" s="18"/>
      </tp>
      <tp t="e">
        <v>#N/A</v>
        <stp/>
        <stp>BDH|9572967691499562467</stp>
        <tr r="V9" s="6"/>
      </tp>
      <tp t="e">
        <v>#N/A</v>
        <stp/>
        <stp>BDH|3135107223696378201</stp>
        <tr r="W79" s="12"/>
      </tp>
      <tp t="e">
        <v>#N/A</v>
        <stp/>
        <stp>BDH|9947378442022497891</stp>
        <tr r="Y40" s="18"/>
      </tp>
      <tp t="e">
        <v>#N/A</v>
        <stp/>
        <stp>BDH|2286668652767064275</stp>
        <tr r="N33" s="17"/>
      </tp>
      <tp t="e">
        <v>#N/A</v>
        <stp/>
        <stp>BDH|3468213700512334774</stp>
        <tr r="M16" s="30"/>
      </tp>
      <tp t="e">
        <v>#N/A</v>
        <stp/>
        <stp>BDH|5794447959796863639</stp>
        <tr r="M87" s="17"/>
      </tp>
      <tp t="e">
        <v>#N/A</v>
        <stp/>
        <stp>BDH|1909305877083915262</stp>
        <tr r="R41" s="12"/>
      </tp>
      <tp t="e">
        <v>#N/A</v>
        <stp/>
        <stp>BDH|7789117251994208340</stp>
        <tr r="S9" s="27"/>
      </tp>
      <tp t="e">
        <v>#N/A</v>
        <stp/>
        <stp>BDH|8836655613632616998</stp>
        <tr r="J67" s="34"/>
      </tp>
      <tp t="e">
        <v>#N/A</v>
        <stp/>
        <stp>BDH|1590011415380540456</stp>
        <tr r="E17" s="20"/>
      </tp>
      <tp t="e">
        <v>#N/A</v>
        <stp/>
        <stp>BDH|9298505468418301681</stp>
        <tr r="AA25" s="27"/>
      </tp>
      <tp t="e">
        <v>#N/A</v>
        <stp/>
        <stp>BDH|1216412868884843327</stp>
        <tr r="N16" s="10"/>
      </tp>
      <tp t="e">
        <v>#N/A</v>
        <stp/>
        <stp>BDH|7183192275126854346</stp>
        <tr r="J13" s="6"/>
      </tp>
      <tp t="e">
        <v>#N/A</v>
        <stp/>
        <stp>BDH|6959056982982724880</stp>
        <tr r="L18" s="23"/>
      </tp>
      <tp t="e">
        <v>#N/A</v>
        <stp/>
        <stp>BDH|5285863287754566571</stp>
        <tr r="R37" s="26"/>
      </tp>
      <tp t="e">
        <v>#N/A</v>
        <stp/>
        <stp>BDH|1057876553851571907</stp>
        <tr r="O70" s="18"/>
      </tp>
      <tp t="e">
        <v>#N/A</v>
        <stp/>
        <stp>BDH|5428936491316683714</stp>
        <tr r="G61" s="13"/>
      </tp>
      <tp t="e">
        <v>#N/A</v>
        <stp/>
        <stp>BDH|7169809689343872010</stp>
        <tr r="G43" s="13"/>
      </tp>
      <tp t="e">
        <v>#N/A</v>
        <stp/>
        <stp>BDH|5010746307820633646</stp>
        <tr r="K70" s="24"/>
      </tp>
      <tp t="e">
        <v>#N/A</v>
        <stp/>
        <stp>BDH|4128404404056557219</stp>
        <tr r="X12" s="30"/>
      </tp>
      <tp t="e">
        <v>#N/A</v>
        <stp/>
        <stp>BDH|4462015910475428408</stp>
        <tr r="L19" s="22"/>
      </tp>
      <tp t="e">
        <v>#N/A</v>
        <stp/>
        <stp>BDH|5472070441946424371</stp>
        <tr r="J163" s="18"/>
      </tp>
      <tp t="e">
        <v>#N/A</v>
        <stp/>
        <stp>BDH|9556265696956213065</stp>
        <tr r="D18" s="9"/>
      </tp>
      <tp t="e">
        <v>#N/A</v>
        <stp/>
        <stp>BDH|3573458556053402532</stp>
        <tr r="Z53" s="18"/>
      </tp>
      <tp t="e">
        <v>#N/A</v>
        <stp/>
        <stp>BDH|4767749104976488123</stp>
        <tr r="Z32" s="12"/>
      </tp>
      <tp t="e">
        <v>#N/A</v>
        <stp/>
        <stp>BDH|4161134300945456472</stp>
        <tr r="C43" s="18"/>
      </tp>
      <tp t="e">
        <v>#N/A</v>
        <stp/>
        <stp>BDH|4177571645859587879</stp>
        <tr r="H45" s="6"/>
      </tp>
      <tp t="e">
        <v>#N/A</v>
        <stp/>
        <stp>BDH|9779168094702227765</stp>
        <tr r="E53" s="13"/>
      </tp>
      <tp t="e">
        <v>#N/A</v>
        <stp/>
        <stp>BDH|4704531353247698705</stp>
        <tr r="Y16" s="12"/>
      </tp>
      <tp t="e">
        <v>#N/A</v>
        <stp/>
        <stp>BDH|6965050221711576198</stp>
        <tr r="U20" s="22"/>
      </tp>
      <tp t="e">
        <v>#N/A</v>
        <stp/>
        <stp>BDH|7814083399799892302</stp>
        <tr r="W35" s="10"/>
        <tr r="W27" s="11"/>
        <tr r="W47" s="10"/>
        <tr r="W39" s="11"/>
      </tp>
      <tp t="e">
        <v>#N/A</v>
        <stp/>
        <stp>BDH|2433368378855358788</stp>
        <tr r="N28" s="21"/>
      </tp>
      <tp t="e">
        <v>#N/A</v>
        <stp/>
        <stp>BDH|3519342010810477542</stp>
        <tr r="X82" s="17"/>
        <tr r="V6" s="7"/>
        <tr r="X20" s="3"/>
      </tp>
      <tp t="e">
        <v>#N/A</v>
        <stp/>
        <stp>BDH|4844689153833413015</stp>
        <tr r="F61" s="17"/>
      </tp>
      <tp t="e">
        <v>#N/A</v>
        <stp/>
        <stp>BDH|6702127773500953496</stp>
        <tr r="F11" s="17"/>
      </tp>
      <tp t="e">
        <v>#N/A</v>
        <stp/>
        <stp>BDH|6257598115960952610</stp>
        <tr r="T136" s="18"/>
      </tp>
      <tp t="e">
        <v>#N/A</v>
        <stp/>
        <stp>BDH|6794754566966245501</stp>
        <tr r="M28" s="22"/>
      </tp>
      <tp t="e">
        <v>#N/A</v>
        <stp/>
        <stp>BDH|9579901475176357553</stp>
        <tr r="C27" s="12"/>
      </tp>
      <tp t="e">
        <v>#N/A</v>
        <stp/>
        <stp>BDH|6007042951307004030</stp>
        <tr r="E18" s="13"/>
      </tp>
      <tp t="e">
        <v>#N/A</v>
        <stp/>
        <stp>BDH|6172662837340256743</stp>
        <tr r="L7" s="21"/>
      </tp>
      <tp t="e">
        <v>#N/A</v>
        <stp/>
        <stp>BDH|2058631195260944992</stp>
        <tr r="T20" s="10"/>
      </tp>
      <tp t="e">
        <v>#N/A</v>
        <stp/>
        <stp>BDH|9482300391931116623</stp>
        <tr r="U15" s="17"/>
        <tr r="U18" s="28"/>
      </tp>
      <tp t="e">
        <v>#N/A</v>
        <stp/>
        <stp>BDH|2408379222203608418</stp>
        <tr r="P29" s="4"/>
      </tp>
      <tp t="e">
        <v>#N/A</v>
        <stp/>
        <stp>BDH|2401595247120802747</stp>
        <tr r="M90" s="17"/>
        <tr r="M34" s="25"/>
      </tp>
      <tp t="e">
        <v>#N/A</v>
        <stp/>
        <stp>BDH|4530127721281435246</stp>
        <tr r="E9" s="27"/>
      </tp>
      <tp t="e">
        <v>#N/A</v>
        <stp/>
        <stp>BDH|2568968526195358808</stp>
        <tr r="S41" s="34"/>
      </tp>
      <tp t="e">
        <v>#N/A</v>
        <stp/>
        <stp>BDH|4927335838546476607</stp>
        <tr r="J35" s="26"/>
      </tp>
      <tp t="e">
        <v>#N/A</v>
        <stp/>
        <stp>BDH|9218623287147903481</stp>
        <tr r="H43" s="21"/>
      </tp>
      <tp t="e">
        <v>#N/A</v>
        <stp/>
        <stp>BDH|3755507701346709474</stp>
        <tr r="E170" s="18"/>
      </tp>
      <tp t="e">
        <v>#N/A</v>
        <stp/>
        <stp>BDH|5451290621113253285</stp>
        <tr r="J89" s="17"/>
      </tp>
      <tp t="e">
        <v>#N/A</v>
        <stp/>
        <stp>BDH|2836794469626866163</stp>
        <tr r="O33" s="22"/>
      </tp>
      <tp t="e">
        <v>#N/A</v>
        <stp/>
        <stp>BDH|5424029763434697352</stp>
        <tr r="L10" s="26"/>
      </tp>
      <tp t="e">
        <v>#N/A</v>
        <stp/>
        <stp>BDH|4159027679526502193</stp>
        <tr r="P68" s="17"/>
        <tr r="M8" s="9"/>
        <tr r="M8" s="5"/>
      </tp>
      <tp t="e">
        <v>#N/A</v>
        <stp/>
        <stp>BDH|2471442843213610532</stp>
        <tr r="Q22" s="27"/>
      </tp>
      <tp t="e">
        <v>#N/A</v>
        <stp/>
        <stp>BDH|2406315327954226368</stp>
        <tr r="R37" s="21"/>
        <tr r="R24" s="3"/>
      </tp>
      <tp t="e">
        <v>#N/A</v>
        <stp/>
        <stp>BDH|7555555826746225223</stp>
        <tr r="I35" s="4"/>
      </tp>
      <tp t="e">
        <v>#N/A</v>
        <stp/>
        <stp>BDH|5278605988117529897</stp>
        <tr r="J50" s="17"/>
      </tp>
      <tp t="e">
        <v>#N/A</v>
        <stp/>
        <stp>BDH|5786546241691448105</stp>
        <tr r="P6" s="16"/>
        <tr r="Q6" s="11"/>
        <tr r="S6" s="3"/>
        <tr r="Q10" s="4"/>
      </tp>
      <tp t="e">
        <v>#N/A</v>
        <stp/>
        <stp>BDH|6390606307820076429</stp>
        <tr r="U155" s="18"/>
      </tp>
      <tp t="e">
        <v>#N/A</v>
        <stp/>
        <stp>BDH|4256950521972955990</stp>
        <tr r="D170" s="18"/>
      </tp>
      <tp t="e">
        <v>#N/A</v>
        <stp/>
        <stp>BDH|6211957672374649858</stp>
        <tr r="X69" s="12"/>
      </tp>
      <tp t="e">
        <v>#N/A</v>
        <stp/>
        <stp>BDH|4567548728300975762</stp>
        <tr r="H26" s="18"/>
      </tp>
      <tp t="e">
        <v>#N/A</v>
        <stp/>
        <stp>BDH|9497567747309405575</stp>
        <tr r="P9" s="18"/>
      </tp>
      <tp t="e">
        <v>#N/A</v>
        <stp/>
        <stp>BDH|4028131464853559446</stp>
        <tr r="R154" s="18"/>
      </tp>
      <tp t="e">
        <v>#N/A</v>
        <stp/>
        <stp>BDH|1733666752500117649</stp>
        <tr r="AA7" s="24"/>
      </tp>
      <tp t="e">
        <v>#N/A</v>
        <stp/>
        <stp>BDH|4784965852124363862</stp>
        <tr r="N105" s="12"/>
      </tp>
      <tp t="e">
        <v>#N/A</v>
        <stp/>
        <stp>BDH|2922902998862506420</stp>
        <tr r="X57" s="10"/>
        <tr r="X49" s="11"/>
        <tr r="Z62" s="13"/>
        <tr r="X19" s="7"/>
        <tr r="X18" s="4"/>
        <tr r="X20" s="2"/>
      </tp>
      <tp t="e">
        <v>#N/A</v>
        <stp/>
        <stp>BDH|4241444341332181201</stp>
        <tr r="O49" s="13"/>
        <tr r="M37" s="11"/>
        <tr r="M45" s="10"/>
        <tr r="M53" s="4"/>
        <tr r="M18" s="2"/>
      </tp>
      <tp t="e">
        <v>#N/A</v>
        <stp/>
        <stp>BDH|2155572631791784162</stp>
        <tr r="N67" s="18"/>
      </tp>
      <tp t="e">
        <v>#N/A</v>
        <stp/>
        <stp>BDH|7070195062043480797</stp>
        <tr r="Q13" s="20"/>
        <tr r="Q114" s="18"/>
      </tp>
      <tp t="e">
        <v>#N/A</v>
        <stp/>
        <stp>BDH|3970670844947934250</stp>
        <tr r="Z97" s="12"/>
      </tp>
      <tp t="e">
        <v>#N/A</v>
        <stp/>
        <stp>BDH|7868484184827611846</stp>
        <tr r="P67" s="10"/>
      </tp>
      <tp t="e">
        <v>#N/A</v>
        <stp/>
        <stp>BDH|9537727347868687608</stp>
        <tr r="Q50" s="18"/>
      </tp>
      <tp t="e">
        <v>#N/A</v>
        <stp/>
        <stp>BDH|1567276545164484755</stp>
        <tr r="D148" s="18"/>
      </tp>
      <tp t="e">
        <v>#N/A</v>
        <stp/>
        <stp>BDH|6838252773550900718</stp>
        <tr r="Q22" s="12"/>
      </tp>
      <tp t="e">
        <v>#N/A</v>
        <stp/>
        <stp>BDH|3147134104905477341</stp>
        <tr r="Q31" s="22"/>
      </tp>
      <tp t="e">
        <v>#N/A</v>
        <stp/>
        <stp>BDH|4488638432221099435</stp>
        <tr r="F17" s="17"/>
        <tr r="F20" s="28"/>
      </tp>
      <tp t="e">
        <v>#N/A</v>
        <stp/>
        <stp>BDH|6253516231073181755</stp>
        <tr r="W26" s="26"/>
      </tp>
      <tp t="e">
        <v>#N/A</v>
        <stp/>
        <stp>BDH|9996763009062317835</stp>
        <tr r="G54" s="13"/>
      </tp>
      <tp t="e">
        <v>#N/A</v>
        <stp/>
        <stp>BDH|3282801059432533880</stp>
        <tr r="AA73" s="18"/>
      </tp>
      <tp t="e">
        <v>#N/A</v>
        <stp/>
        <stp>BDH|6977651359914767547</stp>
        <tr r="I67" s="10"/>
      </tp>
      <tp t="e">
        <v>#N/A</v>
        <stp/>
        <stp>BDH|4359604276569730849</stp>
        <tr r="U52" s="12"/>
      </tp>
      <tp t="e">
        <v>#N/A</v>
        <stp/>
        <stp>BDH|6208451803382256409</stp>
        <tr r="R61" s="17"/>
      </tp>
      <tp t="e">
        <v>#N/A</v>
        <stp/>
        <stp>BDH|6409799400346327386</stp>
        <tr r="R33" s="6"/>
        <tr r="R17" s="5"/>
      </tp>
      <tp t="e">
        <v>#N/A</v>
        <stp/>
        <stp>BDH|1476538051321058418</stp>
        <tr r="P59" s="12"/>
      </tp>
      <tp t="e">
        <v>#N/A</v>
        <stp/>
        <stp>BDH|6791081878706770379</stp>
        <tr r="D43" s="24"/>
      </tp>
      <tp t="e">
        <v>#N/A</v>
        <stp/>
        <stp>BDH|7153559467806472603</stp>
        <tr r="E26" s="22"/>
      </tp>
      <tp t="e">
        <v>#N/A</v>
        <stp/>
        <stp>BDH|4492353280189498222</stp>
        <tr r="H17" s="9"/>
      </tp>
      <tp t="e">
        <v>#N/A</v>
        <stp/>
        <stp>BDH|1536512271221654646</stp>
        <tr r="X119" s="18"/>
      </tp>
      <tp t="e">
        <v>#N/A</v>
        <stp/>
        <stp>BDH|5376974591572268300</stp>
        <tr r="U65" s="12"/>
      </tp>
      <tp t="e">
        <v>#N/A</v>
        <stp/>
        <stp>BDH|6775817517279019263</stp>
        <tr r="J41" s="24"/>
      </tp>
      <tp t="e">
        <v>#N/A</v>
        <stp/>
        <stp>BDH|4457170118341469180</stp>
        <tr r="E158" s="18"/>
      </tp>
      <tp t="e">
        <v>#N/A</v>
        <stp/>
        <stp>BDH|1753297357326867464</stp>
        <tr r="Y49" s="21"/>
      </tp>
      <tp t="e">
        <v>#N/A</v>
        <stp/>
        <stp>BDH|4135151075351640706</stp>
        <tr r="W27" s="21"/>
      </tp>
      <tp t="e">
        <v>#N/A</v>
        <stp/>
        <stp>BDH|3643362558425833473</stp>
        <tr r="Y26" s="22"/>
      </tp>
      <tp t="e">
        <v>#N/A</v>
        <stp/>
        <stp>BDH|6140431414312777563</stp>
        <tr r="E23" s="17"/>
      </tp>
      <tp t="e">
        <v>#N/A</v>
        <stp/>
        <stp>BDH|8002471304360449804</stp>
        <tr r="O12" s="24"/>
      </tp>
      <tp t="e">
        <v>#N/A</v>
        <stp/>
        <stp>BDH|3869742068212527466</stp>
        <tr r="Y53" s="18"/>
      </tp>
      <tp t="e">
        <v>#N/A</v>
        <stp/>
        <stp>BDH|9414317658172201982</stp>
        <tr r="O11" s="18"/>
      </tp>
      <tp t="e">
        <v>#N/A</v>
        <stp/>
        <stp>BDH|9791629013392079811</stp>
        <tr r="Y35" s="25"/>
      </tp>
      <tp t="e">
        <v>#N/A</v>
        <stp/>
        <stp>BDH|2767761322683127056</stp>
        <tr r="C10" s="18"/>
      </tp>
      <tp t="e">
        <v>#N/A</v>
        <stp/>
        <stp>BDH|1907805025026361987</stp>
        <tr r="Z40" s="21"/>
      </tp>
      <tp t="e">
        <v>#N/A</v>
        <stp/>
        <stp>BDH|8164514444109771440</stp>
        <tr r="Q56" s="17"/>
      </tp>
      <tp t="e">
        <v>#N/A</v>
        <stp/>
        <stp>BDH|8415156424638541771</stp>
        <tr r="E34" s="12"/>
      </tp>
      <tp t="e">
        <v>#N/A</v>
        <stp/>
        <stp>BDH|7928090414151647353</stp>
        <tr r="F137" s="18"/>
      </tp>
      <tp t="e">
        <v>#N/A</v>
        <stp/>
        <stp>BDH|4056175748715918012</stp>
        <tr r="P28" s="26"/>
      </tp>
      <tp t="e">
        <v>#N/A</v>
        <stp/>
        <stp>BDH|4978910717621052983</stp>
        <tr r="U19" s="12"/>
      </tp>
      <tp t="e">
        <v>#N/A</v>
        <stp/>
        <stp>BDH|1633526123104579654</stp>
        <tr r="N30" s="24"/>
      </tp>
      <tp t="e">
        <v>#N/A</v>
        <stp/>
        <stp>BDH|4510636117182508530</stp>
        <tr r="V39" s="25"/>
        <tr r="V7" s="13"/>
        <tr r="V22" s="13"/>
        <tr r="T18" s="11"/>
        <tr r="V7" s="3"/>
      </tp>
      <tp t="e">
        <v>#N/A</v>
        <stp/>
        <stp>BDH|7851477526503877666</stp>
        <tr r="K71" s="17"/>
      </tp>
      <tp t="e">
        <v>#N/A</v>
        <stp/>
        <stp>BDH|8230643997366215544</stp>
        <tr r="C15" s="23"/>
      </tp>
      <tp t="e">
        <v>#N/A</v>
        <stp/>
        <stp>BDH|2033798205408210997</stp>
        <tr r="O156" s="18"/>
      </tp>
      <tp t="e">
        <v>#N/A</v>
        <stp/>
        <stp>BDH|3012583516863903003</stp>
        <tr r="C23" s="18"/>
      </tp>
      <tp t="e">
        <v>#N/A</v>
        <stp/>
        <stp>BDH|1996656317502455087</stp>
        <tr r="Y15" s="12"/>
      </tp>
      <tp t="e">
        <v>#N/A</v>
        <stp/>
        <stp>BDH|5278420947991859083</stp>
        <tr r="F90" s="18"/>
      </tp>
      <tp t="e">
        <v>#N/A</v>
        <stp/>
        <stp>BDH|2815182254086392402</stp>
        <tr r="M16" s="34"/>
      </tp>
      <tp t="e">
        <v>#N/A</v>
        <stp/>
        <stp>BDH|6655426855536797517</stp>
        <tr r="I91" s="12"/>
      </tp>
      <tp t="e">
        <v>#N/A</v>
        <stp/>
        <stp>BDH|4737630477942613320</stp>
        <tr r="Z42" s="13"/>
      </tp>
      <tp t="e">
        <v>#N/A</v>
        <stp/>
        <stp>BDH|2931544562781827409</stp>
        <tr r="Y46" s="18"/>
      </tp>
      <tp t="e">
        <v>#N/A</v>
        <stp/>
        <stp>BDH|2825252009910164422</stp>
        <tr r="J19" s="25"/>
      </tp>
      <tp t="e">
        <v>#N/A</v>
        <stp/>
        <stp>BDH|2802271057292993367</stp>
        <tr r="Z11" s="18"/>
      </tp>
      <tp t="e">
        <v>#N/A</v>
        <stp/>
        <stp>BDH|5407202252867505146</stp>
        <tr r="F54" s="6"/>
      </tp>
      <tp t="e">
        <v>#N/A</v>
        <stp/>
        <stp>BDH|9500745716859442246</stp>
        <tr r="J54" s="13"/>
      </tp>
      <tp t="e">
        <v>#N/A</v>
        <stp/>
        <stp>BDH|6471673257863534260</stp>
        <tr r="T96" s="18"/>
      </tp>
      <tp t="e">
        <v>#N/A</v>
        <stp/>
        <stp>BDH|1786386765361525180</stp>
        <tr r="U30" s="12"/>
      </tp>
      <tp t="e">
        <v>#N/A</v>
        <stp/>
        <stp>BDH|4078217176862603767</stp>
        <tr r="L54" s="10"/>
        <tr r="L46" s="11"/>
        <tr r="L7" s="7"/>
        <tr r="N12" s="3"/>
      </tp>
      <tp t="e">
        <v>#N/A</v>
        <stp/>
        <stp>BDH|9679458740258455507</stp>
        <tr r="F13" s="20"/>
        <tr r="F114" s="18"/>
      </tp>
      <tp t="e">
        <v>#N/A</v>
        <stp/>
        <stp>BDH|8370462269708948629</stp>
        <tr r="E20" s="12"/>
      </tp>
      <tp t="e">
        <v>#N/A</v>
        <stp/>
        <stp>BDH|4517853686107543749</stp>
        <tr r="AA51" s="17"/>
      </tp>
      <tp t="e">
        <v>#N/A</v>
        <stp/>
        <stp>BDH|6174448003162011411</stp>
        <tr r="C11" s="9"/>
      </tp>
      <tp t="e">
        <v>#N/A</v>
        <stp/>
        <stp>BDH|4067618979162647395</stp>
        <tr r="P55" s="18"/>
      </tp>
      <tp t="e">
        <v>#N/A</v>
        <stp/>
        <stp>BDH|4952562754796967658</stp>
        <tr r="C11" s="12"/>
      </tp>
      <tp t="e">
        <v>#N/A</v>
        <stp/>
        <stp>BDH|3458608915764481413</stp>
        <tr r="O64" s="11"/>
        <tr r="O72" s="10"/>
      </tp>
      <tp t="e">
        <v>#N/A</v>
        <stp/>
        <stp>BDH|5927960023169850307</stp>
        <tr r="N46" s="24"/>
      </tp>
      <tp t="e">
        <v>#N/A</v>
        <stp/>
        <stp>BDH|5541287239722419244</stp>
        <tr r="U30" s="13"/>
        <tr r="S26" s="10"/>
      </tp>
      <tp t="e">
        <v>#N/A</v>
        <stp/>
        <stp>BDH|5157606044320969386</stp>
        <tr r="M130" s="18"/>
      </tp>
      <tp t="e">
        <v>#N/A</v>
        <stp/>
        <stp>BDH|1024640765992017758</stp>
        <tr r="D21" s="2"/>
      </tp>
      <tp t="e">
        <v>#N/A</v>
        <stp/>
        <stp>BDH|1091377834283579629</stp>
        <tr r="W99" s="12"/>
      </tp>
      <tp t="e">
        <v>#N/A</v>
        <stp/>
        <stp>BDH|7153691497079267597</stp>
        <tr r="AA35" s="25"/>
      </tp>
      <tp t="e">
        <v>#N/A</v>
        <stp/>
        <stp>BDH|2285159775320769011</stp>
        <tr r="E7" s="23"/>
      </tp>
      <tp t="e">
        <v>#N/A</v>
        <stp/>
        <stp>BDH|6752731877065025773</stp>
        <tr r="Q85" s="17"/>
      </tp>
      <tp t="e">
        <v>#N/A</v>
        <stp/>
        <stp>BDH|2908054448260541257</stp>
        <tr r="V18" s="34"/>
      </tp>
      <tp t="e">
        <v>#N/A</v>
        <stp/>
        <stp>BDH|1800528273137451098</stp>
        <tr r="M11" s="9"/>
      </tp>
      <tp t="e">
        <v>#N/A</v>
        <stp/>
        <stp>BDH|5403354927216248606</stp>
        <tr r="T65" s="10"/>
        <tr r="T39" s="4"/>
      </tp>
      <tp t="e">
        <v>#N/A</v>
        <stp/>
        <stp>BDH|3446413229740859101</stp>
        <tr r="W61" s="21"/>
        <tr r="U25" s="2"/>
      </tp>
      <tp t="e">
        <v>#N/A</v>
        <stp/>
        <stp>BDH|4127927475296257805</stp>
        <tr r="T64" s="11"/>
        <tr r="T72" s="10"/>
      </tp>
      <tp t="e">
        <v>#N/A</v>
        <stp/>
        <stp>BDH|2386068728285857110</stp>
        <tr r="W62" s="10"/>
      </tp>
      <tp t="e">
        <v>#N/A</v>
        <stp/>
        <stp>BDH|3180598200384444680</stp>
        <tr r="O16" s="27"/>
        <tr r="O30" s="25"/>
      </tp>
      <tp t="e">
        <v>#N/A</v>
        <stp/>
        <stp>BDH|4507216729491857110</stp>
        <tr r="U31" s="24"/>
      </tp>
      <tp t="e">
        <v>#N/A</v>
        <stp/>
        <stp>BDH|1858805966762886929</stp>
        <tr r="X50" s="17"/>
      </tp>
      <tp t="e">
        <v>#N/A</v>
        <stp/>
        <stp>BDH|2522318454041548118</stp>
        <tr r="I41" s="17"/>
      </tp>
      <tp t="e">
        <v>#N/A</v>
        <stp/>
        <stp>BDH|2408672111600459128</stp>
        <tr r="E14" s="21"/>
      </tp>
      <tp t="e">
        <v>#N/A</v>
        <stp/>
        <stp>BDH|9569941482038663418</stp>
        <tr r="J19" s="5"/>
        <tr r="J43" s="6"/>
      </tp>
      <tp t="e">
        <v>#N/A</v>
        <stp/>
        <stp>BDH|1712629725637502616</stp>
        <tr r="R10" s="11"/>
      </tp>
      <tp t="e">
        <v>#N/A</v>
        <stp/>
        <stp>BDH|7442209032065243701</stp>
        <tr r="Y144" s="18"/>
      </tp>
      <tp t="e">
        <v>#N/A</v>
        <stp/>
        <stp>BDH|1754339170457793679</stp>
        <tr r="E15" s="26"/>
      </tp>
      <tp t="e">
        <v>#N/A</v>
        <stp/>
        <stp>BDH|1699972276223283819</stp>
        <tr r="Q19" s="25"/>
      </tp>
      <tp t="e">
        <v>#N/A</v>
        <stp/>
        <stp>BDH|2703003945433682107</stp>
        <tr r="O53" s="13"/>
      </tp>
      <tp t="e">
        <v>#N/A</v>
        <stp/>
        <stp>BDH|8044839391379541431</stp>
        <tr r="Q68" s="10"/>
      </tp>
      <tp t="e">
        <v>#N/A</v>
        <stp/>
        <stp>BDH|3295764987989065178</stp>
        <tr r="J73" s="12"/>
      </tp>
      <tp t="e">
        <v>#N/A</v>
        <stp/>
        <stp>BDH|4779808467607017942</stp>
        <tr r="L26" s="26"/>
      </tp>
      <tp t="e">
        <v>#N/A</v>
        <stp/>
        <stp>BDH|8747152895602724648</stp>
        <tr r="C58" s="18"/>
      </tp>
      <tp t="e">
        <v>#N/A</v>
        <stp/>
        <stp>BDH|8434686772805918831</stp>
        <tr r="U68" s="10"/>
      </tp>
      <tp t="e">
        <v>#N/A</v>
        <stp/>
        <stp>BDH|3766673795851366927</stp>
        <tr r="K12" s="14"/>
      </tp>
      <tp t="e">
        <v>#N/A</v>
        <stp/>
        <stp>BDH|1627513489898214084</stp>
        <tr r="E48" s="6"/>
        <tr r="G6" s="8"/>
      </tp>
      <tp t="e">
        <v>#N/A</v>
        <stp/>
        <stp>BDH|5241707566665908599</stp>
        <tr r="E9" s="13"/>
      </tp>
      <tp t="e">
        <v>#N/A</v>
        <stp/>
        <stp>BDH|9168804040445418418</stp>
        <tr r="J9" s="8"/>
        <tr r="H49" s="6"/>
      </tp>
      <tp t="e">
        <v>#N/A</v>
        <stp/>
        <stp>BDH|2935796876681358719</stp>
        <tr r="S100" s="18"/>
      </tp>
      <tp t="e">
        <v>#N/A</v>
        <stp/>
        <stp>BDH|1372423442006420338</stp>
        <tr r="H14" s="21"/>
      </tp>
      <tp t="e">
        <v>#N/A</v>
        <stp/>
        <stp>BDH|8011839056760587149</stp>
        <tr r="Y101" s="12"/>
      </tp>
      <tp t="e">
        <v>#N/A</v>
        <stp/>
        <stp>BDH|1449632555803541534</stp>
        <tr r="M13" s="13"/>
      </tp>
      <tp t="e">
        <v>#N/A</v>
        <stp/>
        <stp>BDH|6604460165518340830</stp>
        <tr r="G40" s="6"/>
      </tp>
      <tp t="e">
        <v>#N/A</v>
        <stp/>
        <stp>BDH|1031714541560434610</stp>
        <tr r="G31" s="21"/>
      </tp>
      <tp t="e">
        <v>#N/A</v>
        <stp/>
        <stp>BDH|4534712100760832794</stp>
        <tr r="I11" s="10"/>
        <tr r="I14" s="2"/>
      </tp>
      <tp t="e">
        <v>#N/A</v>
        <stp/>
        <stp>BDH|9160229882107367079</stp>
        <tr r="E87" s="18"/>
      </tp>
      <tp t="e">
        <v>#N/A</v>
        <stp/>
        <stp>BDH|9926496884035105405</stp>
        <tr r="J51" s="24"/>
      </tp>
      <tp t="e">
        <v>#N/A</v>
        <stp/>
        <stp>BDH|4194557148957007697</stp>
        <tr r="U83" s="18"/>
      </tp>
      <tp t="e">
        <v>#N/A</v>
        <stp/>
        <stp>BDH|8143970517440775437</stp>
        <tr r="U40" s="21"/>
      </tp>
      <tp t="e">
        <v>#N/A</v>
        <stp/>
        <stp>BDH|5003731019304948366</stp>
        <tr r="N36" s="21"/>
      </tp>
      <tp t="e">
        <v>#N/A</v>
        <stp/>
        <stp>BDH|1125067952996175618</stp>
        <tr r="D23" s="17"/>
      </tp>
      <tp t="e">
        <v>#N/A</v>
        <stp/>
        <stp>BDH|5619755666581126110</stp>
        <tr r="X43" s="22"/>
      </tp>
      <tp t="e">
        <v>#N/A</v>
        <stp/>
        <stp>BDH|1522603161334542145</stp>
        <tr r="Q110" s="12"/>
      </tp>
      <tp t="e">
        <v>#N/A</v>
        <stp/>
        <stp>BDH|1961593111043338275</stp>
        <tr r="Q65" s="24"/>
      </tp>
      <tp t="e">
        <v>#N/A</v>
        <stp/>
        <stp>BDH|4848367461454835126</stp>
        <tr r="L24" s="6"/>
      </tp>
      <tp t="e">
        <v>#N/A</v>
        <stp/>
        <stp>BDH|3256622282449489039</stp>
        <tr r="E15" s="5"/>
      </tp>
      <tp t="e">
        <v>#N/A</v>
        <stp/>
        <stp>BDH|3059554016461578237</stp>
        <tr r="V12" s="21"/>
      </tp>
      <tp t="e">
        <v>#N/A</v>
        <stp/>
        <stp>BDH|4286419306433617761</stp>
        <tr r="R9" s="23"/>
      </tp>
      <tp t="e">
        <v>#N/A</v>
        <stp/>
        <stp>BDH|3345402678892780693</stp>
        <tr r="H20" s="30"/>
      </tp>
      <tp t="e">
        <v>#N/A</v>
        <stp/>
        <stp>BDH|2172137904506367107</stp>
        <tr r="N38" s="22"/>
      </tp>
      <tp t="e">
        <v>#N/A</v>
        <stp/>
        <stp>BDH|9332256577488031046</stp>
        <tr r="D116" s="18"/>
      </tp>
      <tp t="e">
        <v>#N/A</v>
        <stp/>
        <stp>BDH|2633644804231083139</stp>
        <tr r="W20" s="17"/>
      </tp>
      <tp t="e">
        <v>#N/A</v>
        <stp/>
        <stp>BDH|8515826323451027716</stp>
        <tr r="Y71" s="17"/>
      </tp>
      <tp t="e">
        <v>#N/A</v>
        <stp/>
        <stp>BDH|3837196223150411432</stp>
        <tr r="M44" s="13"/>
      </tp>
      <tp t="e">
        <v>#N/A</v>
        <stp/>
        <stp>BDH|6987095882838740206</stp>
        <tr r="X47" s="12"/>
      </tp>
      <tp t="e">
        <v>#N/A</v>
        <stp/>
        <stp>BDH|1517284128883098602</stp>
        <tr r="S12" s="20"/>
        <tr r="S113" s="18"/>
      </tp>
      <tp t="e">
        <v>#N/A</v>
        <stp/>
        <stp>BDH|3368326432896298147</stp>
        <tr r="I78" s="24"/>
      </tp>
      <tp t="e">
        <v>#N/A</v>
        <stp/>
        <stp>BDH|3068350062400656241</stp>
        <tr r="P68" s="18"/>
      </tp>
      <tp t="e">
        <v>#N/A</v>
        <stp/>
        <stp>BDH|8543150972243480938</stp>
        <tr r="O41" s="24"/>
      </tp>
      <tp t="e">
        <v>#N/A</v>
        <stp/>
        <stp>BDH|3345775371575748276</stp>
        <tr r="W32" s="13"/>
        <tr r="U28" s="10"/>
      </tp>
      <tp t="e">
        <v>#N/A</v>
        <stp/>
        <stp>BDH|7482515203820492675</stp>
        <tr r="O20" s="34"/>
      </tp>
      <tp t="e">
        <v>#N/A</v>
        <stp/>
        <stp>BDH|1246408102136568702</stp>
        <tr r="P14" s="23"/>
      </tp>
      <tp t="e">
        <v>#N/A</v>
        <stp/>
        <stp>BDH|6319389679184608212</stp>
        <tr r="U14" s="30"/>
      </tp>
      <tp t="e">
        <v>#N/A</v>
        <stp/>
        <stp>BDH|2196628058441876468</stp>
        <tr r="M20" s="23"/>
      </tp>
      <tp t="e">
        <v>#N/A</v>
        <stp/>
        <stp>BDH|6465850497977702445</stp>
        <tr r="G36" s="21"/>
      </tp>
      <tp t="e">
        <v>#N/A</v>
        <stp/>
        <stp>BDH|4371772091976367830</stp>
        <tr r="S60" s="12"/>
      </tp>
      <tp t="e">
        <v>#N/A</v>
        <stp/>
        <stp>BDH|1439567027810667260</stp>
        <tr r="P13" s="24"/>
      </tp>
      <tp t="e">
        <v>#N/A</v>
        <stp/>
        <stp>BDH|3223671931256926489</stp>
        <tr r="H37" s="24"/>
      </tp>
      <tp t="e">
        <v>#N/A</v>
        <stp/>
        <stp>BDH|2218193272259834949</stp>
        <tr r="I40" s="10"/>
        <tr r="I32" s="11"/>
      </tp>
      <tp t="e">
        <v>#N/A</v>
        <stp/>
        <stp>BDH|2929837729425297942</stp>
        <tr r="AA26" s="26"/>
      </tp>
      <tp t="e">
        <v>#N/A</v>
        <stp/>
        <stp>BDH|8997633897793861006</stp>
        <tr r="S19" s="29"/>
        <tr r="S10" s="29"/>
        <tr r="S25" s="29"/>
        <tr r="R6" s="9"/>
        <tr r="T12" s="8"/>
        <tr r="R6" s="5"/>
        <tr r="S6" s="2"/>
      </tp>
      <tp t="e">
        <v>#N/A</v>
        <stp/>
        <stp>BDH|6411299125656569485</stp>
        <tr r="K8" s="25"/>
        <tr r="H10" s="5"/>
        <tr r="I9" s="2"/>
      </tp>
      <tp t="e">
        <v>#N/A</v>
        <stp/>
        <stp>BDH|3946598034580036117</stp>
        <tr r="AA29" s="22"/>
      </tp>
      <tp t="e">
        <v>#N/A</v>
        <stp/>
        <stp>BDH|7515009345297378061</stp>
        <tr r="D61" s="18"/>
      </tp>
      <tp t="e">
        <v>#N/A</v>
        <stp/>
        <stp>BDH|7952356353777981230</stp>
        <tr r="K35" s="6"/>
      </tp>
      <tp t="e">
        <v>#N/A</v>
        <stp/>
        <stp>BDH|9706745632921525812</stp>
        <tr r="R33" s="17"/>
      </tp>
      <tp t="e">
        <v>#N/A</v>
        <stp/>
        <stp>BDH|6247578894478056641</stp>
        <tr r="S31" s="13"/>
        <tr r="Q27" s="10"/>
      </tp>
      <tp t="e">
        <v>#N/A</v>
        <stp/>
        <stp>BDH|4779400185849415532</stp>
        <tr r="I12" s="13"/>
      </tp>
      <tp t="e">
        <v>#N/A</v>
        <stp/>
        <stp>BDH|4992453728655477354</stp>
        <tr r="I14" s="4"/>
      </tp>
      <tp t="e">
        <v>#N/A</v>
        <stp/>
        <stp>BDH|2239256322940434640</stp>
        <tr r="U75" s="24"/>
      </tp>
      <tp t="e">
        <v>#N/A</v>
        <stp/>
        <stp>BDH|9898332011767754886</stp>
        <tr r="J15" s="6"/>
      </tp>
      <tp t="e">
        <v>#N/A</v>
        <stp/>
        <stp>BDH|6605232723697092533</stp>
        <tr r="T8" s="26"/>
        <tr r="Q10" s="9"/>
      </tp>
      <tp t="e">
        <v>#N/A</v>
        <stp/>
        <stp>BDH|53772288876894028</stp>
        <tr r="C88" s="12"/>
      </tp>
      <tp t="e">
        <v>#N/A</v>
        <stp/>
        <stp>BDH|24870236120527240</stp>
        <tr r="C13" s="13"/>
      </tp>
      <tp t="e">
        <v>#N/A</v>
        <stp/>
        <stp>BDH|15167785449401970</stp>
        <tr r="L22" s="27"/>
      </tp>
      <tp t="e">
        <v>#N/A</v>
        <stp/>
        <stp>BDH|54802421360821385</stp>
        <tr r="C15" s="11"/>
      </tp>
      <tp t="e">
        <v>#N/A</v>
        <stp/>
        <stp>BDH|80987812603664261</stp>
        <tr r="W13" s="5"/>
      </tp>
      <tp t="e">
        <v>#N/A</v>
        <stp/>
        <stp>BDH|37987730902988197</stp>
        <tr r="J36" s="18"/>
      </tp>
      <tp t="e">
        <v>#N/A</v>
        <stp/>
        <stp>BDH|7858383678455551376</stp>
        <tr r="U80" s="18"/>
      </tp>
      <tp t="e">
        <v>#N/A</v>
        <stp/>
        <stp>BDH|3150333207151753482</stp>
        <tr r="X14" s="21"/>
      </tp>
      <tp t="e">
        <v>#N/A</v>
        <stp/>
        <stp>BDH|7849641891245073870</stp>
        <tr r="J6" s="20"/>
        <tr r="J108" s="18"/>
      </tp>
      <tp t="e">
        <v>#N/A</v>
        <stp/>
        <stp>BDH|1912846369262717894</stp>
        <tr r="S50" s="18"/>
      </tp>
      <tp t="e">
        <v>#N/A</v>
        <stp/>
        <stp>BDH|4521793529747904365</stp>
        <tr r="U44" s="12"/>
      </tp>
      <tp t="e">
        <v>#N/A</v>
        <stp/>
        <stp>BDH|2851522537086468733</stp>
        <tr r="C20" s="22"/>
      </tp>
      <tp t="e">
        <v>#N/A</v>
        <stp/>
        <stp>BDH|6193693732750084607</stp>
        <tr r="Q16" s="21"/>
      </tp>
      <tp t="e">
        <v>#N/A</v>
        <stp/>
        <stp>BDH|6511577743055336787</stp>
        <tr r="K28" s="17"/>
      </tp>
      <tp t="e">
        <v>#N/A</v>
        <stp/>
        <stp>BDH|8927674307202121924</stp>
        <tr r="L29" s="34"/>
      </tp>
      <tp t="e">
        <v>#N/A</v>
        <stp/>
        <stp>BDH|4850812692558895899</stp>
        <tr r="J33" s="34"/>
      </tp>
      <tp t="e">
        <v>#N/A</v>
        <stp/>
        <stp>BDH|4386390701822253030</stp>
        <tr r="T56" s="11"/>
        <tr r="T24" s="4"/>
      </tp>
      <tp t="e">
        <v>#N/A</v>
        <stp/>
        <stp>BDH|8197567223919812362</stp>
        <tr r="F31" s="22"/>
      </tp>
      <tp t="e">
        <v>#N/A</v>
        <stp/>
        <stp>BDH|3743596869080923546</stp>
        <tr r="Q31" s="18"/>
      </tp>
      <tp t="e">
        <v>#N/A</v>
        <stp/>
        <stp>BDH|4908043574145323306</stp>
        <tr r="R81" s="18"/>
      </tp>
      <tp t="e">
        <v>#N/A</v>
        <stp/>
        <stp>BDH|9585831000147425383</stp>
        <tr r="M31" s="26"/>
        <tr r="J14" s="9"/>
      </tp>
      <tp t="e">
        <v>#N/A</v>
        <stp/>
        <stp>BDH|4867978550554112943</stp>
        <tr r="H11" s="29"/>
      </tp>
      <tp t="e">
        <v>#N/A</v>
        <stp/>
        <stp>BDH|9824272422954663816</stp>
        <tr r="H55" s="13"/>
        <tr r="F48" s="11"/>
        <tr r="F56" s="10"/>
        <tr r="F18" s="7"/>
      </tp>
      <tp t="e">
        <v>#N/A</v>
        <stp/>
        <stp>BDH|2098145941463680199</stp>
        <tr r="E12" s="17"/>
      </tp>
      <tp t="e">
        <v>#N/A</v>
        <stp/>
        <stp>BDH|6695271559113466766</stp>
        <tr r="P75" s="17"/>
      </tp>
      <tp t="e">
        <v>#N/A</v>
        <stp/>
        <stp>BDH|5868787572987104791</stp>
        <tr r="I26" s="29"/>
      </tp>
      <tp t="e">
        <v>#N/A</v>
        <stp/>
        <stp>BDH|9298326735398759480</stp>
        <tr r="M8" s="28"/>
      </tp>
      <tp t="e">
        <v>#N/A</v>
        <stp/>
        <stp>BDH|3904019211322468574</stp>
        <tr r="Y64" s="18"/>
      </tp>
      <tp t="e">
        <v>#N/A</v>
        <stp/>
        <stp>BDH|9681292691514371373</stp>
        <tr r="Z91" s="12"/>
      </tp>
      <tp t="e">
        <v>#N/A</v>
        <stp/>
        <stp>BDH|1563429054196843311</stp>
        <tr r="P16" s="18"/>
      </tp>
      <tp t="e">
        <v>#N/A</v>
        <stp/>
        <stp>BDH|8399330285664727286</stp>
        <tr r="U64" s="24"/>
      </tp>
      <tp t="e">
        <v>#N/A</v>
        <stp/>
        <stp>BDH|4845254273981404502</stp>
        <tr r="F39" s="29"/>
        <tr r="F31" s="29"/>
        <tr r="E52" s="6"/>
        <tr r="E11" s="5"/>
        <tr r="F10" s="2"/>
      </tp>
      <tp t="e">
        <v>#N/A</v>
        <stp/>
        <stp>BDH|1234523356807452387</stp>
        <tr r="R19" s="29"/>
        <tr r="R10" s="29"/>
        <tr r="R25" s="29"/>
        <tr r="Q6" s="9"/>
        <tr r="S12" s="8"/>
        <tr r="Q6" s="5"/>
        <tr r="R6" s="2"/>
      </tp>
      <tp t="e">
        <v>#N/A</v>
        <stp/>
        <stp>BDH|3281073904473227590</stp>
        <tr r="G18" s="13"/>
      </tp>
      <tp t="e">
        <v>#N/A</v>
        <stp/>
        <stp>BDH|9582707098276531422</stp>
        <tr r="H116" s="18"/>
      </tp>
      <tp t="e">
        <v>#N/A</v>
        <stp/>
        <stp>BDH|8447567194886446783</stp>
        <tr r="J32" s="24"/>
      </tp>
      <tp t="e">
        <v>#N/A</v>
        <stp/>
        <stp>BDH|8869870353000132079</stp>
        <tr r="F12" s="22"/>
      </tp>
      <tp t="e">
        <v>#N/A</v>
        <stp/>
        <stp>BDH|2888841009608668796</stp>
        <tr r="K64" s="18"/>
      </tp>
      <tp t="e">
        <v>#N/A</v>
        <stp/>
        <stp>BDH|2226590416483212058</stp>
        <tr r="O23" s="13"/>
      </tp>
      <tp t="e">
        <v>#N/A</v>
        <stp/>
        <stp>BDH|2349207529426399130</stp>
        <tr r="H20" s="27"/>
      </tp>
      <tp t="e">
        <v>#N/A</v>
        <stp/>
        <stp>BDH|4811042834193587174</stp>
        <tr r="P136" s="18"/>
      </tp>
      <tp t="e">
        <v>#N/A</v>
        <stp/>
        <stp>BDH|2853473939233839357</stp>
        <tr r="J65" s="34"/>
      </tp>
      <tp t="e">
        <v>#N/A</v>
        <stp/>
        <stp>BDH|8022396154423201840</stp>
        <tr r="U106" s="18"/>
      </tp>
      <tp t="e">
        <v>#N/A</v>
        <stp/>
        <stp>BDH|6900642745618115925</stp>
        <tr r="L29" s="12"/>
      </tp>
      <tp t="e">
        <v>#N/A</v>
        <stp/>
        <stp>BDH|2931213754225292558</stp>
        <tr r="G15" s="12"/>
      </tp>
      <tp t="e">
        <v>#N/A</v>
        <stp/>
        <stp>BDH|1785284350944762730</stp>
        <tr r="H8" s="17"/>
      </tp>
      <tp t="e">
        <v>#N/A</v>
        <stp/>
        <stp>BDH|3343194974870020059</stp>
        <tr r="Y68" s="17"/>
        <tr r="V8" s="9"/>
        <tr r="V8" s="5"/>
      </tp>
      <tp t="e">
        <v>#N/A</v>
        <stp/>
        <stp>BDH|4369787863361509161</stp>
        <tr r="E42" s="11"/>
        <tr r="E14" s="7"/>
        <tr r="E50" s="10"/>
        <tr r="G9" s="3"/>
      </tp>
      <tp t="e">
        <v>#N/A</v>
        <stp/>
        <stp>BDH|9336280892137783059</stp>
        <tr r="Z16" s="26"/>
      </tp>
      <tp t="e">
        <v>#N/A</v>
        <stp/>
        <stp>BDH|2414364838744440354</stp>
        <tr r="P8" s="14"/>
      </tp>
      <tp t="e">
        <v>#N/A</v>
        <stp/>
        <stp>BDH|3194990148742834938</stp>
        <tr r="U9" s="11"/>
      </tp>
      <tp t="e">
        <v>#N/A</v>
        <stp/>
        <stp>BDH|6985207334837150577</stp>
        <tr r="P20" s="25"/>
      </tp>
      <tp t="e">
        <v>#N/A</v>
        <stp/>
        <stp>BDH|1305690452716377105</stp>
        <tr r="J9" s="11"/>
      </tp>
      <tp t="e">
        <v>#N/A</v>
        <stp/>
        <stp>BDH|8384555398950240175</stp>
        <tr r="D13" s="27"/>
        <tr r="D27" s="25"/>
      </tp>
      <tp t="e">
        <v>#N/A</v>
        <stp/>
        <stp>BDH|4957509802967023302</stp>
        <tr r="J28" s="22"/>
      </tp>
      <tp t="e">
        <v>#N/A</v>
        <stp/>
        <stp>BDH|5262055289438578004</stp>
        <tr r="P43" s="12"/>
      </tp>
      <tp t="e">
        <v>#N/A</v>
        <stp/>
        <stp>BDH|9071787575628456424</stp>
        <tr r="L50" s="6"/>
        <tr r="N10" s="8"/>
      </tp>
      <tp t="e">
        <v>#N/A</v>
        <stp/>
        <stp>BDH|8825981325555678386</stp>
        <tr r="W9" s="8"/>
        <tr r="U49" s="6"/>
      </tp>
      <tp t="e">
        <v>#N/A</v>
        <stp/>
        <stp>BDH|5921630150240112307</stp>
        <tr r="T23" s="26"/>
      </tp>
      <tp t="e">
        <v>#N/A</v>
        <stp/>
        <stp>BDH|8948880631293200590</stp>
        <tr r="H39" s="26"/>
      </tp>
      <tp t="e">
        <v>#N/A</v>
        <stp/>
        <stp>BDH|7241083885279402303</stp>
        <tr r="X44" s="13"/>
      </tp>
      <tp t="e">
        <v>#N/A</v>
        <stp/>
        <stp>BDH|4984546850352637308</stp>
        <tr r="M142" s="18"/>
      </tp>
      <tp t="e">
        <v>#N/A</v>
        <stp/>
        <stp>BDH|5324496857631377053</stp>
        <tr r="F14" s="13"/>
      </tp>
      <tp t="e">
        <v>#N/A</v>
        <stp/>
        <stp>BDH|2087246507427059289</stp>
        <tr r="X43" s="12"/>
      </tp>
      <tp t="e">
        <v>#N/A</v>
        <stp/>
        <stp>BDH|3962334516072409634</stp>
        <tr r="E78" s="17"/>
      </tp>
      <tp t="e">
        <v>#N/A</v>
        <stp/>
        <stp>BDH|2786055433781245587</stp>
        <tr r="V28" s="9"/>
        <tr r="V28" s="5"/>
      </tp>
      <tp t="e">
        <v>#N/A</v>
        <stp/>
        <stp>BDH|6042285482948838192</stp>
        <tr r="T29" s="9"/>
      </tp>
      <tp t="e">
        <v>#N/A</v>
        <stp/>
        <stp>BDH|2210299842741408067</stp>
        <tr r="AA27" s="17"/>
      </tp>
      <tp t="e">
        <v>#N/A</v>
        <stp/>
        <stp>BDH|1425731422986738792</stp>
        <tr r="W56" s="24"/>
      </tp>
      <tp t="e">
        <v>#N/A</v>
        <stp/>
        <stp>BDH|7491659958937020620</stp>
        <tr r="Z18" s="27"/>
        <tr r="Z32" s="25"/>
      </tp>
      <tp t="e">
        <v>#N/A</v>
        <stp/>
        <stp>BDH|3778758009243631264</stp>
        <tr r="C67" s="10"/>
      </tp>
      <tp t="e">
        <v>#N/A</v>
        <stp/>
        <stp>BDH|1178040933487490097</stp>
        <tr r="R40" s="21"/>
      </tp>
      <tp t="e">
        <v>#N/A</v>
        <stp/>
        <stp>BDH|1773319569890094142</stp>
        <tr r="W15" s="23"/>
        <tr r="U58" s="11"/>
      </tp>
      <tp t="e">
        <v>#N/A</v>
        <stp/>
        <stp>BDH|8890338123448787441</stp>
        <tr r="AA132" s="18"/>
      </tp>
      <tp t="e">
        <v>#N/A</v>
        <stp/>
        <stp>BDH|4999896159575652943</stp>
        <tr r="K60" s="18"/>
      </tp>
      <tp t="e">
        <v>#N/A</v>
        <stp/>
        <stp>BDH|3605020525492317699</stp>
        <tr r="AA93" s="12"/>
      </tp>
      <tp t="e">
        <v>#N/A</v>
        <stp/>
        <stp>BDH|1243265173719589892</stp>
        <tr r="W62" s="21"/>
      </tp>
      <tp t="e">
        <v>#N/A</v>
        <stp/>
        <stp>BDH|5614801444138075499</stp>
        <tr r="L8" s="11"/>
      </tp>
      <tp t="e">
        <v>#N/A</v>
        <stp/>
        <stp>BDH|7617774665924702783</stp>
        <tr r="V42" s="22"/>
      </tp>
      <tp t="e">
        <v>#N/A</v>
        <stp/>
        <stp>BDH|8360691698743169189</stp>
        <tr r="Z11" s="28"/>
      </tp>
      <tp t="e">
        <v>#N/A</v>
        <stp/>
        <stp>BDH|9617874618581282407</stp>
        <tr r="F11" s="28"/>
      </tp>
      <tp t="e">
        <v>#N/A</v>
        <stp/>
        <stp>BDH|8520138434779827611</stp>
        <tr r="M78" s="18"/>
      </tp>
      <tp t="e">
        <v>#N/A</v>
        <stp/>
        <stp>BDH|2530785405841770147</stp>
        <tr r="V52" s="22"/>
      </tp>
      <tp t="e">
        <v>#N/A</v>
        <stp/>
        <stp>BDH|9847709694847294552</stp>
        <tr r="Q46" s="22"/>
      </tp>
      <tp t="e">
        <v>#N/A</v>
        <stp/>
        <stp>BDH|3376940544523198895</stp>
        <tr r="M15" s="13"/>
      </tp>
      <tp t="e">
        <v>#N/A</v>
        <stp/>
        <stp>BDH|7177896732348654146</stp>
        <tr r="J32" s="13"/>
        <tr r="H28" s="10"/>
      </tp>
      <tp t="e">
        <v>#N/A</v>
        <stp/>
        <stp>BDH|9166222285874980275</stp>
        <tr r="O66" s="18"/>
      </tp>
      <tp t="e">
        <v>#N/A</v>
        <stp/>
        <stp>BDH|4053649186788994733</stp>
        <tr r="F15" s="9"/>
      </tp>
      <tp t="e">
        <v>#N/A</v>
        <stp/>
        <stp>BDH|9923658535929511042</stp>
        <tr r="V71" s="18"/>
      </tp>
      <tp t="e">
        <v>#N/A</v>
        <stp/>
        <stp>BDH|6527885350597003952</stp>
        <tr r="D103" s="18"/>
      </tp>
      <tp t="e">
        <v>#N/A</v>
        <stp/>
        <stp>BDH|9902813676667076461</stp>
        <tr r="J73" s="17"/>
      </tp>
      <tp t="e">
        <v>#N/A</v>
        <stp/>
        <stp>BDH|3154665769502026464</stp>
        <tr r="J130" s="18"/>
      </tp>
      <tp t="e">
        <v>#N/A</v>
        <stp/>
        <stp>BDH|4331432547329937862</stp>
        <tr r="T45" s="22"/>
      </tp>
      <tp t="e">
        <v>#N/A</v>
        <stp/>
        <stp>BDH|4685252312301887312</stp>
        <tr r="Z74" s="12"/>
      </tp>
      <tp t="e">
        <v>#N/A</v>
        <stp/>
        <stp>BDH|8131633215303931963</stp>
        <tr r="I44" s="6"/>
      </tp>
      <tp t="e">
        <v>#N/A</v>
        <stp/>
        <stp>BDH|1526337609632478537</stp>
        <tr r="L90" s="18"/>
      </tp>
      <tp t="e">
        <v>#N/A</v>
        <stp/>
        <stp>BDH|4729347721701368196</stp>
        <tr r="C22" s="27"/>
      </tp>
      <tp t="e">
        <v>#N/A</v>
        <stp/>
        <stp>BDH|4667692855603558175</stp>
        <tr r="J25" s="24"/>
      </tp>
      <tp t="e">
        <v>#N/A</v>
        <stp/>
        <stp>BDH|3966337013162262634</stp>
        <tr r="U32" s="22"/>
      </tp>
      <tp t="e">
        <v>#N/A</v>
        <stp/>
        <stp>BDH|5753215817416119587</stp>
        <tr r="H40" s="24"/>
      </tp>
      <tp t="e">
        <v>#N/A</v>
        <stp/>
        <stp>BDH|6966607771580533255</stp>
        <tr r="L11" s="24"/>
      </tp>
      <tp t="e">
        <v>#N/A</v>
        <stp/>
        <stp>BDH|2472150524651867552</stp>
        <tr r="K9" s="8"/>
        <tr r="I49" s="6"/>
      </tp>
      <tp t="e">
        <v>#N/A</v>
        <stp/>
        <stp>BDH|8993466610159027179</stp>
        <tr r="M25" s="22"/>
      </tp>
      <tp t="e">
        <v>#N/A</v>
        <stp/>
        <stp>BDH|4935566154309222810</stp>
        <tr r="L82" s="17"/>
        <tr r="J6" s="7"/>
        <tr r="L20" s="3"/>
      </tp>
      <tp t="e">
        <v>#N/A</v>
        <stp/>
        <stp>BDH|3857734796580761826</stp>
        <tr r="U95" s="12"/>
      </tp>
      <tp t="e">
        <v>#N/A</v>
        <stp/>
        <stp>BDH|8518440321248845303</stp>
        <tr r="F23" s="13"/>
      </tp>
      <tp t="e">
        <v>#N/A</v>
        <stp/>
        <stp>BDH|2808439733327550758</stp>
        <tr r="L70" s="12"/>
      </tp>
      <tp t="e">
        <v>#N/A</v>
        <stp/>
        <stp>BDH|6874511376685469430</stp>
        <tr r="K27" s="21"/>
      </tp>
      <tp t="e">
        <v>#N/A</v>
        <stp/>
        <stp>BDH|7655674309681789579</stp>
        <tr r="X88" s="18"/>
      </tp>
      <tp t="e">
        <v>#N/A</v>
        <stp/>
        <stp>BDH|7773673768676136418</stp>
        <tr r="F79" s="12"/>
      </tp>
      <tp t="e">
        <v>#N/A</v>
        <stp/>
        <stp>BDH|6526112558760175759</stp>
        <tr r="F35" s="6"/>
      </tp>
      <tp t="e">
        <v>#N/A</v>
        <stp/>
        <stp>BDH|6915378261871011778</stp>
        <tr r="I25" s="3"/>
      </tp>
      <tp t="e">
        <v>#N/A</v>
        <stp/>
        <stp>BDH|4005820527802968946</stp>
        <tr r="C19" s="14"/>
      </tp>
      <tp t="e">
        <v>#N/A</v>
        <stp/>
        <stp>BDH|7953311153435519169</stp>
        <tr r="I53" s="17"/>
        <tr r="I10" s="25"/>
      </tp>
      <tp t="e">
        <v>#N/A</v>
        <stp/>
        <stp>BDH|4021929034198901377</stp>
        <tr r="Z12" s="22"/>
      </tp>
      <tp t="e">
        <v>#N/A</v>
        <stp/>
        <stp>BDH|6354086973702582650</stp>
        <tr r="Z25" s="12"/>
      </tp>
      <tp t="e">
        <v>#N/A</v>
        <stp/>
        <stp>BDH|3178182430805538141</stp>
        <tr r="I25" s="18"/>
      </tp>
      <tp t="e">
        <v>#N/A</v>
        <stp/>
        <stp>BDH|7535196019742444099</stp>
        <tr r="F40" s="29"/>
      </tp>
      <tp t="e">
        <v>#N/A</v>
        <stp/>
        <stp>BDH|2994198012810806726</stp>
        <tr r="N59" s="34"/>
      </tp>
      <tp t="e">
        <v>#N/A</v>
        <stp/>
        <stp>BDH|2214437841111019688</stp>
        <tr r="I10" s="17"/>
      </tp>
      <tp t="e">
        <v>#N/A</v>
        <stp/>
        <stp>BDH|5754605921282859669</stp>
        <tr r="O8" s="17"/>
      </tp>
      <tp t="e">
        <v>#N/A</v>
        <stp/>
        <stp>BDH|5118786844331188242</stp>
        <tr r="G42" s="24"/>
      </tp>
      <tp t="e">
        <v>#N/A</v>
        <stp/>
        <stp>BDH|7170082390042950991</stp>
        <tr r="X47" s="22"/>
      </tp>
      <tp t="e">
        <v>#N/A</v>
        <stp/>
        <stp>BDH|1527607796858956338</stp>
        <tr r="E19" s="14"/>
      </tp>
      <tp t="e">
        <v>#N/A</v>
        <stp/>
        <stp>BDH|3828460284102523861</stp>
        <tr r="X9" s="6"/>
      </tp>
      <tp t="e">
        <v>#N/A</v>
        <stp/>
        <stp>BDH|7942333316437096759</stp>
        <tr r="K16" s="6"/>
      </tp>
      <tp t="e">
        <v>#N/A</v>
        <stp/>
        <stp>BDH|8455818095409093592</stp>
        <tr r="R17" s="27"/>
        <tr r="R31" s="25"/>
        <tr r="O14" s="5"/>
      </tp>
      <tp t="e">
        <v>#N/A</v>
        <stp/>
        <stp>BDH|4838724374024664513</stp>
        <tr r="T67" s="34"/>
      </tp>
      <tp t="e">
        <v>#N/A</v>
        <stp/>
        <stp>BDH|1464980516414264810</stp>
        <tr r="G17" s="34"/>
      </tp>
      <tp t="e">
        <v>#N/A</v>
        <stp/>
        <stp>BDH|8047647125209037086</stp>
        <tr r="T102" s="18"/>
      </tp>
      <tp t="e">
        <v>#N/A</v>
        <stp/>
        <stp>BDH|7437145969487742271</stp>
        <tr r="Y85" s="17"/>
      </tp>
      <tp t="e">
        <v>#N/A</v>
        <stp/>
        <stp>BDH|6065411360589950810</stp>
        <tr r="T21" s="4"/>
      </tp>
      <tp t="e">
        <v>#N/A</v>
        <stp/>
        <stp>BDH|7960287620903998116</stp>
        <tr r="E18" s="17"/>
      </tp>
      <tp t="e">
        <v>#N/A</v>
        <stp/>
        <stp>BDH|4151855413468915073</stp>
        <tr r="X51" s="12"/>
      </tp>
      <tp t="e">
        <v>#N/A</v>
        <stp/>
        <stp>BDH|5051759814844104292</stp>
        <tr r="U15" s="5"/>
      </tp>
      <tp t="e">
        <v>#N/A</v>
        <stp/>
        <stp>BDH|7414446873425264483</stp>
        <tr r="L7" s="30"/>
      </tp>
      <tp t="e">
        <v>#N/A</v>
        <stp/>
        <stp>BDH|8984954201660223461</stp>
        <tr r="M15" s="26"/>
      </tp>
      <tp t="e">
        <v>#N/A</v>
        <stp/>
        <stp>BDH|8876597488733085307</stp>
        <tr r="L123" s="18"/>
      </tp>
      <tp t="e">
        <v>#N/A</v>
        <stp/>
        <stp>BDH|3537474528253786345</stp>
        <tr r="F14" s="34"/>
      </tp>
      <tp t="e">
        <v>#N/A</v>
        <stp/>
        <stp>BDH|6510075530028270898</stp>
        <tr r="X34" s="18"/>
      </tp>
      <tp t="e">
        <v>#N/A</v>
        <stp/>
        <stp>BDH|8063942761174583696</stp>
        <tr r="G60" s="21"/>
      </tp>
      <tp t="e">
        <v>#N/A</v>
        <stp/>
        <stp>BDH|3127092670989478855</stp>
        <tr r="O15" s="5"/>
      </tp>
      <tp t="e">
        <v>#N/A</v>
        <stp/>
        <stp>BDH|3833119019371125780</stp>
        <tr r="C70" s="12"/>
      </tp>
      <tp t="e">
        <v>#N/A</v>
        <stp/>
        <stp>BDH|5630259176817883241</stp>
        <tr r="X55" s="13"/>
        <tr r="V48" s="11"/>
        <tr r="V56" s="10"/>
        <tr r="V18" s="7"/>
      </tp>
      <tp t="e">
        <v>#N/A</v>
        <stp/>
        <stp>BDH|3016493848911937713</stp>
        <tr r="Y15" s="11"/>
      </tp>
      <tp t="e">
        <v>#N/A</v>
        <stp/>
        <stp>BDH|6912766505907042330</stp>
        <tr r="F30" s="25"/>
        <tr r="F16" s="27"/>
      </tp>
      <tp t="e">
        <v>#N/A</v>
        <stp/>
        <stp>BDH|7641439563570621090</stp>
        <tr r="N12" s="24"/>
      </tp>
      <tp t="e">
        <v>#N/A</v>
        <stp/>
        <stp>BDH|7491336149993445638</stp>
        <tr r="Y166" s="18"/>
      </tp>
      <tp t="e">
        <v>#N/A</v>
        <stp/>
        <stp>BDH|9607978151209968906</stp>
        <tr r="D17" s="17"/>
        <tr r="D20" s="28"/>
      </tp>
      <tp t="e">
        <v>#N/A</v>
        <stp/>
        <stp>BDH|6743383634924053726</stp>
        <tr r="K11" s="14"/>
      </tp>
      <tp t="e">
        <v>#N/A</v>
        <stp/>
        <stp>BDH|4800112216614603509</stp>
        <tr r="X28" s="22"/>
      </tp>
      <tp t="e">
        <v>#N/A</v>
        <stp/>
        <stp>BDH|2011658427652371185</stp>
        <tr r="W11" s="18"/>
      </tp>
      <tp t="e">
        <v>#N/A</v>
        <stp/>
        <stp>BDH|3983785218972507259</stp>
        <tr r="Z83" s="12"/>
      </tp>
      <tp t="e">
        <v>#N/A</v>
        <stp/>
        <stp>BDH|5763526938681320779</stp>
        <tr r="E155" s="18"/>
      </tp>
      <tp t="e">
        <v>#N/A</v>
        <stp/>
        <stp>BDH|6377649422085836242</stp>
        <tr r="W87" s="17"/>
      </tp>
      <tp t="e">
        <v>#N/A</v>
        <stp/>
        <stp>BDH|4601692423622599702</stp>
        <tr r="D149" s="18"/>
      </tp>
      <tp t="e">
        <v>#N/A</v>
        <stp/>
        <stp>BDH|1987117470423662173</stp>
        <tr r="D68" s="17"/>
      </tp>
      <tp t="e">
        <v>#N/A</v>
        <stp/>
        <stp>BDH|7413197949621485696</stp>
        <tr r="D19" s="10"/>
      </tp>
      <tp t="e">
        <v>#N/A</v>
        <stp/>
        <stp>BDH|3553744231124972676</stp>
        <tr r="W49" s="21"/>
      </tp>
      <tp t="e">
        <v>#N/A</v>
        <stp/>
        <stp>BDH|1909863913215371816</stp>
        <tr r="D35" s="29"/>
        <tr r="D15" s="29"/>
      </tp>
      <tp t="e">
        <v>#N/A</v>
        <stp/>
        <stp>BDH|1622703050241115792</stp>
        <tr r="R58" s="18"/>
      </tp>
      <tp t="e">
        <v>#N/A</v>
        <stp/>
        <stp>BDH|5199679769355611572</stp>
        <tr r="F35" s="34"/>
      </tp>
      <tp t="e">
        <v>#N/A</v>
        <stp/>
        <stp>BDH|7083894433629212068</stp>
        <tr r="F18" s="6"/>
      </tp>
      <tp t="e">
        <v>#N/A</v>
        <stp/>
        <stp>BDH|8543827444233849256</stp>
        <tr r="P59" s="21"/>
        <tr r="N54" s="11"/>
      </tp>
      <tp t="e">
        <v>#N/A</v>
        <stp/>
        <stp>BDH|5472787172743225327</stp>
        <tr r="O112" s="12"/>
      </tp>
      <tp t="e">
        <v>#N/A</v>
        <stp/>
        <stp>BDH|3887046078805249480</stp>
        <tr r="V106" s="12"/>
      </tp>
      <tp t="e">
        <v>#N/A</v>
        <stp/>
        <stp>BDH|1909306607350969796</stp>
        <tr r="I105" s="12"/>
      </tp>
      <tp t="e">
        <v>#N/A</v>
        <stp/>
        <stp>BDH|1041855891674901132</stp>
        <tr r="E116" s="18"/>
      </tp>
      <tp t="e">
        <v>#N/A</v>
        <stp/>
        <stp>BDH|8526635788237360437</stp>
        <tr r="S33" s="12"/>
      </tp>
      <tp t="e">
        <v>#N/A</v>
        <stp/>
        <stp>BDH|5749726829014216104</stp>
        <tr r="Y16" s="10"/>
      </tp>
      <tp t="e">
        <v>#N/A</v>
        <stp/>
        <stp>BDH|9505479195740917108</stp>
        <tr r="X32" s="24"/>
      </tp>
      <tp t="e">
        <v>#N/A</v>
        <stp/>
        <stp>BDH|5049070114641816054</stp>
        <tr r="V8" s="28"/>
      </tp>
      <tp t="e">
        <v>#N/A</v>
        <stp/>
        <stp>BDH|4527497419017316382</stp>
        <tr r="D128" s="18"/>
      </tp>
      <tp t="e">
        <v>#N/A</v>
        <stp/>
        <stp>BDH|3977500354432164423</stp>
        <tr r="U93" s="18"/>
      </tp>
      <tp t="e">
        <v>#N/A</v>
        <stp/>
        <stp>BDH|3828558224508282951</stp>
        <tr r="S49" s="13"/>
        <tr r="Q37" s="11"/>
        <tr r="Q45" s="10"/>
        <tr r="Q53" s="4"/>
        <tr r="Q18" s="2"/>
      </tp>
      <tp t="e">
        <v>#N/A</v>
        <stp/>
        <stp>BDH|6633389614218768937</stp>
        <tr r="H39" s="6"/>
      </tp>
      <tp t="e">
        <v>#N/A</v>
        <stp/>
        <stp>BDH|3296151829164964197</stp>
        <tr r="M32" s="12"/>
      </tp>
      <tp t="e">
        <v>#N/A</v>
        <stp/>
        <stp>BDH|3621081151896377524</stp>
        <tr r="U18" s="20"/>
      </tp>
      <tp t="e">
        <v>#N/A</v>
        <stp/>
        <stp>BDH|1694116043541333092</stp>
        <tr r="F20" s="29"/>
      </tp>
      <tp t="e">
        <v>#N/A</v>
        <stp/>
        <stp>BDH|1519538626965734698</stp>
        <tr r="N60" s="34"/>
      </tp>
      <tp t="e">
        <v>#N/A</v>
        <stp/>
        <stp>BDH|7825708730481432726</stp>
        <tr r="U67" s="34"/>
      </tp>
      <tp t="e">
        <v>#N/A</v>
        <stp/>
        <stp>BDH|6503088670081347507</stp>
        <tr r="M128" s="18"/>
      </tp>
      <tp t="e">
        <v>#N/A</v>
        <stp/>
        <stp>BDH|7414587063035183404</stp>
        <tr r="W19" s="24"/>
      </tp>
      <tp t="e">
        <v>#N/A</v>
        <stp/>
        <stp>BDH|8972446859824841827</stp>
        <tr r="H41" s="18"/>
      </tp>
      <tp t="e">
        <v>#N/A</v>
        <stp/>
        <stp>BDH|3897479616867031476</stp>
        <tr r="V10" s="22"/>
      </tp>
      <tp t="e">
        <v>#N/A</v>
        <stp/>
        <stp>BDH|5528099362753911590</stp>
        <tr r="K31" s="22"/>
      </tp>
      <tp t="e">
        <v>#N/A</v>
        <stp/>
        <stp>BDH|4160832719970647835</stp>
        <tr r="E48" s="24"/>
      </tp>
      <tp t="e">
        <v>#N/A</v>
        <stp/>
        <stp>BDH|4233533203967930356</stp>
        <tr r="V25" s="11"/>
        <tr r="V33" s="10"/>
      </tp>
      <tp t="e">
        <v>#N/A</v>
        <stp/>
        <stp>BDH|9195641684173924167</stp>
        <tr r="M169" s="18"/>
      </tp>
      <tp t="e">
        <v>#N/A</v>
        <stp/>
        <stp>BDH|4193590864051564373</stp>
        <tr r="Y17" s="14"/>
      </tp>
      <tp t="e">
        <v>#N/A</v>
        <stp/>
        <stp>BDH|4520384158297292091</stp>
        <tr r="D45" s="12"/>
      </tp>
      <tp t="e">
        <v>#N/A</v>
        <stp/>
        <stp>BDH|5135356247137894052</stp>
        <tr r="U78" s="17"/>
      </tp>
      <tp t="e">
        <v>#N/A</v>
        <stp/>
        <stp>BDH|5699194262525119226</stp>
        <tr r="V47" s="24"/>
      </tp>
      <tp t="e">
        <v>#N/A</v>
        <stp/>
        <stp>BDH|2558565321686802648</stp>
        <tr r="G100" s="18"/>
      </tp>
      <tp t="e">
        <v>#N/A</v>
        <stp/>
        <stp>BDH|2103672310067911702</stp>
        <tr r="V75" s="18"/>
      </tp>
      <tp t="e">
        <v>#N/A</v>
        <stp/>
        <stp>BDH|7670122908852245118</stp>
        <tr r="K19" s="24"/>
      </tp>
      <tp t="e">
        <v>#N/A</v>
        <stp/>
        <stp>BDH|1946799450533917569</stp>
        <tr r="S62" s="21"/>
      </tp>
      <tp t="e">
        <v>#N/A</v>
        <stp/>
        <stp>BDH|3816010647497236536</stp>
        <tr r="AA19" s="18"/>
      </tp>
      <tp t="e">
        <v>#N/A</v>
        <stp/>
        <stp>BDH|1620426171701967636</stp>
        <tr r="J34" s="12"/>
      </tp>
      <tp t="e">
        <v>#N/A</v>
        <stp/>
        <stp>BDH|6028316059596762304</stp>
        <tr r="U89" s="12"/>
      </tp>
      <tp t="e">
        <v>#N/A</v>
        <stp/>
        <stp>BDH|4255229129888312956</stp>
        <tr r="R21" s="6"/>
      </tp>
      <tp t="e">
        <v>#N/A</v>
        <stp/>
        <stp>BDH|1929224051395210676</stp>
        <tr r="X27" s="11"/>
        <tr r="X39" s="11"/>
        <tr r="X47" s="10"/>
        <tr r="X35" s="10"/>
      </tp>
      <tp t="e">
        <v>#N/A</v>
        <stp/>
        <stp>BDH|4716055538382033056</stp>
        <tr r="G11" s="11"/>
      </tp>
      <tp t="e">
        <v>#N/A</v>
        <stp/>
        <stp>BDH|3712286638283189498</stp>
        <tr r="Q53" s="12"/>
      </tp>
      <tp t="e">
        <v>#N/A</v>
        <stp/>
        <stp>BDH|5822202670533063674</stp>
        <tr r="X42" s="4"/>
      </tp>
      <tp t="e">
        <v>#N/A</v>
        <stp/>
        <stp>BDH|3841054283777814991</stp>
        <tr r="N27" s="26"/>
      </tp>
      <tp t="e">
        <v>#N/A</v>
        <stp/>
        <stp>BDH|8394262608979577672</stp>
        <tr r="E8" s="23"/>
      </tp>
      <tp t="e">
        <v>#N/A</v>
        <stp/>
        <stp>BDH|8907277756693403936</stp>
        <tr r="Y49" s="12"/>
      </tp>
      <tp t="e">
        <v>#N/A</v>
        <stp/>
        <stp>BDH|2133409724545836425</stp>
        <tr r="L61" s="21"/>
        <tr r="J25" s="2"/>
      </tp>
      <tp t="e">
        <v>#N/A</v>
        <stp/>
        <stp>BDH|8280628649908715711</stp>
        <tr r="Q12" s="22"/>
      </tp>
      <tp t="e">
        <v>#N/A</v>
        <stp/>
        <stp>BDH|2040310326676985012</stp>
        <tr r="X45" s="6"/>
      </tp>
      <tp t="e">
        <v>#N/A</v>
        <stp/>
        <stp>BDH|5722225063951855513</stp>
        <tr r="Q46" s="6"/>
      </tp>
      <tp t="e">
        <v>#N/A</v>
        <stp/>
        <stp>BDH|2560090270489637959</stp>
        <tr r="S39" s="22"/>
      </tp>
      <tp t="e">
        <v>#N/A</v>
        <stp/>
        <stp>BDH|5306038933517806445</stp>
        <tr r="V25" s="12"/>
      </tp>
      <tp t="e">
        <v>#N/A</v>
        <stp/>
        <stp>BDH|8822365194417000058</stp>
        <tr r="K50" s="18"/>
      </tp>
      <tp t="e">
        <v>#N/A</v>
        <stp/>
        <stp>BDH|9673099826359017767</stp>
        <tr r="M8" s="18"/>
      </tp>
      <tp t="e">
        <v>#N/A</v>
        <stp/>
        <stp>BDH|9011352342208028388</stp>
        <tr r="R29" s="34"/>
      </tp>
      <tp t="e">
        <v>#N/A</v>
        <stp/>
        <stp>BDH|3404571544146894103</stp>
        <tr r="K47" s="24"/>
      </tp>
      <tp t="e">
        <v>#N/A</v>
        <stp/>
        <stp>BDH|4228888994253907382</stp>
        <tr r="Z9" s="27"/>
      </tp>
      <tp t="e">
        <v>#N/A</v>
        <stp/>
        <stp>BDH|7255980373988005466</stp>
        <tr r="U49" s="17"/>
      </tp>
      <tp t="e">
        <v>#N/A</v>
        <stp/>
        <stp>BDH|4560487353475610579</stp>
        <tr r="D16" s="24"/>
      </tp>
      <tp t="e">
        <v>#N/A</v>
        <stp/>
        <stp>BDH|7917548450756374414</stp>
        <tr r="AA38" s="18"/>
      </tp>
      <tp t="e">
        <v>#N/A</v>
        <stp/>
        <stp>BDH|5749558618747534305</stp>
        <tr r="D34" s="12"/>
      </tp>
      <tp t="e">
        <v>#N/A</v>
        <stp/>
        <stp>BDH|5382571238543513561</stp>
        <tr r="F24" s="6"/>
      </tp>
      <tp t="e">
        <v>#N/A</v>
        <stp/>
        <stp>BDH|3703282781865631975</stp>
        <tr r="J68" s="18"/>
      </tp>
      <tp t="e">
        <v>#N/A</v>
        <stp/>
        <stp>BDH|4602638701243310484</stp>
        <tr r="D6" s="28"/>
      </tp>
      <tp t="e">
        <v>#N/A</v>
        <stp/>
        <stp>BDH|5689917115280469894</stp>
        <tr r="M51" s="34"/>
      </tp>
      <tp t="e">
        <v>#N/A</v>
        <stp/>
        <stp>BDH|6299788474523130009</stp>
        <tr r="U16" s="25"/>
      </tp>
      <tp t="e">
        <v>#N/A</v>
        <stp/>
        <stp>BDH|9033913348906081750</stp>
        <tr r="M83" s="18"/>
      </tp>
      <tp t="e">
        <v>#N/A</v>
        <stp/>
        <stp>BDH|6219952371008813523</stp>
        <tr r="H39" s="24"/>
      </tp>
      <tp t="e">
        <v>#N/A</v>
        <stp/>
        <stp>BDH|7466169618694206649</stp>
        <tr r="Q18" s="20"/>
      </tp>
      <tp t="e">
        <v>#N/A</v>
        <stp/>
        <stp>BDH|6606592742795134705</stp>
        <tr r="Y25" s="21"/>
      </tp>
      <tp t="e">
        <v>#N/A</v>
        <stp/>
        <stp>BDH|6198379730825886623</stp>
        <tr r="I36" s="12"/>
      </tp>
      <tp t="e">
        <v>#N/A</v>
        <stp/>
        <stp>BDH|9268681315229435274</stp>
        <tr r="P19" s="13"/>
        <tr r="N61" s="10"/>
        <tr r="N32" s="4"/>
        <tr r="N16" s="2"/>
      </tp>
      <tp t="e">
        <v>#N/A</v>
        <stp/>
        <stp>BDH|7595577799948379642</stp>
        <tr r="C9" s="11"/>
      </tp>
      <tp t="e">
        <v>#N/A</v>
        <stp/>
        <stp>BDH|5123681666954308408</stp>
        <tr r="J10" s="27"/>
        <tr r="J25" s="25"/>
      </tp>
      <tp t="e">
        <v>#N/A</v>
        <stp/>
        <stp>BDH|2640562782788634280</stp>
        <tr r="W44" s="13"/>
      </tp>
      <tp t="e">
        <v>#N/A</v>
        <stp/>
        <stp>BDH|3132620618190046174</stp>
        <tr r="U54" s="17"/>
      </tp>
      <tp t="e">
        <v>#N/A</v>
        <stp/>
        <stp>BDH|6413114726304918462</stp>
        <tr r="W18" s="23"/>
      </tp>
      <tp t="e">
        <v>#N/A</v>
        <stp/>
        <stp>BDH|7249775629070324736</stp>
        <tr r="G28" s="17"/>
      </tp>
      <tp t="e">
        <v>#N/A</v>
        <stp/>
        <stp>BDH|9672865128482355476</stp>
        <tr r="Y12" s="14"/>
      </tp>
      <tp t="e">
        <v>#N/A</v>
        <stp/>
        <stp>BDH|6636117309425128737</stp>
        <tr r="Z85" s="17"/>
      </tp>
      <tp t="e">
        <v>#N/A</v>
        <stp/>
        <stp>BDH|9087266651578949328</stp>
        <tr r="Q28" s="26"/>
      </tp>
      <tp t="e">
        <v>#N/A</v>
        <stp/>
        <stp>BDH|5182189939305570792</stp>
        <tr r="E19" s="24"/>
      </tp>
      <tp t="e">
        <v>#N/A</v>
        <stp/>
        <stp>BDH|2901275430602341411</stp>
        <tr r="Z46" s="17"/>
      </tp>
      <tp t="e">
        <v>#N/A</v>
        <stp/>
        <stp>BDH|1291421139051260278</stp>
        <tr r="I12" s="26"/>
      </tp>
      <tp t="e">
        <v>#N/A</v>
        <stp/>
        <stp>BDH|8012369382435995313</stp>
        <tr r="O34" s="10"/>
        <tr r="O26" s="11"/>
      </tp>
      <tp t="e">
        <v>#N/A</v>
        <stp/>
        <stp>BDH|6666986880353139139</stp>
        <tr r="G62" s="24"/>
      </tp>
      <tp t="e">
        <v>#N/A</v>
        <stp/>
        <stp>BDH|3221254526655812358</stp>
        <tr r="O15" s="6"/>
      </tp>
      <tp t="e">
        <v>#N/A</v>
        <stp/>
        <stp>BDH|8675758176588940507</stp>
        <tr r="I11" s="21"/>
      </tp>
      <tp t="e">
        <v>#N/A</v>
        <stp/>
        <stp>BDH|4903455705616130348</stp>
        <tr r="V77" s="12"/>
      </tp>
      <tp t="e">
        <v>#N/A</v>
        <stp/>
        <stp>BDH|3194595291788501203</stp>
        <tr r="J31" s="12"/>
      </tp>
      <tp t="e">
        <v>#N/A</v>
        <stp/>
        <stp>BDH|2968207584678173508</stp>
        <tr r="J10" s="10"/>
      </tp>
      <tp t="e">
        <v>#N/A</v>
        <stp/>
        <stp>BDH|7389147537127832746</stp>
        <tr r="I8" s="13"/>
      </tp>
      <tp t="e">
        <v>#N/A</v>
        <stp/>
        <stp>BDH|8209659672315872916</stp>
        <tr r="Y40" s="22"/>
      </tp>
      <tp t="e">
        <v>#N/A</v>
        <stp/>
        <stp>BDH|3342488658043979466</stp>
        <tr r="D37" s="12"/>
      </tp>
      <tp t="e">
        <v>#N/A</v>
        <stp/>
        <stp>BDH|4340799510884216349</stp>
        <tr r="X53" s="17"/>
        <tr r="X10" s="25"/>
      </tp>
      <tp t="e">
        <v>#N/A</v>
        <stp/>
        <stp>BDH|6248791227806940095</stp>
        <tr r="D54" s="17"/>
      </tp>
      <tp t="e">
        <v>#N/A</v>
        <stp/>
        <stp>BDH|7295007567781142581</stp>
        <tr r="G25" s="29"/>
        <tr r="G19" s="29"/>
        <tr r="G10" s="29"/>
        <tr r="H12" s="8"/>
        <tr r="F6" s="5"/>
        <tr r="F6" s="9"/>
        <tr r="G6" s="2"/>
      </tp>
      <tp t="e">
        <v>#N/A</v>
        <stp/>
        <stp>BDH|5222187342380099540</stp>
        <tr r="N67" s="17"/>
        <tr r="N18" s="3"/>
      </tp>
      <tp t="e">
        <v>#N/A</v>
        <stp/>
        <stp>BDH|7795886841327352916</stp>
        <tr r="O39" s="24"/>
      </tp>
      <tp t="e">
        <v>#N/A</v>
        <stp/>
        <stp>BDH|1784870154779876006</stp>
        <tr r="U20" s="24"/>
      </tp>
      <tp t="e">
        <v>#N/A</v>
        <stp/>
        <stp>BDH|3787041837126916317</stp>
        <tr r="E74" s="18"/>
      </tp>
      <tp t="e">
        <v>#N/A</v>
        <stp/>
        <stp>BDH|4212315571052737786</stp>
        <tr r="R9" s="20"/>
        <tr r="R111" s="18"/>
      </tp>
      <tp t="e">
        <v>#N/A</v>
        <stp/>
        <stp>BDH|2219618044796977338</stp>
        <tr r="R15" s="26"/>
      </tp>
      <tp t="e">
        <v>#N/A</v>
        <stp/>
        <stp>BDH|4817073859795231197</stp>
        <tr r="J102" s="18"/>
      </tp>
      <tp t="e">
        <v>#N/A</v>
        <stp/>
        <stp>BDH|1127248400827171194</stp>
        <tr r="F117" s="18"/>
      </tp>
      <tp t="e">
        <v>#N/A</v>
        <stp/>
        <stp>BDH|3728491511097604442</stp>
        <tr r="W49" s="17"/>
      </tp>
      <tp t="e">
        <v>#N/A</v>
        <stp/>
        <stp>BDH|2172551621051175191</stp>
        <tr r="P18" s="25"/>
      </tp>
      <tp t="e">
        <v>#N/A</v>
        <stp/>
        <stp>BDH|7882179364300635501</stp>
        <tr r="R39" s="13"/>
        <tr r="P35" s="11"/>
        <tr r="P43" s="10"/>
        <tr r="R8" s="3"/>
        <tr r="P52" s="4"/>
      </tp>
      <tp t="e">
        <v>#N/A</v>
        <stp/>
        <stp>BDH|2459667767764915314</stp>
        <tr r="H23" s="10"/>
      </tp>
      <tp t="e">
        <v>#N/A</v>
        <stp/>
        <stp>BDH|2046512958991069649</stp>
        <tr r="J21" s="4"/>
      </tp>
      <tp t="e">
        <v>#N/A</v>
        <stp/>
        <stp>BDH|9278993462097374470</stp>
        <tr r="C94" s="17"/>
      </tp>
      <tp t="e">
        <v>#N/A</v>
        <stp/>
        <stp>BDH|4700320141757067192</stp>
        <tr r="G43" s="17"/>
        <tr r="G9" s="25"/>
      </tp>
      <tp t="e">
        <v>#N/A</v>
        <stp/>
        <stp>BDH|2651007648451346200</stp>
        <tr r="I18" s="6"/>
      </tp>
      <tp t="e">
        <v>#N/A</v>
        <stp/>
        <stp>BDH|7687685140865400577</stp>
        <tr r="W22" s="9"/>
      </tp>
      <tp t="e">
        <v>#N/A</v>
        <stp/>
        <stp>BDH|2123491463937307258</stp>
        <tr r="F143" s="18"/>
      </tp>
      <tp t="e">
        <v>#N/A</v>
        <stp/>
        <stp>BDH|1087988798590451495</stp>
        <tr r="K99" s="12"/>
      </tp>
      <tp t="e">
        <v>#N/A</v>
        <stp/>
        <stp>BDH|9047380707459041620</stp>
        <tr r="U20" s="34"/>
      </tp>
      <tp t="e">
        <v>#N/A</v>
        <stp/>
        <stp>BDH|1084192951987470710</stp>
        <tr r="O66" s="24"/>
      </tp>
      <tp t="e">
        <v>#N/A</v>
        <stp/>
        <stp>BDH|7977853384446767422</stp>
        <tr r="R47" s="22"/>
      </tp>
      <tp t="e">
        <v>#N/A</v>
        <stp/>
        <stp>BDH|4423115603789331987</stp>
        <tr r="H49" s="18"/>
      </tp>
      <tp t="e">
        <v>#N/A</v>
        <stp/>
        <stp>BDH|7367104631122617295</stp>
        <tr r="G45" s="24"/>
      </tp>
      <tp t="e">
        <v>#N/A</v>
        <stp/>
        <stp>BDH|7963392356705248190</stp>
        <tr r="C23" s="11"/>
      </tp>
      <tp t="e">
        <v>#N/A</v>
        <stp/>
        <stp>BDH|9028805258368529900</stp>
        <tr r="I14" s="34"/>
      </tp>
      <tp t="e">
        <v>#N/A</v>
        <stp/>
        <stp>BDH|5778326702370367392</stp>
        <tr r="W25" s="11"/>
        <tr r="W33" s="10"/>
      </tp>
      <tp t="e">
        <v>#N/A</v>
        <stp/>
        <stp>BDH|5975187118264690423</stp>
        <tr r="D15" s="13"/>
      </tp>
      <tp t="e">
        <v>#N/A</v>
        <stp/>
        <stp>BDH|2646901946868505285</stp>
        <tr r="W50" s="34"/>
      </tp>
      <tp t="e">
        <v>#N/A</v>
        <stp/>
        <stp>BDH|8487022305845701899</stp>
        <tr r="Q56" s="13"/>
      </tp>
      <tp t="e">
        <v>#N/A</v>
        <stp/>
        <stp>BDH|8883851593568111426</stp>
        <tr r="N58" s="34"/>
      </tp>
      <tp t="e">
        <v>#N/A</v>
        <stp/>
        <stp>BDH|7533223824902739091</stp>
        <tr r="H63" s="11"/>
        <tr r="H71" s="10"/>
      </tp>
      <tp t="e">
        <v>#N/A</v>
        <stp/>
        <stp>BDH|5727326023124881537</stp>
        <tr r="Z56" s="24"/>
      </tp>
      <tp t="e">
        <v>#N/A</v>
        <stp/>
        <stp>BDH|4101005421617983441</stp>
        <tr r="W47" s="21"/>
      </tp>
      <tp t="e">
        <v>#N/A</v>
        <stp/>
        <stp>BDH|3941386258944154454</stp>
        <tr r="F164" s="18"/>
      </tp>
      <tp t="e">
        <v>#N/A</v>
        <stp/>
        <stp>BDH|8133385840438594211</stp>
        <tr r="R27" s="12"/>
      </tp>
      <tp t="e">
        <v>#N/A</v>
        <stp/>
        <stp>BDH|3202523708884664737</stp>
        <tr r="H50" s="18"/>
      </tp>
      <tp t="e">
        <v>#N/A</v>
        <stp/>
        <stp>BDH|8834904967627257509</stp>
        <tr r="D20" s="29"/>
      </tp>
      <tp t="e">
        <v>#N/A</v>
        <stp/>
        <stp>BDH|5624721269918217927</stp>
        <tr r="P20" s="17"/>
      </tp>
      <tp t="e">
        <v>#N/A</v>
        <stp/>
        <stp>BDH|2555278724714961323</stp>
        <tr r="R25" s="34"/>
      </tp>
      <tp t="e">
        <v>#N/A</v>
        <stp/>
        <stp>BDH|5915339037012377230</stp>
        <tr r="J51" s="18"/>
      </tp>
      <tp t="e">
        <v>#N/A</v>
        <stp/>
        <stp>BDH|5780367084739956213</stp>
        <tr r="P60" s="18"/>
      </tp>
      <tp t="e">
        <v>#N/A</v>
        <stp/>
        <stp>BDH|1300219029642314650</stp>
        <tr r="M31" s="13"/>
        <tr r="K27" s="10"/>
      </tp>
      <tp t="e">
        <v>#N/A</v>
        <stp/>
        <stp>BDH|4285452854094754491</stp>
        <tr r="W14" s="4"/>
      </tp>
      <tp t="e">
        <v>#N/A</v>
        <stp/>
        <stp>BDH|4834419546788538970</stp>
        <tr r="J173" s="18"/>
      </tp>
      <tp t="e">
        <v>#N/A</v>
        <stp/>
        <stp>BDH|6362869047739906699</stp>
        <tr r="J9" s="29"/>
      </tp>
      <tp t="e">
        <v>#N/A</v>
        <stp/>
        <stp>BDH|9961465081525960551</stp>
        <tr r="AA8" s="23"/>
      </tp>
      <tp t="e">
        <v>#N/A</v>
        <stp/>
        <stp>BDH|9738963212435620177</stp>
        <tr r="M28" s="12"/>
      </tp>
      <tp t="e">
        <v>#N/A</v>
        <stp/>
        <stp>BDH|6342611653756325600</stp>
        <tr r="L7" s="20"/>
        <tr r="L109" s="18"/>
      </tp>
      <tp t="e">
        <v>#N/A</v>
        <stp/>
        <stp>BDH|8338690669244130902</stp>
        <tr r="T34" s="26"/>
      </tp>
      <tp t="e">
        <v>#N/A</v>
        <stp/>
        <stp>BDH|1256563271246346043</stp>
        <tr r="T44" s="13"/>
      </tp>
      <tp t="e">
        <v>#N/A</v>
        <stp/>
        <stp>BDH|8357026088130918520</stp>
        <tr r="M44" s="22"/>
      </tp>
      <tp t="e">
        <v>#N/A</v>
        <stp/>
        <stp>BDH|6476523178335954450</stp>
        <tr r="M7" s="10"/>
      </tp>
      <tp t="e">
        <v>#N/A</v>
        <stp/>
        <stp>BDH|8457854676240439212</stp>
        <tr r="S47" s="24"/>
      </tp>
      <tp t="e">
        <v>#N/A</v>
        <stp/>
        <stp>BDH|6104740226404725263</stp>
        <tr r="N50" s="18"/>
      </tp>
      <tp t="e">
        <v>#N/A</v>
        <stp/>
        <stp>BDH|5014317221298515970</stp>
        <tr r="H21" s="20"/>
      </tp>
      <tp t="e">
        <v>#N/A</v>
        <stp/>
        <stp>BDH|4674659433893117733</stp>
        <tr r="S33" s="17"/>
      </tp>
      <tp t="e">
        <v>#N/A</v>
        <stp/>
        <stp>BDH|6220528312425687261</stp>
        <tr r="R34" s="21"/>
      </tp>
      <tp t="e">
        <v>#N/A</v>
        <stp/>
        <stp>BDH|5247058734983613073</stp>
        <tr r="F27" s="7"/>
      </tp>
      <tp t="e">
        <v>#N/A</v>
        <stp/>
        <stp>BDH|5660540202271656447</stp>
        <tr r="S55" s="6"/>
      </tp>
      <tp t="e">
        <v>#N/A</v>
        <stp/>
        <stp>BDH|6215205440385579059</stp>
        <tr r="R31" s="6"/>
      </tp>
      <tp t="e">
        <v>#N/A</v>
        <stp/>
        <stp>BDH|1380262612010253774</stp>
        <tr r="L12" s="10"/>
      </tp>
      <tp t="e">
        <v>#N/A</v>
        <stp/>
        <stp>BDH|6487430560318281978</stp>
        <tr r="G77" s="18"/>
      </tp>
      <tp t="e">
        <v>#N/A</v>
        <stp/>
        <stp>BDH|8710800515114821088</stp>
        <tr r="E79" s="18"/>
      </tp>
      <tp t="e">
        <v>#N/A</v>
        <stp/>
        <stp>BDH|3683652232807587460</stp>
        <tr r="R176" s="18"/>
      </tp>
      <tp t="e">
        <v>#N/A</v>
        <stp/>
        <stp>BDH|2958944956083188883</stp>
        <tr r="L19" s="24"/>
      </tp>
      <tp t="e">
        <v>#N/A</v>
        <stp/>
        <stp>BDH|3428671301304694463</stp>
        <tr r="AA60" s="12"/>
      </tp>
      <tp t="e">
        <v>#N/A</v>
        <stp/>
        <stp>BDH|7745434820864514033</stp>
        <tr r="O23" s="6"/>
      </tp>
      <tp t="e">
        <v>#N/A</v>
        <stp/>
        <stp>BDH|8223909705191715521</stp>
        <tr r="D27" s="7"/>
      </tp>
      <tp t="e">
        <v>#N/A</v>
        <stp/>
        <stp>BDH|1017356923266472308</stp>
        <tr r="I39" s="17"/>
      </tp>
      <tp t="e">
        <v>#N/A</v>
        <stp/>
        <stp>BDH|2766420262095028059</stp>
        <tr r="X7" s="14"/>
      </tp>
      <tp t="e">
        <v>#N/A</v>
        <stp/>
        <stp>BDH|7104641707545080101</stp>
        <tr r="S8" s="25"/>
        <tr r="P10" s="5"/>
        <tr r="Q9" s="2"/>
      </tp>
      <tp t="e">
        <v>#N/A</v>
        <stp/>
        <stp>BDH|4762401224756158108</stp>
        <tr r="Y8" s="4"/>
      </tp>
      <tp t="e">
        <v>#N/A</v>
        <stp/>
        <stp>BDH|8632393984467180180</stp>
        <tr r="M17" s="13"/>
      </tp>
      <tp t="e">
        <v>#N/A</v>
        <stp/>
        <stp>BDH|5787256495959538208</stp>
        <tr r="F29" s="13"/>
        <tr r="D24" s="11"/>
        <tr r="D32" s="10"/>
        <tr r="D45" s="4"/>
      </tp>
      <tp t="e">
        <v>#N/A</v>
        <stp/>
        <stp>BDH|7621861869849953522</stp>
        <tr r="F40" s="24"/>
      </tp>
      <tp t="e">
        <v>#N/A</v>
        <stp/>
        <stp>BDH|4723852140164782976</stp>
        <tr r="U108" s="12"/>
      </tp>
      <tp t="e">
        <v>#N/A</v>
        <stp/>
        <stp>BDH|6673256772282796445</stp>
        <tr r="Z52" s="22"/>
      </tp>
      <tp t="e">
        <v>#N/A</v>
        <stp/>
        <stp>BDH|5637717355664281624</stp>
        <tr r="T38" s="12"/>
      </tp>
      <tp t="e">
        <v>#N/A</v>
        <stp/>
        <stp>BDH|5584264974887789222</stp>
        <tr r="W9" s="34"/>
      </tp>
      <tp t="e">
        <v>#N/A</v>
        <stp/>
        <stp>BDH|6720552255720138355</stp>
        <tr r="W36" s="12"/>
      </tp>
      <tp t="e">
        <v>#N/A</v>
        <stp/>
        <stp>BDH|5137159137945302733</stp>
        <tr r="F92" s="12"/>
      </tp>
      <tp t="e">
        <v>#N/A</v>
        <stp/>
        <stp>BDH|1028170002343037662</stp>
        <tr r="V98" s="18"/>
      </tp>
      <tp t="e">
        <v>#N/A</v>
        <stp/>
        <stp>BDH|1225033561256404470</stp>
        <tr r="D107" s="18"/>
      </tp>
      <tp t="e">
        <v>#N/A</v>
        <stp/>
        <stp>BDH|7744250704430338060</stp>
        <tr r="E149" s="18"/>
      </tp>
      <tp t="e">
        <v>#N/A</v>
        <stp/>
        <stp>BDH|6229768197805152814</stp>
        <tr r="H26" s="17"/>
      </tp>
      <tp t="e">
        <v>#N/A</v>
        <stp/>
        <stp>BDH|2651711472616391159</stp>
        <tr r="AA17" s="22"/>
      </tp>
      <tp t="e">
        <v>#N/A</v>
        <stp/>
        <stp>BDH|4116436620356232135</stp>
        <tr r="U46" s="6"/>
      </tp>
      <tp t="e">
        <v>#N/A</v>
        <stp/>
        <stp>BDH|6473926684944383622</stp>
        <tr r="T17" s="11"/>
      </tp>
      <tp t="e">
        <v>#N/A</v>
        <stp/>
        <stp>BDH|2812602731605316796</stp>
        <tr r="P7" s="9"/>
        <tr r="S14" s="3"/>
        <tr r="Q7" s="2"/>
        <tr r="P7" s="5"/>
      </tp>
      <tp t="e">
        <v>#N/A</v>
        <stp/>
        <stp>BDH|2965408359153480575</stp>
        <tr r="S64" s="12"/>
      </tp>
      <tp t="e">
        <v>#N/A</v>
        <stp/>
        <stp>BDH|9048251632679560417</stp>
        <tr r="V36" s="18"/>
      </tp>
      <tp t="e">
        <v>#N/A</v>
        <stp/>
        <stp>BDH|5032283871433332695</stp>
        <tr r="P65" s="12"/>
      </tp>
      <tp t="e">
        <v>#N/A</v>
        <stp/>
        <stp>BDH|6779966280117407565</stp>
        <tr r="M15" s="24"/>
      </tp>
      <tp t="e">
        <v>#N/A</v>
        <stp/>
        <stp>BDH|6182614170911598369</stp>
        <tr r="M33" s="6"/>
        <tr r="M17" s="5"/>
      </tp>
      <tp t="e">
        <v>#N/A</v>
        <stp/>
        <stp>BDH|2502099832494897050</stp>
        <tr r="I23" s="11"/>
      </tp>
      <tp t="e">
        <v>#N/A</v>
        <stp/>
        <stp>BDH|7642353721682700165</stp>
        <tr r="D10" s="34"/>
      </tp>
      <tp t="e">
        <v>#N/A</v>
        <stp/>
        <stp>BDH|6762772425590230646</stp>
        <tr r="Y31" s="12"/>
      </tp>
      <tp t="e">
        <v>#N/A</v>
        <stp/>
        <stp>BDH|9864366806509249696</stp>
        <tr r="I148" s="18"/>
      </tp>
      <tp t="e">
        <v>#N/A</v>
        <stp/>
        <stp>BDH|3816517534412670282</stp>
        <tr r="W17" s="9"/>
      </tp>
      <tp t="e">
        <v>#N/A</v>
        <stp/>
        <stp>BDH|5315438204245591125</stp>
        <tr r="J53" s="13"/>
      </tp>
      <tp t="e">
        <v>#N/A</v>
        <stp/>
        <stp>BDH|6937796162857990583</stp>
        <tr r="H25" s="24"/>
      </tp>
      <tp t="e">
        <v>#N/A</v>
        <stp/>
        <stp>BDH|5472450808055805120</stp>
        <tr r="T13" s="14"/>
      </tp>
      <tp t="e">
        <v>#N/A</v>
        <stp/>
        <stp>BDH|1783585040355913059</stp>
        <tr r="M38" s="25"/>
      </tp>
      <tp t="e">
        <v>#N/A</v>
        <stp/>
        <stp>BDH|6135443104661098629</stp>
        <tr r="R67" s="17"/>
        <tr r="R18" s="3"/>
      </tp>
      <tp t="e">
        <v>#N/A</v>
        <stp/>
        <stp>BDH|9216808414430518505</stp>
        <tr r="T26" s="21"/>
      </tp>
      <tp t="e">
        <v>#N/A</v>
        <stp/>
        <stp>BDH|6451660427200661709</stp>
        <tr r="N30" s="21"/>
      </tp>
      <tp t="e">
        <v>#N/A</v>
        <stp/>
        <stp>BDH|7476251812312279329</stp>
        <tr r="S66" s="34"/>
      </tp>
      <tp t="e">
        <v>#N/A</v>
        <stp/>
        <stp>BDH|3289635071246235117</stp>
        <tr r="L31" s="24"/>
      </tp>
      <tp t="e">
        <v>#N/A</v>
        <stp/>
        <stp>BDH|7416967000038294335</stp>
        <tr r="S79" s="12"/>
      </tp>
      <tp t="e">
        <v>#N/A</v>
        <stp/>
        <stp>BDH|2749416347500090723</stp>
        <tr r="R34" s="29"/>
        <tr r="R23" s="29"/>
        <tr r="R14" s="29"/>
      </tp>
      <tp t="e">
        <v>#N/A</v>
        <stp/>
        <stp>BDH|1496150864723539031</stp>
        <tr r="V17" s="24"/>
      </tp>
      <tp t="e">
        <v>#N/A</v>
        <stp/>
        <stp>BDH|6433420895998375631</stp>
        <tr r="D35" s="4"/>
      </tp>
      <tp t="e">
        <v>#N/A</v>
        <stp/>
        <stp>BDH|2406143616392388564</stp>
        <tr r="I46" s="6"/>
      </tp>
      <tp t="e">
        <v>#N/A</v>
        <stp/>
        <stp>BDH|6443498460699737895</stp>
        <tr r="G19" s="22"/>
      </tp>
      <tp t="e">
        <v>#N/A</v>
        <stp/>
        <stp>BDH|2240212600980515552</stp>
        <tr r="N11" s="17"/>
      </tp>
      <tp t="e">
        <v>#N/A</v>
        <stp/>
        <stp>BDH|1198916630296635851</stp>
        <tr r="W11" s="7"/>
      </tp>
      <tp t="e">
        <v>#N/A</v>
        <stp/>
        <stp>BDH|3768243775195420618</stp>
        <tr r="L42" s="17"/>
      </tp>
      <tp t="e">
        <v>#N/A</v>
        <stp/>
        <stp>BDH|1891666627544232487</stp>
        <tr r="X13" s="23"/>
        <tr r="V57" s="11"/>
        <tr r="V38" s="4"/>
      </tp>
      <tp t="e">
        <v>#N/A</v>
        <stp/>
        <stp>BDH|2834509378440572567</stp>
        <tr r="K19" s="11"/>
      </tp>
      <tp t="e">
        <v>#N/A</v>
        <stp/>
        <stp>BDH|4164105953941518445</stp>
        <tr r="Z86" s="18"/>
      </tp>
      <tp t="e">
        <v>#N/A</v>
        <stp/>
        <stp>BDH|7994820909619707361</stp>
        <tr r="Q30" s="21"/>
      </tp>
      <tp t="e">
        <v>#N/A</v>
        <stp/>
        <stp>BDH|4282327157053690417</stp>
        <tr r="R31" s="22"/>
      </tp>
      <tp t="e">
        <v>#N/A</v>
        <stp/>
        <stp>BDH|1550993399065754122</stp>
        <tr r="L45" s="6"/>
      </tp>
      <tp t="e">
        <v>#N/A</v>
        <stp/>
        <stp>BDH|5853645167194938423</stp>
        <tr r="F17" s="11"/>
      </tp>
      <tp t="e">
        <v>#N/A</v>
        <stp/>
        <stp>BDH|6180200660801166606</stp>
        <tr r="H34" s="26"/>
      </tp>
      <tp t="e">
        <v>#N/A</v>
        <stp/>
        <stp>BDH|5708065804833452318</stp>
        <tr r="J71" s="24"/>
      </tp>
      <tp t="e">
        <v>#N/A</v>
        <stp/>
        <stp>BDH|6665324510622451301</stp>
        <tr r="AA49" s="12"/>
      </tp>
      <tp t="e">
        <v>#N/A</v>
        <stp/>
        <stp>BDH|7629653353563340230</stp>
        <tr r="G42" s="11"/>
        <tr r="G50" s="10"/>
        <tr r="G14" s="7"/>
        <tr r="I9" s="3"/>
      </tp>
      <tp t="e">
        <v>#N/A</v>
        <stp/>
        <stp>BDH|5609061694438274162</stp>
        <tr r="E33" s="21"/>
      </tp>
      <tp t="e">
        <v>#N/A</v>
        <stp/>
        <stp>BDH|1274264547740262211</stp>
        <tr r="V154" s="18"/>
      </tp>
      <tp t="e">
        <v>#N/A</v>
        <stp/>
        <stp>BDH|6748733264195810784</stp>
        <tr r="W32" s="17"/>
      </tp>
      <tp t="e">
        <v>#N/A</v>
        <stp/>
        <stp>BDH|5853332534573758384</stp>
        <tr r="AA30" s="22"/>
      </tp>
      <tp t="e">
        <v>#N/A</v>
        <stp/>
        <stp>BDH|7610474016471531620</stp>
        <tr r="C46" s="13"/>
      </tp>
      <tp t="e">
        <v>#N/A</v>
        <stp/>
        <stp>BDH|8802040229737503805</stp>
        <tr r="C43" s="4"/>
      </tp>
      <tp t="e">
        <v>#N/A</v>
        <stp/>
        <stp>BDH|7343202545434726012</stp>
        <tr r="Z6" s="19"/>
        <tr r="Z35" s="17"/>
        <tr r="Z16" s="3"/>
      </tp>
      <tp t="e">
        <v>#N/A</v>
        <stp/>
        <stp>BDH|3980515339280947089</stp>
        <tr r="P76" s="12"/>
      </tp>
      <tp t="e">
        <v>#N/A</v>
        <stp/>
        <stp>BDH|4691658958601955320</stp>
        <tr r="AA133" s="18"/>
      </tp>
      <tp t="e">
        <v>#N/A</v>
        <stp/>
        <stp>BDH|3779683968162118466</stp>
        <tr r="E14" s="4"/>
      </tp>
      <tp t="e">
        <v>#N/A</v>
        <stp/>
        <stp>BDH|6639137571352647721</stp>
        <tr r="N19" s="6"/>
      </tp>
      <tp t="e">
        <v>#N/A</v>
        <stp/>
        <stp>BDH|6153132744387505136</stp>
        <tr r="G11" s="21"/>
      </tp>
      <tp t="e">
        <v>#N/A</v>
        <stp/>
        <stp>BDH|5394511855183793305</stp>
        <tr r="C27" s="7"/>
      </tp>
      <tp t="e">
        <v>#N/A</v>
        <stp/>
        <stp>BDH|9898903137882710487</stp>
        <tr r="Y64" s="17"/>
      </tp>
      <tp t="e">
        <v>#N/A</v>
        <stp/>
        <stp>BDH|2538004006934797343</stp>
        <tr r="P14" s="4"/>
      </tp>
      <tp t="e">
        <v>#N/A</v>
        <stp/>
        <stp>BDH|1578044194154407916</stp>
        <tr r="C10" s="17"/>
      </tp>
      <tp t="e">
        <v>#N/A</v>
        <stp/>
        <stp>BDH|3538832096567351036</stp>
        <tr r="V21" s="6"/>
      </tp>
      <tp t="e">
        <v>#N/A</v>
        <stp/>
        <stp>BDH|3506037929341708582</stp>
        <tr r="F61" s="34"/>
      </tp>
      <tp t="e">
        <v>#N/A</v>
        <stp/>
        <stp>BDH|3154940806109666654</stp>
        <tr r="J103" s="12"/>
      </tp>
      <tp t="e">
        <v>#N/A</v>
        <stp/>
        <stp>BDH|4553570823521163700</stp>
        <tr r="N128" s="18"/>
      </tp>
      <tp t="e">
        <v>#N/A</v>
        <stp/>
        <stp>BDH|7235780819170311405</stp>
        <tr r="J107" s="12"/>
      </tp>
      <tp t="e">
        <v>#N/A</v>
        <stp/>
        <stp>BDH|3330684729256092424</stp>
        <tr r="R21" s="12"/>
      </tp>
      <tp t="e">
        <v>#N/A</v>
        <stp/>
        <stp>BDH|3998315116260872461</stp>
        <tr r="G27" s="12"/>
      </tp>
      <tp t="e">
        <v>#N/A</v>
        <stp/>
        <stp>BDH|9734059975019077275</stp>
        <tr r="V129" s="18"/>
      </tp>
      <tp t="e">
        <v>#N/A</v>
        <stp/>
        <stp>BDH|9941340729995034846</stp>
        <tr r="D48" s="34"/>
      </tp>
      <tp t="e">
        <v>#N/A</v>
        <stp/>
        <stp>BDH|3874097488588178689</stp>
        <tr r="F40" s="18"/>
      </tp>
      <tp t="e">
        <v>#N/A</v>
        <stp/>
        <stp>BDH|6454973131271383817</stp>
        <tr r="T17" s="13"/>
      </tp>
      <tp t="e">
        <v>#N/A</v>
        <stp/>
        <stp>BDH|7428814821430280861</stp>
        <tr r="L33" s="29"/>
        <tr r="L22" s="29"/>
        <tr r="L13" s="29"/>
      </tp>
      <tp t="e">
        <v>#N/A</v>
        <stp/>
        <stp>BDH|8191266522594180949</stp>
        <tr r="X39" s="12"/>
      </tp>
      <tp t="e">
        <v>#N/A</v>
        <stp/>
        <stp>BDH|2487386737854355389</stp>
        <tr r="Q8" s="26"/>
        <tr r="N10" s="9"/>
      </tp>
      <tp t="e">
        <v>#N/A</v>
        <stp/>
        <stp>BDH|2576537941675046378</stp>
        <tr r="I10" s="22"/>
      </tp>
      <tp t="e">
        <v>#N/A</v>
        <stp/>
        <stp>BDH|5502254833149790846</stp>
        <tr r="C26" s="11"/>
        <tr r="C34" s="10"/>
      </tp>
      <tp t="e">
        <v>#N/A</v>
        <stp/>
        <stp>BDH|2659651397240597815</stp>
        <tr r="O92" s="18"/>
      </tp>
      <tp t="e">
        <v>#N/A</v>
        <stp/>
        <stp>BDH|3031012444451581300</stp>
        <tr r="U17" s="11"/>
      </tp>
      <tp t="e">
        <v>#N/A</v>
        <stp/>
        <stp>BDH|6675655087208349579</stp>
        <tr r="T32" s="12"/>
      </tp>
      <tp t="e">
        <v>#N/A</v>
        <stp/>
        <stp>BDH|8316872124334942398</stp>
        <tr r="P15" s="34"/>
      </tp>
      <tp t="e">
        <v>#N/A</v>
        <stp/>
        <stp>BDH|9411652675214246969</stp>
        <tr r="C39" s="24"/>
      </tp>
      <tp t="e">
        <v>#N/A</v>
        <stp/>
        <stp>BDH|5467299029728727836</stp>
        <tr r="AA140" s="18"/>
      </tp>
      <tp t="e">
        <v>#N/A</v>
        <stp/>
        <stp>BDH|3921380347086696704</stp>
        <tr r="V14" s="22"/>
      </tp>
      <tp t="e">
        <v>#N/A</v>
        <stp/>
        <stp>BDH|7271952517979918392</stp>
        <tr r="AA141" s="18"/>
      </tp>
      <tp t="e">
        <v>#N/A</v>
        <stp/>
        <stp>BDH|3535040916387180079</stp>
        <tr r="Z84" s="18"/>
      </tp>
      <tp t="e">
        <v>#N/A</v>
        <stp/>
        <stp>BDH|4281278272015756114</stp>
        <tr r="X137" s="18"/>
      </tp>
      <tp t="e">
        <v>#N/A</v>
        <stp/>
        <stp>BDH|7223264224140263230</stp>
        <tr r="Z12" s="20"/>
        <tr r="Z113" s="18"/>
      </tp>
      <tp t="e">
        <v>#N/A</v>
        <stp/>
        <stp>BDH|4248543050587740607</stp>
        <tr r="U50" s="34"/>
      </tp>
      <tp t="e">
        <v>#N/A</v>
        <stp/>
        <stp>BDH|5300594267326430585</stp>
        <tr r="U35" s="4"/>
      </tp>
      <tp t="e">
        <v>#N/A</v>
        <stp/>
        <stp>BDH|2222724536501518223</stp>
        <tr r="Z107" s="18"/>
      </tp>
      <tp t="e">
        <v>#N/A</v>
        <stp/>
        <stp>BDH|6616425266098567963</stp>
        <tr r="K43" s="11"/>
        <tr r="K51" s="10"/>
        <tr r="K15" s="7"/>
      </tp>
      <tp t="e">
        <v>#N/A</v>
        <stp/>
        <stp>BDH|7146233875014534335</stp>
        <tr r="T46" s="24"/>
      </tp>
      <tp t="e">
        <v>#N/A</v>
        <stp/>
        <stp>BDH|4787253196102522808</stp>
        <tr r="L37" s="18"/>
      </tp>
      <tp t="e">
        <v>#N/A</v>
        <stp/>
        <stp>BDH|7855002703440822221</stp>
        <tr r="U15" s="21"/>
      </tp>
      <tp t="e">
        <v>#N/A</v>
        <stp/>
        <stp>BDH|4450454786324778915</stp>
        <tr r="W37" s="21"/>
        <tr r="W24" s="3"/>
      </tp>
      <tp t="e">
        <v>#N/A</v>
        <stp/>
        <stp>BDH|3650566749183182499</stp>
        <tr r="U58" s="21"/>
        <tr r="U37" s="25"/>
        <tr r="S53" s="11"/>
        <tr r="S31" s="4"/>
      </tp>
      <tp t="e">
        <v>#N/A</v>
        <stp/>
        <stp>BDH|6233833572495550972</stp>
        <tr r="W73" s="24"/>
      </tp>
      <tp t="e">
        <v>#N/A</v>
        <stp/>
        <stp>BDH|3959731742416107383</stp>
        <tr r="M20" s="34"/>
      </tp>
      <tp t="e">
        <v>#N/A</v>
        <stp/>
        <stp>BDH|6260260827065144631</stp>
        <tr r="U49" s="18"/>
      </tp>
      <tp t="e">
        <v>#N/A</v>
        <stp/>
        <stp>BDH|3112268035437471078</stp>
        <tr r="I31" s="6"/>
      </tp>
      <tp t="e">
        <v>#N/A</v>
        <stp/>
        <stp>BDH|8429673104292082969</stp>
        <tr r="AA37" s="12"/>
      </tp>
      <tp t="e">
        <v>#N/A</v>
        <stp/>
        <stp>BDH|6795338912468740903</stp>
        <tr r="U20" s="25"/>
      </tp>
      <tp t="e">
        <v>#N/A</v>
        <stp/>
        <stp>BDH|4757695269530436123</stp>
        <tr r="Y39" s="22"/>
      </tp>
      <tp t="e">
        <v>#N/A</v>
        <stp/>
        <stp>BDH|4606444800370043536</stp>
        <tr r="H18" s="18"/>
      </tp>
      <tp t="e">
        <v>#N/A</v>
        <stp/>
        <stp>BDH|1914162159009478930</stp>
        <tr r="N10" s="10"/>
      </tp>
      <tp t="e">
        <v>#N/A</v>
        <stp/>
        <stp>BDH|3506063572055515455</stp>
        <tr r="H24" s="22"/>
      </tp>
      <tp t="e">
        <v>#N/A</v>
        <stp/>
        <stp>BDH|6032364620143723103</stp>
        <tr r="X52" s="18"/>
      </tp>
      <tp t="e">
        <v>#N/A</v>
        <stp/>
        <stp>BDH|6497420221650203548</stp>
        <tr r="U73" s="17"/>
      </tp>
      <tp t="e">
        <v>#N/A</v>
        <stp/>
        <stp>BDH|9069295499780228731</stp>
        <tr r="J127" s="18"/>
      </tp>
      <tp t="e">
        <v>#N/A</v>
        <stp/>
        <stp>BDH|5113163757521239533</stp>
        <tr r="R16" s="13"/>
        <tr r="R26" s="13"/>
        <tr r="P18" s="10"/>
      </tp>
      <tp t="e">
        <v>#N/A</v>
        <stp/>
        <stp>BDH|4619731397486418972</stp>
        <tr r="J46" s="13"/>
      </tp>
      <tp t="e">
        <v>#N/A</v>
        <stp/>
        <stp>BDH|6490537067366393622</stp>
        <tr r="H88" s="17"/>
      </tp>
      <tp t="e">
        <v>#N/A</v>
        <stp/>
        <stp>BDH|3240180369447325614</stp>
        <tr r="X53" s="13"/>
      </tp>
      <tp t="e">
        <v>#N/A</v>
        <stp/>
        <stp>BDH|4203883694487687799</stp>
        <tr r="R42" s="13"/>
      </tp>
      <tp t="e">
        <v>#N/A</v>
        <stp/>
        <stp>BDH|1204664547191013722</stp>
        <tr r="D85" s="17"/>
      </tp>
      <tp t="e">
        <v>#N/A</v>
        <stp/>
        <stp>BDH|4502795067840949030</stp>
        <tr r="N18" s="27"/>
        <tr r="N32" s="25"/>
      </tp>
      <tp t="e">
        <v>#N/A</v>
        <stp/>
        <stp>BDH|1461293490658997752</stp>
        <tr r="D63" s="34"/>
      </tp>
      <tp t="e">
        <v>#N/A</v>
        <stp/>
        <stp>BDH|6515012484649894294</stp>
        <tr r="V120" s="18"/>
      </tp>
      <tp t="e">
        <v>#N/A</v>
        <stp/>
        <stp>BDH|7054569381239105676</stp>
        <tr r="J34" s="22"/>
      </tp>
      <tp t="e">
        <v>#N/A</v>
        <stp/>
        <stp>BDH|7556664023540567649</stp>
        <tr r="P63" s="10"/>
      </tp>
      <tp t="e">
        <v>#N/A</v>
        <stp/>
        <stp>BDH|9966648887883253198</stp>
        <tr r="V15" s="12"/>
      </tp>
      <tp t="e">
        <v>#N/A</v>
        <stp/>
        <stp>BDH|2221491568481541478</stp>
        <tr r="AA31" s="26"/>
        <tr r="X14" s="9"/>
      </tp>
      <tp t="e">
        <v>#N/A</v>
        <stp/>
        <stp>BDH|4238189613410152190</stp>
        <tr r="K92" s="12"/>
      </tp>
      <tp t="e">
        <v>#N/A</v>
        <stp/>
        <stp>BDH|6289317092379759073</stp>
        <tr r="Z161" s="18"/>
      </tp>
      <tp t="e">
        <v>#N/A</v>
        <stp/>
        <stp>BDH|4689305577007542255</stp>
        <tr r="I35" s="21"/>
      </tp>
      <tp t="e">
        <v>#N/A</v>
        <stp/>
        <stp>BDH|7629615102266610228</stp>
        <tr r="M12" s="7"/>
      </tp>
      <tp t="e">
        <v>#N/A</v>
        <stp/>
        <stp>BDH|5895694530581131417</stp>
        <tr r="F43" s="24"/>
      </tp>
      <tp t="e">
        <v>#N/A</v>
        <stp/>
        <stp>BDH|6525504913943419431</stp>
        <tr r="M12" s="27"/>
        <tr r="M26" s="25"/>
      </tp>
      <tp t="e">
        <v>#N/A</v>
        <stp/>
        <stp>BDH|6429701812805222056</stp>
        <tr r="K45" s="6"/>
      </tp>
      <tp t="e">
        <v>#N/A</v>
        <stp/>
        <stp>BDH|5276974016990126837</stp>
        <tr r="X64" s="18"/>
      </tp>
      <tp t="e">
        <v>#N/A</v>
        <stp/>
        <stp>BDH|2663759317338046956</stp>
        <tr r="U42" s="13"/>
      </tp>
      <tp t="e">
        <v>#N/A</v>
        <stp/>
        <stp>BDH|2370606143025174008</stp>
        <tr r="K24" s="20"/>
      </tp>
      <tp t="e">
        <v>#N/A</v>
        <stp/>
        <stp>BDH|1040539080461380860</stp>
        <tr r="C37" s="22"/>
      </tp>
      <tp t="e">
        <v>#N/A</v>
        <stp/>
        <stp>BDH|7542356154307511371</stp>
        <tr r="P61" s="17"/>
      </tp>
      <tp t="e">
        <v>#N/A</v>
        <stp/>
        <stp>BDH|8747391786206942072</stp>
        <tr r="O75" s="17"/>
      </tp>
      <tp t="e">
        <v>#N/A</v>
        <stp/>
        <stp>BDH|7246325609932910368</stp>
        <tr r="S15" s="34"/>
      </tp>
      <tp t="e">
        <v>#N/A</v>
        <stp/>
        <stp>BDH|7918899172875005841</stp>
        <tr r="F43" s="4"/>
      </tp>
      <tp t="e">
        <v>#N/A</v>
        <stp/>
        <stp>BDH|4422051457551276521</stp>
        <tr r="H148" s="18"/>
      </tp>
      <tp t="e">
        <v>#N/A</v>
        <stp/>
        <stp>BDH|6492506017131682636</stp>
        <tr r="G12" s="24"/>
      </tp>
      <tp t="e">
        <v>#N/A</v>
        <stp/>
        <stp>BDH|7085444975566507729</stp>
        <tr r="V74" s="18"/>
      </tp>
      <tp t="e">
        <v>#N/A</v>
        <stp/>
        <stp>BDH|1297046755509503809</stp>
        <tr r="I7" s="8"/>
      </tp>
      <tp t="e">
        <v>#N/A</v>
        <stp/>
        <stp>BDH|6451523750537756475</stp>
        <tr r="F19" s="11"/>
      </tp>
      <tp t="e">
        <v>#N/A</v>
        <stp/>
        <stp>BDH|4754581389035639964</stp>
        <tr r="D118" s="18"/>
      </tp>
      <tp t="e">
        <v>#N/A</v>
        <stp/>
        <stp>BDH|1974932581752834753</stp>
        <tr r="W20" s="22"/>
      </tp>
      <tp t="e">
        <v>#N/A</v>
        <stp/>
        <stp>BDH|3949345316560474491</stp>
        <tr r="N26" s="26"/>
      </tp>
      <tp t="e">
        <v>#N/A</v>
        <stp/>
        <stp>BDH|6539725671213337035</stp>
        <tr r="R17" s="17"/>
        <tr r="R20" s="28"/>
      </tp>
      <tp t="e">
        <v>#N/A</v>
        <stp/>
        <stp>BDH|2713370850410629102</stp>
        <tr r="R12" s="7"/>
      </tp>
      <tp t="e">
        <v>#N/A</v>
        <stp/>
        <stp>BDH|4845561569330142206</stp>
        <tr r="H13" s="34"/>
      </tp>
      <tp t="e">
        <v>#N/A</v>
        <stp/>
        <stp>BDH|2902147478183765244</stp>
        <tr r="J30" s="13"/>
        <tr r="H26" s="10"/>
      </tp>
      <tp t="e">
        <v>#N/A</v>
        <stp/>
        <stp>BDH|1253642695759674230</stp>
        <tr r="M64" s="17"/>
      </tp>
      <tp t="e">
        <v>#N/A</v>
        <stp/>
        <stp>BDH|4541143876663619477</stp>
        <tr r="Q14" s="23"/>
      </tp>
      <tp t="e">
        <v>#N/A</v>
        <stp/>
        <stp>BDH|8489762707089290314</stp>
        <tr r="T13" s="13"/>
      </tp>
      <tp t="e">
        <v>#N/A</v>
        <stp/>
        <stp>BDH|2122853614018217647</stp>
        <tr r="N21" s="21"/>
      </tp>
      <tp t="e">
        <v>#N/A</v>
        <stp/>
        <stp>BDH|4346046197890698805</stp>
        <tr r="R28" s="4"/>
      </tp>
      <tp t="e">
        <v>#N/A</v>
        <stp/>
        <stp>BDH|7241856650719337620</stp>
        <tr r="S24" s="34"/>
      </tp>
      <tp t="e">
        <v>#N/A</v>
        <stp/>
        <stp>BDH|9114968372553033139</stp>
        <tr r="D174" s="18"/>
      </tp>
      <tp t="e">
        <v>#N/A</v>
        <stp/>
        <stp>BDH|9215413828579874359</stp>
        <tr r="H96" s="18"/>
      </tp>
      <tp t="e">
        <v>#N/A</v>
        <stp/>
        <stp>BDH|1156852463933079910</stp>
        <tr r="E19" s="20"/>
      </tp>
      <tp t="e">
        <v>#N/A</v>
        <stp/>
        <stp>BDH|8924910644196331699</stp>
        <tr r="L13" s="20"/>
        <tr r="L114" s="18"/>
      </tp>
      <tp t="e">
        <v>#N/A</v>
        <stp/>
        <stp>BDH|4604529525165361345</stp>
        <tr r="R155" s="18"/>
      </tp>
      <tp t="e">
        <v>#N/A</v>
        <stp/>
        <stp>BDH|5660291299759486243</stp>
        <tr r="AA18" s="21"/>
        <tr r="AA23" s="3"/>
        <tr r="Y23" s="2"/>
      </tp>
      <tp t="e">
        <v>#N/A</v>
        <stp/>
        <stp>BDH|9748618410009140213</stp>
        <tr r="I107" s="18"/>
      </tp>
      <tp t="e">
        <v>#N/A</v>
        <stp/>
        <stp>BDH|3735616201217951788</stp>
        <tr r="X42" s="17"/>
      </tp>
      <tp t="e">
        <v>#N/A</v>
        <stp/>
        <stp>BDH|8178718504678429261</stp>
        <tr r="T7" s="14"/>
      </tp>
      <tp t="e">
        <v>#N/A</v>
        <stp/>
        <stp>BDH|5852392815942507074</stp>
        <tr r="P26" s="24"/>
      </tp>
      <tp t="e">
        <v>#N/A</v>
        <stp/>
        <stp>BDH|1692291007482817460</stp>
        <tr r="L6" s="20"/>
        <tr r="L108" s="18"/>
      </tp>
      <tp t="e">
        <v>#N/A</v>
        <stp/>
        <stp>BDH|3757492131313009299</stp>
        <tr r="L29" s="21"/>
      </tp>
      <tp t="e">
        <v>#N/A</v>
        <stp/>
        <stp>BDH|7480343544762787758</stp>
        <tr r="I9" s="18"/>
      </tp>
      <tp t="e">
        <v>#N/A</v>
        <stp/>
        <stp>BDH|9183903237215526357</stp>
        <tr r="Q28" s="9"/>
        <tr r="Q28" s="5"/>
      </tp>
      <tp t="e">
        <v>#N/A</v>
        <stp/>
        <stp>BDH|5092195658342288658</stp>
        <tr r="Q37" s="24"/>
      </tp>
      <tp t="e">
        <v>#N/A</v>
        <stp/>
        <stp>BDH|3833576664914444196</stp>
        <tr r="W72" s="24"/>
      </tp>
      <tp t="e">
        <v>#N/A</v>
        <stp/>
        <stp>BDH|8787831256748242864</stp>
        <tr r="I40" s="34"/>
      </tp>
      <tp t="e">
        <v>#N/A</v>
        <stp/>
        <stp>BDH|7466608846557225767</stp>
        <tr r="R22" s="20"/>
      </tp>
      <tp t="e">
        <v>#N/A</v>
        <stp/>
        <stp>BDH|1202944697195318155</stp>
        <tr r="W66" s="24"/>
      </tp>
      <tp t="e">
        <v>#N/A</v>
        <stp/>
        <stp>BDH|8232749193525488667</stp>
        <tr r="C43" s="17"/>
        <tr r="C9" s="25"/>
      </tp>
      <tp t="e">
        <v>#N/A</v>
        <stp/>
        <stp>BDH|4053689902891525685</stp>
        <tr r="F31" s="13"/>
        <tr r="D27" s="10"/>
      </tp>
      <tp t="e">
        <v>#N/A</v>
        <stp/>
        <stp>BDH|7788391918269580940</stp>
        <tr r="Q10" s="30"/>
      </tp>
      <tp t="e">
        <v>#N/A</v>
        <stp/>
        <stp>BDH|8390419998471416196</stp>
        <tr r="S121" s="18"/>
      </tp>
      <tp t="e">
        <v>#N/A</v>
        <stp/>
        <stp>BDH|7592696964070797285</stp>
        <tr r="O54" s="13"/>
      </tp>
      <tp t="e">
        <v>#N/A</v>
        <stp/>
        <stp>BDH|2855470092103920934</stp>
        <tr r="O30" s="24"/>
      </tp>
      <tp t="e">
        <v>#N/A</v>
        <stp/>
        <stp>BDH|8244958210063386636</stp>
        <tr r="C11" s="3"/>
      </tp>
      <tp t="e">
        <v>#N/A</v>
        <stp/>
        <stp>BDH|6829901964479236596</stp>
        <tr r="Z86" s="17"/>
      </tp>
      <tp t="e">
        <v>#N/A</v>
        <stp/>
        <stp>BDH|5692784766658603999</stp>
        <tr r="T27" s="26"/>
      </tp>
      <tp t="e">
        <v>#N/A</v>
        <stp/>
        <stp>BDH|8134287073750582889</stp>
        <tr r="AA9" s="13"/>
      </tp>
      <tp t="e">
        <v>#N/A</v>
        <stp/>
        <stp>BDH|7274541917230322654</stp>
        <tr r="R55" s="13"/>
        <tr r="P48" s="11"/>
        <tr r="P18" s="7"/>
        <tr r="P56" s="10"/>
      </tp>
      <tp t="e">
        <v>#N/A</v>
        <stp/>
        <stp>BDH|8699257892362399456</stp>
        <tr r="U14" s="34"/>
      </tp>
      <tp t="e">
        <v>#N/A</v>
        <stp/>
        <stp>BDH|3637140501431006642</stp>
        <tr r="X22" s="17"/>
      </tp>
      <tp t="e">
        <v>#N/A</v>
        <stp/>
        <stp>BDH|4285790544846964412</stp>
        <tr r="J61" s="34"/>
      </tp>
      <tp t="e">
        <v>#N/A</v>
        <stp/>
        <stp>BDH|9738589668838302736</stp>
        <tr r="K9" s="23"/>
      </tp>
      <tp t="e">
        <v>#N/A</v>
        <stp/>
        <stp>BDH|9929739565204943919</stp>
        <tr r="H72" s="17"/>
      </tp>
      <tp t="e">
        <v>#N/A</v>
        <stp/>
        <stp>BDH|5437671083496736801</stp>
        <tr r="P47" s="21"/>
      </tp>
      <tp t="e">
        <v>#N/A</v>
        <stp/>
        <stp>BDH|1559318339736963238</stp>
        <tr r="V11" s="28"/>
      </tp>
      <tp t="e">
        <v>#N/A</v>
        <stp/>
        <stp>BDH|6577026066754338151</stp>
        <tr r="C12" s="24"/>
      </tp>
      <tp t="e">
        <v>#N/A</v>
        <stp/>
        <stp>BDH|4723360622012361273</stp>
        <tr r="R36" s="4"/>
      </tp>
      <tp t="e">
        <v>#N/A</v>
        <stp/>
        <stp>BDH|4196563070352091107</stp>
        <tr r="S40" s="13"/>
        <tr r="Q36" s="10"/>
        <tr r="Q28" s="11"/>
      </tp>
      <tp t="e">
        <v>#N/A</v>
        <stp/>
        <stp>BDH|7795009720951064108</stp>
        <tr r="D7" s="28"/>
      </tp>
      <tp t="e">
        <v>#N/A</v>
        <stp/>
        <stp>BDH|7879060822353358386</stp>
        <tr r="Y51" s="22"/>
      </tp>
      <tp t="e">
        <v>#N/A</v>
        <stp/>
        <stp>BDH|8318273399710377695</stp>
        <tr r="R58" s="13"/>
      </tp>
      <tp t="e">
        <v>#N/A</v>
        <stp/>
        <stp>BDH|8883088867562463944</stp>
        <tr r="S51" s="34"/>
      </tp>
      <tp t="e">
        <v>#N/A</v>
        <stp/>
        <stp>BDH|4998434859890713033</stp>
        <tr r="W8" s="10"/>
      </tp>
      <tp t="e">
        <v>#N/A</v>
        <stp/>
        <stp>BDH|2050441806395237672</stp>
        <tr r="D22" s="11"/>
      </tp>
      <tp t="e">
        <v>#N/A</v>
        <stp/>
        <stp>BDH|8023452045565216852</stp>
        <tr r="AA63" s="12"/>
      </tp>
      <tp t="e">
        <v>#N/A</v>
        <stp/>
        <stp>BDH|2460367853748271947</stp>
        <tr r="Z12" s="27"/>
        <tr r="Z26" s="25"/>
      </tp>
      <tp t="e">
        <v>#N/A</v>
        <stp/>
        <stp>BDH|5295352794782445801</stp>
        <tr r="G23" s="20"/>
      </tp>
      <tp t="e">
        <v>#N/A</v>
        <stp/>
        <stp>BDH|7335937789986952571</stp>
        <tr r="Y28" s="17"/>
      </tp>
      <tp t="e">
        <v>#N/A</v>
        <stp/>
        <stp>BDH|4807525071665838649</stp>
        <tr r="G11" s="20"/>
        <tr r="G112" s="18"/>
      </tp>
      <tp t="e">
        <v>#N/A</v>
        <stp/>
        <stp>BDH|9568975367511273208</stp>
        <tr r="G11" s="12"/>
      </tp>
      <tp t="e">
        <v>#N/A</v>
        <stp/>
        <stp>BDH|3215669037271558216</stp>
        <tr r="F6" s="27"/>
      </tp>
      <tp t="e">
        <v>#N/A</v>
        <stp/>
        <stp>BDH|3952549638514060427</stp>
        <tr r="S9" s="28"/>
      </tp>
      <tp t="e">
        <v>#N/A</v>
        <stp/>
        <stp>BDH|3761352162993348041</stp>
        <tr r="R44" s="18"/>
      </tp>
      <tp t="e">
        <v>#N/A</v>
        <stp/>
        <stp>BDH|7229136550953208545</stp>
        <tr r="Z26" s="13"/>
        <tr r="Z16" s="13"/>
        <tr r="X18" s="10"/>
      </tp>
      <tp t="e">
        <v>#N/A</v>
        <stp/>
        <stp>BDH|1522444326880606266</stp>
        <tr r="Y39" s="29"/>
        <tr r="Y31" s="29"/>
        <tr r="X52" s="6"/>
        <tr r="X11" s="5"/>
        <tr r="Y10" s="2"/>
      </tp>
      <tp t="e">
        <v>#N/A</v>
        <stp/>
        <stp>BDH|7208896818033642829</stp>
        <tr r="D39" s="6"/>
      </tp>
      <tp t="e">
        <v>#N/A</v>
        <stp/>
        <stp>BDH|9938887049371982164</stp>
        <tr r="O27" s="18"/>
      </tp>
      <tp t="e">
        <v>#N/A</v>
        <stp/>
        <stp>BDH|9875216937805837811</stp>
        <tr r="X18" s="27"/>
        <tr r="X32" s="25"/>
      </tp>
      <tp t="e">
        <v>#N/A</v>
        <stp/>
        <stp>BDH|4191372304863299170</stp>
        <tr r="U15" s="4"/>
      </tp>
      <tp t="e">
        <v>#N/A</v>
        <stp/>
        <stp>BDH|2793721903566404657</stp>
        <tr r="U16" s="26"/>
      </tp>
      <tp t="e">
        <v>#N/A</v>
        <stp/>
        <stp>BDH|3013194209522646519</stp>
        <tr r="J7" s="14"/>
      </tp>
      <tp t="e">
        <v>#N/A</v>
        <stp/>
        <stp>BDH|6196275864097146044</stp>
        <tr r="V88" s="18"/>
      </tp>
      <tp t="e">
        <v>#N/A</v>
        <stp/>
        <stp>BDH|5122619962701494119</stp>
        <tr r="AA157" s="18"/>
      </tp>
      <tp t="e">
        <v>#N/A</v>
        <stp/>
        <stp>BDH|6879670532567858128</stp>
        <tr r="U59" s="17"/>
      </tp>
      <tp t="e">
        <v>#N/A</v>
        <stp/>
        <stp>BDH|1887596845871190420</stp>
        <tr r="M20" s="25"/>
      </tp>
      <tp t="e">
        <v>#N/A</v>
        <stp/>
        <stp>BDH|3334573912892630075</stp>
        <tr r="W37" s="29"/>
        <tr r="W17" s="29"/>
      </tp>
      <tp t="e">
        <v>#N/A</v>
        <stp/>
        <stp>BDH|2453971439204811959</stp>
        <tr r="M61" s="18"/>
      </tp>
      <tp t="e">
        <v>#N/A</v>
        <stp/>
        <stp>BDH|1281053336607575034</stp>
        <tr r="R21" s="2"/>
      </tp>
      <tp t="e">
        <v>#N/A</v>
        <stp/>
        <stp>BDH|4987670295516423881</stp>
        <tr r="V31" s="26"/>
        <tr r="S14" s="9"/>
      </tp>
      <tp t="e">
        <v>#N/A</v>
        <stp/>
        <stp>BDH|5185162175263363560</stp>
        <tr r="P120" s="18"/>
      </tp>
      <tp t="e">
        <v>#N/A</v>
        <stp/>
        <stp>BDH|8671803353172003214</stp>
        <tr r="P160" s="18"/>
      </tp>
      <tp t="e">
        <v>#N/A</v>
        <stp/>
        <stp>BDH|2333193810612635584</stp>
        <tr r="G162" s="18"/>
      </tp>
      <tp t="e">
        <v>#N/A</v>
        <stp/>
        <stp>BDH|5362973423922349908</stp>
        <tr r="L20" s="18"/>
      </tp>
      <tp t="e">
        <v>#N/A</v>
        <stp/>
        <stp>BDH|9626410392809895890</stp>
        <tr r="M8" s="23"/>
      </tp>
      <tp t="e">
        <v>#N/A</v>
        <stp/>
        <stp>BDH|6435304901295062511</stp>
        <tr r="G9" s="12"/>
      </tp>
      <tp t="e">
        <v>#N/A</v>
        <stp/>
        <stp>BDH|3380377745373791227</stp>
        <tr r="E54" s="21"/>
      </tp>
      <tp t="e">
        <v>#N/A</v>
        <stp/>
        <stp>BDH|2237540504063078166</stp>
        <tr r="O91" s="12"/>
      </tp>
      <tp t="e">
        <v>#N/A</v>
        <stp/>
        <stp>BDH|7269329210658490802</stp>
        <tr r="C8" s="18"/>
      </tp>
      <tp t="e">
        <v>#N/A</v>
        <stp/>
        <stp>BDH|5266227473143629610</stp>
        <tr r="K89" s="17"/>
      </tp>
      <tp t="e">
        <v>#N/A</v>
        <stp/>
        <stp>BDH|3800186880308030744</stp>
        <tr r="O12" s="18"/>
      </tp>
      <tp t="e">
        <v>#N/A</v>
        <stp/>
        <stp>BDH|8958979934830809766</stp>
        <tr r="U25" s="22"/>
      </tp>
      <tp t="e">
        <v>#N/A</v>
        <stp/>
        <stp>BDH|9858280796604624343</stp>
        <tr r="N54" s="13"/>
      </tp>
      <tp t="e">
        <v>#N/A</v>
        <stp/>
        <stp>BDH|8763632780093919090</stp>
        <tr r="P138" s="18"/>
      </tp>
      <tp t="e">
        <v>#N/A</v>
        <stp/>
        <stp>BDH|9672860173920796302</stp>
        <tr r="F20" s="17"/>
      </tp>
      <tp t="e">
        <v>#N/A</v>
        <stp/>
        <stp>BDH|7615246535182066134</stp>
        <tr r="Z62" s="18"/>
      </tp>
      <tp t="e">
        <v>#N/A</v>
        <stp/>
        <stp>BDH|4713431929366167181</stp>
        <tr r="L14" s="13"/>
      </tp>
      <tp t="e">
        <v>#N/A</v>
        <stp/>
        <stp>BDH|7406267603271576105</stp>
        <tr r="H25" s="6"/>
      </tp>
      <tp t="e">
        <v>#N/A</v>
        <stp/>
        <stp>BDH|9771650188092690089</stp>
        <tr r="T39" s="22"/>
      </tp>
      <tp t="e">
        <v>#N/A</v>
        <stp/>
        <stp>BDH|9302173814655531910</stp>
        <tr r="T59" s="18"/>
      </tp>
      <tp t="e">
        <v>#N/A</v>
        <stp/>
        <stp>BDH|2476996902358261692</stp>
        <tr r="F14" s="4"/>
      </tp>
      <tp t="e">
        <v>#N/A</v>
        <stp/>
        <stp>BDH|2313210837911808791</stp>
        <tr r="I22" s="18"/>
      </tp>
      <tp t="e">
        <v>#N/A</v>
        <stp/>
        <stp>BDH|3819720598160492820</stp>
        <tr r="G21" s="2"/>
      </tp>
      <tp t="e">
        <v>#N/A</v>
        <stp/>
        <stp>BDH|9939625154647806839</stp>
        <tr r="F121" s="18"/>
      </tp>
      <tp t="e">
        <v>#N/A</v>
        <stp/>
        <stp>BDH|7353413424303186735</stp>
        <tr r="Z50" s="18"/>
      </tp>
      <tp t="e">
        <v>#N/A</v>
        <stp/>
        <stp>BDH|9686720060125129813</stp>
        <tr r="X81" s="18"/>
      </tp>
      <tp t="e">
        <v>#N/A</v>
        <stp/>
        <stp>BDH|6396376666550599638</stp>
        <tr r="L19" s="17"/>
      </tp>
      <tp t="e">
        <v>#N/A</v>
        <stp/>
        <stp>BDH|5188109557813061724</stp>
        <tr r="F40" s="22"/>
      </tp>
      <tp t="e">
        <v>#N/A</v>
        <stp/>
        <stp>BDH|5783044265710594678</stp>
        <tr r="O30" s="29"/>
        <tr r="O8" s="29"/>
      </tp>
      <tp t="e">
        <v>#N/A</v>
        <stp/>
        <stp>BDH|7414364312079064949</stp>
        <tr r="E20" s="34"/>
      </tp>
      <tp t="e">
        <v>#N/A</v>
        <stp/>
        <stp>BDH|3816254196849774480</stp>
        <tr r="K24" s="12"/>
      </tp>
      <tp t="e">
        <v>#N/A</v>
        <stp/>
        <stp>BDH|1650236166531794102</stp>
        <tr r="S32" s="11"/>
        <tr r="S40" s="10"/>
      </tp>
      <tp t="e">
        <v>#N/A</v>
        <stp/>
        <stp>BDH|4989271639751079134</stp>
        <tr r="X8" s="14"/>
      </tp>
      <tp t="e">
        <v>#N/A</v>
        <stp/>
        <stp>BDH|1884123062922989157</stp>
        <tr r="K40" s="12"/>
      </tp>
      <tp t="e">
        <v>#N/A</v>
        <stp/>
        <stp>BDH|7568442226910321402</stp>
        <tr r="E30" s="18"/>
      </tp>
      <tp t="e">
        <v>#N/A</v>
        <stp/>
        <stp>BDH|8084308633209786406</stp>
        <tr r="C78" s="17"/>
      </tp>
      <tp t="e">
        <v>#N/A</v>
        <stp/>
        <stp>BDH|9795287553893888802</stp>
        <tr r="R33" s="13"/>
        <tr r="P29" s="10"/>
      </tp>
      <tp t="e">
        <v>#N/A</v>
        <stp/>
        <stp>BDH|3476301971466261438</stp>
        <tr r="U60" s="11"/>
      </tp>
      <tp t="e">
        <v>#N/A</v>
        <stp/>
        <stp>BDH|5612365701542575109</stp>
        <tr r="K8" s="28"/>
      </tp>
      <tp t="e">
        <v>#N/A</v>
        <stp/>
        <stp>BDH|7876850523701366999</stp>
        <tr r="E6" s="27"/>
      </tp>
      <tp t="e">
        <v>#N/A</v>
        <stp/>
        <stp>BDH|4196336781363469935</stp>
        <tr r="H8" s="25"/>
        <tr r="E10" s="5"/>
        <tr r="F9" s="2"/>
      </tp>
      <tp t="e">
        <v>#N/A</v>
        <stp/>
        <stp>BDH|1106146884088187540</stp>
        <tr r="X12" s="17"/>
      </tp>
      <tp t="e">
        <v>#N/A</v>
        <stp/>
        <stp>BDH|3543122128891269496</stp>
        <tr r="O59" s="17"/>
      </tp>
      <tp t="e">
        <v>#N/A</v>
        <stp/>
        <stp>BDH|8012716906763472979</stp>
        <tr r="K58" s="17"/>
      </tp>
      <tp t="e">
        <v>#N/A</v>
        <stp/>
        <stp>BDH|2540758671153252469</stp>
        <tr r="V6" s="6"/>
      </tp>
      <tp t="e">
        <v>#N/A</v>
        <stp/>
        <stp>BDH|8677342680011538727</stp>
        <tr r="D90" s="12"/>
      </tp>
      <tp t="e">
        <v>#N/A</v>
        <stp/>
        <stp>BDH|6607906736761770826</stp>
        <tr r="E7" s="30"/>
      </tp>
      <tp t="e">
        <v>#N/A</v>
        <stp/>
        <stp>BDH|4632313904420126276</stp>
        <tr r="F9" s="20"/>
        <tr r="F111" s="18"/>
      </tp>
      <tp t="e">
        <v>#N/A</v>
        <stp/>
        <stp>BDH|8682309372379479056</stp>
        <tr r="E46" s="13"/>
      </tp>
      <tp t="e">
        <v>#N/A</v>
        <stp/>
        <stp>BDH|9016784434539158186</stp>
        <tr r="C74" s="12"/>
      </tp>
      <tp t="e">
        <v>#N/A</v>
        <stp/>
        <stp>BDH|4104719521935010144</stp>
        <tr r="Y17" s="27"/>
        <tr r="Y31" s="25"/>
        <tr r="V14" s="5"/>
      </tp>
      <tp t="e">
        <v>#N/A</v>
        <stp/>
        <stp>BDH|2843784466282337405</stp>
        <tr r="V26" s="29"/>
      </tp>
      <tp t="e">
        <v>#N/A</v>
        <stp/>
        <stp>BDH|7992015124774190485</stp>
        <tr r="I14" s="23"/>
      </tp>
      <tp t="e">
        <v>#N/A</v>
        <stp/>
        <stp>BDH|4283248832174853493</stp>
        <tr r="M15" s="6"/>
      </tp>
      <tp t="e">
        <v>#N/A</v>
        <stp/>
        <stp>BDH|1865187621754223362</stp>
        <tr r="F168" s="18"/>
      </tp>
      <tp t="e">
        <v>#N/A</v>
        <stp/>
        <stp>BDH|8549346721774538800</stp>
        <tr r="X52" s="12"/>
      </tp>
      <tp t="e">
        <v>#N/A</v>
        <stp/>
        <stp>BDH|3472606050756098319</stp>
        <tr r="Y9" s="29"/>
      </tp>
      <tp t="e">
        <v>#N/A</v>
        <stp/>
        <stp>BDH|7979308261962925542</stp>
        <tr r="T8" s="4"/>
      </tp>
      <tp t="e">
        <v>#N/A</v>
        <stp/>
        <stp>BDH|8868285323268704517</stp>
        <tr r="S64" s="24"/>
      </tp>
      <tp t="e">
        <v>#N/A</v>
        <stp/>
        <stp>BDH|3314429075876848392</stp>
        <tr r="R58" s="34"/>
      </tp>
      <tp t="e">
        <v>#N/A</v>
        <stp/>
        <stp>BDH|7293775654474473406</stp>
        <tr r="P9" s="17"/>
      </tp>
      <tp t="e">
        <v>#N/A</v>
        <stp/>
        <stp>BDH|3896685733733644007</stp>
        <tr r="M20" s="29"/>
      </tp>
      <tp t="e">
        <v>#N/A</v>
        <stp/>
        <stp>BDH|2540474328415758489</stp>
        <tr r="S41" s="18"/>
      </tp>
      <tp t="e">
        <v>#N/A</v>
        <stp/>
        <stp>BDH|6872743149946155613</stp>
        <tr r="X18" s="12"/>
      </tp>
      <tp t="e">
        <v>#N/A</v>
        <stp/>
        <stp>BDH|1833918356188262087</stp>
        <tr r="AA16" s="20"/>
      </tp>
      <tp t="e">
        <v>#N/A</v>
        <stp/>
        <stp>BDH|8793014912945889996</stp>
        <tr r="L6" s="27"/>
      </tp>
      <tp t="e">
        <v>#N/A</v>
        <stp/>
        <stp>BDH|8608807114655631118</stp>
        <tr r="X7" s="4"/>
      </tp>
      <tp t="e">
        <v>#N/A</v>
        <stp/>
        <stp>BDH|9097933920662773511</stp>
        <tr r="T67" s="17"/>
        <tr r="T18" s="3"/>
      </tp>
      <tp t="e">
        <v>#N/A</v>
        <stp/>
        <stp>BDH|4118526266285784770</stp>
        <tr r="W63" s="24"/>
      </tp>
      <tp t="e">
        <v>#N/A</v>
        <stp/>
        <stp>BDH|5437479215875390006</stp>
        <tr r="T46" s="18"/>
      </tp>
      <tp t="e">
        <v>#N/A</v>
        <stp/>
        <stp>BDH|4000750731826157301</stp>
        <tr r="Y18" s="27"/>
        <tr r="Y32" s="25"/>
      </tp>
      <tp t="e">
        <v>#N/A</v>
        <stp/>
        <stp>BDH|9838132820679924679</stp>
        <tr r="Y30" s="18"/>
      </tp>
      <tp t="e">
        <v>#N/A</v>
        <stp/>
        <stp>BDH|4032843391700185010</stp>
        <tr r="T40" s="6"/>
      </tp>
      <tp t="e">
        <v>#N/A</v>
        <stp/>
        <stp>BDH|2201555551853764444</stp>
        <tr r="X16" s="24"/>
      </tp>
      <tp t="e">
        <v>#N/A</v>
        <stp/>
        <stp>BDH|3287690815610828132</stp>
        <tr r="C17" s="23"/>
      </tp>
      <tp t="e">
        <v>#N/A</v>
        <stp/>
        <stp>BDH|3690364835493467541</stp>
        <tr r="E12" s="14"/>
      </tp>
      <tp t="e">
        <v>#N/A</v>
        <stp/>
        <stp>BDH|4363603751932741006</stp>
        <tr r="X49" s="22"/>
      </tp>
      <tp t="e">
        <v>#N/A</v>
        <stp/>
        <stp>BDH|8542473148128800578</stp>
        <tr r="O98" s="12"/>
      </tp>
      <tp t="e">
        <v>#N/A</v>
        <stp/>
        <stp>BDH|1868431239106111569</stp>
        <tr r="T19" s="13"/>
        <tr r="R61" s="10"/>
        <tr r="R16" s="2"/>
        <tr r="R32" s="4"/>
      </tp>
      <tp t="e">
        <v>#N/A</v>
        <stp/>
        <stp>BDH|15042083668851881</stp>
        <tr r="U100" s="12"/>
      </tp>
      <tp t="e">
        <v>#N/A</v>
        <stp/>
        <stp>BDH|94352763235324809</stp>
        <tr r="H177" s="18"/>
      </tp>
      <tp t="e">
        <v>#N/A</v>
        <stp/>
        <stp>BDH|71649323835655938</stp>
        <tr r="K7" s="14"/>
      </tp>
      <tp t="e">
        <v>#N/A</v>
        <stp/>
        <stp>BDH|63501378229675346</stp>
        <tr r="E124" s="18"/>
      </tp>
      <tp t="e">
        <v>#N/A</v>
        <stp/>
        <stp>BDH|5981221323963191038</stp>
        <tr r="AA13" s="25"/>
      </tp>
      <tp t="e">
        <v>#N/A</v>
        <stp/>
        <stp>BDH|8317057076478271184</stp>
        <tr r="U64" s="21"/>
        <tr r="S23" s="7"/>
      </tp>
      <tp t="e">
        <v>#N/A</v>
        <stp/>
        <stp>BDH|2223283009304111282</stp>
        <tr r="L85" s="17"/>
      </tp>
      <tp t="e">
        <v>#N/A</v>
        <stp/>
        <stp>BDH|7588910788862167277</stp>
        <tr r="E54" s="17"/>
      </tp>
      <tp t="e">
        <v>#N/A</v>
        <stp/>
        <stp>BDH|4307310219188864896</stp>
        <tr r="N24" s="17"/>
      </tp>
      <tp t="e">
        <v>#N/A</v>
        <stp/>
        <stp>BDH|6028680472771950090</stp>
        <tr r="T102" s="12"/>
      </tp>
      <tp t="e">
        <v>#N/A</v>
        <stp/>
        <stp>BDH|2537690437070863196</stp>
        <tr r="L67" s="12"/>
      </tp>
      <tp t="e">
        <v>#N/A</v>
        <stp/>
        <stp>BDH|1274036182349862617</stp>
        <tr r="H72" s="12"/>
      </tp>
      <tp t="e">
        <v>#N/A</v>
        <stp/>
        <stp>BDH|3843717315246468524</stp>
        <tr r="P8" s="20"/>
        <tr r="P110" s="18"/>
      </tp>
      <tp t="e">
        <v>#N/A</v>
        <stp/>
        <stp>BDH|1933040024245567065</stp>
        <tr r="J65" s="10"/>
        <tr r="J39" s="4"/>
      </tp>
      <tp t="e">
        <v>#N/A</v>
        <stp/>
        <stp>BDH|4253992091671674363</stp>
        <tr r="M33" s="34"/>
      </tp>
      <tp t="e">
        <v>#N/A</v>
        <stp/>
        <stp>BDH|6970691049371609350</stp>
        <tr r="U23" s="20"/>
      </tp>
      <tp t="e">
        <v>#N/A</v>
        <stp/>
        <stp>BDH|2516792836311279123</stp>
        <tr r="K40" s="34"/>
      </tp>
      <tp t="e">
        <v>#N/A</v>
        <stp/>
        <stp>BDH|5810597225730901475</stp>
        <tr r="R69" s="18"/>
      </tp>
      <tp t="e">
        <v>#N/A</v>
        <stp/>
        <stp>BDH|7406907922913433989</stp>
        <tr r="S23" s="29"/>
        <tr r="S34" s="29"/>
        <tr r="S14" s="29"/>
      </tp>
      <tp t="e">
        <v>#N/A</v>
        <stp/>
        <stp>BDH|3132047530262626493</stp>
        <tr r="U67" s="17"/>
        <tr r="U18" s="3"/>
      </tp>
      <tp t="e">
        <v>#N/A</v>
        <stp/>
        <stp>BDH|1941182308124021232</stp>
        <tr r="O81" s="18"/>
      </tp>
      <tp t="e">
        <v>#N/A</v>
        <stp/>
        <stp>BDH|1643276329252617546</stp>
        <tr r="Z63" s="21"/>
      </tp>
      <tp t="e">
        <v>#N/A</v>
        <stp/>
        <stp>BDH|3023446581021628891</stp>
        <tr r="V103" s="18"/>
      </tp>
      <tp t="e">
        <v>#N/A</v>
        <stp/>
        <stp>BDH|5996610752022268228</stp>
        <tr r="Q30" s="26"/>
      </tp>
      <tp t="e">
        <v>#N/A</v>
        <stp/>
        <stp>BDH|7623861617571803950</stp>
        <tr r="F61" s="12"/>
      </tp>
      <tp t="e">
        <v>#N/A</v>
        <stp/>
        <stp>BDH|6456743669375069435</stp>
        <tr r="Q38" s="29"/>
        <tr r="Q18" s="29"/>
      </tp>
      <tp t="e">
        <v>#N/A</v>
        <stp/>
        <stp>BDH|2547370751492922004</stp>
        <tr r="K25" s="6"/>
      </tp>
      <tp t="e">
        <v>#N/A</v>
        <stp/>
        <stp>BDH|3662675634910832070</stp>
        <tr r="K87" s="18"/>
      </tp>
      <tp t="e">
        <v>#N/A</v>
        <stp/>
        <stp>BDH|6914039906556047660</stp>
        <tr r="P39" s="13"/>
        <tr r="N35" s="11"/>
        <tr r="N43" s="10"/>
        <tr r="P8" s="3"/>
        <tr r="N52" s="4"/>
      </tp>
      <tp t="e">
        <v>#N/A</v>
        <stp/>
        <stp>BDH|5840762695189966488</stp>
        <tr r="N15" s="13"/>
      </tp>
      <tp t="e">
        <v>#N/A</v>
        <stp/>
        <stp>BDH|1720119605691132786</stp>
        <tr r="E14" s="13"/>
      </tp>
      <tp t="e">
        <v>#N/A</v>
        <stp/>
        <stp>BDH|9109372797624282194</stp>
        <tr r="N18" s="14"/>
      </tp>
      <tp t="e">
        <v>#N/A</v>
        <stp/>
        <stp>BDH|8217885327781085573</stp>
        <tr r="V26" s="26"/>
      </tp>
      <tp t="e">
        <v>#N/A</v>
        <stp/>
        <stp>BDH|2574661018362190107</stp>
        <tr r="Z53" s="12"/>
      </tp>
      <tp t="e">
        <v>#N/A</v>
        <stp/>
        <stp>BDH|7881699148063289012</stp>
        <tr r="R49" s="17"/>
      </tp>
      <tp t="e">
        <v>#N/A</v>
        <stp/>
        <stp>BDH|8996902367469210864</stp>
        <tr r="P11" s="28"/>
      </tp>
      <tp t="e">
        <v>#N/A</v>
        <stp/>
        <stp>BDH|4747232447845953106</stp>
        <tr r="L38" s="17"/>
      </tp>
      <tp t="e">
        <v>#N/A</v>
        <stp/>
        <stp>BDH|2475179317074630080</stp>
        <tr r="H9" s="17"/>
      </tp>
      <tp t="e">
        <v>#N/A</v>
        <stp/>
        <stp>BDH|8117641427208093287</stp>
        <tr r="U13" s="26"/>
      </tp>
      <tp t="e">
        <v>#N/A</v>
        <stp/>
        <stp>BDH|2365092761473699175</stp>
        <tr r="R61" s="21"/>
        <tr r="P25" s="2"/>
      </tp>
      <tp t="e">
        <v>#N/A</v>
        <stp/>
        <stp>BDH|4396392522470118332</stp>
        <tr r="D40" s="12"/>
      </tp>
      <tp t="e">
        <v>#N/A</v>
        <stp/>
        <stp>BDH|5556139613312910161</stp>
        <tr r="D33" s="18"/>
      </tp>
      <tp t="e">
        <v>#N/A</v>
        <stp/>
        <stp>BDH|4996369808347596685</stp>
        <tr r="I11" s="7"/>
      </tp>
      <tp t="e">
        <v>#N/A</v>
        <stp/>
        <stp>BDH|5361104820425194580</stp>
        <tr r="G42" s="13"/>
      </tp>
      <tp t="e">
        <v>#N/A</v>
        <stp/>
        <stp>BDH|7697139817553923218</stp>
        <tr r="Z119" s="18"/>
      </tp>
      <tp t="e">
        <v>#N/A</v>
        <stp/>
        <stp>BDH|5691864124690802965</stp>
        <tr r="I60" s="12"/>
      </tp>
      <tp t="e">
        <v>#N/A</v>
        <stp/>
        <stp>BDH|9971908280359291705</stp>
        <tr r="F38" s="18"/>
      </tp>
      <tp t="e">
        <v>#N/A</v>
        <stp/>
        <stp>BDH|7734646009953952489</stp>
        <tr r="Q55" s="11"/>
      </tp>
      <tp t="e">
        <v>#N/A</v>
        <stp/>
        <stp>BDH|4572115387868129398</stp>
        <tr r="R15" s="5"/>
      </tp>
      <tp t="e">
        <v>#N/A</v>
        <stp/>
        <stp>BDH|1515796206383430357</stp>
        <tr r="T31" s="13"/>
        <tr r="R27" s="10"/>
      </tp>
      <tp t="e">
        <v>#N/A</v>
        <stp/>
        <stp>BDH|3510359038126721348</stp>
        <tr r="P68" s="12"/>
      </tp>
      <tp t="e">
        <v>#N/A</v>
        <stp/>
        <stp>BDH|4971350903403554215</stp>
        <tr r="N64" s="11"/>
        <tr r="N72" s="10"/>
      </tp>
      <tp t="e">
        <v>#N/A</v>
        <stp/>
        <stp>BDH|1268514854494430386</stp>
        <tr r="D70" s="18"/>
      </tp>
      <tp t="e">
        <v>#N/A</v>
        <stp/>
        <stp>BDH|4621007236488211993</stp>
        <tr r="P69" s="24"/>
      </tp>
      <tp t="e">
        <v>#N/A</v>
        <stp/>
        <stp>BDH|6295608578412404357</stp>
        <tr r="K69" s="12"/>
      </tp>
      <tp t="e">
        <v>#N/A</v>
        <stp/>
        <stp>BDH|5482308071724656380</stp>
        <tr r="F16" s="11"/>
      </tp>
      <tp t="e">
        <v>#N/A</v>
        <stp/>
        <stp>BDH|5841392923080929206</stp>
        <tr r="T51" s="34"/>
      </tp>
      <tp t="e">
        <v>#N/A</v>
        <stp/>
        <stp>BDH|5221038639520032039</stp>
        <tr r="T52" s="10"/>
        <tr r="T44" s="11"/>
        <tr r="T16" s="7"/>
      </tp>
      <tp t="e">
        <v>#N/A</v>
        <stp/>
        <stp>BDH|7407975199707758662</stp>
        <tr r="S93" s="17"/>
        <tr r="S13" s="28"/>
      </tp>
      <tp t="e">
        <v>#N/A</v>
        <stp/>
        <stp>BDH|5748066629734362506</stp>
        <tr r="L24" s="21"/>
      </tp>
      <tp t="e">
        <v>#N/A</v>
        <stp/>
        <stp>BDH|6945223132525746450</stp>
        <tr r="P92" s="12"/>
      </tp>
      <tp t="e">
        <v>#N/A</v>
        <stp/>
        <stp>BDH|1947913456422440911</stp>
        <tr r="P40" s="29"/>
      </tp>
      <tp t="e">
        <v>#N/A</v>
        <stp/>
        <stp>BDH|4339677863061916353</stp>
        <tr r="X65" s="10"/>
        <tr r="X39" s="4"/>
      </tp>
      <tp t="e">
        <v>#N/A</v>
        <stp/>
        <stp>BDH|6629329823265476488</stp>
        <tr r="M76" s="17"/>
        <tr r="J9" s="5"/>
        <tr r="J9" s="9"/>
      </tp>
      <tp t="e">
        <v>#N/A</v>
        <stp/>
        <stp>BDH|1108880217728324663</stp>
        <tr r="R38" s="12"/>
      </tp>
      <tp t="e">
        <v>#N/A</v>
        <stp/>
        <stp>BDH|7836466455345092506</stp>
        <tr r="C19" s="26"/>
      </tp>
      <tp t="e">
        <v>#N/A</v>
        <stp/>
        <stp>BDH|1929150726010989481</stp>
        <tr r="T56" s="12"/>
      </tp>
      <tp t="e">
        <v>#N/A</v>
        <stp/>
        <stp>BDH|7976428101106957380</stp>
        <tr r="J8" s="2"/>
      </tp>
      <tp t="e">
        <v>#N/A</v>
        <stp/>
        <stp>BDH|8050561426931972820</stp>
        <tr r="AA14" s="21"/>
      </tp>
      <tp t="e">
        <v>#N/A</v>
        <stp/>
        <stp>BDH|9610792592154391551</stp>
        <tr r="K84" s="18"/>
      </tp>
      <tp t="e">
        <v>#N/A</v>
        <stp/>
        <stp>BDH|1510607084979974032</stp>
        <tr r="F29" s="34"/>
      </tp>
      <tp t="e">
        <v>#N/A</v>
        <stp/>
        <stp>BDH|2149310446636896551</stp>
        <tr r="J47" s="12"/>
      </tp>
      <tp t="e">
        <v>#N/A</v>
        <stp/>
        <stp>BDH|1797715963642701490</stp>
        <tr r="U54" s="13"/>
      </tp>
      <tp t="e">
        <v>#N/A</v>
        <stp/>
        <stp>BDH|4218568359574330652</stp>
        <tr r="N8" s="6"/>
      </tp>
      <tp t="e">
        <v>#N/A</v>
        <stp/>
        <stp>BDH|7040682771704699445</stp>
        <tr r="W51" s="22"/>
      </tp>
      <tp t="e">
        <v>#N/A</v>
        <stp/>
        <stp>BDH|5642349849924009008</stp>
        <tr r="D62" s="21"/>
      </tp>
      <tp t="e">
        <v>#N/A</v>
        <stp/>
        <stp>BDH|1977095193416911818</stp>
        <tr r="U13" s="11"/>
      </tp>
      <tp t="e">
        <v>#N/A</v>
        <stp/>
        <stp>BDH|6760413132204796381</stp>
        <tr r="K176" s="18"/>
      </tp>
      <tp t="e">
        <v>#N/A</v>
        <stp/>
        <stp>BDH|9903560012909701216</stp>
        <tr r="J9" s="22"/>
      </tp>
      <tp t="e">
        <v>#N/A</v>
        <stp/>
        <stp>BDH|8932398780791970424</stp>
        <tr r="F147" s="18"/>
      </tp>
      <tp t="e">
        <v>#N/A</v>
        <stp/>
        <stp>BDH|1904541887978800297</stp>
        <tr r="F20" s="18"/>
      </tp>
      <tp t="e">
        <v>#N/A</v>
        <stp/>
        <stp>BDH|5848639545950083153</stp>
        <tr r="P35" s="34"/>
      </tp>
      <tp t="e">
        <v>#N/A</v>
        <stp/>
        <stp>BDH|4217080630603186201</stp>
        <tr r="Z152" s="18"/>
      </tp>
      <tp t="e">
        <v>#N/A</v>
        <stp/>
        <stp>BDH|1995131304472359458</stp>
        <tr r="N61" s="34"/>
      </tp>
      <tp t="e">
        <v>#N/A</v>
        <stp/>
        <stp>BDH|1848274255761777151</stp>
        <tr r="Q58" s="13"/>
      </tp>
      <tp t="e">
        <v>#N/A</v>
        <stp/>
        <stp>BDH|4985826592396482554</stp>
        <tr r="AA16" s="18"/>
      </tp>
      <tp t="e">
        <v>#N/A</v>
        <stp/>
        <stp>BDH|5922163971291566435</stp>
        <tr r="L170" s="18"/>
      </tp>
      <tp t="e">
        <v>#N/A</v>
        <stp/>
        <stp>BDH|4937022480072365807</stp>
        <tr r="U39" s="22"/>
      </tp>
      <tp t="e">
        <v>#N/A</v>
        <stp/>
        <stp>BDH|6600065477926948168</stp>
        <tr r="H67" s="24"/>
      </tp>
      <tp t="e">
        <v>#N/A</v>
        <stp/>
        <stp>BDH|5238554008983345549</stp>
        <tr r="F59" s="21"/>
        <tr r="D54" s="11"/>
      </tp>
      <tp t="e">
        <v>#N/A</v>
        <stp/>
        <stp>BDH|1561403917272846020</stp>
        <tr r="M160" s="18"/>
      </tp>
      <tp t="e">
        <v>#N/A</v>
        <stp/>
        <stp>BDH|1850904788985834308</stp>
        <tr r="L42" s="12"/>
      </tp>
      <tp t="e">
        <v>#N/A</v>
        <stp/>
        <stp>BDH|6213512227052452584</stp>
        <tr r="J80" s="18"/>
      </tp>
      <tp t="e">
        <v>#N/A</v>
        <stp/>
        <stp>BDH|9808413222681335803</stp>
        <tr r="I15" s="11"/>
      </tp>
      <tp t="e">
        <v>#N/A</v>
        <stp/>
        <stp>BDH|7364967772219660690</stp>
        <tr r="T24" s="17"/>
      </tp>
      <tp t="e">
        <v>#N/A</v>
        <stp/>
        <stp>BDH|1537425680519672290</stp>
        <tr r="Q36" s="12"/>
      </tp>
      <tp t="e">
        <v>#N/A</v>
        <stp/>
        <stp>BDH|2726672065232536685</stp>
        <tr r="V61" s="17"/>
      </tp>
      <tp t="e">
        <v>#N/A</v>
        <stp/>
        <stp>BDH|8121051224235063983</stp>
        <tr r="P78" s="12"/>
      </tp>
      <tp t="e">
        <v>#N/A</v>
        <stp/>
        <stp>BDH|2730153600417999239</stp>
        <tr r="F28" s="9"/>
        <tr r="F28" s="5"/>
      </tp>
      <tp t="e">
        <v>#N/A</v>
        <stp/>
        <stp>BDH|6725462199739019402</stp>
        <tr r="E9" s="28"/>
      </tp>
      <tp t="e">
        <v>#N/A</v>
        <stp/>
        <stp>BDH|3940260670433354342</stp>
        <tr r="J55" s="24"/>
      </tp>
      <tp t="e">
        <v>#N/A</v>
        <stp/>
        <stp>BDH|2879625006543586118</stp>
        <tr r="Q16" s="11"/>
      </tp>
      <tp t="e">
        <v>#N/A</v>
        <stp/>
        <stp>BDH|4215695743418768871</stp>
        <tr r="U11" s="21"/>
      </tp>
      <tp t="e">
        <v>#N/A</v>
        <stp/>
        <stp>BDH|7546787065283906397</stp>
        <tr r="P74" s="18"/>
      </tp>
      <tp t="e">
        <v>#N/A</v>
        <stp/>
        <stp>BDH|7870448806236791352</stp>
        <tr r="R71" s="24"/>
      </tp>
      <tp t="e">
        <v>#N/A</v>
        <stp/>
        <stp>BDH|5269287921627185426</stp>
        <tr r="U9" s="27"/>
      </tp>
      <tp t="e">
        <v>#N/A</v>
        <stp/>
        <stp>BDH|8368830363094280497</stp>
        <tr r="E34" s="13"/>
        <tr r="C30" s="10"/>
      </tp>
      <tp t="e">
        <v>#N/A</v>
        <stp/>
        <stp>BDH|6124732561905967427</stp>
        <tr r="Y11" s="14"/>
      </tp>
      <tp t="e">
        <v>#N/A</v>
        <stp/>
        <stp>BDH|3838950463479178378</stp>
        <tr r="M96" s="12"/>
      </tp>
      <tp t="e">
        <v>#N/A</v>
        <stp/>
        <stp>BDH|4473145018383193110</stp>
        <tr r="Z15" s="17"/>
        <tr r="Z18" s="28"/>
      </tp>
      <tp t="e">
        <v>#N/A</v>
        <stp/>
        <stp>BDH|9389091082526453141</stp>
        <tr r="N75" s="17"/>
      </tp>
      <tp t="e">
        <v>#N/A</v>
        <stp/>
        <stp>BDH|7046369641635618392</stp>
        <tr r="R70" s="17"/>
      </tp>
      <tp t="e">
        <v>#N/A</v>
        <stp/>
        <stp>BDH|2660001548164791414</stp>
        <tr r="N26" s="29"/>
      </tp>
      <tp t="e">
        <v>#N/A</v>
        <stp/>
        <stp>BDH|9634755782714021498</stp>
        <tr r="Q168" s="18"/>
      </tp>
      <tp t="e">
        <v>#N/A</v>
        <stp/>
        <stp>BDH|5837746669846968440</stp>
        <tr r="N48" s="17"/>
      </tp>
      <tp t="e">
        <v>#N/A</v>
        <stp/>
        <stp>BDH|4171448337006359391</stp>
        <tr r="K17" s="21"/>
      </tp>
      <tp t="e">
        <v>#N/A</v>
        <stp/>
        <stp>BDH|9802963551517486434</stp>
        <tr r="Z15" s="23"/>
        <tr r="X58" s="11"/>
      </tp>
      <tp t="e">
        <v>#N/A</v>
        <stp/>
        <stp>BDH|5367639028140335730</stp>
        <tr r="Y160" s="18"/>
      </tp>
      <tp t="e">
        <v>#N/A</v>
        <stp/>
        <stp>BDH|4497040516495876665</stp>
        <tr r="F13" s="18"/>
      </tp>
      <tp t="e">
        <v>#N/A</v>
        <stp/>
        <stp>BDH|8305581802918433354</stp>
        <tr r="Q18" s="25"/>
      </tp>
      <tp t="e">
        <v>#N/A</v>
        <stp/>
        <stp>BDH|3123672958934109277</stp>
        <tr r="AA58" s="12"/>
      </tp>
      <tp t="e">
        <v>#N/A</v>
        <stp/>
        <stp>BDH|7888546254136262727</stp>
        <tr r="N24" s="12"/>
      </tp>
      <tp t="e">
        <v>#N/A</v>
        <stp/>
        <stp>BDH|3322416909622719352</stp>
        <tr r="N13" s="22"/>
      </tp>
      <tp t="e">
        <v>#N/A</v>
        <stp/>
        <stp>BDH|7878259370056086247</stp>
        <tr r="M25" s="34"/>
      </tp>
      <tp t="e">
        <v>#N/A</v>
        <stp/>
        <stp>BDH|3330625529289838897</stp>
        <tr r="Z78" s="18"/>
      </tp>
      <tp t="e">
        <v>#N/A</v>
        <stp/>
        <stp>BDH|5615341113777927616</stp>
        <tr r="X79" s="12"/>
      </tp>
      <tp t="e">
        <v>#N/A</v>
        <stp/>
        <stp>BDH|6002556655718973805</stp>
        <tr r="P149" s="18"/>
      </tp>
      <tp t="e">
        <v>#N/A</v>
        <stp/>
        <stp>BDH|5941500463638546865</stp>
        <tr r="O25" s="3"/>
      </tp>
      <tp t="e">
        <v>#N/A</v>
        <stp/>
        <stp>BDH|6697699314870533778</stp>
        <tr r="P110" s="12"/>
      </tp>
      <tp t="e">
        <v>#N/A</v>
        <stp/>
        <stp>BDH|8901380823567313887</stp>
        <tr r="N49" s="6"/>
        <tr r="P9" s="8"/>
      </tp>
      <tp t="e">
        <v>#N/A</v>
        <stp/>
        <stp>BDH|5176253312098851872</stp>
        <tr r="X23" s="20"/>
      </tp>
      <tp t="e">
        <v>#N/A</v>
        <stp/>
        <stp>BDH|5573652399488216423</stp>
        <tr r="J17" s="20"/>
      </tp>
      <tp t="e">
        <v>#N/A</v>
        <stp/>
        <stp>BDH|8867969283299589617</stp>
        <tr r="M89" s="12"/>
      </tp>
      <tp t="e">
        <v>#N/A</v>
        <stp/>
        <stp>BDH|9098847965906954710</stp>
        <tr r="L102" s="12"/>
      </tp>
      <tp t="e">
        <v>#N/A</v>
        <stp/>
        <stp>BDH|3181192629410888604</stp>
        <tr r="N78" s="17"/>
      </tp>
      <tp t="e">
        <v>#N/A</v>
        <stp/>
        <stp>BDH|3179630893393037985</stp>
        <tr r="H16" s="21"/>
      </tp>
      <tp t="e">
        <v>#N/A</v>
        <stp/>
        <stp>BDH|8530178959759773359</stp>
        <tr r="U120" s="18"/>
      </tp>
      <tp t="e">
        <v>#N/A</v>
        <stp/>
        <stp>BDH|6311487251273714240</stp>
        <tr r="W25" s="34"/>
      </tp>
      <tp t="e">
        <v>#N/A</v>
        <stp/>
        <stp>BDH|8045884740046677472</stp>
        <tr r="E101" s="12"/>
      </tp>
      <tp t="e">
        <v>#N/A</v>
        <stp/>
        <stp>BDH|7432559209666118208</stp>
        <tr r="L17" s="11"/>
      </tp>
      <tp t="e">
        <v>#N/A</v>
        <stp/>
        <stp>BDH|2871573854354014023</stp>
        <tr r="C80" s="12"/>
      </tp>
      <tp t="e">
        <v>#N/A</v>
        <stp/>
        <stp>BDH|1154883171370054814</stp>
        <tr r="V90" s="18"/>
      </tp>
      <tp t="e">
        <v>#N/A</v>
        <stp/>
        <stp>BDH|8903117967350319951</stp>
        <tr r="J40" s="24"/>
      </tp>
      <tp t="e">
        <v>#N/A</v>
        <stp/>
        <stp>BDH|6011400538646651176</stp>
        <tr r="U18" s="21"/>
        <tr r="S23" s="2"/>
        <tr r="U23" s="3"/>
      </tp>
      <tp t="e">
        <v>#N/A</v>
        <stp/>
        <stp>BDH|9272097589494912321</stp>
        <tr r="G18" s="30"/>
      </tp>
      <tp t="e">
        <v>#N/A</v>
        <stp/>
        <stp>BDH|9559583275709250430</stp>
        <tr r="D36" s="12"/>
      </tp>
      <tp t="e">
        <v>#N/A</v>
        <stp/>
        <stp>BDH|8854572716068361236</stp>
        <tr r="R16" s="14"/>
      </tp>
      <tp t="e">
        <v>#N/A</v>
        <stp/>
        <stp>BDH|2634354702142000581</stp>
        <tr r="V23" s="10"/>
      </tp>
      <tp t="e">
        <v>#N/A</v>
        <stp/>
        <stp>BDH|1579477791529840326</stp>
        <tr r="Y36" s="4"/>
      </tp>
      <tp t="e">
        <v>#N/A</v>
        <stp/>
        <stp>BDH|3395182007347765328</stp>
        <tr r="U8" s="14"/>
      </tp>
      <tp t="e">
        <v>#N/A</v>
        <stp/>
        <stp>BDH|9158625583794101581</stp>
        <tr r="U54" s="6"/>
      </tp>
      <tp t="e">
        <v>#N/A</v>
        <stp/>
        <stp>BDH|2456802878058196348</stp>
        <tr r="U40" s="29"/>
      </tp>
      <tp t="e">
        <v>#N/A</v>
        <stp/>
        <stp>BDH|1224692263476786165</stp>
        <tr r="X11" s="22"/>
      </tp>
      <tp t="e">
        <v>#N/A</v>
        <stp/>
        <stp>BDH|5989674071382403026</stp>
        <tr r="T127" s="18"/>
      </tp>
      <tp t="e">
        <v>#N/A</v>
        <stp/>
        <stp>BDH|3262791603190788266</stp>
        <tr r="H33" s="17"/>
      </tp>
      <tp t="e">
        <v>#N/A</v>
        <stp/>
        <stp>BDH|2606564160585099290</stp>
        <tr r="I70" s="18"/>
      </tp>
      <tp t="e">
        <v>#N/A</v>
        <stp/>
        <stp>BDH|4989443272372714311</stp>
        <tr r="S47" s="34"/>
      </tp>
      <tp t="e">
        <v>#N/A</v>
        <stp/>
        <stp>BDH|2938877221827319956</stp>
        <tr r="S7" s="20"/>
        <tr r="S109" s="18"/>
      </tp>
      <tp t="e">
        <v>#N/A</v>
        <stp/>
        <stp>BDH|8584388096356082220</stp>
        <tr r="Y19" s="25"/>
      </tp>
      <tp t="e">
        <v>#N/A</v>
        <stp/>
        <stp>BDH|1232788905626360650</stp>
        <tr r="AA144" s="18"/>
      </tp>
      <tp t="e">
        <v>#N/A</v>
        <stp/>
        <stp>BDH|1754493915890256201</stp>
        <tr r="R63" s="10"/>
      </tp>
      <tp t="e">
        <v>#N/A</v>
        <stp/>
        <stp>BDH|2151408709448468855</stp>
        <tr r="C29" s="4"/>
      </tp>
      <tp t="e">
        <v>#N/A</v>
        <stp/>
        <stp>BDH|2698541171814283285</stp>
        <tr r="I34" s="26"/>
      </tp>
      <tp t="e">
        <v>#N/A</v>
        <stp/>
        <stp>BDH|3968722805061201358</stp>
        <tr r="T60" s="34"/>
      </tp>
      <tp t="e">
        <v>#N/A</v>
        <stp/>
        <stp>BDH|7016865435958854224</stp>
        <tr r="S11" s="9"/>
      </tp>
      <tp t="e">
        <v>#N/A</v>
        <stp/>
        <stp>BDH|7318667015817833111</stp>
        <tr r="Z96" s="18"/>
      </tp>
      <tp t="e">
        <v>#N/A</v>
        <stp/>
        <stp>BDH|2706335547666243588</stp>
        <tr r="L39" s="11"/>
        <tr r="L47" s="10"/>
        <tr r="L27" s="11"/>
        <tr r="L35" s="10"/>
      </tp>
      <tp t="e">
        <v>#N/A</v>
        <stp/>
        <stp>BDH|5373454933131887545</stp>
        <tr r="V10" s="24"/>
      </tp>
      <tp t="e">
        <v>#N/A</v>
        <stp/>
        <stp>BDH|7123509308622147617</stp>
        <tr r="L35" s="34"/>
      </tp>
      <tp t="e">
        <v>#N/A</v>
        <stp/>
        <stp>BDH|7316829139319037316</stp>
        <tr r="V68" s="10"/>
      </tp>
      <tp t="e">
        <v>#N/A</v>
        <stp/>
        <stp>BDH|8550967130586981231</stp>
        <tr r="J40" s="13"/>
        <tr r="H28" s="11"/>
        <tr r="H36" s="10"/>
      </tp>
      <tp t="e">
        <v>#N/A</v>
        <stp/>
        <stp>BDH|3657714702882853042</stp>
        <tr r="E30" s="26"/>
      </tp>
      <tp t="e">
        <v>#N/A</v>
        <stp/>
        <stp>BDH|9472915981806894822</stp>
        <tr r="U37" s="18"/>
      </tp>
      <tp t="e">
        <v>#N/A</v>
        <stp/>
        <stp>BDH|5006425144440860307</stp>
        <tr r="M23" s="6"/>
      </tp>
      <tp t="e">
        <v>#N/A</v>
        <stp/>
        <stp>BDH|6619962021043723881</stp>
        <tr r="P161" s="18"/>
      </tp>
      <tp t="e">
        <v>#N/A</v>
        <stp/>
        <stp>BDH|4920213922594245663</stp>
        <tr r="W21" s="27"/>
      </tp>
      <tp t="e">
        <v>#N/A</v>
        <stp/>
        <stp>BDH|5721931727460558880</stp>
        <tr r="X8" s="4"/>
      </tp>
      <tp t="e">
        <v>#N/A</v>
        <stp/>
        <stp>BDH|1064788071591694610</stp>
        <tr r="X140" s="18"/>
      </tp>
      <tp t="e">
        <v>#N/A</v>
        <stp/>
        <stp>BDH|6918403746000829095</stp>
        <tr r="R22" s="27"/>
      </tp>
      <tp t="e">
        <v>#N/A</v>
        <stp/>
        <stp>BDH|4420787266957200469</stp>
        <tr r="F25" s="24"/>
      </tp>
      <tp t="e">
        <v>#N/A</v>
        <stp/>
        <stp>BDH|1672125926241514594</stp>
        <tr r="J21" s="2"/>
      </tp>
      <tp t="e">
        <v>#N/A</v>
        <stp/>
        <stp>BDH|3804969612115053829</stp>
        <tr r="M85" s="18"/>
      </tp>
      <tp t="e">
        <v>#N/A</v>
        <stp/>
        <stp>BDH|4808523895626521843</stp>
        <tr r="J46" s="18"/>
      </tp>
      <tp t="e">
        <v>#N/A</v>
        <stp/>
        <stp>BDH|6165730282488664780</stp>
        <tr r="T37" s="24"/>
      </tp>
      <tp t="e">
        <v>#N/A</v>
        <stp/>
        <stp>BDH|2436124481728040593</stp>
        <tr r="M153" s="18"/>
      </tp>
      <tp t="e">
        <v>#N/A</v>
        <stp/>
        <stp>BDH|4943165800703449055</stp>
        <tr r="Y22" s="10"/>
      </tp>
      <tp t="e">
        <v>#N/A</v>
        <stp/>
        <stp>BDH|7524423668811695276</stp>
        <tr r="J11" s="11"/>
      </tp>
      <tp t="e">
        <v>#N/A</v>
        <stp/>
        <stp>BDH|3564078702675752094</stp>
        <tr r="E157" s="18"/>
      </tp>
      <tp t="e">
        <v>#N/A</v>
        <stp/>
        <stp>BDH|7074899270418755606</stp>
        <tr r="J76" s="18"/>
      </tp>
      <tp t="e">
        <v>#N/A</v>
        <stp/>
        <stp>BDH|9477859427721183498</stp>
        <tr r="O50" s="12"/>
      </tp>
      <tp t="e">
        <v>#N/A</v>
        <stp/>
        <stp>BDH|4558277208232592210</stp>
        <tr r="S11" s="12"/>
      </tp>
      <tp t="e">
        <v>#N/A</v>
        <stp/>
        <stp>BDH|4614317371931036784</stp>
        <tr r="S24" s="24"/>
      </tp>
      <tp t="e">
        <v>#N/A</v>
        <stp/>
        <stp>BDH|1822928272278233140</stp>
        <tr r="L30" s="11"/>
        <tr r="L38" s="10"/>
      </tp>
      <tp t="e">
        <v>#N/A</v>
        <stp/>
        <stp>BDH|2369597250450166458</stp>
        <tr r="N45" s="17"/>
      </tp>
      <tp t="e">
        <v>#N/A</v>
        <stp/>
        <stp>BDH|7873827693517218759</stp>
        <tr r="O39" s="22"/>
      </tp>
      <tp t="e">
        <v>#N/A</v>
        <stp/>
        <stp>BDH|3879472722956322503</stp>
        <tr r="N27" s="17"/>
      </tp>
      <tp t="e">
        <v>#N/A</v>
        <stp/>
        <stp>BDH|2840608100773243143</stp>
        <tr r="W79" s="18"/>
      </tp>
      <tp t="e">
        <v>#N/A</v>
        <stp/>
        <stp>BDH|5733183056462685510</stp>
        <tr r="Y17" s="10"/>
      </tp>
      <tp t="e">
        <v>#N/A</v>
        <stp/>
        <stp>BDH|6722561769981255243</stp>
        <tr r="Y54" s="18"/>
      </tp>
      <tp t="e">
        <v>#N/A</v>
        <stp/>
        <stp>BDH|4475130724608997947</stp>
        <tr r="T68" s="24"/>
      </tp>
      <tp t="e">
        <v>#N/A</v>
        <stp/>
        <stp>BDH|4869157497759588311</stp>
        <tr r="V61" s="12"/>
      </tp>
      <tp t="e">
        <v>#N/A</v>
        <stp/>
        <stp>BDH|7802136268797980146</stp>
        <tr r="P16" s="25"/>
      </tp>
      <tp t="e">
        <v>#N/A</v>
        <stp/>
        <stp>BDH|3581473817809942928</stp>
        <tr r="D7" s="10"/>
      </tp>
      <tp t="e">
        <v>#N/A</v>
        <stp/>
        <stp>BDH|1210180867942122224</stp>
        <tr r="E13" s="26"/>
      </tp>
      <tp t="e">
        <v>#N/A</v>
        <stp/>
        <stp>BDH|6182379104514988752</stp>
        <tr r="S25" s="12"/>
      </tp>
      <tp t="e">
        <v>#N/A</v>
        <stp/>
        <stp>BDH|1675980316896799907</stp>
        <tr r="Y78" s="24"/>
      </tp>
      <tp t="e">
        <v>#N/A</v>
        <stp/>
        <stp>BDH|1070773670492928513</stp>
        <tr r="X20" s="18"/>
      </tp>
      <tp t="e">
        <v>#N/A</v>
        <stp/>
        <stp>BDH|5955500830597113270</stp>
        <tr r="T23" s="18"/>
      </tp>
      <tp t="e">
        <v>#N/A</v>
        <stp/>
        <stp>BDH|1036041759547614547</stp>
        <tr r="S26" s="7"/>
      </tp>
      <tp t="e">
        <v>#N/A</v>
        <stp/>
        <stp>BDH|2471737301806180581</stp>
        <tr r="J42" s="24"/>
      </tp>
      <tp t="e">
        <v>#N/A</v>
        <stp/>
        <stp>BDH|7173391897483750876</stp>
        <tr r="R60" s="21"/>
      </tp>
      <tp t="e">
        <v>#N/A</v>
        <stp/>
        <stp>BDH|4886160360896210330</stp>
        <tr r="N10" s="22"/>
      </tp>
      <tp t="e">
        <v>#N/A</v>
        <stp/>
        <stp>BDH|5321582625055870197</stp>
        <tr r="X11" s="6"/>
      </tp>
      <tp t="e">
        <v>#N/A</v>
        <stp/>
        <stp>BDH|9767127990563333497</stp>
        <tr r="W45" s="24"/>
      </tp>
      <tp t="e">
        <v>#N/A</v>
        <stp/>
        <stp>BDH|4393074735903838264</stp>
        <tr r="G93" s="18"/>
      </tp>
      <tp t="e">
        <v>#N/A</v>
        <stp/>
        <stp>BDH|6067874849759875591</stp>
        <tr r="O23" s="20"/>
      </tp>
      <tp t="e">
        <v>#N/A</v>
        <stp/>
        <stp>BDH|8469630349145607974</stp>
        <tr r="F38" s="29"/>
        <tr r="F18" s="29"/>
      </tp>
      <tp t="e">
        <v>#N/A</v>
        <stp/>
        <stp>BDH|7647468478477695513</stp>
        <tr r="C163" s="18"/>
      </tp>
      <tp t="e">
        <v>#N/A</v>
        <stp/>
        <stp>BDH|1673877066331902811</stp>
        <tr r="Z41" s="18"/>
      </tp>
      <tp t="e">
        <v>#N/A</v>
        <stp/>
        <stp>BDH|9632542308318064251</stp>
        <tr r="M58" s="12"/>
      </tp>
      <tp t="e">
        <v>#N/A</v>
        <stp/>
        <stp>BDH|9494574445369897712</stp>
        <tr r="I93" s="12"/>
      </tp>
      <tp t="e">
        <v>#N/A</v>
        <stp/>
        <stp>BDH|1407068069257473609</stp>
        <tr r="C29" s="29"/>
        <tr r="C7" s="29"/>
      </tp>
      <tp t="e">
        <v>#N/A</v>
        <stp/>
        <stp>BDH|6326144309725074412</stp>
        <tr r="S60" s="18"/>
      </tp>
      <tp t="e">
        <v>#N/A</v>
        <stp/>
        <stp>BDH|1477139658284216729</stp>
        <tr r="M65" s="34"/>
      </tp>
      <tp t="e">
        <v>#N/A</v>
        <stp/>
        <stp>BDH|4549235008522652275</stp>
        <tr r="Z173" s="18"/>
      </tp>
      <tp t="e">
        <v>#N/A</v>
        <stp/>
        <stp>BDH|4853440355434368750</stp>
        <tr r="L74" s="18"/>
      </tp>
      <tp t="e">
        <v>#N/A</v>
        <stp/>
        <stp>BDH|3131414966166022192</stp>
        <tr r="N66" s="12"/>
      </tp>
      <tp t="e">
        <v>#N/A</v>
        <stp/>
        <stp>BDH|4997630811593438609</stp>
        <tr r="L27" s="12"/>
      </tp>
      <tp t="e">
        <v>#N/A</v>
        <stp/>
        <stp>BDH|3896405212403205371</stp>
        <tr r="G29" s="17"/>
      </tp>
      <tp t="e">
        <v>#N/A</v>
        <stp/>
        <stp>BDH|2552486462387381131</stp>
        <tr r="F18" s="18"/>
      </tp>
      <tp t="e">
        <v>#N/A</v>
        <stp/>
        <stp>BDH|2379729144064805327</stp>
        <tr r="S72" s="17"/>
      </tp>
      <tp t="e">
        <v>#N/A</v>
        <stp/>
        <stp>BDH|3901249083129269636</stp>
        <tr r="T116" s="18"/>
      </tp>
      <tp t="e">
        <v>#N/A</v>
        <stp/>
        <stp>BDH|3794648477383395780</stp>
        <tr r="X77" s="12"/>
      </tp>
      <tp t="e">
        <v>#N/A</v>
        <stp/>
        <stp>BDH|4116683812606590316</stp>
        <tr r="F88" s="12"/>
      </tp>
      <tp t="e">
        <v>#N/A</v>
        <stp/>
        <stp>BDH|5459087341830239703</stp>
        <tr r="I11" s="9"/>
      </tp>
      <tp t="e">
        <v>#N/A</v>
        <stp/>
        <stp>BDH|5052412143767984442</stp>
        <tr r="L51" s="24"/>
      </tp>
      <tp t="e">
        <v>#N/A</v>
        <stp/>
        <stp>BDH|5764772369083663108</stp>
        <tr r="X10" s="11"/>
      </tp>
      <tp t="e">
        <v>#N/A</v>
        <stp/>
        <stp>BDH|7725810711908146092</stp>
        <tr r="W96" s="12"/>
      </tp>
      <tp t="e">
        <v>#N/A</v>
        <stp/>
        <stp>BDH|7875080738737154568</stp>
        <tr r="M64" s="21"/>
        <tr r="K23" s="7"/>
      </tp>
      <tp t="e">
        <v>#N/A</v>
        <stp/>
        <stp>BDH|4471885315588339358</stp>
        <tr r="L40" s="29"/>
      </tp>
      <tp t="e">
        <v>#N/A</v>
        <stp/>
        <stp>BDH|3445364961352573298</stp>
        <tr r="Y49" s="18"/>
      </tp>
      <tp t="e">
        <v>#N/A</v>
        <stp/>
        <stp>BDH|5496743539971680604</stp>
        <tr r="I32" s="22"/>
      </tp>
      <tp t="e">
        <v>#N/A</v>
        <stp/>
        <stp>BDH|4776089043014247215</stp>
        <tr r="V16" s="34"/>
      </tp>
      <tp t="e">
        <v>#N/A</v>
        <stp/>
        <stp>BDH|3738790164870011455</stp>
        <tr r="AA16" s="23"/>
      </tp>
      <tp t="e">
        <v>#N/A</v>
        <stp/>
        <stp>BDH|2197664108037320531</stp>
        <tr r="E14" s="18"/>
      </tp>
      <tp t="e">
        <v>#N/A</v>
        <stp/>
        <stp>BDH|4142459060222306281</stp>
        <tr r="P63" s="24"/>
      </tp>
      <tp t="e">
        <v>#N/A</v>
        <stp/>
        <stp>BDH|8236959774387927755</stp>
        <tr r="Z108" s="12"/>
      </tp>
      <tp t="e">
        <v>#N/A</v>
        <stp/>
        <stp>BDH|5867653721522088536</stp>
        <tr r="T10" s="10"/>
      </tp>
      <tp t="e">
        <v>#N/A</v>
        <stp/>
        <stp>BDH|4784759800473829666</stp>
        <tr r="Y45" s="24"/>
      </tp>
      <tp t="e">
        <v>#N/A</v>
        <stp/>
        <stp>BDH|1840184949306477415</stp>
        <tr r="Y48" s="21"/>
      </tp>
      <tp t="e">
        <v>#N/A</v>
        <stp/>
        <stp>BDH|9016287996292268603</stp>
        <tr r="U9" s="18"/>
      </tp>
      <tp t="e">
        <v>#N/A</v>
        <stp/>
        <stp>BDH|8186283838417595886</stp>
        <tr r="P18" s="5"/>
        <tr r="P38" s="6"/>
      </tp>
      <tp t="e">
        <v>#N/A</v>
        <stp/>
        <stp>BDH|8785539470149802503</stp>
        <tr r="Q174" s="18"/>
      </tp>
      <tp t="e">
        <v>#N/A</v>
        <stp/>
        <stp>BDH|6116467823476821003</stp>
        <tr r="T8" s="20"/>
        <tr r="T110" s="18"/>
      </tp>
      <tp t="e">
        <v>#N/A</v>
        <stp/>
        <stp>BDH|3299097258837723787</stp>
        <tr r="C22" s="4"/>
      </tp>
      <tp t="e">
        <v>#N/A</v>
        <stp/>
        <stp>BDH|2574002702635854134</stp>
        <tr r="K14" s="22"/>
      </tp>
      <tp t="e">
        <v>#N/A</v>
        <stp/>
        <stp>BDH|2944474766110637620</stp>
        <tr r="T21" s="18"/>
      </tp>
      <tp t="e">
        <v>#N/A</v>
        <stp/>
        <stp>BDH|6461112556130850472</stp>
        <tr r="Z42" s="21"/>
      </tp>
      <tp t="e">
        <v>#N/A</v>
        <stp/>
        <stp>BDH|1920184314260026794</stp>
        <tr r="I8" s="18"/>
      </tp>
      <tp t="e">
        <v>#N/A</v>
        <stp/>
        <stp>BDH|5762442928835297057</stp>
        <tr r="K60" s="13"/>
      </tp>
      <tp t="e">
        <v>#N/A</v>
        <stp/>
        <stp>BDH|6755880993308808983</stp>
        <tr r="H10" s="24"/>
      </tp>
      <tp t="e">
        <v>#N/A</v>
        <stp/>
        <stp>BDH|3732392507982144449</stp>
        <tr r="H67" s="18"/>
      </tp>
      <tp t="e">
        <v>#N/A</v>
        <stp/>
        <stp>BDH|3887968688181250580</stp>
        <tr r="O28" s="25"/>
        <tr r="O14" s="27"/>
      </tp>
      <tp t="e">
        <v>#N/A</v>
        <stp/>
        <stp>BDH|3167426625371322296</stp>
        <tr r="R13" s="26"/>
      </tp>
      <tp t="e">
        <v>#N/A</v>
        <stp/>
        <stp>BDH|1937424238542657290</stp>
        <tr r="U19" s="17"/>
      </tp>
      <tp t="e">
        <v>#N/A</v>
        <stp/>
        <stp>BDH|8215413996471982209</stp>
        <tr r="Z21" s="27"/>
      </tp>
      <tp t="e">
        <v>#N/A</v>
        <stp/>
        <stp>BDH|9226026139008010453</stp>
        <tr r="O9" s="6"/>
      </tp>
      <tp t="e">
        <v>#N/A</v>
        <stp/>
        <stp>BDH|8888334687516070308</stp>
        <tr r="C22" s="17"/>
      </tp>
      <tp t="e">
        <v>#N/A</v>
        <stp/>
        <stp>BDH|1604387265837413537</stp>
        <tr r="I34" s="21"/>
      </tp>
      <tp t="e">
        <v>#N/A</v>
        <stp/>
        <stp>BDH|2019559819780505056</stp>
        <tr r="X51" s="18"/>
      </tp>
      <tp t="e">
        <v>#N/A</v>
        <stp/>
        <stp>BDH|1782013478369489969</stp>
        <tr r="Z79" s="12"/>
      </tp>
      <tp t="e">
        <v>#N/A</v>
        <stp/>
        <stp>BDH|9553780886879247950</stp>
        <tr r="N11" s="28"/>
      </tp>
      <tp t="e">
        <v>#N/A</v>
        <stp/>
        <stp>BDH|9893415379369473580</stp>
        <tr r="Y47" s="12"/>
      </tp>
      <tp t="e">
        <v>#N/A</v>
        <stp/>
        <stp>BDH|6675291811787586471</stp>
        <tr r="J20" s="12"/>
      </tp>
      <tp t="e">
        <v>#N/A</v>
        <stp/>
        <stp>BDH|9922911106600599674</stp>
        <tr r="G73" s="17"/>
      </tp>
      <tp t="e">
        <v>#N/A</v>
        <stp/>
        <stp>BDH|4789475453026904565</stp>
        <tr r="N76" s="18"/>
      </tp>
      <tp t="e">
        <v>#N/A</v>
        <stp/>
        <stp>BDH|2201296060537282750</stp>
        <tr r="L30" s="13"/>
        <tr r="J26" s="10"/>
      </tp>
      <tp t="e">
        <v>#N/A</v>
        <stp/>
        <stp>BDH|7994015959016976240</stp>
        <tr r="X33" s="21"/>
      </tp>
      <tp t="e">
        <v>#N/A</v>
        <stp/>
        <stp>BDH|5183574706796836043</stp>
        <tr r="M44" s="18"/>
      </tp>
      <tp t="e">
        <v>#N/A</v>
        <stp/>
        <stp>BDH|1932764775895233246</stp>
        <tr r="F45" s="21"/>
      </tp>
      <tp t="e">
        <v>#N/A</v>
        <stp/>
        <stp>BDH|8826817138765871058</stp>
        <tr r="C47" s="17"/>
      </tp>
      <tp t="e">
        <v>#N/A</v>
        <stp/>
        <stp>BDH|5081640641394153583</stp>
        <tr r="Y93" s="17"/>
        <tr r="Y13" s="28"/>
      </tp>
      <tp t="e">
        <v>#N/A</v>
        <stp/>
        <stp>BDH|5221409085668299799</stp>
        <tr r="E17" s="24"/>
      </tp>
      <tp t="e">
        <v>#N/A</v>
        <stp/>
        <stp>BDH|7934799708443140556</stp>
        <tr r="K54" s="24"/>
      </tp>
      <tp t="e">
        <v>#N/A</v>
        <stp/>
        <stp>BDH|8988298959259073059</stp>
        <tr r="R63" s="21"/>
      </tp>
      <tp t="e">
        <v>#N/A</v>
        <stp/>
        <stp>BDH|2607088156661261064</stp>
        <tr r="Y53" s="12"/>
      </tp>
      <tp t="e">
        <v>#N/A</v>
        <stp/>
        <stp>BDH|1504664828873369045</stp>
        <tr r="Z34" s="22"/>
      </tp>
      <tp t="e">
        <v>#N/A</v>
        <stp/>
        <stp>BDH|1762035400964913314</stp>
        <tr r="I7" s="23"/>
      </tp>
      <tp t="e">
        <v>#N/A</v>
        <stp/>
        <stp>BDH|5860359536045582628</stp>
        <tr r="Y133" s="18"/>
      </tp>
      <tp t="e">
        <v>#N/A</v>
        <stp/>
        <stp>BDH|4212698603036529214</stp>
        <tr r="X71" s="17"/>
      </tp>
      <tp t="e">
        <v>#N/A</v>
        <stp/>
        <stp>BDH|1624689301405161427</stp>
        <tr r="U47" s="17"/>
      </tp>
      <tp t="e">
        <v>#N/A</v>
        <stp/>
        <stp>BDH|2104556717842950265</stp>
        <tr r="M82" s="12"/>
      </tp>
      <tp t="e">
        <v>#N/A</v>
        <stp/>
        <stp>BDH|2623944855251386982</stp>
        <tr r="V92" s="17"/>
        <tr r="V7" s="27"/>
      </tp>
      <tp t="e">
        <v>#N/A</v>
        <stp/>
        <stp>BDH|5029081196189355306</stp>
        <tr r="L80" s="12"/>
      </tp>
      <tp t="e">
        <v>#N/A</v>
        <stp/>
        <stp>BDH|3470002138016163002</stp>
        <tr r="O9" s="22"/>
      </tp>
      <tp t="e">
        <v>#N/A</v>
        <stp/>
        <stp>BDH|8434364864653267896</stp>
        <tr r="V23" s="6"/>
      </tp>
      <tp t="e">
        <v>#N/A</v>
        <stp/>
        <stp>BDH|1396699080740317946</stp>
        <tr r="I55" s="34"/>
      </tp>
      <tp t="e">
        <v>#N/A</v>
        <stp/>
        <stp>BDH|8910602924478778270</stp>
        <tr r="O42" s="10"/>
        <tr r="O34" s="11"/>
      </tp>
      <tp t="e">
        <v>#N/A</v>
        <stp/>
        <stp>BDH|7281605782968545783</stp>
        <tr r="C142" s="18"/>
      </tp>
      <tp t="e">
        <v>#N/A</v>
        <stp/>
        <stp>BDH|7838961983048763877</stp>
        <tr r="L12" s="27"/>
        <tr r="L26" s="25"/>
      </tp>
      <tp t="e">
        <v>#N/A</v>
        <stp/>
        <stp>BDH|6723588072706491446</stp>
        <tr r="Q11" s="18"/>
      </tp>
      <tp t="e">
        <v>#N/A</v>
        <stp/>
        <stp>BDH|6789572545909155894</stp>
        <tr r="K64" s="24"/>
      </tp>
      <tp t="e">
        <v>#N/A</v>
        <stp/>
        <stp>BDH|2908286070201412087</stp>
        <tr r="R10" s="26"/>
      </tp>
      <tp t="e">
        <v>#N/A</v>
        <stp/>
        <stp>BDH|1408550908564442604</stp>
        <tr r="R29" s="4"/>
      </tp>
      <tp t="e">
        <v>#N/A</v>
        <stp/>
        <stp>BDH|4777557487067966813</stp>
        <tr r="R51" s="17"/>
      </tp>
      <tp t="e">
        <v>#N/A</v>
        <stp/>
        <stp>BDH|7656132171705864213</stp>
        <tr r="S13" s="24"/>
      </tp>
      <tp t="e">
        <v>#N/A</v>
        <stp/>
        <stp>BDH|5772665150937869748</stp>
        <tr r="K43" s="6"/>
        <tr r="K19" s="5"/>
      </tp>
      <tp t="e">
        <v>#N/A</v>
        <stp/>
        <stp>BDH|7352389347883772566</stp>
        <tr r="Y31" s="11"/>
        <tr r="Y39" s="10"/>
      </tp>
      <tp t="e">
        <v>#N/A</v>
        <stp/>
        <stp>BDH|6563756822091946460</stp>
        <tr r="Z38" s="17"/>
      </tp>
      <tp t="e">
        <v>#N/A</v>
        <stp/>
        <stp>BDH|1906622431494019673</stp>
        <tr r="Z11" s="14"/>
      </tp>
      <tp t="e">
        <v>#N/A</v>
        <stp/>
        <stp>BDH|4830718784985337835</stp>
        <tr r="V20" s="6"/>
      </tp>
      <tp t="e">
        <v>#N/A</v>
        <stp/>
        <stp>BDH|9070280289967502299</stp>
        <tr r="N60" s="21"/>
      </tp>
      <tp t="e">
        <v>#N/A</v>
        <stp/>
        <stp>BDH|7267197943331513504</stp>
        <tr r="W15" s="4"/>
      </tp>
      <tp t="e">
        <v>#N/A</v>
        <stp/>
        <stp>BDH|4275693454539434864</stp>
        <tr r="X12" s="21"/>
      </tp>
      <tp t="e">
        <v>#N/A</v>
        <stp/>
        <stp>BDH|4780871087857275580</stp>
        <tr r="X39" s="6"/>
      </tp>
      <tp t="e">
        <v>#N/A</v>
        <stp/>
        <stp>BDH|9417840876069814936</stp>
        <tr r="U8" s="28"/>
      </tp>
      <tp t="e">
        <v>#N/A</v>
        <stp/>
        <stp>BDH|1070361007666818247</stp>
        <tr r="C95" s="12"/>
      </tp>
      <tp t="e">
        <v>#N/A</v>
        <stp/>
        <stp>BDH|7897012264740806785</stp>
        <tr r="U55" s="13"/>
        <tr r="S48" s="11"/>
        <tr r="S56" s="10"/>
        <tr r="S18" s="7"/>
      </tp>
      <tp t="e">
        <v>#N/A</v>
        <stp/>
        <stp>BDH|9484861588239522620</stp>
        <tr r="R10" s="6"/>
      </tp>
      <tp t="e">
        <v>#N/A</v>
        <stp/>
        <stp>BDH|2811798184559075283</stp>
        <tr r="P76" s="24"/>
      </tp>
      <tp t="e">
        <v>#N/A</v>
        <stp/>
        <stp>BDH|2476132589199449478</stp>
        <tr r="H22" s="18"/>
      </tp>
      <tp t="e">
        <v>#N/A</v>
        <stp/>
        <stp>BDH|3057269246266874552</stp>
        <tr r="I145" s="18"/>
      </tp>
      <tp t="e">
        <v>#N/A</v>
        <stp/>
        <stp>BDH|6155543349687884693</stp>
        <tr r="M13" s="12"/>
      </tp>
      <tp t="e">
        <v>#N/A</v>
        <stp/>
        <stp>BDH|2153326624626999336</stp>
        <tr r="G69" s="17"/>
      </tp>
      <tp t="e">
        <v>#N/A</v>
        <stp/>
        <stp>BDH|7700661831160994443</stp>
        <tr r="T13" s="21"/>
      </tp>
      <tp t="e">
        <v>#N/A</v>
        <stp/>
        <stp>BDH|2945227611945613216</stp>
        <tr r="V60" s="17"/>
      </tp>
      <tp t="e">
        <v>#N/A</v>
        <stp/>
        <stp>BDH|6399395976620606477</stp>
        <tr r="X160" s="18"/>
      </tp>
      <tp t="e">
        <v>#N/A</v>
        <stp/>
        <stp>BDH|2683539348246171318</stp>
        <tr r="S175" s="18"/>
      </tp>
      <tp t="e">
        <v>#N/A</v>
        <stp/>
        <stp>BDH|7550143655253812619</stp>
        <tr r="G43" s="12"/>
      </tp>
      <tp t="e">
        <v>#N/A</v>
        <stp/>
        <stp>BDH|3052606503624987771</stp>
        <tr r="R20" s="22"/>
      </tp>
      <tp t="e">
        <v>#N/A</v>
        <stp/>
        <stp>BDH|4690096687192071855</stp>
        <tr r="Z155" s="18"/>
      </tp>
      <tp t="e">
        <v>#N/A</v>
        <stp/>
        <stp>BDH|3867650141024285330</stp>
        <tr r="K9" s="17"/>
      </tp>
      <tp t="e">
        <v>#N/A</v>
        <stp/>
        <stp>BDH|7733338053696279184</stp>
        <tr r="G27" s="7"/>
      </tp>
      <tp t="e">
        <v>#N/A</v>
        <stp/>
        <stp>BDH|1925027839926761284</stp>
        <tr r="L25" s="10"/>
      </tp>
      <tp t="e">
        <v>#N/A</v>
        <stp/>
        <stp>BDH|3805239040087342453</stp>
        <tr r="D39" s="13"/>
        <tr r="D8" s="3"/>
      </tp>
      <tp t="e">
        <v>#N/A</v>
        <stp/>
        <stp>BDH|1627890416728834637</stp>
        <tr r="K15" s="25"/>
      </tp>
      <tp t="e">
        <v>#N/A</v>
        <stp/>
        <stp>BDH|1101221651319511952</stp>
        <tr r="AA172" s="18"/>
      </tp>
      <tp t="e">
        <v>#N/A</v>
        <stp/>
        <stp>BDH|4584376302575483462</stp>
        <tr r="AA54" s="13"/>
      </tp>
      <tp t="e">
        <v>#N/A</v>
        <stp/>
        <stp>BDH|5490127164876559252</stp>
        <tr r="S10" s="13"/>
      </tp>
      <tp t="e">
        <v>#N/A</v>
        <stp/>
        <stp>BDH|1457401300306744513</stp>
        <tr r="R93" s="12"/>
      </tp>
      <tp t="e">
        <v>#N/A</v>
        <stp/>
        <stp>BDH|8480189293671975740</stp>
        <tr r="C117" s="18"/>
      </tp>
      <tp t="e">
        <v>#N/A</v>
        <stp/>
        <stp>BDH|6956876114958120198</stp>
        <tr r="C12" s="3"/>
      </tp>
      <tp t="e">
        <v>#N/A</v>
        <stp/>
        <stp>BDH|1320702050094005110</stp>
        <tr r="M23" s="17"/>
      </tp>
      <tp t="e">
        <v>#N/A</v>
        <stp/>
        <stp>BDH|2613413738791840251</stp>
        <tr r="F23" s="18"/>
      </tp>
      <tp t="e">
        <v>#N/A</v>
        <stp/>
        <stp>BDH|2102770776433019725</stp>
        <tr r="Y7" s="28"/>
      </tp>
      <tp t="e">
        <v>#N/A</v>
        <stp/>
        <stp>BDH|9602260597631053550</stp>
        <tr r="O24" s="34"/>
      </tp>
      <tp t="e">
        <v>#N/A</v>
        <stp/>
        <stp>BDH|1960721182318911026</stp>
        <tr r="U8" s="8"/>
      </tp>
      <tp t="e">
        <v>#N/A</v>
        <stp/>
        <stp>BDH|9228570447217578955</stp>
        <tr r="Z45" s="17"/>
      </tp>
      <tp t="e">
        <v>#N/A</v>
        <stp/>
        <stp>BDH|3113023220564136306</stp>
        <tr r="Q20" s="11"/>
      </tp>
      <tp t="e">
        <v>#N/A</v>
        <stp/>
        <stp>BDH|3364644525682478341</stp>
        <tr r="M13" s="21"/>
      </tp>
      <tp t="e">
        <v>#N/A</v>
        <stp/>
        <stp>BDH|3560437440721019445</stp>
        <tr r="M34" s="6"/>
      </tp>
      <tp t="e">
        <v>#N/A</v>
        <stp/>
        <stp>BDH|1597850931925448971</stp>
        <tr r="T27" s="24"/>
      </tp>
      <tp t="e">
        <v>#N/A</v>
        <stp/>
        <stp>BDH|1516202017033718777</stp>
        <tr r="L74" s="17"/>
      </tp>
      <tp t="e">
        <v>#N/A</v>
        <stp/>
        <stp>BDH|3295119952345267410</stp>
        <tr r="N35" s="26"/>
      </tp>
      <tp t="e">
        <v>#N/A</v>
        <stp/>
        <stp>BDH|7742860794885518529</stp>
        <tr r="H12" s="18"/>
      </tp>
      <tp t="e">
        <v>#N/A</v>
        <stp/>
        <stp>BDH|2508574673980514668</stp>
        <tr r="S136" s="18"/>
      </tp>
      <tp t="e">
        <v>#N/A</v>
        <stp/>
        <stp>BDH|3420040003553649677</stp>
        <tr r="V14" s="2"/>
        <tr r="V11" s="10"/>
      </tp>
      <tp t="e">
        <v>#N/A</v>
        <stp/>
        <stp>BDH|4754460325290509430</stp>
        <tr r="R8" s="20"/>
        <tr r="R110" s="18"/>
      </tp>
      <tp t="e">
        <v>#N/A</v>
        <stp/>
        <stp>BDH|9358385482753899739</stp>
        <tr r="C13" s="5"/>
      </tp>
      <tp t="e">
        <v>#N/A</v>
        <stp/>
        <stp>BDH|7406859122368053318</stp>
        <tr r="H172" s="18"/>
      </tp>
      <tp t="e">
        <v>#N/A</v>
        <stp/>
        <stp>BDH|9421800858136677483</stp>
        <tr r="T23" s="24"/>
      </tp>
      <tp t="e">
        <v>#N/A</v>
        <stp/>
        <stp>BDH|5613680959591265174</stp>
        <tr r="S61" s="11"/>
        <tr r="S69" s="10"/>
        <tr r="S20" s="7"/>
      </tp>
      <tp t="e">
        <v>#N/A</v>
        <stp/>
        <stp>BDH|2833863784420941416</stp>
        <tr r="O162" s="18"/>
      </tp>
      <tp t="e">
        <v>#N/A</v>
        <stp/>
        <stp>BDH|2748702420688654933</stp>
        <tr r="D61" s="11"/>
        <tr r="D69" s="10"/>
        <tr r="D20" s="7"/>
      </tp>
      <tp t="e">
        <v>#N/A</v>
        <stp/>
        <stp>BDH|4184539830644479046</stp>
        <tr r="Y13" s="10"/>
      </tp>
      <tp t="e">
        <v>#N/A</v>
        <stp/>
        <stp>BDH|7921355854300258787</stp>
        <tr r="J55" s="13"/>
        <tr r="H48" s="11"/>
        <tr r="H56" s="10"/>
        <tr r="H18" s="7"/>
      </tp>
      <tp t="e">
        <v>#N/A</v>
        <stp/>
        <stp>BDH|7441357345365029364</stp>
        <tr r="K46" s="21"/>
      </tp>
      <tp t="e">
        <v>#N/A</v>
        <stp/>
        <stp>BDH|6269577569506975575</stp>
        <tr r="V30" s="5"/>
      </tp>
      <tp t="e">
        <v>#N/A</v>
        <stp/>
        <stp>BDH|1508665290339183108</stp>
        <tr r="G23" s="5"/>
      </tp>
      <tp t="e">
        <v>#N/A</v>
        <stp/>
        <stp>BDH|5733541367640043069</stp>
        <tr r="AA120" s="18"/>
      </tp>
      <tp t="e">
        <v>#N/A</v>
        <stp/>
        <stp>BDH|3478757052655280237</stp>
        <tr r="J153" s="18"/>
      </tp>
      <tp t="e">
        <v>#N/A</v>
        <stp/>
        <stp>BDH|4351512265152595307</stp>
        <tr r="P65" s="34"/>
      </tp>
      <tp t="e">
        <v>#N/A</v>
        <stp/>
        <stp>BDH|8491855893309175610</stp>
        <tr r="G76" s="18"/>
      </tp>
      <tp t="e">
        <v>#N/A</v>
        <stp/>
        <stp>BDH|6175304011157710558</stp>
        <tr r="J21" s="3"/>
      </tp>
      <tp t="e">
        <v>#N/A</v>
        <stp/>
        <stp>BDH|3241350018865472291</stp>
        <tr r="R66" s="21"/>
      </tp>
      <tp t="e">
        <v>#N/A</v>
        <stp/>
        <stp>BDH|6067625195539487614</stp>
        <tr r="Q43" s="21"/>
      </tp>
      <tp t="e">
        <v>#N/A</v>
        <stp/>
        <stp>BDH|4879583694429480722</stp>
        <tr r="P16" s="23"/>
      </tp>
      <tp t="e">
        <v>#N/A</v>
        <stp/>
        <stp>BDH|4225545910930216665</stp>
        <tr r="D12" s="21"/>
      </tp>
      <tp t="e">
        <v>#N/A</v>
        <stp/>
        <stp>BDH|4518850584064590632</stp>
        <tr r="G62" s="10"/>
      </tp>
      <tp t="e">
        <v>#N/A</v>
        <stp/>
        <stp>BDH|7156761707176410069</stp>
        <tr r="D88" s="17"/>
      </tp>
      <tp t="e">
        <v>#N/A</v>
        <stp/>
        <stp>BDH|8095869405492103409</stp>
        <tr r="J59" s="24"/>
      </tp>
      <tp t="e">
        <v>#N/A</v>
        <stp/>
        <stp>BDH|4024904916419098347</stp>
        <tr r="V50" s="6"/>
        <tr r="X10" s="8"/>
      </tp>
      <tp t="e">
        <v>#N/A</v>
        <stp/>
        <stp>BDH|2742765191238198236</stp>
        <tr r="O29" s="9"/>
      </tp>
      <tp t="e">
        <v>#N/A</v>
        <stp/>
        <stp>BDH|7806522365785487791</stp>
        <tr r="X38" s="12"/>
      </tp>
      <tp t="e">
        <v>#N/A</v>
        <stp/>
        <stp>BDH|8293573207769935291</stp>
        <tr r="E109" s="12"/>
      </tp>
      <tp t="e">
        <v>#N/A</v>
        <stp/>
        <stp>BDH|6471397069183671609</stp>
        <tr r="Y31" s="13"/>
        <tr r="W27" s="10"/>
      </tp>
      <tp t="e">
        <v>#N/A</v>
        <stp/>
        <stp>BDH|3670637507545995692</stp>
        <tr r="R18" s="27"/>
        <tr r="R32" s="25"/>
      </tp>
      <tp t="e">
        <v>#N/A</v>
        <stp/>
        <stp>BDH|3240678580058155367</stp>
        <tr r="R17" s="10"/>
      </tp>
      <tp t="e">
        <v>#N/A</v>
        <stp/>
        <stp>BDH|9941199084546554033</stp>
        <tr r="K11" s="7"/>
      </tp>
      <tp t="e">
        <v>#N/A</v>
        <stp/>
        <stp>BDH|7642598960871524388</stp>
        <tr r="G7" s="21"/>
      </tp>
      <tp t="e">
        <v>#N/A</v>
        <stp/>
        <stp>BDH|5709344443990789444</stp>
        <tr r="P77" s="12"/>
      </tp>
      <tp t="e">
        <v>#N/A</v>
        <stp/>
        <stp>BDH|1903776409604463406</stp>
        <tr r="V58" s="24"/>
      </tp>
      <tp t="e">
        <v>#N/A</v>
        <stp/>
        <stp>BDH|3685778290448407364</stp>
        <tr r="G20" s="18"/>
      </tp>
      <tp t="e">
        <v>#N/A</v>
        <stp/>
        <stp>BDH|4708143807723403034</stp>
        <tr r="I22" s="22"/>
      </tp>
      <tp t="e">
        <v>#N/A</v>
        <stp/>
        <stp>BDH|5781868432528465043</stp>
        <tr r="E104" s="18"/>
      </tp>
      <tp t="e">
        <v>#N/A</v>
        <stp/>
        <stp>BDH|4890764960282556189</stp>
        <tr r="K9" s="29"/>
      </tp>
      <tp t="e">
        <v>#N/A</v>
        <stp/>
        <stp>BDH|1266275219345972164</stp>
        <tr r="U24" s="12"/>
      </tp>
      <tp t="e">
        <v>#N/A</v>
        <stp/>
        <stp>BDH|3028621346022215551</stp>
        <tr r="S31" s="17"/>
      </tp>
      <tp t="e">
        <v>#N/A</v>
        <stp/>
        <stp>BDH|8769174083170110711</stp>
        <tr r="S71" s="17"/>
      </tp>
      <tp t="e">
        <v>#N/A</v>
        <stp/>
        <stp>BDH|1661233769073857072</stp>
        <tr r="O90" s="12"/>
      </tp>
      <tp t="e">
        <v>#N/A</v>
        <stp/>
        <stp>BDH|5404497995026818834</stp>
        <tr r="U49" s="24"/>
      </tp>
      <tp t="e">
        <v>#N/A</v>
        <stp/>
        <stp>BDH|2804002545953786391</stp>
        <tr r="R38" s="26"/>
      </tp>
      <tp t="e">
        <v>#N/A</v>
        <stp/>
        <stp>BDH|3523921394085994098</stp>
        <tr r="W16" s="26"/>
      </tp>
      <tp t="e">
        <v>#N/A</v>
        <stp/>
        <stp>BDH|5580418451072067063</stp>
        <tr r="T18" s="6"/>
      </tp>
      <tp t="e">
        <v>#N/A</v>
        <stp/>
        <stp>BDH|4049079264833840784</stp>
        <tr r="G32" s="26"/>
      </tp>
      <tp t="e">
        <v>#N/A</v>
        <stp/>
        <stp>BDH|3796790668937676330</stp>
        <tr r="V16" s="14"/>
      </tp>
      <tp t="e">
        <v>#N/A</v>
        <stp/>
        <stp>BDH|4818542116417181188</stp>
        <tr r="I35" s="34"/>
      </tp>
      <tp t="e">
        <v>#N/A</v>
        <stp/>
        <stp>BDH|1234093402992382596</stp>
        <tr r="F16" s="18"/>
      </tp>
      <tp t="e">
        <v>#N/A</v>
        <stp/>
        <stp>BDH|7527129703571587120</stp>
        <tr r="N9" s="26"/>
      </tp>
      <tp t="e">
        <v>#N/A</v>
        <stp/>
        <stp>BDH|9653652874246227861</stp>
        <tr r="N11" s="14"/>
      </tp>
      <tp t="e">
        <v>#N/A</v>
        <stp/>
        <stp>BDH|1585001322282295764</stp>
        <tr r="J62" s="18"/>
      </tp>
      <tp t="e">
        <v>#N/A</v>
        <stp/>
        <stp>BDH|7470401971296345459</stp>
        <tr r="O6" s="28"/>
      </tp>
      <tp t="e">
        <v>#N/A</v>
        <stp/>
        <stp>BDH|5659027842506767128</stp>
        <tr r="U23" s="23"/>
      </tp>
      <tp t="e">
        <v>#N/A</v>
        <stp/>
        <stp>BDH|9679799447384823836</stp>
        <tr r="G42" s="34"/>
      </tp>
      <tp t="e">
        <v>#N/A</v>
        <stp/>
        <stp>BDH|1404132705742353428</stp>
        <tr r="W76" s="24"/>
      </tp>
      <tp t="e">
        <v>#N/A</v>
        <stp/>
        <stp>BDH|8120756726399863299</stp>
        <tr r="T11" s="6"/>
      </tp>
      <tp t="e">
        <v>#N/A</v>
        <stp/>
        <stp>BDH|2334561875703353508</stp>
        <tr r="E55" s="18"/>
      </tp>
      <tp t="e">
        <v>#N/A</v>
        <stp/>
        <stp>BDH|2982471965271123791</stp>
        <tr r="M21" s="27"/>
      </tp>
      <tp t="e">
        <v>#N/A</v>
        <stp/>
        <stp>BDH|3589252743116367535</stp>
        <tr r="W57" s="34"/>
      </tp>
      <tp t="e">
        <v>#N/A</v>
        <stp/>
        <stp>BDH|4262669940746039670</stp>
        <tr r="C62" s="13"/>
      </tp>
      <tp t="e">
        <v>#N/A</v>
        <stp/>
        <stp>BDH|1478914190023300458</stp>
        <tr r="C32" s="12"/>
      </tp>
      <tp t="e">
        <v>#N/A</v>
        <stp/>
        <stp>BDH|1924146659725400639</stp>
        <tr r="U18" s="25"/>
      </tp>
      <tp t="e">
        <v>#N/A</v>
        <stp/>
        <stp>BDH|4182315114628421833</stp>
        <tr r="Q170" s="18"/>
      </tp>
      <tp t="e">
        <v>#N/A</v>
        <stp/>
        <stp>BDH|1063774541816314261</stp>
        <tr r="J58" s="12"/>
      </tp>
      <tp t="e">
        <v>#N/A</v>
        <stp/>
        <stp>BDH|1980666265472039593</stp>
        <tr r="D18" s="20"/>
      </tp>
      <tp t="e">
        <v>#N/A</v>
        <stp/>
        <stp>BDH|6091715966458101952</stp>
        <tr r="D44" s="18"/>
      </tp>
      <tp t="e">
        <v>#N/A</v>
        <stp/>
        <stp>BDH|1189230149565040483</stp>
        <tr r="J131" s="18"/>
      </tp>
      <tp t="e">
        <v>#N/A</v>
        <stp/>
        <stp>BDH|3528755637336665728</stp>
        <tr r="Q37" s="18"/>
      </tp>
      <tp t="e">
        <v>#N/A</v>
        <stp/>
        <stp>BDH|3515634247885666241</stp>
        <tr r="Z95" s="18"/>
      </tp>
      <tp t="e">
        <v>#N/A</v>
        <stp/>
        <stp>BDH|5009628167456174571</stp>
        <tr r="R25" s="27"/>
      </tp>
      <tp t="e">
        <v>#N/A</v>
        <stp/>
        <stp>BDH|8347367136588385634</stp>
        <tr r="G40" s="13"/>
        <tr r="E28" s="11"/>
        <tr r="E36" s="10"/>
      </tp>
      <tp t="e">
        <v>#N/A</v>
        <stp/>
        <stp>BDH|8715237107834151816</stp>
        <tr r="I45" s="13"/>
      </tp>
      <tp t="e">
        <v>#N/A</v>
        <stp/>
        <stp>BDH|3886146620136962064</stp>
        <tr r="H90" s="17"/>
        <tr r="H34" s="25"/>
      </tp>
      <tp t="e">
        <v>#N/A</v>
        <stp/>
        <stp>BDH|4791309551705381163</stp>
        <tr r="X65" s="17"/>
      </tp>
      <tp t="e">
        <v>#N/A</v>
        <stp/>
        <stp>BDH|3919260305861802615</stp>
        <tr r="K87" s="12"/>
      </tp>
      <tp t="e">
        <v>#N/A</v>
        <stp/>
        <stp>BDH|6548980974138298680</stp>
        <tr r="K83" s="17"/>
      </tp>
      <tp t="e">
        <v>#N/A</v>
        <stp/>
        <stp>BDH|3120377770039698833</stp>
        <tr r="O12" s="27"/>
        <tr r="O26" s="25"/>
      </tp>
      <tp t="e">
        <v>#N/A</v>
        <stp/>
        <stp>BDH|3322695974792862658</stp>
        <tr r="X49" s="12"/>
      </tp>
      <tp t="e">
        <v>#N/A</v>
        <stp/>
        <stp>BDH|5765138012900494310</stp>
        <tr r="I49" s="21"/>
      </tp>
      <tp t="e">
        <v>#N/A</v>
        <stp/>
        <stp>BDH|7431711547071251339</stp>
        <tr r="U41" s="17"/>
      </tp>
      <tp t="e">
        <v>#N/A</v>
        <stp/>
        <stp>BDH|9171871004914749365</stp>
        <tr r="T175" s="18"/>
      </tp>
      <tp t="e">
        <v>#N/A</v>
        <stp/>
        <stp>BDH|8306807385718523633</stp>
        <tr r="G19" s="34"/>
      </tp>
      <tp t="e">
        <v>#N/A</v>
        <stp/>
        <stp>BDH|9694999194609815636</stp>
        <tr r="H18" s="6"/>
      </tp>
      <tp t="e">
        <v>#N/A</v>
        <stp/>
        <stp>BDH|8137155833708294459</stp>
        <tr r="F15" s="11"/>
      </tp>
      <tp t="e">
        <v>#N/A</v>
        <stp/>
        <stp>BDH|8325016933754942986</stp>
        <tr r="U45" s="18"/>
      </tp>
      <tp t="e">
        <v>#N/A</v>
        <stp/>
        <stp>BDH|9696071293900052624</stp>
        <tr r="J123" s="18"/>
      </tp>
      <tp t="e">
        <v>#N/A</v>
        <stp/>
        <stp>BDH|5742655672454413644</stp>
        <tr r="X34" s="22"/>
      </tp>
      <tp t="e">
        <v>#N/A</v>
        <stp/>
        <stp>BDH|5136053916075274707</stp>
        <tr r="K13" s="27"/>
        <tr r="K27" s="25"/>
      </tp>
      <tp t="e">
        <v>#N/A</v>
        <stp/>
        <stp>BDH|7962665734417958322</stp>
        <tr r="Z102" s="12"/>
      </tp>
      <tp t="e">
        <v>#N/A</v>
        <stp/>
        <stp>BDH|4479073575025339054</stp>
        <tr r="E65" s="17"/>
      </tp>
      <tp t="e">
        <v>#N/A</v>
        <stp/>
        <stp>BDH|6034738517564095244</stp>
        <tr r="J12" s="25"/>
      </tp>
      <tp t="e">
        <v>#N/A</v>
        <stp/>
        <stp>BDH|5406606107222649753</stp>
        <tr r="Y44" s="18"/>
      </tp>
      <tp t="e">
        <v>#N/A</v>
        <stp/>
        <stp>BDH|9409845062207549671</stp>
        <tr r="R107" s="12"/>
      </tp>
      <tp t="e">
        <v>#N/A</v>
        <stp/>
        <stp>BDH|6932194075056559000</stp>
        <tr r="G25" s="24"/>
      </tp>
      <tp t="e">
        <v>#N/A</v>
        <stp/>
        <stp>BDH|4592561436546785220</stp>
        <tr r="U13" s="27"/>
        <tr r="U27" s="25"/>
      </tp>
      <tp t="e">
        <v>#N/A</v>
        <stp/>
        <stp>BDH|5863784485384443810</stp>
        <tr r="U22" s="27"/>
      </tp>
      <tp t="e">
        <v>#N/A</v>
        <stp/>
        <stp>BDH|9107146476031032831</stp>
        <tr r="O46" s="6"/>
      </tp>
      <tp t="e">
        <v>#N/A</v>
        <stp/>
        <stp>BDH|8431434022688261073</stp>
        <tr r="C132" s="18"/>
      </tp>
      <tp t="e">
        <v>#N/A</v>
        <stp/>
        <stp>BDH|2408296159762631125</stp>
        <tr r="H6" s="6"/>
      </tp>
      <tp t="e">
        <v>#N/A</v>
        <stp/>
        <stp>BDH|2024923830668571677</stp>
        <tr r="V11" s="6"/>
      </tp>
      <tp t="e">
        <v>#N/A</v>
        <stp/>
        <stp>BDH|1171911079050885918</stp>
        <tr r="T46" s="22"/>
      </tp>
      <tp t="e">
        <v>#N/A</v>
        <stp/>
        <stp>BDH|1358452432110615021</stp>
        <tr r="E25" s="21"/>
      </tp>
      <tp t="e">
        <v>#N/A</v>
        <stp/>
        <stp>BDH|7704697259977754502</stp>
        <tr r="F55" s="6"/>
      </tp>
      <tp t="e">
        <v>#N/A</v>
        <stp/>
        <stp>BDH|7227498840702845330</stp>
        <tr r="AA74" s="17"/>
      </tp>
      <tp t="e">
        <v>#N/A</v>
        <stp/>
        <stp>BDH|1597605726633270015</stp>
        <tr r="S15" s="10"/>
      </tp>
      <tp t="e">
        <v>#N/A</v>
        <stp/>
        <stp>BDH|2447417317543593277</stp>
        <tr r="W63" s="17"/>
      </tp>
      <tp t="e">
        <v>#N/A</v>
        <stp/>
        <stp>BDH|8689836162230267052</stp>
        <tr r="D23" s="26"/>
      </tp>
      <tp t="e">
        <v>#N/A</v>
        <stp/>
        <stp>BDH|3416317464839621977</stp>
        <tr r="W45" s="21"/>
      </tp>
      <tp t="e">
        <v>#N/A</v>
        <stp/>
        <stp>BDH|4523100074062417658</stp>
        <tr r="G48" s="24"/>
      </tp>
      <tp t="e">
        <v>#N/A</v>
        <stp/>
        <stp>BDH|4555566270648006838</stp>
        <tr r="W64" s="21"/>
        <tr r="U23" s="7"/>
      </tp>
      <tp t="e">
        <v>#N/A</v>
        <stp/>
        <stp>BDH|8653838626716636254</stp>
        <tr r="Y78" s="12"/>
      </tp>
      <tp t="e">
        <v>#N/A</v>
        <stp/>
        <stp>BDH|2633787940921745694</stp>
        <tr r="U27" s="21"/>
      </tp>
      <tp t="e">
        <v>#N/A</v>
        <stp/>
        <stp>BDH|3240155958219895877</stp>
        <tr r="M55" s="11"/>
      </tp>
      <tp t="e">
        <v>#N/A</v>
        <stp/>
        <stp>BDH|7223476406044598160</stp>
        <tr r="E8" s="27"/>
      </tp>
      <tp t="e">
        <v>#N/A</v>
        <stp/>
        <stp>BDH|7199106311750408144</stp>
        <tr r="N49" s="24"/>
      </tp>
      <tp t="e">
        <v>#N/A</v>
        <stp/>
        <stp>BDH|1759010743414292774</stp>
        <tr r="L15" s="17"/>
        <tr r="L18" s="28"/>
      </tp>
      <tp t="e">
        <v>#N/A</v>
        <stp/>
        <stp>BDH|4434644983838739443</stp>
        <tr r="Z27" s="12"/>
      </tp>
      <tp t="e">
        <v>#N/A</v>
        <stp/>
        <stp>BDH|5030831972824029817</stp>
        <tr r="F19" s="18"/>
      </tp>
      <tp t="e">
        <v>#N/A</v>
        <stp/>
        <stp>BDH|4937936354658752699</stp>
        <tr r="G26" s="22"/>
      </tp>
      <tp t="e">
        <v>#N/A</v>
        <stp/>
        <stp>BDH|8551675444699342543</stp>
        <tr r="J31" s="18"/>
      </tp>
      <tp t="e">
        <v>#N/A</v>
        <stp/>
        <stp>BDH|4931425014502927571</stp>
        <tr r="C43" s="12"/>
      </tp>
      <tp t="e">
        <v>#N/A</v>
        <stp/>
        <stp>BDH|6875612737515905060</stp>
        <tr r="AA43" s="12"/>
      </tp>
      <tp t="e">
        <v>#N/A</v>
        <stp/>
        <stp>BDH|3426983271953881840</stp>
        <tr r="K22" s="9"/>
      </tp>
      <tp t="e">
        <v>#N/A</v>
        <stp/>
        <stp>BDH|6341330051486648064</stp>
        <tr r="T18" s="21"/>
        <tr r="R23" s="2"/>
        <tr r="T23" s="3"/>
      </tp>
      <tp t="e">
        <v>#N/A</v>
        <stp/>
        <stp>BDH|5857818180966853501</stp>
        <tr r="O27" s="7"/>
      </tp>
      <tp t="e">
        <v>#N/A</v>
        <stp/>
        <stp>BDH|7166000956635382158</stp>
        <tr r="Z13" s="17"/>
        <tr r="Z16" s="28"/>
      </tp>
      <tp t="e">
        <v>#N/A</v>
        <stp/>
        <stp>BDH|2331884841631902921</stp>
        <tr r="P56" s="13"/>
      </tp>
      <tp t="e">
        <v>#N/A</v>
        <stp/>
        <stp>BDH|1155095949121979295</stp>
        <tr r="C87" s="12"/>
      </tp>
      <tp t="e">
        <v>#N/A</v>
        <stp/>
        <stp>BDH|4802784222357076033</stp>
        <tr r="G48" s="6"/>
        <tr r="I6" s="8"/>
      </tp>
      <tp t="e">
        <v>#N/A</v>
        <stp/>
        <stp>BDH|3919372769634538433</stp>
        <tr r="X10" s="24"/>
      </tp>
      <tp t="e">
        <v>#N/A</v>
        <stp/>
        <stp>BDH|7844919383412345288</stp>
        <tr r="Z21" s="18"/>
      </tp>
      <tp t="e">
        <v>#N/A</v>
        <stp/>
        <stp>BDH|7523654013620068623</stp>
        <tr r="O65" s="34"/>
      </tp>
      <tp t="e">
        <v>#N/A</v>
        <stp/>
        <stp>BDH|6646288591742673988</stp>
        <tr r="R32" s="26"/>
      </tp>
      <tp t="e">
        <v>#N/A</v>
        <stp/>
        <stp>BDH|1423481908051258272</stp>
        <tr r="K7" s="30"/>
      </tp>
      <tp t="e">
        <v>#N/A</v>
        <stp/>
        <stp>BDH|8309075987410433666</stp>
        <tr r="U62" s="13"/>
        <tr r="S49" s="11"/>
        <tr r="S57" s="10"/>
        <tr r="S19" s="7"/>
        <tr r="S18" s="4"/>
        <tr r="S20" s="2"/>
      </tp>
      <tp t="e">
        <v>#N/A</v>
        <stp/>
        <stp>BDH|3429568055224345158</stp>
        <tr r="E92" s="18"/>
      </tp>
      <tp t="e">
        <v>#N/A</v>
        <stp/>
        <stp>BDH|7894887581974069505</stp>
        <tr r="Q66" s="10"/>
      </tp>
      <tp t="e">
        <v>#N/A</v>
        <stp/>
        <stp>BDH|6359788634111804568</stp>
        <tr r="X34" s="13"/>
        <tr r="V30" s="10"/>
      </tp>
      <tp t="e">
        <v>#N/A</v>
        <stp/>
        <stp>BDH|6558514649360913157</stp>
        <tr r="Q55" s="17"/>
      </tp>
      <tp t="e">
        <v>#N/A</v>
        <stp/>
        <stp>BDH|2804182775016406404</stp>
        <tr r="L23" s="13"/>
      </tp>
      <tp t="e">
        <v>#N/A</v>
        <stp/>
        <stp>BDH|4029431723482122603</stp>
        <tr r="O43" s="18"/>
      </tp>
      <tp t="e">
        <v>#N/A</v>
        <stp/>
        <stp>BDH|4670309340194308149</stp>
        <tr r="C71" s="24"/>
      </tp>
      <tp t="e">
        <v>#N/A</v>
        <stp/>
        <stp>BDH|2747237931527741234</stp>
        <tr r="W11" s="9"/>
      </tp>
      <tp t="e">
        <v>#N/A</v>
        <stp/>
        <stp>BDH|2188074542472283276</stp>
        <tr r="D36" s="18"/>
      </tp>
      <tp t="e">
        <v>#N/A</v>
        <stp/>
        <stp>BDH|5587775480474544864</stp>
        <tr r="W117" s="18"/>
      </tp>
      <tp t="e">
        <v>#N/A</v>
        <stp/>
        <stp>BDH|7646433344599723879</stp>
        <tr r="Y41" s="22"/>
      </tp>
      <tp t="e">
        <v>#N/A</v>
        <stp/>
        <stp>BDH|6700779041225324631</stp>
        <tr r="W7" s="34"/>
      </tp>
      <tp t="e">
        <v>#N/A</v>
        <stp/>
        <stp>BDH|1954645929950575306</stp>
        <tr r="D43" s="21"/>
      </tp>
      <tp t="e">
        <v>#N/A</v>
        <stp/>
        <stp>BDH|4928970712292831858</stp>
        <tr r="V10" s="30"/>
      </tp>
      <tp t="e">
        <v>#N/A</v>
        <stp/>
        <stp>BDH|3235500256196092350</stp>
        <tr r="K19" s="9"/>
      </tp>
      <tp t="e">
        <v>#N/A</v>
        <stp/>
        <stp>BDH|3043694631249984900</stp>
        <tr r="J33" s="13"/>
        <tr r="H29" s="10"/>
      </tp>
      <tp t="e">
        <v>#N/A</v>
        <stp/>
        <stp>BDH|8058038778199351093</stp>
        <tr r="N52" s="21"/>
      </tp>
      <tp t="e">
        <v>#N/A</v>
        <stp/>
        <stp>BDH|4482565462856282737</stp>
        <tr r="K34" s="21"/>
      </tp>
      <tp t="e">
        <v>#N/A</v>
        <stp/>
        <stp>BDH|1989750303383610380</stp>
        <tr r="Q19" s="6"/>
      </tp>
      <tp t="e">
        <v>#N/A</v>
        <stp/>
        <stp>BDH|6646396431668968868</stp>
        <tr r="H35" s="26"/>
      </tp>
      <tp t="e">
        <v>#N/A</v>
        <stp/>
        <stp>BDH|7087237824735452427</stp>
        <tr r="N32" s="21"/>
      </tp>
      <tp t="e">
        <v>#N/A</v>
        <stp/>
        <stp>BDH|7242222064694282172</stp>
        <tr r="V58" s="17"/>
      </tp>
      <tp t="e">
        <v>#N/A</v>
        <stp/>
        <stp>BDH|5796461221187877294</stp>
        <tr r="AA20" s="22"/>
      </tp>
      <tp t="e">
        <v>#N/A</v>
        <stp/>
        <stp>BDH|3352054023924145351</stp>
        <tr r="X68" s="34"/>
      </tp>
      <tp t="e">
        <v>#N/A</v>
        <stp/>
        <stp>BDH|5496142034630188148</stp>
        <tr r="V60" s="12"/>
      </tp>
      <tp t="e">
        <v>#N/A</v>
        <stp/>
        <stp>BDH|2382056098194861974</stp>
        <tr r="Y62" s="13"/>
        <tr r="W57" s="10"/>
        <tr r="W49" s="11"/>
        <tr r="W19" s="7"/>
        <tr r="W20" s="2"/>
        <tr r="W18" s="4"/>
      </tp>
      <tp t="e">
        <v>#N/A</v>
        <stp/>
        <stp>BDH|9817293058541186993</stp>
        <tr r="E12" s="21"/>
      </tp>
      <tp t="e">
        <v>#N/A</v>
        <stp/>
        <stp>BDH|9484802955362801085</stp>
        <tr r="O72" s="12"/>
      </tp>
      <tp t="e">
        <v>#N/A</v>
        <stp/>
        <stp>BDH|8288438410709919299</stp>
        <tr r="S60" s="13"/>
      </tp>
      <tp t="e">
        <v>#N/A</v>
        <stp/>
        <stp>BDH|2891406537230876365</stp>
        <tr r="F31" s="12"/>
      </tp>
      <tp t="e">
        <v>#N/A</v>
        <stp/>
        <stp>BDH|7855502577753664089</stp>
        <tr r="S10" s="12"/>
      </tp>
      <tp t="e">
        <v>#N/A</v>
        <stp/>
        <stp>BDH|7494063990110404874</stp>
        <tr r="T12" s="25"/>
      </tp>
      <tp t="e">
        <v>#N/A</v>
        <stp/>
        <stp>BDH|3796432100424420513</stp>
        <tr r="S30" s="6"/>
      </tp>
      <tp t="e">
        <v>#N/A</v>
        <stp/>
        <stp>BDH|4995656642532905264</stp>
        <tr r="E130" s="18"/>
      </tp>
      <tp t="e">
        <v>#N/A</v>
        <stp/>
        <stp>BDH|5308335795091033848</stp>
        <tr r="E27" s="21"/>
      </tp>
      <tp t="e">
        <v>#N/A</v>
        <stp/>
        <stp>BDH|6582976920419539267</stp>
        <tr r="V76" s="17"/>
        <tr r="S9" s="9"/>
        <tr r="S9" s="5"/>
      </tp>
      <tp t="e">
        <v>#N/A</v>
        <stp/>
        <stp>BDH|1221386928152449400</stp>
        <tr r="Y67" s="17"/>
        <tr r="Y18" s="3"/>
      </tp>
      <tp t="e">
        <v>#N/A</v>
        <stp/>
        <stp>BDH|6458114000085521462</stp>
        <tr r="M30" s="9"/>
      </tp>
      <tp t="e">
        <v>#N/A</v>
        <stp/>
        <stp>BDH|8214983120627904255</stp>
        <tr r="N24" s="20"/>
      </tp>
      <tp t="e">
        <v>#N/A</v>
        <stp/>
        <stp>BDH|8107524065958847589</stp>
        <tr r="U24" s="13"/>
      </tp>
      <tp t="e">
        <v>#N/A</v>
        <stp/>
        <stp>BDH|4703165140992158569</stp>
        <tr r="Y13" s="27"/>
        <tr r="Y27" s="25"/>
      </tp>
      <tp t="e">
        <v>#N/A</v>
        <stp/>
        <stp>BDH|1046070810440057615</stp>
        <tr r="U59" s="21"/>
        <tr r="S54" s="11"/>
      </tp>
      <tp t="e">
        <v>#N/A</v>
        <stp/>
        <stp>BDH|1517246837922490447</stp>
        <tr r="I24" s="23"/>
        <tr r="I21" s="30"/>
      </tp>
      <tp t="e">
        <v>#N/A</v>
        <stp/>
        <stp>BDH|8641430574684424930</stp>
        <tr r="S170" s="18"/>
      </tp>
      <tp t="e">
        <v>#N/A</v>
        <stp/>
        <stp>BDH|8806187755603112923</stp>
        <tr r="D60" s="34"/>
      </tp>
      <tp t="e">
        <v>#N/A</v>
        <stp/>
        <stp>BDH|9005542156498400705</stp>
        <tr r="H41" s="21"/>
      </tp>
      <tp t="e">
        <v>#N/A</v>
        <stp/>
        <stp>BDH|4985641784994735880</stp>
        <tr r="H76" s="12"/>
      </tp>
      <tp t="e">
        <v>#N/A</v>
        <stp/>
        <stp>BDH|7549345360703706704</stp>
        <tr r="U24" s="29"/>
      </tp>
      <tp t="e">
        <v>#N/A</v>
        <stp/>
        <stp>BDH|4502187052065819314</stp>
        <tr r="X26" s="24"/>
      </tp>
      <tp t="e">
        <v>#N/A</v>
        <stp/>
        <stp>BDH|5567800543339613661</stp>
        <tr r="J13" s="13"/>
      </tp>
      <tp t="e">
        <v>#N/A</v>
        <stp/>
        <stp>BDH|8359341891935290121</stp>
        <tr r="U44" s="17"/>
      </tp>
      <tp t="e">
        <v>#N/A</v>
        <stp/>
        <stp>BDH|7670250072645669112</stp>
        <tr r="S60" s="17"/>
      </tp>
      <tp t="e">
        <v>#N/A</v>
        <stp/>
        <stp>BDH|2644819842660075839</stp>
        <tr r="K80" s="18"/>
      </tp>
      <tp t="e">
        <v>#N/A</v>
        <stp/>
        <stp>BDH|6461703903512426557</stp>
        <tr r="Z13" s="21"/>
      </tp>
      <tp t="e">
        <v>#N/A</v>
        <stp/>
        <stp>BDH|1691959691095566213</stp>
        <tr r="Z11" s="20"/>
        <tr r="Z112" s="18"/>
      </tp>
      <tp t="e">
        <v>#N/A</v>
        <stp/>
        <stp>BDH|6379726263739103853</stp>
        <tr r="C96" s="12"/>
      </tp>
      <tp t="e">
        <v>#N/A</v>
        <stp/>
        <stp>BDH|4908201872302469590</stp>
        <tr r="S21" s="3"/>
      </tp>
      <tp t="e">
        <v>#N/A</v>
        <stp/>
        <stp>BDH|7226933216031062810</stp>
        <tr r="Q38" s="6"/>
        <tr r="Q18" s="5"/>
      </tp>
      <tp t="e">
        <v>#N/A</v>
        <stp/>
        <stp>BDH|4160592051216946465</stp>
        <tr r="K18" s="9"/>
      </tp>
      <tp t="e">
        <v>#N/A</v>
        <stp/>
        <stp>BDH|3662043875381974387</stp>
        <tr r="V49" s="12"/>
      </tp>
      <tp t="e">
        <v>#N/A</v>
        <stp/>
        <stp>BDH|3774021121172743555</stp>
        <tr r="I108" s="12"/>
      </tp>
      <tp t="e">
        <v>#N/A</v>
        <stp/>
        <stp>BDH|1733643808581501083</stp>
        <tr r="K73" s="12"/>
      </tp>
      <tp t="e">
        <v>#N/A</v>
        <stp/>
        <stp>BDH|4522691073780114383</stp>
        <tr r="AA41" s="21"/>
      </tp>
      <tp t="e">
        <v>#N/A</v>
        <stp/>
        <stp>BDH|2472741959160977666</stp>
        <tr r="I21" s="18"/>
      </tp>
      <tp t="e">
        <v>#N/A</v>
        <stp/>
        <stp>BDH|4600359452532322647</stp>
        <tr r="J12" s="18"/>
      </tp>
      <tp t="e">
        <v>#N/A</v>
        <stp/>
        <stp>BDH|5376284375123927519</stp>
        <tr r="F100" s="12"/>
      </tp>
      <tp t="e">
        <v>#N/A</v>
        <stp/>
        <stp>BDH|1978024768411372069</stp>
        <tr r="F19" s="22"/>
      </tp>
      <tp t="e">
        <v>#N/A</v>
        <stp/>
        <stp>BDH|3722348476597009637</stp>
        <tr r="AA15" s="22"/>
      </tp>
      <tp t="e">
        <v>#N/A</v>
        <stp/>
        <stp>BDH|9513044382881108645</stp>
        <tr r="S73" s="12"/>
      </tp>
      <tp t="e">
        <v>#N/A</v>
        <stp/>
        <stp>BDH|2515697014817745492</stp>
        <tr r="I48" s="21"/>
      </tp>
      <tp t="e">
        <v>#N/A</v>
        <stp/>
        <stp>BDH|2064236911332735538</stp>
        <tr r="D31" s="26"/>
      </tp>
      <tp t="e">
        <v>#N/A</v>
        <stp/>
        <stp>BDH|5503255467696704168</stp>
        <tr r="D7" s="4"/>
      </tp>
      <tp t="e">
        <v>#N/A</v>
        <stp/>
        <stp>BDH|9554732774957356876</stp>
        <tr r="L26" s="12"/>
      </tp>
      <tp t="e">
        <v>#N/A</v>
        <stp/>
        <stp>BDH|2179905574309042338</stp>
        <tr r="Q10" s="8"/>
        <tr r="O50" s="6"/>
      </tp>
      <tp t="e">
        <v>#N/A</v>
        <stp/>
        <stp>BDH|7619030700943528266</stp>
        <tr r="W9" s="29"/>
      </tp>
      <tp t="e">
        <v>#N/A</v>
        <stp/>
        <stp>BDH|5871699957118507853</stp>
        <tr r="F72" s="18"/>
      </tp>
      <tp t="e">
        <v>#N/A</v>
        <stp/>
        <stp>BDH|6672343771640798427</stp>
        <tr r="P20" s="29"/>
      </tp>
      <tp t="e">
        <v>#N/A</v>
        <stp/>
        <stp>BDH|5357441929975931011</stp>
        <tr r="Y43" s="11"/>
        <tr r="Y15" s="7"/>
        <tr r="Y51" s="10"/>
      </tp>
      <tp t="e">
        <v>#N/A</v>
        <stp/>
        <stp>BDH|1993095616563579551</stp>
        <tr r="P9" s="13"/>
      </tp>
      <tp t="e">
        <v>#N/A</v>
        <stp/>
        <stp>BDH|4366000537905318411</stp>
        <tr r="U150" s="18"/>
      </tp>
      <tp t="e">
        <v>#N/A</v>
        <stp/>
        <stp>BDH|3554053374116515478</stp>
        <tr r="N12" s="18"/>
      </tp>
      <tp t="e">
        <v>#N/A</v>
        <stp/>
        <stp>BDH|2805635457460998736</stp>
        <tr r="D18" s="13"/>
      </tp>
      <tp t="e">
        <v>#N/A</v>
        <stp/>
        <stp>BDH|7350129533095637621</stp>
        <tr r="N26" s="21"/>
      </tp>
      <tp t="e">
        <v>#N/A</v>
        <stp/>
        <stp>BDH|2603079694824432963</stp>
        <tr r="O37" s="34"/>
      </tp>
      <tp t="e">
        <v>#N/A</v>
        <stp/>
        <stp>BDH|2416246114140205717</stp>
        <tr r="I19" s="6"/>
      </tp>
      <tp t="e">
        <v>#N/A</v>
        <stp/>
        <stp>BDH|6125603906733710576</stp>
        <tr r="M50" s="34"/>
      </tp>
      <tp t="e">
        <v>#N/A</v>
        <stp/>
        <stp>BDH|5257002117462627041</stp>
        <tr r="I74" s="18"/>
      </tp>
      <tp t="e">
        <v>#N/A</v>
        <stp/>
        <stp>BDH|7387240162292193733</stp>
        <tr r="O45" s="17"/>
      </tp>
      <tp t="e">
        <v>#N/A</v>
        <stp/>
        <stp>BDH|4571274500685551500</stp>
        <tr r="R85" s="18"/>
      </tp>
      <tp t="e">
        <v>#N/A</v>
        <stp/>
        <stp>BDH|7691389116836686593</stp>
        <tr r="H54" s="13"/>
      </tp>
      <tp t="e">
        <v>#N/A</v>
        <stp/>
        <stp>BDH|8217112873381506923</stp>
        <tr r="M31" s="24"/>
      </tp>
      <tp t="e">
        <v>#N/A</v>
        <stp/>
        <stp>BDH|2527391657602924055</stp>
        <tr r="H71" s="17"/>
      </tp>
      <tp t="e">
        <v>#N/A</v>
        <stp/>
        <stp>BDH|9130948173359335829</stp>
        <tr r="X28" s="34"/>
      </tp>
      <tp t="e">
        <v>#N/A</v>
        <stp/>
        <stp>BDH|7672600686916582923</stp>
        <tr r="O12" s="12"/>
      </tp>
      <tp t="e">
        <v>#N/A</v>
        <stp/>
        <stp>BDH|5041130663065729103</stp>
        <tr r="D164" s="18"/>
      </tp>
      <tp t="e">
        <v>#N/A</v>
        <stp/>
        <stp>BDH|2216504012040017070</stp>
        <tr r="P28" s="9"/>
        <tr r="P28" s="5"/>
      </tp>
      <tp t="e">
        <v>#N/A</v>
        <stp/>
        <stp>BDH|1667458502873627003</stp>
        <tr r="H163" s="18"/>
      </tp>
      <tp t="e">
        <v>#N/A</v>
        <stp/>
        <stp>BDH|9700036516317566904</stp>
        <tr r="K18" s="17"/>
      </tp>
      <tp t="e">
        <v>#N/A</v>
        <stp/>
        <stp>BDH|5335745888204164895</stp>
        <tr r="H49" s="34"/>
      </tp>
      <tp t="e">
        <v>#N/A</v>
        <stp/>
        <stp>BDH|4824406873557503697</stp>
        <tr r="K38" s="11"/>
        <tr r="K46" s="10"/>
      </tp>
      <tp t="e">
        <v>#N/A</v>
        <stp/>
        <stp>BDH|6683104141656252326</stp>
        <tr r="G86" s="12"/>
      </tp>
      <tp t="e">
        <v>#N/A</v>
        <stp/>
        <stp>BDH|8716126661619080030</stp>
        <tr r="L37" s="34"/>
      </tp>
      <tp t="e">
        <v>#N/A</v>
        <stp/>
        <stp>BDH|5067676254219799932</stp>
        <tr r="G49" s="12"/>
      </tp>
      <tp t="e">
        <v>#N/A</v>
        <stp/>
        <stp>BDH|3170958992161905487</stp>
        <tr r="W46" s="11"/>
        <tr r="W54" s="10"/>
        <tr r="W7" s="7"/>
        <tr r="Y12" s="3"/>
      </tp>
      <tp t="e">
        <v>#N/A</v>
        <stp/>
        <stp>BDH|9714869337776045213</stp>
        <tr r="D160" s="18"/>
      </tp>
      <tp t="e">
        <v>#N/A</v>
        <stp/>
        <stp>BDH|6133745762255591455</stp>
        <tr r="C31" s="17"/>
      </tp>
      <tp t="e">
        <v>#N/A</v>
        <stp/>
        <stp>BDH|6325714854044885696</stp>
        <tr r="D23" s="23"/>
      </tp>
      <tp t="e">
        <v>#N/A</v>
        <stp/>
        <stp>BDH|8211701115039897182</stp>
        <tr r="I8" s="29"/>
        <tr r="I30" s="29"/>
      </tp>
      <tp t="e">
        <v>#N/A</v>
        <stp/>
        <stp>BDH|3120750795538142378</stp>
        <tr r="K67" s="12"/>
      </tp>
      <tp t="e">
        <v>#N/A</v>
        <stp/>
        <stp>BDH|3861508570697913063</stp>
        <tr r="AA173" s="18"/>
      </tp>
      <tp t="e">
        <v>#N/A</v>
        <stp/>
        <stp>BDH|6577368377593605750</stp>
        <tr r="U62" s="17"/>
      </tp>
      <tp t="e">
        <v>#N/A</v>
        <stp/>
        <stp>BDH|3396063230310037627</stp>
        <tr r="Y44" s="22"/>
      </tp>
      <tp t="e">
        <v>#N/A</v>
        <stp/>
        <stp>BDH|2994153978972187026</stp>
        <tr r="C23" s="25"/>
      </tp>
      <tp t="e">
        <v>#N/A</v>
        <stp/>
        <stp>BDH|3864209549794648703</stp>
        <tr r="K59" s="12"/>
      </tp>
      <tp t="e">
        <v>#N/A</v>
        <stp/>
        <stp>BDH|4820922520048463199</stp>
        <tr r="Y104" s="18"/>
      </tp>
      <tp t="e">
        <v>#N/A</v>
        <stp/>
        <stp>BDH|8357339308229794488</stp>
        <tr r="G56" s="24"/>
      </tp>
      <tp t="e">
        <v>#N/A</v>
        <stp/>
        <stp>BDH|7186130314173516279</stp>
        <tr r="C36" s="12"/>
      </tp>
      <tp t="e">
        <v>#N/A</v>
        <stp/>
        <stp>BDH|2527099311024884113</stp>
        <tr r="Z43" s="18"/>
      </tp>
      <tp t="e">
        <v>#N/A</v>
        <stp/>
        <stp>BDH|8604575197613082128</stp>
        <tr r="V26" s="12"/>
      </tp>
      <tp t="e">
        <v>#N/A</v>
        <stp/>
        <stp>BDH|2752433285661451917</stp>
        <tr r="F49" s="4"/>
      </tp>
      <tp t="e">
        <v>#N/A</v>
        <stp/>
        <stp>BDH|1787903121188397411</stp>
        <tr r="Q6" s="8"/>
        <tr r="O48" s="6"/>
      </tp>
      <tp t="e">
        <v>#N/A</v>
        <stp/>
        <stp>BDH|3357147322890098617</stp>
        <tr r="O24" s="17"/>
      </tp>
      <tp t="e">
        <v>#N/A</v>
        <stp/>
        <stp>BDH|4249825932639262045</stp>
        <tr r="O16" s="22"/>
      </tp>
      <tp t="e">
        <v>#N/A</v>
        <stp/>
        <stp>BDH|5441651164694467751</stp>
        <tr r="L52" s="21"/>
      </tp>
      <tp t="e">
        <v>#N/A</v>
        <stp/>
        <stp>BDH|9693114940902020832</stp>
        <tr r="M7" s="14"/>
      </tp>
      <tp t="e">
        <v>#N/A</v>
        <stp/>
        <stp>BDH|8315369745720192951</stp>
        <tr r="E15" s="4"/>
      </tp>
      <tp t="e">
        <v>#N/A</v>
        <stp/>
        <stp>BDH|6855755488537357826</stp>
        <tr r="X85" s="12"/>
      </tp>
      <tp t="e">
        <v>#N/A</v>
        <stp/>
        <stp>BDH|6053241620227927792</stp>
        <tr r="P43" s="4"/>
      </tp>
      <tp t="e">
        <v>#N/A</v>
        <stp/>
        <stp>BDH|7599238314627421523</stp>
        <tr r="S26" s="21"/>
      </tp>
      <tp t="e">
        <v>#N/A</v>
        <stp/>
        <stp>BDH|2784470853941023475</stp>
        <tr r="U24" s="6"/>
      </tp>
      <tp t="e">
        <v>#N/A</v>
        <stp/>
        <stp>BDH|5780102432333602270</stp>
        <tr r="N16" s="25"/>
      </tp>
      <tp t="e">
        <v>#N/A</v>
        <stp/>
        <stp>BDH|6685292712260955304</stp>
        <tr r="M17" s="20"/>
      </tp>
      <tp t="e">
        <v>#N/A</v>
        <stp/>
        <stp>BDH|3798107223486371034</stp>
        <tr r="Q92" s="18"/>
      </tp>
      <tp t="e">
        <v>#N/A</v>
        <stp/>
        <stp>BDH|8491920902302104513</stp>
        <tr r="V56" s="11"/>
        <tr r="V24" s="4"/>
      </tp>
      <tp t="e">
        <v>#N/A</v>
        <stp/>
        <stp>BDH|7314626155093394137</stp>
        <tr r="D7" s="11"/>
      </tp>
      <tp t="e">
        <v>#N/A</v>
        <stp/>
        <stp>BDH|4076251852821435474</stp>
        <tr r="G15" s="13"/>
      </tp>
      <tp t="e">
        <v>#N/A</v>
        <stp/>
        <stp>BDH|3864202799407598900</stp>
        <tr r="U76" s="18"/>
      </tp>
      <tp t="e">
        <v>#N/A</v>
        <stp/>
        <stp>BDH|9277071944978772321</stp>
        <tr r="L56" s="24"/>
      </tp>
      <tp t="e">
        <v>#N/A</v>
        <stp/>
        <stp>BDH|5897141733143231292</stp>
        <tr r="V20" s="24"/>
      </tp>
      <tp t="e">
        <v>#N/A</v>
        <stp/>
        <stp>BDH|8188812436283761656</stp>
        <tr r="Q38" s="22"/>
      </tp>
      <tp t="e">
        <v>#N/A</v>
        <stp/>
        <stp>BDH|4500433963596290637</stp>
        <tr r="Z12" s="13"/>
      </tp>
      <tp t="e">
        <v>#N/A</v>
        <stp/>
        <stp>BDH|6805056427584627689</stp>
        <tr r="X31" s="22"/>
      </tp>
      <tp t="e">
        <v>#N/A</v>
        <stp/>
        <stp>BDH|4891595933401000560</stp>
        <tr r="S33" s="34"/>
      </tp>
      <tp t="e">
        <v>#N/A</v>
        <stp/>
        <stp>BDH|6164358776394162073</stp>
        <tr r="L40" s="24"/>
      </tp>
      <tp t="e">
        <v>#N/A</v>
        <stp/>
        <stp>BDH|6474022701676795641</stp>
        <tr r="G16" s="6"/>
      </tp>
      <tp t="e">
        <v>#N/A</v>
        <stp/>
        <stp>BDH|9082035360198445133</stp>
        <tr r="N21" s="22"/>
      </tp>
      <tp t="e">
        <v>#N/A</v>
        <stp/>
        <stp>BDH|6248642493277375828</stp>
        <tr r="R82" s="17"/>
        <tr r="P6" s="7"/>
        <tr r="R20" s="3"/>
      </tp>
      <tp t="e">
        <v>#N/A</v>
        <stp/>
        <stp>BDH|3337514481259385147</stp>
        <tr r="U22" s="11"/>
      </tp>
      <tp t="e">
        <v>#N/A</v>
        <stp/>
        <stp>BDH|3569729021354449465</stp>
        <tr r="N8" s="22"/>
      </tp>
      <tp t="e">
        <v>#N/A</v>
        <stp/>
        <stp>BDH|4634791609832534774</stp>
        <tr r="Z69" s="12"/>
      </tp>
      <tp t="e">
        <v>#N/A</v>
        <stp/>
        <stp>BDH|9869482784524259729</stp>
        <tr r="V132" s="18"/>
      </tp>
      <tp t="e">
        <v>#N/A</v>
        <stp/>
        <stp>BDH|6386117280059126070</stp>
        <tr r="O86" s="18"/>
      </tp>
      <tp t="e">
        <v>#N/A</v>
        <stp/>
        <stp>BDH|2037341481147473858</stp>
        <tr r="S35" s="22"/>
      </tp>
      <tp t="e">
        <v>#N/A</v>
        <stp/>
        <stp>BDH|1404288846618915973</stp>
        <tr r="S47" s="12"/>
      </tp>
      <tp t="e">
        <v>#N/A</v>
        <stp/>
        <stp>BDH|3386027333416476023</stp>
        <tr r="D50" s="17"/>
      </tp>
      <tp t="e">
        <v>#N/A</v>
        <stp/>
        <stp>BDH|6292071315144325575</stp>
        <tr r="AA14" s="18"/>
      </tp>
      <tp t="e">
        <v>#N/A</v>
        <stp/>
        <stp>BDH|8763527481184465748</stp>
        <tr r="O165" s="18"/>
      </tp>
      <tp t="e">
        <v>#N/A</v>
        <stp/>
        <stp>BDH|1809254378396663460</stp>
        <tr r="E39" s="25"/>
        <tr r="E22" s="13"/>
        <tr r="E7" s="13"/>
        <tr r="C18" s="11"/>
        <tr r="E7" s="3"/>
      </tp>
      <tp t="e">
        <v>#N/A</v>
        <stp/>
        <stp>BDH|4332827894823359038</stp>
        <tr r="X66" s="12"/>
      </tp>
      <tp t="e">
        <v>#N/A</v>
        <stp/>
        <stp>BDH|1897775768315085327</stp>
        <tr r="P21" s="6"/>
      </tp>
      <tp t="e">
        <v>#N/A</v>
        <stp/>
        <stp>BDH|3715652428302840374</stp>
        <tr r="T94" s="17"/>
      </tp>
      <tp t="e">
        <v>#N/A</v>
        <stp/>
        <stp>BDH|3894745948924579241</stp>
        <tr r="U157" s="18"/>
      </tp>
      <tp t="e">
        <v>#N/A</v>
        <stp/>
        <stp>BDH|5466118711054782765</stp>
        <tr r="X16" s="20"/>
      </tp>
      <tp t="e">
        <v>#N/A</v>
        <stp/>
        <stp>BDH|2467106481334680968</stp>
        <tr r="M38" s="12"/>
      </tp>
      <tp t="e">
        <v>#N/A</v>
        <stp/>
        <stp>BDH|7690269190092340867</stp>
        <tr r="J75" s="17"/>
      </tp>
      <tp t="e">
        <v>#N/A</v>
        <stp/>
        <stp>BDH|1349303937582672577</stp>
        <tr r="AA175" s="18"/>
      </tp>
      <tp t="e">
        <v>#N/A</v>
        <stp/>
        <stp>BDH|1442301013413344610</stp>
        <tr r="C69" s="12"/>
      </tp>
      <tp t="e">
        <v>#N/A</v>
        <stp/>
        <stp>BDH|6255167290678567047</stp>
        <tr r="U22" s="22"/>
      </tp>
      <tp t="e">
        <v>#N/A</v>
        <stp/>
        <stp>BDH|6673714250046075421</stp>
        <tr r="S17" s="11"/>
      </tp>
      <tp t="e">
        <v>#N/A</v>
        <stp/>
        <stp>BDH|1376047256774542616</stp>
        <tr r="Z8" s="22"/>
      </tp>
      <tp t="e">
        <v>#N/A</v>
        <stp/>
        <stp>BDH|2350099810612792786</stp>
        <tr r="J22" s="29"/>
        <tr r="J13" s="29"/>
        <tr r="J33" s="29"/>
      </tp>
      <tp t="e">
        <v>#N/A</v>
        <stp/>
        <stp>BDH|5863405559042026045</stp>
        <tr r="D43" s="18"/>
      </tp>
      <tp t="e">
        <v>#N/A</v>
        <stp/>
        <stp>BDH|3747775474903653679</stp>
        <tr r="Y29" s="22"/>
      </tp>
      <tp t="e">
        <v>#N/A</v>
        <stp/>
        <stp>BDH|8945356003209235487</stp>
        <tr r="O40" s="10"/>
        <tr r="O32" s="11"/>
      </tp>
      <tp t="e">
        <v>#N/A</v>
        <stp/>
        <stp>BDH|9499933935445390040</stp>
        <tr r="E19" s="13"/>
        <tr r="C61" s="10"/>
        <tr r="C16" s="2"/>
        <tr r="C32" s="4"/>
      </tp>
      <tp t="e">
        <v>#N/A</v>
        <stp/>
        <stp>BDH|7528818592987025736</stp>
        <tr r="F86" s="17"/>
      </tp>
      <tp t="e">
        <v>#N/A</v>
        <stp/>
        <stp>BDH|2579763839628662892</stp>
        <tr r="V48" s="18"/>
      </tp>
      <tp t="e">
        <v>#N/A</v>
        <stp/>
        <stp>BDH|7054721216372884596</stp>
        <tr r="Z76" s="12"/>
      </tp>
      <tp t="e">
        <v>#N/A</v>
        <stp/>
        <stp>BDH|5898137325242347281</stp>
        <tr r="K55" s="34"/>
      </tp>
      <tp t="e">
        <v>#N/A</v>
        <stp/>
        <stp>BDH|6646536477813628111</stp>
        <tr r="L167" s="18"/>
      </tp>
      <tp t="e">
        <v>#N/A</v>
        <stp/>
        <stp>BDH|9498134673788763164</stp>
        <tr r="H24" s="6"/>
      </tp>
      <tp t="e">
        <v>#N/A</v>
        <stp/>
        <stp>BDH|4011149662373313602</stp>
        <tr r="T59" s="12"/>
      </tp>
      <tp t="e">
        <v>#N/A</v>
        <stp/>
        <stp>BDH|3038830564438573378</stp>
        <tr r="X69" s="18"/>
      </tp>
      <tp t="e">
        <v>#N/A</v>
        <stp/>
        <stp>BDH|9159838085158671743</stp>
        <tr r="N22" s="10"/>
      </tp>
      <tp t="e">
        <v>#N/A</v>
        <stp/>
        <stp>BDH|2967394054842696078</stp>
        <tr r="V99" s="18"/>
      </tp>
      <tp t="e">
        <v>#N/A</v>
        <stp/>
        <stp>BDH|4712868583254531623</stp>
        <tr r="Q44" s="11"/>
        <tr r="Q52" s="10"/>
        <tr r="Q16" s="7"/>
      </tp>
      <tp t="e">
        <v>#N/A</v>
        <stp/>
        <stp>BDH|6103868798457869620</stp>
        <tr r="L177" s="18"/>
      </tp>
      <tp t="e">
        <v>#N/A</v>
        <stp/>
        <stp>BDH|2193081329151451711</stp>
        <tr r="F82" s="18"/>
      </tp>
      <tp t="e">
        <v>#N/A</v>
        <stp/>
        <stp>BDH|8996589284904921796</stp>
        <tr r="V18" s="5"/>
        <tr r="V38" s="6"/>
      </tp>
      <tp t="e">
        <v>#N/A</v>
        <stp/>
        <stp>BDH|7765091019842751257</stp>
        <tr r="J27" s="26"/>
      </tp>
      <tp t="e">
        <v>#N/A</v>
        <stp/>
        <stp>BDH|8425801140880112207</stp>
        <tr r="O21" s="22"/>
      </tp>
      <tp t="e">
        <v>#N/A</v>
        <stp/>
        <stp>BDH|2791132041357530657</stp>
        <tr r="F38" s="17"/>
      </tp>
      <tp t="e">
        <v>#N/A</v>
        <stp/>
        <stp>BDH|2983763153316169082</stp>
        <tr r="X36" s="6"/>
      </tp>
      <tp t="e">
        <v>#N/A</v>
        <stp/>
        <stp>BDH|9453336655161488836</stp>
        <tr r="R13" s="11"/>
      </tp>
      <tp t="e">
        <v>#N/A</v>
        <stp/>
        <stp>BDH|8522568178764732891</stp>
        <tr r="L14" s="28"/>
      </tp>
      <tp t="e">
        <v>#N/A</v>
        <stp/>
        <stp>BDH|6248035407160572068</stp>
        <tr r="AA25" s="13"/>
      </tp>
      <tp t="e">
        <v>#N/A</v>
        <stp/>
        <stp>BDH|3487971082344464002</stp>
        <tr r="V57" s="24"/>
      </tp>
      <tp t="e">
        <v>#N/A</v>
        <stp/>
        <stp>BDH|4173267517734085551</stp>
        <tr r="C21" s="34"/>
      </tp>
      <tp t="e">
        <v>#N/A</v>
        <stp/>
        <stp>BDH|2682693279501368406</stp>
        <tr r="V29" s="9"/>
      </tp>
      <tp t="e">
        <v>#N/A</v>
        <stp/>
        <stp>BDH|3966508348280726430</stp>
        <tr r="D94" s="12"/>
      </tp>
      <tp t="e">
        <v>#N/A</v>
        <stp/>
        <stp>BDH|95976554535642268</stp>
        <tr r="S23" s="17"/>
      </tp>
      <tp t="e">
        <v>#N/A</v>
        <stp/>
        <stp>BDH|44589744328560255</stp>
        <tr r="O10" s="27"/>
        <tr r="O25" s="25"/>
      </tp>
      <tp t="e">
        <v>#N/A</v>
        <stp/>
        <stp>BDH|8450027754113168994</stp>
        <tr r="J14" s="27"/>
        <tr r="J28" s="25"/>
      </tp>
      <tp t="e">
        <v>#N/A</v>
        <stp/>
        <stp>BDH|5991650432305781232</stp>
        <tr r="V40" s="34"/>
      </tp>
      <tp t="e">
        <v>#N/A</v>
        <stp/>
        <stp>BDH|4521607679504210641</stp>
        <tr r="L99" s="18"/>
      </tp>
      <tp t="e">
        <v>#N/A</v>
        <stp/>
        <stp>BDH|1867535726002684318</stp>
        <tr r="Z71" s="17"/>
      </tp>
      <tp t="e">
        <v>#N/A</v>
        <stp/>
        <stp>BDH|7160632319320412754</stp>
        <tr r="F49" s="12"/>
      </tp>
      <tp t="e">
        <v>#N/A</v>
        <stp/>
        <stp>BDH|8955830200696586159</stp>
        <tr r="I49" s="18"/>
      </tp>
      <tp t="e">
        <v>#N/A</v>
        <stp/>
        <stp>BDH|6439957019229250001</stp>
        <tr r="Y11" s="21"/>
      </tp>
      <tp t="e">
        <v>#N/A</v>
        <stp/>
        <stp>BDH|6845169057176309309</stp>
        <tr r="Q53" s="17"/>
        <tr r="Q10" s="25"/>
      </tp>
      <tp t="e">
        <v>#N/A</v>
        <stp/>
        <stp>BDH|4696336042821815552</stp>
        <tr r="K20" s="30"/>
      </tp>
      <tp t="e">
        <v>#N/A</v>
        <stp/>
        <stp>BDH|8242880130975795170</stp>
        <tr r="O47" s="13"/>
      </tp>
      <tp t="e">
        <v>#N/A</v>
        <stp/>
        <stp>BDH|9039834820587176381</stp>
        <tr r="W122" s="18"/>
      </tp>
      <tp t="e">
        <v>#N/A</v>
        <stp/>
        <stp>BDH|8115784358045848836</stp>
        <tr r="H168" s="18"/>
      </tp>
      <tp t="e">
        <v>#N/A</v>
        <stp/>
        <stp>BDH|3849336753110633246</stp>
        <tr r="C41" s="17"/>
      </tp>
      <tp t="e">
        <v>#N/A</v>
        <stp/>
        <stp>BDH|6428409054537984730</stp>
        <tr r="X77" s="24"/>
      </tp>
      <tp t="e">
        <v>#N/A</v>
        <stp/>
        <stp>BDH|6925392658836461167</stp>
        <tr r="P31" s="13"/>
        <tr r="N27" s="10"/>
      </tp>
      <tp t="e">
        <v>#N/A</v>
        <stp/>
        <stp>BDH|7434358971520922435</stp>
        <tr r="G39" s="12"/>
      </tp>
      <tp t="e">
        <v>#N/A</v>
        <stp/>
        <stp>BDH|3259781946917475022</stp>
        <tr r="F62" s="12"/>
      </tp>
      <tp t="e">
        <v>#N/A</v>
        <stp/>
        <stp>BDH|7363683786077289955</stp>
        <tr r="Q64" s="18"/>
      </tp>
      <tp t="e">
        <v>#N/A</v>
        <stp/>
        <stp>BDH|9577567722489993025</stp>
        <tr r="X55" s="24"/>
      </tp>
      <tp t="e">
        <v>#N/A</v>
        <stp/>
        <stp>BDH|3928133613617683355</stp>
        <tr r="W78" s="18"/>
      </tp>
      <tp t="e">
        <v>#N/A</v>
        <stp/>
        <stp>BDH|1087030558782762163</stp>
        <tr r="F41" s="24"/>
      </tp>
      <tp t="e">
        <v>#N/A</v>
        <stp/>
        <stp>BDH|3482205339614249155</stp>
        <tr r="O9" s="26"/>
      </tp>
      <tp t="e">
        <v>#N/A</v>
        <stp/>
        <stp>BDH|1791513432241949171</stp>
        <tr r="J23" s="18"/>
      </tp>
      <tp t="e">
        <v>#N/A</v>
        <stp/>
        <stp>BDH|7860878754164414952</stp>
        <tr r="Z16" s="18"/>
      </tp>
      <tp t="e">
        <v>#N/A</v>
        <stp/>
        <stp>BDH|5869100856053393573</stp>
        <tr r="M14" s="30"/>
      </tp>
      <tp t="e">
        <v>#N/A</v>
        <stp/>
        <stp>BDH|2758191562092326059</stp>
        <tr r="M34" s="21"/>
      </tp>
      <tp t="e">
        <v>#N/A</v>
        <stp/>
        <stp>BDH|2278381667959217950</stp>
        <tr r="U68" s="34"/>
      </tp>
      <tp t="e">
        <v>#N/A</v>
        <stp/>
        <stp>BDH|3060159663322978155</stp>
        <tr r="D61" s="21"/>
      </tp>
      <tp t="e">
        <v>#N/A</v>
        <stp/>
        <stp>BDH|9010682261559423765</stp>
        <tr r="W61" s="17"/>
      </tp>
      <tp t="e">
        <v>#N/A</v>
        <stp/>
        <stp>BDH|2550485709163654295</stp>
        <tr r="L27" s="17"/>
      </tp>
      <tp t="e">
        <v>#N/A</v>
        <stp/>
        <stp>BDH|3255821685566940274</stp>
        <tr r="K56" s="12"/>
      </tp>
      <tp t="e">
        <v>#N/A</v>
        <stp/>
        <stp>BDH|3016614925810654099</stp>
        <tr r="G43" s="21"/>
      </tp>
      <tp t="e">
        <v>#N/A</v>
        <stp/>
        <stp>BDH|6253497147331406031</stp>
        <tr r="W8" s="27"/>
      </tp>
      <tp t="e">
        <v>#N/A</v>
        <stp/>
        <stp>BDH|5548792450597534720</stp>
        <tr r="X26" s="12"/>
      </tp>
      <tp t="e">
        <v>#N/A</v>
        <stp/>
        <stp>BDH|2035526131064110794</stp>
        <tr r="F62" s="24"/>
      </tp>
      <tp t="e">
        <v>#N/A</v>
        <stp/>
        <stp>BDH|8719688394773684366</stp>
        <tr r="D28" s="22"/>
      </tp>
      <tp t="e">
        <v>#N/A</v>
        <stp/>
        <stp>BDH|7123736775575936551</stp>
        <tr r="K120" s="18"/>
      </tp>
      <tp t="e">
        <v>#N/A</v>
        <stp/>
        <stp>BDH|6629471416977517398</stp>
        <tr r="V65" s="12"/>
      </tp>
      <tp t="e">
        <v>#N/A</v>
        <stp/>
        <stp>BDH|3711977796555979147</stp>
        <tr r="D42" s="11"/>
        <tr r="D50" s="10"/>
        <tr r="D14" s="7"/>
        <tr r="F9" s="3"/>
      </tp>
      <tp t="e">
        <v>#N/A</v>
        <stp/>
        <stp>BDH|7691650299496590947</stp>
        <tr r="I8" s="14"/>
      </tp>
      <tp t="e">
        <v>#N/A</v>
        <stp/>
        <stp>BDH|5564254893638045182</stp>
        <tr r="X53" s="18"/>
      </tp>
      <tp t="e">
        <v>#N/A</v>
        <stp/>
        <stp>BDH|2386906482567890327</stp>
        <tr r="T35" s="25"/>
      </tp>
      <tp t="e">
        <v>#N/A</v>
        <stp/>
        <stp>BDH|9888109487437739033</stp>
        <tr r="C13" s="8"/>
      </tp>
      <tp t="e">
        <v>#N/A</v>
        <stp/>
        <stp>BDH|7017500343232809306</stp>
        <tr r="K41" s="13"/>
        <tr r="I29" s="11"/>
        <tr r="I37" s="10"/>
      </tp>
      <tp t="e">
        <v>#N/A</v>
        <stp/>
        <stp>BDH|7053977934762132893</stp>
        <tr r="G11" s="18"/>
      </tp>
      <tp t="e">
        <v>#N/A</v>
        <stp/>
        <stp>BDH|4635150666894785096</stp>
        <tr r="W8" s="22"/>
      </tp>
      <tp t="e">
        <v>#N/A</v>
        <stp/>
        <stp>BDH|7550754331042810624</stp>
        <tr r="Q14" s="20"/>
        <tr r="Q115" s="18"/>
      </tp>
      <tp t="e">
        <v>#N/A</v>
        <stp/>
        <stp>BDH|1359246039874562309</stp>
        <tr r="D21" s="12"/>
      </tp>
      <tp t="e">
        <v>#N/A</v>
        <stp/>
        <stp>BDH|1918889296277446089</stp>
        <tr r="O12" s="20"/>
        <tr r="O113" s="18"/>
      </tp>
      <tp t="e">
        <v>#N/A</v>
        <stp/>
        <stp>BDH|3764795396023327907</stp>
        <tr r="D37" s="18"/>
      </tp>
      <tp t="e">
        <v>#N/A</v>
        <stp/>
        <stp>BDH|6575994890547755605</stp>
        <tr r="G85" s="12"/>
      </tp>
      <tp t="e">
        <v>#N/A</v>
        <stp/>
        <stp>BDH|1645613817916248793</stp>
        <tr r="O132" s="18"/>
      </tp>
      <tp t="e">
        <v>#N/A</v>
        <stp/>
        <stp>BDH|8680825637974186095</stp>
        <tr r="P87" s="17"/>
      </tp>
      <tp t="e">
        <v>#N/A</v>
        <stp/>
        <stp>BDH|7726909525212920902</stp>
        <tr r="K123" s="18"/>
      </tp>
      <tp t="e">
        <v>#N/A</v>
        <stp/>
        <stp>BDH|7892579638094884241</stp>
        <tr r="O73" s="24"/>
      </tp>
      <tp t="e">
        <v>#N/A</v>
        <stp/>
        <stp>BDH|1045699903071411155</stp>
        <tr r="Q10" s="18"/>
      </tp>
      <tp t="e">
        <v>#N/A</v>
        <stp/>
        <stp>BDH|1221415726591623188</stp>
        <tr r="S12" s="13"/>
      </tp>
      <tp t="e">
        <v>#N/A</v>
        <stp/>
        <stp>BDH|3242105632085339389</stp>
        <tr r="K161" s="18"/>
      </tp>
      <tp t="e">
        <v>#N/A</v>
        <stp/>
        <stp>BDH|5954771462987251453</stp>
        <tr r="K21" s="4"/>
      </tp>
      <tp t="e">
        <v>#N/A</v>
        <stp/>
        <stp>BDH|9651153871959957101</stp>
        <tr r="R54" s="17"/>
      </tp>
      <tp t="e">
        <v>#N/A</v>
        <stp/>
        <stp>BDH|4703689543160167164</stp>
        <tr r="T43" s="12"/>
      </tp>
      <tp t="e">
        <v>#N/A</v>
        <stp/>
        <stp>BDH|6083127518481662077</stp>
        <tr r="Q71" s="12"/>
      </tp>
      <tp t="e">
        <v>#N/A</v>
        <stp/>
        <stp>BDH|2601185061145680721</stp>
        <tr r="O7" s="10"/>
      </tp>
      <tp t="e">
        <v>#N/A</v>
        <stp/>
        <stp>BDH|8934857777757771779</stp>
        <tr r="C24" s="2"/>
      </tp>
      <tp t="e">
        <v>#N/A</v>
        <stp/>
        <stp>BDH|3330601277570927568</stp>
        <tr r="Q45" s="21"/>
      </tp>
      <tp t="e">
        <v>#N/A</v>
        <stp/>
        <stp>BDH|1351399520244728361</stp>
        <tr r="M44" s="17"/>
      </tp>
      <tp t="e">
        <v>#N/A</v>
        <stp/>
        <stp>BDH|3035380367356394775</stp>
        <tr r="Y17" s="21"/>
      </tp>
      <tp t="e">
        <v>#N/A</v>
        <stp/>
        <stp>BDH|8786988816944176332</stp>
        <tr r="C17" s="20"/>
      </tp>
      <tp t="e">
        <v>#N/A</v>
        <stp/>
        <stp>BDH|9919608620342040822</stp>
        <tr r="E30" s="12"/>
      </tp>
      <tp t="e">
        <v>#N/A</v>
        <stp/>
        <stp>BDH|4996672191619573515</stp>
        <tr r="J25" s="34"/>
      </tp>
      <tp t="e">
        <v>#N/A</v>
        <stp/>
        <stp>BDH|6903236532979711941</stp>
        <tr r="O14" s="34"/>
      </tp>
      <tp t="e">
        <v>#N/A</v>
        <stp/>
        <stp>BDH|3711784825264113509</stp>
        <tr r="N106" s="18"/>
      </tp>
      <tp t="e">
        <v>#N/A</v>
        <stp/>
        <stp>BDH|8865638955494373863</stp>
        <tr r="O63" s="11"/>
        <tr r="O71" s="10"/>
      </tp>
      <tp t="e">
        <v>#N/A</v>
        <stp/>
        <stp>BDH|3442010552079530899</stp>
        <tr r="P27" s="7"/>
      </tp>
      <tp t="e">
        <v>#N/A</v>
        <stp/>
        <stp>BDH|5202990334831373971</stp>
        <tr r="L53" s="13"/>
      </tp>
      <tp t="e">
        <v>#N/A</v>
        <stp/>
        <stp>BDH|5922496122805385195</stp>
        <tr r="C72" s="17"/>
      </tp>
      <tp t="e">
        <v>#N/A</v>
        <stp/>
        <stp>BDH|3930603816893410038</stp>
        <tr r="W23" s="11"/>
      </tp>
      <tp t="e">
        <v>#N/A</v>
        <stp/>
        <stp>BDH|8435785295726977787</stp>
        <tr r="D17" s="12"/>
      </tp>
      <tp t="e">
        <v>#N/A</v>
        <stp/>
        <stp>BDH|4965554610380543714</stp>
        <tr r="M8" s="14"/>
      </tp>
      <tp t="e">
        <v>#N/A</v>
        <stp/>
        <stp>BDH|1510782734381356324</stp>
        <tr r="I63" s="12"/>
      </tp>
      <tp t="e">
        <v>#N/A</v>
        <stp/>
        <stp>BDH|3924571230007146577</stp>
        <tr r="Y9" s="18"/>
      </tp>
      <tp t="e">
        <v>#N/A</v>
        <stp/>
        <stp>BDH|4922879197770045218</stp>
        <tr r="E8" s="25"/>
        <tr r="C9" s="2"/>
      </tp>
      <tp t="e">
        <v>#N/A</v>
        <stp/>
        <stp>BDH|4954541755086573553</stp>
        <tr r="Y32" s="24"/>
      </tp>
      <tp t="e">
        <v>#N/A</v>
        <stp/>
        <stp>BDH|2392663455014892200</stp>
        <tr r="U48" s="13"/>
      </tp>
      <tp t="e">
        <v>#N/A</v>
        <stp/>
        <stp>BDH|7804757543764222741</stp>
        <tr r="W44" s="21"/>
      </tp>
      <tp t="e">
        <v>#N/A</v>
        <stp/>
        <stp>BDH|3869228375803014274</stp>
        <tr r="J6" s="27"/>
      </tp>
      <tp t="e">
        <v>#N/A</v>
        <stp/>
        <stp>BDH|9953502219282806806</stp>
        <tr r="X67" s="18"/>
      </tp>
      <tp t="e">
        <v>#N/A</v>
        <stp/>
        <stp>BDH|6545557802344304092</stp>
        <tr r="K144" s="18"/>
      </tp>
      <tp t="e">
        <v>#N/A</v>
        <stp/>
        <stp>BDH|6874224726010349175</stp>
        <tr r="N16" s="11"/>
      </tp>
      <tp t="e">
        <v>#N/A</v>
        <stp/>
        <stp>BDH|3877616543171015724</stp>
        <tr r="E9" s="18"/>
      </tp>
      <tp t="e">
        <v>#N/A</v>
        <stp/>
        <stp>BDH|2110590593881193825</stp>
        <tr r="D84" s="12"/>
      </tp>
      <tp t="e">
        <v>#N/A</v>
        <stp/>
        <stp>BDH|6784012139626009479</stp>
        <tr r="R89" s="17"/>
      </tp>
      <tp t="e">
        <v>#N/A</v>
        <stp/>
        <stp>BDH|1949631025155013770</stp>
        <tr r="U13" s="6"/>
      </tp>
      <tp t="e">
        <v>#N/A</v>
        <stp/>
        <stp>BDH|6002352953365955271</stp>
        <tr r="Q34" s="26"/>
      </tp>
      <tp t="e">
        <v>#N/A</v>
        <stp/>
        <stp>BDH|5373009044855662394</stp>
        <tr r="P77" s="24"/>
      </tp>
      <tp t="e">
        <v>#N/A</v>
        <stp/>
        <stp>BDH|5872321517028731821</stp>
        <tr r="T37" s="34"/>
      </tp>
      <tp t="e">
        <v>#N/A</v>
        <stp/>
        <stp>BDH|7279790800263278416</stp>
        <tr r="M77" s="24"/>
      </tp>
      <tp t="e">
        <v>#N/A</v>
        <stp/>
        <stp>BDH|5834235162793276532</stp>
        <tr r="J96" s="12"/>
      </tp>
      <tp t="e">
        <v>#N/A</v>
        <stp/>
        <stp>BDH|8983118795173507406</stp>
        <tr r="K46" s="11"/>
        <tr r="K7" s="7"/>
        <tr r="K54" s="10"/>
        <tr r="M12" s="3"/>
      </tp>
      <tp t="e">
        <v>#N/A</v>
        <stp/>
        <stp>BDH|2825306059266066597</stp>
        <tr r="U20" s="17"/>
      </tp>
      <tp t="e">
        <v>#N/A</v>
        <stp/>
        <stp>BDH|8533036946492144992</stp>
        <tr r="M8" s="21"/>
      </tp>
      <tp t="e">
        <v>#N/A</v>
        <stp/>
        <stp>BDH|7817730954293063173</stp>
        <tr r="X61" s="34"/>
      </tp>
      <tp t="e">
        <v>#N/A</v>
        <stp/>
        <stp>BDH|4992716954543649228</stp>
        <tr r="N58" s="13"/>
      </tp>
      <tp t="e">
        <v>#N/A</v>
        <stp/>
        <stp>BDH|2680055148786649758</stp>
        <tr r="M10" s="10"/>
      </tp>
      <tp t="e">
        <v>#N/A</v>
        <stp/>
        <stp>BDH|9187916113776260099</stp>
        <tr r="AA9" s="20"/>
        <tr r="AA111" s="18"/>
      </tp>
      <tp t="e">
        <v>#N/A</v>
        <stp/>
        <stp>BDH|1952193919671057713</stp>
        <tr r="AA57" s="24"/>
      </tp>
      <tp t="e">
        <v>#N/A</v>
        <stp/>
        <stp>BDH|3296491144340035471</stp>
        <tr r="W68" s="10"/>
      </tp>
      <tp t="e">
        <v>#N/A</v>
        <stp/>
        <stp>BDH|6228933039488780374</stp>
        <tr r="Y10" s="13"/>
      </tp>
      <tp t="e">
        <v>#N/A</v>
        <stp/>
        <stp>BDH|4213798862230904282</stp>
        <tr r="J15" s="4"/>
      </tp>
      <tp t="e">
        <v>#N/A</v>
        <stp/>
        <stp>BDH|4787054164537609280</stp>
        <tr r="X51" s="34"/>
      </tp>
      <tp t="e">
        <v>#N/A</v>
        <stp/>
        <stp>BDH|1746357254539687986</stp>
        <tr r="AA58" s="24"/>
      </tp>
      <tp t="e">
        <v>#N/A</v>
        <stp/>
        <stp>BDH|7400025468041378759</stp>
        <tr r="U41" s="11"/>
        <tr r="U49" s="10"/>
        <tr r="U8" s="7"/>
        <tr r="W11" s="3"/>
      </tp>
      <tp t="e">
        <v>#N/A</v>
        <stp/>
        <stp>BDH|8889171927144805882</stp>
        <tr r="V141" s="18"/>
      </tp>
      <tp t="e">
        <v>#N/A</v>
        <stp/>
        <stp>BDH|5935008802193346103</stp>
        <tr r="AA8" s="26"/>
        <tr r="X10" s="9"/>
      </tp>
      <tp t="e">
        <v>#N/A</v>
        <stp/>
        <stp>BDH|9964284169799985390</stp>
        <tr r="J13" s="26"/>
      </tp>
      <tp t="e">
        <v>#N/A</v>
        <stp/>
        <stp>BDH|9740293594954368114</stp>
        <tr r="P145" s="18"/>
      </tp>
      <tp t="e">
        <v>#N/A</v>
        <stp/>
        <stp>BDH|9267499292110154304</stp>
        <tr r="W8" s="12"/>
      </tp>
      <tp t="e">
        <v>#N/A</v>
        <stp/>
        <stp>BDH|1603886211849298658</stp>
        <tr r="Q18" s="34"/>
      </tp>
      <tp t="e">
        <v>#N/A</v>
        <stp/>
        <stp>BDH|1820141084858608764</stp>
        <tr r="R24" s="29"/>
      </tp>
      <tp t="e">
        <v>#N/A</v>
        <stp/>
        <stp>BDH|3124089141302501256</stp>
        <tr r="P14" s="6"/>
      </tp>
      <tp t="e">
        <v>#N/A</v>
        <stp/>
        <stp>BDH|6337708278200308107</stp>
        <tr r="V13" s="14"/>
      </tp>
      <tp t="e">
        <v>#N/A</v>
        <stp/>
        <stp>BDH|3699411357855980016</stp>
        <tr r="V39" s="12"/>
      </tp>
      <tp t="e">
        <v>#N/A</v>
        <stp/>
        <stp>BDH|3492011919190779530</stp>
        <tr r="U145" s="18"/>
      </tp>
      <tp t="e">
        <v>#N/A</v>
        <stp/>
        <stp>BDH|7346150347546973317</stp>
        <tr r="F8" s="18"/>
      </tp>
      <tp t="e">
        <v>#N/A</v>
        <stp/>
        <stp>BDH|3850772139964881476</stp>
        <tr r="O25" s="13"/>
      </tp>
      <tp t="e">
        <v>#N/A</v>
        <stp/>
        <stp>BDH|1469604948874420018</stp>
        <tr r="S25" s="22"/>
      </tp>
      <tp t="e">
        <v>#N/A</v>
        <stp/>
        <stp>BDH|7049188704251689036</stp>
        <tr r="R24" s="17"/>
      </tp>
      <tp t="e">
        <v>#N/A</v>
        <stp/>
        <stp>BDH|8250617788674713555</stp>
        <tr r="Y68" s="24"/>
      </tp>
      <tp t="e">
        <v>#N/A</v>
        <stp/>
        <stp>BDH|5806521933773577751</stp>
        <tr r="Y52" s="13"/>
        <tr r="W47" s="11"/>
        <tr r="W55" s="10"/>
        <tr r="W17" s="7"/>
        <tr r="Y10" s="3"/>
        <tr r="W17" s="4"/>
      </tp>
      <tp t="e">
        <v>#N/A</v>
        <stp/>
        <stp>BDH|1433622484311950924</stp>
        <tr r="G94" s="17"/>
      </tp>
      <tp t="e">
        <v>#N/A</v>
        <stp/>
        <stp>BDH|7036525539650146637</stp>
        <tr r="D135" s="18"/>
      </tp>
      <tp t="e">
        <v>#N/A</v>
        <stp/>
        <stp>BDH|3368833391417834201</stp>
        <tr r="C27" s="26"/>
      </tp>
      <tp t="e">
        <v>#N/A</v>
        <stp/>
        <stp>BDH|3743765905147576484</stp>
        <tr r="J29" s="12"/>
      </tp>
      <tp t="e">
        <v>#N/A</v>
        <stp/>
        <stp>BDH|1629442051540827724</stp>
        <tr r="J52" s="21"/>
      </tp>
      <tp t="e">
        <v>#N/A</v>
        <stp/>
        <stp>BDH|7701400648759525937</stp>
        <tr r="G15" s="9"/>
      </tp>
      <tp t="e">
        <v>#N/A</v>
        <stp/>
        <stp>BDH|3924487353913987626</stp>
        <tr r="V48" s="21"/>
      </tp>
      <tp t="e">
        <v>#N/A</v>
        <stp/>
        <stp>BDH|7668126574606020091</stp>
        <tr r="X55" s="11"/>
      </tp>
      <tp t="e">
        <v>#N/A</v>
        <stp/>
        <stp>BDH|4107812108519657276</stp>
        <tr r="Q23" s="21"/>
      </tp>
      <tp t="e">
        <v>#N/A</v>
        <stp/>
        <stp>BDH|3876180479424002607</stp>
        <tr r="W85" s="18"/>
      </tp>
      <tp t="e">
        <v>#N/A</v>
        <stp/>
        <stp>BDH|7224940569856296947</stp>
        <tr r="X42" s="21"/>
      </tp>
      <tp t="e">
        <v>#N/A</v>
        <stp/>
        <stp>BDH|5917641127603752544</stp>
        <tr r="Q62" s="21"/>
      </tp>
      <tp t="e">
        <v>#N/A</v>
        <stp/>
        <stp>BDH|9214627081310130091</stp>
        <tr r="G48" s="18"/>
      </tp>
      <tp t="e">
        <v>#N/A</v>
        <stp/>
        <stp>BDH|8937240426158300715</stp>
        <tr r="U66" s="10"/>
      </tp>
      <tp t="e">
        <v>#N/A</v>
        <stp/>
        <stp>BDH|8905365928978633688</stp>
        <tr r="G91" s="17"/>
      </tp>
      <tp t="e">
        <v>#N/A</v>
        <stp/>
        <stp>BDH|5805273843716545207</stp>
        <tr r="AA25" s="25"/>
        <tr r="AA10" s="27"/>
      </tp>
      <tp t="e">
        <v>#N/A</v>
        <stp/>
        <stp>BDH|6485243586352882976</stp>
        <tr r="S10" s="18"/>
      </tp>
      <tp t="e">
        <v>#N/A</v>
        <stp/>
        <stp>BDH|9221748703671436889</stp>
        <tr r="T65" s="17"/>
      </tp>
      <tp t="e">
        <v>#N/A</v>
        <stp/>
        <stp>BDH|4166616031223980513</stp>
        <tr r="Y69" s="12"/>
      </tp>
      <tp t="e">
        <v>#N/A</v>
        <stp/>
        <stp>BDH|1575949902258328797</stp>
        <tr r="I11" s="29"/>
      </tp>
      <tp t="e">
        <v>#N/A</v>
        <stp/>
        <stp>BDH|8888324079298220385</stp>
        <tr r="I21" s="34"/>
      </tp>
      <tp t="e">
        <v>#N/A</v>
        <stp/>
        <stp>BDH|9441018705237179980</stp>
        <tr r="E159" s="18"/>
      </tp>
      <tp t="e">
        <v>#N/A</v>
        <stp/>
        <stp>BDH|2007514819102192305</stp>
        <tr r="E60" s="11"/>
      </tp>
      <tp t="e">
        <v>#N/A</v>
        <stp/>
        <stp>BDH|5854829405323278941</stp>
        <tr r="S48" s="34"/>
      </tp>
      <tp t="e">
        <v>#N/A</v>
        <stp/>
        <stp>BDH|2910369357280162304</stp>
        <tr r="J64" s="10"/>
        <tr r="J25" s="4"/>
      </tp>
      <tp t="e">
        <v>#N/A</v>
        <stp/>
        <stp>BDH|6675774849032698071</stp>
        <tr r="C61" s="12"/>
      </tp>
      <tp t="e">
        <v>#N/A</v>
        <stp/>
        <stp>BDH|5072436669309403979</stp>
        <tr r="R14" s="22"/>
      </tp>
      <tp t="e">
        <v>#N/A</v>
        <stp/>
        <stp>BDH|2833974492875618024</stp>
        <tr r="S16" s="11"/>
      </tp>
      <tp t="e">
        <v>#N/A</v>
        <stp/>
        <stp>BDH|5416383585021875888</stp>
        <tr r="Q6" s="16"/>
        <tr r="R6" s="11"/>
        <tr r="R10" s="4"/>
        <tr r="T6" s="3"/>
      </tp>
      <tp t="e">
        <v>#N/A</v>
        <stp/>
        <stp>BDH|8022400388206343529</stp>
        <tr r="C9" s="27"/>
      </tp>
      <tp t="e">
        <v>#N/A</v>
        <stp/>
        <stp>BDH|1645696438420680383</stp>
        <tr r="H14" s="14"/>
      </tp>
      <tp t="e">
        <v>#N/A</v>
        <stp/>
        <stp>BDH|7890847416501451872</stp>
        <tr r="X15" s="12"/>
      </tp>
      <tp t="e">
        <v>#N/A</v>
        <stp/>
        <stp>BDH|7734888181259702905</stp>
        <tr r="D55" s="17"/>
      </tp>
      <tp t="e">
        <v>#N/A</v>
        <stp/>
        <stp>BDH|9475247688664188002</stp>
        <tr r="Q23" s="18"/>
      </tp>
      <tp t="e">
        <v>#N/A</v>
        <stp/>
        <stp>BDH|3229539729256412554</stp>
        <tr r="K108" s="12"/>
      </tp>
      <tp t="e">
        <v>#N/A</v>
        <stp/>
        <stp>BDH|4917435201994266307</stp>
        <tr r="K63" s="21"/>
      </tp>
      <tp t="e">
        <v>#N/A</v>
        <stp/>
        <stp>BDH|6505909940064431886</stp>
        <tr r="Q9" s="34"/>
      </tp>
      <tp t="e">
        <v>#N/A</v>
        <stp/>
        <stp>BDH|6098840085290106194</stp>
        <tr r="T13" s="9"/>
      </tp>
      <tp t="e">
        <v>#N/A</v>
        <stp/>
        <stp>BDH|6640086001643292243</stp>
        <tr r="L12" s="26"/>
      </tp>
      <tp t="e">
        <v>#N/A</v>
        <stp/>
        <stp>BDH|3798749211042360088</stp>
        <tr r="I19" s="5"/>
        <tr r="I43" s="6"/>
      </tp>
      <tp t="e">
        <v>#N/A</v>
        <stp/>
        <stp>BDH|6261946180207849778</stp>
        <tr r="J137" s="18"/>
      </tp>
      <tp t="e">
        <v>#N/A</v>
        <stp/>
        <stp>BDH|4589910594760830312</stp>
        <tr r="I58" s="12"/>
      </tp>
      <tp t="e">
        <v>#N/A</v>
        <stp/>
        <stp>BDH|4552344328026714403</stp>
        <tr r="F120" s="18"/>
      </tp>
      <tp t="e">
        <v>#N/A</v>
        <stp/>
        <stp>BDH|6795193446095384150</stp>
        <tr r="F93" s="12"/>
      </tp>
      <tp t="e">
        <v>#N/A</v>
        <stp/>
        <stp>BDH|5066044279246309302</stp>
        <tr r="K107" s="18"/>
      </tp>
      <tp t="e">
        <v>#N/A</v>
        <stp/>
        <stp>BDH|4966307634185563664</stp>
        <tr r="Y82" s="12"/>
      </tp>
      <tp t="e">
        <v>#N/A</v>
        <stp/>
        <stp>BDH|3979903997011155514</stp>
        <tr r="T50" s="17"/>
      </tp>
      <tp t="e">
        <v>#N/A</v>
        <stp/>
        <stp>BDH|2979153830382645547</stp>
        <tr r="J24" s="34"/>
      </tp>
      <tp t="e">
        <v>#N/A</v>
        <stp/>
        <stp>BDH|4836026251246074057</stp>
        <tr r="G57" s="17"/>
      </tp>
      <tp t="e">
        <v>#N/A</v>
        <stp/>
        <stp>BDH|6036582433741460617</stp>
        <tr r="M126" s="18"/>
      </tp>
      <tp t="e">
        <v>#N/A</v>
        <stp/>
        <stp>BDH|3145316305164933327</stp>
        <tr r="AA48" s="17"/>
      </tp>
      <tp t="e">
        <v>#N/A</v>
        <stp/>
        <stp>BDH|1419010189859399716</stp>
        <tr r="G9" s="23"/>
      </tp>
      <tp t="e">
        <v>#N/A</v>
        <stp/>
        <stp>BDH|1806901800056659902</stp>
        <tr r="Y26" s="17"/>
      </tp>
      <tp t="e">
        <v>#N/A</v>
        <stp/>
        <stp>BDH|6808333801185765732</stp>
        <tr r="Z35" s="22"/>
      </tp>
      <tp t="e">
        <v>#N/A</v>
        <stp/>
        <stp>BDH|1727562861440650587</stp>
        <tr r="K47" s="17"/>
      </tp>
      <tp t="e">
        <v>#N/A</v>
        <stp/>
        <stp>BDH|1881714154966656259</stp>
        <tr r="Y25" s="12"/>
      </tp>
      <tp t="e">
        <v>#N/A</v>
        <stp/>
        <stp>BDH|7977897495885828433</stp>
        <tr r="N54" s="21"/>
      </tp>
      <tp t="e">
        <v>#N/A</v>
        <stp/>
        <stp>BDH|7697431179730768350</stp>
        <tr r="L64" s="34"/>
      </tp>
      <tp t="e">
        <v>#N/A</v>
        <stp/>
        <stp>BDH|9843102874708513079</stp>
        <tr r="Y12" s="22"/>
      </tp>
      <tp t="e">
        <v>#N/A</v>
        <stp/>
        <stp>BDH|7382304461224536196</stp>
        <tr r="Q20" s="30"/>
      </tp>
      <tp t="e">
        <v>#N/A</v>
        <stp/>
        <stp>BDH|3511152758141787110</stp>
        <tr r="H8" s="24"/>
      </tp>
      <tp t="e">
        <v>#N/A</v>
        <stp/>
        <stp>BDH|8184803578598639817</stp>
        <tr r="H18" s="26"/>
      </tp>
      <tp t="e">
        <v>#N/A</v>
        <stp/>
        <stp>BDH|3467008886854959859</stp>
        <tr r="V47" s="21"/>
      </tp>
      <tp t="e">
        <v>#N/A</v>
        <stp/>
        <stp>BDH|5916919635931220919</stp>
        <tr r="AA71" s="12"/>
      </tp>
      <tp t="e">
        <v>#N/A</v>
        <stp/>
        <stp>BDH|8597495937609130143</stp>
        <tr r="X17" s="13"/>
      </tp>
      <tp t="e">
        <v>#N/A</v>
        <stp/>
        <stp>BDH|3206981218369463589</stp>
        <tr r="G67" s="18"/>
      </tp>
      <tp t="e">
        <v>#N/A</v>
        <stp/>
        <stp>BDH|8958113815009631658</stp>
        <tr r="K50" s="34"/>
      </tp>
      <tp t="e">
        <v>#N/A</v>
        <stp/>
        <stp>BDH|3803625259582950548</stp>
        <tr r="F30" s="12"/>
      </tp>
      <tp t="e">
        <v>#N/A</v>
        <stp/>
        <stp>BDH|3317249143664270685</stp>
        <tr r="V97" s="12"/>
      </tp>
      <tp t="e">
        <v>#N/A</v>
        <stp/>
        <stp>BDH|4845790412702968749</stp>
        <tr r="H12" s="24"/>
      </tp>
      <tp t="e">
        <v>#N/A</v>
        <stp/>
        <stp>BDH|1390305146532955323</stp>
        <tr r="Y49" s="24"/>
      </tp>
      <tp t="e">
        <v>#N/A</v>
        <stp/>
        <stp>BDH|9936744541844130933</stp>
        <tr r="O15" s="26"/>
      </tp>
      <tp t="e">
        <v>#N/A</v>
        <stp/>
        <stp>BDH|1822787471265609398</stp>
        <tr r="S40" s="24"/>
      </tp>
      <tp t="e">
        <v>#N/A</v>
        <stp/>
        <stp>BDH|3883530474946379029</stp>
        <tr r="Z46" s="21"/>
      </tp>
      <tp t="e">
        <v>#N/A</v>
        <stp/>
        <stp>BDH|3736015258083913299</stp>
        <tr r="M22" s="22"/>
      </tp>
      <tp t="e">
        <v>#N/A</v>
        <stp/>
        <stp>BDH|2579078705754842112</stp>
        <tr r="O56" s="34"/>
      </tp>
      <tp t="e">
        <v>#N/A</v>
        <stp/>
        <stp>BDH|9017277117075861871</stp>
        <tr r="D100" s="12"/>
      </tp>
      <tp t="e">
        <v>#N/A</v>
        <stp/>
        <stp>BDH|7578545478834631608</stp>
        <tr r="V67" s="10"/>
      </tp>
      <tp t="e">
        <v>#N/A</v>
        <stp/>
        <stp>BDH|3982683449591786707</stp>
        <tr r="H16" s="13"/>
        <tr r="H26" s="13"/>
        <tr r="F18" s="10"/>
      </tp>
      <tp t="e">
        <v>#N/A</v>
        <stp/>
        <stp>BDH|3369285385436023814</stp>
        <tr r="J13" s="14"/>
      </tp>
      <tp t="e">
        <v>#N/A</v>
        <stp/>
        <stp>BDH|1873368210821141503</stp>
        <tr r="H47" s="21"/>
      </tp>
      <tp t="e">
        <v>#N/A</v>
        <stp/>
        <stp>BDH|2063611937269037996</stp>
        <tr r="I8" s="2"/>
      </tp>
      <tp t="e">
        <v>#N/A</v>
        <stp/>
        <stp>BDH|3256243468106748660</stp>
        <tr r="AA9" s="21"/>
      </tp>
      <tp t="e">
        <v>#N/A</v>
        <stp/>
        <stp>BDH|4108284607357430657</stp>
        <tr r="J172" s="18"/>
      </tp>
      <tp t="e">
        <v>#N/A</v>
        <stp/>
        <stp>BDH|9141851744140769281</stp>
        <tr r="C32" s="26"/>
      </tp>
      <tp t="e">
        <v>#N/A</v>
        <stp/>
        <stp>BDH|4736630050106801630</stp>
        <tr r="M152" s="18"/>
      </tp>
      <tp t="e">
        <v>#N/A</v>
        <stp/>
        <stp>BDH|8422153882801494782</stp>
        <tr r="U8" s="25"/>
        <tr r="R10" s="5"/>
        <tr r="S9" s="2"/>
      </tp>
      <tp t="e">
        <v>#N/A</v>
        <stp/>
        <stp>BDH|9702890748712001092</stp>
        <tr r="R166" s="18"/>
      </tp>
      <tp t="e">
        <v>#N/A</v>
        <stp/>
        <stp>BDH|4487787353538776978</stp>
        <tr r="I60" s="21"/>
      </tp>
      <tp t="e">
        <v>#N/A</v>
        <stp/>
        <stp>BDH|8307910561534412481</stp>
        <tr r="P13" s="34"/>
      </tp>
      <tp t="e">
        <v>#N/A</v>
        <stp/>
        <stp>BDH|1365292465220807282</stp>
        <tr r="D32" s="24"/>
      </tp>
      <tp t="e">
        <v>#N/A</v>
        <stp/>
        <stp>BDH|2189849842188804104</stp>
        <tr r="Y164" s="18"/>
      </tp>
      <tp t="e">
        <v>#N/A</v>
        <stp/>
        <stp>BDH|6605084307123269247</stp>
        <tr r="C44" s="24"/>
      </tp>
      <tp t="e">
        <v>#N/A</v>
        <stp/>
        <stp>BDH|4239398805499690972</stp>
        <tr r="K72" s="12"/>
      </tp>
      <tp t="e">
        <v>#N/A</v>
        <stp/>
        <stp>BDH|3094158467082469190</stp>
        <tr r="S34" s="21"/>
      </tp>
      <tp t="e">
        <v>#N/A</v>
        <stp/>
        <stp>BDH|3192948209999575468</stp>
        <tr r="X29" s="18"/>
      </tp>
      <tp t="e">
        <v>#N/A</v>
        <stp/>
        <stp>BDH|9358695073266562933</stp>
        <tr r="H71" s="24"/>
      </tp>
      <tp t="e">
        <v>#N/A</v>
        <stp/>
        <stp>BDH|2122236140315827653</stp>
        <tr r="X66" s="21"/>
      </tp>
      <tp t="e">
        <v>#N/A</v>
        <stp/>
        <stp>BDH|5815163010672841096</stp>
        <tr r="H69" s="18"/>
      </tp>
      <tp t="e">
        <v>#N/A</v>
        <stp/>
        <stp>BDH|9187804805540271698</stp>
        <tr r="T17" s="17"/>
        <tr r="T20" s="28"/>
      </tp>
      <tp t="e">
        <v>#N/A</v>
        <stp/>
        <stp>BDH|4163706118825310050</stp>
        <tr r="D23" s="21"/>
      </tp>
      <tp t="e">
        <v>#N/A</v>
        <stp/>
        <stp>BDH|3018131128673268468</stp>
        <tr r="G29" s="4"/>
      </tp>
      <tp t="e">
        <v>#N/A</v>
        <stp/>
        <stp>BDH|4567687081908501560</stp>
        <tr r="M62" s="24"/>
      </tp>
      <tp t="e">
        <v>#N/A</v>
        <stp/>
        <stp>BDH|8605898879193846315</stp>
        <tr r="O17" s="24"/>
      </tp>
      <tp t="e">
        <v>#N/A</v>
        <stp/>
        <stp>BDH|2961753606504794621</stp>
        <tr r="J36" s="34"/>
      </tp>
      <tp t="e">
        <v>#N/A</v>
        <stp/>
        <stp>BDH|8425879161127438692</stp>
        <tr r="F24" s="21"/>
      </tp>
      <tp t="e">
        <v>#N/A</v>
        <stp/>
        <stp>BDH|9274587695942560055</stp>
        <tr r="W42" s="34"/>
      </tp>
      <tp t="e">
        <v>#N/A</v>
        <stp/>
        <stp>BDH|6645578004932800628</stp>
        <tr r="P100" s="18"/>
      </tp>
      <tp t="e">
        <v>#N/A</v>
        <stp/>
        <stp>BDH|2557807742851875800</stp>
        <tr r="I51" s="24"/>
      </tp>
      <tp t="e">
        <v>#N/A</v>
        <stp/>
        <stp>BDH|6455549467557844500</stp>
        <tr r="T37" s="18"/>
      </tp>
      <tp t="e">
        <v>#N/A</v>
        <stp/>
        <stp>BDH|5150437183256998875</stp>
        <tr r="E37" s="18"/>
      </tp>
      <tp t="e">
        <v>#N/A</v>
        <stp/>
        <stp>BDH|6447539146247954775</stp>
        <tr r="F50" s="6"/>
        <tr r="H10" s="8"/>
      </tp>
      <tp t="e">
        <v>#N/A</v>
        <stp/>
        <stp>BDH|6968441971855394709</stp>
        <tr r="H41" s="10"/>
        <tr r="H33" s="11"/>
      </tp>
      <tp t="e">
        <v>#N/A</v>
        <stp/>
        <stp>BDH|4492775774741140290</stp>
        <tr r="J17" s="13"/>
      </tp>
      <tp t="e">
        <v>#N/A</v>
        <stp/>
        <stp>BDH|1957034357732619148</stp>
        <tr r="H15" s="24"/>
      </tp>
      <tp t="e">
        <v>#N/A</v>
        <stp/>
        <stp>BDH|9283996705092734563</stp>
        <tr r="X44" s="12"/>
      </tp>
      <tp t="e">
        <v>#N/A</v>
        <stp/>
        <stp>BDH|3878201511111729624</stp>
        <tr r="P13" s="12"/>
      </tp>
      <tp t="e">
        <v>#N/A</v>
        <stp/>
        <stp>BDH|7109015915184018594</stp>
        <tr r="L40" s="18"/>
      </tp>
      <tp t="e">
        <v>#N/A</v>
        <stp/>
        <stp>BDH|5286477783527339999</stp>
        <tr r="E60" s="18"/>
      </tp>
      <tp t="e">
        <v>#N/A</v>
        <stp/>
        <stp>BDH|4127429688847641814</stp>
        <tr r="V71" s="24"/>
      </tp>
      <tp t="e">
        <v>#N/A</v>
        <stp/>
        <stp>BDH|2716720260095868114</stp>
        <tr r="K26" s="6"/>
      </tp>
      <tp t="e">
        <v>#N/A</v>
        <stp/>
        <stp>BDH|7727249238747273658</stp>
        <tr r="O94" s="18"/>
      </tp>
      <tp t="e">
        <v>#N/A</v>
        <stp/>
        <stp>BDH|2071732253093914457</stp>
        <tr r="G38" s="12"/>
      </tp>
      <tp t="e">
        <v>#N/A</v>
        <stp/>
        <stp>BDH|2243167448115772577</stp>
        <tr r="N8" s="34"/>
      </tp>
      <tp t="e">
        <v>#N/A</v>
        <stp/>
        <stp>BDH|8842624897518716866</stp>
        <tr r="W12" s="20"/>
        <tr r="W113" s="18"/>
      </tp>
      <tp t="e">
        <v>#N/A</v>
        <stp/>
        <stp>BDH|4628051659590161675</stp>
        <tr r="K31" s="26"/>
        <tr r="H14" s="9"/>
      </tp>
      <tp t="e">
        <v>#N/A</v>
        <stp/>
        <stp>BDH|6381666617927806162</stp>
        <tr r="P47" s="12"/>
      </tp>
      <tp t="e">
        <v>#N/A</v>
        <stp/>
        <stp>BDH|4353142628440355002</stp>
        <tr r="X26" s="25"/>
        <tr r="X12" s="27"/>
      </tp>
      <tp t="e">
        <v>#N/A</v>
        <stp/>
        <stp>BDH|3647499000046399600</stp>
        <tr r="Z7" s="28"/>
      </tp>
      <tp t="e">
        <v>#N/A</v>
        <stp/>
        <stp>BDH|4651797672366053513</stp>
        <tr r="AA71" s="17"/>
      </tp>
      <tp t="e">
        <v>#N/A</v>
        <stp/>
        <stp>BDH|5747717349602239311</stp>
        <tr r="F52" s="13"/>
        <tr r="D55" s="10"/>
        <tr r="D47" s="11"/>
        <tr r="D17" s="7"/>
        <tr r="D17" s="4"/>
        <tr r="F10" s="3"/>
      </tp>
      <tp t="e">
        <v>#N/A</v>
        <stp/>
        <stp>BDH|2864177017236762333</stp>
        <tr r="F19" s="6"/>
      </tp>
      <tp t="e">
        <v>#N/A</v>
        <stp/>
        <stp>BDH|9266805112522513591</stp>
        <tr r="Q45" s="13"/>
      </tp>
      <tp t="e">
        <v>#N/A</v>
        <stp/>
        <stp>BDH|6418686162647740653</stp>
        <tr r="K16" s="13"/>
        <tr r="K26" s="13"/>
        <tr r="I18" s="10"/>
      </tp>
      <tp t="e">
        <v>#N/A</v>
        <stp/>
        <stp>BDH|4813927336779898081</stp>
        <tr r="N8" s="13"/>
      </tp>
      <tp t="e">
        <v>#N/A</v>
        <stp/>
        <stp>BDH|4396096691352110865</stp>
        <tr r="F97" s="12"/>
      </tp>
      <tp t="e">
        <v>#N/A</v>
        <stp/>
        <stp>BDH|7966649412240600755</stp>
        <tr r="D31" s="17"/>
      </tp>
      <tp t="e">
        <v>#N/A</v>
        <stp/>
        <stp>BDH|5050310178115447318</stp>
        <tr r="N28" s="18"/>
      </tp>
      <tp t="e">
        <v>#N/A</v>
        <stp/>
        <stp>BDH|7496626629475700143</stp>
        <tr r="I17" s="13"/>
      </tp>
      <tp t="e">
        <v>#N/A</v>
        <stp/>
        <stp>BDH|4339069459314431242</stp>
        <tr r="C54" s="34"/>
      </tp>
      <tp t="e">
        <v>#N/A</v>
        <stp/>
        <stp>BDH|2980191706945335198</stp>
        <tr r="AA48" s="24"/>
      </tp>
      <tp t="e">
        <v>#N/A</v>
        <stp/>
        <stp>BDH|3679293744500737209</stp>
        <tr r="F15" s="24"/>
      </tp>
      <tp t="e">
        <v>#N/A</v>
        <stp/>
        <stp>BDH|2622161951931904040</stp>
        <tr r="I13" s="6"/>
      </tp>
      <tp t="e">
        <v>#N/A</v>
        <stp/>
        <stp>BDH|4199482271378144856</stp>
        <tr r="D44" s="24"/>
      </tp>
      <tp t="e">
        <v>#N/A</v>
        <stp/>
        <stp>BDH|3527881751321997894</stp>
        <tr r="G11" s="22"/>
      </tp>
      <tp t="e">
        <v>#N/A</v>
        <stp/>
        <stp>BDH|2021348686458613682</stp>
        <tr r="W65" s="10"/>
        <tr r="W39" s="4"/>
      </tp>
      <tp t="e">
        <v>#N/A</v>
        <stp/>
        <stp>BDH|6481950983289908977</stp>
        <tr r="T16" s="23"/>
      </tp>
      <tp t="e">
        <v>#N/A</v>
        <stp/>
        <stp>BDH|4551540438853645636</stp>
        <tr r="U22" s="12"/>
      </tp>
      <tp t="e">
        <v>#N/A</v>
        <stp/>
        <stp>BDH|7391577375384945646</stp>
        <tr r="U93" s="12"/>
      </tp>
      <tp t="e">
        <v>#N/A</v>
        <stp/>
        <stp>BDH|6650032830157813519</stp>
        <tr r="X69" s="17"/>
      </tp>
      <tp t="e">
        <v>#N/A</v>
        <stp/>
        <stp>BDH|6336547928922774444</stp>
        <tr r="O79" s="12"/>
      </tp>
      <tp t="e">
        <v>#N/A</v>
        <stp/>
        <stp>BDH|6247192394638265107</stp>
        <tr r="P27" s="24"/>
      </tp>
      <tp t="e">
        <v>#N/A</v>
        <stp/>
        <stp>BDH|9928237295706229300</stp>
        <tr r="E43" s="22"/>
      </tp>
      <tp t="e">
        <v>#N/A</v>
        <stp/>
        <stp>BDH|5268392454891549578</stp>
        <tr r="Z16" s="24"/>
      </tp>
      <tp t="e">
        <v>#N/A</v>
        <stp/>
        <stp>BDH|1009401438233175244</stp>
        <tr r="S48" s="6"/>
        <tr r="U6" s="8"/>
      </tp>
      <tp t="e">
        <v>#N/A</v>
        <stp/>
        <stp>BDH|4683786121466290000</stp>
        <tr r="J8" s="10"/>
      </tp>
      <tp t="e">
        <v>#N/A</v>
        <stp/>
        <stp>BDH|7626342250121909762</stp>
        <tr r="T25" s="7"/>
      </tp>
      <tp t="e">
        <v>#N/A</v>
        <stp/>
        <stp>BDH|7158676097318441787</stp>
        <tr r="S41" s="10"/>
        <tr r="S33" s="11"/>
      </tp>
      <tp t="e">
        <v>#N/A</v>
        <stp/>
        <stp>BDH|3506404329457714563</stp>
        <tr r="I16" s="18"/>
      </tp>
      <tp t="e">
        <v>#N/A</v>
        <stp/>
        <stp>BDH|8082864775762971279</stp>
        <tr r="X10" s="18"/>
      </tp>
      <tp t="e">
        <v>#N/A</v>
        <stp/>
        <stp>BDH|6883431257699485952</stp>
        <tr r="X29" s="4"/>
      </tp>
      <tp t="e">
        <v>#N/A</v>
        <stp/>
        <stp>BDH|3491758371012867653</stp>
        <tr r="Z163" s="18"/>
      </tp>
      <tp t="e">
        <v>#N/A</v>
        <stp/>
        <stp>BDH|6661993463247114902</stp>
        <tr r="N21" s="20"/>
      </tp>
      <tp t="e">
        <v>#N/A</v>
        <stp/>
        <stp>BDH|5807658561844065612</stp>
        <tr r="I13" s="7"/>
      </tp>
      <tp t="e">
        <v>#N/A</v>
        <stp/>
        <stp>BDH|5108951988192250131</stp>
        <tr r="D8" s="12"/>
      </tp>
      <tp t="e">
        <v>#N/A</v>
        <stp/>
        <stp>BDH|6845621450234697619</stp>
        <tr r="D30" s="6"/>
      </tp>
      <tp t="e">
        <v>#N/A</v>
        <stp/>
        <stp>BDH|8677298644940647905</stp>
        <tr r="O19" s="6"/>
      </tp>
      <tp t="e">
        <v>#N/A</v>
        <stp/>
        <stp>BDH|2650762404205060795</stp>
        <tr r="H20" s="6"/>
      </tp>
      <tp t="e">
        <v>#N/A</v>
        <stp/>
        <stp>BDH|7141211999438726335</stp>
        <tr r="AA21" s="20"/>
      </tp>
      <tp t="e">
        <v>#N/A</v>
        <stp/>
        <stp>BDH|3693098218674968137</stp>
        <tr r="N34" s="17"/>
      </tp>
      <tp t="e">
        <v>#N/A</v>
        <stp/>
        <stp>BDH|8922905935504170103</stp>
        <tr r="U21" s="12"/>
      </tp>
      <tp t="e">
        <v>#N/A</v>
        <stp/>
        <stp>BDH|8101339117669950413</stp>
        <tr r="E19" s="34"/>
      </tp>
      <tp t="e">
        <v>#N/A</v>
        <stp/>
        <stp>BDH|2180282314411556753</stp>
        <tr r="Y48" s="24"/>
      </tp>
      <tp t="e">
        <v>#N/A</v>
        <stp/>
        <stp>BDH|5582130573333873704</stp>
        <tr r="P142" s="18"/>
      </tp>
      <tp t="e">
        <v>#N/A</v>
        <stp/>
        <stp>BDH|2659388516140178743</stp>
        <tr r="H24" s="21"/>
      </tp>
      <tp t="e">
        <v>#N/A</v>
        <stp/>
        <stp>BDH|5756410262382184286</stp>
        <tr r="Z63" s="12"/>
      </tp>
      <tp t="e">
        <v>#N/A</v>
        <stp/>
        <stp>BDH|3199049172440299387</stp>
        <tr r="C55" s="17"/>
      </tp>
      <tp t="e">
        <v>#N/A</v>
        <stp/>
        <stp>BDH|4572725039395792242</stp>
        <tr r="E60" s="34"/>
      </tp>
      <tp t="e">
        <v>#N/A</v>
        <stp/>
        <stp>BDH|4594377579052403523</stp>
        <tr r="Y34" s="10"/>
        <tr r="Y26" s="11"/>
      </tp>
      <tp t="e">
        <v>#N/A</v>
        <stp/>
        <stp>BDH|7515651049357283566</stp>
        <tr r="E47" s="34"/>
      </tp>
      <tp t="e">
        <v>#N/A</v>
        <stp/>
        <stp>BDH|2350588806130416040</stp>
        <tr r="F56" s="13"/>
      </tp>
      <tp t="e">
        <v>#N/A</v>
        <stp/>
        <stp>BDH|7550707155196476499</stp>
        <tr r="Y49" s="10"/>
        <tr r="Y41" s="11"/>
        <tr r="Y8" s="7"/>
        <tr r="AA11" s="3"/>
      </tp>
      <tp t="e">
        <v>#N/A</v>
        <stp/>
        <stp>BDH|4686591313765049217</stp>
        <tr r="M18" s="30"/>
      </tp>
      <tp t="e">
        <v>#N/A</v>
        <stp/>
        <stp>BDH|7536300529946610777</stp>
        <tr r="AA78" s="12"/>
      </tp>
      <tp t="e">
        <v>#N/A</v>
        <stp/>
        <stp>BDH|8802398946110260883</stp>
        <tr r="Z39" s="18"/>
      </tp>
      <tp t="e">
        <v>#N/A</v>
        <stp/>
        <stp>BDH|5311643988875036926</stp>
        <tr r="H10" s="30"/>
      </tp>
      <tp t="e">
        <v>#N/A</v>
        <stp/>
        <stp>BDH|5372769062770310396</stp>
        <tr r="G119" s="18"/>
      </tp>
      <tp t="e">
        <v>#N/A</v>
        <stp/>
        <stp>BDH|8752179008636574803</stp>
        <tr r="J55" s="18"/>
      </tp>
      <tp t="e">
        <v>#N/A</v>
        <stp/>
        <stp>BDH|2455706356863636496</stp>
        <tr r="I73" s="18"/>
      </tp>
      <tp t="e">
        <v>#N/A</v>
        <stp/>
        <stp>BDH|2859141879203092081</stp>
        <tr r="W21" s="21"/>
      </tp>
      <tp t="e">
        <v>#N/A</v>
        <stp/>
        <stp>BDH|2090613822772741397</stp>
        <tr r="U63" s="34"/>
      </tp>
      <tp t="e">
        <v>#N/A</v>
        <stp/>
        <stp>BDH|5265239110025889449</stp>
        <tr r="X14" s="28"/>
      </tp>
      <tp t="e">
        <v>#N/A</v>
        <stp/>
        <stp>BDH|8391166317938577750</stp>
        <tr r="I63" s="34"/>
      </tp>
      <tp t="e">
        <v>#N/A</v>
        <stp/>
        <stp>BDH|4862169320851835145</stp>
        <tr r="V17" s="9"/>
      </tp>
      <tp t="e">
        <v>#N/A</v>
        <stp/>
        <stp>BDH|4874982685300561221</stp>
        <tr r="N23" s="9"/>
      </tp>
      <tp t="e">
        <v>#N/A</v>
        <stp/>
        <stp>BDH|5888609484545646981</stp>
        <tr r="N7" s="21"/>
      </tp>
      <tp t="e">
        <v>#N/A</v>
        <stp/>
        <stp>BDH|6815161500635559592</stp>
        <tr r="Q48" s="24"/>
      </tp>
      <tp t="e">
        <v>#N/A</v>
        <stp/>
        <stp>BDH|3305506882219572063</stp>
        <tr r="N24" s="34"/>
      </tp>
      <tp t="e">
        <v>#N/A</v>
        <stp/>
        <stp>BDH|6508401761077556434</stp>
        <tr r="W6" s="19"/>
        <tr r="W35" s="17"/>
        <tr r="W16" s="3"/>
      </tp>
      <tp t="e">
        <v>#N/A</v>
        <stp/>
        <stp>BDH|6237477413103356773</stp>
        <tr r="T62" s="21"/>
      </tp>
      <tp t="e">
        <v>#N/A</v>
        <stp/>
        <stp>BDH|5609704945452839390</stp>
        <tr r="H91" s="18"/>
      </tp>
      <tp t="e">
        <v>#N/A</v>
        <stp/>
        <stp>BDH|7053345145001158626</stp>
        <tr r="N87" s="17"/>
      </tp>
      <tp t="e">
        <v>#N/A</v>
        <stp/>
        <stp>BDH|7897341200715641689</stp>
        <tr r="AA45" s="18"/>
      </tp>
      <tp t="e">
        <v>#N/A</v>
        <stp/>
        <stp>BDH|5176013105812670019</stp>
        <tr r="G19" s="23"/>
        <tr r="E59" s="11"/>
      </tp>
      <tp t="e">
        <v>#N/A</v>
        <stp/>
        <stp>BDH|6008089843871971404</stp>
        <tr r="V35" s="29"/>
        <tr r="V15" s="29"/>
      </tp>
      <tp t="e">
        <v>#N/A</v>
        <stp/>
        <stp>BDH|5998141899173326959</stp>
        <tr r="C67" s="24"/>
      </tp>
      <tp t="e">
        <v>#N/A</v>
        <stp/>
        <stp>BDH|6937224648961058619</stp>
        <tr r="S79" s="18"/>
      </tp>
      <tp t="e">
        <v>#N/A</v>
        <stp/>
        <stp>BDH|4376330653361234432</stp>
        <tr r="I51" s="18"/>
      </tp>
      <tp t="e">
        <v>#N/A</v>
        <stp/>
        <stp>BDH|9984895155550390345</stp>
        <tr r="E70" s="18"/>
      </tp>
      <tp t="e">
        <v>#N/A</v>
        <stp/>
        <stp>BDH|6857884877579076757</stp>
        <tr r="W61" s="11"/>
        <tr r="W69" s="10"/>
        <tr r="W20" s="7"/>
      </tp>
      <tp t="e">
        <v>#N/A</v>
        <stp/>
        <stp>BDH|8160126172518179126</stp>
        <tr r="S8" s="22"/>
      </tp>
      <tp t="e">
        <v>#N/A</v>
        <stp/>
        <stp>BDH|9850954244123859031</stp>
        <tr r="R26" s="22"/>
      </tp>
      <tp t="e">
        <v>#N/A</v>
        <stp/>
        <stp>BDH|6657861491631664153</stp>
        <tr r="E62" s="21"/>
      </tp>
      <tp t="e">
        <v>#N/A</v>
        <stp/>
        <stp>BDH|7010711773291446141</stp>
        <tr r="C15" s="25"/>
      </tp>
      <tp t="e">
        <v>#N/A</v>
        <stp/>
        <stp>BDH|7252043463684422234</stp>
        <tr r="S29" s="13"/>
        <tr r="Q24" s="11"/>
        <tr r="Q32" s="10"/>
        <tr r="Q45" s="4"/>
      </tp>
      <tp t="e">
        <v>#N/A</v>
        <stp/>
        <stp>BDH|8353202080301083415</stp>
        <tr r="I17" s="29"/>
        <tr r="I37" s="29"/>
      </tp>
      <tp t="e">
        <v>#N/A</v>
        <stp/>
        <stp>BDH|4232631236870436610</stp>
        <tr r="J40" s="17"/>
      </tp>
      <tp t="e">
        <v>#N/A</v>
        <stp/>
        <stp>BDH|2697097074606955404</stp>
        <tr r="L52" s="12"/>
      </tp>
      <tp t="e">
        <v>#N/A</v>
        <stp/>
        <stp>BDH|7893974118590608831</stp>
        <tr r="F61" s="13"/>
      </tp>
      <tp t="e">
        <v>#N/A</v>
        <stp/>
        <stp>BDH|2591386589796711810</stp>
        <tr r="I15" s="22"/>
      </tp>
      <tp t="e">
        <v>#N/A</v>
        <stp/>
        <stp>BDH|7154018613545269437</stp>
        <tr r="Y116" s="18"/>
      </tp>
      <tp t="e">
        <v>#N/A</v>
        <stp/>
        <stp>BDH|2193021166025258654</stp>
        <tr r="J13" s="10"/>
      </tp>
      <tp t="e">
        <v>#N/A</v>
        <stp/>
        <stp>BDH|6020819852055465954</stp>
        <tr r="N34" s="21"/>
      </tp>
      <tp t="e">
        <v>#N/A</v>
        <stp/>
        <stp>BDH|1265006252226329518</stp>
        <tr r="Z18" s="13"/>
      </tp>
      <tp t="e">
        <v>#N/A</v>
        <stp/>
        <stp>BDH|2755418980568752135</stp>
        <tr r="J40" s="21"/>
      </tp>
      <tp t="e">
        <v>#N/A</v>
        <stp/>
        <stp>BDH|3337085139304082306</stp>
        <tr r="L30" s="34"/>
      </tp>
      <tp t="e">
        <v>#N/A</v>
        <stp/>
        <stp>BDH|7313428556158456916</stp>
        <tr r="E12" s="18"/>
      </tp>
      <tp t="e">
        <v>#N/A</v>
        <stp/>
        <stp>BDH|9671963150035490766</stp>
        <tr r="C19" s="11"/>
      </tp>
      <tp t="e">
        <v>#N/A</v>
        <stp/>
        <stp>BDH|9097727096621319152</stp>
        <tr r="Z20" s="25"/>
      </tp>
      <tp t="e">
        <v>#N/A</v>
        <stp/>
        <stp>BDH|2689750083138350217</stp>
        <tr r="R20" s="12"/>
      </tp>
      <tp t="e">
        <v>#N/A</v>
        <stp/>
        <stp>BDH|3422220359947413490</stp>
        <tr r="Z9" s="17"/>
      </tp>
      <tp t="e">
        <v>#N/A</v>
        <stp/>
        <stp>BDH|2918102243682078288</stp>
        <tr r="M63" s="34"/>
      </tp>
      <tp t="e">
        <v>#N/A</v>
        <stp/>
        <stp>BDH|5180492364387601783</stp>
        <tr r="I16" s="23"/>
      </tp>
      <tp t="e">
        <v>#N/A</v>
        <stp/>
        <stp>BDH|5528945496673430118</stp>
        <tr r="M45" s="12"/>
      </tp>
      <tp t="e">
        <v>#N/A</v>
        <stp/>
        <stp>BDH|3932988158280958821</stp>
        <tr r="AA14" s="28"/>
      </tp>
      <tp t="e">
        <v>#N/A</v>
        <stp/>
        <stp>BDH|8993895615004728203</stp>
        <tr r="V40" s="13"/>
        <tr r="T36" s="10"/>
        <tr r="T28" s="11"/>
      </tp>
      <tp t="e">
        <v>#N/A</v>
        <stp/>
        <stp>BDH|6174261199533989956</stp>
        <tr r="U74" s="17"/>
      </tp>
      <tp t="e">
        <v>#N/A</v>
        <stp/>
        <stp>BDH|3071243462179788930</stp>
        <tr r="D25" s="10"/>
      </tp>
      <tp t="e">
        <v>#N/A</v>
        <stp/>
        <stp>BDH|7306722837712284660</stp>
        <tr r="F38" s="25"/>
      </tp>
      <tp t="e">
        <v>#N/A</v>
        <stp/>
        <stp>BDH|8523529656057405877</stp>
        <tr r="Q148" s="18"/>
      </tp>
      <tp t="e">
        <v>#N/A</v>
        <stp/>
        <stp>BDH|3833544417846875614</stp>
        <tr r="H44" s="6"/>
      </tp>
      <tp t="e">
        <v>#N/A</v>
        <stp/>
        <stp>BDH|5610871231950669943</stp>
        <tr r="F21" s="9"/>
        <tr r="F21" s="5"/>
      </tp>
      <tp t="e">
        <v>#N/A</v>
        <stp/>
        <stp>BDH|2454507958473833669</stp>
        <tr r="W90" s="17"/>
        <tr r="W34" s="25"/>
      </tp>
      <tp t="e">
        <v>#N/A</v>
        <stp/>
        <stp>BDH|9204237281331323519</stp>
        <tr r="W10" s="22"/>
      </tp>
      <tp t="e">
        <v>#N/A</v>
        <stp/>
        <stp>BDH|7374013403589088936</stp>
        <tr r="U101" s="18"/>
      </tp>
      <tp t="e">
        <v>#N/A</v>
        <stp/>
        <stp>BDH|7897490736775587209</stp>
        <tr r="M6" s="27"/>
      </tp>
      <tp t="e">
        <v>#N/A</v>
        <stp/>
        <stp>BDH|4352799732713225486</stp>
        <tr r="J53" s="17"/>
        <tr r="J10" s="25"/>
      </tp>
      <tp t="e">
        <v>#N/A</v>
        <stp/>
        <stp>BDH|7536254607207422518</stp>
        <tr r="T10" s="18"/>
      </tp>
      <tp t="e">
        <v>#N/A</v>
        <stp/>
        <stp>BDH|2162511131973579066</stp>
        <tr r="S91" s="12"/>
      </tp>
      <tp t="e">
        <v>#N/A</v>
        <stp/>
        <stp>BDH|4523387419815338451</stp>
        <tr r="H44" s="12"/>
      </tp>
      <tp t="e">
        <v>#N/A</v>
        <stp/>
        <stp>BDH|5730163270187575369</stp>
        <tr r="C21" s="6"/>
      </tp>
      <tp t="e">
        <v>#N/A</v>
        <stp/>
        <stp>BDH|5410059387912677836</stp>
        <tr r="J14" s="22"/>
      </tp>
      <tp t="e">
        <v>#N/A</v>
        <stp/>
        <stp>BDH|9743250624167776922</stp>
        <tr r="S25" s="21"/>
      </tp>
      <tp t="e">
        <v>#N/A</v>
        <stp/>
        <stp>BDH|4720655767297652400</stp>
        <tr r="D65" s="24"/>
      </tp>
      <tp t="e">
        <v>#N/A</v>
        <stp/>
        <stp>BDH|9863190985016535125</stp>
        <tr r="T40" s="21"/>
      </tp>
      <tp t="e">
        <v>#N/A</v>
        <stp/>
        <stp>BDH|2033195033096022194</stp>
        <tr r="X143" s="18"/>
      </tp>
      <tp t="e">
        <v>#N/A</v>
        <stp/>
        <stp>BDH|9186078082355236353</stp>
        <tr r="Z39" s="24"/>
      </tp>
      <tp t="e">
        <v>#N/A</v>
        <stp/>
        <stp>BDH|3437731465163159605</stp>
        <tr r="E14" s="17"/>
        <tr r="E17" s="28"/>
      </tp>
      <tp t="e">
        <v>#N/A</v>
        <stp/>
        <stp>BDH|9994999387026639920</stp>
        <tr r="AA39" s="26"/>
      </tp>
      <tp t="e">
        <v>#N/A</v>
        <stp/>
        <stp>BDH|8057237913295368905</stp>
        <tr r="H64" s="24"/>
      </tp>
      <tp t="e">
        <v>#N/A</v>
        <stp/>
        <stp>BDH|6966388365451009579</stp>
        <tr r="M14" s="20"/>
        <tr r="M115" s="18"/>
      </tp>
      <tp t="e">
        <v>#N/A</v>
        <stp/>
        <stp>BDH|5874397537041640336</stp>
        <tr r="M13" s="26"/>
      </tp>
      <tp t="e">
        <v>#N/A</v>
        <stp/>
        <stp>BDH|7773324556413102515</stp>
        <tr r="X125" s="18"/>
      </tp>
      <tp t="e">
        <v>#N/A</v>
        <stp/>
        <stp>BDH|1534511241137115070</stp>
        <tr r="F110" s="12"/>
      </tp>
      <tp t="e">
        <v>#N/A</v>
        <stp/>
        <stp>BDH|1723089969224234478</stp>
        <tr r="AA166" s="18"/>
      </tp>
      <tp t="e">
        <v>#N/A</v>
        <stp/>
        <stp>BDH|7910034618390140100</stp>
        <tr r="Q58" s="17"/>
      </tp>
      <tp t="e">
        <v>#N/A</v>
        <stp/>
        <stp>BDH|3356359487427344819</stp>
        <tr r="Z25" s="22"/>
      </tp>
      <tp t="e">
        <v>#N/A</v>
        <stp/>
        <stp>BDH|7249080749331608562</stp>
        <tr r="E14" s="11"/>
      </tp>
      <tp t="e">
        <v>#N/A</v>
        <stp/>
        <stp>BDH|7097327578115132189</stp>
        <tr r="S93" s="18"/>
      </tp>
      <tp t="e">
        <v>#N/A</v>
        <stp/>
        <stp>BDH|8762833336424138007</stp>
        <tr r="W159" s="18"/>
      </tp>
      <tp t="e">
        <v>#N/A</v>
        <stp/>
        <stp>BDH|3640803367733761952</stp>
        <tr r="X58" s="24"/>
      </tp>
      <tp t="e">
        <v>#N/A</v>
        <stp/>
        <stp>BDH|3702619831306180756</stp>
        <tr r="G48" s="34"/>
      </tp>
      <tp t="e">
        <v>#N/A</v>
        <stp/>
        <stp>BDH|7483254356715687224</stp>
        <tr r="I13" s="5"/>
      </tp>
      <tp t="e">
        <v>#N/A</v>
        <stp/>
        <stp>BDH|3926105539092278417</stp>
        <tr r="Y19" s="23"/>
        <tr r="W59" s="11"/>
      </tp>
      <tp t="e">
        <v>#N/A</v>
        <stp/>
        <stp>BDH|6265991583463824336</stp>
        <tr r="N22" s="17"/>
      </tp>
      <tp t="e">
        <v>#N/A</v>
        <stp/>
        <stp>BDH|6930026748026426340</stp>
        <tr r="Y16" s="22"/>
      </tp>
      <tp t="e">
        <v>#N/A</v>
        <stp/>
        <stp>BDH|8292433336989215165</stp>
        <tr r="C19" s="24"/>
      </tp>
      <tp t="e">
        <v>#N/A</v>
        <stp/>
        <stp>BDH|5346583367198609990</stp>
        <tr r="I18" s="9"/>
      </tp>
      <tp t="e">
        <v>#N/A</v>
        <stp/>
        <stp>BDH|4083829140849970688</stp>
        <tr r="I38" s="12"/>
      </tp>
      <tp t="e">
        <v>#N/A</v>
        <stp/>
        <stp>BDH|4850966594886183585</stp>
        <tr r="N93" s="18"/>
      </tp>
      <tp t="e">
        <v>#N/A</v>
        <stp/>
        <stp>BDH|2868887040360374903</stp>
        <tr r="T30" s="12"/>
      </tp>
      <tp t="e">
        <v>#N/A</v>
        <stp/>
        <stp>BDH|9415870078805034483</stp>
        <tr r="D60" s="24"/>
      </tp>
      <tp t="e">
        <v>#N/A</v>
        <stp/>
        <stp>BDH|5835590069078920928</stp>
        <tr r="J18" s="20"/>
      </tp>
      <tp t="e">
        <v>#N/A</v>
        <stp/>
        <stp>BDH|1569551847523730438</stp>
        <tr r="W59" s="13"/>
      </tp>
      <tp t="e">
        <v>#N/A</v>
        <stp/>
        <stp>BDH|3672168363386150511</stp>
        <tr r="R69" s="17"/>
      </tp>
      <tp t="e">
        <v>#N/A</v>
        <stp/>
        <stp>BDH|7769232283502100859</stp>
        <tr r="D12" s="3"/>
      </tp>
      <tp t="e">
        <v>#N/A</v>
        <stp/>
        <stp>BDH|1668271194164251948</stp>
        <tr r="N58" s="18"/>
      </tp>
      <tp t="e">
        <v>#N/A</v>
        <stp/>
        <stp>BDH|1468404335309381812</stp>
        <tr r="I11" s="24"/>
      </tp>
      <tp t="e">
        <v>#N/A</v>
        <stp/>
        <stp>BDH|1472487104654291695</stp>
        <tr r="Y7" s="30"/>
      </tp>
      <tp t="e">
        <v>#N/A</v>
        <stp/>
        <stp>BDH|1186242860251669304</stp>
        <tr r="C7" s="9"/>
        <tr r="C7" s="5"/>
        <tr r="D7" s="2"/>
        <tr r="F14" s="3"/>
      </tp>
      <tp t="e">
        <v>#N/A</v>
        <stp/>
        <stp>BDH|4204323511193284200</stp>
        <tr r="L15" s="25"/>
      </tp>
      <tp t="e">
        <v>#N/A</v>
        <stp/>
        <stp>BDH|7517202553996126142</stp>
        <tr r="E45" s="22"/>
      </tp>
      <tp t="e">
        <v>#N/A</v>
        <stp/>
        <stp>BDH|1952293702622557648</stp>
        <tr r="O48" s="21"/>
      </tp>
      <tp t="e">
        <v>#N/A</v>
        <stp/>
        <stp>BDH|4665065269992262781</stp>
        <tr r="X17" s="18"/>
      </tp>
      <tp t="e">
        <v>#N/A</v>
        <stp/>
        <stp>BDH|7892748868925462433</stp>
        <tr r="T14" s="11"/>
      </tp>
      <tp t="e">
        <v>#N/A</v>
        <stp/>
        <stp>BDH|8154386536149990657</stp>
        <tr r="O29" s="12"/>
      </tp>
      <tp t="e">
        <v>#N/A</v>
        <stp/>
        <stp>BDH|3186605478005368097</stp>
        <tr r="AA66" s="17"/>
      </tp>
      <tp t="e">
        <v>#N/A</v>
        <stp/>
        <stp>BDH|2914256700984712380</stp>
        <tr r="T35" s="21"/>
      </tp>
      <tp t="e">
        <v>#N/A</v>
        <stp/>
        <stp>BDH|3050494978697385011</stp>
        <tr r="Z9" s="23"/>
      </tp>
      <tp t="e">
        <v>#N/A</v>
        <stp/>
        <stp>BDH|9146624465866477811</stp>
        <tr r="D25" s="26"/>
      </tp>
      <tp t="e">
        <v>#N/A</v>
        <stp/>
        <stp>BDH|7526566830712147419</stp>
        <tr r="V89" s="17"/>
      </tp>
      <tp t="e">
        <v>#N/A</v>
        <stp/>
        <stp>BDH|3462179074982390071</stp>
        <tr r="I94" s="18"/>
      </tp>
      <tp t="e">
        <v>#N/A</v>
        <stp/>
        <stp>BDH|6862641359834638602</stp>
        <tr r="Z31" s="24"/>
      </tp>
      <tp t="e">
        <v>#N/A</v>
        <stp/>
        <stp>BDH|4436753493364610943</stp>
        <tr r="H32" s="26"/>
      </tp>
      <tp t="e">
        <v>#N/A</v>
        <stp/>
        <stp>BDH|1088627972827254023</stp>
        <tr r="K23" s="20"/>
      </tp>
      <tp t="e">
        <v>#N/A</v>
        <stp/>
        <stp>BDH|1487661290300295902</stp>
        <tr r="J64" s="21"/>
        <tr r="H23" s="7"/>
      </tp>
      <tp t="e">
        <v>#N/A</v>
        <stp/>
        <stp>BDH|3714461632064318700</stp>
        <tr r="C11" s="22"/>
      </tp>
      <tp t="e">
        <v>#N/A</v>
        <stp/>
        <stp>BDH|2331634000403677064</stp>
        <tr r="H49" s="10"/>
        <tr r="H41" s="11"/>
        <tr r="J11" s="3"/>
        <tr r="H8" s="7"/>
      </tp>
      <tp t="e">
        <v>#N/A</v>
        <stp/>
        <stp>BDH|5298479867355214502</stp>
        <tr r="K117" s="18"/>
      </tp>
      <tp t="e">
        <v>#N/A</v>
        <stp/>
        <stp>BDH|9506674352464590959</stp>
        <tr r="G41" s="11"/>
        <tr r="G8" s="7"/>
        <tr r="G49" s="10"/>
        <tr r="I11" s="3"/>
      </tp>
      <tp t="e">
        <v>#N/A</v>
        <stp/>
        <stp>BDH|1194287911165167099</stp>
        <tr r="J11" s="29"/>
      </tp>
      <tp t="e">
        <v>#N/A</v>
        <stp/>
        <stp>BDH|1919139535465957169</stp>
        <tr r="S18" s="12"/>
      </tp>
      <tp t="e">
        <v>#N/A</v>
        <stp/>
        <stp>BDH|8350220070432538842</stp>
        <tr r="D132" s="18"/>
      </tp>
      <tp t="e">
        <v>#N/A</v>
        <stp/>
        <stp>BDH|7013256424663115303</stp>
        <tr r="Q60" s="13"/>
      </tp>
      <tp t="e">
        <v>#N/A</v>
        <stp/>
        <stp>BDH|5363503430036724244</stp>
        <tr r="K9" s="11"/>
      </tp>
      <tp t="e">
        <v>#N/A</v>
        <stp/>
        <stp>BDH|6014357737444276506</stp>
        <tr r="N25" s="29"/>
        <tr r="N19" s="29"/>
        <tr r="N10" s="29"/>
        <tr r="M6" s="9"/>
        <tr r="O12" s="8"/>
        <tr r="M6" s="5"/>
        <tr r="N6" s="2"/>
      </tp>
      <tp t="e">
        <v>#N/A</v>
        <stp/>
        <stp>BDH|4008989017529868279</stp>
        <tr r="J28" s="21"/>
      </tp>
      <tp t="e">
        <v>#N/A</v>
        <stp/>
        <stp>BDH|1945871693253560483</stp>
        <tr r="C37" s="21"/>
        <tr r="C24" s="3"/>
      </tp>
      <tp t="e">
        <v>#N/A</v>
        <stp/>
        <stp>BDH|2295520315888032950</stp>
        <tr r="K9" s="20"/>
        <tr r="K111" s="18"/>
      </tp>
      <tp t="e">
        <v>#N/A</v>
        <stp/>
        <stp>BDH|4067750314455259035</stp>
        <tr r="O74" s="18"/>
      </tp>
      <tp t="e">
        <v>#N/A</v>
        <stp/>
        <stp>BDH|1629400914336026526</stp>
        <tr r="AA14" s="3"/>
        <tr r="X7" s="9"/>
        <tr r="Y7" s="2"/>
        <tr r="X7" s="5"/>
      </tp>
      <tp t="e">
        <v>#N/A</v>
        <stp/>
        <stp>BDH|8364773196095559475</stp>
        <tr r="I34" s="17"/>
      </tp>
      <tp t="e">
        <v>#N/A</v>
        <stp/>
        <stp>BDH|9157254205638475455</stp>
        <tr r="D31" s="24"/>
      </tp>
      <tp t="e">
        <v>#N/A</v>
        <stp/>
        <stp>BDH|8866839063926068785</stp>
        <tr r="M60" s="34"/>
      </tp>
      <tp t="e">
        <v>#N/A</v>
        <stp/>
        <stp>BDH|6015514116422409734</stp>
        <tr r="Q13" s="24"/>
      </tp>
      <tp t="e">
        <v>#N/A</v>
        <stp/>
        <stp>BDH|5741847270234209915</stp>
        <tr r="N17" s="13"/>
      </tp>
      <tp t="e">
        <v>#N/A</v>
        <stp/>
        <stp>BDH|8667943343374335622</stp>
        <tr r="T54" s="34"/>
      </tp>
      <tp t="e">
        <v>#N/A</v>
        <stp/>
        <stp>BDH|6037036435587146573</stp>
        <tr r="J11" s="21"/>
      </tp>
      <tp t="e">
        <v>#N/A</v>
        <stp/>
        <stp>BDH|8729599758836702914</stp>
        <tr r="X18" s="13"/>
      </tp>
      <tp t="e">
        <v>#N/A</v>
        <stp/>
        <stp>BDH|4209713401546308210</stp>
        <tr r="C29" s="12"/>
      </tp>
      <tp t="e">
        <v>#N/A</v>
        <stp/>
        <stp>BDH|7768738819933842555</stp>
        <tr r="S11" s="22"/>
      </tp>
      <tp t="e">
        <v>#N/A</v>
        <stp/>
        <stp>BDH|2765258856464558619</stp>
        <tr r="K158" s="18"/>
      </tp>
      <tp t="e">
        <v>#N/A</v>
        <stp/>
        <stp>BDH|6546507011792033741</stp>
        <tr r="V60" s="21"/>
      </tp>
      <tp t="e">
        <v>#N/A</v>
        <stp/>
        <stp>BDH|8061807123093704647</stp>
        <tr r="G11" s="6"/>
      </tp>
      <tp t="e">
        <v>#N/A</v>
        <stp/>
        <stp>BDH|6250322232517729656</stp>
        <tr r="W10" s="24"/>
      </tp>
      <tp t="e">
        <v>#N/A</v>
        <stp/>
        <stp>BDH|6175698727372818774</stp>
        <tr r="G77" s="12"/>
      </tp>
      <tp t="e">
        <v>#N/A</v>
        <stp/>
        <stp>BDH|6797440496248719423</stp>
        <tr r="M49" s="21"/>
      </tp>
      <tp t="e">
        <v>#N/A</v>
        <stp/>
        <stp>BDH|9350053847213956988</stp>
        <tr r="Z117" s="18"/>
      </tp>
      <tp t="e">
        <v>#N/A</v>
        <stp/>
        <stp>BDH|2785427891628605020</stp>
        <tr r="K82" s="17"/>
        <tr r="I6" s="7"/>
        <tr r="K20" s="3"/>
      </tp>
      <tp t="e">
        <v>#N/A</v>
        <stp/>
        <stp>BDH|2031563670450146778</stp>
        <tr r="X124" s="18"/>
      </tp>
      <tp t="e">
        <v>#N/A</v>
        <stp/>
        <stp>BDH|3792714918565979777</stp>
        <tr r="X86" s="12"/>
      </tp>
      <tp t="e">
        <v>#N/A</v>
        <stp/>
        <stp>BDH|5332178369634865153</stp>
        <tr r="H24" s="20"/>
      </tp>
      <tp t="e">
        <v>#N/A</v>
        <stp/>
        <stp>BDH|3995733518890021228</stp>
        <tr r="Z68" s="24"/>
      </tp>
      <tp t="e">
        <v>#N/A</v>
        <stp/>
        <stp>BDH|9079894577589848869</stp>
        <tr r="I37" s="22"/>
      </tp>
      <tp t="e">
        <v>#N/A</v>
        <stp/>
        <stp>BDH|7019804520158282227</stp>
        <tr r="X110" s="12"/>
      </tp>
      <tp t="e">
        <v>#N/A</v>
        <stp/>
        <stp>BDH|7043454020647782124</stp>
        <tr r="F28" s="12"/>
      </tp>
      <tp t="e">
        <v>#N/A</v>
        <stp/>
        <stp>BDH|9305066005146092804</stp>
        <tr r="D14" s="30"/>
      </tp>
      <tp t="e">
        <v>#N/A</v>
        <stp/>
        <stp>BDH|3834790729822928313</stp>
        <tr r="C21" s="17"/>
        <tr r="C15" s="3"/>
      </tp>
      <tp t="e">
        <v>#N/A</v>
        <stp/>
        <stp>BDH|2180422719205340591</stp>
        <tr r="Y16" s="25"/>
      </tp>
      <tp t="e">
        <v>#N/A</v>
        <stp/>
        <stp>BDH|7457556750228296837</stp>
        <tr r="T23" s="9"/>
      </tp>
      <tp t="e">
        <v>#N/A</v>
        <stp/>
        <stp>BDH|7739043443395744178</stp>
        <tr r="I11" s="6"/>
      </tp>
      <tp t="e">
        <v>#N/A</v>
        <stp/>
        <stp>BDH|6861651032970694498</stp>
        <tr r="M27" s="17"/>
      </tp>
      <tp t="e">
        <v>#N/A</v>
        <stp/>
        <stp>BDH|1000357932856244054</stp>
        <tr r="I26" s="17"/>
      </tp>
      <tp t="e">
        <v>#N/A</v>
        <stp/>
        <stp>BDH|4127234813214394422</stp>
        <tr r="U51" s="18"/>
      </tp>
      <tp t="e">
        <v>#N/A</v>
        <stp/>
        <stp>BDH|9557750888992032381</stp>
        <tr r="E8" s="6"/>
      </tp>
      <tp t="e">
        <v>#N/A</v>
        <stp/>
        <stp>BDH|2471910863663394956</stp>
        <tr r="F94" s="12"/>
      </tp>
      <tp t="e">
        <v>#N/A</v>
        <stp/>
        <stp>BDH|4601450181789313618</stp>
        <tr r="R7" s="14"/>
      </tp>
      <tp t="e">
        <v>#N/A</v>
        <stp/>
        <stp>BDH|6379329270001850495</stp>
        <tr r="H102" s="18"/>
      </tp>
      <tp t="e">
        <v>#N/A</v>
        <stp/>
        <stp>BDH|4704673095225204960</stp>
        <tr r="Z8" s="27"/>
      </tp>
      <tp t="e">
        <v>#N/A</v>
        <stp/>
        <stp>BDH|4602392531696611594</stp>
        <tr r="X49" s="13"/>
        <tr r="V37" s="11"/>
        <tr r="V53" s="4"/>
        <tr r="V45" s="10"/>
        <tr r="V18" s="2"/>
      </tp>
      <tp t="e">
        <v>#N/A</v>
        <stp/>
        <stp>BDH|4678149738733905228</stp>
        <tr r="Y21" s="20"/>
      </tp>
      <tp t="e">
        <v>#N/A</v>
        <stp/>
        <stp>BDH|8361678600960166941</stp>
        <tr r="G18" s="14"/>
      </tp>
      <tp t="e">
        <v>#N/A</v>
        <stp/>
        <stp>BDH|2137203551301069315</stp>
        <tr r="J55" s="6"/>
      </tp>
      <tp t="e">
        <v>#N/A</v>
        <stp/>
        <stp>BDH|6617652253217731561</stp>
        <tr r="R17" s="24"/>
      </tp>
      <tp t="e">
        <v>#N/A</v>
        <stp/>
        <stp>BDH|9042025548009842336</stp>
        <tr r="X162" s="18"/>
      </tp>
      <tp t="e">
        <v>#N/A</v>
        <stp/>
        <stp>BDH|1863173666751910010</stp>
        <tr r="E23" s="29"/>
        <tr r="E14" s="29"/>
        <tr r="E34" s="29"/>
      </tp>
      <tp t="e">
        <v>#N/A</v>
        <stp/>
        <stp>BDH|8348510855628542735</stp>
        <tr r="J29" s="13"/>
        <tr r="H24" s="11"/>
        <tr r="H32" s="10"/>
        <tr r="H45" s="4"/>
      </tp>
      <tp t="e">
        <v>#N/A</v>
        <stp/>
        <stp>BDH|5670349224312562128</stp>
        <tr r="J62" s="13"/>
        <tr r="H57" s="10"/>
        <tr r="H49" s="11"/>
        <tr r="H19" s="7"/>
        <tr r="H18" s="4"/>
        <tr r="H20" s="2"/>
      </tp>
      <tp t="e">
        <v>#N/A</v>
        <stp/>
        <stp>BDH|3320867875659373227</stp>
        <tr r="I19" s="13"/>
        <tr r="G32" s="4"/>
        <tr r="G61" s="10"/>
        <tr r="G16" s="2"/>
      </tp>
      <tp t="e">
        <v>#N/A</v>
        <stp/>
        <stp>BDH|8740212177719358337</stp>
        <tr r="V73" s="24"/>
      </tp>
      <tp t="e">
        <v>#N/A</v>
        <stp/>
        <stp>BDH|5323331133532753051</stp>
        <tr r="S87" s="18"/>
      </tp>
      <tp t="e">
        <v>#N/A</v>
        <stp/>
        <stp>BDH|6797679221253173617</stp>
        <tr r="R116" s="18"/>
      </tp>
      <tp t="e">
        <v>#N/A</v>
        <stp/>
        <stp>BDH|4954677959516303655</stp>
        <tr r="L34" s="34"/>
      </tp>
      <tp t="e">
        <v>#N/A</v>
        <stp/>
        <stp>BDH|3176280379976796762</stp>
        <tr r="R18" s="22"/>
      </tp>
      <tp t="e">
        <v>#N/A</v>
        <stp/>
        <stp>BDH|3822942165663964815</stp>
        <tr r="Y149" s="18"/>
      </tp>
      <tp t="e">
        <v>#N/A</v>
        <stp/>
        <stp>BDH|4483058974235441103</stp>
        <tr r="H14" s="30"/>
      </tp>
      <tp t="e">
        <v>#N/A</v>
        <stp/>
        <stp>BDH|7718556370335180729</stp>
        <tr r="P139" s="18"/>
      </tp>
      <tp t="e">
        <v>#N/A</v>
        <stp/>
        <stp>BDH|5374842892112014140</stp>
        <tr r="R90" s="12"/>
      </tp>
      <tp t="e">
        <v>#N/A</v>
        <stp/>
        <stp>BDH|2711667414182676025</stp>
        <tr r="Q32" s="21"/>
      </tp>
      <tp t="e">
        <v>#N/A</v>
        <stp/>
        <stp>BDH|3683500004848360902</stp>
        <tr r="D64" s="17"/>
      </tp>
      <tp t="e">
        <v>#N/A</v>
        <stp/>
        <stp>BDH|6315859842199647439</stp>
        <tr r="G41" s="22"/>
      </tp>
      <tp t="e">
        <v>#N/A</v>
        <stp/>
        <stp>BDH|9015844235434268123</stp>
        <tr r="U15" s="13"/>
      </tp>
      <tp t="e">
        <v>#N/A</v>
        <stp/>
        <stp>BDH|6452503386098546466</stp>
        <tr r="R42" s="4"/>
      </tp>
      <tp t="e">
        <v>#N/A</v>
        <stp/>
        <stp>BDH|3641494907765075594</stp>
        <tr r="O21" s="17"/>
        <tr r="O15" s="3"/>
      </tp>
      <tp t="e">
        <v>#N/A</v>
        <stp/>
        <stp>BDH|6709320347082227415</stp>
        <tr r="W8" s="29"/>
        <tr r="W30" s="29"/>
      </tp>
      <tp t="e">
        <v>#N/A</v>
        <stp/>
        <stp>BDH|4033740928466581088</stp>
        <tr r="C41" s="13"/>
      </tp>
      <tp t="e">
        <v>#N/A</v>
        <stp/>
        <stp>BDH|1142411208034845617</stp>
        <tr r="Y16" s="20"/>
      </tp>
      <tp t="e">
        <v>#N/A</v>
        <stp/>
        <stp>BDH|8454117682845181374</stp>
        <tr r="J45" s="18"/>
      </tp>
      <tp t="e">
        <v>#N/A</v>
        <stp/>
        <stp>BDH|4432041317757775514</stp>
        <tr r="J49" s="12"/>
      </tp>
      <tp t="e">
        <v>#N/A</v>
        <stp/>
        <stp>BDH|6489506723870767616</stp>
        <tr r="O25" s="21"/>
      </tp>
      <tp t="e">
        <v>#N/A</v>
        <stp/>
        <stp>BDH|8968713757454631984</stp>
        <tr r="F8" s="17"/>
      </tp>
      <tp t="e">
        <v>#N/A</v>
        <stp/>
        <stp>BDH|3084181413103333792</stp>
        <tr r="O90" s="18"/>
      </tp>
      <tp t="e">
        <v>#N/A</v>
        <stp/>
        <stp>BDH|3133779660642112764</stp>
        <tr r="E15" s="10"/>
      </tp>
      <tp t="e">
        <v>#N/A</v>
        <stp/>
        <stp>BDH|2948658625757937611</stp>
        <tr r="F8" s="24"/>
      </tp>
      <tp t="e">
        <v>#N/A</v>
        <stp/>
        <stp>BDH|3852778173791462595</stp>
        <tr r="K40" s="6"/>
      </tp>
      <tp t="e">
        <v>#N/A</v>
        <stp/>
        <stp>BDH|9557989876530257085</stp>
        <tr r="H38" s="24"/>
      </tp>
      <tp t="e">
        <v>#N/A</v>
        <stp/>
        <stp>BDH|1024153075809531942</stp>
        <tr r="Z130" s="18"/>
      </tp>
      <tp t="e">
        <v>#N/A</v>
        <stp/>
        <stp>BDH|2282264631273531715</stp>
        <tr r="S23" s="13"/>
      </tp>
      <tp t="e">
        <v>#N/A</v>
        <stp/>
        <stp>BDH|1212023625074385071</stp>
        <tr r="Q44" s="13"/>
      </tp>
      <tp t="e">
        <v>#N/A</v>
        <stp/>
        <stp>BDH|7431029150130335543</stp>
        <tr r="D66" s="10"/>
      </tp>
      <tp t="e">
        <v>#N/A</v>
        <stp/>
        <stp>BDH|9884336007638916542</stp>
        <tr r="I22" s="20"/>
      </tp>
      <tp t="e">
        <v>#N/A</v>
        <stp/>
        <stp>BDH|1435532624455574479</stp>
        <tr r="AA6" s="19"/>
        <tr r="AA35" s="17"/>
        <tr r="AA16" s="3"/>
      </tp>
      <tp t="e">
        <v>#N/A</v>
        <stp/>
        <stp>BDH|1931967289736312149</stp>
        <tr r="U16" s="21"/>
      </tp>
      <tp t="e">
        <v>#N/A</v>
        <stp/>
        <stp>BDH|6361669835403231732</stp>
        <tr r="I6" s="20"/>
        <tr r="I108" s="18"/>
      </tp>
      <tp t="e">
        <v>#N/A</v>
        <stp/>
        <stp>BDH|4096040664135274032</stp>
        <tr r="J41" s="22"/>
      </tp>
      <tp t="e">
        <v>#N/A</v>
        <stp/>
        <stp>BDH|3847563107950021180</stp>
        <tr r="C54" s="17"/>
      </tp>
      <tp t="e">
        <v>#N/A</v>
        <stp/>
        <stp>BDH|4302521015256095156</stp>
        <tr r="X6" s="27"/>
      </tp>
      <tp t="e">
        <v>#N/A</v>
        <stp/>
        <stp>BDH|6449264609383353099</stp>
        <tr r="X16" s="6"/>
      </tp>
      <tp t="e">
        <v>#N/A</v>
        <stp/>
        <stp>BDH|8982382015559572407</stp>
        <tr r="H12" s="27"/>
        <tr r="H26" s="25"/>
      </tp>
      <tp t="e">
        <v>#N/A</v>
        <stp/>
        <stp>BDH|4573394680838561082</stp>
        <tr r="E64" s="10"/>
        <tr r="E25" s="4"/>
      </tp>
      <tp t="e">
        <v>#N/A</v>
        <stp/>
        <stp>BDH|1174717631801162311</stp>
        <tr r="J37" s="29"/>
        <tr r="J17" s="29"/>
      </tp>
      <tp t="e">
        <v>#N/A</v>
        <stp/>
        <stp>BDH|3094277755243256016</stp>
        <tr r="C23" s="6"/>
      </tp>
      <tp t="e">
        <v>#N/A</v>
        <stp/>
        <stp>BDH|3499680200762583089</stp>
        <tr r="P97" s="18"/>
      </tp>
      <tp t="e">
        <v>#N/A</v>
        <stp/>
        <stp>BDH|3869018707172937663</stp>
        <tr r="Z22" s="12"/>
      </tp>
      <tp t="e">
        <v>#N/A</v>
        <stp/>
        <stp>BDH|5565740506654075169</stp>
        <tr r="V66" s="34"/>
      </tp>
      <tp t="e">
        <v>#N/A</v>
        <stp/>
        <stp>BDH|5978840915189018299</stp>
        <tr r="C70" s="17"/>
      </tp>
      <tp t="e">
        <v>#N/A</v>
        <stp/>
        <stp>BDH|7255348046703746460</stp>
        <tr r="H31" s="22"/>
      </tp>
      <tp t="e">
        <v>#N/A</v>
        <stp/>
        <stp>BDH|4547054916200559256</stp>
        <tr r="V60" s="18"/>
      </tp>
      <tp t="e">
        <v>#N/A</v>
        <stp/>
        <stp>BDH|6204137586019214136</stp>
        <tr r="X18" s="26"/>
      </tp>
      <tp t="e">
        <v>#N/A</v>
        <stp/>
        <stp>BDH|6116356442146317037</stp>
        <tr r="G49" s="24"/>
      </tp>
      <tp t="e">
        <v>#N/A</v>
        <stp/>
        <stp>BDH|6474558137492919599</stp>
        <tr r="I15" s="9"/>
      </tp>
      <tp t="e">
        <v>#N/A</v>
        <stp/>
        <stp>BDH|6745270725643567267</stp>
        <tr r="AA61" s="17"/>
      </tp>
      <tp t="e">
        <v>#N/A</v>
        <stp/>
        <stp>BDH|7363906083264677506</stp>
        <tr r="Z147" s="18"/>
      </tp>
      <tp t="e">
        <v>#N/A</v>
        <stp/>
        <stp>BDH|9756975725705513065</stp>
        <tr r="N77" s="18"/>
      </tp>
      <tp t="e">
        <v>#N/A</v>
        <stp/>
        <stp>BDH|8168940312371230634</stp>
        <tr r="L10" s="23"/>
      </tp>
      <tp t="e">
        <v>#N/A</v>
        <stp/>
        <stp>BDH|2048507514071347015</stp>
        <tr r="N25" s="7"/>
      </tp>
      <tp t="e">
        <v>#N/A</v>
        <stp/>
        <stp>BDH|9947435794085075684</stp>
        <tr r="R15" s="6"/>
      </tp>
      <tp t="e">
        <v>#N/A</v>
        <stp/>
        <stp>BDH|9591266862613381943</stp>
        <tr r="K49" s="24"/>
      </tp>
      <tp t="e">
        <v>#N/A</v>
        <stp/>
        <stp>BDH|7050158543946830382</stp>
        <tr r="J139" s="18"/>
      </tp>
      <tp t="e">
        <v>#N/A</v>
        <stp/>
        <stp>BDH|9878552989352256106</stp>
        <tr r="E98" s="12"/>
      </tp>
      <tp t="e">
        <v>#N/A</v>
        <stp/>
        <stp>BDH|1290607272055389253</stp>
        <tr r="K25" s="3"/>
      </tp>
      <tp t="e">
        <v>#N/A</v>
        <stp/>
        <stp>BDH|6283322842226746039</stp>
        <tr r="O102" s="12"/>
      </tp>
      <tp t="e">
        <v>#N/A</v>
        <stp/>
        <stp>BDH|5923782130725442337</stp>
        <tr r="N75" s="12"/>
      </tp>
      <tp t="e">
        <v>#N/A</v>
        <stp/>
        <stp>BDH|3665128374103118179</stp>
        <tr r="N12" s="7"/>
      </tp>
      <tp t="e">
        <v>#N/A</v>
        <stp/>
        <stp>BDH|6018634833321258544</stp>
        <tr r="N13" s="2"/>
      </tp>
      <tp t="e">
        <v>#N/A</v>
        <stp/>
        <stp>BDH|5060103015765754741</stp>
        <tr r="Q63" s="18"/>
      </tp>
      <tp t="e">
        <v>#N/A</v>
        <stp/>
        <stp>BDH|9998391301444280952</stp>
        <tr r="Y71" s="24"/>
      </tp>
      <tp t="e">
        <v>#N/A</v>
        <stp/>
        <stp>BDH|6440578192555232853</stp>
        <tr r="U148" s="18"/>
      </tp>
      <tp t="e">
        <v>#N/A</v>
        <stp/>
        <stp>BDH|6913244733914138496</stp>
        <tr r="T15" s="25"/>
      </tp>
      <tp t="e">
        <v>#N/A</v>
        <stp/>
        <stp>BDH|4946503553080571399</stp>
        <tr r="AA30" s="18"/>
      </tp>
      <tp t="e">
        <v>#N/A</v>
        <stp/>
        <stp>BDH|1364184478839635931</stp>
        <tr r="U40" s="13"/>
        <tr r="S28" s="11"/>
        <tr r="S36" s="10"/>
      </tp>
      <tp t="e">
        <v>#N/A</v>
        <stp/>
        <stp>BDH|5277659307436350257</stp>
        <tr r="N6" s="6"/>
      </tp>
      <tp t="e">
        <v>#N/A</v>
        <stp/>
        <stp>BDH|1838989851012111863</stp>
        <tr r="Y172" s="18"/>
      </tp>
      <tp t="e">
        <v>#N/A</v>
        <stp/>
        <stp>BDH|2636049710592308677</stp>
        <tr r="Q62" s="18"/>
      </tp>
      <tp t="e">
        <v>#N/A</v>
        <stp/>
        <stp>BDH|4195672860757519455</stp>
        <tr r="O139" s="18"/>
      </tp>
      <tp t="e">
        <v>#N/A</v>
        <stp/>
        <stp>BDH|1700691782800239882</stp>
        <tr r="K7" s="20"/>
        <tr r="K109" s="18"/>
      </tp>
      <tp t="e">
        <v>#N/A</v>
        <stp/>
        <stp>BDH|4542641507947316237</stp>
        <tr r="D72" s="24"/>
      </tp>
      <tp t="e">
        <v>#N/A</v>
        <stp/>
        <stp>BDH|9067664304698660028</stp>
        <tr r="T31" s="26"/>
        <tr r="Q14" s="9"/>
      </tp>
      <tp t="e">
        <v>#N/A</v>
        <stp/>
        <stp>BDH|9192280411688941571</stp>
        <tr r="J141" s="18"/>
      </tp>
      <tp t="e">
        <v>#N/A</v>
        <stp/>
        <stp>BDH|5589721330072439457</stp>
        <tr r="D18" s="12"/>
      </tp>
      <tp t="e">
        <v>#N/A</v>
        <stp/>
        <stp>BDH|8872694432878269270</stp>
        <tr r="U60" s="13"/>
      </tp>
      <tp t="e">
        <v>#N/A</v>
        <stp/>
        <stp>BDH|9202701067078796744</stp>
        <tr r="F16" s="25"/>
      </tp>
      <tp t="e">
        <v>#N/A</v>
        <stp/>
        <stp>BDH|6761511230364128307</stp>
        <tr r="S35" s="13"/>
        <tr r="Q31" s="10"/>
      </tp>
      <tp t="e">
        <v>#N/A</v>
        <stp/>
        <stp>BDH|1688261759946770796</stp>
        <tr r="W28" s="9"/>
        <tr r="W28" s="5"/>
      </tp>
      <tp t="e">
        <v>#N/A</v>
        <stp/>
        <stp>BDH|1661353644330155113</stp>
        <tr r="Q81" s="18"/>
      </tp>
      <tp t="e">
        <v>#N/A</v>
        <stp/>
        <stp>BDH|7697371851296387042</stp>
        <tr r="D13" s="21"/>
      </tp>
      <tp t="e">
        <v>#N/A</v>
        <stp/>
        <stp>BDH|3049731604227828487</stp>
        <tr r="C32" s="25"/>
        <tr r="C18" s="27"/>
      </tp>
      <tp t="e">
        <v>#N/A</v>
        <stp/>
        <stp>BDH|3208227239603929671</stp>
        <tr r="L14" s="11"/>
      </tp>
      <tp t="e">
        <v>#N/A</v>
        <stp/>
        <stp>BDH|7130890977058977716</stp>
        <tr r="U52" s="22"/>
      </tp>
      <tp t="e">
        <v>#N/A</v>
        <stp/>
        <stp>BDH|5787479157726907593</stp>
        <tr r="F53" s="17"/>
        <tr r="F10" s="25"/>
      </tp>
      <tp t="e">
        <v>#N/A</v>
        <stp/>
        <stp>BDH|4073177806266565431</stp>
        <tr r="M60" s="24"/>
      </tp>
      <tp t="e">
        <v>#N/A</v>
        <stp/>
        <stp>BDH|8577228213659449578</stp>
        <tr r="L23" s="18"/>
      </tp>
      <tp t="e">
        <v>#N/A</v>
        <stp/>
        <stp>BDH|4523727870360147317</stp>
        <tr r="K70" s="17"/>
      </tp>
      <tp t="e">
        <v>#N/A</v>
        <stp/>
        <stp>BDH|9655932220761115435</stp>
        <tr r="E8" s="10"/>
      </tp>
      <tp t="e">
        <v>#N/A</v>
        <stp/>
        <stp>BDH|3053551513467840790</stp>
        <tr r="R6" s="16"/>
        <tr r="S6" s="11"/>
        <tr r="U6" s="3"/>
        <tr r="S10" s="4"/>
      </tp>
      <tp t="e">
        <v>#N/A</v>
        <stp/>
        <stp>BDH|7571863633119237252</stp>
        <tr r="S11" s="28"/>
      </tp>
      <tp t="e">
        <v>#N/A</v>
        <stp/>
        <stp>BDH|2103068073165446779</stp>
        <tr r="J37" s="12"/>
      </tp>
      <tp t="e">
        <v>#N/A</v>
        <stp/>
        <stp>BDH|8773825656376003446</stp>
        <tr r="X30" s="11"/>
        <tr r="X38" s="10"/>
      </tp>
      <tp t="e">
        <v>#N/A</v>
        <stp/>
        <stp>BDH|5333338387339972099</stp>
        <tr r="W62" s="13"/>
        <tr r="U49" s="11"/>
        <tr r="U57" s="10"/>
        <tr r="U19" s="7"/>
        <tr r="U20" s="2"/>
        <tr r="U18" s="4"/>
      </tp>
      <tp t="e">
        <v>#N/A</v>
        <stp/>
        <stp>BDH|3001530520930264369</stp>
        <tr r="W85" s="17"/>
      </tp>
      <tp t="e">
        <v>#N/A</v>
        <stp/>
        <stp>BDH|4690446664921977087</stp>
        <tr r="Q38" s="24"/>
      </tp>
      <tp t="e">
        <v>#N/A</v>
        <stp/>
        <stp>BDH|4140004293698726222</stp>
        <tr r="Q10" s="22"/>
      </tp>
      <tp t="e">
        <v>#N/A</v>
        <stp/>
        <stp>BDH|6343107154681305433</stp>
        <tr r="T76" s="18"/>
      </tp>
      <tp t="e">
        <v>#N/A</v>
        <stp/>
        <stp>BDH|3269783775192151698</stp>
        <tr r="U55" s="24"/>
      </tp>
      <tp t="e">
        <v>#N/A</v>
        <stp/>
        <stp>BDH|3714262600901033760</stp>
        <tr r="N35" s="24"/>
      </tp>
      <tp t="e">
        <v>#N/A</v>
        <stp/>
        <stp>BDH|6508647557672516049</stp>
        <tr r="M30" s="24"/>
      </tp>
      <tp t="e">
        <v>#N/A</v>
        <stp/>
        <stp>BDH|2481633167530248553</stp>
        <tr r="F11" s="9"/>
      </tp>
      <tp t="e">
        <v>#N/A</v>
        <stp/>
        <stp>BDH|2578829766222734914</stp>
        <tr r="C152" s="18"/>
      </tp>
      <tp t="e">
        <v>#N/A</v>
        <stp/>
        <stp>BDH|8483136046292221845</stp>
        <tr r="H28" s="34"/>
      </tp>
      <tp t="e">
        <v>#N/A</v>
        <stp/>
        <stp>BDH|4789309356766090365</stp>
        <tr r="O164" s="18"/>
      </tp>
      <tp t="e">
        <v>#N/A</v>
        <stp/>
        <stp>BDH|4451957465358244418</stp>
        <tr r="G6" s="28"/>
      </tp>
      <tp t="e">
        <v>#N/A</v>
        <stp/>
        <stp>BDH|7615875014038186131</stp>
        <tr r="R10" s="18"/>
      </tp>
      <tp t="e">
        <v>#N/A</v>
        <stp/>
        <stp>BDH|4397927476589473441</stp>
        <tr r="G127" s="18"/>
      </tp>
      <tp t="e">
        <v>#N/A</v>
        <stp/>
        <stp>BDH|5731503711241198706</stp>
        <tr r="M49" s="4"/>
      </tp>
      <tp t="e">
        <v>#N/A</v>
        <stp/>
        <stp>BDH|6099975975039751626</stp>
        <tr r="U85" s="17"/>
      </tp>
      <tp t="e">
        <v>#N/A</v>
        <stp/>
        <stp>BDH|8442586589201792357</stp>
        <tr r="C18" s="23"/>
      </tp>
      <tp t="e">
        <v>#N/A</v>
        <stp/>
        <stp>BDH|3331726633712340257</stp>
        <tr r="V139" s="18"/>
      </tp>
      <tp t="e">
        <v>#N/A</v>
        <stp/>
        <stp>BDH|9770966951015367776</stp>
        <tr r="X13" s="9"/>
      </tp>
      <tp t="e">
        <v>#N/A</v>
        <stp/>
        <stp>BDH|2577183156419603890</stp>
        <tr r="I96" s="18"/>
      </tp>
      <tp t="e">
        <v>#N/A</v>
        <stp/>
        <stp>BDH|1111339723240497713</stp>
        <tr r="C34" s="12"/>
      </tp>
      <tp t="e">
        <v>#N/A</v>
        <stp/>
        <stp>BDH|1687279951420439106</stp>
        <tr r="X61" s="13"/>
      </tp>
      <tp t="e">
        <v>#N/A</v>
        <stp/>
        <stp>BDH|2959554022685934734</stp>
        <tr r="S27" s="17"/>
      </tp>
      <tp t="e">
        <v>#N/A</v>
        <stp/>
        <stp>BDH|9295969577108492838</stp>
        <tr r="W30" s="18"/>
      </tp>
      <tp t="e">
        <v>#N/A</v>
        <stp/>
        <stp>BDH|5826759219346693261</stp>
        <tr r="I25" s="24"/>
      </tp>
      <tp t="e">
        <v>#N/A</v>
        <stp/>
        <stp>BDH|7172679277598225979</stp>
        <tr r="I153" s="18"/>
      </tp>
      <tp t="e">
        <v>#N/A</v>
        <stp/>
        <stp>BDH|3078817258238473195</stp>
        <tr r="L23" s="24"/>
      </tp>
      <tp t="e">
        <v>#N/A</v>
        <stp/>
        <stp>BDH|4752218946816600325</stp>
        <tr r="X44" s="21"/>
      </tp>
      <tp t="e">
        <v>#N/A</v>
        <stp/>
        <stp>BDH|8658680836748903251</stp>
        <tr r="T69" s="34"/>
      </tp>
      <tp t="e">
        <v>#N/A</v>
        <stp/>
        <stp>BDH|2358870326799182679</stp>
        <tr r="K25" s="22"/>
      </tp>
      <tp t="e">
        <v>#N/A</v>
        <stp/>
        <stp>BDH|4949929116378888314</stp>
        <tr r="I15" s="13"/>
      </tp>
      <tp t="e">
        <v>#N/A</v>
        <stp/>
        <stp>BDH|6790801974449191767</stp>
        <tr r="I46" s="18"/>
      </tp>
      <tp t="e">
        <v>#N/A</v>
        <stp/>
        <stp>BDH|3104921180747429236</stp>
        <tr r="N60" s="13"/>
      </tp>
      <tp t="e">
        <v>#N/A</v>
        <stp/>
        <stp>BDH|1262439034962700363</stp>
        <tr r="M72" s="17"/>
      </tp>
      <tp t="e">
        <v>#N/A</v>
        <stp/>
        <stp>BDH|6066132922413461112</stp>
        <tr r="N23" s="26"/>
      </tp>
      <tp t="e">
        <v>#N/A</v>
        <stp/>
        <stp>BDH|7239263156552528530</stp>
        <tr r="C76" s="24"/>
      </tp>
      <tp t="e">
        <v>#N/A</v>
        <stp/>
        <stp>BDH|1815201631782428592</stp>
        <tr r="T44" s="18"/>
      </tp>
      <tp t="e">
        <v>#N/A</v>
        <stp/>
        <stp>BDH|3042565855004308047</stp>
        <tr r="T117" s="18"/>
      </tp>
      <tp t="e">
        <v>#N/A</v>
        <stp/>
        <stp>BDH|4099341811359888895</stp>
        <tr r="X25" s="10"/>
      </tp>
      <tp t="e">
        <v>#N/A</v>
        <stp/>
        <stp>BDH|4410602324994240368</stp>
        <tr r="M56" s="34"/>
      </tp>
      <tp t="e">
        <v>#N/A</v>
        <stp/>
        <stp>BDH|1276775174422763429</stp>
        <tr r="U100" s="18"/>
      </tp>
      <tp t="e">
        <v>#N/A</v>
        <stp/>
        <stp>BDH|7696137879791830703</stp>
        <tr r="X12" s="14"/>
      </tp>
      <tp t="e">
        <v>#N/A</v>
        <stp/>
        <stp>BDH|6326560991548778579</stp>
        <tr r="P42" s="13"/>
      </tp>
      <tp t="e">
        <v>#N/A</v>
        <stp/>
        <stp>BDH|7337737946477191430</stp>
        <tr r="E9" s="20"/>
        <tr r="E111" s="18"/>
      </tp>
      <tp t="e">
        <v>#N/A</v>
        <stp/>
        <stp>BDH|3668203964982360253</stp>
        <tr r="Q43" s="24"/>
      </tp>
      <tp t="e">
        <v>#N/A</v>
        <stp/>
        <stp>BDH|5408559384368347727</stp>
        <tr r="S11" s="14"/>
      </tp>
      <tp t="e">
        <v>#N/A</v>
        <stp/>
        <stp>BDH|7017606535273590644</stp>
        <tr r="D18" s="23"/>
      </tp>
      <tp t="e">
        <v>#N/A</v>
        <stp/>
        <stp>BDH|9023830060402384246</stp>
        <tr r="K167" s="18"/>
      </tp>
      <tp t="e">
        <v>#N/A</v>
        <stp/>
        <stp>BDH|8084993761105512590</stp>
        <tr r="Z8" s="25"/>
        <tr r="W10" s="5"/>
        <tr r="X9" s="2"/>
      </tp>
      <tp t="e">
        <v>#N/A</v>
        <stp/>
        <stp>BDH|9390899501006927069</stp>
        <tr r="I35" s="29"/>
        <tr r="I15" s="29"/>
      </tp>
      <tp t="e">
        <v>#N/A</v>
        <stp/>
        <stp>BDH|1477732842850944582</stp>
        <tr r="U119" s="18"/>
      </tp>
      <tp t="e">
        <v>#N/A</v>
        <stp/>
        <stp>BDH|3922290470988465907</stp>
        <tr r="O14" s="4"/>
      </tp>
      <tp t="e">
        <v>#N/A</v>
        <stp/>
        <stp>BDH|2770560232227487430</stp>
        <tr r="Z30" s="24"/>
      </tp>
      <tp t="e">
        <v>#N/A</v>
        <stp/>
        <stp>BDH|4225717446297738769</stp>
        <tr r="R12" s="20"/>
        <tr r="R113" s="18"/>
      </tp>
      <tp t="e">
        <v>#N/A</v>
        <stp/>
        <stp>BDH|7573205661823306737</stp>
        <tr r="I173" s="18"/>
      </tp>
      <tp t="e">
        <v>#N/A</v>
        <stp/>
        <stp>BDH|6553047579544890243</stp>
        <tr r="P96" s="12"/>
      </tp>
      <tp t="e">
        <v>#N/A</v>
        <stp/>
        <stp>BDH|1218898550263805876</stp>
        <tr r="R71" s="18"/>
      </tp>
      <tp t="e">
        <v>#N/A</v>
        <stp/>
        <stp>BDH|1869365451138296896</stp>
        <tr r="W18" s="34"/>
      </tp>
      <tp t="e">
        <v>#N/A</v>
        <stp/>
        <stp>BDH|7662756363033699224</stp>
        <tr r="E30" s="13"/>
        <tr r="C26" s="10"/>
      </tp>
      <tp t="e">
        <v>#N/A</v>
        <stp/>
        <stp>BDH|2473338814642032576</stp>
        <tr r="D70" s="24"/>
      </tp>
      <tp t="e">
        <v>#N/A</v>
        <stp/>
        <stp>BDH|9319308282765477015</stp>
        <tr r="L44" s="21"/>
      </tp>
      <tp t="e">
        <v>#N/A</v>
        <stp/>
        <stp>BDH|4951595657594185721</stp>
        <tr r="W57" s="24"/>
      </tp>
      <tp t="e">
        <v>#N/A</v>
        <stp/>
        <stp>BDH|8362149107208357677</stp>
        <tr r="L78" s="18"/>
      </tp>
      <tp t="e">
        <v>#N/A</v>
        <stp/>
        <stp>BDH|9597803096869397644</stp>
        <tr r="F112" s="12"/>
      </tp>
      <tp t="e">
        <v>#N/A</v>
        <stp/>
        <stp>BDH|2621064318165595190</stp>
        <tr r="E77" s="24"/>
      </tp>
      <tp t="e">
        <v>#N/A</v>
        <stp/>
        <stp>BDH|3182821487321377533</stp>
        <tr r="O10" s="21"/>
      </tp>
      <tp t="e">
        <v>#N/A</v>
        <stp/>
        <stp>BDH|4695138046007621102</stp>
        <tr r="O19" s="14"/>
      </tp>
      <tp t="e">
        <v>#N/A</v>
        <stp/>
        <stp>BDH|5459545848803907049</stp>
        <tr r="K165" s="18"/>
      </tp>
      <tp t="e">
        <v>#N/A</v>
        <stp/>
        <stp>BDH|1631166293196666803</stp>
        <tr r="M13" s="25"/>
      </tp>
      <tp t="e">
        <v>#N/A</v>
        <stp/>
        <stp>BDH|1492639802376515653</stp>
        <tr r="G31" s="12"/>
      </tp>
      <tp t="e">
        <v>#N/A</v>
        <stp/>
        <stp>BDH|4060872442218711777</stp>
        <tr r="M19" s="24"/>
      </tp>
      <tp t="e">
        <v>#N/A</v>
        <stp/>
        <stp>BDH|1553545622331450026</stp>
        <tr r="U22" s="24"/>
      </tp>
      <tp t="e">
        <v>#N/A</v>
        <stp/>
        <stp>BDH|2886677422669193890</stp>
        <tr r="F82" s="17"/>
        <tr r="D6" s="7"/>
        <tr r="F20" s="3"/>
      </tp>
      <tp t="e">
        <v>#N/A</v>
        <stp/>
        <stp>BDH|9371104200638120777</stp>
        <tr r="J83" s="18"/>
      </tp>
      <tp t="e">
        <v>#N/A</v>
        <stp/>
        <stp>BDH|6313700334627463261</stp>
        <tr r="Y62" s="12"/>
      </tp>
      <tp t="e">
        <v>#N/A</v>
        <stp/>
        <stp>BDH|8641809722843277631</stp>
        <tr r="P37" s="12"/>
      </tp>
      <tp t="e">
        <v>#N/A</v>
        <stp/>
        <stp>BDH|1840233753257414697</stp>
        <tr r="J93" s="12"/>
      </tp>
      <tp t="e">
        <v>#N/A</v>
        <stp/>
        <stp>BDH|5825632119643207655</stp>
        <tr r="E35" s="21"/>
      </tp>
      <tp t="e">
        <v>#N/A</v>
        <stp/>
        <stp>BDH|8772801654233769111</stp>
        <tr r="S51" s="22"/>
      </tp>
      <tp t="e">
        <v>#N/A</v>
        <stp/>
        <stp>BDH|2468078315285173129</stp>
        <tr r="I17" s="24"/>
      </tp>
      <tp t="e">
        <v>#N/A</v>
        <stp/>
        <stp>BDH|5822699327404753248</stp>
        <tr r="Y24" s="23"/>
        <tr r="Y21" s="30"/>
      </tp>
      <tp t="e">
        <v>#N/A</v>
        <stp/>
        <stp>BDH|2710555840434655017</stp>
        <tr r="T54" s="24"/>
      </tp>
      <tp t="e">
        <v>#N/A</v>
        <stp/>
        <stp>BDH|9221889109135697306</stp>
        <tr r="E40" s="29"/>
      </tp>
      <tp t="e">
        <v>#N/A</v>
        <stp/>
        <stp>BDH|4564032896223029951</stp>
        <tr r="AA82" s="18"/>
      </tp>
      <tp t="e">
        <v>#N/A</v>
        <stp/>
        <stp>BDH|4548601940444620567</stp>
        <tr r="P38" s="25"/>
      </tp>
      <tp t="e">
        <v>#N/A</v>
        <stp/>
        <stp>BDH|3516622527351211175</stp>
        <tr r="R13" s="34"/>
      </tp>
      <tp t="e">
        <v>#N/A</v>
        <stp/>
        <stp>BDH|6076519074012639169</stp>
        <tr r="AA19" s="14"/>
      </tp>
      <tp t="e">
        <v>#N/A</v>
        <stp/>
        <stp>BDH|1708317380405204817</stp>
        <tr r="R23" s="5"/>
      </tp>
      <tp t="e">
        <v>#N/A</v>
        <stp/>
        <stp>BDH|7111341543750745744</stp>
        <tr r="Q70" s="12"/>
      </tp>
      <tp t="e">
        <v>#N/A</v>
        <stp/>
        <stp>BDH|2791341233106764328</stp>
        <tr r="S31" s="22"/>
      </tp>
      <tp t="e">
        <v>#N/A</v>
        <stp/>
        <stp>BDH|9694853360689228949</stp>
        <tr r="J6" s="28"/>
      </tp>
      <tp t="e">
        <v>#N/A</v>
        <stp/>
        <stp>BDH|2338812195940765459</stp>
        <tr r="U159" s="18"/>
      </tp>
      <tp t="e">
        <v>#N/A</v>
        <stp/>
        <stp>BDH|5555630273505070601</stp>
        <tr r="T53" s="6"/>
      </tp>
      <tp t="e">
        <v>#N/A</v>
        <stp/>
        <stp>BDH|3496186732050304689</stp>
        <tr r="D104" s="12"/>
      </tp>
      <tp t="e">
        <v>#N/A</v>
        <stp/>
        <stp>BDH|6062121906196673677</stp>
        <tr r="J21" s="10"/>
      </tp>
      <tp t="e">
        <v>#N/A</v>
        <stp/>
        <stp>BDH|9497032213396576949</stp>
        <tr r="J23" s="13"/>
      </tp>
      <tp t="e">
        <v>#N/A</v>
        <stp/>
        <stp>BDH|4342210410515612519</stp>
        <tr r="D7" s="8"/>
      </tp>
      <tp t="e">
        <v>#N/A</v>
        <stp/>
        <stp>BDH|7419675262396580616</stp>
        <tr r="H23" s="18"/>
      </tp>
      <tp t="e">
        <v>#N/A</v>
        <stp/>
        <stp>BDH|3449141713500596430</stp>
        <tr r="K23" s="11"/>
      </tp>
      <tp t="e">
        <v>#N/A</v>
        <stp/>
        <stp>BDH|6257328185672075804</stp>
        <tr r="D6" s="3"/>
      </tp>
      <tp t="e">
        <v>#N/A</v>
        <stp/>
        <stp>BDH|7068596049521489015</stp>
        <tr r="C8" s="34"/>
      </tp>
      <tp t="e">
        <v>#N/A</v>
        <stp/>
        <stp>BDH|3806784617393276108</stp>
        <tr r="P30" s="34"/>
      </tp>
      <tp t="e">
        <v>#N/A</v>
        <stp/>
        <stp>BDH|8331432875818418443</stp>
        <tr r="O31" s="17"/>
      </tp>
      <tp t="e">
        <v>#N/A</v>
        <stp/>
        <stp>BDH|3318399763117401682</stp>
        <tr r="W59" s="12"/>
      </tp>
      <tp t="e">
        <v>#N/A</v>
        <stp/>
        <stp>BDH|7495922745304666904</stp>
        <tr r="Q57" s="13"/>
      </tp>
      <tp t="e">
        <v>#N/A</v>
        <stp/>
        <stp>BDH|9111229640228672007</stp>
        <tr r="P53" s="17"/>
        <tr r="P10" s="25"/>
      </tp>
      <tp t="e">
        <v>#N/A</v>
        <stp/>
        <stp>BDH|2998031934640965622</stp>
        <tr r="L54" s="21"/>
      </tp>
      <tp t="e">
        <v>#N/A</v>
        <stp/>
        <stp>BDH|8107160570878008122</stp>
        <tr r="W165" s="18"/>
      </tp>
      <tp t="e">
        <v>#N/A</v>
        <stp/>
        <stp>BDH|7879776136352591696</stp>
        <tr r="K60" s="17"/>
      </tp>
      <tp t="e">
        <v>#N/A</v>
        <stp/>
        <stp>BDH|1749843584477371119</stp>
        <tr r="Y20" s="23"/>
      </tp>
      <tp t="e">
        <v>#N/A</v>
        <stp/>
        <stp>BDH|2088943845410317872</stp>
        <tr r="R82" s="18"/>
      </tp>
      <tp t="e">
        <v>#N/A</v>
        <stp/>
        <stp>BDH|3680251286887386935</stp>
        <tr r="M40" s="21"/>
      </tp>
      <tp t="e">
        <v>#N/A</v>
        <stp/>
        <stp>BDH|5167003674037582252</stp>
        <tr r="G36" s="34"/>
      </tp>
      <tp t="e">
        <v>#N/A</v>
        <stp/>
        <stp>BDH|7286893747689139581</stp>
        <tr r="U69" s="12"/>
      </tp>
      <tp t="e">
        <v>#N/A</v>
        <stp/>
        <stp>BDH|9169576360188577568</stp>
        <tr r="L15" s="12"/>
      </tp>
      <tp t="e">
        <v>#N/A</v>
        <stp/>
        <stp>BDH|5534229446444333073</stp>
        <tr r="X91" s="17"/>
      </tp>
      <tp t="e">
        <v>#N/A</v>
        <stp/>
        <stp>BDH|7805605749854036640</stp>
        <tr r="R9" s="28"/>
      </tp>
      <tp t="e">
        <v>#N/A</v>
        <stp/>
        <stp>BDH|6850266336087556788</stp>
        <tr r="O22" s="7"/>
      </tp>
      <tp t="e">
        <v>#N/A</v>
        <stp/>
        <stp>BDH|9293722907770414963</stp>
        <tr r="Y94" s="18"/>
      </tp>
      <tp t="e">
        <v>#N/A</v>
        <stp/>
        <stp>BDH|12533763470324978</stp>
        <tr r="T29" s="21"/>
      </tp>
      <tp t="e">
        <v>#N/A</v>
        <stp/>
        <stp>BDH|14332248308485510</stp>
        <tr r="R13" s="14"/>
      </tp>
      <tp t="e">
        <v>#N/A</v>
        <stp/>
        <stp>BDH|6528997550493024962</stp>
        <tr r="S26" s="12"/>
      </tp>
      <tp t="e">
        <v>#N/A</v>
        <stp/>
        <stp>BDH|9743949440831144580</stp>
        <tr r="U55" s="17"/>
      </tp>
      <tp t="e">
        <v>#N/A</v>
        <stp/>
        <stp>BDH|5801971934357863895</stp>
        <tr r="J7" s="9"/>
        <tr r="J7" s="5"/>
        <tr r="M14" s="3"/>
        <tr r="K7" s="2"/>
      </tp>
      <tp t="e">
        <v>#N/A</v>
        <stp/>
        <stp>BDH|5079664699143241976</stp>
        <tr r="S89" s="18"/>
      </tp>
      <tp t="e">
        <v>#N/A</v>
        <stp/>
        <stp>BDH|6616622633433974043</stp>
        <tr r="T10" s="13"/>
      </tp>
      <tp t="e">
        <v>#N/A</v>
        <stp/>
        <stp>BDH|8812505109079226495</stp>
        <tr r="V18" s="14"/>
      </tp>
      <tp t="e">
        <v>#N/A</v>
        <stp/>
        <stp>BDH|1353067216740842014</stp>
        <tr r="H31" s="21"/>
      </tp>
      <tp t="e">
        <v>#N/A</v>
        <stp/>
        <stp>BDH|4106482845834160079</stp>
        <tr r="H18" s="17"/>
      </tp>
      <tp t="e">
        <v>#N/A</v>
        <stp/>
        <stp>BDH|1153889393528249828</stp>
        <tr r="J144" s="18"/>
      </tp>
      <tp t="e">
        <v>#N/A</v>
        <stp/>
        <stp>BDH|5428695905842123139</stp>
        <tr r="Q58" s="12"/>
      </tp>
      <tp t="e">
        <v>#N/A</v>
        <stp/>
        <stp>BDH|5616577799479311017</stp>
        <tr r="Q87" s="17"/>
      </tp>
      <tp t="e">
        <v>#N/A</v>
        <stp/>
        <stp>BDH|3034386646326250267</stp>
        <tr r="S74" s="12"/>
      </tp>
      <tp t="e">
        <v>#N/A</v>
        <stp/>
        <stp>BDH|1004567615773816615</stp>
        <tr r="C16" s="18"/>
      </tp>
      <tp t="e">
        <v>#N/A</v>
        <stp/>
        <stp>BDH|5489408515112921227</stp>
        <tr r="K25" s="17"/>
      </tp>
      <tp t="e">
        <v>#N/A</v>
        <stp/>
        <stp>BDH|7099245645942925323</stp>
        <tr r="C25" s="12"/>
      </tp>
      <tp t="e">
        <v>#N/A</v>
        <stp/>
        <stp>BDH|3419861218548497248</stp>
        <tr r="S94" s="17"/>
      </tp>
      <tp t="e">
        <v>#N/A</v>
        <stp/>
        <stp>BDH|9607824054914221088</stp>
        <tr r="T145" s="18"/>
      </tp>
      <tp t="e">
        <v>#N/A</v>
        <stp/>
        <stp>BDH|9292647933809705581</stp>
        <tr r="G87" s="18"/>
      </tp>
      <tp t="e">
        <v>#N/A</v>
        <stp/>
        <stp>BDH|7343807289275331234</stp>
        <tr r="I12" s="10"/>
      </tp>
      <tp t="e">
        <v>#N/A</v>
        <stp/>
        <stp>BDH|9902442515575599978</stp>
        <tr r="M69" s="24"/>
      </tp>
      <tp t="e">
        <v>#N/A</v>
        <stp/>
        <stp>BDH|4820728279867884313</stp>
        <tr r="D6" s="15"/>
        <tr r="D6" s="10"/>
        <tr r="D11" s="4"/>
        <tr r="D12" s="2"/>
      </tp>
      <tp t="e">
        <v>#N/A</v>
        <stp/>
        <stp>BDH|2205267372244850349</stp>
        <tr r="F49" s="21"/>
      </tp>
      <tp t="e">
        <v>#N/A</v>
        <stp/>
        <stp>BDH|6757848975770831941</stp>
        <tr r="K96" s="12"/>
      </tp>
      <tp t="e">
        <v>#N/A</v>
        <stp/>
        <stp>BDH|6456261267916625494</stp>
        <tr r="C47" s="13"/>
      </tp>
      <tp t="e">
        <v>#N/A</v>
        <stp/>
        <stp>BDH|5513248443694932716</stp>
        <tr r="T25" s="17"/>
      </tp>
      <tp t="e">
        <v>#N/A</v>
        <stp/>
        <stp>BDH|4211616219833465044</stp>
        <tr r="M100" s="12"/>
      </tp>
      <tp t="e">
        <v>#N/A</v>
        <stp/>
        <stp>BDH|2732478447137839554</stp>
        <tr r="K15" s="9"/>
      </tp>
      <tp t="e">
        <v>#N/A</v>
        <stp/>
        <stp>BDH|9089803492459112193</stp>
        <tr r="U48" s="24"/>
      </tp>
      <tp t="e">
        <v>#N/A</v>
        <stp/>
        <stp>BDH|2608061000000294284</stp>
        <tr r="F64" s="34"/>
      </tp>
      <tp t="e">
        <v>#N/A</v>
        <stp/>
        <stp>BDH|3045009899539165322</stp>
        <tr r="T13" s="10"/>
      </tp>
      <tp t="e">
        <v>#N/A</v>
        <stp/>
        <stp>BDH|5995730742385351313</stp>
        <tr r="I76" s="24"/>
      </tp>
      <tp t="e">
        <v>#N/A</v>
        <stp/>
        <stp>BDH|9167373048586473808</stp>
        <tr r="H51" s="12"/>
      </tp>
      <tp t="e">
        <v>#N/A</v>
        <stp/>
        <stp>BDH|8652584973962244853</stp>
        <tr r="N79" s="18"/>
      </tp>
      <tp t="e">
        <v>#N/A</v>
        <stp/>
        <stp>BDH|5390808258060660879</stp>
        <tr r="S11" s="20"/>
        <tr r="S112" s="18"/>
      </tp>
      <tp t="e">
        <v>#N/A</v>
        <stp/>
        <stp>BDH|3601580874165268436</stp>
        <tr r="N86" s="12"/>
      </tp>
      <tp t="e">
        <v>#N/A</v>
        <stp/>
        <stp>BDH|1163447552088905850</stp>
        <tr r="X75" s="18"/>
      </tp>
      <tp t="e">
        <v>#N/A</v>
        <stp/>
        <stp>BDH|8678338288705307658</stp>
        <tr r="O22" s="27"/>
      </tp>
      <tp t="e">
        <v>#N/A</v>
        <stp/>
        <stp>BDH|4239130671416806437</stp>
        <tr r="O158" s="18"/>
      </tp>
      <tp t="e">
        <v>#N/A</v>
        <stp/>
        <stp>BDH|8889861650022792723</stp>
        <tr r="C40" s="18"/>
      </tp>
      <tp t="e">
        <v>#N/A</v>
        <stp/>
        <stp>BDH|5699739806334878607</stp>
        <tr r="U98" s="18"/>
      </tp>
      <tp t="e">
        <v>#N/A</v>
        <stp/>
        <stp>BDH|8083507242799832018</stp>
        <tr r="N47" s="13"/>
      </tp>
      <tp t="e">
        <v>#N/A</v>
        <stp/>
        <stp>BDH|4492000240159738989</stp>
        <tr r="O46" s="17"/>
      </tp>
      <tp t="e">
        <v>#N/A</v>
        <stp/>
        <stp>BDH|8779672204037865971</stp>
        <tr r="N56" s="13"/>
      </tp>
      <tp t="e">
        <v>#N/A</v>
        <stp/>
        <stp>BDH|2193819308328659254</stp>
        <tr r="E41" s="13"/>
        <tr r="C29" s="11"/>
        <tr r="C37" s="10"/>
      </tp>
      <tp t="e">
        <v>#N/A</v>
        <stp/>
        <stp>BDH|7262079555267815539</stp>
        <tr r="W6" s="15"/>
        <tr r="W6" s="10"/>
        <tr r="W11" s="4"/>
        <tr r="W12" s="2"/>
      </tp>
      <tp t="e">
        <v>#N/A</v>
        <stp/>
        <stp>BDH|8423085036612347920</stp>
        <tr r="R19" s="18"/>
      </tp>
      <tp t="e">
        <v>#N/A</v>
        <stp/>
        <stp>BDH|8995080935933725887</stp>
        <tr r="K129" s="18"/>
      </tp>
      <tp t="e">
        <v>#N/A</v>
        <stp/>
        <stp>BDH|5138188040302343219</stp>
        <tr r="AA25" s="24"/>
      </tp>
      <tp t="e">
        <v>#N/A</v>
        <stp/>
        <stp>BDH|6961751773890194653</stp>
        <tr r="N39" s="24"/>
      </tp>
      <tp t="e">
        <v>#N/A</v>
        <stp/>
        <stp>BDH|6983483264343988777</stp>
        <tr r="S84" s="18"/>
      </tp>
      <tp t="e">
        <v>#N/A</v>
        <stp/>
        <stp>BDH|8746735950368924266</stp>
        <tr r="G20" s="30"/>
      </tp>
      <tp t="e">
        <v>#N/A</v>
        <stp/>
        <stp>BDH|5382446537454945627</stp>
        <tr r="S26" s="17"/>
      </tp>
      <tp t="e">
        <v>#N/A</v>
        <stp/>
        <stp>BDH|4181817120489945726</stp>
        <tr r="D18" s="18"/>
      </tp>
      <tp t="e">
        <v>#N/A</v>
        <stp/>
        <stp>BDH|2673791988104972959</stp>
        <tr r="Q9" s="29"/>
      </tp>
      <tp t="e">
        <v>#N/A</v>
        <stp/>
        <stp>BDH|7758639517820982014</stp>
        <tr r="R20" s="29"/>
      </tp>
      <tp t="e">
        <v>#N/A</v>
        <stp/>
        <stp>BDH|9460372309248943289</stp>
        <tr r="N34" s="29"/>
        <tr r="N23" s="29"/>
        <tr r="N14" s="29"/>
      </tp>
      <tp t="e">
        <v>#N/A</v>
        <stp/>
        <stp>BDH|4959563471497381160</stp>
        <tr r="O28" s="22"/>
      </tp>
      <tp t="e">
        <v>#N/A</v>
        <stp/>
        <stp>BDH|1106776118501088651</stp>
        <tr r="T52" s="21"/>
      </tp>
      <tp t="e">
        <v>#N/A</v>
        <stp/>
        <stp>BDH|5293198419897934200</stp>
        <tr r="D42" s="24"/>
      </tp>
      <tp t="e">
        <v>#N/A</v>
        <stp/>
        <stp>BDH|9994857404639756840</stp>
        <tr r="M46" s="21"/>
      </tp>
      <tp t="e">
        <v>#N/A</v>
        <stp/>
        <stp>BDH|2581051801985347799</stp>
        <tr r="P62" s="21"/>
      </tp>
      <tp t="e">
        <v>#N/A</v>
        <stp/>
        <stp>BDH|7088028484487917848</stp>
        <tr r="E50" s="34"/>
      </tp>
      <tp t="e">
        <v>#N/A</v>
        <stp/>
        <stp>BDH|6829312560256385517</stp>
        <tr r="O73" s="17"/>
      </tp>
      <tp t="e">
        <v>#N/A</v>
        <stp/>
        <stp>BDH|7935358308240710484</stp>
        <tr r="F8" s="6"/>
      </tp>
      <tp t="e">
        <v>#N/A</v>
        <stp/>
        <stp>BDH|5414627154891929703</stp>
        <tr r="L89" s="17"/>
      </tp>
      <tp t="e">
        <v>#N/A</v>
        <stp/>
        <stp>BDH|9568273309559271228</stp>
        <tr r="O45" s="24"/>
      </tp>
      <tp t="e">
        <v>#N/A</v>
        <stp/>
        <stp>BDH|9999502665658250257</stp>
        <tr r="F7" s="24"/>
      </tp>
      <tp t="e">
        <v>#N/A</v>
        <stp/>
        <stp>BDH|8785013064066965803</stp>
        <tr r="D18" s="17"/>
      </tp>
      <tp t="e">
        <v>#N/A</v>
        <stp/>
        <stp>BDH|5147979647019370194</stp>
        <tr r="L18" s="24"/>
      </tp>
      <tp t="e">
        <v>#N/A</v>
        <stp/>
        <stp>BDH|2215318160120145792</stp>
        <tr r="I54" s="24"/>
      </tp>
      <tp t="e">
        <v>#N/A</v>
        <stp/>
        <stp>BDH|9082067080997596681</stp>
        <tr r="V41" s="6"/>
      </tp>
      <tp t="e">
        <v>#N/A</v>
        <stp/>
        <stp>BDH|7108415430900377085</stp>
        <tr r="C144" s="18"/>
      </tp>
      <tp t="e">
        <v>#N/A</v>
        <stp/>
        <stp>BDH|2526665043064950413</stp>
        <tr r="W63" s="34"/>
      </tp>
      <tp t="e">
        <v>#N/A</v>
        <stp/>
        <stp>BDH|3187639481608913527</stp>
        <tr r="C13" s="11"/>
      </tp>
      <tp t="e">
        <v>#N/A</v>
        <stp/>
        <stp>BDH|6839404057385078272</stp>
        <tr r="G44" s="13"/>
      </tp>
      <tp t="e">
        <v>#N/A</v>
        <stp/>
        <stp>BDH|2417019718573150048</stp>
        <tr r="Q30" s="6"/>
      </tp>
      <tp t="e">
        <v>#N/A</v>
        <stp/>
        <stp>BDH|9122296130441878987</stp>
        <tr r="Y158" s="18"/>
      </tp>
      <tp t="e">
        <v>#N/A</v>
        <stp/>
        <stp>BDH|4376540847710162595</stp>
        <tr r="H62" s="10"/>
      </tp>
      <tp t="e">
        <v>#N/A</v>
        <stp/>
        <stp>BDH|2472666047398804850</stp>
        <tr r="I160" s="18"/>
      </tp>
      <tp t="e">
        <v>#N/A</v>
        <stp/>
        <stp>BDH|6973117656485185779</stp>
        <tr r="P32" s="17"/>
      </tp>
      <tp t="e">
        <v>#N/A</v>
        <stp/>
        <stp>BDH|5984116981528495457</stp>
        <tr r="X34" s="11"/>
        <tr r="X42" s="10"/>
      </tp>
      <tp t="e">
        <v>#N/A</v>
        <stp/>
        <stp>BDH|2622280402016551613</stp>
        <tr r="P21" s="10"/>
      </tp>
      <tp t="e">
        <v>#N/A</v>
        <stp/>
        <stp>BDH|4948890006168901471</stp>
        <tr r="S40" s="18"/>
      </tp>
      <tp t="e">
        <v>#N/A</v>
        <stp/>
        <stp>BDH|4335493264706773017</stp>
        <tr r="C29" s="5"/>
      </tp>
      <tp t="e">
        <v>#N/A</v>
        <stp/>
        <stp>BDH|3015201247262654790</stp>
        <tr r="L159" s="18"/>
      </tp>
      <tp t="e">
        <v>#N/A</v>
        <stp/>
        <stp>BDH|4515935736296179896</stp>
        <tr r="I27" s="18"/>
      </tp>
      <tp t="e">
        <v>#N/A</v>
        <stp/>
        <stp>BDH|1060655247737344496</stp>
        <tr r="X159" s="18"/>
      </tp>
      <tp t="e">
        <v>#N/A</v>
        <stp/>
        <stp>BDH|3013688266204593734</stp>
        <tr r="AA106" s="12"/>
      </tp>
      <tp t="e">
        <v>#N/A</v>
        <stp/>
        <stp>BDH|1567352407702879072</stp>
        <tr r="H48" s="24"/>
      </tp>
      <tp t="e">
        <v>#N/A</v>
        <stp/>
        <stp>BDH|1910970167177083911</stp>
        <tr r="J62" s="34"/>
      </tp>
      <tp t="e">
        <v>#N/A</v>
        <stp/>
        <stp>BDH|7966041442427185462</stp>
        <tr r="U20" s="12"/>
      </tp>
      <tp t="e">
        <v>#N/A</v>
        <stp/>
        <stp>BDH|4205228656963896060</stp>
        <tr r="R23" s="25"/>
        <tr r="P21" s="11"/>
      </tp>
      <tp t="e">
        <v>#N/A</v>
        <stp/>
        <stp>BDH|6235278779382036143</stp>
        <tr r="H28" s="26"/>
      </tp>
      <tp t="e">
        <v>#N/A</v>
        <stp/>
        <stp>BDH|4994932711678078431</stp>
        <tr r="S90" s="17"/>
        <tr r="S34" s="25"/>
      </tp>
      <tp t="e">
        <v>#N/A</v>
        <stp/>
        <stp>BDH|2839606534240494704</stp>
        <tr r="S15" s="21"/>
      </tp>
      <tp t="e">
        <v>#N/A</v>
        <stp/>
        <stp>BDH|6671418053223508497</stp>
        <tr r="R96" s="12"/>
      </tp>
      <tp t="e">
        <v>#N/A</v>
        <stp/>
        <stp>BDH|8338204094931843277</stp>
        <tr r="E33" s="13"/>
        <tr r="C29" s="10"/>
      </tp>
      <tp t="e">
        <v>#N/A</v>
        <stp/>
        <stp>BDH|8076053145705876908</stp>
        <tr r="G90" s="12"/>
      </tp>
      <tp t="e">
        <v>#N/A</v>
        <stp/>
        <stp>BDH|3989906933519242000</stp>
        <tr r="T10" s="30"/>
      </tp>
      <tp t="e">
        <v>#N/A</v>
        <stp/>
        <stp>BDH|4187700299678986298</stp>
        <tr r="D8" s="26"/>
      </tp>
      <tp t="e">
        <v>#N/A</v>
        <stp/>
        <stp>BDH|4564148472240953227</stp>
        <tr r="E23" s="26"/>
      </tp>
      <tp t="e">
        <v>#N/A</v>
        <stp/>
        <stp>BDH|1883764790409235645</stp>
        <tr r="O19" s="22"/>
      </tp>
      <tp t="e">
        <v>#N/A</v>
        <stp/>
        <stp>BDH|7880783312055957430</stp>
        <tr r="L9" s="34"/>
      </tp>
      <tp t="e">
        <v>#N/A</v>
        <stp/>
        <stp>BDH|9549415186344285184</stp>
        <tr r="M11" s="20"/>
        <tr r="M112" s="18"/>
      </tp>
      <tp t="e">
        <v>#N/A</v>
        <stp/>
        <stp>BDH|3995420943834179707</stp>
        <tr r="S81" s="12"/>
      </tp>
      <tp t="e">
        <v>#N/A</v>
        <stp/>
        <stp>BDH|4893431509676966629</stp>
        <tr r="J10" s="11"/>
      </tp>
      <tp t="e">
        <v>#N/A</v>
        <stp/>
        <stp>BDH|8813586270159143383</stp>
        <tr r="O42" s="4"/>
      </tp>
      <tp t="e">
        <v>#N/A</v>
        <stp/>
        <stp>BDH|9141596785737352371</stp>
        <tr r="U7" s="14"/>
      </tp>
      <tp t="e">
        <v>#N/A</v>
        <stp/>
        <stp>BDH|7250180700651342706</stp>
        <tr r="F23" s="9"/>
      </tp>
      <tp t="e">
        <v>#N/A</v>
        <stp/>
        <stp>BDH|3241566023266765297</stp>
        <tr r="M29" s="12"/>
      </tp>
      <tp t="e">
        <v>#N/A</v>
        <stp/>
        <stp>BDH|6449195042067620402</stp>
        <tr r="P119" s="18"/>
      </tp>
      <tp t="e">
        <v>#N/A</v>
        <stp/>
        <stp>BDH|9006954163077757181</stp>
        <tr r="AA20" s="30"/>
      </tp>
      <tp t="e">
        <v>#N/A</v>
        <stp/>
        <stp>BDH|1844198739131951288</stp>
        <tr r="X31" s="26"/>
        <tr r="U14" s="9"/>
      </tp>
      <tp t="e">
        <v>#N/A</v>
        <stp/>
        <stp>BDH|7543337759539158873</stp>
        <tr r="U8" s="13"/>
      </tp>
      <tp t="e">
        <v>#N/A</v>
        <stp/>
        <stp>BDH|9652483213734507812</stp>
        <tr r="P12" s="20"/>
        <tr r="P113" s="18"/>
      </tp>
      <tp t="e">
        <v>#N/A</v>
        <stp/>
        <stp>BDH|1499067207446515798</stp>
        <tr r="AA19" s="24"/>
      </tp>
      <tp t="e">
        <v>#N/A</v>
        <stp/>
        <stp>BDH|5421591365343465554</stp>
        <tr r="D25" s="6"/>
      </tp>
      <tp t="e">
        <v>#N/A</v>
        <stp/>
        <stp>BDH|4767525429905388660</stp>
        <tr r="T135" s="18"/>
      </tp>
      <tp t="e">
        <v>#N/A</v>
        <stp/>
        <stp>BDH|9295136484713893344</stp>
        <tr r="X54" s="24"/>
      </tp>
      <tp t="e">
        <v>#N/A</v>
        <stp/>
        <stp>BDH|8294866720087535589</stp>
        <tr r="S56" s="11"/>
        <tr r="S24" s="4"/>
      </tp>
      <tp t="e">
        <v>#N/A</v>
        <stp/>
        <stp>BDH|6374374874360155280</stp>
        <tr r="X17" s="11"/>
      </tp>
      <tp t="e">
        <v>#N/A</v>
        <stp/>
        <stp>BDH|8297897837646283575</stp>
        <tr r="R103" s="12"/>
      </tp>
      <tp t="e">
        <v>#N/A</v>
        <stp/>
        <stp>BDH|2197434820985233193</stp>
        <tr r="E10" s="13"/>
      </tp>
      <tp t="e">
        <v>#N/A</v>
        <stp/>
        <stp>BDH|3028731154541929070</stp>
        <tr r="L46" s="18"/>
      </tp>
      <tp t="e">
        <v>#N/A</v>
        <stp/>
        <stp>BDH|7823260856784821493</stp>
        <tr r="O30" s="6"/>
      </tp>
      <tp t="e">
        <v>#N/A</v>
        <stp/>
        <stp>BDH|8444983633455613705</stp>
        <tr r="O83" s="17"/>
      </tp>
      <tp t="e">
        <v>#N/A</v>
        <stp/>
        <stp>BDH|9603801115123265381</stp>
        <tr r="M20" s="17"/>
      </tp>
      <tp t="e">
        <v>#N/A</v>
        <stp/>
        <stp>BDH|3212295064207141075</stp>
        <tr r="P34" s="17"/>
      </tp>
      <tp t="e">
        <v>#N/A</v>
        <stp/>
        <stp>BDH|7061097041935262638</stp>
        <tr r="L7" s="29"/>
        <tr r="L29" s="29"/>
      </tp>
      <tp t="e">
        <v>#N/A</v>
        <stp/>
        <stp>BDH|2828352228557467485</stp>
        <tr r="K14" s="28"/>
      </tp>
      <tp t="e">
        <v>#N/A</v>
        <stp/>
        <stp>BDH|1257693400490027729</stp>
        <tr r="L17" s="24"/>
      </tp>
      <tp t="e">
        <v>#N/A</v>
        <stp/>
        <stp>BDH|9010287146888076771</stp>
        <tr r="AA11" s="13"/>
      </tp>
      <tp t="e">
        <v>#N/A</v>
        <stp/>
        <stp>BDH|3677429080459908642</stp>
        <tr r="Z8" s="23"/>
      </tp>
      <tp t="e">
        <v>#N/A</v>
        <stp/>
        <stp>BDH|5399026943563216290</stp>
        <tr r="H13" s="7"/>
      </tp>
      <tp t="e">
        <v>#N/A</v>
        <stp/>
        <stp>BDH|5651336909686291077</stp>
        <tr r="M18" s="6"/>
      </tp>
      <tp t="e">
        <v>#N/A</v>
        <stp/>
        <stp>BDH|3509091317472594077</stp>
        <tr r="M40" s="29"/>
      </tp>
      <tp t="e">
        <v>#N/A</v>
        <stp/>
        <stp>BDH|1698807898788072875</stp>
        <tr r="Y19" s="24"/>
      </tp>
      <tp t="e">
        <v>#N/A</v>
        <stp/>
        <stp>BDH|8837845553734684103</stp>
        <tr r="Y30" s="21"/>
      </tp>
      <tp t="e">
        <v>#N/A</v>
        <stp/>
        <stp>BDH|6800758153677110365</stp>
        <tr r="P72" s="17"/>
      </tp>
      <tp t="e">
        <v>#N/A</v>
        <stp/>
        <stp>BDH|5881386882776253896</stp>
        <tr r="M25" s="21"/>
      </tp>
      <tp t="e">
        <v>#N/A</v>
        <stp/>
        <stp>BDH|7249988136264750921</stp>
        <tr r="AA72" s="24"/>
      </tp>
      <tp t="e">
        <v>#N/A</v>
        <stp/>
        <stp>BDH|6744734733970616285</stp>
        <tr r="P15" s="24"/>
      </tp>
      <tp t="e">
        <v>#N/A</v>
        <stp/>
        <stp>BDH|6757835066778293093</stp>
        <tr r="S74" s="17"/>
      </tp>
      <tp t="e">
        <v>#N/A</v>
        <stp/>
        <stp>BDH|7350106139052689756</stp>
        <tr r="D14" s="4"/>
      </tp>
      <tp t="e">
        <v>#N/A</v>
        <stp/>
        <stp>BDH|7229529304153925145</stp>
        <tr r="R36" s="29"/>
        <tr r="R16" s="29"/>
      </tp>
      <tp t="e">
        <v>#N/A</v>
        <stp/>
        <stp>BDH|9222039996000674080</stp>
        <tr r="I19" s="9"/>
      </tp>
      <tp t="e">
        <v>#N/A</v>
        <stp/>
        <stp>BDH|7781610024714982728</stp>
        <tr r="S85" s="18"/>
      </tp>
      <tp t="e">
        <v>#N/A</v>
        <stp/>
        <stp>BDH|1543736897248081787</stp>
        <tr r="K35" s="4"/>
      </tp>
      <tp t="e">
        <v>#N/A</v>
        <stp/>
        <stp>BDH|1898113920086446441</stp>
        <tr r="N14" s="21"/>
      </tp>
      <tp t="e">
        <v>#N/A</v>
        <stp/>
        <stp>BDH|6833100874639431919</stp>
        <tr r="C44" s="22"/>
      </tp>
      <tp t="e">
        <v>#N/A</v>
        <stp/>
        <stp>BDH|8295195356399115551</stp>
        <tr r="E152" s="18"/>
      </tp>
      <tp t="e">
        <v>#N/A</v>
        <stp/>
        <stp>BDH|4942107407801413434</stp>
        <tr r="V10" s="23"/>
      </tp>
      <tp t="e">
        <v>#N/A</v>
        <stp/>
        <stp>BDH|5227164412970751584</stp>
        <tr r="L13" s="6"/>
      </tp>
      <tp t="e">
        <v>#N/A</v>
        <stp/>
        <stp>BDH|9357857186431905808</stp>
        <tr r="N166" s="18"/>
      </tp>
      <tp t="e">
        <v>#N/A</v>
        <stp/>
        <stp>BDH|7865349712221011472</stp>
        <tr r="D76" s="17"/>
      </tp>
      <tp t="e">
        <v>#N/A</v>
        <stp/>
        <stp>BDH|2420754401630803561</stp>
        <tr r="P68" s="34"/>
      </tp>
      <tp t="e">
        <v>#N/A</v>
        <stp/>
        <stp>BDH|2558903312143959903</stp>
        <tr r="M37" s="22"/>
      </tp>
      <tp t="e">
        <v>#N/A</v>
        <stp/>
        <stp>BDH|6539756726086856501</stp>
        <tr r="V51" s="22"/>
      </tp>
      <tp t="e">
        <v>#N/A</v>
        <stp/>
        <stp>BDH|6890989076798026084</stp>
        <tr r="K16" s="30"/>
      </tp>
      <tp t="e">
        <v>#N/A</v>
        <stp/>
        <stp>BDH|4641021828435152335</stp>
        <tr r="E12" s="22"/>
      </tp>
      <tp t="e">
        <v>#N/A</v>
        <stp/>
        <stp>BDH|5474007877821987341</stp>
        <tr r="S150" s="18"/>
      </tp>
      <tp t="e">
        <v>#N/A</v>
        <stp/>
        <stp>BDH|4139198636777892184</stp>
        <tr r="R61" s="18"/>
      </tp>
      <tp t="e">
        <v>#N/A</v>
        <stp/>
        <stp>BDH|3628596342156778442</stp>
        <tr r="U43" s="17"/>
        <tr r="U9" s="25"/>
      </tp>
      <tp t="e">
        <v>#N/A</v>
        <stp/>
        <stp>BDH|2365306778631176741</stp>
        <tr r="V18" s="27"/>
        <tr r="V32" s="25"/>
      </tp>
      <tp t="e">
        <v>#N/A</v>
        <stp/>
        <stp>BDH|5053780575242722745</stp>
        <tr r="X64" s="24"/>
      </tp>
      <tp t="e">
        <v>#N/A</v>
        <stp/>
        <stp>BDH|9475945293070459997</stp>
        <tr r="L62" s="10"/>
      </tp>
      <tp t="e">
        <v>#N/A</v>
        <stp/>
        <stp>BDH|6926116758537676585</stp>
        <tr r="V23" s="5"/>
      </tp>
      <tp t="e">
        <v>#N/A</v>
        <stp/>
        <stp>BDH|2628176909840363359</stp>
        <tr r="U28" s="34"/>
      </tp>
      <tp t="e">
        <v>#N/A</v>
        <stp/>
        <stp>BDH|8774684693020697748</stp>
        <tr r="V63" s="34"/>
      </tp>
      <tp t="e">
        <v>#N/A</v>
        <stp/>
        <stp>BDH|7608818695726540099</stp>
        <tr r="W50" s="4"/>
      </tp>
      <tp t="e">
        <v>#N/A</v>
        <stp/>
        <stp>BDH|7382315920800875640</stp>
        <tr r="T25" s="10"/>
      </tp>
      <tp t="e">
        <v>#N/A</v>
        <stp/>
        <stp>BDH|7650635750452914621</stp>
        <tr r="H61" s="12"/>
      </tp>
      <tp t="e">
        <v>#N/A</v>
        <stp/>
        <stp>BDH|5772263161072935373</stp>
        <tr r="F22" s="9"/>
      </tp>
      <tp t="e">
        <v>#N/A</v>
        <stp/>
        <stp>BDH|4514634502270981238</stp>
        <tr r="Y43" s="24"/>
      </tp>
      <tp t="e">
        <v>#N/A</v>
        <stp/>
        <stp>BDH|9555226388464807791</stp>
        <tr r="S10" s="26"/>
      </tp>
      <tp t="e">
        <v>#N/A</v>
        <stp/>
        <stp>BDH|5753277284366267981</stp>
        <tr r="W69" s="18"/>
      </tp>
      <tp t="e">
        <v>#N/A</v>
        <stp/>
        <stp>BDH|2214787253030744004</stp>
        <tr r="V13" s="21"/>
      </tp>
      <tp t="e">
        <v>#N/A</v>
        <stp/>
        <stp>BDH|3979035220405307470</stp>
        <tr r="J80" s="12"/>
      </tp>
      <tp t="e">
        <v>#N/A</v>
        <stp/>
        <stp>BDH|1032013974654398286</stp>
        <tr r="R52" s="18"/>
      </tp>
      <tp t="e">
        <v>#N/A</v>
        <stp/>
        <stp>BDH|2246429763049532987</stp>
        <tr r="I73" s="12"/>
      </tp>
      <tp t="e">
        <v>#N/A</v>
        <stp/>
        <stp>BDH|4693463201029851976</stp>
        <tr r="I11" s="12"/>
      </tp>
      <tp t="e">
        <v>#N/A</v>
        <stp/>
        <stp>BDH|3201687916875601146</stp>
        <tr r="AA10" s="22"/>
      </tp>
      <tp t="e">
        <v>#N/A</v>
        <stp/>
        <stp>BDH|4622080101967214332</stp>
        <tr r="Q61" s="13"/>
      </tp>
      <tp t="e">
        <v>#N/A</v>
        <stp/>
        <stp>BDH|3793470148256235540</stp>
        <tr r="V36" s="12"/>
      </tp>
      <tp t="e">
        <v>#N/A</v>
        <stp/>
        <stp>BDH|2734119805337572486</stp>
        <tr r="F24" s="17"/>
      </tp>
      <tp t="e">
        <v>#N/A</v>
        <stp/>
        <stp>BDH|5979821726706206919</stp>
        <tr r="H20" s="29"/>
      </tp>
      <tp t="e">
        <v>#N/A</v>
        <stp/>
        <stp>BDH|8778995737275300748</stp>
        <tr r="AA165" s="18"/>
      </tp>
      <tp t="e">
        <v>#N/A</v>
        <stp/>
        <stp>BDH|4260956984824401190</stp>
        <tr r="S41" s="21"/>
      </tp>
      <tp t="e">
        <v>#N/A</v>
        <stp/>
        <stp>BDH|1970575564675381777</stp>
        <tr r="H98" s="18"/>
      </tp>
      <tp t="e">
        <v>#N/A</v>
        <stp/>
        <stp>BDH|1931234162192652708</stp>
        <tr r="R23" s="9"/>
      </tp>
      <tp t="e">
        <v>#N/A</v>
        <stp/>
        <stp>BDH|4923049667821783331</stp>
        <tr r="S127" s="18"/>
      </tp>
      <tp t="e">
        <v>#N/A</v>
        <stp/>
        <stp>BDH|7316268578500255213</stp>
        <tr r="I19" s="23"/>
        <tr r="G59" s="11"/>
      </tp>
      <tp t="e">
        <v>#N/A</v>
        <stp/>
        <stp>BDH|1788303701444108695</stp>
        <tr r="X83" s="17"/>
      </tp>
      <tp t="e">
        <v>#N/A</v>
        <stp/>
        <stp>BDH|5537897861869773241</stp>
        <tr r="W36" s="18"/>
      </tp>
      <tp t="e">
        <v>#N/A</v>
        <stp/>
        <stp>BDH|4668241914834149391</stp>
        <tr r="U28" s="12"/>
      </tp>
      <tp t="e">
        <v>#N/A</v>
        <stp/>
        <stp>BDH|6396685157126335313</stp>
        <tr r="F20" s="30"/>
      </tp>
      <tp t="e">
        <v>#N/A</v>
        <stp/>
        <stp>BDH|6893559864367463238</stp>
        <tr r="AA21" s="17"/>
        <tr r="AA15" s="3"/>
      </tp>
      <tp t="e">
        <v>#N/A</v>
        <stp/>
        <stp>BDH|8437235993347391490</stp>
        <tr r="X23" s="24"/>
      </tp>
      <tp t="e">
        <v>#N/A</v>
        <stp/>
        <stp>BDH|3008693822193656438</stp>
        <tr r="M116" s="18"/>
      </tp>
      <tp t="e">
        <v>#N/A</v>
        <stp/>
        <stp>BDH|9698546334788049783</stp>
        <tr r="N16" s="17"/>
        <tr r="N19" s="28"/>
      </tp>
      <tp t="e">
        <v>#N/A</v>
        <stp/>
        <stp>BDH|7077725437456818539</stp>
        <tr r="W137" s="18"/>
      </tp>
      <tp t="e">
        <v>#N/A</v>
        <stp/>
        <stp>BDH|6109899110828256755</stp>
        <tr r="F32" s="24"/>
      </tp>
      <tp t="e">
        <v>#N/A</v>
        <stp/>
        <stp>BDH|1078237367546862332</stp>
        <tr r="J30" s="9"/>
      </tp>
      <tp t="e">
        <v>#N/A</v>
        <stp/>
        <stp>BDH|4523103816170525493</stp>
        <tr r="Y13" s="20"/>
        <tr r="Y114" s="18"/>
      </tp>
      <tp t="e">
        <v>#N/A</v>
        <stp/>
        <stp>BDH|5026695993629015350</stp>
        <tr r="P79" s="12"/>
      </tp>
      <tp t="e">
        <v>#N/A</v>
        <stp/>
        <stp>BDH|5935175845485213560</stp>
        <tr r="F14" s="22"/>
      </tp>
      <tp t="e">
        <v>#N/A</v>
        <stp/>
        <stp>BDH|8060273463738860437</stp>
        <tr r="P102" s="12"/>
      </tp>
      <tp t="e">
        <v>#N/A</v>
        <stp/>
        <stp>BDH|8827194382481593098</stp>
        <tr r="T6" s="19"/>
        <tr r="T35" s="17"/>
        <tr r="T16" s="3"/>
      </tp>
      <tp t="e">
        <v>#N/A</v>
        <stp/>
        <stp>BDH|8977107843125669835</stp>
        <tr r="AA88" s="18"/>
      </tp>
      <tp t="e">
        <v>#N/A</v>
        <stp/>
        <stp>BDH|3798510978529695877</stp>
        <tr r="Y39" s="13"/>
        <tr r="W35" s="11"/>
        <tr r="W43" s="10"/>
        <tr r="Y8" s="3"/>
        <tr r="W52" s="4"/>
      </tp>
      <tp t="e">
        <v>#N/A</v>
        <stp/>
        <stp>BDH|1470831494228828844</stp>
        <tr r="D58" s="17"/>
      </tp>
      <tp t="e">
        <v>#N/A</v>
        <stp/>
        <stp>BDH|2808384513761558193</stp>
        <tr r="H61" s="17"/>
      </tp>
      <tp t="e">
        <v>#N/A</v>
        <stp/>
        <stp>BDH|7067363443642834225</stp>
        <tr r="H40" s="12"/>
      </tp>
      <tp t="e">
        <v>#N/A</v>
        <stp/>
        <stp>BDH|2554054639584750514</stp>
        <tr r="P70" s="24"/>
      </tp>
      <tp t="e">
        <v>#N/A</v>
        <stp/>
        <stp>BDH|1425747363624940453</stp>
        <tr r="P17" s="18"/>
      </tp>
      <tp t="e">
        <v>#N/A</v>
        <stp/>
        <stp>BDH|6498853938134197976</stp>
        <tr r="K97" s="12"/>
      </tp>
      <tp t="e">
        <v>#N/A</v>
        <stp/>
        <stp>BDH|8901646064141632900</stp>
        <tr r="D49" s="13"/>
      </tp>
      <tp t="e">
        <v>#N/A</v>
        <stp/>
        <stp>BDH|3860671951171577145</stp>
        <tr r="W42" s="11"/>
        <tr r="W50" s="10"/>
        <tr r="W14" s="7"/>
        <tr r="Y9" s="3"/>
      </tp>
      <tp t="e">
        <v>#N/A</v>
        <stp/>
        <stp>BDH|3289998215028722366</stp>
        <tr r="L58" s="21"/>
        <tr r="L37" s="25"/>
        <tr r="J53" s="11"/>
        <tr r="J31" s="4"/>
      </tp>
      <tp t="e">
        <v>#N/A</v>
        <stp/>
        <stp>BDH|4073880668653725984</stp>
        <tr r="U59" s="12"/>
      </tp>
      <tp t="e">
        <v>#N/A</v>
        <stp/>
        <stp>BDH|7014159778223586275</stp>
        <tr r="Q72" s="18"/>
      </tp>
      <tp t="e">
        <v>#N/A</v>
        <stp/>
        <stp>BDH|9088633390233894547</stp>
        <tr r="K24" s="17"/>
      </tp>
      <tp t="e">
        <v>#N/A</v>
        <stp/>
        <stp>BDH|5145916963052847841</stp>
        <tr r="G38" s="26"/>
      </tp>
      <tp t="e">
        <v>#N/A</v>
        <stp/>
        <stp>BDH|4794018558644420553</stp>
        <tr r="S21" s="2"/>
      </tp>
      <tp t="e">
        <v>#N/A</v>
        <stp/>
        <stp>BDH|9403275787123915023</stp>
        <tr r="H58" s="17"/>
      </tp>
      <tp t="e">
        <v>#N/A</v>
        <stp/>
        <stp>BDH|2844368642270772540</stp>
        <tr r="AA18" s="20"/>
      </tp>
      <tp t="e">
        <v>#N/A</v>
        <stp/>
        <stp>BDH|1198609141934945764</stp>
        <tr r="P52" s="17"/>
        <tr r="P17" s="3"/>
      </tp>
      <tp t="e">
        <v>#N/A</v>
        <stp/>
        <stp>BDH|9143974118835029413</stp>
        <tr r="N22" s="22"/>
      </tp>
      <tp t="e">
        <v>#N/A</v>
        <stp/>
        <stp>BDH|7116237338844170241</stp>
        <tr r="Q18" s="14"/>
      </tp>
      <tp t="e">
        <v>#N/A</v>
        <stp/>
        <stp>BDH|9596891174356269055</stp>
        <tr r="C14" s="11"/>
      </tp>
      <tp t="e">
        <v>#N/A</v>
        <stp/>
        <stp>BDH|8788094492522008332</stp>
        <tr r="C43" s="22"/>
      </tp>
      <tp t="e">
        <v>#N/A</v>
        <stp/>
        <stp>BDH|9850112338288978379</stp>
        <tr r="C38" s="17"/>
      </tp>
      <tp t="e">
        <v>#N/A</v>
        <stp/>
        <stp>BDH|9648218966868681586</stp>
        <tr r="X135" s="18"/>
      </tp>
      <tp t="e">
        <v>#N/A</v>
        <stp/>
        <stp>BDH|9461805927193903058</stp>
        <tr r="F6" s="19"/>
        <tr r="F35" s="17"/>
        <tr r="F16" s="3"/>
      </tp>
      <tp t="e">
        <v>#N/A</v>
        <stp/>
        <stp>BDH|3631301072787280097</stp>
        <tr r="U11" s="14"/>
      </tp>
      <tp t="e">
        <v>#N/A</v>
        <stp/>
        <stp>BDH|9013663367501799894</stp>
        <tr r="S39" s="18"/>
      </tp>
      <tp t="e">
        <v>#N/A</v>
        <stp/>
        <stp>BDH|2345288507672567261</stp>
        <tr r="O7" s="28"/>
      </tp>
      <tp t="e">
        <v>#N/A</v>
        <stp/>
        <stp>BDH|7641145839417184250</stp>
        <tr r="C21" s="2"/>
      </tp>
      <tp t="e">
        <v>#N/A</v>
        <stp/>
        <stp>BDH|9547012988267311608</stp>
        <tr r="E8" s="14"/>
      </tp>
      <tp t="e">
        <v>#N/A</v>
        <stp/>
        <stp>BDH|6959971996544793207</stp>
        <tr r="R48" s="24"/>
      </tp>
      <tp t="e">
        <v>#N/A</v>
        <stp/>
        <stp>BDH|8514331775035888946</stp>
        <tr r="U107" s="12"/>
      </tp>
      <tp t="e">
        <v>#N/A</v>
        <stp/>
        <stp>BDH|4518655958542170557</stp>
        <tr r="M59" s="12"/>
      </tp>
      <tp t="e">
        <v>#N/A</v>
        <stp/>
        <stp>BDH|1696733239392402748</stp>
        <tr r="U49" s="4"/>
      </tp>
      <tp t="e">
        <v>#N/A</v>
        <stp/>
        <stp>BDH|5979171038550963734</stp>
        <tr r="D22" s="18"/>
      </tp>
      <tp t="e">
        <v>#N/A</v>
        <stp/>
        <stp>BDH|6648663710889977858</stp>
        <tr r="G7" s="14"/>
      </tp>
      <tp t="e">
        <v>#N/A</v>
        <stp/>
        <stp>BDH|7279360638280456740</stp>
        <tr r="P34" s="6"/>
      </tp>
      <tp t="e">
        <v>#N/A</v>
        <stp/>
        <stp>BDH|2366517473225984548</stp>
        <tr r="Z30" s="17"/>
      </tp>
      <tp t="e">
        <v>#N/A</v>
        <stp/>
        <stp>BDH|3660242275881964729</stp>
        <tr r="Q11" s="9"/>
      </tp>
      <tp t="e">
        <v>#N/A</v>
        <stp/>
        <stp>BDH|5862251876453270357</stp>
        <tr r="Q143" s="18"/>
      </tp>
      <tp t="e">
        <v>#N/A</v>
        <stp/>
        <stp>BDH|9001301490266959554</stp>
        <tr r="J90" s="17"/>
        <tr r="J34" s="25"/>
      </tp>
      <tp t="e">
        <v>#N/A</v>
        <stp/>
        <stp>BDH|9961647266390721905</stp>
        <tr r="D62" s="10"/>
      </tp>
      <tp t="e">
        <v>#N/A</v>
        <stp/>
        <stp>BDH|7154323715464324194</stp>
        <tr r="Q96" s="12"/>
      </tp>
      <tp t="e">
        <v>#N/A</v>
        <stp/>
        <stp>BDH|2052164325624711581</stp>
        <tr r="I139" s="18"/>
      </tp>
      <tp t="e">
        <v>#N/A</v>
        <stp/>
        <stp>BDH|7885524295173523868</stp>
        <tr r="P72" s="12"/>
      </tp>
      <tp t="e">
        <v>#N/A</v>
        <stp/>
        <stp>BDH|4076174858441584168</stp>
        <tr r="P24" s="20"/>
      </tp>
      <tp t="e">
        <v>#N/A</v>
        <stp/>
        <stp>BDH|5628694728732364380</stp>
        <tr r="O8" s="34"/>
      </tp>
      <tp t="e">
        <v>#N/A</v>
        <stp/>
        <stp>BDH|1727822391224964412</stp>
        <tr r="T57" s="18"/>
      </tp>
      <tp t="e">
        <v>#N/A</v>
        <stp/>
        <stp>BDH|6820719711409055943</stp>
        <tr r="P8" s="17"/>
      </tp>
      <tp t="e">
        <v>#N/A</v>
        <stp/>
        <stp>BDH|3633938480300043297</stp>
        <tr r="I15" s="23"/>
        <tr r="G58" s="11"/>
      </tp>
      <tp t="e">
        <v>#N/A</v>
        <stp/>
        <stp>BDH|2205374778932936485</stp>
        <tr r="M48" s="18"/>
      </tp>
      <tp t="e">
        <v>#N/A</v>
        <stp/>
        <stp>BDH|3251590368927610796</stp>
        <tr r="T73" s="24"/>
      </tp>
      <tp t="e">
        <v>#N/A</v>
        <stp/>
        <stp>BDH|5993319962135020568</stp>
        <tr r="I40" s="12"/>
      </tp>
      <tp t="e">
        <v>#N/A</v>
        <stp/>
        <stp>BDH|8310189694318267817</stp>
        <tr r="G14" s="34"/>
      </tp>
      <tp t="e">
        <v>#N/A</v>
        <stp/>
        <stp>BDH|7497020450493377197</stp>
        <tr r="K6" s="16"/>
        <tr r="L6" s="11"/>
        <tr r="L10" s="4"/>
        <tr r="N6" s="3"/>
      </tp>
      <tp t="e">
        <v>#N/A</v>
        <stp/>
        <stp>BDH|6027270008860239414</stp>
        <tr r="M45" s="17"/>
      </tp>
      <tp t="e">
        <v>#N/A</v>
        <stp/>
        <stp>BDH|8914924603603763239</stp>
        <tr r="S41" s="22"/>
      </tp>
      <tp t="e">
        <v>#N/A</v>
        <stp/>
        <stp>BDH|6539509033126275680</stp>
        <tr r="U65" s="21"/>
        <tr r="R28" s="6"/>
      </tp>
      <tp t="e">
        <v>#N/A</v>
        <stp/>
        <stp>BDH|6611137041785986616</stp>
        <tr r="U35" s="34"/>
      </tp>
      <tp t="e">
        <v>#N/A</v>
        <stp/>
        <stp>BDH|6133033388008092667</stp>
        <tr r="P21" s="4"/>
      </tp>
      <tp t="e">
        <v>#N/A</v>
        <stp/>
        <stp>BDH|5067989783551639517</stp>
        <tr r="K11" s="13"/>
      </tp>
      <tp t="e">
        <v>#N/A</v>
        <stp/>
        <stp>BDH|2072042124852838240</stp>
        <tr r="E91" s="18"/>
      </tp>
      <tp t="e">
        <v>#N/A</v>
        <stp/>
        <stp>BDH|4551685833669510879</stp>
        <tr r="Z19" s="23"/>
        <tr r="X59" s="11"/>
      </tp>
      <tp t="e">
        <v>#N/A</v>
        <stp/>
        <stp>BDH|9613507582996890208</stp>
        <tr r="H152" s="18"/>
      </tp>
      <tp t="e">
        <v>#N/A</v>
        <stp/>
        <stp>BDH|6674452918886057569</stp>
        <tr r="G34" s="22"/>
      </tp>
      <tp t="e">
        <v>#N/A</v>
        <stp/>
        <stp>BDH|5419216099759200731</stp>
        <tr r="AA13" s="23"/>
        <tr r="Y57" s="11"/>
        <tr r="Y38" s="4"/>
      </tp>
      <tp t="e">
        <v>#N/A</v>
        <stp/>
        <stp>BDH|4513726823587148687</stp>
        <tr r="N10" s="17"/>
      </tp>
      <tp t="e">
        <v>#N/A</v>
        <stp/>
        <stp>BDH|2374867338648549152</stp>
        <tr r="G27" s="26"/>
      </tp>
      <tp t="e">
        <v>#N/A</v>
        <stp/>
        <stp>BDH|1010440537097949176</stp>
        <tr r="AA49" s="18"/>
      </tp>
      <tp t="e">
        <v>#N/A</v>
        <stp/>
        <stp>BDH|5803456102316625744</stp>
        <tr r="R47" s="17"/>
      </tp>
      <tp t="e">
        <v>#N/A</v>
        <stp/>
        <stp>BDH|6926398348041297070</stp>
        <tr r="Y129" s="18"/>
      </tp>
      <tp t="e">
        <v>#N/A</v>
        <stp/>
        <stp>BDH|3632658345931912020</stp>
        <tr r="N54" s="17"/>
      </tp>
      <tp t="e">
        <v>#N/A</v>
        <stp/>
        <stp>BDH|6739490340752623455</stp>
        <tr r="N17" s="24"/>
      </tp>
      <tp t="e">
        <v>#N/A</v>
        <stp/>
        <stp>BDH|7277552666691465586</stp>
        <tr r="R9" s="26"/>
      </tp>
      <tp t="e">
        <v>#N/A</v>
        <stp/>
        <stp>BDH|4560612056565938261</stp>
        <tr r="Y34" s="18"/>
      </tp>
      <tp t="e">
        <v>#N/A</v>
        <stp/>
        <stp>BDH|9752623277820758888</stp>
        <tr r="T101" s="12"/>
      </tp>
      <tp t="e">
        <v>#N/A</v>
        <stp/>
        <stp>BDH|4056888796347754249</stp>
        <tr r="X31" s="17"/>
      </tp>
      <tp t="e">
        <v>#N/A</v>
        <stp/>
        <stp>BDH|3497618134187453187</stp>
        <tr r="V122" s="18"/>
      </tp>
      <tp t="e">
        <v>#N/A</v>
        <stp/>
        <stp>BDH|7112552348903898591</stp>
        <tr r="P64" s="12"/>
      </tp>
      <tp t="e">
        <v>#N/A</v>
        <stp/>
        <stp>BDH|7371124775640835113</stp>
        <tr r="H57" s="24"/>
      </tp>
      <tp t="e">
        <v>#N/A</v>
        <stp/>
        <stp>BDH|3122589108847936155</stp>
        <tr r="T36" s="12"/>
      </tp>
      <tp t="e">
        <v>#N/A</v>
        <stp/>
        <stp>BDH|3626154986043014982</stp>
        <tr r="E21" s="2"/>
      </tp>
      <tp t="e">
        <v>#N/A</v>
        <stp/>
        <stp>BDH|6714283782388222426</stp>
        <tr r="L9" s="29"/>
      </tp>
      <tp t="e">
        <v>#N/A</v>
        <stp/>
        <stp>BDH|7119780952443531631</stp>
        <tr r="G83" s="18"/>
      </tp>
      <tp t="e">
        <v>#N/A</v>
        <stp/>
        <stp>BDH|4856347427535697009</stp>
        <tr r="Z81" s="12"/>
      </tp>
      <tp t="e">
        <v>#N/A</v>
        <stp/>
        <stp>BDH|2760502961286346785</stp>
        <tr r="AA74" s="18"/>
      </tp>
      <tp t="e">
        <v>#N/A</v>
        <stp/>
        <stp>BDH|1470072774423327594</stp>
        <tr r="V65" s="10"/>
        <tr r="V39" s="4"/>
      </tp>
      <tp t="e">
        <v>#N/A</v>
        <stp/>
        <stp>BDH|3593189124665507511</stp>
        <tr r="X39" s="18"/>
      </tp>
      <tp t="e">
        <v>#N/A</v>
        <stp/>
        <stp>BDH|1849082139973502118</stp>
        <tr r="W15" s="13"/>
      </tp>
      <tp t="e">
        <v>#N/A</v>
        <stp/>
        <stp>BDH|1824658326007754219</stp>
        <tr r="R71" s="17"/>
      </tp>
      <tp t="e">
        <v>#N/A</v>
        <stp/>
        <stp>BDH|6604020278983483257</stp>
        <tr r="H30" s="5"/>
      </tp>
      <tp t="e">
        <v>#N/A</v>
        <stp/>
        <stp>BDH|2634383497491431901</stp>
        <tr r="E13" s="22"/>
      </tp>
      <tp t="e">
        <v>#N/A</v>
        <stp/>
        <stp>BDH|4545429348036352210</stp>
        <tr r="V26" s="17"/>
      </tp>
      <tp t="e">
        <v>#N/A</v>
        <stp/>
        <stp>BDH|9627429878739750361</stp>
        <tr r="D22" s="7"/>
      </tp>
      <tp t="e">
        <v>#N/A</v>
        <stp/>
        <stp>BDH|7254796337675998684</stp>
        <tr r="K55" s="13"/>
        <tr r="I48" s="11"/>
        <tr r="I56" s="10"/>
        <tr r="I18" s="7"/>
      </tp>
      <tp t="e">
        <v>#N/A</v>
        <stp/>
        <stp>BDH|1151010612870966061</stp>
        <tr r="G18" s="24"/>
      </tp>
      <tp t="e">
        <v>#N/A</v>
        <stp/>
        <stp>BDH|5452260245082385197</stp>
        <tr r="V147" s="18"/>
      </tp>
      <tp t="e">
        <v>#N/A</v>
        <stp/>
        <stp>BDH|5384690316387108506</stp>
        <tr r="R21" s="17"/>
        <tr r="R15" s="3"/>
      </tp>
      <tp t="e">
        <v>#N/A</v>
        <stp/>
        <stp>BDH|5297584212514277572</stp>
        <tr r="H11" s="9"/>
      </tp>
      <tp t="e">
        <v>#N/A</v>
        <stp/>
        <stp>BDH|6702134820282931708</stp>
        <tr r="E40" s="12"/>
      </tp>
      <tp t="e">
        <v>#N/A</v>
        <stp/>
        <stp>BDH|9938933753601793432</stp>
        <tr r="D35" s="21"/>
      </tp>
      <tp t="e">
        <v>#N/A</v>
        <stp/>
        <stp>BDH|8508229017572960947</stp>
        <tr r="Q21" s="21"/>
      </tp>
      <tp t="e">
        <v>#N/A</v>
        <stp/>
        <stp>BDH|4480719449165555249</stp>
        <tr r="U10" s="27"/>
        <tr r="U25" s="25"/>
      </tp>
      <tp t="e">
        <v>#N/A</v>
        <stp/>
        <stp>BDH|4518499311100478142</stp>
        <tr r="V9" s="27"/>
      </tp>
      <tp t="e">
        <v>#N/A</v>
        <stp/>
        <stp>BDH|9298935031235417690</stp>
        <tr r="U20" s="6"/>
      </tp>
      <tp t="e">
        <v>#N/A</v>
        <stp/>
        <stp>BDH|5145528409517769700</stp>
        <tr r="N14" s="27"/>
        <tr r="N28" s="25"/>
      </tp>
      <tp t="e">
        <v>#N/A</v>
        <stp/>
        <stp>BDH|7055932844152263870</stp>
        <tr r="W8" s="4"/>
      </tp>
      <tp t="e">
        <v>#N/A</v>
        <stp/>
        <stp>BDH|9747066995611774113</stp>
        <tr r="M30" s="12"/>
      </tp>
      <tp t="e">
        <v>#N/A</v>
        <stp/>
        <stp>BDH|8966617592562101597</stp>
        <tr r="J63" s="17"/>
      </tp>
      <tp t="e">
        <v>#N/A</v>
        <stp/>
        <stp>BDH|4703312935800919488</stp>
        <tr r="W11" s="6"/>
      </tp>
      <tp t="e">
        <v>#N/A</v>
        <stp/>
        <stp>BDH|9318227492377202537</stp>
        <tr r="H29" s="13"/>
        <tr r="F32" s="10"/>
        <tr r="F24" s="11"/>
        <tr r="F45" s="4"/>
      </tp>
      <tp t="e">
        <v>#N/A</v>
        <stp/>
        <stp>BDH|8170265704158917287</stp>
        <tr r="E53" s="6"/>
      </tp>
      <tp t="e">
        <v>#N/A</v>
        <stp/>
        <stp>BDH|3724403036440142424</stp>
        <tr r="G74" s="17"/>
      </tp>
      <tp t="e">
        <v>#N/A</v>
        <stp/>
        <stp>BDH|6171343748439700884</stp>
        <tr r="V21" s="4"/>
      </tp>
      <tp t="e">
        <v>#N/A</v>
        <stp/>
        <stp>BDH|2530114052136542016</stp>
        <tr r="S35" s="18"/>
      </tp>
      <tp t="e">
        <v>#N/A</v>
        <stp/>
        <stp>BDH|3456872151777146913</stp>
        <tr r="W18" s="24"/>
      </tp>
      <tp t="e">
        <v>#N/A</v>
        <stp/>
        <stp>BDH|1929772155083071090</stp>
        <tr r="S8" s="34"/>
      </tp>
      <tp t="e">
        <v>#N/A</v>
        <stp/>
        <stp>BDH|1006668715007690177</stp>
        <tr r="Y45" s="22"/>
      </tp>
      <tp t="e">
        <v>#N/A</v>
        <stp/>
        <stp>BDH|2676385048023027646</stp>
        <tr r="K61" s="11"/>
        <tr r="K69" s="10"/>
        <tr r="K20" s="7"/>
      </tp>
      <tp t="e">
        <v>#N/A</v>
        <stp/>
        <stp>BDH|5467034273102716014</stp>
        <tr r="E19" s="17"/>
      </tp>
      <tp t="e">
        <v>#N/A</v>
        <stp/>
        <stp>BDH|9167877937193599160</stp>
        <tr r="Y128" s="18"/>
      </tp>
      <tp t="e">
        <v>#N/A</v>
        <stp/>
        <stp>BDH|4560757723357896693</stp>
        <tr r="AA146" s="18"/>
      </tp>
      <tp t="e">
        <v>#N/A</v>
        <stp/>
        <stp>BDH|6489724648071424486</stp>
        <tr r="P49" s="13"/>
        <tr r="N45" s="10"/>
        <tr r="N37" s="11"/>
        <tr r="N53" s="4"/>
        <tr r="N18" s="2"/>
      </tp>
      <tp t="e">
        <v>#N/A</v>
        <stp/>
        <stp>BDH|3632138341343313552</stp>
        <tr r="L22" s="7"/>
      </tp>
      <tp t="e">
        <v>#N/A</v>
        <stp/>
        <stp>BDH|7792847510578819691</stp>
        <tr r="N28" s="22"/>
      </tp>
      <tp t="e">
        <v>#N/A</v>
        <stp/>
        <stp>BDH|3550585739200687500</stp>
        <tr r="J59" s="13"/>
      </tp>
      <tp t="e">
        <v>#N/A</v>
        <stp/>
        <stp>BDH|1937228438462347221</stp>
        <tr r="C74" s="18"/>
      </tp>
      <tp t="e">
        <v>#N/A</v>
        <stp/>
        <stp>BDH|2214455418206897152</stp>
        <tr r="U151" s="18"/>
      </tp>
      <tp t="e">
        <v>#N/A</v>
        <stp/>
        <stp>BDH|7335710382408225008</stp>
        <tr r="W15" s="26"/>
      </tp>
      <tp t="e">
        <v>#N/A</v>
        <stp/>
        <stp>BDH|6198630176456295149</stp>
        <tr r="I57" s="24"/>
      </tp>
      <tp t="e">
        <v>#N/A</v>
        <stp/>
        <stp>BDH|3475510337356199310</stp>
        <tr r="L48" s="22"/>
      </tp>
      <tp t="e">
        <v>#N/A</v>
        <stp/>
        <stp>BDH|6130673442700333458</stp>
        <tr r="W8" s="13"/>
      </tp>
      <tp t="e">
        <v>#N/A</v>
        <stp/>
        <stp>BDH|8004270795735387633</stp>
        <tr r="P25" s="3"/>
      </tp>
      <tp t="e">
        <v>#N/A</v>
        <stp/>
        <stp>BDH|3328144151745081245</stp>
        <tr r="E20" s="25"/>
      </tp>
      <tp t="e">
        <v>#N/A</v>
        <stp/>
        <stp>BDH|3669525729636602299</stp>
        <tr r="E33" s="12"/>
      </tp>
      <tp t="e">
        <v>#N/A</v>
        <stp/>
        <stp>BDH|4837791005721595233</stp>
        <tr r="P15" s="26"/>
      </tp>
      <tp t="e">
        <v>#N/A</v>
        <stp/>
        <stp>BDH|6654112507524345318</stp>
        <tr r="L43" s="17"/>
        <tr r="L9" s="25"/>
      </tp>
      <tp t="e">
        <v>#N/A</v>
        <stp/>
        <stp>BDH|9071323307562581838</stp>
        <tr r="Q23" s="20"/>
      </tp>
      <tp t="e">
        <v>#N/A</v>
        <stp/>
        <stp>BDH|7211051998136581898</stp>
        <tr r="D50" s="34"/>
      </tp>
      <tp t="e">
        <v>#N/A</v>
        <stp/>
        <stp>BDH|6626100803157730011</stp>
        <tr r="I28" s="21"/>
      </tp>
      <tp t="e">
        <v>#N/A</v>
        <stp/>
        <stp>BDH|4128227056896256548</stp>
        <tr r="R65" s="24"/>
      </tp>
      <tp t="e">
        <v>#N/A</v>
        <stp/>
        <stp>BDH|9857286338639901126</stp>
        <tr r="AA94" s="18"/>
      </tp>
      <tp t="e">
        <v>#N/A</v>
        <stp/>
        <stp>BDH|1908076458794624030</stp>
        <tr r="R27" s="21"/>
      </tp>
      <tp t="e">
        <v>#N/A</v>
        <stp/>
        <stp>BDH|1720911285432205225</stp>
        <tr r="M106" s="18"/>
      </tp>
      <tp t="e">
        <v>#N/A</v>
        <stp/>
        <stp>BDH|1836125363017964132</stp>
        <tr r="R26" s="24"/>
      </tp>
      <tp t="e">
        <v>#N/A</v>
        <stp/>
        <stp>BDH|4336727197349743321</stp>
        <tr r="T18" s="25"/>
      </tp>
      <tp t="e">
        <v>#N/A</v>
        <stp/>
        <stp>BDH|3913502659232524161</stp>
        <tr r="Z8" s="18"/>
      </tp>
      <tp t="e">
        <v>#N/A</v>
        <stp/>
        <stp>BDH|2998933706909886279</stp>
        <tr r="Z17" s="21"/>
      </tp>
      <tp t="e">
        <v>#N/A</v>
        <stp/>
        <stp>BDH|5513146804206370250</stp>
        <tr r="M66" s="10"/>
      </tp>
      <tp t="e">
        <v>#N/A</v>
        <stp/>
        <stp>BDH|5575415362520054757</stp>
        <tr r="N17" s="34"/>
      </tp>
      <tp t="e">
        <v>#N/A</v>
        <stp/>
        <stp>BDH|1067200242233647475</stp>
        <tr r="K45" s="21"/>
      </tp>
      <tp t="e">
        <v>#N/A</v>
        <stp/>
        <stp>BDH|4683666827675180555</stp>
        <tr r="S69" s="18"/>
      </tp>
      <tp t="e">
        <v>#N/A</v>
        <stp/>
        <stp>BDH|6665213947526733646</stp>
        <tr r="K44" s="18"/>
      </tp>
      <tp t="e">
        <v>#N/A</v>
        <stp/>
        <stp>BDH|5200253032474422021</stp>
        <tr r="P25" s="27"/>
      </tp>
      <tp t="e">
        <v>#N/A</v>
        <stp/>
        <stp>BDH|1414567211665862082</stp>
        <tr r="N35" s="13"/>
        <tr r="L31" s="10"/>
      </tp>
      <tp t="e">
        <v>#N/A</v>
        <stp/>
        <stp>BDH|1353425965675770605</stp>
        <tr r="P37" s="21"/>
        <tr r="P24" s="3"/>
      </tp>
      <tp t="e">
        <v>#N/A</v>
        <stp/>
        <stp>BDH|4882652563753998740</stp>
        <tr r="O15" s="12"/>
      </tp>
      <tp t="e">
        <v>#N/A</v>
        <stp/>
        <stp>BDH|3673461014374653217</stp>
        <tr r="E50" s="12"/>
      </tp>
      <tp t="e">
        <v>#N/A</v>
        <stp/>
        <stp>BDH|5671869896415449119</stp>
        <tr r="J48" s="6"/>
        <tr r="L6" s="8"/>
      </tp>
      <tp t="e">
        <v>#N/A</v>
        <stp/>
        <stp>BDH|1857004871522357496</stp>
        <tr r="P29" s="12"/>
      </tp>
      <tp t="e">
        <v>#N/A</v>
        <stp/>
        <stp>BDH|1349131332141238231</stp>
        <tr r="W16" s="27"/>
        <tr r="W30" s="25"/>
      </tp>
      <tp t="e">
        <v>#N/A</v>
        <stp/>
        <stp>BDH|5412146737526005144</stp>
        <tr r="S38" s="17"/>
      </tp>
      <tp t="e">
        <v>#N/A</v>
        <stp/>
        <stp>BDH|7528276802496316307</stp>
        <tr r="S82" s="12"/>
      </tp>
      <tp t="e">
        <v>#N/A</v>
        <stp/>
        <stp>BDH|1797529074904463766</stp>
        <tr r="V37" s="29"/>
        <tr r="V17" s="29"/>
      </tp>
      <tp t="e">
        <v>#N/A</v>
        <stp/>
        <stp>BDH|2296305585210237964</stp>
        <tr r="R63" s="11"/>
        <tr r="R71" s="10"/>
      </tp>
      <tp t="e">
        <v>#N/A</v>
        <stp/>
        <stp>BDH|2783696739535062244</stp>
        <tr r="K147" s="18"/>
      </tp>
      <tp t="e">
        <v>#N/A</v>
        <stp/>
        <stp>BDH|3743528127201007517</stp>
        <tr r="K16" s="25"/>
      </tp>
      <tp t="e">
        <v>#N/A</v>
        <stp/>
        <stp>BDH|4763065047850471015</stp>
        <tr r="D9" s="22"/>
      </tp>
      <tp t="e">
        <v>#N/A</v>
        <stp/>
        <stp>BDH|2684240702559637957</stp>
        <tr r="U18" s="27"/>
        <tr r="U32" s="25"/>
      </tp>
      <tp t="e">
        <v>#N/A</v>
        <stp/>
        <stp>BDH|6472727004966785768</stp>
        <tr r="D16" s="30"/>
      </tp>
      <tp t="e">
        <v>#N/A</v>
        <stp/>
        <stp>BDH|8463843707554100459</stp>
        <tr r="J73" s="24"/>
      </tp>
      <tp t="e">
        <v>#N/A</v>
        <stp/>
        <stp>BDH|1093561083134126873</stp>
        <tr r="O78" s="12"/>
      </tp>
      <tp t="e">
        <v>#N/A</v>
        <stp/>
        <stp>BDH|8514815355400422569</stp>
        <tr r="Y7" s="29"/>
        <tr r="Y29" s="29"/>
      </tp>
      <tp t="e">
        <v>#N/A</v>
        <stp/>
        <stp>BDH|7261968725249714556</stp>
        <tr r="D11" s="13"/>
      </tp>
      <tp t="e">
        <v>#N/A</v>
        <stp/>
        <stp>BDH|1454315133639057858</stp>
        <tr r="Q71" s="24"/>
      </tp>
      <tp t="e">
        <v>#N/A</v>
        <stp/>
        <stp>BDH|1085968784987700762</stp>
        <tr r="J69" s="17"/>
      </tp>
      <tp t="e">
        <v>#N/A</v>
        <stp/>
        <stp>BDH|8707687453209785287</stp>
        <tr r="M33" s="13"/>
        <tr r="K29" s="10"/>
      </tp>
      <tp t="e">
        <v>#N/A</v>
        <stp/>
        <stp>BDH|9087571831548055754</stp>
        <tr r="S161" s="18"/>
      </tp>
      <tp t="e">
        <v>#N/A</v>
        <stp/>
        <stp>BDH|3100219829017323496</stp>
        <tr r="D97" s="12"/>
      </tp>
      <tp t="e">
        <v>#N/A</v>
        <stp/>
        <stp>BDH|2374930511838144237</stp>
        <tr r="F39" s="17"/>
      </tp>
      <tp t="e">
        <v>#N/A</v>
        <stp/>
        <stp>BDH|8651417094176961399</stp>
        <tr r="Z125" s="18"/>
      </tp>
      <tp t="e">
        <v>#N/A</v>
        <stp/>
        <stp>BDH|7664144391847613867</stp>
        <tr r="L68" s="24"/>
      </tp>
      <tp t="e">
        <v>#N/A</v>
        <stp/>
        <stp>BDH|3092007956567423115</stp>
        <tr r="O126" s="18"/>
      </tp>
      <tp t="e">
        <v>#N/A</v>
        <stp/>
        <stp>BDH|7781906938648507594</stp>
        <tr r="C91" s="18"/>
      </tp>
      <tp t="e">
        <v>#N/A</v>
        <stp/>
        <stp>BDH|6963329180215174895</stp>
        <tr r="T38" s="17"/>
      </tp>
      <tp t="e">
        <v>#N/A</v>
        <stp/>
        <stp>BDH|4815744933504875449</stp>
        <tr r="M40" s="17"/>
      </tp>
      <tp t="e">
        <v>#N/A</v>
        <stp/>
        <stp>BDH|9744181494268975921</stp>
        <tr r="Y10" s="28"/>
      </tp>
      <tp t="e">
        <v>#N/A</v>
        <stp/>
        <stp>BDH|2966513950103036186</stp>
        <tr r="I62" s="24"/>
      </tp>
      <tp t="e">
        <v>#N/A</v>
        <stp/>
        <stp>BDH|5087645523944161562</stp>
        <tr r="I73" s="17"/>
      </tp>
      <tp t="e">
        <v>#N/A</v>
        <stp/>
        <stp>BDH|8578421886257876393</stp>
        <tr r="X42" s="13"/>
      </tp>
      <tp t="e">
        <v>#N/A</v>
        <stp/>
        <stp>BDH|3968085002730003334</stp>
        <tr r="V19" s="6"/>
      </tp>
      <tp t="e">
        <v>#N/A</v>
        <stp/>
        <stp>BDH|7020735303342861281</stp>
        <tr r="R45" s="13"/>
      </tp>
      <tp t="e">
        <v>#N/A</v>
        <stp/>
        <stp>BDH|1322484527875941259</stp>
        <tr r="D22" s="9"/>
      </tp>
      <tp t="e">
        <v>#N/A</v>
        <stp/>
        <stp>BDH|7177632763723951484</stp>
        <tr r="O75" s="12"/>
      </tp>
      <tp t="e">
        <v>#N/A</v>
        <stp/>
        <stp>BDH|1168555904263926791</stp>
        <tr r="O135" s="18"/>
      </tp>
      <tp t="e">
        <v>#N/A</v>
        <stp/>
        <stp>BDH|1528647063814768559</stp>
        <tr r="G64" s="10"/>
        <tr r="G25" s="4"/>
      </tp>
      <tp t="e">
        <v>#N/A</v>
        <stp/>
        <stp>BDH|4933281743337100534</stp>
        <tr r="E61" s="17"/>
      </tp>
      <tp t="e">
        <v>#N/A</v>
        <stp/>
        <stp>BDH|9111823969236822127</stp>
        <tr r="C54" s="13"/>
      </tp>
      <tp t="e">
        <v>#N/A</v>
        <stp/>
        <stp>BDH|9123617073118747044</stp>
        <tr r="AA54" s="17"/>
      </tp>
      <tp t="e">
        <v>#N/A</v>
        <stp/>
        <stp>BDH|5131501429051127394</stp>
        <tr r="J43" s="18"/>
      </tp>
      <tp t="e">
        <v>#N/A</v>
        <stp/>
        <stp>BDH|5380470161884038357</stp>
        <tr r="C8" s="10"/>
      </tp>
      <tp t="e">
        <v>#N/A</v>
        <stp/>
        <stp>BDH|5417360755532442134</stp>
        <tr r="O62" s="34"/>
      </tp>
      <tp t="e">
        <v>#N/A</v>
        <stp/>
        <stp>BDH|3194861217893276923</stp>
        <tr r="E163" s="18"/>
      </tp>
      <tp t="e">
        <v>#N/A</v>
        <stp/>
        <stp>BDH|2244174442343703404</stp>
        <tr r="AA36" s="13"/>
        <tr r="Y24" s="10"/>
        <tr r="Y46" s="4"/>
      </tp>
      <tp t="e">
        <v>#N/A</v>
        <stp/>
        <stp>BDH|3586346411910780178</stp>
        <tr r="M69" s="34"/>
      </tp>
      <tp t="e">
        <v>#N/A</v>
        <stp/>
        <stp>BDH|6285737733271028328</stp>
        <tr r="D106" s="18"/>
      </tp>
      <tp t="e">
        <v>#N/A</v>
        <stp/>
        <stp>BDH|5226405441334019132</stp>
        <tr r="Z87" s="12"/>
      </tp>
      <tp t="e">
        <v>#N/A</v>
        <stp/>
        <stp>BDH|3010134262584840093</stp>
        <tr r="T140" s="18"/>
      </tp>
      <tp t="e">
        <v>#N/A</v>
        <stp/>
        <stp>BDH|4686590638372140069</stp>
        <tr r="E22" s="9"/>
      </tp>
      <tp t="e">
        <v>#N/A</v>
        <stp/>
        <stp>BDH|6873658343135813169</stp>
        <tr r="E62" s="13"/>
        <tr r="C49" s="11"/>
        <tr r="C19" s="7"/>
        <tr r="C57" s="10"/>
        <tr r="C18" s="4"/>
        <tr r="C20" s="2"/>
      </tp>
      <tp t="e">
        <v>#N/A</v>
        <stp/>
        <stp>BDH|3543294301898559984</stp>
        <tr r="U15" s="34"/>
      </tp>
      <tp t="e">
        <v>#N/A</v>
        <stp/>
        <stp>BDH|8187767405649246604</stp>
        <tr r="V12" s="10"/>
      </tp>
      <tp t="e">
        <v>#N/A</v>
        <stp/>
        <stp>BDH|4791361312544475273</stp>
        <tr r="Q84" s="12"/>
      </tp>
      <tp t="e">
        <v>#N/A</v>
        <stp/>
        <stp>BDH|9368318384684547634</stp>
        <tr r="D11" s="6"/>
      </tp>
      <tp t="e">
        <v>#N/A</v>
        <stp/>
        <stp>BDH|5354517712816511753</stp>
        <tr r="P18" s="20"/>
      </tp>
      <tp t="e">
        <v>#N/A</v>
        <stp/>
        <stp>BDH|8753107013371332979</stp>
        <tr r="G16" s="25"/>
      </tp>
      <tp t="e">
        <v>#N/A</v>
        <stp/>
        <stp>BDH|7264030656645485733</stp>
        <tr r="E41" s="6"/>
      </tp>
      <tp t="e">
        <v>#N/A</v>
        <stp/>
        <stp>BDH|5344003482315787866</stp>
        <tr r="W89" s="17"/>
      </tp>
      <tp t="e">
        <v>#N/A</v>
        <stp/>
        <stp>BDH|1032230628477894634</stp>
        <tr r="Z76" s="24"/>
      </tp>
      <tp t="e">
        <v>#N/A</v>
        <stp/>
        <stp>BDH|1393741758100946367</stp>
        <tr r="G51" s="12"/>
      </tp>
      <tp t="e">
        <v>#N/A</v>
        <stp/>
        <stp>BDH|3841999817953661808</stp>
        <tr r="M21" s="17"/>
        <tr r="M15" s="3"/>
      </tp>
      <tp t="e">
        <v>#N/A</v>
        <stp/>
        <stp>BDH|2037398259832474649</stp>
        <tr r="P44" s="22"/>
      </tp>
      <tp t="e">
        <v>#N/A</v>
        <stp/>
        <stp>BDH|3762560113250415768</stp>
        <tr r="O38" s="26"/>
      </tp>
      <tp t="e">
        <v>#N/A</v>
        <stp/>
        <stp>BDH|1589352842021310717</stp>
        <tr r="U34" s="12"/>
      </tp>
      <tp t="e">
        <v>#N/A</v>
        <stp/>
        <stp>BDH|5227119937565553214</stp>
        <tr r="I29" s="34"/>
      </tp>
      <tp t="e">
        <v>#N/A</v>
        <stp/>
        <stp>BDH|4795237765006046614</stp>
        <tr r="P18" s="24"/>
      </tp>
      <tp t="e">
        <v>#N/A</v>
        <stp/>
        <stp>BDH|3037458952491467337</stp>
        <tr r="O151" s="18"/>
      </tp>
      <tp t="e">
        <v>#N/A</v>
        <stp/>
        <stp>BDH|8223197187071525086</stp>
        <tr r="V29" s="18"/>
      </tp>
      <tp t="e">
        <v>#N/A</v>
        <stp/>
        <stp>BDH|7397029600772964591</stp>
        <tr r="P39" s="24"/>
      </tp>
      <tp t="e">
        <v>#N/A</v>
        <stp/>
        <stp>BDH|2310744353584346464</stp>
        <tr r="T63" s="12"/>
      </tp>
      <tp t="e">
        <v>#N/A</v>
        <stp/>
        <stp>BDH|5422590945737147381</stp>
        <tr r="F18" s="21"/>
        <tr r="D23" s="2"/>
        <tr r="F23" s="3"/>
      </tp>
      <tp t="e">
        <v>#N/A</v>
        <stp/>
        <stp>BDH|7733256674126562421</stp>
        <tr r="I102" s="18"/>
      </tp>
      <tp t="e">
        <v>#N/A</v>
        <stp/>
        <stp>BDH|7273161404260067611</stp>
        <tr r="H26" s="12"/>
      </tp>
      <tp t="e">
        <v>#N/A</v>
        <stp/>
        <stp>BDH|6791772176267686112</stp>
        <tr r="C12" s="13"/>
      </tp>
      <tp t="e">
        <v>#N/A</v>
        <stp/>
        <stp>BDH|7870008905652520598</stp>
        <tr r="R23" s="18"/>
      </tp>
      <tp t="e">
        <v>#N/A</v>
        <stp/>
        <stp>BDH|9490508967438461260</stp>
        <tr r="L23" s="5"/>
      </tp>
      <tp t="e">
        <v>#N/A</v>
        <stp/>
        <stp>BDH|9818879040104983172</stp>
        <tr r="D30" s="5"/>
      </tp>
      <tp t="e">
        <v>#N/A</v>
        <stp/>
        <stp>BDH|1252830161448542747</stp>
        <tr r="Y24" s="2"/>
      </tp>
      <tp t="e">
        <v>#N/A</v>
        <stp/>
        <stp>BDH|1609895588629737812</stp>
        <tr r="Q6" s="20"/>
        <tr r="Q108" s="18"/>
      </tp>
      <tp t="e">
        <v>#N/A</v>
        <stp/>
        <stp>BDH|9722240199971880336</stp>
        <tr r="Q25" s="27"/>
      </tp>
      <tp t="e">
        <v>#N/A</v>
        <stp/>
        <stp>BDH|1788520604066799274</stp>
        <tr r="S31" s="6"/>
      </tp>
      <tp t="e">
        <v>#N/A</v>
        <stp/>
        <stp>BDH|3433644632012525460</stp>
        <tr r="H13" s="9"/>
      </tp>
      <tp t="e">
        <v>#N/A</v>
        <stp/>
        <stp>BDH|3496924706773894996</stp>
        <tr r="J17" s="18"/>
      </tp>
      <tp t="e">
        <v>#N/A</v>
        <stp/>
        <stp>BDH|1405159830704521759</stp>
        <tr r="H41" s="24"/>
      </tp>
      <tp t="e">
        <v>#N/A</v>
        <stp/>
        <stp>BDH|3788316780859572124</stp>
        <tr r="G28" s="25"/>
        <tr r="G14" s="27"/>
      </tp>
      <tp t="e">
        <v>#N/A</v>
        <stp/>
        <stp>BDH|5028782230407892618</stp>
        <tr r="P60" s="21"/>
      </tp>
      <tp t="e">
        <v>#N/A</v>
        <stp/>
        <stp>BDH|6774057883419690769</stp>
        <tr r="P29" s="34"/>
      </tp>
      <tp t="e">
        <v>#N/A</v>
        <stp/>
        <stp>BDH|4225595347576924347</stp>
        <tr r="Y135" s="18"/>
      </tp>
      <tp t="e">
        <v>#N/A</v>
        <stp/>
        <stp>BDH|7265731906590674002</stp>
        <tr r="J162" s="18"/>
      </tp>
      <tp t="e">
        <v>#N/A</v>
        <stp/>
        <stp>BDH|8917610879619292029</stp>
        <tr r="Z84" s="17"/>
      </tp>
      <tp t="e">
        <v>#N/A</v>
        <stp/>
        <stp>BDH|8991117003388297183</stp>
        <tr r="P102" s="18"/>
      </tp>
      <tp t="e">
        <v>#N/A</v>
        <stp/>
        <stp>BDH|2794098265217843321</stp>
        <tr r="T34" s="13"/>
        <tr r="R30" s="10"/>
      </tp>
      <tp t="e">
        <v>#N/A</v>
        <stp/>
        <stp>BDH|1646533444743173311</stp>
        <tr r="R14" s="10"/>
      </tp>
      <tp t="e">
        <v>#N/A</v>
        <stp/>
        <stp>BDH|3441036755665416373</stp>
        <tr r="C172" s="18"/>
      </tp>
      <tp t="e">
        <v>#N/A</v>
        <stp/>
        <stp>BDH|5378914713438822583</stp>
        <tr r="R66" s="24"/>
      </tp>
      <tp t="e">
        <v>#N/A</v>
        <stp/>
        <stp>BDH|3134360708447763798</stp>
        <tr r="AA65" s="12"/>
      </tp>
      <tp t="e">
        <v>#N/A</v>
        <stp/>
        <stp>BDH|6054750336517419569</stp>
        <tr r="W9" s="28"/>
      </tp>
      <tp t="e">
        <v>#N/A</v>
        <stp/>
        <stp>BDH|4588235276571734063</stp>
        <tr r="H21" s="12"/>
      </tp>
      <tp t="e">
        <v>#N/A</v>
        <stp/>
        <stp>BDH|2912258801190457086</stp>
        <tr r="X93" s="12"/>
      </tp>
      <tp t="e">
        <v>#N/A</v>
        <stp/>
        <stp>BDH|6659768435091751333</stp>
        <tr r="G7" s="24"/>
      </tp>
      <tp t="e">
        <v>#N/A</v>
        <stp/>
        <stp>BDH|4358848444429411163</stp>
        <tr r="I8" s="22"/>
      </tp>
      <tp t="e">
        <v>#N/A</v>
        <stp/>
        <stp>BDH|8223306392915140703</stp>
        <tr r="T101" s="18"/>
      </tp>
      <tp t="e">
        <v>#N/A</v>
        <stp/>
        <stp>BDH|1237743219611699685</stp>
        <tr r="S63" s="17"/>
      </tp>
      <tp t="e">
        <v>#N/A</v>
        <stp/>
        <stp>BDH|3155206906064384551</stp>
        <tr r="Q57" s="12"/>
      </tp>
      <tp t="e">
        <v>#N/A</v>
        <stp/>
        <stp>BDH|9258189363529909714</stp>
        <tr r="I8" s="17"/>
      </tp>
      <tp t="e">
        <v>#N/A</v>
        <stp/>
        <stp>BDH|7058706940332190604</stp>
        <tr r="P36" s="18"/>
      </tp>
      <tp t="e">
        <v>#N/A</v>
        <stp/>
        <stp>BDH|3645272903551076039</stp>
        <tr r="H44" s="17"/>
      </tp>
      <tp t="e">
        <v>#N/A</v>
        <stp/>
        <stp>BDH|6971423839555386404</stp>
        <tr r="V20" s="23"/>
      </tp>
      <tp t="e">
        <v>#N/A</v>
        <stp/>
        <stp>BDH|9223834108513866209</stp>
        <tr r="D20" s="30"/>
      </tp>
      <tp t="e">
        <v>#N/A</v>
        <stp/>
        <stp>BDH|1687184478247379045</stp>
        <tr r="Y20" s="17"/>
      </tp>
      <tp t="e">
        <v>#N/A</v>
        <stp/>
        <stp>BDH|1664635148961915254</stp>
        <tr r="U37" s="12"/>
      </tp>
      <tp t="e">
        <v>#N/A</v>
        <stp/>
        <stp>BDH|6617011175973101226</stp>
        <tr r="Y65" s="21"/>
        <tr r="V28" s="6"/>
      </tp>
      <tp t="e">
        <v>#N/A</v>
        <stp/>
        <stp>BDH|3518118543542427421</stp>
        <tr r="V9" s="22"/>
      </tp>
      <tp t="e">
        <v>#N/A</v>
        <stp/>
        <stp>BDH|7855463416493665185</stp>
        <tr r="P25" s="12"/>
      </tp>
      <tp t="e">
        <v>#N/A</v>
        <stp/>
        <stp>BDH|6427130636092352646</stp>
        <tr r="N11" s="24"/>
      </tp>
      <tp t="e">
        <v>#N/A</v>
        <stp/>
        <stp>BDH|2760709916814103066</stp>
        <tr r="O117" s="18"/>
      </tp>
      <tp t="e">
        <v>#N/A</v>
        <stp/>
        <stp>BDH|8014064881985143508</stp>
        <tr r="S10" s="21"/>
      </tp>
      <tp t="e">
        <v>#N/A</v>
        <stp/>
        <stp>BDH|8829652682092148484</stp>
        <tr r="AA44" s="22"/>
      </tp>
      <tp t="e">
        <v>#N/A</v>
        <stp/>
        <stp>BDH|5787664387068998395</stp>
        <tr r="E8" s="17"/>
      </tp>
      <tp t="e">
        <v>#N/A</v>
        <stp/>
        <stp>BDH|4563553161756163167</stp>
        <tr r="S28" s="17"/>
      </tp>
      <tp t="e">
        <v>#N/A</v>
        <stp/>
        <stp>BDH|8956492794210122534</stp>
        <tr r="L67" s="18"/>
      </tp>
      <tp t="e">
        <v>#N/A</v>
        <stp/>
        <stp>BDH|9246999168877702126</stp>
        <tr r="L76" s="18"/>
      </tp>
      <tp t="e">
        <v>#N/A</v>
        <stp/>
        <stp>BDH|7105297701392930764</stp>
        <tr r="N36" s="29"/>
        <tr r="N16" s="29"/>
      </tp>
      <tp t="e">
        <v>#N/A</v>
        <stp/>
        <stp>BDH|2443307963054398328</stp>
        <tr r="J39" s="13"/>
        <tr r="H35" s="11"/>
        <tr r="H43" s="10"/>
        <tr r="J8" s="3"/>
        <tr r="H52" s="4"/>
      </tp>
      <tp t="e">
        <v>#N/A</v>
        <stp/>
        <stp>BDH|6650347063055442634</stp>
        <tr r="D33" s="17"/>
      </tp>
      <tp t="e">
        <v>#N/A</v>
        <stp/>
        <stp>BDH|4656374126730617575</stp>
        <tr r="M40" s="18"/>
      </tp>
      <tp t="e">
        <v>#N/A</v>
        <stp/>
        <stp>BDH|3338241866085694219</stp>
        <tr r="Z103" s="18"/>
      </tp>
      <tp t="e">
        <v>#N/A</v>
        <stp/>
        <stp>BDH|5556611507791651234</stp>
        <tr r="U42" s="34"/>
      </tp>
      <tp t="e">
        <v>#N/A</v>
        <stp/>
        <stp>BDH|5087213075328781855</stp>
        <tr r="F84" s="18"/>
      </tp>
      <tp t="e">
        <v>#N/A</v>
        <stp/>
        <stp>BDH|5633245671357715720</stp>
        <tr r="AA148" s="18"/>
      </tp>
      <tp t="e">
        <v>#N/A</v>
        <stp/>
        <stp>BDH|9704238163008485554</stp>
        <tr r="T106" s="12"/>
      </tp>
      <tp t="e">
        <v>#N/A</v>
        <stp/>
        <stp>BDH|7952279646822755395</stp>
        <tr r="I27" s="12"/>
      </tp>
      <tp t="e">
        <v>#N/A</v>
        <stp/>
        <stp>BDH|6180893750598932379</stp>
        <tr r="O33" s="29"/>
        <tr r="O22" s="29"/>
        <tr r="O13" s="29"/>
      </tp>
      <tp t="e">
        <v>#N/A</v>
        <stp/>
        <stp>BDH|6479753662620667730</stp>
        <tr r="D21" s="5"/>
        <tr r="D21" s="9"/>
      </tp>
      <tp t="e">
        <v>#N/A</v>
        <stp/>
        <stp>BDH|3857346705734736480</stp>
        <tr r="L63" s="18"/>
      </tp>
      <tp t="e">
        <v>#N/A</v>
        <stp/>
        <stp>BDH|6714737553421030516</stp>
        <tr r="V155" s="18"/>
      </tp>
      <tp t="e">
        <v>#N/A</v>
        <stp/>
        <stp>BDH|9320365453166251924</stp>
        <tr r="V82" s="17"/>
        <tr r="T6" s="7"/>
        <tr r="V20" s="3"/>
      </tp>
      <tp t="e">
        <v>#N/A</v>
        <stp/>
        <stp>BDH|7375753525084213672</stp>
        <tr r="I15" s="5"/>
      </tp>
      <tp t="e">
        <v>#N/A</v>
        <stp/>
        <stp>BDH|3040375117660512130</stp>
        <tr r="Q26" s="21"/>
      </tp>
      <tp t="e">
        <v>#N/A</v>
        <stp/>
        <stp>BDH|5095865480563597656</stp>
        <tr r="M31" s="12"/>
      </tp>
      <tp t="e">
        <v>#N/A</v>
        <stp/>
        <stp>BDH|3657566476971087004</stp>
        <tr r="I18" s="25"/>
      </tp>
      <tp t="e">
        <v>#N/A</v>
        <stp/>
        <stp>BDH|5486606742985625263</stp>
        <tr r="U76" s="17"/>
        <tr r="R9" s="9"/>
        <tr r="R9" s="5"/>
      </tp>
      <tp t="e">
        <v>#N/A</v>
        <stp/>
        <stp>BDH|7554137737230208556</stp>
        <tr r="M6" s="8"/>
        <tr r="K48" s="6"/>
      </tp>
      <tp t="e">
        <v>#N/A</v>
        <stp/>
        <stp>BDH|2599620871474334736</stp>
        <tr r="W25" s="13"/>
      </tp>
      <tp t="e">
        <v>#N/A</v>
        <stp/>
        <stp>BDH|6148744422443886094</stp>
        <tr r="X50" s="12"/>
      </tp>
      <tp t="e">
        <v>#N/A</v>
        <stp/>
        <stp>BDH|1021367400153975198</stp>
        <tr r="X12" s="24"/>
      </tp>
      <tp t="e">
        <v>#N/A</v>
        <stp/>
        <stp>BDH|2084250570322123522</stp>
        <tr r="K86" s="18"/>
      </tp>
      <tp t="e">
        <v>#N/A</v>
        <stp/>
        <stp>BDH|6358989122754927962</stp>
        <tr r="E68" s="12"/>
      </tp>
      <tp t="e">
        <v>#N/A</v>
        <stp/>
        <stp>BDH|3595065125408643966</stp>
        <tr r="K15" s="17"/>
        <tr r="K18" s="28"/>
      </tp>
      <tp t="e">
        <v>#N/A</v>
        <stp/>
        <stp>BDH|2486245229254941661</stp>
        <tr r="AA77" s="24"/>
      </tp>
      <tp t="e">
        <v>#N/A</v>
        <stp/>
        <stp>BDH|1851463131004952209</stp>
        <tr r="W52" s="22"/>
      </tp>
      <tp t="e">
        <v>#N/A</v>
        <stp/>
        <stp>BDH|2547848492250178343</stp>
        <tr r="Z59" s="12"/>
      </tp>
      <tp t="e">
        <v>#N/A</v>
        <stp/>
        <stp>BDH|9887050495746837661</stp>
        <tr r="R75" s="24"/>
      </tp>
      <tp t="e">
        <v>#N/A</v>
        <stp/>
        <stp>BDH|9003918176920583744</stp>
        <tr r="H28" s="9"/>
        <tr r="H28" s="5"/>
      </tp>
      <tp t="e">
        <v>#N/A</v>
        <stp/>
        <stp>BDH|6771458582622658800</stp>
        <tr r="F26" s="13"/>
        <tr r="F16" s="13"/>
        <tr r="D18" s="10"/>
      </tp>
      <tp t="e">
        <v>#N/A</v>
        <stp/>
        <stp>BDH|1217959494298275971</stp>
        <tr r="H8" s="21"/>
      </tp>
      <tp t="e">
        <v>#N/A</v>
        <stp/>
        <stp>BDH|3133534024104797070</stp>
        <tr r="L16" s="11"/>
      </tp>
      <tp t="e">
        <v>#N/A</v>
        <stp/>
        <stp>BDH|8116500451500594832</stp>
        <tr r="J66" s="10"/>
      </tp>
      <tp t="e">
        <v>#N/A</v>
        <stp/>
        <stp>BDH|9200673207506202969</stp>
        <tr r="D35" s="25"/>
      </tp>
      <tp t="e">
        <v>#N/A</v>
        <stp/>
        <stp>BDH|6938187240833024071</stp>
        <tr r="E11" s="14"/>
      </tp>
      <tp t="e">
        <v>#N/A</v>
        <stp/>
        <stp>BDH|7632394295545884844</stp>
        <tr r="F13" s="10"/>
      </tp>
      <tp t="e">
        <v>#N/A</v>
        <stp/>
        <stp>BDH|1579377889812507899</stp>
        <tr r="X61" s="12"/>
      </tp>
      <tp t="e">
        <v>#N/A</v>
        <stp/>
        <stp>BDH|1247824283111685028</stp>
        <tr r="U44" s="11"/>
        <tr r="U52" s="10"/>
        <tr r="U16" s="7"/>
      </tp>
      <tp t="e">
        <v>#N/A</v>
        <stp/>
        <stp>BDH|3990801318823000960</stp>
        <tr r="K16" s="12"/>
      </tp>
      <tp t="e">
        <v>#N/A</v>
        <stp/>
        <stp>BDH|6976184221711576423</stp>
        <tr r="R32" s="11"/>
        <tr r="R40" s="10"/>
      </tp>
      <tp t="e">
        <v>#N/A</v>
        <stp/>
        <stp>BDH|6901594677220029404</stp>
        <tr r="S70" s="17"/>
      </tp>
      <tp t="e">
        <v>#N/A</v>
        <stp/>
        <stp>BDH|2167005995428355302</stp>
        <tr r="D65" s="18"/>
      </tp>
      <tp t="e">
        <v>#N/A</v>
        <stp/>
        <stp>BDH|6121824424755723970</stp>
        <tr r="C83" s="17"/>
      </tp>
      <tp t="e">
        <v>#N/A</v>
        <stp/>
        <stp>BDH|2256657655439175843</stp>
        <tr r="C37" s="12"/>
      </tp>
      <tp t="e">
        <v>#N/A</v>
        <stp/>
        <stp>BDH|9254737731975496830</stp>
        <tr r="Y16" s="14"/>
      </tp>
      <tp t="e">
        <v>#N/A</v>
        <stp/>
        <stp>BDH|6758606112348521970</stp>
        <tr r="Y73" s="24"/>
      </tp>
      <tp t="e">
        <v>#N/A</v>
        <stp/>
        <stp>BDH|2575827548887896903</stp>
        <tr r="O82" s="12"/>
      </tp>
      <tp t="e">
        <v>#N/A</v>
        <stp/>
        <stp>BDH|8773204567268708403</stp>
        <tr r="U9" s="29"/>
      </tp>
      <tp t="e">
        <v>#N/A</v>
        <stp/>
        <stp>BDH|9470946854327403270</stp>
        <tr r="R29" s="13"/>
        <tr r="P24" s="11"/>
        <tr r="P32" s="10"/>
        <tr r="P45" s="4"/>
      </tp>
      <tp t="e">
        <v>#N/A</v>
        <stp/>
        <stp>BDH|6733953294994222239</stp>
        <tr r="W54" s="34"/>
      </tp>
      <tp t="e">
        <v>#N/A</v>
        <stp/>
        <stp>BDH|9552447717478129406</stp>
        <tr r="T36" s="21"/>
      </tp>
      <tp t="e">
        <v>#N/A</v>
        <stp/>
        <stp>BDH|3783753064801766361</stp>
        <tr r="M48" s="12"/>
      </tp>
      <tp t="e">
        <v>#N/A</v>
        <stp/>
        <stp>BDH|8970214362484557886</stp>
        <tr r="G44" s="22"/>
      </tp>
      <tp t="e">
        <v>#N/A</v>
        <stp/>
        <stp>BDH|3946535468611686138</stp>
        <tr r="L11" s="20"/>
        <tr r="L112" s="18"/>
      </tp>
      <tp t="e">
        <v>#N/A</v>
        <stp/>
        <stp>BDH|6673437861573230711</stp>
        <tr r="D9" s="10"/>
      </tp>
      <tp t="e">
        <v>#N/A</v>
        <stp/>
        <stp>BDH|1340901880278787838</stp>
        <tr r="J41" s="13"/>
        <tr r="H37" s="10"/>
        <tr r="H29" s="11"/>
      </tp>
      <tp t="e">
        <v>#N/A</v>
        <stp/>
        <stp>BDH|8778315263478106531</stp>
        <tr r="J158" s="18"/>
      </tp>
      <tp t="e">
        <v>#N/A</v>
        <stp/>
        <stp>BDH|8035929135484499641</stp>
        <tr r="E35" s="4"/>
      </tp>
      <tp t="e">
        <v>#N/A</v>
        <stp/>
        <stp>BDH|5434450220915357659</stp>
        <tr r="I124" s="18"/>
      </tp>
      <tp t="e">
        <v>#N/A</v>
        <stp/>
        <stp>BDH|3104980108832187876</stp>
        <tr r="Z177" s="18"/>
      </tp>
      <tp t="e">
        <v>#N/A</v>
        <stp/>
        <stp>BDH|1121112365285049320</stp>
        <tr r="H28" s="17"/>
      </tp>
      <tp t="e">
        <v>#N/A</v>
        <stp/>
        <stp>BDH|4061350163445967482</stp>
        <tr r="P112" s="12"/>
      </tp>
      <tp t="e">
        <v>#N/A</v>
        <stp/>
        <stp>BDH|1433367863161571534</stp>
        <tr r="Y43" s="13"/>
      </tp>
      <tp t="e">
        <v>#N/A</v>
        <stp/>
        <stp>BDH|3688168883559741338</stp>
        <tr r="X66" s="24"/>
      </tp>
      <tp t="e">
        <v>#N/A</v>
        <stp/>
        <stp>BDH|4785190518407171302</stp>
        <tr r="S14" s="34"/>
      </tp>
      <tp t="e">
        <v>#N/A</v>
        <stp/>
        <stp>BDH|8924966717951774183</stp>
        <tr r="R70" s="24"/>
      </tp>
      <tp t="e">
        <v>#N/A</v>
        <stp/>
        <stp>BDH|6592764156081356511</stp>
        <tr r="T22" s="5"/>
      </tp>
      <tp t="e">
        <v>#N/A</v>
        <stp/>
        <stp>BDH|8555978363485061266</stp>
        <tr r="N49" s="34"/>
      </tp>
      <tp t="e">
        <v>#N/A</v>
        <stp/>
        <stp>BDH|7177049835285062172</stp>
        <tr r="AA15" s="26"/>
      </tp>
      <tp t="e">
        <v>#N/A</v>
        <stp/>
        <stp>BDH|8727018903799072122</stp>
        <tr r="H53" s="12"/>
      </tp>
      <tp t="e">
        <v>#N/A</v>
        <stp/>
        <stp>BDH|5292667426713510200</stp>
        <tr r="D55" s="18"/>
      </tp>
      <tp t="e">
        <v>#N/A</v>
        <stp/>
        <stp>BDH|1909004023237896457</stp>
        <tr r="J35" s="6"/>
      </tp>
      <tp t="e">
        <v>#N/A</v>
        <stp/>
        <stp>BDH|5203543722993420170</stp>
        <tr r="G75" s="17"/>
      </tp>
      <tp t="e">
        <v>#N/A</v>
        <stp/>
        <stp>BDH|9218523249249784190</stp>
        <tr r="E51" s="24"/>
      </tp>
      <tp t="e">
        <v>#N/A</v>
        <stp/>
        <stp>BDH|2477296675305806279</stp>
        <tr r="K14" s="6"/>
      </tp>
      <tp t="e">
        <v>#N/A</v>
        <stp/>
        <stp>BDH|9722659136405622956</stp>
        <tr r="R91" s="12"/>
      </tp>
      <tp t="e">
        <v>#N/A</v>
        <stp/>
        <stp>BDH|3175062246874603306</stp>
        <tr r="M47" s="24"/>
      </tp>
      <tp t="e">
        <v>#N/A</v>
        <stp/>
        <stp>BDH|9730726485097062178</stp>
        <tr r="Q35" s="24"/>
      </tp>
      <tp t="e">
        <v>#N/A</v>
        <stp/>
        <stp>BDH|4368724587058808398</stp>
        <tr r="C8" s="2"/>
      </tp>
      <tp t="e">
        <v>#N/A</v>
        <stp/>
        <stp>BDH|9004150280919629941</stp>
        <tr r="AA80" s="12"/>
      </tp>
      <tp t="e">
        <v>#N/A</v>
        <stp/>
        <stp>BDH|5767356506521204718</stp>
        <tr r="U68" s="24"/>
      </tp>
      <tp t="e">
        <v>#N/A</v>
        <stp/>
        <stp>BDH|4172096069886404424</stp>
        <tr r="V85" s="18"/>
      </tp>
      <tp t="e">
        <v>#N/A</v>
        <stp/>
        <stp>BDH|2261016130800158150</stp>
        <tr r="K40" s="21"/>
      </tp>
      <tp t="e">
        <v>#N/A</v>
        <stp/>
        <stp>BDH|6706816183165394312</stp>
        <tr r="U14" s="6"/>
      </tp>
      <tp t="e">
        <v>#N/A</v>
        <stp/>
        <stp>BDH|6000481522428801859</stp>
        <tr r="W105" s="18"/>
      </tp>
      <tp t="e">
        <v>#N/A</v>
        <stp/>
        <stp>BDH|3498653156892388236</stp>
        <tr r="H64" s="10"/>
        <tr r="H25" s="4"/>
      </tp>
      <tp t="e">
        <v>#N/A</v>
        <stp/>
        <stp>BDH|4785322422182111716</stp>
        <tr r="K44" s="21"/>
      </tp>
      <tp t="e">
        <v>#N/A</v>
        <stp/>
        <stp>BDH|9002705251833542837</stp>
        <tr r="I23" s="20"/>
      </tp>
      <tp t="e">
        <v>#N/A</v>
        <stp/>
        <stp>BDH|9355512180942783628</stp>
        <tr r="S49" s="34"/>
      </tp>
      <tp t="e">
        <v>#N/A</v>
        <stp/>
        <stp>BDH|1746022097770098856</stp>
        <tr r="R76" s="24"/>
      </tp>
      <tp t="e">
        <v>#N/A</v>
        <stp/>
        <stp>BDH|6742341750125052570</stp>
        <tr r="F18" s="9"/>
      </tp>
      <tp t="e">
        <v>#N/A</v>
        <stp/>
        <stp>BDH|4219750773162808681</stp>
        <tr r="V22" s="11"/>
      </tp>
      <tp t="e">
        <v>#N/A</v>
        <stp/>
        <stp>BDH|2812927285456974524</stp>
        <tr r="X101" s="12"/>
      </tp>
      <tp t="e">
        <v>#N/A</v>
        <stp/>
        <stp>BDH|5426112057828787911</stp>
        <tr r="K25" s="13"/>
      </tp>
      <tp t="e">
        <v>#N/A</v>
        <stp/>
        <stp>BDH|2073190276780350485</stp>
        <tr r="R32" s="10"/>
        <tr r="R24" s="11"/>
        <tr r="T29" s="13"/>
        <tr r="R45" s="4"/>
      </tp>
      <tp t="e">
        <v>#N/A</v>
        <stp/>
        <stp>BDH|6978512464671931410</stp>
        <tr r="U24" s="2"/>
      </tp>
      <tp t="e">
        <v>#N/A</v>
        <stp/>
        <stp>BDH|1382944998022995326</stp>
        <tr r="G21" s="9"/>
        <tr r="G21" s="5"/>
      </tp>
      <tp t="e">
        <v>#N/A</v>
        <stp/>
        <stp>BDH|9659562098302458783</stp>
        <tr r="G13" s="25"/>
      </tp>
      <tp t="e">
        <v>#N/A</v>
        <stp/>
        <stp>BDH|7674431353442001420</stp>
        <tr r="N35" s="29"/>
        <tr r="N15" s="29"/>
      </tp>
      <tp t="e">
        <v>#N/A</v>
        <stp/>
        <stp>BDH|8214361379239946504</stp>
        <tr r="N176" s="18"/>
      </tp>
      <tp t="e">
        <v>#N/A</v>
        <stp/>
        <stp>BDH|1798331374713794634</stp>
        <tr r="J72" s="12"/>
      </tp>
      <tp t="e">
        <v>#N/A</v>
        <stp/>
        <stp>BDH|1016107472406038163</stp>
        <tr r="K68" s="12"/>
      </tp>
      <tp t="e">
        <v>#N/A</v>
        <stp/>
        <stp>BDH|7558377313270516503</stp>
        <tr r="M119" s="18"/>
      </tp>
      <tp t="e">
        <v>#N/A</v>
        <stp/>
        <stp>BDH|2501763274705676756</stp>
        <tr r="U28" s="17"/>
      </tp>
      <tp t="e">
        <v>#N/A</v>
        <stp/>
        <stp>BDH|1246263410313183119</stp>
        <tr r="M16" s="20"/>
      </tp>
      <tp t="e">
        <v>#N/A</v>
        <stp/>
        <stp>BDH|4702315794949294741</stp>
        <tr r="S131" s="18"/>
      </tp>
      <tp t="e">
        <v>#N/A</v>
        <stp/>
        <stp>BDH|9953406601579525490</stp>
        <tr r="R32" s="13"/>
        <tr r="P28" s="10"/>
      </tp>
      <tp t="e">
        <v>#N/A</v>
        <stp/>
        <stp>BDH|5542323373323462246</stp>
        <tr r="N75" s="24"/>
      </tp>
      <tp t="e">
        <v>#N/A</v>
        <stp/>
        <stp>BDH|9053375886873090156</stp>
        <tr r="M60" s="11"/>
      </tp>
      <tp t="e">
        <v>#N/A</v>
        <stp/>
        <stp>BDH|2337620030203650432</stp>
        <tr r="O46" s="11"/>
        <tr r="O54" s="10"/>
        <tr r="O7" s="7"/>
        <tr r="Q12" s="3"/>
      </tp>
      <tp t="e">
        <v>#N/A</v>
        <stp/>
        <stp>BDH|3687399527535820740</stp>
        <tr r="Y11" s="12"/>
      </tp>
      <tp t="e">
        <v>#N/A</v>
        <stp/>
        <stp>BDH|3876951855148988759</stp>
        <tr r="J51" s="17"/>
      </tp>
      <tp t="e">
        <v>#N/A</v>
        <stp/>
        <stp>BDH|1376069646870160569</stp>
        <tr r="Q18" s="13"/>
      </tp>
      <tp t="e">
        <v>#N/A</v>
        <stp/>
        <stp>BDH|7252355416811139442</stp>
        <tr r="S8" s="10"/>
      </tp>
      <tp t="e">
        <v>#N/A</v>
        <stp/>
        <stp>BDH|1128720643735548719</stp>
        <tr r="W8" s="25"/>
        <tr r="T10" s="5"/>
        <tr r="U9" s="2"/>
      </tp>
      <tp t="e">
        <v>#N/A</v>
        <stp/>
        <stp>BDH|4070040006992269640</stp>
        <tr r="R15" s="11"/>
      </tp>
      <tp t="e">
        <v>#N/A</v>
        <stp/>
        <stp>BDH|7089952728978809418</stp>
        <tr r="N15" s="6"/>
      </tp>
      <tp t="e">
        <v>#N/A</v>
        <stp/>
        <stp>BDH|1955846080892904300</stp>
        <tr r="N12" s="12"/>
      </tp>
      <tp t="e">
        <v>#N/A</v>
        <stp/>
        <stp>BDH|1541376215095490671</stp>
        <tr r="L27" s="18"/>
      </tp>
      <tp t="e">
        <v>#N/A</v>
        <stp/>
        <stp>BDH|6516243151855509410</stp>
        <tr r="N61" s="13"/>
      </tp>
      <tp t="e">
        <v>#N/A</v>
        <stp/>
        <stp>BDH|6900268625344669287</stp>
        <tr r="N32" s="13"/>
        <tr r="L28" s="10"/>
      </tp>
      <tp t="e">
        <v>#N/A</v>
        <stp/>
        <stp>BDH|5936345744942820051</stp>
        <tr r="I17" s="17"/>
        <tr r="I20" s="28"/>
      </tp>
      <tp t="e">
        <v>#N/A</v>
        <stp/>
        <stp>BDH|8739053880641424128</stp>
        <tr r="E17" s="11"/>
      </tp>
      <tp t="e">
        <v>#N/A</v>
        <stp/>
        <stp>BDH|2712849396713022011</stp>
        <tr r="R10" s="34"/>
      </tp>
      <tp t="e">
        <v>#N/A</v>
        <stp/>
        <stp>BDH|3541472413945685338</stp>
        <tr r="W22" s="5"/>
      </tp>
      <tp t="e">
        <v>#N/A</v>
        <stp/>
        <stp>BDH|4674917982437988283</stp>
        <tr r="M8" s="10"/>
      </tp>
      <tp t="e">
        <v>#N/A</v>
        <stp/>
        <stp>BDH|7581759535115569649</stp>
        <tr r="H67" s="12"/>
      </tp>
      <tp t="e">
        <v>#N/A</v>
        <stp/>
        <stp>BDH|5351309026411856593</stp>
        <tr r="I168" s="18"/>
      </tp>
      <tp t="e">
        <v>#N/A</v>
        <stp/>
        <stp>BDH|2873304606618884923</stp>
        <tr r="H36" s="4"/>
      </tp>
      <tp t="e">
        <v>#N/A</v>
        <stp/>
        <stp>BDH|3981033505672953126</stp>
        <tr r="J42" s="4"/>
      </tp>
      <tp t="e">
        <v>#N/A</v>
        <stp/>
        <stp>BDH|3392356911585662452</stp>
        <tr r="J7" s="11"/>
      </tp>
      <tp t="e">
        <v>#N/A</v>
        <stp/>
        <stp>BDH|5759688144905824278</stp>
        <tr r="V25" s="10"/>
      </tp>
      <tp t="e">
        <v>#N/A</v>
        <stp/>
        <stp>BDH|5774778927618464871</stp>
        <tr r="J25" s="12"/>
      </tp>
      <tp t="e">
        <v>#N/A</v>
        <stp/>
        <stp>BDH|7207666257081587520</stp>
        <tr r="K28" s="34"/>
      </tp>
      <tp t="e">
        <v>#N/A</v>
        <stp/>
        <stp>BDH|8575819936632334155</stp>
        <tr r="H69" s="12"/>
      </tp>
      <tp t="e">
        <v>#N/A</v>
        <stp/>
        <stp>BDH|2620177567012040730</stp>
        <tr r="H14" s="18"/>
      </tp>
      <tp t="e">
        <v>#N/A</v>
        <stp/>
        <stp>BDH|2310675522320124625</stp>
        <tr r="U35" s="25"/>
      </tp>
      <tp t="e">
        <v>#N/A</v>
        <stp/>
        <stp>BDH|4118745313461360306</stp>
        <tr r="T60" s="24"/>
      </tp>
      <tp t="e">
        <v>#N/A</v>
        <stp/>
        <stp>BDH|6468297611604926105</stp>
        <tr r="G111" s="12"/>
      </tp>
      <tp t="e">
        <v>#N/A</v>
        <stp/>
        <stp>BDH|2280382749180308558</stp>
        <tr r="C49" s="10"/>
        <tr r="C41" s="11"/>
        <tr r="E11" s="3"/>
        <tr r="C8" s="7"/>
      </tp>
      <tp t="e">
        <v>#N/A</v>
        <stp/>
        <stp>BDH|2777217348595357183</stp>
        <tr r="O169" s="18"/>
      </tp>
      <tp t="e">
        <v>#N/A</v>
        <stp/>
        <stp>BDH|1535172916742813394</stp>
        <tr r="G17" s="27"/>
        <tr r="G31" s="25"/>
        <tr r="D14" s="5"/>
      </tp>
      <tp t="e">
        <v>#N/A</v>
        <stp/>
        <stp>BDH|8415865349322679682</stp>
        <tr r="D20" s="12"/>
      </tp>
      <tp t="e">
        <v>#N/A</v>
        <stp/>
        <stp>BDH|3510403558796823405</stp>
        <tr r="G12" s="25"/>
      </tp>
      <tp t="e">
        <v>#N/A</v>
        <stp/>
        <stp>BDH|7979473349265514275</stp>
        <tr r="K44" s="13"/>
      </tp>
      <tp t="e">
        <v>#N/A</v>
        <stp/>
        <stp>BDH|1546627365161123065</stp>
        <tr r="L38" s="24"/>
      </tp>
      <tp t="e">
        <v>#N/A</v>
        <stp/>
        <stp>BDH|3188818543496597938</stp>
        <tr r="E70" s="17"/>
      </tp>
      <tp t="e">
        <v>#N/A</v>
        <stp/>
        <stp>BDH|4448492162847330198</stp>
        <tr r="S13" s="12"/>
      </tp>
      <tp t="e">
        <v>#N/A</v>
        <stp/>
        <stp>BDH|6526307722497520076</stp>
        <tr r="AA102" s="12"/>
      </tp>
      <tp t="e">
        <v>#N/A</v>
        <stp/>
        <stp>BDH|7771317371804249709</stp>
        <tr r="R88" s="17"/>
      </tp>
      <tp t="e">
        <v>#N/A</v>
        <stp/>
        <stp>BDH|1293717836693497645</stp>
        <tr r="X22" s="10"/>
      </tp>
      <tp t="e">
        <v>#N/A</v>
        <stp/>
        <stp>BDH|5636152450727045666</stp>
        <tr r="R8" s="17"/>
      </tp>
      <tp t="e">
        <v>#N/A</v>
        <stp/>
        <stp>BDH|9920340440606904810</stp>
        <tr r="O32" s="17"/>
      </tp>
      <tp t="e">
        <v>#N/A</v>
        <stp/>
        <stp>BDH|6712035242253207112</stp>
        <tr r="T11" s="24"/>
      </tp>
      <tp t="e">
        <v>#N/A</v>
        <stp/>
        <stp>BDH|9758056456974776869</stp>
        <tr r="H16" s="34"/>
      </tp>
      <tp t="e">
        <v>#N/A</v>
        <stp/>
        <stp>BDH|2327509998727606988</stp>
        <tr r="M8" s="25"/>
        <tr r="J10" s="5"/>
        <tr r="K9" s="2"/>
      </tp>
      <tp t="e">
        <v>#N/A</v>
        <stp/>
        <stp>BDH|1365742549432825034</stp>
        <tr r="U60" s="24"/>
      </tp>
      <tp t="e">
        <v>#N/A</v>
        <stp/>
        <stp>BDH|9133931433673726030</stp>
        <tr r="I31" s="18"/>
      </tp>
      <tp t="e">
        <v>#N/A</v>
        <stp/>
        <stp>BDH|5238932612209312454</stp>
        <tr r="I7" s="28"/>
      </tp>
      <tp t="e">
        <v>#N/A</v>
        <stp/>
        <stp>BDH|1252025294180115806</stp>
        <tr r="O14" s="8"/>
      </tp>
      <tp t="e">
        <v>#N/A</v>
        <stp/>
        <stp>BDH|4084686532899895879</stp>
        <tr r="Y13" s="12"/>
      </tp>
      <tp t="e">
        <v>#N/A</v>
        <stp/>
        <stp>BDH|3115615177182657046</stp>
        <tr r="D30" s="21"/>
      </tp>
      <tp t="e">
        <v>#N/A</v>
        <stp/>
        <stp>BDH|9108646560731745873</stp>
        <tr r="H79" s="18"/>
      </tp>
      <tp t="e">
        <v>#N/A</v>
        <stp/>
        <stp>BDH|4966026256001885001</stp>
        <tr r="T13" s="2"/>
      </tp>
      <tp t="e">
        <v>#N/A</v>
        <stp/>
        <stp>BDH|9181058498295092592</stp>
        <tr r="X62" s="17"/>
      </tp>
      <tp t="e">
        <v>#N/A</v>
        <stp/>
        <stp>BDH|7092402603976387552</stp>
        <tr r="Z63" s="17"/>
      </tp>
      <tp t="e">
        <v>#N/A</v>
        <stp/>
        <stp>BDH|2224265214230756128</stp>
        <tr r="M27" s="18"/>
      </tp>
      <tp t="e">
        <v>#N/A</v>
        <stp/>
        <stp>BDH|9843949918358915987</stp>
        <tr r="Z66" s="17"/>
      </tp>
      <tp t="e">
        <v>#N/A</v>
        <stp/>
        <stp>BDH|8043415889604990046</stp>
        <tr r="D55" s="34"/>
      </tp>
      <tp t="e">
        <v>#N/A</v>
        <stp/>
        <stp>BDH|6339465146214480227</stp>
        <tr r="Q26" s="13"/>
        <tr r="Q16" s="13"/>
        <tr r="O18" s="10"/>
      </tp>
      <tp t="e">
        <v>#N/A</v>
        <stp/>
        <stp>BDH|4549515961002820589</stp>
        <tr r="J18" s="30"/>
      </tp>
      <tp t="e">
        <v>#N/A</v>
        <stp/>
        <stp>BDH|6489356300574335172</stp>
        <tr r="F105" s="12"/>
      </tp>
      <tp t="e">
        <v>#N/A</v>
        <stp/>
        <stp>BDH|9315610596427184100</stp>
        <tr r="P86" s="12"/>
      </tp>
      <tp t="e">
        <v>#N/A</v>
        <stp/>
        <stp>BDH|8588421191132177722</stp>
        <tr r="K104" s="18"/>
      </tp>
      <tp t="e">
        <v>#N/A</v>
        <stp/>
        <stp>BDH|7844994794961261623</stp>
        <tr r="U8" s="20"/>
        <tr r="U110" s="18"/>
      </tp>
      <tp t="e">
        <v>#N/A</v>
        <stp/>
        <stp>BDH|2212356031976205412</stp>
        <tr r="L23" s="9"/>
      </tp>
      <tp t="e">
        <v>#N/A</v>
        <stp/>
        <stp>BDH|3129410532951610516</stp>
        <tr r="K19" s="17"/>
      </tp>
      <tp t="e">
        <v>#N/A</v>
        <stp/>
        <stp>BDH|1347842181074416578</stp>
        <tr r="U16" s="30"/>
      </tp>
      <tp t="e">
        <v>#N/A</v>
        <stp/>
        <stp>BDH|4105785805371119288</stp>
        <tr r="N11" s="21"/>
      </tp>
      <tp t="e">
        <v>#N/A</v>
        <stp/>
        <stp>BDH|3020340420930929286</stp>
        <tr r="Q45" s="17"/>
      </tp>
      <tp t="e">
        <v>#N/A</v>
        <stp/>
        <stp>BDH|3039234531967602511</stp>
        <tr r="H16" s="11"/>
      </tp>
      <tp t="e">
        <v>#N/A</v>
        <stp/>
        <stp>BDH|6708129001761136602</stp>
        <tr r="R17" s="18"/>
      </tp>
      <tp t="e">
        <v>#N/A</v>
        <stp/>
        <stp>BDH|1679216820907125634</stp>
        <tr r="D28" s="17"/>
      </tp>
      <tp t="e">
        <v>#N/A</v>
        <stp/>
        <stp>BDH|9740035149924105996</stp>
        <tr r="U16" s="34"/>
      </tp>
      <tp t="e">
        <v>#N/A</v>
        <stp/>
        <stp>BDH|2425703687728686500</stp>
        <tr r="M21" s="22"/>
      </tp>
      <tp t="e">
        <v>#N/A</v>
        <stp/>
        <stp>BDH|6435304971873878186</stp>
        <tr r="T71" s="18"/>
      </tp>
      <tp t="e">
        <v>#N/A</v>
        <stp/>
        <stp>BDH|2358465571001070019</stp>
        <tr r="K39" s="22"/>
      </tp>
      <tp t="e">
        <v>#N/A</v>
        <stp/>
        <stp>BDH|5875268565670728195</stp>
        <tr r="R11" s="28"/>
      </tp>
      <tp t="e">
        <v>#N/A</v>
        <stp/>
        <stp>BDH|6355507693189552308</stp>
        <tr r="O23" s="9"/>
      </tp>
      <tp t="e">
        <v>#N/A</v>
        <stp/>
        <stp>BDH|47648552636510842</stp>
        <tr r="L7" s="10"/>
      </tp>
      <tp t="e">
        <v>#N/A</v>
        <stp/>
        <stp>BDH|63896976326937432</stp>
        <tr r="D109" s="12"/>
      </tp>
      <tp t="e">
        <v>#N/A</v>
        <stp/>
        <stp>BDH|4290726349880774641</stp>
        <tr r="I103" s="18"/>
      </tp>
      <tp t="e">
        <v>#N/A</v>
        <stp/>
        <stp>BDH|6711191122147575336</stp>
        <tr r="H46" s="13"/>
      </tp>
      <tp t="e">
        <v>#N/A</v>
        <stp/>
        <stp>BDH|2057209129805339607</stp>
        <tr r="F10" s="13"/>
      </tp>
      <tp t="e">
        <v>#N/A</v>
        <stp/>
        <stp>BDH|1300751163585808477</stp>
        <tr r="N37" s="21"/>
        <tr r="N24" s="3"/>
      </tp>
      <tp t="e">
        <v>#N/A</v>
        <stp/>
        <stp>BDH|3367351381118546181</stp>
        <tr r="Y39" s="18"/>
      </tp>
      <tp t="e">
        <v>#N/A</v>
        <stp/>
        <stp>BDH|8817651203686055940</stp>
        <tr r="I164" s="18"/>
      </tp>
      <tp t="e">
        <v>#N/A</v>
        <stp/>
        <stp>BDH|2997562204231690772</stp>
        <tr r="I55" s="17"/>
      </tp>
      <tp t="e">
        <v>#N/A</v>
        <stp/>
        <stp>BDH|6553180028037673390</stp>
        <tr r="F7" s="34"/>
      </tp>
      <tp t="e">
        <v>#N/A</v>
        <stp/>
        <stp>BDH|8238904418998199915</stp>
        <tr r="M34" s="26"/>
      </tp>
      <tp t="e">
        <v>#N/A</v>
        <stp/>
        <stp>BDH|1761638668018249848</stp>
        <tr r="X18" s="14"/>
      </tp>
      <tp t="e">
        <v>#N/A</v>
        <stp/>
        <stp>BDH|6586198171633261255</stp>
        <tr r="H73" s="18"/>
      </tp>
      <tp t="e">
        <v>#N/A</v>
        <stp/>
        <stp>BDH|4771713416423904035</stp>
        <tr r="W43" s="21"/>
      </tp>
      <tp t="e">
        <v>#N/A</v>
        <stp/>
        <stp>BDH|4882270438225888156</stp>
        <tr r="W161" s="18"/>
      </tp>
      <tp t="e">
        <v>#N/A</v>
        <stp/>
        <stp>BDH|2124424878339922983</stp>
        <tr r="N30" s="18"/>
      </tp>
      <tp t="e">
        <v>#N/A</v>
        <stp/>
        <stp>BDH|3188158184249200286</stp>
        <tr r="X57" s="17"/>
      </tp>
      <tp t="e">
        <v>#N/A</v>
        <stp/>
        <stp>BDH|5349742813782641081</stp>
        <tr r="L47" s="13"/>
      </tp>
      <tp t="e">
        <v>#N/A</v>
        <stp/>
        <stp>BDH|7621752781538865104</stp>
        <tr r="Y64" s="21"/>
        <tr r="W23" s="7"/>
      </tp>
      <tp t="e">
        <v>#N/A</v>
        <stp/>
        <stp>BDH|7869415336424724522</stp>
        <tr r="L9" s="22"/>
      </tp>
      <tp t="e">
        <v>#N/A</v>
        <stp/>
        <stp>BDH|6826126319081803613</stp>
        <tr r="Y48" s="17"/>
      </tp>
      <tp t="e">
        <v>#N/A</v>
        <stp/>
        <stp>BDH|7549886551892381954</stp>
        <tr r="U20" s="10"/>
      </tp>
      <tp t="e">
        <v>#N/A</v>
        <stp/>
        <stp>BDH|2310767548569266953</stp>
        <tr r="AA106" s="18"/>
      </tp>
      <tp t="e">
        <v>#N/A</v>
        <stp/>
        <stp>BDH|5549663659256011102</stp>
        <tr r="R59" s="24"/>
      </tp>
      <tp t="e">
        <v>#N/A</v>
        <stp/>
        <stp>BDH|1785210802084853664</stp>
        <tr r="H8" s="4"/>
      </tp>
      <tp t="e">
        <v>#N/A</v>
        <stp/>
        <stp>BDH|2834351976581674679</stp>
        <tr r="L95" s="18"/>
      </tp>
      <tp t="e">
        <v>#N/A</v>
        <stp/>
        <stp>BDH|2580160465152463686</stp>
        <tr r="Q153" s="18"/>
      </tp>
      <tp t="e">
        <v>#N/A</v>
        <stp/>
        <stp>BDH|8508802964273396481</stp>
        <tr r="I20" s="29"/>
      </tp>
      <tp t="e">
        <v>#N/A</v>
        <stp/>
        <stp>BDH|1253539077690576295</stp>
        <tr r="J23" s="6"/>
      </tp>
      <tp t="e">
        <v>#N/A</v>
        <stp/>
        <stp>BDH|4145239130187901314</stp>
        <tr r="F111" s="12"/>
      </tp>
      <tp t="e">
        <v>#N/A</v>
        <stp/>
        <stp>BDH|2871347633486754529</stp>
        <tr r="Q89" s="17"/>
      </tp>
      <tp t="e">
        <v>#N/A</v>
        <stp/>
        <stp>BDH|1183530050122129290</stp>
        <tr r="U48" s="21"/>
      </tp>
      <tp t="e">
        <v>#N/A</v>
        <stp/>
        <stp>BDH|1590300549420063761</stp>
        <tr r="I28" s="4"/>
      </tp>
      <tp t="e">
        <v>#N/A</v>
        <stp/>
        <stp>BDH|2965914937991601837</stp>
        <tr r="N51" s="24"/>
      </tp>
      <tp t="e">
        <v>#N/A</v>
        <stp/>
        <stp>BDH|7700009964500068096</stp>
        <tr r="T99" s="18"/>
      </tp>
      <tp t="e">
        <v>#N/A</v>
        <stp/>
        <stp>BDH|5587496401291314142</stp>
        <tr r="Z27" s="24"/>
      </tp>
      <tp t="e">
        <v>#N/A</v>
        <stp/>
        <stp>BDH|6296061639820287456</stp>
        <tr r="M62" s="18"/>
      </tp>
      <tp t="e">
        <v>#N/A</v>
        <stp/>
        <stp>BDH|6949148365928218815</stp>
        <tr r="Q33" s="11"/>
        <tr r="Q41" s="10"/>
      </tp>
      <tp t="e">
        <v>#N/A</v>
        <stp/>
        <stp>BDH|1620329748267494030</stp>
        <tr r="G40" s="29"/>
      </tp>
      <tp t="e">
        <v>#N/A</v>
        <stp/>
        <stp>BDH|6637706379383640422</stp>
        <tr r="D7" s="20"/>
        <tr r="D109" s="18"/>
      </tp>
      <tp t="e">
        <v>#N/A</v>
        <stp/>
        <stp>BDH|1821917983483808291</stp>
        <tr r="W167" s="18"/>
      </tp>
      <tp t="e">
        <v>#N/A</v>
        <stp/>
        <stp>BDH|9064809230781215299</stp>
        <tr r="L62" s="12"/>
      </tp>
      <tp t="e">
        <v>#N/A</v>
        <stp/>
        <stp>BDH|1120662297487379880</stp>
        <tr r="Z28" s="22"/>
      </tp>
      <tp t="e">
        <v>#N/A</v>
        <stp/>
        <stp>BDH|1454249479113664649</stp>
        <tr r="N22" s="21"/>
      </tp>
      <tp t="e">
        <v>#N/A</v>
        <stp/>
        <stp>BDH|8950381673274064992</stp>
        <tr r="Q8" s="23"/>
      </tp>
      <tp t="e">
        <v>#N/A</v>
        <stp/>
        <stp>BDH|5110482262310555657</stp>
        <tr r="D9" s="28"/>
      </tp>
      <tp t="e">
        <v>#N/A</v>
        <stp/>
        <stp>BDH|5663246825736929257</stp>
        <tr r="R95" s="18"/>
      </tp>
      <tp t="e">
        <v>#N/A</v>
        <stp/>
        <stp>BDH|6809684066420456797</stp>
        <tr r="S10" s="28"/>
      </tp>
      <tp t="e">
        <v>#N/A</v>
        <stp/>
        <stp>BDH|2410151599492529963</stp>
        <tr r="H176" s="18"/>
      </tp>
      <tp t="e">
        <v>#N/A</v>
        <stp/>
        <stp>BDH|4682400940840952540</stp>
        <tr r="W67" s="17"/>
        <tr r="W18" s="3"/>
      </tp>
      <tp t="e">
        <v>#N/A</v>
        <stp/>
        <stp>BDH|3741598873588158879</stp>
        <tr r="AA34" s="17"/>
      </tp>
      <tp t="e">
        <v>#N/A</v>
        <stp/>
        <stp>BDH|3662748944958515983</stp>
        <tr r="O173" s="18"/>
      </tp>
      <tp t="e">
        <v>#N/A</v>
        <stp/>
        <stp>BDH|7817305050756047633</stp>
        <tr r="AA25" s="3"/>
      </tp>
      <tp t="e">
        <v>#N/A</v>
        <stp/>
        <stp>BDH|5363817046371963960</stp>
        <tr r="L25" s="6"/>
      </tp>
      <tp t="e">
        <v>#N/A</v>
        <stp/>
        <stp>BDH|1980024145935493118</stp>
        <tr r="N97" s="12"/>
      </tp>
      <tp t="e">
        <v>#N/A</v>
        <stp/>
        <stp>BDH|3376175908376212554</stp>
        <tr r="X65" s="12"/>
      </tp>
      <tp t="e">
        <v>#N/A</v>
        <stp/>
        <stp>BDH|5726425570675856263</stp>
        <tr r="J10" s="24"/>
      </tp>
      <tp t="e">
        <v>#N/A</v>
        <stp/>
        <stp>BDH|1127510772593181188</stp>
        <tr r="J10" s="6"/>
      </tp>
      <tp t="e">
        <v>#N/A</v>
        <stp/>
        <stp>BDH|2806742431624577335</stp>
        <tr r="W23" s="26"/>
      </tp>
      <tp t="e">
        <v>#N/A</v>
        <stp/>
        <stp>BDH|4130971244860846818</stp>
        <tr r="I149" s="18"/>
      </tp>
      <tp t="e">
        <v>#N/A</v>
        <stp/>
        <stp>BDH|4517732410682538180</stp>
        <tr r="H15" s="34"/>
      </tp>
      <tp t="e">
        <v>#N/A</v>
        <stp/>
        <stp>BDH|2408330368246043040</stp>
        <tr r="D37" s="22"/>
      </tp>
      <tp t="e">
        <v>#N/A</v>
        <stp/>
        <stp>BDH|2156835838139605177</stp>
        <tr r="R15" s="13"/>
      </tp>
      <tp t="e">
        <v>#N/A</v>
        <stp/>
        <stp>BDH|7790329044419255888</stp>
        <tr r="J8" s="21"/>
      </tp>
      <tp t="e">
        <v>#N/A</v>
        <stp/>
        <stp>BDH|4468637585342127989</stp>
        <tr r="E58" s="34"/>
      </tp>
      <tp t="e">
        <v>#N/A</v>
        <stp/>
        <stp>BDH|3316206009074488456</stp>
        <tr r="J63" s="21"/>
      </tp>
      <tp t="e">
        <v>#N/A</v>
        <stp/>
        <stp>BDH|4466300125251880524</stp>
        <tr r="X43" s="4"/>
      </tp>
      <tp t="e">
        <v>#N/A</v>
        <stp/>
        <stp>BDH|1709749066120826161</stp>
        <tr r="Q61" s="12"/>
      </tp>
      <tp t="e">
        <v>#N/A</v>
        <stp/>
        <stp>BDH|9711898383030175874</stp>
        <tr r="R54" s="13"/>
      </tp>
      <tp t="e">
        <v>#N/A</v>
        <stp/>
        <stp>BDH|7852583331112246289</stp>
        <tr r="G50" s="12"/>
      </tp>
      <tp t="e">
        <v>#N/A</v>
        <stp/>
        <stp>BDH|2830791365097796581</stp>
        <tr r="R16" s="10"/>
      </tp>
      <tp t="e">
        <v>#N/A</v>
        <stp/>
        <stp>BDH|2678936367608943409</stp>
        <tr r="S7" s="8"/>
      </tp>
      <tp t="e">
        <v>#N/A</v>
        <stp/>
        <stp>BDH|4336470571420994673</stp>
        <tr r="P13" s="17"/>
        <tr r="P16" s="28"/>
      </tp>
      <tp t="e">
        <v>#N/A</v>
        <stp/>
        <stp>BDH|6404542441801371790</stp>
        <tr r="Y14" s="18"/>
      </tp>
      <tp t="e">
        <v>#N/A</v>
        <stp/>
        <stp>BDH|4332277215792872429</stp>
        <tr r="G48" s="13"/>
      </tp>
      <tp t="e">
        <v>#N/A</v>
        <stp/>
        <stp>BDH|2768377168615501368</stp>
        <tr r="O33" s="34"/>
      </tp>
      <tp t="e">
        <v>#N/A</v>
        <stp/>
        <stp>BDH|2881018595879358342</stp>
        <tr r="J49" s="21"/>
      </tp>
      <tp t="e">
        <v>#N/A</v>
        <stp/>
        <stp>BDH|5397668204865308796</stp>
        <tr r="R42" s="12"/>
      </tp>
      <tp t="e">
        <v>#N/A</v>
        <stp/>
        <stp>BDH|6318931202769989701</stp>
        <tr r="M16" s="21"/>
      </tp>
      <tp t="e">
        <v>#N/A</v>
        <stp/>
        <stp>BDH|2684190377945380038</stp>
        <tr r="V42" s="11"/>
        <tr r="V14" s="7"/>
        <tr r="V50" s="10"/>
        <tr r="X9" s="3"/>
      </tp>
      <tp t="e">
        <v>#N/A</v>
        <stp/>
        <stp>BDH|1600990792583714325</stp>
        <tr r="N16" s="13"/>
        <tr r="N26" s="13"/>
        <tr r="L18" s="10"/>
      </tp>
      <tp t="e">
        <v>#N/A</v>
        <stp/>
        <stp>BDH|6008314925492453484</stp>
        <tr r="D62" s="24"/>
      </tp>
      <tp t="e">
        <v>#N/A</v>
        <stp/>
        <stp>BDH|6200763404164957417</stp>
        <tr r="O8" s="6"/>
      </tp>
      <tp t="e">
        <v>#N/A</v>
        <stp/>
        <stp>BDH|1396382468816862335</stp>
        <tr r="D9" s="3"/>
      </tp>
      <tp t="e">
        <v>#N/A</v>
        <stp/>
        <stp>BDH|9558670886370546692</stp>
        <tr r="W106" s="12"/>
      </tp>
      <tp t="e">
        <v>#N/A</v>
        <stp/>
        <stp>BDH|2973758785859954581</stp>
        <tr r="D41" s="24"/>
      </tp>
      <tp t="e">
        <v>#N/A</v>
        <stp/>
        <stp>BDH|8107893771533500545</stp>
        <tr r="L14" s="34"/>
      </tp>
      <tp t="e">
        <v>#N/A</v>
        <stp/>
        <stp>BDH|1887448390745206865</stp>
        <tr r="E17" s="18"/>
      </tp>
      <tp t="e">
        <v>#N/A</v>
        <stp/>
        <stp>BDH|4219486904704500532</stp>
        <tr r="W64" s="18"/>
      </tp>
      <tp t="e">
        <v>#N/A</v>
        <stp/>
        <stp>BDH|4829177995489219402</stp>
        <tr r="I23" s="9"/>
      </tp>
      <tp t="e">
        <v>#N/A</v>
        <stp/>
        <stp>BDH|1541000418935684437</stp>
        <tr r="X46" s="18"/>
      </tp>
      <tp t="e">
        <v>#N/A</v>
        <stp/>
        <stp>BDH|5347506632904902609</stp>
        <tr r="X60" s="24"/>
      </tp>
      <tp t="e">
        <v>#N/A</v>
        <stp/>
        <stp>BDH|7204474644990184687</stp>
        <tr r="V58" s="12"/>
      </tp>
      <tp t="e">
        <v>#N/A</v>
        <stp/>
        <stp>BDH|9245482881170572462</stp>
        <tr r="AA48" s="18"/>
      </tp>
      <tp t="e">
        <v>#N/A</v>
        <stp/>
        <stp>BDH|1194262702312852058</stp>
        <tr r="M22" s="9"/>
      </tp>
      <tp t="e">
        <v>#N/A</v>
        <stp/>
        <stp>BDH|7588727962375907249</stp>
        <tr r="Q30" s="13"/>
        <tr r="O26" s="10"/>
      </tp>
      <tp t="e">
        <v>#N/A</v>
        <stp/>
        <stp>BDH|9267195393169827984</stp>
        <tr r="P11" s="24"/>
      </tp>
      <tp t="e">
        <v>#N/A</v>
        <stp/>
        <stp>BDH|5115695014134129753</stp>
        <tr r="O10" s="17"/>
      </tp>
      <tp t="e">
        <v>#N/A</v>
        <stp/>
        <stp>BDH|5853655236687416673</stp>
        <tr r="C41" s="22"/>
      </tp>
      <tp t="e">
        <v>#N/A</v>
        <stp/>
        <stp>BDH|7580738594710343894</stp>
        <tr r="S18" s="18"/>
      </tp>
      <tp t="e">
        <v>#N/A</v>
        <stp/>
        <stp>BDH|5031213152846365589</stp>
        <tr r="O60" s="13"/>
      </tp>
      <tp t="e">
        <v>#N/A</v>
        <stp/>
        <stp>BDH|9191928869045542273</stp>
        <tr r="N17" s="20"/>
      </tp>
      <tp t="e">
        <v>#N/A</v>
        <stp/>
        <stp>BDH|6296729878384430348</stp>
        <tr r="I33" s="12"/>
      </tp>
      <tp t="e">
        <v>#N/A</v>
        <stp/>
        <stp>BDH|9241822034437838449</stp>
        <tr r="T9" s="18"/>
      </tp>
      <tp t="e">
        <v>#N/A</v>
        <stp/>
        <stp>BDH|2384330212460301197</stp>
        <tr r="V24" s="20"/>
      </tp>
      <tp t="e">
        <v>#N/A</v>
        <stp/>
        <stp>BDH|8986967214010119125</stp>
        <tr r="K13" s="11"/>
      </tp>
      <tp t="e">
        <v>#N/A</v>
        <stp/>
        <stp>BDH|5289287896507558814</stp>
        <tr r="C50" s="6"/>
        <tr r="E10" s="8"/>
      </tp>
      <tp t="e">
        <v>#N/A</v>
        <stp/>
        <stp>BDH|2101684829536030189</stp>
        <tr r="N33" s="12"/>
      </tp>
      <tp t="e">
        <v>#N/A</v>
        <stp/>
        <stp>BDH|2371099812467905591</stp>
        <tr r="AA138" s="18"/>
      </tp>
      <tp t="e">
        <v>#N/A</v>
        <stp/>
        <stp>BDH|8784573058771842882</stp>
        <tr r="Z42" s="17"/>
      </tp>
      <tp t="e">
        <v>#N/A</v>
        <stp/>
        <stp>BDH|5464623609107091570</stp>
        <tr r="V49" s="22"/>
      </tp>
      <tp t="e">
        <v>#N/A</v>
        <stp/>
        <stp>BDH|6208411965824955170</stp>
        <tr r="K11" s="20"/>
        <tr r="K112" s="18"/>
      </tp>
      <tp t="e">
        <v>#N/A</v>
        <stp/>
        <stp>BDH|1225059872033449493</stp>
        <tr r="E11" s="20"/>
        <tr r="E112" s="18"/>
      </tp>
      <tp t="e">
        <v>#N/A</v>
        <stp/>
        <stp>BDH|3283179099208082247</stp>
        <tr r="S137" s="18"/>
      </tp>
      <tp t="e">
        <v>#N/A</v>
        <stp/>
        <stp>BDH|8306053324959378291</stp>
        <tr r="K45" s="12"/>
      </tp>
      <tp t="e">
        <v>#N/A</v>
        <stp/>
        <stp>BDH|6389001901555247287</stp>
        <tr r="G15" s="25"/>
      </tp>
      <tp t="e">
        <v>#N/A</v>
        <stp/>
        <stp>BDH|7138411778441913498</stp>
        <tr r="P23" s="20"/>
      </tp>
      <tp t="e">
        <v>#N/A</v>
        <stp/>
        <stp>BDH|9816522041239464079</stp>
        <tr r="J14" s="11"/>
      </tp>
      <tp t="e">
        <v>#N/A</v>
        <stp/>
        <stp>BDH|1914043765027382134</stp>
        <tr r="Y8" s="12"/>
      </tp>
      <tp t="e">
        <v>#N/A</v>
        <stp/>
        <stp>BDH|3412470636523595683</stp>
        <tr r="F35" s="10"/>
        <tr r="F27" s="11"/>
        <tr r="F39" s="11"/>
        <tr r="F47" s="10"/>
      </tp>
      <tp t="e">
        <v>#N/A</v>
        <stp/>
        <stp>BDH|3349732339374532248</stp>
        <tr r="W9" s="24"/>
      </tp>
      <tp t="e">
        <v>#N/A</v>
        <stp/>
        <stp>BDH|2255487948094364785</stp>
        <tr r="E63" s="11"/>
        <tr r="E71" s="10"/>
      </tp>
      <tp t="e">
        <v>#N/A</v>
        <stp/>
        <stp>BDH|6130898751999900393</stp>
        <tr r="N45" s="18"/>
      </tp>
      <tp t="e">
        <v>#N/A</v>
        <stp/>
        <stp>BDH|8542275568098050535</stp>
        <tr r="M54" s="18"/>
      </tp>
      <tp t="e">
        <v>#N/A</v>
        <stp/>
        <stp>BDH|4008638367492849759</stp>
        <tr r="S37" s="18"/>
      </tp>
      <tp t="e">
        <v>#N/A</v>
        <stp/>
        <stp>BDH|8236816869137649050</stp>
        <tr r="E84" s="12"/>
      </tp>
      <tp t="e">
        <v>#N/A</v>
        <stp/>
        <stp>BDH|2702456016283517585</stp>
        <tr r="O35" s="4"/>
      </tp>
      <tp t="e">
        <v>#N/A</v>
        <stp/>
        <stp>BDH|5858026137571257663</stp>
        <tr r="F17" s="10"/>
      </tp>
      <tp t="e">
        <v>#N/A</v>
        <stp/>
        <stp>BDH|3138199831902387238</stp>
        <tr r="R32" s="22"/>
      </tp>
      <tp t="e">
        <v>#N/A</v>
        <stp/>
        <stp>BDH|4790909551969782082</stp>
        <tr r="O26" s="21"/>
      </tp>
      <tp t="e">
        <v>#N/A</v>
        <stp/>
        <stp>BDH|4698756888753397912</stp>
        <tr r="G80" s="18"/>
      </tp>
      <tp t="e">
        <v>#N/A</v>
        <stp/>
        <stp>BDH|1277021909967855788</stp>
        <tr r="S7" s="17"/>
      </tp>
      <tp t="e">
        <v>#N/A</v>
        <stp/>
        <stp>BDH|8040476752128513097</stp>
        <tr r="V38" s="25"/>
      </tp>
      <tp t="e">
        <v>#N/A</v>
        <stp/>
        <stp>BDH|9941074487568005800</stp>
        <tr r="C32" s="24"/>
      </tp>
      <tp t="e">
        <v>#N/A</v>
        <stp/>
        <stp>BDH|1983105313235334509</stp>
        <tr r="P50" s="17"/>
      </tp>
      <tp t="e">
        <v>#N/A</v>
        <stp/>
        <stp>BDH|7523484311574237775</stp>
        <tr r="S10" s="10"/>
      </tp>
      <tp t="e">
        <v>#N/A</v>
        <stp/>
        <stp>BDH|8286924864804888258</stp>
        <tr r="G41" s="17"/>
      </tp>
      <tp t="e">
        <v>#N/A</v>
        <stp/>
        <stp>BDH|1153682734700763532</stp>
        <tr r="S16" s="17"/>
        <tr r="S19" s="28"/>
      </tp>
      <tp t="e">
        <v>#N/A</v>
        <stp/>
        <stp>BDH|8890803816894501426</stp>
        <tr r="T21" s="3"/>
      </tp>
      <tp t="e">
        <v>#N/A</v>
        <stp/>
        <stp>BDH|2142683151669778961</stp>
        <tr r="U12" s="21"/>
      </tp>
      <tp t="e">
        <v>#N/A</v>
        <stp/>
        <stp>BDH|1579421849997216759</stp>
        <tr r="D17" s="13"/>
      </tp>
      <tp t="e">
        <v>#N/A</v>
        <stp/>
        <stp>BDH|8090697692832563476</stp>
        <tr r="D43" s="6"/>
        <tr r="D19" s="5"/>
      </tp>
      <tp t="e">
        <v>#N/A</v>
        <stp/>
        <stp>BDH|6740294631023324554</stp>
        <tr r="D48" s="17"/>
      </tp>
      <tp t="e">
        <v>#N/A</v>
        <stp/>
        <stp>BDH|3376767768210379373</stp>
        <tr r="D49" s="6"/>
        <tr r="F9" s="8"/>
      </tp>
      <tp t="e">
        <v>#N/A</v>
        <stp/>
        <stp>BDH|6140741520813470183</stp>
        <tr r="R47" s="34"/>
      </tp>
      <tp t="e">
        <v>#N/A</v>
        <stp/>
        <stp>BDH|6646731609568700829</stp>
        <tr r="R34" s="18"/>
      </tp>
      <tp t="e">
        <v>#N/A</v>
        <stp/>
        <stp>BDH|2218305671987861022</stp>
        <tr r="W29" s="13"/>
        <tr r="U32" s="10"/>
        <tr r="U24" s="11"/>
        <tr r="U45" s="4"/>
      </tp>
      <tp t="e">
        <v>#N/A</v>
        <stp/>
        <stp>BDH|9617632319129326669</stp>
        <tr r="N19" s="24"/>
      </tp>
      <tp t="e">
        <v>#N/A</v>
        <stp/>
        <stp>BDH|2603030261714562188</stp>
        <tr r="N63" s="12"/>
      </tp>
      <tp t="e">
        <v>#N/A</v>
        <stp/>
        <stp>BDH|9174439598312549760</stp>
        <tr r="M110" s="12"/>
      </tp>
      <tp t="e">
        <v>#N/A</v>
        <stp/>
        <stp>BDH|8854207465309393470</stp>
        <tr r="AA62" s="17"/>
      </tp>
      <tp t="e">
        <v>#N/A</v>
        <stp/>
        <stp>BDH|8125122669887614952</stp>
        <tr r="N56" s="34"/>
      </tp>
      <tp t="e">
        <v>#N/A</v>
        <stp/>
        <stp>BDH|4882749157372080520</stp>
        <tr r="X17" s="27"/>
        <tr r="X31" s="25"/>
        <tr r="U14" s="5"/>
      </tp>
      <tp t="e">
        <v>#N/A</v>
        <stp/>
        <stp>BDH|2409482885946564950</stp>
        <tr r="C6" s="15"/>
        <tr r="C6" s="10"/>
        <tr r="C11" s="4"/>
        <tr r="C12" s="2"/>
      </tp>
      <tp t="e">
        <v>#N/A</v>
        <stp/>
        <stp>BDH|4980773125757425762</stp>
        <tr r="X20" s="22"/>
      </tp>
      <tp t="e">
        <v>#N/A</v>
        <stp/>
        <stp>BDH|2647224004666928708</stp>
        <tr r="T24" s="2"/>
      </tp>
      <tp t="e">
        <v>#N/A</v>
        <stp/>
        <stp>BDH|3920365431087126569</stp>
        <tr r="X17" s="12"/>
      </tp>
      <tp t="e">
        <v>#N/A</v>
        <stp/>
        <stp>BDH|9148225816118474388</stp>
        <tr r="F30" s="6"/>
      </tp>
      <tp t="e">
        <v>#N/A</v>
        <stp/>
        <stp>BDH|5139285623907693359</stp>
        <tr r="K40" s="17"/>
      </tp>
      <tp t="e">
        <v>#N/A</v>
        <stp/>
        <stp>BDH|3103270711293655288</stp>
        <tr r="N51" s="34"/>
      </tp>
      <tp t="e">
        <v>#N/A</v>
        <stp/>
        <stp>BDH|4377653206302880111</stp>
        <tr r="O137" s="18"/>
      </tp>
      <tp t="e">
        <v>#N/A</v>
        <stp/>
        <stp>BDH|1493795753744577622</stp>
        <tr r="Q66" s="21"/>
      </tp>
      <tp t="e">
        <v>#N/A</v>
        <stp/>
        <stp>BDH|8273884172772225438</stp>
        <tr r="M13" s="8"/>
      </tp>
      <tp t="e">
        <v>#N/A</v>
        <stp/>
        <stp>BDH|3328797517812413602</stp>
        <tr r="J22" s="24"/>
      </tp>
      <tp t="e">
        <v>#N/A</v>
        <stp/>
        <stp>BDH|2439121665736994232</stp>
        <tr r="P15" s="6"/>
      </tp>
      <tp t="e">
        <v>#N/A</v>
        <stp/>
        <stp>BDH|6658685363574427309</stp>
        <tr r="Z25" s="18"/>
      </tp>
      <tp t="e">
        <v>#N/A</v>
        <stp/>
        <stp>BDH|2673164229103535320</stp>
        <tr r="G43" s="24"/>
      </tp>
      <tp t="e">
        <v>#N/A</v>
        <stp/>
        <stp>BDH|3990014555775023239</stp>
        <tr r="J28" s="26"/>
      </tp>
      <tp t="e">
        <v>#N/A</v>
        <stp/>
        <stp>BDH|3369942705313513897</stp>
        <tr r="O26" s="18"/>
      </tp>
      <tp t="e">
        <v>#N/A</v>
        <stp/>
        <stp>BDH|7007454937361572091</stp>
        <tr r="P17" s="27"/>
        <tr r="P31" s="25"/>
        <tr r="M14" s="5"/>
      </tp>
      <tp t="e">
        <v>#N/A</v>
        <stp/>
        <stp>BDH|8323145699298631966</stp>
        <tr r="U20" s="26"/>
      </tp>
      <tp t="e">
        <v>#N/A</v>
        <stp/>
        <stp>BDH|5636614222428218892</stp>
        <tr r="AA17" s="13"/>
      </tp>
      <tp t="e">
        <v>#N/A</v>
        <stp/>
        <stp>BDH|9858736779251982959</stp>
        <tr r="W27" s="7"/>
      </tp>
      <tp t="e">
        <v>#N/A</v>
        <stp/>
        <stp>BDH|1081391836371690171</stp>
        <tr r="T7" s="10"/>
      </tp>
      <tp t="e">
        <v>#N/A</v>
        <stp/>
        <stp>BDH|8261521990662716792</stp>
        <tr r="T29" s="29"/>
        <tr r="T7" s="29"/>
      </tp>
      <tp t="e">
        <v>#N/A</v>
        <stp/>
        <stp>BDH|4731597049180198489</stp>
        <tr r="F44" s="18"/>
      </tp>
      <tp t="e">
        <v>#N/A</v>
        <stp/>
        <stp>BDH|6833703815165600454</stp>
        <tr r="W65" s="18"/>
      </tp>
      <tp t="e">
        <v>#N/A</v>
        <stp/>
        <stp>BDH|6752185221691447547</stp>
        <tr r="D11" s="12"/>
      </tp>
      <tp t="e">
        <v>#N/A</v>
        <stp/>
        <stp>BDH|9708320965315859862</stp>
        <tr r="H65" s="10"/>
        <tr r="H39" s="4"/>
      </tp>
      <tp t="e">
        <v>#N/A</v>
        <stp/>
        <stp>BDH|1164204702054448691</stp>
        <tr r="Q20" s="22"/>
      </tp>
      <tp t="e">
        <v>#N/A</v>
        <stp/>
        <stp>BDH|4086189425363064532</stp>
        <tr r="K29" s="4"/>
      </tp>
      <tp t="e">
        <v>#N/A</v>
        <stp/>
        <stp>BDH|7476231233223367494</stp>
        <tr r="M58" s="24"/>
      </tp>
      <tp t="e">
        <v>#N/A</v>
        <stp/>
        <stp>BDH|3995419962667505710</stp>
        <tr r="V75" s="12"/>
      </tp>
      <tp t="e">
        <v>#N/A</v>
        <stp/>
        <stp>BDH|8936072703470142928</stp>
        <tr r="L21" s="21"/>
      </tp>
      <tp t="e">
        <v>#N/A</v>
        <stp/>
        <stp>BDH|4645454298321589902</stp>
        <tr r="O32" s="22"/>
      </tp>
      <tp t="e">
        <v>#N/A</v>
        <stp/>
        <stp>BDH|2438691597188737438</stp>
        <tr r="F12" s="21"/>
      </tp>
      <tp t="e">
        <v>#N/A</v>
        <stp/>
        <stp>BDH|9276173014841731987</stp>
        <tr r="M62" s="11"/>
        <tr r="M70" s="10"/>
      </tp>
      <tp t="e">
        <v>#N/A</v>
        <stp/>
        <stp>BDH|2219858733549316195</stp>
        <tr r="H33" s="18"/>
      </tp>
      <tp t="e">
        <v>#N/A</v>
        <stp/>
        <stp>BDH|3896977234251258971</stp>
        <tr r="T20" s="22"/>
      </tp>
      <tp t="e">
        <v>#N/A</v>
        <stp/>
        <stp>BDH|7293082877786618755</stp>
        <tr r="M36" s="29"/>
        <tr r="M16" s="29"/>
      </tp>
      <tp t="e">
        <v>#N/A</v>
        <stp/>
        <stp>BDH|7842830360010575808</stp>
        <tr r="T71" s="17"/>
      </tp>
      <tp t="e">
        <v>#N/A</v>
        <stp/>
        <stp>BDH|6663281375807256571</stp>
        <tr r="N26" s="12"/>
      </tp>
      <tp t="e">
        <v>#N/A</v>
        <stp/>
        <stp>BDH|2476128526324719496</stp>
        <tr r="U42" s="22"/>
      </tp>
      <tp t="e">
        <v>#N/A</v>
        <stp/>
        <stp>BDH|4499877309215321875</stp>
        <tr r="D14" s="18"/>
      </tp>
      <tp t="e">
        <v>#N/A</v>
        <stp/>
        <stp>BDH|7402039508083355527</stp>
        <tr r="U34" s="21"/>
      </tp>
      <tp t="e">
        <v>#N/A</v>
        <stp/>
        <stp>BDH|8408843113711576189</stp>
        <tr r="U70" s="17"/>
      </tp>
      <tp t="e">
        <v>#N/A</v>
        <stp/>
        <stp>BDH|7267781046412096726</stp>
        <tr r="U34" s="6"/>
      </tp>
      <tp t="e">
        <v>#N/A</v>
        <stp/>
        <stp>BDH|5875572494268535008</stp>
        <tr r="J42" s="21"/>
      </tp>
      <tp t="e">
        <v>#N/A</v>
        <stp/>
        <stp>BDH|3225263954472890760</stp>
        <tr r="M33" s="22"/>
      </tp>
      <tp t="e">
        <v>#N/A</v>
        <stp/>
        <stp>BDH|1636248970390471580</stp>
        <tr r="AA150" s="18"/>
      </tp>
      <tp t="e">
        <v>#N/A</v>
        <stp/>
        <stp>BDH|9575361746306838939</stp>
        <tr r="P87" s="12"/>
      </tp>
      <tp t="e">
        <v>#N/A</v>
        <stp/>
        <stp>BDH|8284574358729251010</stp>
        <tr r="M31" s="25"/>
        <tr r="M17" s="27"/>
        <tr r="J14" s="5"/>
      </tp>
      <tp t="e">
        <v>#N/A</v>
        <stp/>
        <stp>BDH|1501518797628466496</stp>
        <tr r="Y64" s="11"/>
        <tr r="Y72" s="10"/>
      </tp>
      <tp t="e">
        <v>#N/A</v>
        <stp/>
        <stp>BDH|1858044441760009438</stp>
        <tr r="D103" s="12"/>
      </tp>
      <tp t="e">
        <v>#N/A</v>
        <stp/>
        <stp>BDH|3981630107312196633</stp>
        <tr r="P15" s="17"/>
        <tr r="P18" s="28"/>
      </tp>
      <tp t="e">
        <v>#N/A</v>
        <stp/>
        <stp>BDH|5345299801107385175</stp>
        <tr r="N8" s="14"/>
      </tp>
      <tp t="e">
        <v>#N/A</v>
        <stp/>
        <stp>BDH|7982800257679969288</stp>
        <tr r="Q8" s="2"/>
      </tp>
      <tp t="e">
        <v>#N/A</v>
        <stp/>
        <stp>BDH|4556385879654350583</stp>
        <tr r="W25" s="12"/>
      </tp>
      <tp t="e">
        <v>#N/A</v>
        <stp/>
        <stp>BDH|6674309224642489490</stp>
        <tr r="F28" s="22"/>
      </tp>
      <tp t="e">
        <v>#N/A</v>
        <stp/>
        <stp>BDH|8038186155318209505</stp>
        <tr r="P61" s="34"/>
      </tp>
      <tp t="e">
        <v>#N/A</v>
        <stp/>
        <stp>BDH|2321482744760933397</stp>
        <tr r="U35" s="13"/>
        <tr r="S31" s="10"/>
      </tp>
      <tp t="e">
        <v>#N/A</v>
        <stp/>
        <stp>BDH|1113995521228109375</stp>
        <tr r="U48" s="12"/>
      </tp>
      <tp t="e">
        <v>#N/A</v>
        <stp/>
        <stp>BDH|5728285540526267427</stp>
        <tr r="V8" s="24"/>
      </tp>
      <tp t="e">
        <v>#N/A</v>
        <stp/>
        <stp>BDH|7666136521330335582</stp>
        <tr r="N11" s="9"/>
      </tp>
      <tp t="e">
        <v>#N/A</v>
        <stp/>
        <stp>BDH|9485412786925545195</stp>
        <tr r="U18" s="13"/>
      </tp>
      <tp t="e">
        <v>#N/A</v>
        <stp/>
        <stp>BDH|8423885664435047275</stp>
        <tr r="W33" s="18"/>
      </tp>
      <tp t="e">
        <v>#N/A</v>
        <stp/>
        <stp>BDH|5162135129120556712</stp>
        <tr r="Z53" s="17"/>
        <tr r="Z10" s="25"/>
      </tp>
      <tp t="e">
        <v>#N/A</v>
        <stp/>
        <stp>BDH|3091759840780923131</stp>
        <tr r="C26" s="22"/>
      </tp>
      <tp t="e">
        <v>#N/A</v>
        <stp/>
        <stp>BDH|5999213470176779708</stp>
        <tr r="J60" s="13"/>
      </tp>
      <tp t="e">
        <v>#N/A</v>
        <stp/>
        <stp>BDH|1673937628538049325</stp>
        <tr r="S9" s="23"/>
      </tp>
      <tp t="e">
        <v>#N/A</v>
        <stp/>
        <stp>BDH|9511622675889886057</stp>
        <tr r="W87" s="12"/>
      </tp>
      <tp t="e">
        <v>#N/A</v>
        <stp/>
        <stp>BDH|4157164403702382689</stp>
        <tr r="U60" s="34"/>
      </tp>
      <tp t="e">
        <v>#N/A</v>
        <stp/>
        <stp>BDH|5911722779713956746</stp>
        <tr r="AA7" s="23"/>
      </tp>
      <tp t="e">
        <v>#N/A</v>
        <stp/>
        <stp>BDH|1023101658512509621</stp>
        <tr r="M41" s="12"/>
      </tp>
      <tp t="e">
        <v>#N/A</v>
        <stp/>
        <stp>BDH|1343359039269518959</stp>
        <tr r="J88" s="12"/>
      </tp>
      <tp t="e">
        <v>#N/A</v>
        <stp/>
        <stp>BDH|1725483309731891519</stp>
        <tr r="T33" s="13"/>
        <tr r="R29" s="10"/>
      </tp>
      <tp t="e">
        <v>#N/A</v>
        <stp/>
        <stp>BDH|5617476318047380659</stp>
        <tr r="Z137" s="18"/>
      </tp>
      <tp t="e">
        <v>#N/A</v>
        <stp/>
        <stp>BDH|7407138664910560191</stp>
        <tr r="R41" s="18"/>
      </tp>
      <tp t="e">
        <v>#N/A</v>
        <stp/>
        <stp>BDH|5225509820694870753</stp>
        <tr r="G33" s="17"/>
      </tp>
      <tp t="e">
        <v>#N/A</v>
        <stp/>
        <stp>BDH|6230780775226603168</stp>
        <tr r="W38" s="22"/>
      </tp>
      <tp t="e">
        <v>#N/A</v>
        <stp/>
        <stp>BDH|6087587510352560123</stp>
        <tr r="K30" s="6"/>
      </tp>
      <tp t="e">
        <v>#N/A</v>
        <stp/>
        <stp>BDH|8224160963947954917</stp>
        <tr r="W90" s="12"/>
      </tp>
      <tp t="e">
        <v>#N/A</v>
        <stp/>
        <stp>BDH|5614106660151864218</stp>
        <tr r="D15" s="10"/>
      </tp>
      <tp t="e">
        <v>#N/A</v>
        <stp/>
        <stp>BDH|8763122085828640892</stp>
        <tr r="G49" s="18"/>
      </tp>
      <tp t="e">
        <v>#N/A</v>
        <stp/>
        <stp>BDH|3605326929927072422</stp>
        <tr r="W23" s="24"/>
      </tp>
      <tp t="e">
        <v>#N/A</v>
        <stp/>
        <stp>BDH|7943075658120139389</stp>
        <tr r="H55" s="17"/>
      </tp>
      <tp t="e">
        <v>#N/A</v>
        <stp/>
        <stp>BDH|1288030606612850201</stp>
        <tr r="AA82" s="17"/>
        <tr r="Y6" s="7"/>
        <tr r="AA20" s="3"/>
      </tp>
      <tp t="e">
        <v>#N/A</v>
        <stp/>
        <stp>BDH|5815566273674328219</stp>
        <tr r="Q26" s="22"/>
      </tp>
      <tp t="e">
        <v>#N/A</v>
        <stp/>
        <stp>BDH|9997522788817875249</stp>
        <tr r="L7" s="34"/>
      </tp>
      <tp t="e">
        <v>#N/A</v>
        <stp/>
        <stp>BDH|1958159123067522453</stp>
        <tr r="K21" s="12"/>
      </tp>
      <tp t="e">
        <v>#N/A</v>
        <stp/>
        <stp>BDH|4549588905700277050</stp>
        <tr r="D107" s="12"/>
      </tp>
      <tp t="e">
        <v>#N/A</v>
        <stp/>
        <stp>BDH|5573141550211797191</stp>
        <tr r="AA11" s="22"/>
      </tp>
      <tp t="e">
        <v>#N/A</v>
        <stp/>
        <stp>BDH|3059081096229525248</stp>
        <tr r="U66" s="12"/>
      </tp>
      <tp t="e">
        <v>#N/A</v>
        <stp/>
        <stp>BDH|5984265553351608251</stp>
        <tr r="E112" s="12"/>
      </tp>
      <tp t="e">
        <v>#N/A</v>
        <stp/>
        <stp>BDH|7025679531590181389</stp>
        <tr r="N43" s="12"/>
      </tp>
      <tp t="e">
        <v>#N/A</v>
        <stp/>
        <stp>BDH|4101506744005880120</stp>
        <tr r="AA25" s="12"/>
      </tp>
      <tp t="e">
        <v>#N/A</v>
        <stp/>
        <stp>BDH|7950433857974298308</stp>
        <tr r="O56" s="17"/>
      </tp>
      <tp t="e">
        <v>#N/A</v>
        <stp/>
        <stp>BDH|3731679561240708296</stp>
        <tr r="V67" s="17"/>
        <tr r="V18" s="3"/>
      </tp>
      <tp t="e">
        <v>#N/A</v>
        <stp/>
        <stp>BDH|1562681350777161407</stp>
        <tr r="C17" s="13"/>
      </tp>
      <tp t="e">
        <v>#N/A</v>
        <stp/>
        <stp>BDH|3812797282489936460</stp>
        <tr r="Z46" s="24"/>
      </tp>
      <tp t="e">
        <v>#N/A</v>
        <stp/>
        <stp>BDH|5104219268725090547</stp>
        <tr r="E44" s="12"/>
      </tp>
      <tp t="e">
        <v>#N/A</v>
        <stp/>
        <stp>BDH|3161401012617931062</stp>
        <tr r="R100" s="12"/>
      </tp>
      <tp t="e">
        <v>#N/A</v>
        <stp/>
        <stp>BDH|3558198432916271603</stp>
        <tr r="I23" s="13"/>
      </tp>
      <tp t="e">
        <v>#N/A</v>
        <stp/>
        <stp>BDH|7741644201592635286</stp>
        <tr r="R118" s="18"/>
      </tp>
      <tp t="e">
        <v>#N/A</v>
        <stp/>
        <stp>BDH|7302414375761254495</stp>
        <tr r="U30" s="6"/>
      </tp>
      <tp t="e">
        <v>#N/A</v>
        <stp/>
        <stp>BDH|5369093671187070471</stp>
        <tr r="D50" s="4"/>
      </tp>
      <tp t="e">
        <v>#N/A</v>
        <stp/>
        <stp>BDH|6142215220356955155</stp>
        <tr r="Z23" s="26"/>
      </tp>
      <tp t="e">
        <v>#N/A</v>
        <stp/>
        <stp>BDH|1184132312598552898</stp>
        <tr r="D44" s="12"/>
      </tp>
      <tp t="e">
        <v>#N/A</v>
        <stp/>
        <stp>BDH|8978173484087249742</stp>
        <tr r="N42" s="17"/>
      </tp>
      <tp t="e">
        <v>#N/A</v>
        <stp/>
        <stp>BDH|6159756607396878675</stp>
        <tr r="H45" s="22"/>
      </tp>
      <tp t="e">
        <v>#N/A</v>
        <stp/>
        <stp>BDH|2069022807034006791</stp>
        <tr r="N18" s="25"/>
      </tp>
      <tp t="e">
        <v>#N/A</v>
        <stp/>
        <stp>BDH|4706947991707608285</stp>
        <tr r="N9" s="20"/>
        <tr r="N111" s="18"/>
      </tp>
      <tp t="e">
        <v>#N/A</v>
        <stp/>
        <stp>BDH|6426095745453756033</stp>
        <tr r="I94" s="17"/>
      </tp>
      <tp t="e">
        <v>#N/A</v>
        <stp/>
        <stp>BDH|7297727620396416589</stp>
        <tr r="X15" s="13"/>
      </tp>
      <tp t="e">
        <v>#N/A</v>
        <stp/>
        <stp>BDH|3475744288834478908</stp>
        <tr r="I91" s="18"/>
      </tp>
      <tp t="e">
        <v>#N/A</v>
        <stp/>
        <stp>BDH|8308499316308558458</stp>
        <tr r="F17" s="23"/>
      </tp>
      <tp t="e">
        <v>#N/A</v>
        <stp/>
        <stp>BDH|4369876108685898888</stp>
        <tr r="P18" s="17"/>
      </tp>
      <tp t="e">
        <v>#N/A</v>
        <stp/>
        <stp>BDH|1248946683653942207</stp>
        <tr r="G14" s="10"/>
      </tp>
      <tp t="e">
        <v>#N/A</v>
        <stp/>
        <stp>BDH|8143422552129540185</stp>
        <tr r="T8" s="6"/>
      </tp>
      <tp t="e">
        <v>#N/A</v>
        <stp/>
        <stp>BDH|2551896606639376254</stp>
        <tr r="M16" s="11"/>
      </tp>
      <tp t="e">
        <v>#N/A</v>
        <stp/>
        <stp>BDH|5805046404637561310</stp>
        <tr r="J16" s="29"/>
        <tr r="J36" s="29"/>
      </tp>
      <tp t="e">
        <v>#N/A</v>
        <stp/>
        <stp>BDH|3903607913465161073</stp>
        <tr r="H64" s="34"/>
      </tp>
      <tp t="e">
        <v>#N/A</v>
        <stp/>
        <stp>BDH|2725293170860390619</stp>
        <tr r="Z171" s="18"/>
      </tp>
      <tp t="e">
        <v>#N/A</v>
        <stp/>
        <stp>BDH|9865997241575983055</stp>
        <tr r="D72" s="18"/>
      </tp>
      <tp t="e">
        <v>#N/A</v>
        <stp/>
        <stp>BDH|5890382464861136098</stp>
        <tr r="E72" s="18"/>
      </tp>
      <tp t="e">
        <v>#N/A</v>
        <stp/>
        <stp>BDH|1313196650900020464</stp>
        <tr r="G35" s="25"/>
      </tp>
      <tp t="e">
        <v>#N/A</v>
        <stp/>
        <stp>BDH|6197811397184959224</stp>
        <tr r="D49" s="22"/>
      </tp>
      <tp t="e">
        <v>#N/A</v>
        <stp/>
        <stp>BDH|1966034318127686683</stp>
        <tr r="Q87" s="12"/>
      </tp>
      <tp t="e">
        <v>#N/A</v>
        <stp/>
        <stp>BDH|9095914378073005557</stp>
        <tr r="N9" s="17"/>
      </tp>
      <tp t="e">
        <v>#N/A</v>
        <stp/>
        <stp>BDH|6940644356860632411</stp>
        <tr r="L13" s="23"/>
        <tr r="J57" s="11"/>
        <tr r="J38" s="4"/>
      </tp>
      <tp t="e">
        <v>#N/A</v>
        <stp/>
        <stp>BDH|5869160846107783635</stp>
        <tr r="AA130" s="18"/>
      </tp>
      <tp t="e">
        <v>#N/A</v>
        <stp/>
        <stp>BDH|4956405911175020549</stp>
        <tr r="Y12" s="10"/>
      </tp>
      <tp t="e">
        <v>#N/A</v>
        <stp/>
        <stp>BDH|5273695042985410310</stp>
        <tr r="P10" s="28"/>
      </tp>
      <tp t="e">
        <v>#N/A</v>
        <stp/>
        <stp>BDH|7294774830501028397</stp>
        <tr r="F18" s="23"/>
      </tp>
      <tp t="e">
        <v>#N/A</v>
        <stp/>
        <stp>BDH|7424386183289388403</stp>
        <tr r="H74" s="12"/>
      </tp>
      <tp t="e">
        <v>#N/A</v>
        <stp/>
        <stp>BDH|7351308859462073263</stp>
        <tr r="V107" s="12"/>
      </tp>
      <tp t="e">
        <v>#N/A</v>
        <stp/>
        <stp>BDH|5125118745101009096</stp>
        <tr r="M36" s="13"/>
        <tr r="K24" s="10"/>
        <tr r="K46" s="4"/>
      </tp>
      <tp t="e">
        <v>#N/A</v>
        <stp/>
        <stp>BDH|4187833119509138561</stp>
        <tr r="L103" s="18"/>
      </tp>
      <tp t="e">
        <v>#N/A</v>
        <stp/>
        <stp>BDH|5589481127415330752</stp>
        <tr r="V28" s="34"/>
      </tp>
      <tp t="e">
        <v>#N/A</v>
        <stp/>
        <stp>BDH|8550666546992915907</stp>
        <tr r="V49" s="34"/>
      </tp>
      <tp t="e">
        <v>#N/A</v>
        <stp/>
        <stp>BDH|2170195483093548928</stp>
        <tr r="O51" s="34"/>
      </tp>
      <tp t="e">
        <v>#N/A</v>
        <stp/>
        <stp>BDH|8673939625605913757</stp>
        <tr r="I39" s="26"/>
      </tp>
      <tp t="e">
        <v>#N/A</v>
        <stp/>
        <stp>BDH|4800517005601681167</stp>
        <tr r="Y18" s="12"/>
      </tp>
      <tp t="e">
        <v>#N/A</v>
        <stp/>
        <stp>BDH|7131573811207885534</stp>
        <tr r="D40" s="18"/>
      </tp>
      <tp t="e">
        <v>#N/A</v>
        <stp/>
        <stp>BDH|5538634358202726559</stp>
        <tr r="Q94" s="17"/>
      </tp>
      <tp t="e">
        <v>#N/A</v>
        <stp/>
        <stp>BDH|8449872609583649209</stp>
        <tr r="W38" s="25"/>
      </tp>
      <tp t="e">
        <v>#N/A</v>
        <stp/>
        <stp>BDH|7090967999065594376</stp>
        <tr r="U62" s="21"/>
      </tp>
      <tp t="e">
        <v>#N/A</v>
        <stp/>
        <stp>BDH|6732971488063645536</stp>
        <tr r="Q51" s="22"/>
      </tp>
      <tp t="e">
        <v>#N/A</v>
        <stp/>
        <stp>BDH|6923938696306490150</stp>
        <tr r="N87" s="18"/>
      </tp>
      <tp t="e">
        <v>#N/A</v>
        <stp/>
        <stp>BDH|7400559223261682090</stp>
        <tr r="K12" s="10"/>
      </tp>
      <tp t="e">
        <v>#N/A</v>
        <stp/>
        <stp>BDH|4782788852595157212</stp>
        <tr r="S63" s="21"/>
      </tp>
      <tp t="e">
        <v>#N/A</v>
        <stp/>
        <stp>BDH|3512104149566802192</stp>
        <tr r="N6" s="19"/>
        <tr r="N35" s="17"/>
        <tr r="N16" s="3"/>
      </tp>
      <tp t="e">
        <v>#N/A</v>
        <stp/>
        <stp>BDH|1250920722209709285</stp>
        <tr r="T14" s="21"/>
      </tp>
      <tp t="e">
        <v>#N/A</v>
        <stp/>
        <stp>BDH|4300503708607612701</stp>
        <tr r="Z65" s="12"/>
      </tp>
      <tp t="e">
        <v>#N/A</v>
        <stp/>
        <stp>BDH|2622390692538377135</stp>
        <tr r="E9" s="17"/>
      </tp>
      <tp t="e">
        <v>#N/A</v>
        <stp/>
        <stp>BDH|8269956640266879220</stp>
        <tr r="C120" s="18"/>
      </tp>
      <tp t="e">
        <v>#N/A</v>
        <stp/>
        <stp>BDH|7613359289978123567</stp>
        <tr r="W66" s="17"/>
      </tp>
      <tp t="e">
        <v>#N/A</v>
        <stp/>
        <stp>BDH|7982519809025547691</stp>
        <tr r="V72" s="17"/>
      </tp>
      <tp t="e">
        <v>#N/A</v>
        <stp/>
        <stp>BDH|1417472739983388445</stp>
        <tr r="L59" s="24"/>
      </tp>
      <tp t="e">
        <v>#N/A</v>
        <stp/>
        <stp>BDH|2520768413757930249</stp>
        <tr r="Y19" s="11"/>
      </tp>
      <tp t="e">
        <v>#N/A</v>
        <stp/>
        <stp>BDH|4531144214271130490</stp>
        <tr r="I147" s="18"/>
      </tp>
      <tp t="e">
        <v>#N/A</v>
        <stp/>
        <stp>BDH|2100677430200317682</stp>
        <tr r="F24" s="23"/>
        <tr r="F21" s="30"/>
      </tp>
      <tp t="e">
        <v>#N/A</v>
        <stp/>
        <stp>BDH|9816941492359028137</stp>
        <tr r="M67" s="12"/>
      </tp>
      <tp t="e">
        <v>#N/A</v>
        <stp/>
        <stp>BDH|7397260306441640580</stp>
        <tr r="N51" s="22"/>
      </tp>
      <tp t="e">
        <v>#N/A</v>
        <stp/>
        <stp>BDH|7341439409606249466</stp>
        <tr r="S34" s="18"/>
      </tp>
      <tp t="e">
        <v>#N/A</v>
        <stp/>
        <stp>BDH|4179530635432881122</stp>
        <tr r="O23" s="17"/>
      </tp>
      <tp t="e">
        <v>#N/A</v>
        <stp/>
        <stp>BDH|1346485046276424649</stp>
        <tr r="W118" s="18"/>
      </tp>
      <tp t="e">
        <v>#N/A</v>
        <stp/>
        <stp>BDH|7241892780053694504</stp>
        <tr r="P12" s="24"/>
      </tp>
      <tp t="e">
        <v>#N/A</v>
        <stp/>
        <stp>BDH|3345826882823858165</stp>
        <tr r="N15" s="17"/>
        <tr r="N18" s="28"/>
      </tp>
      <tp t="e">
        <v>#N/A</v>
        <stp/>
        <stp>BDH|8280995202561503112</stp>
        <tr r="W18" s="12"/>
      </tp>
      <tp t="e">
        <v>#N/A</v>
        <stp/>
        <stp>BDH|7343435569552273669</stp>
        <tr r="F44" s="22"/>
      </tp>
      <tp t="e">
        <v>#N/A</v>
        <stp/>
        <stp>BDH|8443702488750423659</stp>
        <tr r="N16" s="24"/>
      </tp>
      <tp t="e">
        <v>#N/A</v>
        <stp/>
        <stp>BDH|8101172989818533873</stp>
        <tr r="Q68" s="24"/>
      </tp>
      <tp t="e">
        <v>#N/A</v>
        <stp/>
        <stp>BDH|3104783848967591699</stp>
        <tr r="I89" s="17"/>
      </tp>
      <tp t="e">
        <v>#N/A</v>
        <stp/>
        <stp>BDH|2977168357370354764</stp>
        <tr r="K59" s="21"/>
        <tr r="I54" s="11"/>
      </tp>
      <tp t="e">
        <v>#N/A</v>
        <stp/>
        <stp>BDH|1904705145921370227</stp>
        <tr r="U38" s="26"/>
      </tp>
      <tp t="e">
        <v>#N/A</v>
        <stp/>
        <stp>BDH|7801692990980511996</stp>
        <tr r="C18" s="13"/>
      </tp>
      <tp t="e">
        <v>#N/A</v>
        <stp/>
        <stp>BDH|4762869140760470981</stp>
        <tr r="M80" s="12"/>
      </tp>
      <tp t="e">
        <v>#N/A</v>
        <stp/>
        <stp>BDH|5360736691728414288</stp>
        <tr r="U105" s="18"/>
      </tp>
      <tp t="e">
        <v>#N/A</v>
        <stp/>
        <stp>BDH|2163130039556497724</stp>
        <tr r="L81" s="12"/>
      </tp>
      <tp t="e">
        <v>#N/A</v>
        <stp/>
        <stp>BDH|3204063718547684470</stp>
        <tr r="O40" s="17"/>
      </tp>
      <tp t="e">
        <v>#N/A</v>
        <stp/>
        <stp>BDH|2112110213717120405</stp>
        <tr r="C103" s="18"/>
      </tp>
      <tp t="e">
        <v>#N/A</v>
        <stp/>
        <stp>BDH|8463846523846291530</stp>
        <tr r="J20" s="27"/>
      </tp>
      <tp t="e">
        <v>#N/A</v>
        <stp/>
        <stp>BDH|1608156478975987306</stp>
        <tr r="D88" s="18"/>
      </tp>
      <tp t="e">
        <v>#N/A</v>
        <stp/>
        <stp>BDH|2676297289060747934</stp>
        <tr r="L42" s="24"/>
      </tp>
      <tp t="e">
        <v>#N/A</v>
        <stp/>
        <stp>BDH|6189127575753586210</stp>
        <tr r="O10" s="12"/>
      </tp>
      <tp t="e">
        <v>#N/A</v>
        <stp/>
        <stp>BDH|7731923570158249055</stp>
        <tr r="F14" s="18"/>
      </tp>
      <tp t="e">
        <v>#N/A</v>
        <stp/>
        <stp>BDH|2659559133970656540</stp>
        <tr r="S21" s="24"/>
      </tp>
      <tp t="e">
        <v>#N/A</v>
        <stp/>
        <stp>BDH|7578183050123751180</stp>
        <tr r="W143" s="18"/>
      </tp>
      <tp t="e">
        <v>#N/A</v>
        <stp/>
        <stp>BDH|3980614806884544093</stp>
        <tr r="N31" s="21"/>
      </tp>
      <tp t="e">
        <v>#N/A</v>
        <stp/>
        <stp>BDH|2550666324471626636</stp>
        <tr r="K75" s="18"/>
      </tp>
      <tp t="e">
        <v>#N/A</v>
        <stp/>
        <stp>BDH|3176273453303750601</stp>
        <tr r="C17" s="22"/>
      </tp>
      <tp t="e">
        <v>#N/A</v>
        <stp/>
        <stp>BDH|1739615775429488858</stp>
        <tr r="Z71" s="24"/>
      </tp>
      <tp t="e">
        <v>#N/A</v>
        <stp/>
        <stp>BDH|9718406147691765955</stp>
        <tr r="I47" s="10"/>
        <tr r="I27" s="11"/>
        <tr r="I39" s="11"/>
        <tr r="I35" s="10"/>
      </tp>
      <tp t="e">
        <v>#N/A</v>
        <stp/>
        <stp>BDH|1367225735109637803</stp>
        <tr r="C41" s="12"/>
      </tp>
      <tp t="e">
        <v>#N/A</v>
        <stp/>
        <stp>BDH|6975997232485168810</stp>
        <tr r="M24" s="29"/>
      </tp>
      <tp t="e">
        <v>#N/A</v>
        <stp/>
        <stp>BDH|3899063473804971167</stp>
        <tr r="I47" s="34"/>
      </tp>
      <tp t="e">
        <v>#N/A</v>
        <stp/>
        <stp>BDH|3982588915776651000</stp>
        <tr r="L68" s="34"/>
      </tp>
      <tp t="e">
        <v>#N/A</v>
        <stp/>
        <stp>BDH|6024801284646102170</stp>
        <tr r="V10" s="13"/>
      </tp>
      <tp t="e">
        <v>#N/A</v>
        <stp/>
        <stp>BDH|1127488274612905169</stp>
        <tr r="G24" s="2"/>
      </tp>
      <tp t="e">
        <v>#N/A</v>
        <stp/>
        <stp>BDH|2695338769766739090</stp>
        <tr r="S13" s="26"/>
      </tp>
      <tp t="e">
        <v>#N/A</v>
        <stp/>
        <stp>BDH|6070404477413663735</stp>
        <tr r="W66" s="34"/>
      </tp>
      <tp t="e">
        <v>#N/A</v>
        <stp/>
        <stp>BDH|8258781359413549840</stp>
        <tr r="O89" s="12"/>
      </tp>
      <tp t="e">
        <v>#N/A</v>
        <stp/>
        <stp>BDH|5992243179420415128</stp>
        <tr r="N84" s="17"/>
      </tp>
      <tp t="e">
        <v>#N/A</v>
        <stp/>
        <stp>BDH|4584707741593548539</stp>
        <tr r="R65" s="10"/>
        <tr r="R39" s="4"/>
      </tp>
      <tp t="e">
        <v>#N/A</v>
        <stp/>
        <stp>BDH|9988117879069594761</stp>
        <tr r="R62" s="18"/>
      </tp>
      <tp t="e">
        <v>#N/A</v>
        <stp/>
        <stp>BDH|6741305830102537504</stp>
        <tr r="I10" s="8"/>
        <tr r="G50" s="6"/>
      </tp>
      <tp t="e">
        <v>#N/A</v>
        <stp/>
        <stp>BDH|5875612010710340380</stp>
        <tr r="R8" s="24"/>
      </tp>
      <tp t="e">
        <v>#N/A</v>
        <stp/>
        <stp>BDH|3343106884612016953</stp>
        <tr r="F55" s="11"/>
      </tp>
      <tp t="e">
        <v>#N/A</v>
        <stp/>
        <stp>BDH|1979491256029657825</stp>
        <tr r="D17" s="20"/>
      </tp>
      <tp t="e">
        <v>#N/A</v>
        <stp/>
        <stp>BDH|8040593535187844864</stp>
        <tr r="H24" s="34"/>
      </tp>
      <tp t="e">
        <v>#N/A</v>
        <stp/>
        <stp>BDH|1184632376393775218</stp>
        <tr r="G143" s="18"/>
      </tp>
      <tp t="e">
        <v>#N/A</v>
        <stp/>
        <stp>BDH|5916475492900755991</stp>
        <tr r="K62" s="11"/>
        <tr r="K70" s="10"/>
      </tp>
      <tp t="e">
        <v>#N/A</v>
        <stp/>
        <stp>BDH|2500040112823140105</stp>
        <tr r="N29" s="6"/>
      </tp>
      <tp t="e">
        <v>#N/A</v>
        <stp/>
        <stp>BDH|6883583461681061532</stp>
        <tr r="M166" s="18"/>
      </tp>
      <tp t="e">
        <v>#N/A</v>
        <stp/>
        <stp>BDH|4616718580512357861</stp>
        <tr r="O62" s="11"/>
        <tr r="O70" s="10"/>
      </tp>
      <tp t="e">
        <v>#N/A</v>
        <stp/>
        <stp>BDH|9697550584707311267</stp>
        <tr r="V84" s="17"/>
      </tp>
      <tp t="e">
        <v>#N/A</v>
        <stp/>
        <stp>BDH|5034279265418310834</stp>
        <tr r="S28" s="34"/>
      </tp>
      <tp t="e">
        <v>#N/A</v>
        <stp/>
        <stp>BDH|1382521055337208741</stp>
        <tr r="R15" s="34"/>
      </tp>
      <tp t="e">
        <v>#N/A</v>
        <stp/>
        <stp>BDH|1362422791705601849</stp>
        <tr r="U122" s="18"/>
      </tp>
      <tp t="e">
        <v>#N/A</v>
        <stp/>
        <stp>BDH|5963258941260668290</stp>
        <tr r="C8" s="8"/>
      </tp>
      <tp t="e">
        <v>#N/A</v>
        <stp/>
        <stp>BDH|7611373671864085628</stp>
        <tr r="M19" s="17"/>
      </tp>
      <tp t="e">
        <v>#N/A</v>
        <stp/>
        <stp>BDH|9759427325988385619</stp>
        <tr r="V73" s="18"/>
      </tp>
      <tp t="e">
        <v>#N/A</v>
        <stp/>
        <stp>BDH|6311497592118396294</stp>
        <tr r="U93" s="17"/>
        <tr r="U13" s="28"/>
      </tp>
      <tp t="e">
        <v>#N/A</v>
        <stp/>
        <stp>BDH|3884678193518989577</stp>
        <tr r="L65" s="18"/>
      </tp>
      <tp t="e">
        <v>#N/A</v>
        <stp/>
        <stp>BDH|8475967502341419168</stp>
        <tr r="I137" s="18"/>
      </tp>
      <tp t="e">
        <v>#N/A</v>
        <stp/>
        <stp>BDH|5071742446925579251</stp>
        <tr r="V15" s="9"/>
      </tp>
      <tp t="e">
        <v>#N/A</v>
        <stp/>
        <stp>BDH|7114684520754263699</stp>
        <tr r="N14" s="6"/>
      </tp>
      <tp t="e">
        <v>#N/A</v>
        <stp/>
        <stp>BDH|4475316768163744389</stp>
        <tr r="T32" s="11"/>
        <tr r="T40" s="10"/>
      </tp>
      <tp t="e">
        <v>#N/A</v>
        <stp/>
        <stp>BDH|3829743745205292497</stp>
        <tr r="I7" s="30"/>
      </tp>
      <tp t="e">
        <v>#N/A</v>
        <stp/>
        <stp>BDH|5714362866045794427</stp>
        <tr r="V15" s="23"/>
        <tr r="T58" s="11"/>
      </tp>
      <tp t="e">
        <v>#N/A</v>
        <stp/>
        <stp>BDH|6192208847143256268</stp>
        <tr r="S13" s="18"/>
      </tp>
      <tp t="e">
        <v>#N/A</v>
        <stp/>
        <stp>BDH|7322506020915228432</stp>
        <tr r="Q62" s="34"/>
      </tp>
      <tp t="e">
        <v>#N/A</v>
        <stp/>
        <stp>BDH|1460259797068024341</stp>
        <tr r="H24" s="17"/>
      </tp>
      <tp t="e">
        <v>#N/A</v>
        <stp/>
        <stp>BDH|6922398992795405841</stp>
        <tr r="R15" s="22"/>
      </tp>
      <tp t="e">
        <v>#N/A</v>
        <stp/>
        <stp>BDH|2135347365024320219</stp>
        <tr r="H67" s="17"/>
        <tr r="H18" s="3"/>
      </tp>
      <tp t="e">
        <v>#N/A</v>
        <stp/>
        <stp>BDH|6851523617907732483</stp>
        <tr r="P69" s="18"/>
      </tp>
      <tp t="e">
        <v>#N/A</v>
        <stp/>
        <stp>BDH|9482297346108997608</stp>
        <tr r="E90" s="18"/>
      </tp>
      <tp t="e">
        <v>#N/A</v>
        <stp/>
        <stp>BDH|1327536435397088170</stp>
        <tr r="R19" s="11"/>
      </tp>
      <tp t="e">
        <v>#N/A</v>
        <stp/>
        <stp>BDH|3749648481718409445</stp>
        <tr r="J19" s="13"/>
        <tr r="H61" s="10"/>
        <tr r="H32" s="4"/>
        <tr r="H16" s="2"/>
      </tp>
      <tp t="e">
        <v>#N/A</v>
        <stp/>
        <stp>BDH|8843173822783875979</stp>
        <tr r="W24" s="24"/>
      </tp>
      <tp t="e">
        <v>#N/A</v>
        <stp/>
        <stp>BDH|1868449046892919218</stp>
        <tr r="W38" s="11"/>
        <tr r="W46" s="10"/>
      </tp>
      <tp t="e">
        <v>#N/A</v>
        <stp/>
        <stp>BDH|1785992895429805910</stp>
        <tr r="Z13" s="20"/>
        <tr r="Z114" s="18"/>
      </tp>
      <tp t="e">
        <v>#N/A</v>
        <stp/>
        <stp>BDH|4971474300253820252</stp>
        <tr r="W16" s="12"/>
      </tp>
      <tp t="e">
        <v>#N/A</v>
        <stp/>
        <stp>BDH|6286322543621840189</stp>
        <tr r="R29" s="21"/>
      </tp>
      <tp t="e">
        <v>#N/A</v>
        <stp/>
        <stp>BDH|9020222716239347247</stp>
        <tr r="V49" s="24"/>
      </tp>
      <tp t="e">
        <v>#N/A</v>
        <stp/>
        <stp>BDH|3000448947770370239</stp>
        <tr r="N29" s="17"/>
      </tp>
      <tp t="e">
        <v>#N/A</v>
        <stp/>
        <stp>BDH|7337179923506777338</stp>
        <tr r="X54" s="6"/>
      </tp>
      <tp t="e">
        <v>#N/A</v>
        <stp/>
        <stp>BDH|3942670653180649182</stp>
        <tr r="G54" s="6"/>
      </tp>
      <tp t="e">
        <v>#N/A</v>
        <stp/>
        <stp>BDH|8237384217079665282</stp>
        <tr r="T50" s="18"/>
      </tp>
      <tp t="e">
        <v>#N/A</v>
        <stp/>
        <stp>BDH|3507929118978816243</stp>
        <tr r="Z11" s="13"/>
      </tp>
      <tp t="e">
        <v>#N/A</v>
        <stp/>
        <stp>BDH|8548919775710119739</stp>
        <tr r="O65" s="12"/>
      </tp>
      <tp t="e">
        <v>#N/A</v>
        <stp/>
        <stp>BDH|6148440312735259764</stp>
        <tr r="T26" s="7"/>
      </tp>
      <tp t="e">
        <v>#N/A</v>
        <stp/>
        <stp>BDH|2770551419096061182</stp>
        <tr r="W10" s="27"/>
        <tr r="W25" s="25"/>
      </tp>
      <tp t="e">
        <v>#N/A</v>
        <stp/>
        <stp>BDH|7146736406696055773</stp>
        <tr r="J15" s="12"/>
      </tp>
      <tp t="e">
        <v>#N/A</v>
        <stp/>
        <stp>BDH|3165054004492653051</stp>
        <tr r="C63" s="11"/>
        <tr r="C71" s="10"/>
      </tp>
      <tp t="e">
        <v>#N/A</v>
        <stp/>
        <stp>BDH|2104343024240310215</stp>
        <tr r="U53" s="13"/>
      </tp>
      <tp t="e">
        <v>#N/A</v>
        <stp/>
        <stp>BDH|8167468091715686134</stp>
        <tr r="I38" s="22"/>
      </tp>
      <tp t="e">
        <v>#N/A</v>
        <stp/>
        <stp>BDH|6272889698142883492</stp>
        <tr r="Q42" s="24"/>
      </tp>
      <tp t="e">
        <v>#N/A</v>
        <stp/>
        <stp>BDH|7506115835683648742</stp>
        <tr r="AA71" s="18"/>
      </tp>
      <tp t="e">
        <v>#N/A</v>
        <stp/>
        <stp>BDH|9120136421743067801</stp>
        <tr r="F9" s="24"/>
      </tp>
      <tp t="e">
        <v>#N/A</v>
        <stp/>
        <stp>BDH|3257784417622973674</stp>
        <tr r="N18" s="9"/>
      </tp>
      <tp t="e">
        <v>#N/A</v>
        <stp/>
        <stp>BDH|8699969555134711114</stp>
        <tr r="W28" s="21"/>
      </tp>
      <tp t="e">
        <v>#N/A</v>
        <stp/>
        <stp>BDH|4040790895308800373</stp>
        <tr r="I92" s="12"/>
      </tp>
      <tp t="e">
        <v>#N/A</v>
        <stp/>
        <stp>BDH|1140575654105157502</stp>
        <tr r="I29" s="9"/>
      </tp>
      <tp t="e">
        <v>#N/A</v>
        <stp/>
        <stp>BDH|1608144344013649636</stp>
        <tr r="J57" s="13"/>
      </tp>
      <tp t="e">
        <v>#N/A</v>
        <stp/>
        <stp>BDH|6779965392353207427</stp>
        <tr r="U13" s="2"/>
      </tp>
      <tp t="e">
        <v>#N/A</v>
        <stp/>
        <stp>BDH|9296130816051382977</stp>
        <tr r="M64" s="10"/>
        <tr r="M25" s="4"/>
      </tp>
      <tp t="e">
        <v>#N/A</v>
        <stp/>
        <stp>BDH|6427139859100445398</stp>
        <tr r="X73" s="24"/>
      </tp>
      <tp t="e">
        <v>#N/A</v>
        <stp/>
        <stp>BDH|9727305045208942788</stp>
        <tr r="T16" s="10"/>
      </tp>
      <tp t="e">
        <v>#N/A</v>
        <stp/>
        <stp>BDH|9861405927869538791</stp>
        <tr r="S23" s="23"/>
      </tp>
      <tp t="e">
        <v>#N/A</v>
        <stp/>
        <stp>BDH|3956372064515120289</stp>
        <tr r="L8" s="20"/>
        <tr r="L110" s="18"/>
      </tp>
      <tp t="e">
        <v>#N/A</v>
        <stp/>
        <stp>BDH|3593900837120765867</stp>
        <tr r="G13" s="26"/>
      </tp>
      <tp t="e">
        <v>#N/A</v>
        <stp/>
        <stp>BDH|4989190137010765737</stp>
        <tr r="P33" s="6"/>
        <tr r="P17" s="5"/>
      </tp>
      <tp t="e">
        <v>#N/A</v>
        <stp/>
        <stp>BDH|5398105456180349050</stp>
        <tr r="Y10" s="18"/>
      </tp>
      <tp t="e">
        <v>#N/A</v>
        <stp/>
        <stp>BDH|1977098882088963081</stp>
        <tr r="T8" s="21"/>
      </tp>
      <tp t="e">
        <v>#N/A</v>
        <stp/>
        <stp>BDH|2846201901867933636</stp>
        <tr r="F33" s="13"/>
        <tr r="D29" s="10"/>
      </tp>
      <tp t="e">
        <v>#N/A</v>
        <stp/>
        <stp>BDH|3077091751402805539</stp>
        <tr r="E62" s="12"/>
      </tp>
      <tp t="e">
        <v>#N/A</v>
        <stp/>
        <stp>BDH|5001561286339003039</stp>
        <tr r="G13" s="10"/>
      </tp>
      <tp t="e">
        <v>#N/A</v>
        <stp/>
        <stp>BDH|2993058694608248298</stp>
        <tr r="D21" s="24"/>
      </tp>
      <tp t="e">
        <v>#N/A</v>
        <stp/>
        <stp>BDH|6284590885442522885</stp>
        <tr r="AA10" s="17"/>
      </tp>
      <tp t="e">
        <v>#N/A</v>
        <stp/>
        <stp>BDH|2717139791728042361</stp>
        <tr r="Q6" s="6"/>
      </tp>
      <tp t="e">
        <v>#N/A</v>
        <stp/>
        <stp>BDH|4685642432828500868</stp>
        <tr r="D57" s="34"/>
      </tp>
      <tp t="e">
        <v>#N/A</v>
        <stp/>
        <stp>BDH|4584000756489915997</stp>
        <tr r="E17" s="10"/>
      </tp>
      <tp t="e">
        <v>#N/A</v>
        <stp/>
        <stp>BDH|8083380689974452668</stp>
        <tr r="N86" s="17"/>
      </tp>
      <tp t="e">
        <v>#N/A</v>
        <stp/>
        <stp>BDH|2979641953857894758</stp>
        <tr r="U14" s="10"/>
      </tp>
      <tp t="e">
        <v>#N/A</v>
        <stp/>
        <stp>BDH|7596953695587612101</stp>
        <tr r="J24" s="21"/>
      </tp>
      <tp t="e">
        <v>#N/A</v>
        <stp/>
        <stp>BDH|1815361325690981110</stp>
        <tr r="P10" s="12"/>
      </tp>
      <tp t="e">
        <v>#N/A</v>
        <stp/>
        <stp>BDH|5581860445970773817</stp>
        <tr r="N70" s="17"/>
      </tp>
      <tp t="e">
        <v>#N/A</v>
        <stp/>
        <stp>BDH|4726553400410171033</stp>
        <tr r="U171" s="18"/>
      </tp>
      <tp t="e">
        <v>#N/A</v>
        <stp/>
        <stp>BDH|1164644445385104710</stp>
        <tr r="R94" s="18"/>
      </tp>
      <tp t="e">
        <v>#N/A</v>
        <stp/>
        <stp>BDH|5442186781999882452</stp>
        <tr r="C118" s="18"/>
      </tp>
      <tp t="e">
        <v>#N/A</v>
        <stp/>
        <stp>BDH|3363686913436873302</stp>
        <tr r="M11" s="28"/>
      </tp>
      <tp t="e">
        <v>#N/A</v>
        <stp/>
        <stp>BDH|7327091702394802201</stp>
        <tr r="G34" s="13"/>
        <tr r="E30" s="10"/>
      </tp>
      <tp t="e">
        <v>#N/A</v>
        <stp/>
        <stp>BDH|3466301503192564320</stp>
        <tr r="AA50" s="21"/>
      </tp>
      <tp t="e">
        <v>#N/A</v>
        <stp/>
        <stp>BDH|8401814590608334062</stp>
        <tr r="M53" s="6"/>
      </tp>
      <tp t="e">
        <v>#N/A</v>
        <stp/>
        <stp>BDH|6290277849754520598</stp>
        <tr r="Q54" s="21"/>
      </tp>
      <tp t="e">
        <v>#N/A</v>
        <stp/>
        <stp>BDH|1082396909825238627</stp>
        <tr r="I75" s="17"/>
      </tp>
      <tp t="e">
        <v>#N/A</v>
        <stp/>
        <stp>BDH|2356606843259305833</stp>
        <tr r="T27" s="17"/>
      </tp>
      <tp t="e">
        <v>#N/A</v>
        <stp/>
        <stp>BDH|7722056006022609426</stp>
        <tr r="S14" s="10"/>
      </tp>
      <tp t="e">
        <v>#N/A</v>
        <stp/>
        <stp>BDH|5777174040258012905</stp>
        <tr r="C37" s="34"/>
      </tp>
      <tp t="e">
        <v>#N/A</v>
        <stp/>
        <stp>BDH|1846150329513537017</stp>
        <tr r="AA129" s="18"/>
      </tp>
      <tp t="e">
        <v>#N/A</v>
        <stp/>
        <stp>BDH|7038079375003382217</stp>
        <tr r="Q16" s="17"/>
        <tr r="Q19" s="28"/>
      </tp>
      <tp t="e">
        <v>#N/A</v>
        <stp/>
        <stp>BDH|5123670652837068048</stp>
        <tr r="T17" s="12"/>
      </tp>
      <tp t="e">
        <v>#N/A</v>
        <stp/>
        <stp>BDH|8878072780168647994</stp>
        <tr r="K91" s="12"/>
      </tp>
      <tp t="e">
        <v>#N/A</v>
        <stp/>
        <stp>BDH|9716022955728419542</stp>
        <tr r="H18" s="21"/>
        <tr r="H23" s="3"/>
        <tr r="F23" s="2"/>
      </tp>
      <tp t="e">
        <v>#N/A</v>
        <stp/>
        <stp>BDH|3561651120125054304</stp>
        <tr r="J25" s="26"/>
      </tp>
      <tp t="e">
        <v>#N/A</v>
        <stp/>
        <stp>BDH|9452809563942703403</stp>
        <tr r="M25" s="6"/>
      </tp>
      <tp t="e">
        <v>#N/A</v>
        <stp/>
        <stp>BDH|6975684736192549020</stp>
        <tr r="O13" s="22"/>
      </tp>
      <tp t="e">
        <v>#N/A</v>
        <stp/>
        <stp>BDH|1624374921109680869</stp>
        <tr r="Z33" s="22"/>
      </tp>
      <tp t="e">
        <v>#N/A</v>
        <stp/>
        <stp>BDH|5730222955172060100</stp>
        <tr r="V7" s="11"/>
      </tp>
      <tp t="e">
        <v>#N/A</v>
        <stp/>
        <stp>BDH|7735943768149869031</stp>
        <tr r="Y21" s="21"/>
      </tp>
      <tp t="e">
        <v>#N/A</v>
        <stp/>
        <stp>BDH|4551712446494574272</stp>
        <tr r="Z20" s="22"/>
      </tp>
      <tp t="e">
        <v>#N/A</v>
        <stp/>
        <stp>BDH|4991110542745830524</stp>
        <tr r="AA29" s="13"/>
        <tr r="Y24" s="11"/>
        <tr r="Y32" s="10"/>
        <tr r="Y45" s="4"/>
      </tp>
      <tp t="e">
        <v>#N/A</v>
        <stp/>
        <stp>BDH|9227235341808739675</stp>
        <tr r="M34" s="18"/>
      </tp>
      <tp t="e">
        <v>#N/A</v>
        <stp/>
        <stp>BDH|6594103665083442346</stp>
        <tr r="J50" s="34"/>
      </tp>
      <tp t="e">
        <v>#N/A</v>
        <stp/>
        <stp>BDH|4213087527964975343</stp>
        <tr r="O13" s="7"/>
      </tp>
      <tp t="e">
        <v>#N/A</v>
        <stp/>
        <stp>BDH|4014451436294301609</stp>
        <tr r="Y9" s="10"/>
      </tp>
      <tp t="e">
        <v>#N/A</v>
        <stp/>
        <stp>BDH|1150495608490796476</stp>
        <tr r="P51" s="34"/>
      </tp>
      <tp t="e">
        <v>#N/A</v>
        <stp/>
        <stp>BDH|1448599715436057287</stp>
        <tr r="X37" s="21"/>
        <tr r="X24" s="3"/>
      </tp>
      <tp t="e">
        <v>#N/A</v>
        <stp/>
        <stp>BDH|4159525414815527421</stp>
        <tr r="N8" s="10"/>
      </tp>
      <tp t="e">
        <v>#N/A</v>
        <stp/>
        <stp>BDH|6232563001806124440</stp>
        <tr r="P151" s="18"/>
      </tp>
      <tp t="e">
        <v>#N/A</v>
        <stp/>
        <stp>BDH|2898779475871238286</stp>
        <tr r="G99" s="18"/>
      </tp>
      <tp t="e">
        <v>#N/A</v>
        <stp/>
        <stp>BDH|3227962480202380176</stp>
        <tr r="U22" s="4"/>
      </tp>
      <tp t="e">
        <v>#N/A</v>
        <stp/>
        <stp>BDH|3284200105348744800</stp>
        <tr r="K68" s="10"/>
      </tp>
      <tp t="e">
        <v>#N/A</v>
        <stp/>
        <stp>BDH|6560951179768866118</stp>
        <tr r="D45" s="21"/>
      </tp>
      <tp t="e">
        <v>#N/A</v>
        <stp/>
        <stp>BDH|4103045441060188153</stp>
        <tr r="U45" s="13"/>
      </tp>
      <tp t="e">
        <v>#N/A</v>
        <stp/>
        <stp>BDH|8803112019981172812</stp>
        <tr r="Q73" s="17"/>
      </tp>
      <tp t="e">
        <v>#N/A</v>
        <stp/>
        <stp>BDH|9079612034958591514</stp>
        <tr r="C36" s="6"/>
      </tp>
      <tp t="e">
        <v>#N/A</v>
        <stp/>
        <stp>BDH|4947482322721288208</stp>
        <tr r="R16" s="21"/>
      </tp>
      <tp t="e">
        <v>#N/A</v>
        <stp/>
        <stp>BDH|2657472357553112163</stp>
        <tr r="J10" s="23"/>
      </tp>
      <tp t="e">
        <v>#N/A</v>
        <stp/>
        <stp>BDH|4623562470111159604</stp>
        <tr r="D11" s="29"/>
      </tp>
      <tp t="e">
        <v>#N/A</v>
        <stp/>
        <stp>BDH|6505745632187046423</stp>
        <tr r="Q94" s="18"/>
      </tp>
      <tp t="e">
        <v>#N/A</v>
        <stp/>
        <stp>BDH|2100868371349509528</stp>
        <tr r="C72" s="24"/>
      </tp>
      <tp t="e">
        <v>#N/A</v>
        <stp/>
        <stp>BDH|3316201800368462866</stp>
        <tr r="O61" s="34"/>
      </tp>
      <tp t="e">
        <v>#N/A</v>
        <stp/>
        <stp>BDH|5285604732009483856</stp>
        <tr r="Q50" s="4"/>
      </tp>
      <tp t="e">
        <v>#N/A</v>
        <stp/>
        <stp>BDH|7735462794148274365</stp>
        <tr r="C14" s="10"/>
      </tp>
      <tp t="e">
        <v>#N/A</v>
        <stp/>
        <stp>BDH|3287676647797680753</stp>
        <tr r="G27" s="17"/>
      </tp>
      <tp t="e">
        <v>#N/A</v>
        <stp/>
        <stp>BDH|4905987167098768204</stp>
        <tr r="W15" s="17"/>
        <tr r="W18" s="28"/>
      </tp>
      <tp t="e">
        <v>#N/A</v>
        <stp/>
        <stp>BDH|7011041831484323173</stp>
        <tr r="P84" s="18"/>
      </tp>
      <tp t="e">
        <v>#N/A</v>
        <stp/>
        <stp>BDH|8864484070998363228</stp>
        <tr r="U71" s="18"/>
      </tp>
      <tp t="e">
        <v>#N/A</v>
        <stp/>
        <stp>BDH|3339250644991099536</stp>
        <tr r="E48" s="22"/>
      </tp>
      <tp t="e">
        <v>#N/A</v>
        <stp/>
        <stp>BDH|7262186858155120726</stp>
        <tr r="W51" s="18"/>
      </tp>
      <tp t="e">
        <v>#N/A</v>
        <stp/>
        <stp>BDH|5501681838894796534</stp>
        <tr r="Q73" s="24"/>
      </tp>
      <tp t="e">
        <v>#N/A</v>
        <stp/>
        <stp>BDH|1066039173216789162</stp>
        <tr r="G19" s="25"/>
      </tp>
      <tp t="e">
        <v>#N/A</v>
        <stp/>
        <stp>BDH|5759857801828055429</stp>
        <tr r="E8" s="2"/>
      </tp>
      <tp t="e">
        <v>#N/A</v>
        <stp/>
        <stp>BDH|8325064359265432991</stp>
        <tr r="Q35" s="25"/>
      </tp>
      <tp t="e">
        <v>#N/A</v>
        <stp/>
        <stp>BDH|4019012076671706313</stp>
        <tr r="N64" s="12"/>
      </tp>
      <tp t="e">
        <v>#N/A</v>
        <stp/>
        <stp>BDH|6376912976449241073</stp>
        <tr r="U12" s="27"/>
        <tr r="U26" s="25"/>
      </tp>
      <tp t="e">
        <v>#N/A</v>
        <stp/>
        <stp>BDH|6087052351635541701</stp>
        <tr r="D112" s="12"/>
      </tp>
      <tp t="e">
        <v>#N/A</v>
        <stp/>
        <stp>BDH|1641741053812112015</stp>
        <tr r="J67" s="12"/>
      </tp>
      <tp t="e">
        <v>#N/A</v>
        <stp/>
        <stp>BDH|6330108607227754124</stp>
        <tr r="V55" s="24"/>
      </tp>
      <tp t="e">
        <v>#N/A</v>
        <stp/>
        <stp>BDH|8159268704478457364</stp>
        <tr r="C11" s="17"/>
      </tp>
      <tp t="e">
        <v>#N/A</v>
        <stp/>
        <stp>BDH|1545418936430146724</stp>
        <tr r="X96" s="18"/>
      </tp>
      <tp t="e">
        <v>#N/A</v>
        <stp/>
        <stp>BDH|9031451391583561609</stp>
        <tr r="P54" s="24"/>
      </tp>
      <tp t="e">
        <v>#N/A</v>
        <stp/>
        <stp>BDH|1649417104480382414</stp>
        <tr r="V43" s="12"/>
      </tp>
      <tp t="e">
        <v>#N/A</v>
        <stp/>
        <stp>BDH|2697204603647414600</stp>
        <tr r="N21" s="34"/>
      </tp>
      <tp t="e">
        <v>#N/A</v>
        <stp/>
        <stp>BDH|2469859760314567957</stp>
        <tr r="H6" s="16"/>
        <tr r="I6" s="11"/>
        <tr r="I10" s="4"/>
        <tr r="K6" s="3"/>
      </tp>
      <tp t="e">
        <v>#N/A</v>
        <stp/>
        <stp>BDH|4379508645320385449</stp>
        <tr r="Z53" s="13"/>
      </tp>
      <tp t="e">
        <v>#N/A</v>
        <stp/>
        <stp>BDH|4207028453280311016</stp>
        <tr r="J12" s="27"/>
        <tr r="J26" s="25"/>
      </tp>
      <tp t="e">
        <v>#N/A</v>
        <stp/>
        <stp>BDH|7096817024464000846</stp>
        <tr r="D40" s="34"/>
      </tp>
      <tp t="e">
        <v>#N/A</v>
        <stp/>
        <stp>BDH|4186482058670372437</stp>
        <tr r="D52" s="22"/>
      </tp>
      <tp t="e">
        <v>#N/A</v>
        <stp/>
        <stp>BDH|9638879429525132780</stp>
        <tr r="D6" s="19"/>
        <tr r="D35" s="17"/>
        <tr r="D16" s="3"/>
      </tp>
      <tp t="e">
        <v>#N/A</v>
        <stp/>
        <stp>BDH|5220249643546569414</stp>
        <tr r="X46" s="6"/>
      </tp>
      <tp t="e">
        <v>#N/A</v>
        <stp/>
        <stp>BDH|2281805782866591542</stp>
        <tr r="Z11" s="24"/>
      </tp>
      <tp t="e">
        <v>#N/A</v>
        <stp/>
        <stp>BDH|6123759805725934591</stp>
        <tr r="D9" s="6"/>
      </tp>
      <tp t="e">
        <v>#N/A</v>
        <stp/>
        <stp>BDH|8030720192091141609</stp>
        <tr r="N12" s="22"/>
      </tp>
      <tp t="e">
        <v>#N/A</v>
        <stp/>
        <stp>BDH|2547028050450295630</stp>
        <tr r="S49" s="21"/>
      </tp>
      <tp t="e">
        <v>#N/A</v>
        <stp/>
        <stp>BDH|7026711166496004116</stp>
        <tr r="G134" s="18"/>
      </tp>
      <tp t="e">
        <v>#N/A</v>
        <stp/>
        <stp>BDH|1964444031525240283</stp>
        <tr r="H102" s="12"/>
      </tp>
      <tp t="e">
        <v>#N/A</v>
        <stp/>
        <stp>BDH|2042945354469200646</stp>
        <tr r="M19" s="10"/>
      </tp>
      <tp t="e">
        <v>#N/A</v>
        <stp/>
        <stp>BDH|6141157035247629211</stp>
        <tr r="X21" s="2"/>
      </tp>
      <tp t="e">
        <v>#N/A</v>
        <stp/>
        <stp>BDH|5450768088829429285</stp>
        <tr r="U167" s="18"/>
      </tp>
      <tp t="e">
        <v>#N/A</v>
        <stp/>
        <stp>BDH|1418446866753622167</stp>
        <tr r="I95" s="18"/>
      </tp>
      <tp t="e">
        <v>#N/A</v>
        <stp/>
        <stp>BDH|4641503377245147264</stp>
        <tr r="E12" s="13"/>
      </tp>
      <tp t="e">
        <v>#N/A</v>
        <stp/>
        <stp>BDH|5455264061886591605</stp>
        <tr r="K40" s="18"/>
      </tp>
      <tp t="e">
        <v>#N/A</v>
        <stp/>
        <stp>BDH|5212011619865496085</stp>
        <tr r="E20" s="22"/>
      </tp>
      <tp t="e">
        <v>#N/A</v>
        <stp/>
        <stp>BDH|7780517956832001463</stp>
        <tr r="T38" s="26"/>
      </tp>
      <tp t="e">
        <v>#N/A</v>
        <stp/>
        <stp>BDH|6610602671227550143</stp>
        <tr r="J20" s="29"/>
      </tp>
      <tp t="e">
        <v>#N/A</v>
        <stp/>
        <stp>BDH|2263940924080467807</stp>
        <tr r="W51" s="24"/>
      </tp>
      <tp t="e">
        <v>#N/A</v>
        <stp/>
        <stp>BDH|4766373717653762462</stp>
        <tr r="P85" s="18"/>
      </tp>
      <tp t="e">
        <v>#N/A</v>
        <stp/>
        <stp>BDH|7497162765842462352</stp>
        <tr r="H14" s="11"/>
      </tp>
      <tp t="e">
        <v>#N/A</v>
        <stp/>
        <stp>BDH|1616346547510745741</stp>
        <tr r="K18" s="25"/>
      </tp>
      <tp t="e">
        <v>#N/A</v>
        <stp/>
        <stp>BDH|3671464777885180404</stp>
        <tr r="D13" s="25"/>
      </tp>
      <tp t="e">
        <v>#N/A</v>
        <stp/>
        <stp>BDH|2146744858025969420</stp>
        <tr r="P35" s="22"/>
      </tp>
      <tp t="e">
        <v>#N/A</v>
        <stp/>
        <stp>BDH|7293479543816956094</stp>
        <tr r="V170" s="18"/>
      </tp>
      <tp t="e">
        <v>#N/A</v>
        <stp/>
        <stp>BDH|1280453727826097063</stp>
        <tr r="F131" s="18"/>
      </tp>
      <tp t="e">
        <v>#N/A</v>
        <stp/>
        <stp>BDH|1363363729134985535</stp>
        <tr r="V37" s="12"/>
      </tp>
      <tp t="e">
        <v>#N/A</v>
        <stp/>
        <stp>BDH|6419968986147256104</stp>
        <tr r="AA24" s="13"/>
      </tp>
      <tp t="e">
        <v>#N/A</v>
        <stp/>
        <stp>BDH|9929396200589201248</stp>
        <tr r="T20" s="27"/>
      </tp>
      <tp t="e">
        <v>#N/A</v>
        <stp/>
        <stp>BDH|2764128605043100176</stp>
        <tr r="K42" s="21"/>
      </tp>
      <tp t="e">
        <v>#N/A</v>
        <stp/>
        <stp>BDH|7099300913204503003</stp>
        <tr r="G6" s="15"/>
        <tr r="G6" s="10"/>
        <tr r="G11" s="4"/>
        <tr r="G12" s="2"/>
      </tp>
      <tp t="e">
        <v>#N/A</v>
        <stp/>
        <stp>BDH|2421026370555520158</stp>
        <tr r="X59" s="17"/>
      </tp>
      <tp t="e">
        <v>#N/A</v>
        <stp/>
        <stp>BDH|5304709495483014907</stp>
        <tr r="L13" s="7"/>
      </tp>
      <tp t="e">
        <v>#N/A</v>
        <stp/>
        <stp>BDH|6040242666677485402</stp>
        <tr r="H83" s="17"/>
      </tp>
      <tp t="e">
        <v>#N/A</v>
        <stp/>
        <stp>BDH|1947718582896882946</stp>
        <tr r="D65" s="17"/>
      </tp>
      <tp t="e">
        <v>#N/A</v>
        <stp/>
        <stp>BDH|5886145841422327381</stp>
        <tr r="L29" s="9"/>
      </tp>
      <tp t="e">
        <v>#N/A</v>
        <stp/>
        <stp>BDH|9637592322207291897</stp>
        <tr r="Q101" s="12"/>
      </tp>
      <tp t="e">
        <v>#N/A</v>
        <stp/>
        <stp>BDH|5932377852542241088</stp>
        <tr r="U8" s="22"/>
      </tp>
      <tp t="e">
        <v>#N/A</v>
        <stp/>
        <stp>BDH|7350873004999472725</stp>
        <tr r="Z27" s="18"/>
      </tp>
      <tp t="e">
        <v>#N/A</v>
        <stp/>
        <stp>BDH|1103135796878293008</stp>
        <tr r="H50" s="17"/>
      </tp>
      <tp t="e">
        <v>#N/A</v>
        <stp/>
        <stp>BDH|3205501874968333837</stp>
        <tr r="X14" s="20"/>
        <tr r="X115" s="18"/>
      </tp>
      <tp t="e">
        <v>#N/A</v>
        <stp/>
        <stp>BDH|9772912705784548509</stp>
        <tr r="L94" s="17"/>
      </tp>
      <tp t="e">
        <v>#N/A</v>
        <stp/>
        <stp>BDH|6256348821385479356</stp>
        <tr r="V45" s="13"/>
      </tp>
      <tp t="e">
        <v>#N/A</v>
        <stp/>
        <stp>BDH|4043833868873545885</stp>
        <tr r="D11" s="28"/>
      </tp>
      <tp t="e">
        <v>#N/A</v>
        <stp/>
        <stp>BDH|6151056105411537635</stp>
        <tr r="M15" s="17"/>
        <tr r="M18" s="28"/>
      </tp>
      <tp t="e">
        <v>#N/A</v>
        <stp/>
        <stp>BDH|8940958059502280700</stp>
        <tr r="I11" s="22"/>
      </tp>
      <tp t="e">
        <v>#N/A</v>
        <stp/>
        <stp>BDH|3475960784700859394</stp>
        <tr r="Q18" s="6"/>
      </tp>
      <tp t="e">
        <v>#N/A</v>
        <stp/>
        <stp>BDH|6437787916771444097</stp>
        <tr r="AA34" s="26"/>
      </tp>
      <tp t="e">
        <v>#N/A</v>
        <stp/>
        <stp>BDH|5471460307300040023</stp>
        <tr r="Q46" s="21"/>
      </tp>
      <tp t="e">
        <v>#N/A</v>
        <stp/>
        <stp>BDH|3637765595595167936</stp>
        <tr r="V37" s="34"/>
      </tp>
      <tp t="e">
        <v>#N/A</v>
        <stp/>
        <stp>BDH|5491274021883661730</stp>
        <tr r="S50" s="21"/>
      </tp>
      <tp t="e">
        <v>#N/A</v>
        <stp/>
        <stp>BDH|8540499788706503368</stp>
        <tr r="V112" s="12"/>
      </tp>
      <tp t="e">
        <v>#N/A</v>
        <stp/>
        <stp>BDH|2992008113874524689</stp>
        <tr r="T60" s="11"/>
      </tp>
      <tp t="e">
        <v>#N/A</v>
        <stp/>
        <stp>BDH|2041007316330528240</stp>
        <tr r="F58" s="13"/>
      </tp>
      <tp t="e">
        <v>#N/A</v>
        <stp/>
        <stp>BDH|8901083020548611302</stp>
        <tr r="V17" s="23"/>
      </tp>
      <tp t="e">
        <v>#N/A</v>
        <stp/>
        <stp>BDH|5920067278101295228</stp>
        <tr r="H70" s="24"/>
      </tp>
      <tp t="e">
        <v>#N/A</v>
        <stp/>
        <stp>BDH|5646067764536442477</stp>
        <tr r="F14" s="6"/>
      </tp>
      <tp t="e">
        <v>#N/A</v>
        <stp/>
        <stp>BDH|7265563714357767505</stp>
        <tr r="W7" s="20"/>
        <tr r="W109" s="18"/>
      </tp>
      <tp t="e">
        <v>#N/A</v>
        <stp/>
        <stp>BDH|3335224563547065150</stp>
        <tr r="N77" s="17"/>
        <tr r="N19" s="3"/>
      </tp>
      <tp t="e">
        <v>#N/A</v>
        <stp/>
        <stp>BDH|8560412363729400247</stp>
        <tr r="V31" s="24"/>
      </tp>
      <tp t="e">
        <v>#N/A</v>
        <stp/>
        <stp>BDH|9075863010355306420</stp>
        <tr r="Z25" s="3"/>
      </tp>
      <tp t="e">
        <v>#N/A</v>
        <stp/>
        <stp>BDH|6339201795009427557</stp>
        <tr r="C88" s="17"/>
      </tp>
      <tp t="e">
        <v>#N/A</v>
        <stp/>
        <stp>BDH|9678214427749251157</stp>
        <tr r="X122" s="18"/>
      </tp>
      <tp t="e">
        <v>#N/A</v>
        <stp/>
        <stp>BDH|2453215055932656615</stp>
        <tr r="S29" s="17"/>
      </tp>
      <tp t="e">
        <v>#N/A</v>
        <stp/>
        <stp>BDH|9288095442399733594</stp>
        <tr r="G40" s="18"/>
      </tp>
      <tp t="e">
        <v>#N/A</v>
        <stp/>
        <stp>BDH|3755258454545218030</stp>
        <tr r="Y29" s="21"/>
      </tp>
      <tp t="e">
        <v>#N/A</v>
        <stp/>
        <stp>BDH|3149504732765172159</stp>
        <tr r="Z55" s="17"/>
      </tp>
      <tp t="e">
        <v>#N/A</v>
        <stp/>
        <stp>BDH|4513745451867415035</stp>
        <tr r="S34" s="6"/>
      </tp>
      <tp t="e">
        <v>#N/A</v>
        <stp/>
        <stp>BDH|9854593674879717357</stp>
        <tr r="F21" s="12"/>
      </tp>
      <tp t="e">
        <v>#N/A</v>
        <stp/>
        <stp>BDH|1002889519679744010</stp>
        <tr r="Q13" s="10"/>
      </tp>
      <tp t="e">
        <v>#N/A</v>
        <stp/>
        <stp>BDH|5629243356953438070</stp>
        <tr r="E44" s="21"/>
      </tp>
      <tp t="e">
        <v>#N/A</v>
        <stp/>
        <stp>BDH|6903685904733584271</stp>
        <tr r="U88" s="12"/>
      </tp>
      <tp t="e">
        <v>#N/A</v>
        <stp/>
        <stp>BDH|4169480906115848408</stp>
        <tr r="L15" s="21"/>
      </tp>
      <tp t="e">
        <v>#N/A</v>
        <stp/>
        <stp>BDH|2075438342521770217</stp>
        <tr r="I23" s="24"/>
      </tp>
      <tp t="e">
        <v>#N/A</v>
        <stp/>
        <stp>BDH|6867360462041993325</stp>
        <tr r="R37" s="34"/>
      </tp>
      <tp t="e">
        <v>#N/A</v>
        <stp/>
        <stp>BDH|6736817332128282417</stp>
        <tr r="P50" s="12"/>
      </tp>
      <tp t="e">
        <v>#N/A</v>
        <stp/>
        <stp>BDH|9643633328765291983</stp>
        <tr r="T9" s="10"/>
      </tp>
      <tp t="e">
        <v>#N/A</v>
        <stp/>
        <stp>BDH|9504761846919558270</stp>
        <tr r="N62" s="13"/>
        <tr r="L57" s="10"/>
        <tr r="L49" s="11"/>
        <tr r="L19" s="7"/>
        <tr r="L18" s="4"/>
        <tr r="L20" s="2"/>
      </tp>
      <tp t="e">
        <v>#N/A</v>
        <stp/>
        <stp>BDH|4821489934671181328</stp>
        <tr r="J39" s="22"/>
      </tp>
      <tp t="e">
        <v>#N/A</v>
        <stp/>
        <stp>BDH|9034248293241906295</stp>
        <tr r="J94" s="12"/>
      </tp>
      <tp t="e">
        <v>#N/A</v>
        <stp/>
        <stp>BDH|1271834546475332938</stp>
        <tr r="X20" s="27"/>
      </tp>
      <tp t="e">
        <v>#N/A</v>
        <stp/>
        <stp>BDH|8691055188635462480</stp>
        <tr r="X68" s="18"/>
      </tp>
      <tp t="e">
        <v>#N/A</v>
        <stp/>
        <stp>BDH|2367651851151087102</stp>
        <tr r="T10" s="22"/>
      </tp>
      <tp t="e">
        <v>#N/A</v>
        <stp/>
        <stp>BDH|6380125201341778705</stp>
        <tr r="V20" s="12"/>
      </tp>
      <tp t="e">
        <v>#N/A</v>
        <stp/>
        <stp>BDH|4525020923895635256</stp>
        <tr r="S92" s="17"/>
        <tr r="S7" s="27"/>
      </tp>
      <tp t="e">
        <v>#N/A</v>
        <stp/>
        <stp>BDH|1361453771144069732</stp>
        <tr r="W34" s="17"/>
      </tp>
      <tp t="e">
        <v>#N/A</v>
        <stp/>
        <stp>BDH|4320410331797121567</stp>
        <tr r="H48" s="17"/>
      </tp>
      <tp t="e">
        <v>#N/A</v>
        <stp/>
        <stp>BDH|4582449267663371413</stp>
        <tr r="V16" s="6"/>
      </tp>
      <tp t="e">
        <v>#N/A</v>
        <stp/>
        <stp>BDH|5165032718775957075</stp>
        <tr r="R19" s="22"/>
      </tp>
      <tp t="e">
        <v>#N/A</v>
        <stp/>
        <stp>BDH|4499743150842665527</stp>
        <tr r="M32" s="21"/>
      </tp>
      <tp t="e">
        <v>#N/A</v>
        <stp/>
        <stp>BDH|4333063132295101321</stp>
        <tr r="J69" s="18"/>
      </tp>
      <tp t="e">
        <v>#N/A</v>
        <stp/>
        <stp>BDH|8619260327798109125</stp>
        <tr r="N59" s="21"/>
        <tr r="L54" s="11"/>
      </tp>
      <tp t="e">
        <v>#N/A</v>
        <stp/>
        <stp>BDH|9923204185407867506</stp>
        <tr r="R28" s="5"/>
        <tr r="R28" s="9"/>
      </tp>
      <tp t="e">
        <v>#N/A</v>
        <stp/>
        <stp>BDH|6835185957794354706</stp>
        <tr r="X121" s="18"/>
      </tp>
      <tp t="e">
        <v>#N/A</v>
        <stp/>
        <stp>BDH|4004403711232442217</stp>
        <tr r="N70" s="18"/>
      </tp>
      <tp t="e">
        <v>#N/A</v>
        <stp/>
        <stp>BDH|3517540313362229442</stp>
        <tr r="Y35" s="13"/>
        <tr r="W31" s="10"/>
      </tp>
      <tp t="e">
        <v>#N/A</v>
        <stp/>
        <stp>BDH|1856702751437464590</stp>
        <tr r="C15" s="9"/>
      </tp>
      <tp t="e">
        <v>#N/A</v>
        <stp/>
        <stp>BDH|2066264944004209146</stp>
        <tr r="N48" s="24"/>
      </tp>
      <tp t="e">
        <v>#N/A</v>
        <stp/>
        <stp>BDH|1256674575338537915</stp>
        <tr r="H159" s="18"/>
      </tp>
      <tp t="e">
        <v>#N/A</v>
        <stp/>
        <stp>BDH|3548993512592256883</stp>
        <tr r="AA35" s="22"/>
      </tp>
      <tp t="e">
        <v>#N/A</v>
        <stp/>
        <stp>BDH|7637233261636374435</stp>
        <tr r="Q53" s="6"/>
      </tp>
      <tp t="e">
        <v>#N/A</v>
        <stp/>
        <stp>BDH|1756128220947928482</stp>
        <tr r="U82" s="17"/>
        <tr r="S6" s="7"/>
        <tr r="U20" s="3"/>
      </tp>
      <tp t="e">
        <v>#N/A</v>
        <stp/>
        <stp>BDH|5621534185311214863</stp>
        <tr r="O64" s="21"/>
        <tr r="M23" s="7"/>
      </tp>
      <tp t="e">
        <v>#N/A</v>
        <stp/>
        <stp>BDH|8952285005593355837</stp>
        <tr r="M14" s="14"/>
      </tp>
      <tp t="e">
        <v>#N/A</v>
        <stp/>
        <stp>BDH|5027607036970586172</stp>
        <tr r="O29" s="17"/>
      </tp>
      <tp t="e">
        <v>#N/A</v>
        <stp/>
        <stp>BDH|2645642226802888580</stp>
        <tr r="L92" s="12"/>
      </tp>
      <tp t="e">
        <v>#N/A</v>
        <stp/>
        <stp>BDH|1187347216951459335</stp>
        <tr r="D8" s="28"/>
      </tp>
      <tp t="e">
        <v>#N/A</v>
        <stp/>
        <stp>BDH|8303760917159086660</stp>
        <tr r="P10" s="17"/>
      </tp>
      <tp t="e">
        <v>#N/A</v>
        <stp/>
        <stp>BDH|4172558404356469602</stp>
        <tr r="Q11" s="14"/>
      </tp>
      <tp t="e">
        <v>#N/A</v>
        <stp/>
        <stp>BDH|1921076322943947112</stp>
        <tr r="F9" s="6"/>
      </tp>
      <tp t="e">
        <v>#N/A</v>
        <stp/>
        <stp>BDH|6040478201560268305</stp>
        <tr r="D44" s="21"/>
      </tp>
      <tp t="e">
        <v>#N/A</v>
        <stp/>
        <stp>BDH|3039697104143981707</stp>
        <tr r="P155" s="18"/>
      </tp>
      <tp t="e">
        <v>#N/A</v>
        <stp/>
        <stp>BDH|5605021274891740237</stp>
        <tr r="U91" s="17"/>
      </tp>
      <tp t="e">
        <v>#N/A</v>
        <stp/>
        <stp>BDH|2239378851396471345</stp>
        <tr r="V102" s="18"/>
      </tp>
      <tp t="e">
        <v>#N/A</v>
        <stp/>
        <stp>BDH|7258658426443319165</stp>
        <tr r="E38" s="11"/>
        <tr r="E46" s="10"/>
      </tp>
      <tp t="e">
        <v>#N/A</v>
        <stp/>
        <stp>BDH|3341645439130298784</stp>
        <tr r="O146" s="18"/>
      </tp>
      <tp t="e">
        <v>#N/A</v>
        <stp/>
        <stp>BDH|4270872875949396378</stp>
        <tr r="R16" s="24"/>
      </tp>
      <tp t="e">
        <v>#N/A</v>
        <stp/>
        <stp>BDH|5397877798371837402</stp>
        <tr r="K42" s="24"/>
      </tp>
      <tp t="e">
        <v>#N/A</v>
        <stp/>
        <stp>BDH|5539268867154964493</stp>
        <tr r="P20" s="24"/>
      </tp>
      <tp t="e">
        <v>#N/A</v>
        <stp/>
        <stp>BDH|2420199449753249526</stp>
        <tr r="J69" s="34"/>
      </tp>
      <tp t="e">
        <v>#N/A</v>
        <stp/>
        <stp>BDH|2805490144596969592</stp>
        <tr r="K146" s="18"/>
      </tp>
      <tp t="e">
        <v>#N/A</v>
        <stp/>
        <stp>BDH|6101950668921908908</stp>
        <tr r="U62" s="24"/>
      </tp>
      <tp t="e">
        <v>#N/A</v>
        <stp/>
        <stp>BDH|9419120697349666925</stp>
        <tr r="G26" s="17"/>
      </tp>
      <tp t="e">
        <v>#N/A</v>
        <stp/>
        <stp>BDH|8708716894464161364</stp>
        <tr r="D46" s="18"/>
      </tp>
      <tp t="e">
        <v>#N/A</v>
        <stp/>
        <stp>BDH|6855576720020812022</stp>
        <tr r="G66" s="18"/>
      </tp>
      <tp t="e">
        <v>#N/A</v>
        <stp/>
        <stp>BDH|3674179950825464300</stp>
        <tr r="T11" s="10"/>
        <tr r="T14" s="2"/>
      </tp>
      <tp t="e">
        <v>#N/A</v>
        <stp/>
        <stp>BDH|6717523144744409205</stp>
        <tr r="V17" s="22"/>
      </tp>
      <tp t="e">
        <v>#N/A</v>
        <stp/>
        <stp>BDH|8492988339250087308</stp>
        <tr r="J19" s="23"/>
        <tr r="H59" s="11"/>
      </tp>
      <tp t="e">
        <v>#N/A</v>
        <stp/>
        <stp>BDH|6593302800015014109</stp>
        <tr r="K21" s="10"/>
      </tp>
      <tp t="e">
        <v>#N/A</v>
        <stp/>
        <stp>BDH|1750332916144755600</stp>
        <tr r="C62" s="18"/>
      </tp>
      <tp t="e">
        <v>#N/A</v>
        <stp/>
        <stp>BDH|1778687120792827627</stp>
        <tr r="K51" s="18"/>
      </tp>
      <tp t="e">
        <v>#N/A</v>
        <stp/>
        <stp>BDH|2098434942071291266</stp>
        <tr r="T51" s="24"/>
      </tp>
      <tp t="e">
        <v>#N/A</v>
        <stp/>
        <stp>BDH|2662063749154502396</stp>
        <tr r="L15" s="9"/>
      </tp>
      <tp t="e">
        <v>#N/A</v>
        <stp/>
        <stp>BDH|7984998045239630264</stp>
        <tr r="Y10" s="10"/>
      </tp>
      <tp t="e">
        <v>#N/A</v>
        <stp/>
        <stp>BDH|8572135145934087866</stp>
        <tr r="R87" s="17"/>
      </tp>
      <tp t="e">
        <v>#N/A</v>
        <stp/>
        <stp>BDH|7975846692366834125</stp>
        <tr r="S53" s="12"/>
      </tp>
      <tp t="e">
        <v>#N/A</v>
        <stp/>
        <stp>BDH|8506242204229615265</stp>
        <tr r="X67" s="10"/>
      </tp>
      <tp t="e">
        <v>#N/A</v>
        <stp/>
        <stp>BDH|4787349061494596428</stp>
        <tr r="L62" s="11"/>
        <tr r="L70" s="10"/>
      </tp>
      <tp t="e">
        <v>#N/A</v>
        <stp/>
        <stp>BDH|5091527630446596424</stp>
        <tr r="J50" s="21"/>
      </tp>
      <tp t="e">
        <v>#N/A</v>
        <stp/>
        <stp>BDH|3987756152319389982</stp>
        <tr r="P68" s="10"/>
      </tp>
      <tp t="e">
        <v>#N/A</v>
        <stp/>
        <stp>BDH|7357347922083352431</stp>
        <tr r="S171" s="18"/>
      </tp>
      <tp t="e">
        <v>#N/A</v>
        <stp/>
        <stp>BDH|9340859601356715659</stp>
        <tr r="S166" s="18"/>
      </tp>
      <tp t="e">
        <v>#N/A</v>
        <stp/>
        <stp>BDH|6905210408926307360</stp>
        <tr r="H84" s="17"/>
      </tp>
      <tp t="e">
        <v>#N/A</v>
        <stp/>
        <stp>BDH|2487435151664230611</stp>
        <tr r="W11" s="29"/>
      </tp>
      <tp t="e">
        <v>#N/A</v>
        <stp/>
        <stp>BDH|4176740873196567369</stp>
        <tr r="Q27" s="18"/>
      </tp>
      <tp t="e">
        <v>#N/A</v>
        <stp/>
        <stp>BDH|2466556105922770466</stp>
        <tr r="L40" s="12"/>
      </tp>
      <tp t="e">
        <v>#N/A</v>
        <stp/>
        <stp>BDH|9616430304219035548</stp>
        <tr r="T15" s="34"/>
      </tp>
      <tp t="e">
        <v>#N/A</v>
        <stp/>
        <stp>BDH|9397429980864567016</stp>
        <tr r="T38" s="6"/>
        <tr r="T18" s="5"/>
      </tp>
      <tp t="e">
        <v>#N/A</v>
        <stp/>
        <stp>BDH|6216778750825698060</stp>
        <tr r="R19" s="24"/>
      </tp>
      <tp t="e">
        <v>#N/A</v>
        <stp/>
        <stp>BDH|8097964164011543722</stp>
        <tr r="AA12" s="13"/>
      </tp>
      <tp t="e">
        <v>#N/A</v>
        <stp/>
        <stp>BDH|9645872945537291331</stp>
        <tr r="E20" s="27"/>
      </tp>
      <tp t="e">
        <v>#N/A</v>
        <stp/>
        <stp>BDH|7045435318334782790</stp>
        <tr r="W148" s="18"/>
      </tp>
      <tp t="e">
        <v>#N/A</v>
        <stp/>
        <stp>BDH|7130585231877405794</stp>
        <tr r="W27" s="18"/>
      </tp>
      <tp t="e">
        <v>#N/A</v>
        <stp/>
        <stp>BDH|4493085244013532285</stp>
        <tr r="E123" s="18"/>
      </tp>
      <tp t="e">
        <v>#N/A</v>
        <stp/>
        <stp>BDH|4393804496351248520</stp>
        <tr r="L16" s="23"/>
      </tp>
      <tp t="e">
        <v>#N/A</v>
        <stp/>
        <stp>BDH|3302455957881757235</stp>
        <tr r="F10" s="30"/>
      </tp>
      <tp t="e">
        <v>#N/A</v>
        <stp/>
        <stp>BDH|4319366471396084711</stp>
        <tr r="X19" s="22"/>
      </tp>
      <tp t="e">
        <v>#N/A</v>
        <stp/>
        <stp>BDH|7702022352844704757</stp>
        <tr r="C29" s="21"/>
      </tp>
      <tp t="e">
        <v>#N/A</v>
        <stp/>
        <stp>BDH|6484007820222063716</stp>
        <tr r="Z23" s="25"/>
        <tr r="X21" s="11"/>
      </tp>
      <tp t="e">
        <v>#N/A</v>
        <stp/>
        <stp>BDH|6900118911407530093</stp>
        <tr r="I55" s="24"/>
      </tp>
      <tp t="e">
        <v>#N/A</v>
        <stp/>
        <stp>BDH|6574331219121883420</stp>
        <tr r="C21" s="4"/>
      </tp>
      <tp t="e">
        <v>#N/A</v>
        <stp/>
        <stp>BDH|3284682739926557138</stp>
        <tr r="O42" s="24"/>
      </tp>
      <tp t="e">
        <v>#N/A</v>
        <stp/>
        <stp>BDH|58872655094584502</stp>
        <tr r="P8" s="21"/>
      </tp>
      <tp t="e">
        <v>#N/A</v>
        <stp/>
        <stp>BDH|94767706228602338</stp>
        <tr r="E17" s="23"/>
      </tp>
      <tp t="e">
        <v>#N/A</v>
        <stp/>
        <stp>BDH|98820814245868035</stp>
        <tr r="G172" s="18"/>
      </tp>
      <tp t="e">
        <v>#N/A</v>
        <stp/>
        <stp>BDH|13953864030991326</stp>
        <tr r="Y31" s="18"/>
      </tp>
      <tp t="e">
        <v>#N/A</v>
        <stp/>
        <stp>BDH|91405929122031831</stp>
        <tr r="M27" s="24"/>
      </tp>
      <tp t="e">
        <v>#N/A</v>
        <stp/>
        <stp>BDH|64443334993926816</stp>
        <tr r="T39" s="17"/>
      </tp>
      <tp t="e">
        <v>#N/A</v>
        <stp/>
        <stp>BDH|1415031351247446187</stp>
        <tr r="W46" s="6"/>
      </tp>
      <tp t="e">
        <v>#N/A</v>
        <stp/>
        <stp>BDH|2345532421347912025</stp>
        <tr r="Y13" s="14"/>
      </tp>
      <tp t="e">
        <v>#N/A</v>
        <stp/>
        <stp>BDH|6620836793495812040</stp>
        <tr r="C57" s="18"/>
      </tp>
      <tp t="e">
        <v>#N/A</v>
        <stp/>
        <stp>BDH|5349393611787873297</stp>
        <tr r="Z105" s="12"/>
      </tp>
      <tp t="e">
        <v>#N/A</v>
        <stp/>
        <stp>BDH|1893909485053222152</stp>
        <tr r="W46" s="22"/>
      </tp>
      <tp t="e">
        <v>#N/A</v>
        <stp/>
        <stp>BDH|4922320274891632339</stp>
        <tr r="W10" s="21"/>
      </tp>
      <tp t="e">
        <v>#N/A</v>
        <stp/>
        <stp>BDH|2059999442498895592</stp>
        <tr r="X11" s="13"/>
      </tp>
      <tp t="e">
        <v>#N/A</v>
        <stp/>
        <stp>BDH|4237894251003449841</stp>
        <tr r="X16" s="14"/>
      </tp>
      <tp t="e">
        <v>#N/A</v>
        <stp/>
        <stp>BDH|3754170142397035387</stp>
        <tr r="J150" s="18"/>
      </tp>
      <tp t="e">
        <v>#N/A</v>
        <stp/>
        <stp>BDH|7451857865258846366</stp>
        <tr r="D11" s="3"/>
      </tp>
      <tp t="e">
        <v>#N/A</v>
        <stp/>
        <stp>BDH|5319878461141982862</stp>
        <tr r="O46" s="18"/>
      </tp>
      <tp t="e">
        <v>#N/A</v>
        <stp/>
        <stp>BDH|4072147247494008791</stp>
        <tr r="D102" s="18"/>
      </tp>
      <tp t="e">
        <v>#N/A</v>
        <stp/>
        <stp>BDH|7035825388706645360</stp>
        <tr r="D71" s="24"/>
      </tp>
      <tp t="e">
        <v>#N/A</v>
        <stp/>
        <stp>BDH|1399196842897150137</stp>
        <tr r="AA64" s="24"/>
      </tp>
      <tp t="e">
        <v>#N/A</v>
        <stp/>
        <stp>BDH|3677583263630042272</stp>
        <tr r="O89" s="17"/>
      </tp>
      <tp t="e">
        <v>#N/A</v>
        <stp/>
        <stp>BDH|8642214773149943671</stp>
        <tr r="S45" s="17"/>
      </tp>
      <tp t="e">
        <v>#N/A</v>
        <stp/>
        <stp>BDH|8123681166363439917</stp>
        <tr r="V53" s="18"/>
      </tp>
      <tp t="e">
        <v>#N/A</v>
        <stp/>
        <stp>BDH|5466023782326740995</stp>
        <tr r="P21" s="34"/>
      </tp>
      <tp t="e">
        <v>#N/A</v>
        <stp/>
        <stp>BDH|3763047959834491047</stp>
        <tr r="H13" s="18"/>
      </tp>
      <tp t="e">
        <v>#N/A</v>
        <stp/>
        <stp>BDH|8671048639549750069</stp>
        <tr r="O72" s="18"/>
      </tp>
      <tp t="e">
        <v>#N/A</v>
        <stp/>
        <stp>BDH|2860322266453239645</stp>
        <tr r="M52" s="12"/>
      </tp>
      <tp t="e">
        <v>#N/A</v>
        <stp/>
        <stp>BDH|4463395042359482811</stp>
        <tr r="C26" s="21"/>
      </tp>
      <tp t="e">
        <v>#N/A</v>
        <stp/>
        <stp>BDH|9272006197614964668</stp>
        <tr r="H43" s="22"/>
      </tp>
      <tp t="e">
        <v>#N/A</v>
        <stp/>
        <stp>BDH|1361780822923669550</stp>
        <tr r="D20" s="11"/>
      </tp>
      <tp t="e">
        <v>#N/A</v>
        <stp/>
        <stp>BDH|8884935860384115107</stp>
        <tr r="J69" s="12"/>
      </tp>
      <tp t="e">
        <v>#N/A</v>
        <stp/>
        <stp>BDH|6096466436800871328</stp>
        <tr r="L35" s="24"/>
      </tp>
      <tp t="e">
        <v>#N/A</v>
        <stp/>
        <stp>BDH|8442407062891806943</stp>
        <tr r="S29" s="4"/>
      </tp>
      <tp t="e">
        <v>#N/A</v>
        <stp/>
        <stp>BDH|9428208077979818719</stp>
        <tr r="K83" s="12"/>
      </tp>
      <tp t="e">
        <v>#N/A</v>
        <stp/>
        <stp>BDH|3881355564377174323</stp>
        <tr r="X27" s="18"/>
      </tp>
      <tp t="e">
        <v>#N/A</v>
        <stp/>
        <stp>BDH|4159089602771334722</stp>
        <tr r="Q57" s="34"/>
      </tp>
      <tp t="e">
        <v>#N/A</v>
        <stp/>
        <stp>BDH|2124409462744849612</stp>
        <tr r="C102" s="18"/>
      </tp>
      <tp t="e">
        <v>#N/A</v>
        <stp/>
        <stp>BDH|1589353484520930870</stp>
        <tr r="M136" s="18"/>
      </tp>
      <tp t="e">
        <v>#N/A</v>
        <stp/>
        <stp>BDH|7485187984598320414</stp>
        <tr r="W74" s="17"/>
      </tp>
      <tp t="e">
        <v>#N/A</v>
        <stp/>
        <stp>BDH|2349312864176492381</stp>
        <tr r="L34" s="6"/>
      </tp>
      <tp t="e">
        <v>#N/A</v>
        <stp/>
        <stp>BDH|1913633624611538619</stp>
        <tr r="I52" s="17"/>
        <tr r="I17" s="3"/>
      </tp>
      <tp t="e">
        <v>#N/A</v>
        <stp/>
        <stp>BDH|9876356448035745994</stp>
        <tr r="H82" s="17"/>
        <tr r="F6" s="7"/>
        <tr r="H20" s="3"/>
      </tp>
      <tp t="e">
        <v>#N/A</v>
        <stp/>
        <stp>BDH|9848734633487444871</stp>
        <tr r="M19" s="23"/>
        <tr r="K59" s="11"/>
      </tp>
      <tp t="e">
        <v>#N/A</v>
        <stp/>
        <stp>BDH|2279675645454939624</stp>
        <tr r="S98" s="18"/>
      </tp>
      <tp t="e">
        <v>#N/A</v>
        <stp/>
        <stp>BDH|5626790534686343531</stp>
        <tr r="Z10" s="28"/>
      </tp>
      <tp t="e">
        <v>#N/A</v>
        <stp/>
        <stp>BDH|9764872278050328405</stp>
        <tr r="P71" s="17"/>
      </tp>
      <tp t="e">
        <v>#N/A</v>
        <stp/>
        <stp>BDH|7388230861607856629</stp>
        <tr r="V161" s="18"/>
      </tp>
      <tp t="e">
        <v>#N/A</v>
        <stp/>
        <stp>BDH|8224187256337525926</stp>
        <tr r="F153" s="18"/>
      </tp>
      <tp t="e">
        <v>#N/A</v>
        <stp/>
        <stp>BDH|5353929621108202498</stp>
        <tr r="Q14" s="14"/>
      </tp>
      <tp t="e">
        <v>#N/A</v>
        <stp/>
        <stp>BDH|2178544894879374599</stp>
        <tr r="Q147" s="18"/>
      </tp>
      <tp t="e">
        <v>#N/A</v>
        <stp/>
        <stp>BDH|5099129126034735086</stp>
        <tr r="H48" s="12"/>
      </tp>
      <tp t="e">
        <v>#N/A</v>
        <stp/>
        <stp>BDH|5142462033270665096</stp>
        <tr r="F13" s="27"/>
        <tr r="F27" s="25"/>
      </tp>
      <tp t="e">
        <v>#N/A</v>
        <stp/>
        <stp>BDH|6840115763220374320</stp>
        <tr r="Z24" s="20"/>
      </tp>
      <tp t="e">
        <v>#N/A</v>
        <stp/>
        <stp>BDH|2957803686921716139</stp>
        <tr r="L19" s="34"/>
      </tp>
      <tp t="e">
        <v>#N/A</v>
        <stp/>
        <stp>BDH|8914565634938534459</stp>
        <tr r="G34" s="18"/>
      </tp>
      <tp t="e">
        <v>#N/A</v>
        <stp/>
        <stp>BDH|9476397455525027830</stp>
        <tr r="H34" s="18"/>
      </tp>
      <tp t="e">
        <v>#N/A</v>
        <stp/>
        <stp>BDH|2380614063443286387</stp>
        <tr r="Z64" s="24"/>
      </tp>
      <tp t="e">
        <v>#N/A</v>
        <stp/>
        <stp>BDH|3897935795307193641</stp>
        <tr r="M58" s="17"/>
      </tp>
      <tp t="e">
        <v>#N/A</v>
        <stp/>
        <stp>BDH|2536422866152346092</stp>
        <tr r="R67" s="12"/>
      </tp>
      <tp t="e">
        <v>#N/A</v>
        <stp/>
        <stp>BDH|9985960020687148753</stp>
        <tr r="C76" s="18"/>
      </tp>
      <tp t="e">
        <v>#N/A</v>
        <stp/>
        <stp>BDH|3990729731840684579</stp>
        <tr r="I21" s="10"/>
      </tp>
      <tp t="e">
        <v>#N/A</v>
        <stp/>
        <stp>BDH|6901519809165878427</stp>
        <tr r="C14" s="14"/>
      </tp>
      <tp t="e">
        <v>#N/A</v>
        <stp/>
        <stp>BDH|4030599654742422427</stp>
        <tr r="K12" s="26"/>
      </tp>
      <tp t="e">
        <v>#N/A</v>
        <stp/>
        <stp>BDH|9968766642389684103</stp>
        <tr r="F61" s="21"/>
        <tr r="D25" s="2"/>
      </tp>
      <tp t="e">
        <v>#N/A</v>
        <stp/>
        <stp>BDH|6306954732298775689</stp>
        <tr r="I14" s="20"/>
        <tr r="I115" s="18"/>
      </tp>
      <tp t="e">
        <v>#N/A</v>
        <stp/>
        <stp>BDH|6487132964525037684</stp>
        <tr r="Q28" s="21"/>
      </tp>
      <tp t="e">
        <v>#N/A</v>
        <stp/>
        <stp>BDH|5076184889158202689</stp>
        <tr r="E10" s="26"/>
      </tp>
      <tp t="e">
        <v>#N/A</v>
        <stp/>
        <stp>BDH|8080574863060747983</stp>
        <tr r="D19" s="13"/>
      </tp>
      <tp t="e">
        <v>#N/A</v>
        <stp/>
        <stp>BDH|5439442428962738341</stp>
        <tr r="F20" s="26"/>
      </tp>
      <tp t="e">
        <v>#N/A</v>
        <stp/>
        <stp>BDH|8748755596825706183</stp>
        <tr r="H46" s="22"/>
      </tp>
      <tp t="e">
        <v>#N/A</v>
        <stp/>
        <stp>BDH|5541973790815957207</stp>
        <tr r="R10" s="24"/>
      </tp>
      <tp t="e">
        <v>#N/A</v>
        <stp/>
        <stp>BDH|8330626925627670999</stp>
        <tr r="T40" s="17"/>
      </tp>
      <tp t="e">
        <v>#N/A</v>
        <stp/>
        <stp>BDH|3874432274973124152</stp>
        <tr r="Z24" s="21"/>
      </tp>
      <tp t="e">
        <v>#N/A</v>
        <stp/>
        <stp>BDH|5023809050413977924</stp>
        <tr r="M9" s="22"/>
      </tp>
      <tp t="e">
        <v>#N/A</v>
        <stp/>
        <stp>BDH|5694204635235061385</stp>
        <tr r="W45" s="17"/>
      </tp>
      <tp t="e">
        <v>#N/A</v>
        <stp/>
        <stp>BDH|3274885864837250873</stp>
        <tr r="L82" s="18"/>
      </tp>
      <tp t="e">
        <v>#N/A</v>
        <stp/>
        <stp>BDH|4070260425285885301</stp>
        <tr r="R39" s="22"/>
      </tp>
      <tp t="e">
        <v>#N/A</v>
        <stp/>
        <stp>BDH|5739778876135549282</stp>
        <tr r="Q14" s="11"/>
      </tp>
      <tp t="e">
        <v>#N/A</v>
        <stp/>
        <stp>BDH|7569080312490680425</stp>
        <tr r="X141" s="18"/>
      </tp>
      <tp t="e">
        <v>#N/A</v>
        <stp/>
        <stp>BDH|3465913365368315689</stp>
        <tr r="N53" s="6"/>
      </tp>
      <tp t="e">
        <v>#N/A</v>
        <stp/>
        <stp>BDH|1070879533139778186</stp>
        <tr r="S19" s="23"/>
        <tr r="Q59" s="11"/>
      </tp>
      <tp t="e">
        <v>#N/A</v>
        <stp/>
        <stp>BDH|4563881816807553854</stp>
        <tr r="K60" s="21"/>
      </tp>
      <tp t="e">
        <v>#N/A</v>
        <stp/>
        <stp>BDH|6092491350697483268</stp>
        <tr r="J29" s="9"/>
      </tp>
      <tp t="e">
        <v>#N/A</v>
        <stp/>
        <stp>BDH|4220138622544397187</stp>
        <tr r="Q56" s="24"/>
      </tp>
      <tp t="e">
        <v>#N/A</v>
        <stp/>
        <stp>BDH|7506949335647483886</stp>
        <tr r="V44" s="18"/>
      </tp>
      <tp t="e">
        <v>#N/A</v>
        <stp/>
        <stp>BDH|7894408423135340604</stp>
        <tr r="L17" s="20"/>
      </tp>
      <tp t="e">
        <v>#N/A</v>
        <stp/>
        <stp>BDH|2876408614316387377</stp>
        <tr r="G17" s="13"/>
      </tp>
      <tp t="e">
        <v>#N/A</v>
        <stp/>
        <stp>BDH|8351386782657812697</stp>
        <tr r="J15" s="9"/>
      </tp>
      <tp t="e">
        <v>#N/A</v>
        <stp/>
        <stp>BDH|6066529063486880110</stp>
        <tr r="Y7" s="14"/>
      </tp>
      <tp t="e">
        <v>#N/A</v>
        <stp/>
        <stp>BDH|3582689828727437296</stp>
        <tr r="C32" s="22"/>
      </tp>
      <tp t="e">
        <v>#N/A</v>
        <stp/>
        <stp>BDH|5756193114010743750</stp>
        <tr r="X158" s="18"/>
      </tp>
      <tp t="e">
        <v>#N/A</v>
        <stp/>
        <stp>BDH|7604083543240643137</stp>
        <tr r="V13" s="26"/>
      </tp>
      <tp t="e">
        <v>#N/A</v>
        <stp/>
        <stp>BDH|2542811430778496389</stp>
        <tr r="M91" s="17"/>
      </tp>
      <tp t="e">
        <v>#N/A</v>
        <stp/>
        <stp>BDH|5283773179744596317</stp>
        <tr r="Z84" s="12"/>
      </tp>
      <tp t="e">
        <v>#N/A</v>
        <stp/>
        <stp>BDH|4373057078739352850</stp>
        <tr r="R41" s="11"/>
        <tr r="R49" s="10"/>
        <tr r="R8" s="7"/>
        <tr r="T11" s="3"/>
      </tp>
      <tp t="e">
        <v>#N/A</v>
        <stp/>
        <stp>BDH|4175318750082082285</stp>
        <tr r="O65" s="18"/>
      </tp>
      <tp t="e">
        <v>#N/A</v>
        <stp/>
        <stp>BDH|6603082235206704145</stp>
        <tr r="S15" s="4"/>
      </tp>
      <tp t="e">
        <v>#N/A</v>
        <stp/>
        <stp>BDH|1047592505223746535</stp>
        <tr r="R21" s="3"/>
      </tp>
      <tp t="e">
        <v>#N/A</v>
        <stp/>
        <stp>BDH|6831438186840155843</stp>
        <tr r="L84" s="17"/>
      </tp>
      <tp t="e">
        <v>#N/A</v>
        <stp/>
        <stp>BDH|7887375669453842369</stp>
        <tr r="S125" s="18"/>
      </tp>
      <tp t="e">
        <v>#N/A</v>
        <stp/>
        <stp>BDH|4980712117034699417</stp>
        <tr r="Q120" s="18"/>
      </tp>
      <tp t="e">
        <v>#N/A</v>
        <stp/>
        <stp>BDH|2701931496304840421</stp>
        <tr r="L136" s="18"/>
      </tp>
      <tp t="e">
        <v>#N/A</v>
        <stp/>
        <stp>BDH|5802336915293754616</stp>
        <tr r="E31" s="18"/>
      </tp>
      <tp t="e">
        <v>#N/A</v>
        <stp/>
        <stp>BDH|6303828019368343538</stp>
        <tr r="K18" s="26"/>
      </tp>
      <tp t="e">
        <v>#N/A</v>
        <stp/>
        <stp>BDH|9824413136238615415</stp>
        <tr r="D91" s="18"/>
      </tp>
      <tp t="e">
        <v>#N/A</v>
        <stp/>
        <stp>BDH|4173103846371622292</stp>
        <tr r="R33" s="29"/>
        <tr r="R13" s="29"/>
        <tr r="R22" s="29"/>
      </tp>
      <tp t="e">
        <v>#N/A</v>
        <stp/>
        <stp>BDH|8503587689362507592</stp>
        <tr r="O48" s="17"/>
      </tp>
      <tp t="e">
        <v>#N/A</v>
        <stp/>
        <stp>BDH|1676384409576932663</stp>
        <tr r="R167" s="18"/>
      </tp>
      <tp t="e">
        <v>#N/A</v>
        <stp/>
        <stp>BDH|1874913181702056000</stp>
        <tr r="P64" s="34"/>
      </tp>
      <tp t="e">
        <v>#N/A</v>
        <stp/>
        <stp>BDH|1777732858677601625</stp>
        <tr r="X14" s="11"/>
      </tp>
      <tp t="e">
        <v>#N/A</v>
        <stp/>
        <stp>BDH|1649344712125880400</stp>
        <tr r="L17" s="18"/>
      </tp>
      <tp t="e">
        <v>#N/A</v>
        <stp/>
        <stp>BDH|9723891605856745547</stp>
        <tr r="Q17" s="11"/>
      </tp>
      <tp t="e">
        <v>#N/A</v>
        <stp/>
        <stp>BDH|5114708539157144414</stp>
        <tr r="H20" s="25"/>
      </tp>
      <tp t="e">
        <v>#N/A</v>
        <stp/>
        <stp>BDH|5756192420624209049</stp>
        <tr r="T95" s="18"/>
      </tp>
      <tp t="e">
        <v>#N/A</v>
        <stp/>
        <stp>BDH|2176226599819057227</stp>
        <tr r="M13" s="22"/>
      </tp>
      <tp t="e">
        <v>#N/A</v>
        <stp/>
        <stp>BDH|6562207469756353678</stp>
        <tr r="O29" s="4"/>
      </tp>
      <tp t="e">
        <v>#N/A</v>
        <stp/>
        <stp>BDH|7351886150119213118</stp>
        <tr r="F79" s="18"/>
      </tp>
      <tp t="e">
        <v>#N/A</v>
        <stp/>
        <stp>BDH|5642529923271917165</stp>
        <tr r="F11" s="11"/>
      </tp>
      <tp t="e">
        <v>#N/A</v>
        <stp/>
        <stp>BDH|4536140497239888763</stp>
        <tr r="AA21" s="24"/>
      </tp>
      <tp t="e">
        <v>#N/A</v>
        <stp/>
        <stp>BDH|1875904472694789950</stp>
        <tr r="C41" s="21"/>
      </tp>
      <tp t="e">
        <v>#N/A</v>
        <stp/>
        <stp>BDH|8026832128823124327</stp>
        <tr r="Q51" s="12"/>
      </tp>
      <tp t="e">
        <v>#N/A</v>
        <stp/>
        <stp>BDH|6760359858624123636</stp>
        <tr r="P48" s="18"/>
      </tp>
      <tp t="e">
        <v>#N/A</v>
        <stp/>
        <stp>BDH|2684861480211907117</stp>
        <tr r="X29" s="12"/>
      </tp>
      <tp t="e">
        <v>#N/A</v>
        <stp/>
        <stp>BDH|6249328474389415982</stp>
        <tr r="X75" s="24"/>
      </tp>
      <tp t="e">
        <v>#N/A</v>
        <stp/>
        <stp>BDH|8987207797508539935</stp>
        <tr r="X19" s="12"/>
      </tp>
      <tp t="e">
        <v>#N/A</v>
        <stp/>
        <stp>BDH|6356714816973963152</stp>
        <tr r="D21" s="3"/>
      </tp>
      <tp t="e">
        <v>#N/A</v>
        <stp/>
        <stp>BDH|7530229273482906251</stp>
        <tr r="F7" s="29"/>
        <tr r="F29" s="29"/>
      </tp>
      <tp t="e">
        <v>#N/A</v>
        <stp/>
        <stp>BDH|7960259466531419064</stp>
        <tr r="E111" s="12"/>
      </tp>
      <tp t="e">
        <v>#N/A</v>
        <stp/>
        <stp>BDH|5572719543700697481</stp>
        <tr r="E24" s="23"/>
        <tr r="E21" s="30"/>
      </tp>
      <tp t="e">
        <v>#N/A</v>
        <stp/>
        <stp>BDH|1316722494204594998</stp>
        <tr r="G22" s="7"/>
      </tp>
      <tp t="e">
        <v>#N/A</v>
        <stp/>
        <stp>BDH|1830178299252634999</stp>
        <tr r="V34" s="6"/>
      </tp>
      <tp t="e">
        <v>#N/A</v>
        <stp/>
        <stp>BDH|2379399174625338149</stp>
        <tr r="U22" s="20"/>
      </tp>
      <tp t="e">
        <v>#N/A</v>
        <stp/>
        <stp>BDH|3451020229385458621</stp>
        <tr r="W38" s="26"/>
      </tp>
      <tp t="e">
        <v>#N/A</v>
        <stp/>
        <stp>BDH|5457509007461982332</stp>
        <tr r="F20" s="12"/>
      </tp>
      <tp t="e">
        <v>#N/A</v>
        <stp/>
        <stp>BDH|4299497549787299195</stp>
        <tr r="N21" s="17"/>
        <tr r="N15" s="3"/>
      </tp>
      <tp t="e">
        <v>#N/A</v>
        <stp/>
        <stp>BDH|9535407682191614681</stp>
        <tr r="L21" s="12"/>
      </tp>
      <tp t="e">
        <v>#N/A</v>
        <stp/>
        <stp>BDH|6168287576575590438</stp>
        <tr r="H80" s="18"/>
      </tp>
      <tp t="e">
        <v>#N/A</v>
        <stp/>
        <stp>BDH|8887505923258080522</stp>
        <tr r="V18" s="25"/>
      </tp>
      <tp t="e">
        <v>#N/A</v>
        <stp/>
        <stp>BDH|7843844103769724411</stp>
        <tr r="H38" s="17"/>
      </tp>
      <tp t="e">
        <v>#N/A</v>
        <stp/>
        <stp>BDH|4869491598832732978</stp>
        <tr r="F22" s="18"/>
      </tp>
      <tp t="e">
        <v>#N/A</v>
        <stp/>
        <stp>BDH|7955753459367447086</stp>
        <tr r="AA85" s="17"/>
      </tp>
      <tp t="e">
        <v>#N/A</v>
        <stp/>
        <stp>BDH|6378943977583068990</stp>
        <tr r="U52" s="21"/>
      </tp>
      <tp t="e">
        <v>#N/A</v>
        <stp/>
        <stp>BDH|3036184087671774910</stp>
        <tr r="K140" s="18"/>
      </tp>
      <tp t="e">
        <v>#N/A</v>
        <stp/>
        <stp>BDH|4583363023401983601</stp>
        <tr r="K17" s="9"/>
      </tp>
      <tp t="e">
        <v>#N/A</v>
        <stp/>
        <stp>BDH|9488891309991520284</stp>
        <tr r="W49" s="12"/>
      </tp>
      <tp t="e">
        <v>#N/A</v>
        <stp/>
        <stp>BDH|6303092566987453518</stp>
        <tr r="S57" s="24"/>
      </tp>
      <tp t="e">
        <v>#N/A</v>
        <stp/>
        <stp>BDH|2734746364830833167</stp>
        <tr r="X13" s="17"/>
        <tr r="X16" s="28"/>
      </tp>
      <tp t="e">
        <v>#N/A</v>
        <stp/>
        <stp>BDH|8831482228074393821</stp>
        <tr r="E51" s="12"/>
      </tp>
      <tp t="e">
        <v>#N/A</v>
        <stp/>
        <stp>BDH|4207072762902641287</stp>
        <tr r="K46" s="18"/>
      </tp>
      <tp t="e">
        <v>#N/A</v>
        <stp/>
        <stp>BDH|5348084522494555159</stp>
        <tr r="AA40" s="12"/>
      </tp>
      <tp t="e">
        <v>#N/A</v>
        <stp/>
        <stp>BDH|7632743567743970758</stp>
        <tr r="J19" s="18"/>
      </tp>
      <tp t="e">
        <v>#N/A</v>
        <stp/>
        <stp>BDH|8991933555553752512</stp>
        <tr r="Z56" s="13"/>
      </tp>
      <tp t="e">
        <v>#N/A</v>
        <stp/>
        <stp>BDH|9105991264844443016</stp>
        <tr r="I47" s="22"/>
      </tp>
      <tp t="e">
        <v>#N/A</v>
        <stp/>
        <stp>BDH|6187312789648238724</stp>
        <tr r="P11" s="21"/>
      </tp>
      <tp t="e">
        <v>#N/A</v>
        <stp/>
        <stp>BDH|2018784849790801309</stp>
        <tr r="C13" s="20"/>
        <tr r="C114" s="18"/>
      </tp>
      <tp t="e">
        <v>#N/A</v>
        <stp/>
        <stp>BDH|3922436722463282432</stp>
        <tr r="P15" s="23"/>
        <tr r="N58" s="11"/>
      </tp>
      <tp t="e">
        <v>#N/A</v>
        <stp/>
        <stp>BDH|6229132269140283333</stp>
        <tr r="O9" s="28"/>
      </tp>
      <tp t="e">
        <v>#N/A</v>
        <stp/>
        <stp>BDH|2958858588163436395</stp>
        <tr r="M29" s="21"/>
      </tp>
      <tp t="e">
        <v>#N/A</v>
        <stp/>
        <stp>BDH|8832839703035243733</stp>
        <tr r="C18" s="34"/>
      </tp>
      <tp t="e">
        <v>#N/A</v>
        <stp/>
        <stp>BDH|2757250932789091896</stp>
        <tr r="Q83" s="17"/>
      </tp>
      <tp t="e">
        <v>#N/A</v>
        <stp/>
        <stp>BDH|8990772016254015815</stp>
        <tr r="H12" s="11"/>
      </tp>
      <tp t="e">
        <v>#N/A</v>
        <stp/>
        <stp>BDH|2241942402460965948</stp>
        <tr r="X14" s="8"/>
      </tp>
      <tp t="e">
        <v>#N/A</v>
        <stp/>
        <stp>BDH|9210552368539620108</stp>
        <tr r="U166" s="18"/>
      </tp>
      <tp t="e">
        <v>#N/A</v>
        <stp/>
        <stp>BDH|7475396822645520139</stp>
        <tr r="D64" s="12"/>
      </tp>
      <tp t="e">
        <v>#N/A</v>
        <stp/>
        <stp>BDH|8672283093935656427</stp>
        <tr r="U10" s="17"/>
      </tp>
      <tp t="e">
        <v>#N/A</v>
        <stp/>
        <stp>BDH|2023686419595170299</stp>
        <tr r="H59" s="13"/>
      </tp>
      <tp t="e">
        <v>#N/A</v>
        <stp/>
        <stp>BDH|3531362603842170080</stp>
        <tr r="R34" s="10"/>
        <tr r="R26" s="11"/>
      </tp>
      <tp t="e">
        <v>#N/A</v>
        <stp/>
        <stp>BDH|5392321840013104396</stp>
        <tr r="S31" s="26"/>
        <tr r="P14" s="9"/>
      </tp>
      <tp t="e">
        <v>#N/A</v>
        <stp/>
        <stp>BDH|6290561453967901300</stp>
        <tr r="L61" s="17"/>
      </tp>
      <tp t="e">
        <v>#N/A</v>
        <stp/>
        <stp>BDH|5659034260424830537</stp>
        <tr r="L16" s="21"/>
      </tp>
      <tp t="e">
        <v>#N/A</v>
        <stp/>
        <stp>BDH|8930526745533943894</stp>
        <tr r="N105" s="18"/>
      </tp>
      <tp t="e">
        <v>#N/A</v>
        <stp/>
        <stp>BDH|4488094100805509364</stp>
        <tr r="G16" s="23"/>
      </tp>
      <tp t="e">
        <v>#N/A</v>
        <stp/>
        <stp>BDH|1226158459762567558</stp>
        <tr r="F11" s="22"/>
      </tp>
      <tp t="e">
        <v>#N/A</v>
        <stp/>
        <stp>BDH|6542834489466178200</stp>
        <tr r="K34" s="26"/>
      </tp>
      <tp t="e">
        <v>#N/A</v>
        <stp/>
        <stp>BDH|3547790363082431252</stp>
        <tr r="E33" s="17"/>
      </tp>
      <tp t="e">
        <v>#N/A</v>
        <stp/>
        <stp>BDH|5408087344767765413</stp>
        <tr r="M19" s="12"/>
      </tp>
      <tp t="e">
        <v>#N/A</v>
        <stp/>
        <stp>BDH|6523484607181364174</stp>
        <tr r="M18" s="23"/>
      </tp>
      <tp t="e">
        <v>#N/A</v>
        <stp/>
        <stp>BDH|3450120807971995160</stp>
        <tr r="O26" s="12"/>
      </tp>
      <tp t="e">
        <v>#N/A</v>
        <stp/>
        <stp>BDH|8287311837298373298</stp>
        <tr r="V18" s="24"/>
      </tp>
      <tp t="e">
        <v>#N/A</v>
        <stp/>
        <stp>BDH|5677762346137805300</stp>
        <tr r="J23" s="5"/>
      </tp>
      <tp t="e">
        <v>#N/A</v>
        <stp/>
        <stp>BDH|5741158896459291685</stp>
        <tr r="M13" s="9"/>
      </tp>
      <tp t="e">
        <v>#N/A</v>
        <stp/>
        <stp>BDH|1128310479527209050</stp>
        <tr r="L77" s="24"/>
      </tp>
      <tp t="e">
        <v>#N/A</v>
        <stp/>
        <stp>BDH|9183396867939219731</stp>
        <tr r="M51" s="22"/>
      </tp>
      <tp t="e">
        <v>#N/A</v>
        <stp/>
        <stp>BDH|2920119314423292301</stp>
        <tr r="M20" s="30"/>
      </tp>
      <tp t="e">
        <v>#N/A</v>
        <stp/>
        <stp>BDH|5833932496490346706</stp>
        <tr r="W120" s="18"/>
      </tp>
      <tp t="e">
        <v>#N/A</v>
        <stp/>
        <stp>BDH|5258572008131430372</stp>
        <tr r="F8" s="2"/>
      </tp>
      <tp t="e">
        <v>#N/A</v>
        <stp/>
        <stp>BDH|7136498871147159169</stp>
        <tr r="J90" s="18"/>
      </tp>
      <tp t="e">
        <v>#N/A</v>
        <stp/>
        <stp>BDH|6507063840734841459</stp>
        <tr r="M27" s="21"/>
      </tp>
      <tp t="e">
        <v>#N/A</v>
        <stp/>
        <stp>BDH|3155431430936947051</stp>
        <tr r="V23" s="20"/>
      </tp>
      <tp t="e">
        <v>#N/A</v>
        <stp/>
        <stp>BDH|8657769111534690898</stp>
        <tr r="C25" s="34"/>
      </tp>
      <tp t="e">
        <v>#N/A</v>
        <stp/>
        <stp>BDH|9730629478272706840</stp>
        <tr r="X24" s="12"/>
      </tp>
      <tp t="e">
        <v>#N/A</v>
        <stp/>
        <stp>BDH|9417453565820277985</stp>
        <tr r="H15" s="9"/>
      </tp>
      <tp t="e">
        <v>#N/A</v>
        <stp/>
        <stp>BDH|1116192475572358708</stp>
        <tr r="X51" s="22"/>
      </tp>
      <tp t="e">
        <v>#N/A</v>
        <stp/>
        <stp>BDH|4842605701994333440</stp>
        <tr r="P84" s="12"/>
      </tp>
      <tp t="e">
        <v>#N/A</v>
        <stp/>
        <stp>BDH|6088557469054016325</stp>
        <tr r="L145" s="18"/>
      </tp>
      <tp t="e">
        <v>#N/A</v>
        <stp/>
        <stp>BDH|3889294918605517721</stp>
        <tr r="H135" s="18"/>
      </tp>
      <tp t="e">
        <v>#N/A</v>
        <stp/>
        <stp>BDH|8015462280661893706</stp>
        <tr r="K25" s="29"/>
        <tr r="K10" s="29"/>
        <tr r="K19" s="29"/>
        <tr r="L12" s="8"/>
        <tr r="J6" s="9"/>
        <tr r="J6" s="5"/>
        <tr r="K6" s="2"/>
      </tp>
      <tp t="e">
        <v>#N/A</v>
        <stp/>
        <stp>BDH|8867372390994344423</stp>
        <tr r="J95" s="18"/>
      </tp>
      <tp t="e">
        <v>#N/A</v>
        <stp/>
        <stp>BDH|1353974304209774399</stp>
        <tr r="Y88" s="12"/>
      </tp>
      <tp t="e">
        <v>#N/A</v>
        <stp/>
        <stp>BDH|8916856214655744618</stp>
        <tr r="J68" s="17"/>
        <tr r="G8" s="9"/>
        <tr r="G8" s="5"/>
      </tp>
      <tp t="e">
        <v>#N/A</v>
        <stp/>
        <stp>BDH|6128984549261615888</stp>
        <tr r="O37" s="24"/>
      </tp>
      <tp t="e">
        <v>#N/A</v>
        <stp/>
        <stp>BDH|7512478849315015056</stp>
        <tr r="K44" s="22"/>
      </tp>
      <tp t="e">
        <v>#N/A</v>
        <stp/>
        <stp>BDH|4835136112911023772</stp>
        <tr r="M13" s="27"/>
        <tr r="M27" s="25"/>
      </tp>
      <tp t="e">
        <v>#N/A</v>
        <stp/>
        <stp>BDH|5978763502879729942</stp>
        <tr r="H15" s="17"/>
        <tr r="H18" s="28"/>
      </tp>
      <tp t="e">
        <v>#N/A</v>
        <stp/>
        <stp>BDH|6951058330296415162</stp>
        <tr r="F39" s="6"/>
      </tp>
      <tp t="e">
        <v>#N/A</v>
        <stp/>
        <stp>BDH|9193580189893880565</stp>
        <tr r="D63" s="10"/>
      </tp>
      <tp t="e">
        <v>#N/A</v>
        <stp/>
        <stp>BDH|2052208729127465735</stp>
        <tr r="P103" s="18"/>
      </tp>
      <tp t="e">
        <v>#N/A</v>
        <stp/>
        <stp>BDH|7822427955267497351</stp>
        <tr r="N7" s="9"/>
        <tr r="N7" s="5"/>
        <tr r="Q14" s="3"/>
        <tr r="O7" s="2"/>
      </tp>
      <tp t="e">
        <v>#N/A</v>
        <stp/>
        <stp>BDH|6042338220226836353</stp>
        <tr r="K15" s="10"/>
      </tp>
      <tp t="e">
        <v>#N/A</v>
        <stp/>
        <stp>BDH|5257084144607381431</stp>
        <tr r="Z46" s="13"/>
      </tp>
      <tp t="e">
        <v>#N/A</v>
        <stp/>
        <stp>BDH|9137598971348328144</stp>
        <tr r="M28" s="18"/>
      </tp>
      <tp t="e">
        <v>#N/A</v>
        <stp/>
        <stp>BDH|7199986685131403560</stp>
        <tr r="U43" s="22"/>
      </tp>
      <tp t="e">
        <v>#N/A</v>
        <stp/>
        <stp>BDH|4388077709945021325</stp>
        <tr r="S18" s="5"/>
        <tr r="S38" s="6"/>
      </tp>
      <tp t="e">
        <v>#N/A</v>
        <stp/>
        <stp>BDH|2418085269790369695</stp>
        <tr r="Z6" s="28"/>
      </tp>
      <tp t="e">
        <v>#N/A</v>
        <stp/>
        <stp>BDH|8247056484312406082</stp>
        <tr r="AA35" s="18"/>
      </tp>
      <tp t="e">
        <v>#N/A</v>
        <stp/>
        <stp>BDH|7903922164518801284</stp>
        <tr r="F32" s="22"/>
      </tp>
      <tp t="e">
        <v>#N/A</v>
        <stp/>
        <stp>BDH|4809446020161433177</stp>
        <tr r="C68" s="12"/>
      </tp>
      <tp t="e">
        <v>#N/A</v>
        <stp/>
        <stp>BDH|8713251489288462807</stp>
        <tr r="N120" s="18"/>
      </tp>
      <tp t="e">
        <v>#N/A</v>
        <stp/>
        <stp>BDH|4668281740237004716</stp>
        <tr r="E13" s="7"/>
      </tp>
      <tp t="e">
        <v>#N/A</v>
        <stp/>
        <stp>BDH|7454371706283327596</stp>
        <tr r="Q138" s="18"/>
      </tp>
      <tp t="e">
        <v>#N/A</v>
        <stp/>
        <stp>BDH|8856425075021073802</stp>
        <tr r="M70" s="17"/>
      </tp>
      <tp t="e">
        <v>#N/A</v>
        <stp/>
        <stp>BDH|6764873741410833867</stp>
        <tr r="E50" s="17"/>
      </tp>
      <tp t="e">
        <v>#N/A</v>
        <stp/>
        <stp>BDH|2038944829828290303</stp>
        <tr r="Y174" s="18"/>
      </tp>
      <tp t="e">
        <v>#N/A</v>
        <stp/>
        <stp>BDH|9339217905360022981</stp>
        <tr r="M23" s="20"/>
      </tp>
      <tp t="e">
        <v>#N/A</v>
        <stp/>
        <stp>BDH|5957562235042310362</stp>
        <tr r="X9" s="29"/>
      </tp>
      <tp t="e">
        <v>#N/A</v>
        <stp/>
        <stp>BDH|7838201505560647747</stp>
        <tr r="Y10" s="21"/>
      </tp>
      <tp t="e">
        <v>#N/A</v>
        <stp/>
        <stp>BDH|9678896314366231465</stp>
        <tr r="H97" s="12"/>
      </tp>
      <tp t="e">
        <v>#N/A</v>
        <stp/>
        <stp>BDH|8544820808576762473</stp>
        <tr r="I10" s="21"/>
      </tp>
      <tp t="e">
        <v>#N/A</v>
        <stp/>
        <stp>BDH|1468251059300728401</stp>
        <tr r="C101" s="18"/>
      </tp>
      <tp t="e">
        <v>#N/A</v>
        <stp/>
        <stp>BDH|7757648053533996566</stp>
        <tr r="I31" s="12"/>
      </tp>
      <tp t="e">
        <v>#N/A</v>
        <stp/>
        <stp>BDH|9144291297154004402</stp>
        <tr r="W14" s="34"/>
      </tp>
      <tp t="e">
        <v>#N/A</v>
        <stp/>
        <stp>BDH|9292866259706570076</stp>
        <tr r="V19" s="26"/>
      </tp>
      <tp t="e">
        <v>#N/A</v>
        <stp/>
        <stp>BDH|5463886713727260929</stp>
        <tr r="I25" s="29"/>
        <tr r="I19" s="29"/>
        <tr r="I10" s="29"/>
        <tr r="J12" s="8"/>
        <tr r="H6" s="5"/>
        <tr r="H6" s="9"/>
        <tr r="I6" s="2"/>
      </tp>
      <tp t="e">
        <v>#N/A</v>
        <stp/>
        <stp>BDH|7975314121555362158</stp>
        <tr r="M23" s="5"/>
      </tp>
      <tp t="e">
        <v>#N/A</v>
        <stp/>
        <stp>BDH|2302738245311384298</stp>
        <tr r="K31" s="18"/>
      </tp>
      <tp t="e">
        <v>#N/A</v>
        <stp/>
        <stp>BDH|2743037968964179226</stp>
        <tr r="D22" s="27"/>
      </tp>
      <tp t="e">
        <v>#N/A</v>
        <stp/>
        <stp>BDH|7262748142601935720</stp>
        <tr r="H32" s="11"/>
        <tr r="H40" s="10"/>
      </tp>
      <tp t="e">
        <v>#N/A</v>
        <stp/>
        <stp>BDH|7380639930923621391</stp>
        <tr r="R49" s="22"/>
      </tp>
      <tp t="e">
        <v>#N/A</v>
        <stp/>
        <stp>BDH|7381874433168809606</stp>
        <tr r="R25" s="12"/>
      </tp>
      <tp t="e">
        <v>#N/A</v>
        <stp/>
        <stp>BDH|7159811618379144569</stp>
        <tr r="L87" s="18"/>
      </tp>
      <tp t="e">
        <v>#N/A</v>
        <stp/>
        <stp>BDH|9748055357829335790</stp>
        <tr r="X17" s="24"/>
      </tp>
      <tp t="e">
        <v>#N/A</v>
        <stp/>
        <stp>BDH|5212397875803364022</stp>
        <tr r="D15" s="6"/>
      </tp>
      <tp t="e">
        <v>#N/A</v>
        <stp/>
        <stp>BDH|8983921133474513421</stp>
        <tr r="F46" s="22"/>
      </tp>
      <tp t="e">
        <v>#N/A</v>
        <stp/>
        <stp>BDH|7005754137790962148</stp>
        <tr r="Q136" s="18"/>
      </tp>
      <tp t="e">
        <v>#N/A</v>
        <stp/>
        <stp>BDH|8596764667173218890</stp>
        <tr r="V45" s="24"/>
      </tp>
      <tp t="e">
        <v>#N/A</v>
        <stp/>
        <stp>BDH|4870758824795247640</stp>
        <tr r="M48" s="17"/>
      </tp>
      <tp t="e">
        <v>#N/A</v>
        <stp/>
        <stp>BDH|6644052041285513589</stp>
        <tr r="L48" s="34"/>
      </tp>
      <tp t="e">
        <v>#N/A</v>
        <stp/>
        <stp>BDH|5725516929884263425</stp>
        <tr r="C57" s="12"/>
      </tp>
      <tp t="e">
        <v>#N/A</v>
        <stp/>
        <stp>BDH|3891277700176182518</stp>
        <tr r="X50" s="21"/>
      </tp>
      <tp t="e">
        <v>#N/A</v>
        <stp/>
        <stp>BDH|6648753336960852024</stp>
        <tr r="U44" s="21"/>
      </tp>
      <tp t="e">
        <v>#N/A</v>
        <stp/>
        <stp>BDH|8232380787959111835</stp>
        <tr r="O36" s="21"/>
      </tp>
      <tp t="e">
        <v>#N/A</v>
        <stp/>
        <stp>BDH|5546729148034359036</stp>
        <tr r="J72" s="10"/>
        <tr r="J64" s="11"/>
      </tp>
      <tp t="e">
        <v>#N/A</v>
        <stp/>
        <stp>BDH|2238109729911785235</stp>
        <tr r="Z148" s="18"/>
      </tp>
      <tp t="e">
        <v>#N/A</v>
        <stp/>
        <stp>BDH|3145684915494243221</stp>
        <tr r="G56" s="11"/>
        <tr r="G24" s="4"/>
      </tp>
      <tp t="e">
        <v>#N/A</v>
        <stp/>
        <stp>BDH|3346054633840185281</stp>
        <tr r="S16" s="14"/>
      </tp>
      <tp t="e">
        <v>#N/A</v>
        <stp/>
        <stp>BDH|3854657113870230608</stp>
        <tr r="Z26" s="21"/>
      </tp>
      <tp t="e">
        <v>#N/A</v>
        <stp/>
        <stp>BDH|6335701159284776216</stp>
        <tr r="G35" s="24"/>
      </tp>
      <tp t="e">
        <v>#N/A</v>
        <stp/>
        <stp>BDH|4914294702610926471</stp>
        <tr r="I24" s="22"/>
      </tp>
      <tp t="e">
        <v>#N/A</v>
        <stp/>
        <stp>BDH|6671428439740418359</stp>
        <tr r="K36" s="12"/>
      </tp>
      <tp t="e">
        <v>#N/A</v>
        <stp/>
        <stp>BDH|9059489730388751439</stp>
        <tr r="G18" s="18"/>
      </tp>
      <tp t="e">
        <v>#N/A</v>
        <stp/>
        <stp>BDH|7583439088318343115</stp>
        <tr r="G68" s="34"/>
      </tp>
      <tp t="e">
        <v>#N/A</v>
        <stp/>
        <stp>BDH|7690042306760976518</stp>
        <tr r="C59" s="34"/>
      </tp>
      <tp t="e">
        <v>#N/A</v>
        <stp/>
        <stp>BDH|1380652298638189436</stp>
        <tr r="V39" s="18"/>
      </tp>
      <tp t="e">
        <v>#N/A</v>
        <stp/>
        <stp>BDH|5650526913024814737</stp>
        <tr r="N18" s="13"/>
      </tp>
      <tp t="e">
        <v>#N/A</v>
        <stp/>
        <stp>BDH|8867846287102657810</stp>
        <tr r="X32" s="13"/>
        <tr r="V28" s="10"/>
      </tp>
      <tp t="e">
        <v>#N/A</v>
        <stp/>
        <stp>BDH|2846664161148420877</stp>
        <tr r="L41" s="34"/>
      </tp>
      <tp t="e">
        <v>#N/A</v>
        <stp/>
        <stp>BDH|3448650261472965352</stp>
        <tr r="K10" s="23"/>
      </tp>
      <tp t="e">
        <v>#N/A</v>
        <stp/>
        <stp>BDH|7337297821341271454</stp>
        <tr r="X58" s="12"/>
      </tp>
      <tp t="e">
        <v>#N/A</v>
        <stp/>
        <stp>BDH|8496425298434581377</stp>
        <tr r="Y62" s="18"/>
      </tp>
      <tp t="e">
        <v>#N/A</v>
        <stp/>
        <stp>BDH|4012088391677604838</stp>
        <tr r="M12" s="12"/>
      </tp>
      <tp t="e">
        <v>#N/A</v>
        <stp/>
        <stp>BDH|6674947481000903567</stp>
        <tr r="C42" s="34"/>
      </tp>
      <tp t="e">
        <v>#N/A</v>
        <stp/>
        <stp>BDH|2246799293566479808</stp>
        <tr r="O19" s="11"/>
      </tp>
      <tp t="e">
        <v>#N/A</v>
        <stp/>
        <stp>BDH|1569391740432572652</stp>
        <tr r="P62" s="10"/>
      </tp>
      <tp t="e">
        <v>#N/A</v>
        <stp/>
        <stp>BDH|8856100340397244864</stp>
        <tr r="U29" s="13"/>
        <tr r="S24" s="11"/>
        <tr r="S32" s="10"/>
        <tr r="S45" s="4"/>
      </tp>
      <tp t="e">
        <v>#N/A</v>
        <stp/>
        <stp>BDH|7957278722916690364</stp>
        <tr r="Y31" s="21"/>
      </tp>
      <tp t="e">
        <v>#N/A</v>
        <stp/>
        <stp>BDH|2081351645356508193</stp>
        <tr r="O69" s="18"/>
      </tp>
      <tp t="e">
        <v>#N/A</v>
        <stp/>
        <stp>BDH|5915568924498071872</stp>
        <tr r="H23" s="29"/>
        <tr r="H14" s="29"/>
        <tr r="H34" s="29"/>
      </tp>
      <tp t="e">
        <v>#N/A</v>
        <stp/>
        <stp>BDH|4987985981760934751</stp>
        <tr r="W24" s="22"/>
      </tp>
      <tp t="e">
        <v>#N/A</v>
        <stp/>
        <stp>BDH|8803822907224017619</stp>
        <tr r="M112" s="12"/>
      </tp>
      <tp t="e">
        <v>#N/A</v>
        <stp/>
        <stp>BDH|4418019937005740097</stp>
        <tr r="E32" s="22"/>
      </tp>
      <tp t="e">
        <v>#N/A</v>
        <stp/>
        <stp>BDH|7741194303677583342</stp>
        <tr r="E9" s="29"/>
      </tp>
      <tp t="e">
        <v>#N/A</v>
        <stp/>
        <stp>BDH|3890079195958777012</stp>
        <tr r="V103" s="12"/>
      </tp>
      <tp t="e">
        <v>#N/A</v>
        <stp/>
        <stp>BDH|6385733247036817136</stp>
        <tr r="Z78" s="12"/>
      </tp>
      <tp t="e">
        <v>#N/A</v>
        <stp/>
        <stp>BDH|3527348808152522005</stp>
        <tr r="T42" s="24"/>
      </tp>
      <tp t="e">
        <v>#N/A</v>
        <stp/>
        <stp>BDH|1789296815164554425</stp>
        <tr r="J16" s="10"/>
      </tp>
      <tp t="e">
        <v>#N/A</v>
        <stp/>
        <stp>BDH|1671231625804983758</stp>
        <tr r="Y20" s="25"/>
      </tp>
      <tp t="e">
        <v>#N/A</v>
        <stp/>
        <stp>BDH|5194446448646436154</stp>
        <tr r="Y49" s="4"/>
      </tp>
      <tp t="e">
        <v>#N/A</v>
        <stp/>
        <stp>BDH|1080179603943071181</stp>
        <tr r="M67" s="34"/>
      </tp>
      <tp t="e">
        <v>#N/A</v>
        <stp/>
        <stp>BDH|5606338876402737181</stp>
        <tr r="D8" s="17"/>
      </tp>
      <tp t="e">
        <v>#N/A</v>
        <stp/>
        <stp>BDH|1715564461727564785</stp>
        <tr r="V59" s="13"/>
      </tp>
      <tp t="e">
        <v>#N/A</v>
        <stp/>
        <stp>BDH|2561044943364662096</stp>
        <tr r="O53" s="6"/>
      </tp>
      <tp t="e">
        <v>#N/A</v>
        <stp/>
        <stp>BDH|7332832725538930715</stp>
        <tr r="W60" s="17"/>
      </tp>
      <tp t="e">
        <v>#N/A</v>
        <stp/>
        <stp>BDH|8930410271369139051</stp>
        <tr r="K58" s="34"/>
      </tp>
      <tp t="e">
        <v>#N/A</v>
        <stp/>
        <stp>BDH|5753278068130092350</stp>
        <tr r="K21" s="17"/>
        <tr r="K15" s="3"/>
      </tp>
      <tp t="e">
        <v>#N/A</v>
        <stp/>
        <stp>BDH|6821304758405905747</stp>
        <tr r="O25" s="6"/>
      </tp>
      <tp t="e">
        <v>#N/A</v>
        <stp/>
        <stp>BDH|1177630748682151361</stp>
        <tr r="M16" s="22"/>
      </tp>
      <tp t="e">
        <v>#N/A</v>
        <stp/>
        <stp>BDH|2876926284946759748</stp>
        <tr r="R47" s="21"/>
      </tp>
      <tp t="e">
        <v>#N/A</v>
        <stp/>
        <stp>BDH|2983198318397273771</stp>
        <tr r="U51" s="22"/>
      </tp>
      <tp t="e">
        <v>#N/A</v>
        <stp/>
        <stp>BDH|3853165711069314815</stp>
        <tr r="I28" s="12"/>
      </tp>
      <tp t="e">
        <v>#N/A</v>
        <stp/>
        <stp>BDH|3874159095119134048</stp>
        <tr r="G61" s="17"/>
      </tp>
      <tp t="e">
        <v>#N/A</v>
        <stp/>
        <stp>BDH|1821142046047628116</stp>
        <tr r="I20" s="27"/>
      </tp>
      <tp t="e">
        <v>#N/A</v>
        <stp/>
        <stp>BDH|9625188963528880483</stp>
        <tr r="C51" s="34"/>
      </tp>
      <tp t="e">
        <v>#N/A</v>
        <stp/>
        <stp>BDH|5756593472601908484</stp>
        <tr r="R52" s="21"/>
      </tp>
      <tp t="e">
        <v>#N/A</v>
        <stp/>
        <stp>BDH|5940784561681908741</stp>
        <tr r="O59" s="18"/>
      </tp>
      <tp t="e">
        <v>#N/A</v>
        <stp/>
        <stp>BDH|5270547558733256415</stp>
        <tr r="O13" s="6"/>
      </tp>
      <tp t="e">
        <v>#N/A</v>
        <stp/>
        <stp>BDH|4242857649202616857</stp>
        <tr r="C63" s="24"/>
      </tp>
      <tp t="e">
        <v>#N/A</v>
        <stp/>
        <stp>BDH|8149344298559771975</stp>
        <tr r="Q25" s="22"/>
      </tp>
      <tp t="e">
        <v>#N/A</v>
        <stp/>
        <stp>BDH|4069052038520918596</stp>
        <tr r="H29" s="21"/>
      </tp>
      <tp t="e">
        <v>#N/A</v>
        <stp/>
        <stp>BDH|4478714467462856574</stp>
        <tr r="N38" s="6"/>
        <tr r="N18" s="5"/>
      </tp>
      <tp t="e">
        <v>#N/A</v>
        <stp/>
        <stp>BDH|9536846374746828206</stp>
        <tr r="Z36" s="21"/>
      </tp>
      <tp t="e">
        <v>#N/A</v>
        <stp/>
        <stp>BDH|2055239392978587394</stp>
        <tr r="I84" s="12"/>
      </tp>
      <tp t="e">
        <v>#N/A</v>
        <stp/>
        <stp>BDH|6050720868873148660</stp>
        <tr r="J50" s="12"/>
      </tp>
      <tp t="e">
        <v>#N/A</v>
        <stp/>
        <stp>BDH|6226699619767620496</stp>
        <tr r="H123" s="18"/>
      </tp>
      <tp t="e">
        <v>#N/A</v>
        <stp/>
        <stp>BDH|4207983696085084313</stp>
        <tr r="L35" s="6"/>
      </tp>
      <tp t="e">
        <v>#N/A</v>
        <stp/>
        <stp>BDH|5771296741275489463</stp>
        <tr r="Y27" s="24"/>
      </tp>
      <tp t="e">
        <v>#N/A</v>
        <stp/>
        <stp>BDH|3287149694939904063</stp>
        <tr r="L36" s="21"/>
      </tp>
      <tp t="e">
        <v>#N/A</v>
        <stp/>
        <stp>BDH|3181545607533965765</stp>
        <tr r="R19" s="23"/>
        <tr r="P59" s="11"/>
      </tp>
      <tp t="e">
        <v>#N/A</v>
        <stp/>
        <stp>BDH|9394852058264439271</stp>
        <tr r="Q34" s="34"/>
      </tp>
      <tp t="e">
        <v>#N/A</v>
        <stp/>
        <stp>BDH|7507066127237061098</stp>
        <tr r="Q142" s="18"/>
      </tp>
      <tp t="e">
        <v>#N/A</v>
        <stp/>
        <stp>BDH|8009580662261695811</stp>
        <tr r="U82" s="12"/>
      </tp>
      <tp t="e">
        <v>#N/A</v>
        <stp/>
        <stp>BDH|1848337361021591720</stp>
        <tr r="V52" s="21"/>
      </tp>
      <tp t="e">
        <v>#N/A</v>
        <stp/>
        <stp>BDH|1622659949327742606</stp>
        <tr r="D102" s="12"/>
      </tp>
      <tp t="e">
        <v>#N/A</v>
        <stp/>
        <stp>BDH|1328589705685517361</stp>
        <tr r="N69" s="17"/>
      </tp>
      <tp t="e">
        <v>#N/A</v>
        <stp/>
        <stp>BDH|4712826089590665679</stp>
        <tr r="W17" s="18"/>
      </tp>
      <tp t="e">
        <v>#N/A</v>
        <stp/>
        <stp>BDH|2983588055932816214</stp>
        <tr r="W75" s="12"/>
      </tp>
      <tp t="e">
        <v>#N/A</v>
        <stp/>
        <stp>BDH|9295873229175947483</stp>
        <tr r="N40" s="17"/>
      </tp>
      <tp t="e">
        <v>#N/A</v>
        <stp/>
        <stp>BDH|5832503915902835186</stp>
        <tr r="Y25" s="22"/>
      </tp>
      <tp t="e">
        <v>#N/A</v>
        <stp/>
        <stp>BDH|7899527025380328213</stp>
        <tr r="V163" s="18"/>
      </tp>
      <tp t="e">
        <v>#N/A</v>
        <stp/>
        <stp>BDH|4909291224160961609</stp>
        <tr r="T95" s="12"/>
      </tp>
      <tp t="e">
        <v>#N/A</v>
        <stp/>
        <stp>BDH|5128321771623927068</stp>
        <tr r="I21" s="4"/>
      </tp>
      <tp t="e">
        <v>#N/A</v>
        <stp/>
        <stp>BDH|8228286590161631019</stp>
        <tr r="L15" s="6"/>
      </tp>
      <tp t="e">
        <v>#N/A</v>
        <stp/>
        <stp>BDH|3754870429903604822</stp>
        <tr r="Q7" s="8"/>
      </tp>
      <tp t="e">
        <v>#N/A</v>
        <stp/>
        <stp>BDH|1399537899976710938</stp>
        <tr r="M163" s="18"/>
      </tp>
      <tp t="e">
        <v>#N/A</v>
        <stp/>
        <stp>BDH|8618095784296097461</stp>
        <tr r="O124" s="18"/>
      </tp>
      <tp t="e">
        <v>#N/A</v>
        <stp/>
        <stp>BDH|6712389001581069635</stp>
        <tr r="Y17" s="23"/>
      </tp>
      <tp t="e">
        <v>#N/A</v>
        <stp/>
        <stp>BDH|9244889501647206445</stp>
        <tr r="L10" s="8"/>
        <tr r="J50" s="6"/>
      </tp>
      <tp t="e">
        <v>#N/A</v>
        <stp/>
        <stp>BDH|9732500049223855944</stp>
        <tr r="Q64" s="21"/>
        <tr r="O23" s="7"/>
      </tp>
      <tp t="e">
        <v>#N/A</v>
        <stp/>
        <stp>BDH|4190410606063418108</stp>
        <tr r="X34" s="17"/>
      </tp>
      <tp t="e">
        <v>#N/A</v>
        <stp/>
        <stp>BDH|3095817992820135005</stp>
        <tr r="Z33" s="13"/>
        <tr r="X29" s="10"/>
      </tp>
      <tp t="e">
        <v>#N/A</v>
        <stp/>
        <stp>BDH|8421736185233112614</stp>
        <tr r="S118" s="18"/>
      </tp>
      <tp t="e">
        <v>#N/A</v>
        <stp/>
        <stp>BDH|4702047390117102805</stp>
        <tr r="T44" s="22"/>
      </tp>
      <tp t="e">
        <v>#N/A</v>
        <stp/>
        <stp>BDH|5266874995505172333</stp>
        <tr r="H63" s="10"/>
      </tp>
      <tp t="e">
        <v>#N/A</v>
        <stp/>
        <stp>BDH|4311265752392011355</stp>
        <tr r="X111" s="12"/>
      </tp>
      <tp t="e">
        <v>#N/A</v>
        <stp/>
        <stp>BDH|7752325938471745483</stp>
        <tr r="O14" s="14"/>
      </tp>
      <tp t="e">
        <v>#N/A</v>
        <stp/>
        <stp>BDH|3524804995411477166</stp>
        <tr r="F39" s="13"/>
        <tr r="D43" s="10"/>
        <tr r="D35" s="11"/>
        <tr r="D52" s="4"/>
        <tr r="F8" s="3"/>
      </tp>
      <tp t="e">
        <v>#N/A</v>
        <stp/>
        <stp>BDH|3455080234743332193</stp>
        <tr r="C21" s="20"/>
      </tp>
      <tp t="e">
        <v>#N/A</v>
        <stp/>
        <stp>BDH|6057465971426148145</stp>
        <tr r="K47" s="12"/>
      </tp>
      <tp t="e">
        <v>#N/A</v>
        <stp/>
        <stp>BDH|9158652208749828467</stp>
        <tr r="J64" s="12"/>
      </tp>
      <tp t="e">
        <v>#N/A</v>
        <stp/>
        <stp>BDH|7722926192272214772</stp>
        <tr r="Y57" s="13"/>
      </tp>
      <tp t="e">
        <v>#N/A</v>
        <stp/>
        <stp>BDH|5617165995396469934</stp>
        <tr r="X12" s="20"/>
        <tr r="X113" s="18"/>
      </tp>
      <tp t="e">
        <v>#N/A</v>
        <stp/>
        <stp>BDH|9723277001241422871</stp>
        <tr r="N57" s="17"/>
      </tp>
      <tp t="e">
        <v>#N/A</v>
        <stp/>
        <stp>BDH|5675890412959922768</stp>
        <tr r="P58" s="12"/>
      </tp>
      <tp t="e">
        <v>#N/A</v>
        <stp/>
        <stp>BDH|3074323521169717960</stp>
        <tr r="V70" s="12"/>
      </tp>
      <tp t="e">
        <v>#N/A</v>
        <stp/>
        <stp>BDH|5957492726624701535</stp>
        <tr r="L32" s="17"/>
      </tp>
      <tp t="e">
        <v>#N/A</v>
        <stp/>
        <stp>BDH|8625498223449995570</stp>
        <tr r="T16" s="18"/>
      </tp>
      <tp t="e">
        <v>#N/A</v>
        <stp/>
        <stp>BDH|5235376047253939393</stp>
        <tr r="I87" s="18"/>
      </tp>
      <tp t="e">
        <v>#N/A</v>
        <stp/>
        <stp>BDH|1684604231454766228</stp>
        <tr r="L9" s="23"/>
      </tp>
      <tp t="e">
        <v>#N/A</v>
        <stp/>
        <stp>BDH|7632092571255967753</stp>
        <tr r="D42" s="22"/>
      </tp>
      <tp t="e">
        <v>#N/A</v>
        <stp/>
        <stp>BDH|5032500001416034432</stp>
        <tr r="F35" s="22"/>
      </tp>
      <tp t="e">
        <v>#N/A</v>
        <stp/>
        <stp>BDH|4634075409174204281</stp>
        <tr r="H32" s="13"/>
        <tr r="F28" s="10"/>
      </tp>
      <tp t="e">
        <v>#N/A</v>
        <stp/>
        <stp>BDH|6715183898239732525</stp>
        <tr r="K103" s="18"/>
      </tp>
      <tp t="e">
        <v>#N/A</v>
        <stp/>
        <stp>BDH|5309504353941790652</stp>
        <tr r="P132" s="18"/>
      </tp>
      <tp t="e">
        <v>#N/A</v>
        <stp/>
        <stp>BDH|7768674186203742832</stp>
        <tr r="F40" s="21"/>
      </tp>
      <tp t="e">
        <v>#N/A</v>
        <stp/>
        <stp>BDH|6096233286718210655</stp>
        <tr r="Z55" s="13"/>
        <tr r="X56" s="10"/>
        <tr r="X48" s="11"/>
        <tr r="X18" s="7"/>
      </tp>
      <tp t="e">
        <v>#N/A</v>
        <stp/>
        <stp>BDH|1211063224075794452</stp>
        <tr r="AA17" s="24"/>
      </tp>
      <tp t="e">
        <v>#N/A</v>
        <stp/>
        <stp>BDH|7555212730203342758</stp>
        <tr r="G9" s="22"/>
      </tp>
      <tp t="e">
        <v>#N/A</v>
        <stp/>
        <stp>BDH|3499467376465440727</stp>
        <tr r="V80" s="18"/>
      </tp>
      <tp t="e">
        <v>#N/A</v>
        <stp/>
        <stp>BDH|7849234023754273189</stp>
        <tr r="P7" s="4"/>
      </tp>
      <tp t="e">
        <v>#N/A</v>
        <stp/>
        <stp>BDH|4375109276762174264</stp>
        <tr r="F170" s="18"/>
      </tp>
      <tp t="e">
        <v>#N/A</v>
        <stp/>
        <stp>BDH|9682564297470435711</stp>
        <tr r="Q70" s="24"/>
      </tp>
      <tp t="e">
        <v>#N/A</v>
        <stp/>
        <stp>BDH|6862979330266590889</stp>
        <tr r="H29" s="22"/>
      </tp>
      <tp t="e">
        <v>#N/A</v>
        <stp/>
        <stp>BDH|8928819800464347696</stp>
        <tr r="I49" s="24"/>
      </tp>
      <tp t="e">
        <v>#N/A</v>
        <stp/>
        <stp>BDH|9092939040031952788</stp>
        <tr r="V44" s="12"/>
      </tp>
      <tp t="e">
        <v>#N/A</v>
        <stp/>
        <stp>BDH|9870466437218866438</stp>
        <tr r="K34" s="10"/>
        <tr r="K26" s="11"/>
      </tp>
      <tp t="e">
        <v>#N/A</v>
        <stp/>
        <stp>BDH|6488511578300740683</stp>
        <tr r="M71" s="24"/>
      </tp>
      <tp t="e">
        <v>#N/A</v>
        <stp/>
        <stp>BDH|8389772445609371007</stp>
        <tr r="V58" s="18"/>
      </tp>
      <tp t="e">
        <v>#N/A</v>
        <stp/>
        <stp>BDH|4200775491699362159</stp>
        <tr r="G40" s="21"/>
      </tp>
      <tp t="e">
        <v>#N/A</v>
        <stp/>
        <stp>BDH|5095495838154327403</stp>
        <tr r="V21" s="18"/>
      </tp>
      <tp t="e">
        <v>#N/A</v>
        <stp/>
        <stp>BDH|7699642238638960817</stp>
        <tr r="W17" s="11"/>
      </tp>
      <tp t="e">
        <v>#N/A</v>
        <stp/>
        <stp>BDH|7786662922842049319</stp>
        <tr r="I58" s="17"/>
      </tp>
      <tp t="e">
        <v>#N/A</v>
        <stp/>
        <stp>BDH|1529608477127030507</stp>
        <tr r="D98" s="12"/>
      </tp>
      <tp t="e">
        <v>#N/A</v>
        <stp/>
        <stp>BDH|5511570844594495203</stp>
        <tr r="K9" s="27"/>
      </tp>
      <tp t="e">
        <v>#N/A</v>
        <stp/>
        <stp>BDH|7409119707682158614</stp>
        <tr r="T92" s="17"/>
        <tr r="T7" s="27"/>
      </tp>
      <tp t="e">
        <v>#N/A</v>
        <stp/>
        <stp>BDH|3688740871639676868</stp>
        <tr r="V88" s="17"/>
      </tp>
      <tp t="e">
        <v>#N/A</v>
        <stp/>
        <stp>BDH|6528806453589322062</stp>
        <tr r="F35" s="26"/>
      </tp>
      <tp t="e">
        <v>#N/A</v>
        <stp/>
        <stp>BDH|4331663805562547260</stp>
        <tr r="Q76" s="12"/>
      </tp>
      <tp t="e">
        <v>#N/A</v>
        <stp/>
        <stp>BDH|3778186254056816301</stp>
        <tr r="T24" s="29"/>
      </tp>
      <tp t="e">
        <v>#N/A</v>
        <stp/>
        <stp>BDH|4340726443782237737</stp>
        <tr r="V39" s="17"/>
      </tp>
      <tp t="e">
        <v>#N/A</v>
        <stp/>
        <stp>BDH|6303177411357164371</stp>
        <tr r="O7" s="9"/>
        <tr r="O7" s="5"/>
        <tr r="P7" s="2"/>
        <tr r="R14" s="3"/>
      </tp>
      <tp t="e">
        <v>#N/A</v>
        <stp/>
        <stp>BDH|7682396978751729038</stp>
        <tr r="S23" s="26"/>
      </tp>
      <tp t="e">
        <v>#N/A</v>
        <stp/>
        <stp>BDH|8867452635755834833</stp>
        <tr r="S25" s="24"/>
      </tp>
      <tp t="e">
        <v>#N/A</v>
        <stp/>
        <stp>BDH|2456662322622245616</stp>
        <tr r="G14" s="28"/>
      </tp>
      <tp t="e">
        <v>#N/A</v>
        <stp/>
        <stp>BDH|5772456018452949003</stp>
        <tr r="V31" s="21"/>
      </tp>
      <tp t="e">
        <v>#N/A</v>
        <stp/>
        <stp>BDH|4871558078830615403</stp>
        <tr r="J132" s="18"/>
      </tp>
      <tp t="e">
        <v>#N/A</v>
        <stp/>
        <stp>BDH|7087489513020117095</stp>
        <tr r="R72" s="24"/>
      </tp>
      <tp t="e">
        <v>#N/A</v>
        <stp/>
        <stp>BDH|5215117740170275225</stp>
        <tr r="V87" s="12"/>
      </tp>
      <tp t="e">
        <v>#N/A</v>
        <stp/>
        <stp>BDH|4001657671010447736</stp>
        <tr r="E11" s="29"/>
      </tp>
      <tp t="e">
        <v>#N/A</v>
        <stp/>
        <stp>BDH|2804683468307829737</stp>
        <tr r="U36" s="29"/>
        <tr r="U16" s="29"/>
      </tp>
      <tp t="e">
        <v>#N/A</v>
        <stp/>
        <stp>BDH|2158196816318527886</stp>
        <tr r="M118" s="18"/>
      </tp>
      <tp t="e">
        <v>#N/A</v>
        <stp/>
        <stp>BDH|8547935440420536702</stp>
        <tr r="AA24" s="12"/>
      </tp>
      <tp t="e">
        <v>#N/A</v>
        <stp/>
        <stp>BDH|1664544665687619721</stp>
        <tr r="D54" s="13"/>
      </tp>
      <tp t="e">
        <v>#N/A</v>
        <stp/>
        <stp>BDH|5458139600141581711</stp>
        <tr r="E17" s="21"/>
      </tp>
      <tp t="e">
        <v>#N/A</v>
        <stp/>
        <stp>BDH|1931042654124376290</stp>
        <tr r="K66" s="18"/>
      </tp>
      <tp t="e">
        <v>#N/A</v>
        <stp/>
        <stp>BDH|1138867743616125967</stp>
        <tr r="Y21" s="22"/>
      </tp>
      <tp t="e">
        <v>#N/A</v>
        <stp/>
        <stp>BDH|9253065482926578506</stp>
        <tr r="AA45" s="24"/>
      </tp>
      <tp t="e">
        <v>#N/A</v>
        <stp/>
        <stp>BDH|8793629337257211838</stp>
        <tr r="H19" s="6"/>
      </tp>
      <tp t="e">
        <v>#N/A</v>
        <stp/>
        <stp>BDH|9357016690181509349</stp>
        <tr r="W8" s="23"/>
      </tp>
      <tp t="e">
        <v>#N/A</v>
        <stp/>
        <stp>BDH|6949689215495364645</stp>
        <tr r="R6" s="27"/>
      </tp>
      <tp t="e">
        <v>#N/A</v>
        <stp/>
        <stp>BDH|4051039212232343510</stp>
        <tr r="S92" s="12"/>
      </tp>
      <tp t="e">
        <v>#N/A</v>
        <stp/>
        <stp>BDH|6336046519785405098</stp>
        <tr r="U42" s="21"/>
      </tp>
      <tp t="e">
        <v>#N/A</v>
        <stp/>
        <stp>BDH|9451212084815731451</stp>
        <tr r="P24" s="6"/>
      </tp>
      <tp t="e">
        <v>#N/A</v>
        <stp/>
        <stp>BDH|5626328841975095567</stp>
        <tr r="T13" s="24"/>
      </tp>
      <tp t="e">
        <v>#N/A</v>
        <stp/>
        <stp>BDH|2670137385760335908</stp>
        <tr r="X123" s="18"/>
      </tp>
      <tp t="e">
        <v>#N/A</v>
        <stp/>
        <stp>BDH|2188956030263463936</stp>
        <tr r="N41" s="22"/>
      </tp>
      <tp t="e">
        <v>#N/A</v>
        <stp/>
        <stp>BDH|6348430993780280927</stp>
        <tr r="D49" s="17"/>
      </tp>
      <tp t="e">
        <v>#N/A</v>
        <stp/>
        <stp>BDH|7526835085046506358</stp>
        <tr r="D89" s="12"/>
      </tp>
      <tp t="e">
        <v>#N/A</v>
        <stp/>
        <stp>BDH|7601801583475184072</stp>
        <tr r="L6" s="19"/>
        <tr r="L35" s="17"/>
        <tr r="L16" s="3"/>
      </tp>
      <tp t="e">
        <v>#N/A</v>
        <stp/>
        <stp>BDH|6889214655657948461</stp>
        <tr r="Z18" s="24"/>
      </tp>
      <tp t="e">
        <v>#N/A</v>
        <stp/>
        <stp>BDH|7975539438142426152</stp>
        <tr r="C9" s="26"/>
      </tp>
      <tp t="e">
        <v>#N/A</v>
        <stp/>
        <stp>BDH|5995289231106778049</stp>
        <tr r="F41" s="11"/>
        <tr r="F49" s="10"/>
        <tr r="F8" s="7"/>
        <tr r="H11" s="3"/>
      </tp>
      <tp t="e">
        <v>#N/A</v>
        <stp/>
        <stp>BDH|9486323086197420777</stp>
        <tr r="C94" s="12"/>
      </tp>
      <tp t="e">
        <v>#N/A</v>
        <stp/>
        <stp>BDH|2058146207592588350</stp>
        <tr r="I29" s="18"/>
      </tp>
      <tp t="e">
        <v>#N/A</v>
        <stp/>
        <stp>BDH|7683266418923052583</stp>
        <tr r="Q13" s="5"/>
      </tp>
      <tp t="e">
        <v>#N/A</v>
        <stp/>
        <stp>BDH|7624852052830998880</stp>
        <tr r="S12" s="17"/>
      </tp>
      <tp t="e">
        <v>#N/A</v>
        <stp/>
        <stp>BDH|2418698612966991168</stp>
        <tr r="H75" s="12"/>
      </tp>
      <tp t="e">
        <v>#N/A</v>
        <stp/>
        <stp>BDH|7404962339787279892</stp>
        <tr r="H19" s="25"/>
      </tp>
      <tp t="e">
        <v>#N/A</v>
        <stp/>
        <stp>BDH|2227843978198858765</stp>
        <tr r="U55" s="6"/>
      </tp>
      <tp t="e">
        <v>#N/A</v>
        <stp/>
        <stp>BDH|6543560027247002445</stp>
        <tr r="E87" s="12"/>
      </tp>
      <tp t="e">
        <v>#N/A</v>
        <stp/>
        <stp>BDH|1502676549511921022</stp>
        <tr r="E84" s="18"/>
      </tp>
      <tp t="e">
        <v>#N/A</v>
        <stp/>
        <stp>BDH|6367881596173924647</stp>
        <tr r="D52" s="21"/>
      </tp>
      <tp t="e">
        <v>#N/A</v>
        <stp/>
        <stp>BDH|2686537711886157251</stp>
        <tr r="E49" s="4"/>
      </tp>
      <tp t="e">
        <v>#N/A</v>
        <stp/>
        <stp>BDH|7911559349983240776</stp>
        <tr r="U177" s="18"/>
      </tp>
      <tp t="e">
        <v>#N/A</v>
        <stp/>
        <stp>BDH|1066656172192361045</stp>
        <tr r="V93" s="18"/>
      </tp>
      <tp t="e">
        <v>#N/A</v>
        <stp/>
        <stp>BDH|4073527031130508063</stp>
        <tr r="W49" s="22"/>
      </tp>
      <tp t="e">
        <v>#N/A</v>
        <stp/>
        <stp>BDH|7137488160927953002</stp>
        <tr r="R98" s="12"/>
      </tp>
      <tp t="e">
        <v>#N/A</v>
        <stp/>
        <stp>BDH|2381029106758315842</stp>
        <tr r="I123" s="18"/>
      </tp>
      <tp t="e">
        <v>#N/A</v>
        <stp/>
        <stp>BDH|6481330652900506204</stp>
        <tr r="D78" s="18"/>
      </tp>
      <tp t="e">
        <v>#N/A</v>
        <stp/>
        <stp>BDH|5380526768530888416</stp>
        <tr r="S48" s="18"/>
      </tp>
      <tp t="e">
        <v>#N/A</v>
        <stp/>
        <stp>BDH|7009606247131271655</stp>
        <tr r="L71" s="24"/>
      </tp>
      <tp t="e">
        <v>#N/A</v>
        <stp/>
        <stp>BDH|5417503843596651016</stp>
        <tr r="P22" s="17"/>
      </tp>
      <tp t="e">
        <v>#N/A</v>
        <stp/>
        <stp>BDH|7084152135874722374</stp>
        <tr r="D50" s="21"/>
      </tp>
      <tp t="e">
        <v>#N/A</v>
        <stp/>
        <stp>BDH|2532673773104468553</stp>
        <tr r="K98" s="12"/>
      </tp>
      <tp t="e">
        <v>#N/A</v>
        <stp/>
        <stp>BDH|4598858576611444827</stp>
        <tr r="D25" s="34"/>
      </tp>
      <tp t="e">
        <v>#N/A</v>
        <stp/>
        <stp>BDH|7431891978158456212</stp>
        <tr r="S38" s="11"/>
        <tr r="S46" s="10"/>
      </tp>
      <tp t="e">
        <v>#N/A</v>
        <stp/>
        <stp>BDH|8819680235366636935</stp>
        <tr r="I46" s="17"/>
      </tp>
      <tp t="e">
        <v>#N/A</v>
        <stp/>
        <stp>BDH|3325339579764035198</stp>
        <tr r="I143" s="18"/>
      </tp>
      <tp t="e">
        <v>#N/A</v>
        <stp/>
        <stp>BDH|8761206322452439810</stp>
        <tr r="S66" s="21"/>
      </tp>
      <tp t="e">
        <v>#N/A</v>
        <stp/>
        <stp>BDH|3052021763221268637</stp>
        <tr r="P52" s="22"/>
      </tp>
      <tp t="e">
        <v>#N/A</v>
        <stp/>
        <stp>BDH|3885886134892632822</stp>
        <tr r="X107" s="12"/>
      </tp>
      <tp t="e">
        <v>#N/A</v>
        <stp/>
        <stp>BDH|2076755956604376604</stp>
        <tr r="I24" s="12"/>
      </tp>
      <tp t="e">
        <v>#N/A</v>
        <stp/>
        <stp>BDH|4473652855055628021</stp>
        <tr r="T122" s="18"/>
      </tp>
      <tp t="e">
        <v>#N/A</v>
        <stp/>
        <stp>BDH|7226244024285146038</stp>
        <tr r="I58" s="18"/>
      </tp>
      <tp t="e">
        <v>#N/A</v>
        <stp/>
        <stp>BDH|3306965382995126566</stp>
        <tr r="Z51" s="24"/>
      </tp>
      <tp t="e">
        <v>#N/A</v>
        <stp/>
        <stp>BDH|2259108475125775300</stp>
        <tr r="R23" s="6"/>
      </tp>
      <tp t="e">
        <v>#N/A</v>
        <stp/>
        <stp>BDH|9166944133965311450</stp>
        <tr r="Q90" s="12"/>
      </tp>
      <tp t="e">
        <v>#N/A</v>
        <stp/>
        <stp>BDH|3120377361532132669</stp>
        <tr r="U31" s="25"/>
        <tr r="U17" s="27"/>
        <tr r="R14" s="5"/>
      </tp>
      <tp t="e">
        <v>#N/A</v>
        <stp/>
        <stp>BDH|7093422589489850030</stp>
        <tr r="U26" s="13"/>
        <tr r="U16" s="13"/>
        <tr r="S18" s="10"/>
      </tp>
      <tp t="e">
        <v>#N/A</v>
        <stp/>
        <stp>BDH|8199098446428761699</stp>
        <tr r="Q14" s="6"/>
      </tp>
      <tp t="e">
        <v>#N/A</v>
        <stp/>
        <stp>BDH|6129142652119534928</stp>
        <tr r="R18" s="14"/>
      </tp>
      <tp t="e">
        <v>#N/A</v>
        <stp/>
        <stp>BDH|5769431810824171655</stp>
        <tr r="U46" s="24"/>
      </tp>
      <tp t="e">
        <v>#N/A</v>
        <stp/>
        <stp>BDH|7325662913493086161</stp>
        <tr r="T134" s="18"/>
      </tp>
      <tp t="e">
        <v>#N/A</v>
        <stp/>
        <stp>BDH|9652428156069268306</stp>
        <tr r="H20" s="26"/>
      </tp>
      <tp t="e">
        <v>#N/A</v>
        <stp/>
        <stp>BDH|6713476774950507712</stp>
        <tr r="R56" s="17"/>
      </tp>
      <tp t="e">
        <v>#N/A</v>
        <stp/>
        <stp>BDH|5997140300655513382</stp>
        <tr r="K61" s="17"/>
      </tp>
      <tp t="e">
        <v>#N/A</v>
        <stp/>
        <stp>BDH|9481161474714668904</stp>
        <tr r="R43" s="11"/>
        <tr r="R51" s="10"/>
        <tr r="R15" s="7"/>
      </tp>
      <tp t="e">
        <v>#N/A</v>
        <stp/>
        <stp>BDH|9813687832709280705</stp>
        <tr r="D55" s="6"/>
      </tp>
      <tp t="e">
        <v>#N/A</v>
        <stp/>
        <stp>BDH|5351323850156501748</stp>
        <tr r="AA22" s="12"/>
      </tp>
      <tp t="e">
        <v>#N/A</v>
        <stp/>
        <stp>BDH|5072564434845283412</stp>
        <tr r="Q43" s="12"/>
      </tp>
      <tp t="e">
        <v>#N/A</v>
        <stp/>
        <stp>BDH|1814646426670895739</stp>
        <tr r="K33" s="21"/>
      </tp>
      <tp t="e">
        <v>#N/A</v>
        <stp/>
        <stp>BDH|8185503614969519712</stp>
        <tr r="F58" s="21"/>
        <tr r="F37" s="25"/>
        <tr r="D53" s="11"/>
        <tr r="D31" s="4"/>
      </tp>
      <tp t="e">
        <v>#N/A</v>
        <stp/>
        <stp>BDH|8993896564195791126</stp>
        <tr r="T58" s="17"/>
      </tp>
      <tp t="e">
        <v>#N/A</v>
        <stp/>
        <stp>BDH|5211213128734242381</stp>
        <tr r="H141" s="18"/>
      </tp>
      <tp t="e">
        <v>#N/A</v>
        <stp/>
        <stp>BDH|6967487671506243130</stp>
        <tr r="V9" s="26"/>
      </tp>
      <tp t="e">
        <v>#N/A</v>
        <stp/>
        <stp>BDH|4694234268515990752</stp>
        <tr r="M72" s="24"/>
      </tp>
      <tp t="e">
        <v>#N/A</v>
        <stp/>
        <stp>BDH|3966776995977826828</stp>
        <tr r="Q20" s="6"/>
      </tp>
      <tp t="e">
        <v>#N/A</v>
        <stp/>
        <stp>BDH|1359756707134906091</stp>
        <tr r="O28" s="17"/>
      </tp>
      <tp t="e">
        <v>#N/A</v>
        <stp/>
        <stp>BDH|6256152733134029257</stp>
        <tr r="V98" s="12"/>
      </tp>
      <tp t="e">
        <v>#N/A</v>
        <stp/>
        <stp>BDH|5812784493771532873</stp>
        <tr r="M154" s="18"/>
      </tp>
      <tp t="e">
        <v>#N/A</v>
        <stp/>
        <stp>BDH|6069543052944090077</stp>
        <tr r="T14" s="20"/>
        <tr r="T115" s="18"/>
      </tp>
      <tp t="e">
        <v>#N/A</v>
        <stp/>
        <stp>BDH|8226900483082770977</stp>
        <tr r="AA24" s="24"/>
      </tp>
      <tp t="e">
        <v>#N/A</v>
        <stp/>
        <stp>BDH|7704731162514032072</stp>
        <tr r="N12" s="30"/>
      </tp>
      <tp t="e">
        <v>#N/A</v>
        <stp/>
        <stp>BDH|9551854214157631536</stp>
        <tr r="O136" s="18"/>
      </tp>
      <tp t="e">
        <v>#N/A</v>
        <stp/>
        <stp>BDH|5726306480105709910</stp>
        <tr r="S95" s="12"/>
      </tp>
      <tp t="e">
        <v>#N/A</v>
        <stp/>
        <stp>BDH|1021450945855466658</stp>
        <tr r="M7" s="8"/>
      </tp>
      <tp t="e">
        <v>#N/A</v>
        <stp/>
        <stp>BDH|3615330521174723425</stp>
        <tr r="Y55" s="13"/>
        <tr r="W48" s="11"/>
        <tr r="W56" s="10"/>
        <tr r="W18" s="7"/>
      </tp>
      <tp t="e">
        <v>#N/A</v>
        <stp/>
        <stp>BDH|9654606494084709044</stp>
        <tr r="T137" s="18"/>
      </tp>
      <tp t="e">
        <v>#N/A</v>
        <stp/>
        <stp>BDH|5287303942404901488</stp>
        <tr r="F45" s="22"/>
      </tp>
      <tp t="e">
        <v>#N/A</v>
        <stp/>
        <stp>BDH|5452482896712821835</stp>
        <tr r="R20" s="10"/>
      </tp>
      <tp t="e">
        <v>#N/A</v>
        <stp/>
        <stp>BDH|7266595156121921456</stp>
        <tr r="F25" s="6"/>
      </tp>
      <tp t="e">
        <v>#N/A</v>
        <stp/>
        <stp>BDH|6132615832404672553</stp>
        <tr r="O90" s="17"/>
        <tr r="O34" s="25"/>
      </tp>
      <tp t="e">
        <v>#N/A</v>
        <stp/>
        <stp>BDH|7191136323607107110</stp>
        <tr r="X27" s="24"/>
      </tp>
      <tp t="e">
        <v>#N/A</v>
        <stp/>
        <stp>BDH|3291401418570860432</stp>
        <tr r="R72" s="18"/>
      </tp>
      <tp t="e">
        <v>#N/A</v>
        <stp/>
        <stp>BDH|2002113703612688354</stp>
        <tr r="Y18" s="20"/>
      </tp>
      <tp t="e">
        <v>#N/A</v>
        <stp/>
        <stp>BDH|5953599072551433472</stp>
        <tr r="N17" s="14"/>
      </tp>
      <tp t="e">
        <v>#N/A</v>
        <stp/>
        <stp>BDH|2321095225141791397</stp>
        <tr r="N15" s="11"/>
      </tp>
      <tp t="e">
        <v>#N/A</v>
        <stp/>
        <stp>BDH|1316351209444758499</stp>
        <tr r="K33" s="18"/>
      </tp>
      <tp t="e">
        <v>#N/A</v>
        <stp/>
        <stp>BDH|7905600078181386531</stp>
        <tr r="O25" s="7"/>
      </tp>
      <tp t="e">
        <v>#N/A</v>
        <stp/>
        <stp>BDH|3577917657015132838</stp>
        <tr r="K28" s="9"/>
        <tr r="K28" s="5"/>
      </tp>
      <tp t="e">
        <v>#N/A</v>
        <stp/>
        <stp>BDH|5193244354792146215</stp>
        <tr r="P59" s="18"/>
      </tp>
      <tp t="e">
        <v>#N/A</v>
        <stp/>
        <stp>BDH|8850364539449292346</stp>
        <tr r="J74" s="17"/>
      </tp>
      <tp t="e">
        <v>#N/A</v>
        <stp/>
        <stp>BDH|7602277201043988485</stp>
        <tr r="K175" s="18"/>
      </tp>
      <tp t="e">
        <v>#N/A</v>
        <stp/>
        <stp>BDH|2648011259762917769</stp>
        <tr r="O9" s="12"/>
      </tp>
      <tp t="e">
        <v>#N/A</v>
        <stp/>
        <stp>BDH|2570915744384255939</stp>
        <tr r="D127" s="18"/>
      </tp>
      <tp t="e">
        <v>#N/A</v>
        <stp/>
        <stp>BDH|5665013947333586042</stp>
        <tr r="D77" s="17"/>
        <tr r="D19" s="3"/>
      </tp>
      <tp t="e">
        <v>#N/A</v>
        <stp/>
        <stp>BDH|5916691874902244471</stp>
        <tr r="Q29" s="22"/>
      </tp>
      <tp t="e">
        <v>#N/A</v>
        <stp/>
        <stp>BDH|5390509689932211897</stp>
        <tr r="P28" s="18"/>
      </tp>
      <tp t="e">
        <v>#N/A</v>
        <stp/>
        <stp>BDH|3981684268448862901</stp>
        <tr r="Q34" s="12"/>
      </tp>
      <tp t="e">
        <v>#N/A</v>
        <stp/>
        <stp>BDH|1035969050856151968</stp>
        <tr r="C25" s="17"/>
      </tp>
      <tp t="e">
        <v>#N/A</v>
        <stp/>
        <stp>BDH|6564738027730602167</stp>
        <tr r="Q54" s="17"/>
      </tp>
      <tp t="e">
        <v>#N/A</v>
        <stp/>
        <stp>BDH|4457263204962387636</stp>
        <tr r="T66" s="21"/>
      </tp>
      <tp t="e">
        <v>#N/A</v>
        <stp/>
        <stp>BDH|3566156956421968493</stp>
        <tr r="C22" s="10"/>
      </tp>
      <tp t="e">
        <v>#N/A</v>
        <stp/>
        <stp>BDH|1985842794763886174</stp>
        <tr r="G45" s="13"/>
      </tp>
      <tp t="e">
        <v>#N/A</v>
        <stp/>
        <stp>BDH|1411540545521308305</stp>
        <tr r="N45" s="21"/>
      </tp>
      <tp t="e">
        <v>#N/A</v>
        <stp/>
        <stp>BDH|5569763519355977450</stp>
        <tr r="E16" s="23"/>
      </tp>
      <tp t="e">
        <v>#N/A</v>
        <stp/>
        <stp>BDH|3697637217067098146</stp>
        <tr r="T47" s="18"/>
      </tp>
      <tp t="e">
        <v>#N/A</v>
        <stp/>
        <stp>BDH|6967850589014103025</stp>
        <tr r="F36" s="12"/>
      </tp>
      <tp t="e">
        <v>#N/A</v>
        <stp/>
        <stp>BDH|9230982837169932820</stp>
        <tr r="Q21" s="6"/>
      </tp>
      <tp t="e">
        <v>#N/A</v>
        <stp/>
        <stp>BDH|3945309252893953443</stp>
        <tr r="I39" s="13"/>
        <tr r="G35" s="11"/>
        <tr r="G43" s="10"/>
        <tr r="G52" s="4"/>
        <tr r="I8" s="3"/>
      </tp>
      <tp t="e">
        <v>#N/A</v>
        <stp/>
        <stp>BDH|4990718858003450727</stp>
        <tr r="O62" s="24"/>
      </tp>
      <tp t="e">
        <v>#N/A</v>
        <stp/>
        <stp>BDH|5935286676284230637</stp>
        <tr r="I40" s="21"/>
      </tp>
      <tp t="e">
        <v>#N/A</v>
        <stp/>
        <stp>BDH|9542532623559765547</stp>
        <tr r="W38" s="18"/>
      </tp>
      <tp t="e">
        <v>#N/A</v>
        <stp/>
        <stp>BDH|6821449608176402668</stp>
        <tr r="N23" s="24"/>
      </tp>
      <tp t="e">
        <v>#N/A</v>
        <stp/>
        <stp>BDH|8503229899681189095</stp>
        <tr r="X77" s="17"/>
        <tr r="X19" s="3"/>
      </tp>
      <tp t="e">
        <v>#N/A</v>
        <stp/>
        <stp>BDH|2883483171043580026</stp>
        <tr r="S21" s="22"/>
      </tp>
      <tp t="e">
        <v>#N/A</v>
        <stp/>
        <stp>BDH|4578010392488662760</stp>
        <tr r="D49" s="24"/>
      </tp>
      <tp t="e">
        <v>#N/A</v>
        <stp/>
        <stp>BDH|5935967355699838245</stp>
        <tr r="P21" s="3"/>
      </tp>
      <tp t="e">
        <v>#N/A</v>
        <stp/>
        <stp>BDH|7766967641040643801</stp>
        <tr r="Y23" s="21"/>
      </tp>
      <tp t="e">
        <v>#N/A</v>
        <stp/>
        <stp>BDH|5719304222011543765</stp>
        <tr r="J49" s="24"/>
      </tp>
      <tp t="e">
        <v>#N/A</v>
        <stp/>
        <stp>BDH|9713852334730344037</stp>
        <tr r="V13" s="23"/>
        <tr r="T57" s="11"/>
        <tr r="T38" s="4"/>
      </tp>
      <tp t="e">
        <v>#N/A</v>
        <stp/>
        <stp>BDH|7539679951605490312</stp>
        <tr r="H7" s="11"/>
      </tp>
      <tp t="e">
        <v>#N/A</v>
        <stp/>
        <stp>BDH|9098156354737092876</stp>
        <tr r="D9" s="26"/>
      </tp>
      <tp t="e">
        <v>#N/A</v>
        <stp/>
        <stp>BDH|6482339270733863396</stp>
        <tr r="K13" s="10"/>
      </tp>
      <tp t="e">
        <v>#N/A</v>
        <stp/>
        <stp>BDH|3532803992979692976</stp>
        <tr r="W48" s="24"/>
      </tp>
      <tp t="e">
        <v>#N/A</v>
        <stp/>
        <stp>BDH|3474334943134507274</stp>
        <tr r="K28" s="12"/>
      </tp>
      <tp t="e">
        <v>#N/A</v>
        <stp/>
        <stp>BDH|5501759605979049932</stp>
        <tr r="N9" s="12"/>
      </tp>
      <tp t="e">
        <v>#N/A</v>
        <stp/>
        <stp>BDH|2597147536260247231</stp>
        <tr r="J81" s="12"/>
      </tp>
      <tp t="e">
        <v>#N/A</v>
        <stp/>
        <stp>BDH|6112527620151278279</stp>
        <tr r="D66" s="21"/>
      </tp>
      <tp t="e">
        <v>#N/A</v>
        <stp/>
        <stp>BDH|5105104330875125066</stp>
        <tr r="L66" s="34"/>
      </tp>
      <tp t="e">
        <v>#N/A</v>
        <stp/>
        <stp>BDH|2680836868679929722</stp>
        <tr r="I25" s="10"/>
      </tp>
      <tp t="e">
        <v>#N/A</v>
        <stp/>
        <stp>BDH|7079032224647525049</stp>
        <tr r="AA103" s="18"/>
      </tp>
      <tp t="e">
        <v>#N/A</v>
        <stp/>
        <stp>BDH|7511843966962838993</stp>
        <tr r="X25" s="21"/>
      </tp>
      <tp t="e">
        <v>#N/A</v>
        <stp/>
        <stp>BDH|3440357627880133013</stp>
        <tr r="J36" s="6"/>
      </tp>
      <tp t="e">
        <v>#N/A</v>
        <stp/>
        <stp>BDH|6784324752096977480</stp>
        <tr r="R27" s="24"/>
      </tp>
      <tp t="e">
        <v>#N/A</v>
        <stp/>
        <stp>BDH|6786312864662141353</stp>
        <tr r="L150" s="18"/>
      </tp>
      <tp t="e">
        <v>#N/A</v>
        <stp/>
        <stp>BDH|9110002151186080861</stp>
        <tr r="R68" s="24"/>
      </tp>
      <tp t="e">
        <v>#N/A</v>
        <stp/>
        <stp>BDH|2409897899989012824</stp>
        <tr r="E41" s="12"/>
      </tp>
      <tp t="e">
        <v>#N/A</v>
        <stp/>
        <stp>BDH|7129636677896467270</stp>
        <tr r="K94" s="12"/>
      </tp>
      <tp t="e">
        <v>#N/A</v>
        <stp/>
        <stp>BDH|1059355362903373524</stp>
        <tr r="G156" s="18"/>
      </tp>
      <tp t="e">
        <v>#N/A</v>
        <stp/>
        <stp>BDH|1054374340136682274</stp>
        <tr r="I50" s="4"/>
      </tp>
      <tp t="e">
        <v>#N/A</v>
        <stp/>
        <stp>BDH|7105342600745406379</stp>
        <tr r="R26" s="12"/>
      </tp>
      <tp t="e">
        <v>#N/A</v>
        <stp/>
        <stp>BDH|3463563747837644755</stp>
        <tr r="L38" s="18"/>
      </tp>
      <tp t="e">
        <v>#N/A</v>
        <stp/>
        <stp>BDH|9527998997419803252</stp>
        <tr r="V35" s="13"/>
        <tr r="T31" s="10"/>
      </tp>
      <tp t="e">
        <v>#N/A</v>
        <stp/>
        <stp>BDH|6638769667591913481</stp>
        <tr r="P6" s="28"/>
      </tp>
      <tp t="e">
        <v>#N/A</v>
        <stp/>
        <stp>BDH|9428468585861094614</stp>
        <tr r="D86" s="17"/>
      </tp>
      <tp t="e">
        <v>#N/A</v>
        <stp/>
        <stp>BDH|8600161384971114228</stp>
        <tr r="X133" s="18"/>
      </tp>
      <tp t="e">
        <v>#N/A</v>
        <stp/>
        <stp>BDH|3509355107367363531</stp>
        <tr r="AA28" s="12"/>
      </tp>
      <tp t="e">
        <v>#N/A</v>
        <stp/>
        <stp>BDH|1736359565882754476</stp>
        <tr r="Q8" s="17"/>
      </tp>
      <tp t="e">
        <v>#N/A</v>
        <stp/>
        <stp>BDH|5599534709766093482</stp>
        <tr r="Z92" s="17"/>
        <tr r="Z7" s="27"/>
      </tp>
      <tp t="e">
        <v>#N/A</v>
        <stp/>
        <stp>BDH|3705394971610830501</stp>
        <tr r="Z14" s="14"/>
      </tp>
      <tp t="e">
        <v>#N/A</v>
        <stp/>
        <stp>BDH|6328824244759551174</stp>
        <tr r="Z52" s="13"/>
        <tr r="X47" s="11"/>
        <tr r="X55" s="10"/>
        <tr r="X17" s="7"/>
        <tr r="Z10" s="3"/>
        <tr r="X17" s="4"/>
      </tp>
      <tp t="e">
        <v>#N/A</v>
        <stp/>
        <stp>BDH|4906295445471374115</stp>
        <tr r="E67" s="24"/>
      </tp>
      <tp t="e">
        <v>#N/A</v>
        <stp/>
        <stp>BDH|2992448796918837548</stp>
        <tr r="X9" s="12"/>
      </tp>
      <tp t="e">
        <v>#N/A</v>
        <stp/>
        <stp>BDH|2989701566376117798</stp>
        <tr r="U26" s="6"/>
      </tp>
      <tp t="e">
        <v>#N/A</v>
        <stp/>
        <stp>BDH|2312378517207293560</stp>
        <tr r="J16" s="20"/>
      </tp>
      <tp t="e">
        <v>#N/A</v>
        <stp/>
        <stp>BDH|7446896650700955832</stp>
        <tr r="F45" s="17"/>
      </tp>
      <tp t="e">
        <v>#N/A</v>
        <stp/>
        <stp>BDH|1935094803095673622</stp>
        <tr r="K9" s="21"/>
      </tp>
      <tp t="e">
        <v>#N/A</v>
        <stp/>
        <stp>BDH|6522675624157761762</stp>
        <tr r="G25" s="26"/>
      </tp>
      <tp t="e">
        <v>#N/A</v>
        <stp/>
        <stp>BDH|6456718520076588777</stp>
        <tr r="V13" s="11"/>
      </tp>
      <tp t="e">
        <v>#N/A</v>
        <stp/>
        <stp>BDH|3133686144016352595</stp>
        <tr r="S149" s="18"/>
      </tp>
      <tp t="e">
        <v>#N/A</v>
        <stp/>
        <stp>BDH|5117819516839123707</stp>
        <tr r="T35" s="24"/>
      </tp>
      <tp t="e">
        <v>#N/A</v>
        <stp/>
        <stp>BDH|9280855916284783612</stp>
        <tr r="R22" s="12"/>
      </tp>
      <tp t="e">
        <v>#N/A</v>
        <stp/>
        <stp>BDH|4026326787139221402</stp>
        <tr r="Y73" s="12"/>
      </tp>
      <tp t="e">
        <v>#N/A</v>
        <stp/>
        <stp>BDH|4459366485679514451</stp>
        <tr r="H11" s="11"/>
      </tp>
      <tp t="e">
        <v>#N/A</v>
        <stp/>
        <stp>BDH|3406843706791581849</stp>
        <tr r="W14" s="11"/>
      </tp>
      <tp t="e">
        <v>#N/A</v>
        <stp/>
        <stp>BDH|5415236653144111423</stp>
        <tr r="C100" s="12"/>
      </tp>
      <tp t="e">
        <v>#N/A</v>
        <stp/>
        <stp>BDH|2637966134613327906</stp>
        <tr r="K93" s="18"/>
      </tp>
      <tp t="e">
        <v>#N/A</v>
        <stp/>
        <stp>BDH|4937470525256407686</stp>
        <tr r="U43" s="21"/>
      </tp>
      <tp t="e">
        <v>#N/A</v>
        <stp/>
        <stp>BDH|2647130513709203934</stp>
        <tr r="D87" s="18"/>
      </tp>
      <tp t="e">
        <v>#N/A</v>
        <stp/>
        <stp>BDH|8073984819425660706</stp>
        <tr r="I60" s="13"/>
      </tp>
      <tp t="e">
        <v>#N/A</v>
        <stp/>
        <stp>BDH|1529638361990476342</stp>
        <tr r="S30" s="12"/>
      </tp>
      <tp t="e">
        <v>#N/A</v>
        <stp/>
        <stp>BDH|7254056278717942519</stp>
        <tr r="V62" s="17"/>
      </tp>
      <tp t="e">
        <v>#N/A</v>
        <stp/>
        <stp>BDH|7156445017935683538</stp>
        <tr r="H41" s="17"/>
      </tp>
      <tp t="e">
        <v>#N/A</v>
        <stp/>
        <stp>BDH|8045955749977935022</stp>
        <tr r="J15" s="22"/>
      </tp>
      <tp t="e">
        <v>#N/A</v>
        <stp/>
        <stp>BDH|3851868237522763897</stp>
        <tr r="O161" s="18"/>
      </tp>
      <tp t="e">
        <v>#N/A</v>
        <stp/>
        <stp>BDH|9346353035262352979</stp>
        <tr r="P33" s="29"/>
        <tr r="P22" s="29"/>
        <tr r="P13" s="29"/>
      </tp>
      <tp t="e">
        <v>#N/A</v>
        <stp/>
        <stp>BDH|6868479973550949727</stp>
        <tr r="X12" s="18"/>
      </tp>
      <tp t="e">
        <v>#N/A</v>
        <stp/>
        <stp>BDH|8464788463098964311</stp>
        <tr r="C9" s="22"/>
      </tp>
      <tp t="e">
        <v>#N/A</v>
        <stp/>
        <stp>BDH|1247648503907690244</stp>
        <tr r="G26" s="12"/>
      </tp>
      <tp t="e">
        <v>#N/A</v>
        <stp/>
        <stp>BDH|7194606853576138041</stp>
        <tr r="AA13" s="13"/>
      </tp>
      <tp t="e">
        <v>#N/A</v>
        <stp/>
        <stp>BDH|5285593259390626732</stp>
        <tr r="M23" s="23"/>
      </tp>
      <tp t="e">
        <v>#N/A</v>
        <stp/>
        <stp>BDH|7590145656645306431</stp>
        <tr r="L46" s="13"/>
      </tp>
      <tp t="e">
        <v>#N/A</v>
        <stp/>
        <stp>BDH|1331601748559492885</stp>
        <tr r="G13" s="27"/>
        <tr r="G27" s="25"/>
      </tp>
      <tp t="e">
        <v>#N/A</v>
        <stp/>
        <stp>BDH|3607880036088699293</stp>
        <tr r="H10" s="28"/>
      </tp>
      <tp t="e">
        <v>#N/A</v>
        <stp/>
        <stp>BDH|2995023138161612220</stp>
        <tr r="V42" s="24"/>
      </tp>
      <tp t="e">
        <v>#N/A</v>
        <stp/>
        <stp>BDH|5527426607884235755</stp>
        <tr r="Y21" s="2"/>
      </tp>
      <tp t="e">
        <v>#N/A</v>
        <stp/>
        <stp>BDH|2167752256216680433</stp>
        <tr r="F103" s="18"/>
      </tp>
      <tp t="e">
        <v>#N/A</v>
        <stp/>
        <stp>BDH|7069155202686087200</stp>
        <tr r="Y15" s="23"/>
        <tr r="W58" s="11"/>
      </tp>
      <tp t="e">
        <v>#N/A</v>
        <stp/>
        <stp>BDH|1992751368586489479</stp>
        <tr r="Q21" s="22"/>
      </tp>
      <tp t="e">
        <v>#N/A</v>
        <stp/>
        <stp>BDH|4022535027856515762</stp>
        <tr r="W87" s="18"/>
      </tp>
      <tp t="e">
        <v>#N/A</v>
        <stp/>
        <stp>BDH|2216467530084626358</stp>
        <tr r="R93" s="18"/>
      </tp>
      <tp t="e">
        <v>#N/A</v>
        <stp/>
        <stp>BDH|2716028740486270206</stp>
        <tr r="G85" s="17"/>
      </tp>
      <tp t="e">
        <v>#N/A</v>
        <stp/>
        <stp>BDH|6490406910078199929</stp>
        <tr r="E33" s="18"/>
      </tp>
      <tp t="e">
        <v>#N/A</v>
        <stp/>
        <stp>BDH|7337352723156167239</stp>
        <tr r="C11" s="20"/>
        <tr r="C112" s="18"/>
      </tp>
      <tp t="e">
        <v>#N/A</v>
        <stp/>
        <stp>BDH|1640845511792086841</stp>
        <tr r="G34" s="6"/>
      </tp>
      <tp t="e">
        <v>#N/A</v>
        <stp/>
        <stp>BDH|2028771159762985003</stp>
        <tr r="W63" s="12"/>
      </tp>
      <tp t="e">
        <v>#N/A</v>
        <stp/>
        <stp>BDH|2509799456595569784</stp>
        <tr r="M14" s="27"/>
        <tr r="M28" s="25"/>
      </tp>
      <tp t="e">
        <v>#N/A</v>
        <stp/>
        <stp>BDH|2097352046667168055</stp>
        <tr r="G38" s="22"/>
      </tp>
      <tp t="e">
        <v>#N/A</v>
        <stp/>
        <stp>BDH|4385502833379220955</stp>
        <tr r="R30" s="5"/>
      </tp>
      <tp t="e">
        <v>#N/A</v>
        <stp/>
        <stp>BDH|6218948832548584655</stp>
        <tr r="L12" s="18"/>
      </tp>
      <tp t="e">
        <v>#N/A</v>
        <stp/>
        <stp>BDH|7140739458941750690</stp>
        <tr r="G152" s="18"/>
      </tp>
      <tp t="e">
        <v>#N/A</v>
        <stp/>
        <stp>BDH|4977946832299948526</stp>
        <tr r="P8" s="6"/>
      </tp>
      <tp t="e">
        <v>#N/A</v>
        <stp/>
        <stp>BDH|9276625909589518487</stp>
        <tr r="L158" s="18"/>
      </tp>
      <tp t="e">
        <v>#N/A</v>
        <stp/>
        <stp>BDH|7150537064302224403</stp>
        <tr r="U74" s="18"/>
      </tp>
      <tp t="e">
        <v>#N/A</v>
        <stp/>
        <stp>BDH|5296245242173651268</stp>
        <tr r="AA8" s="27"/>
      </tp>
      <tp t="e">
        <v>#N/A</v>
        <stp/>
        <stp>BDH|7911796242721499729</stp>
        <tr r="N9" s="21"/>
      </tp>
      <tp t="e">
        <v>#N/A</v>
        <stp/>
        <stp>BDH|5446786220650108294</stp>
        <tr r="W71" s="24"/>
      </tp>
      <tp t="e">
        <v>#N/A</v>
        <stp/>
        <stp>BDH|1130313834574025707</stp>
        <tr r="Y153" s="18"/>
      </tp>
      <tp t="e">
        <v>#N/A</v>
        <stp/>
        <stp>BDH|4600182722660827505</stp>
        <tr r="J16" s="17"/>
        <tr r="J19" s="28"/>
      </tp>
      <tp t="e">
        <v>#N/A</v>
        <stp/>
        <stp>BDH|6413664750071755613</stp>
        <tr r="AA20" s="12"/>
      </tp>
      <tp t="e">
        <v>#N/A</v>
        <stp/>
        <stp>BDH|7778690180382860921</stp>
        <tr r="U8" s="24"/>
      </tp>
      <tp t="e">
        <v>#N/A</v>
        <stp/>
        <stp>BDH|7788814926966016946</stp>
        <tr r="S18" s="27"/>
        <tr r="S32" s="25"/>
      </tp>
      <tp t="e">
        <v>#N/A</v>
        <stp/>
        <stp>BDH|9402510734368380569</stp>
        <tr r="E69" s="34"/>
      </tp>
      <tp t="e">
        <v>#N/A</v>
        <stp/>
        <stp>BDH|7099626360167794215</stp>
        <tr r="Y28" s="4"/>
      </tp>
      <tp t="e">
        <v>#N/A</v>
        <stp/>
        <stp>BDH|3931097391891509909</stp>
        <tr r="G12" s="21"/>
      </tp>
      <tp t="e">
        <v>#N/A</v>
        <stp/>
        <stp>BDH|2728400367031540313</stp>
        <tr r="C40" s="22"/>
      </tp>
      <tp t="e">
        <v>#N/A</v>
        <stp/>
        <stp>BDH|4525559875403087712</stp>
        <tr r="C140" s="18"/>
      </tp>
      <tp t="e">
        <v>#N/A</v>
        <stp/>
        <stp>BDH|7304113744055002527</stp>
        <tr r="F64" s="12"/>
      </tp>
      <tp t="e">
        <v>#N/A</v>
        <stp/>
        <stp>BDH|9120809465496430348</stp>
        <tr r="U28" s="4"/>
      </tp>
      <tp t="e">
        <v>#N/A</v>
        <stp/>
        <stp>BDH|7542552893431047872</stp>
        <tr r="G22" s="10"/>
      </tp>
      <tp t="e">
        <v>#N/A</v>
        <stp/>
        <stp>BDH|4818667905873703388</stp>
        <tr r="S11" s="6"/>
      </tp>
      <tp t="e">
        <v>#N/A</v>
        <stp/>
        <stp>BDH|6102582366655341286</stp>
        <tr r="R80" s="12"/>
      </tp>
      <tp t="e">
        <v>#N/A</v>
        <stp/>
        <stp>BDH|1975500104281965705</stp>
        <tr r="J85" s="17"/>
      </tp>
      <tp t="e">
        <v>#N/A</v>
        <stp/>
        <stp>BDH|5783817747148256372</stp>
        <tr r="L146" s="18"/>
      </tp>
      <tp t="e">
        <v>#N/A</v>
        <stp/>
        <stp>BDH|8955798087795061035</stp>
        <tr r="L66" s="18"/>
      </tp>
      <tp t="e">
        <v>#N/A</v>
        <stp/>
        <stp>BDH|8083118071489385575</stp>
        <tr r="J32" s="21"/>
      </tp>
      <tp t="e">
        <v>#N/A</v>
        <stp/>
        <stp>BDH|4990209864997958505</stp>
        <tr r="N22" s="7"/>
      </tp>
      <tp t="e">
        <v>#N/A</v>
        <stp/>
        <stp>BDH|7052754431172508359</stp>
        <tr r="V15" s="6"/>
      </tp>
      <tp t="e">
        <v>#N/A</v>
        <stp/>
        <stp>BDH|7964308072700929163</stp>
        <tr r="N68" s="34"/>
      </tp>
      <tp t="e">
        <v>#N/A</v>
        <stp/>
        <stp>BDH|1603915205438487222</stp>
        <tr r="Q43" s="17"/>
        <tr r="Q9" s="25"/>
      </tp>
      <tp t="e">
        <v>#N/A</v>
        <stp/>
        <stp>BDH|9100490625284198980</stp>
        <tr r="O20" s="22"/>
      </tp>
      <tp t="e">
        <v>#N/A</v>
        <stp/>
        <stp>BDH|1350111245037688157</stp>
        <tr r="V107" s="18"/>
      </tp>
      <tp t="e">
        <v>#N/A</v>
        <stp/>
        <stp>BDH|4096639671740490724</stp>
        <tr r="K126" s="18"/>
      </tp>
      <tp t="e">
        <v>#N/A</v>
        <stp/>
        <stp>BDH|2558075606478697867</stp>
        <tr r="S43" s="6"/>
        <tr r="S19" s="5"/>
      </tp>
      <tp t="e">
        <v>#N/A</v>
        <stp/>
        <stp>BDH|1916381155405278029</stp>
        <tr r="S13" s="2"/>
      </tp>
      <tp t="e">
        <v>#N/A</v>
        <stp/>
        <stp>BDH|5588614224066501511</stp>
        <tr r="S90" s="18"/>
      </tp>
      <tp t="e">
        <v>#N/A</v>
        <stp/>
        <stp>BDH|9505842967831314416</stp>
        <tr r="S42" s="22"/>
      </tp>
      <tp t="e">
        <v>#N/A</v>
        <stp/>
        <stp>BDH|1744861482155011679</stp>
        <tr r="I13" s="11"/>
      </tp>
      <tp t="e">
        <v>#N/A</v>
        <stp/>
        <stp>BDH|3660779541120007242</stp>
        <tr r="C20" s="23"/>
      </tp>
      <tp t="e">
        <v>#N/A</v>
        <stp/>
        <stp>BDH|5124259306000137574</stp>
        <tr r="Y36" s="29"/>
        <tr r="Y16" s="29"/>
      </tp>
      <tp t="e">
        <v>#N/A</v>
        <stp/>
        <stp>BDH|4736361177863678141</stp>
        <tr r="W23" s="18"/>
      </tp>
      <tp t="e">
        <v>#N/A</v>
        <stp/>
        <stp>BDH|8703891856473499483</stp>
        <tr r="G51" s="17"/>
      </tp>
      <tp t="e">
        <v>#N/A</v>
        <stp/>
        <stp>BDH|5409681590719083181</stp>
        <tr r="C23" s="5"/>
      </tp>
      <tp t="e">
        <v>#N/A</v>
        <stp/>
        <stp>BDH|3084053095029750130</stp>
        <tr r="O10" s="23"/>
      </tp>
      <tp t="e">
        <v>#N/A</v>
        <stp/>
        <stp>BDH|9181825424068323901</stp>
        <tr r="J33" s="22"/>
      </tp>
      <tp t="e">
        <v>#N/A</v>
        <stp/>
        <stp>BDH|6096843341801350936</stp>
        <tr r="H10" s="22"/>
      </tp>
      <tp t="e">
        <v>#N/A</v>
        <stp/>
        <stp>BDH|1344080230643853366</stp>
        <tr r="N32" s="11"/>
        <tr r="N40" s="10"/>
      </tp>
      <tp t="e">
        <v>#N/A</v>
        <stp/>
        <stp>BDH|3210030772060779617</stp>
        <tr r="V21" s="3"/>
      </tp>
      <tp t="e">
        <v>#N/A</v>
        <stp/>
        <stp>BDH|7234326236590411571</stp>
        <tr r="Q29" s="21"/>
      </tp>
      <tp t="e">
        <v>#N/A</v>
        <stp/>
        <stp>BDH|2246616351550128365</stp>
        <tr r="Q18" s="24"/>
      </tp>
      <tp t="e">
        <v>#N/A</v>
        <stp/>
        <stp>BDH|9879825233366906651</stp>
        <tr r="P77" s="17"/>
        <tr r="P19" s="3"/>
      </tp>
      <tp t="e">
        <v>#N/A</v>
        <stp/>
        <stp>BDH|6248563324682272175</stp>
        <tr r="H25" s="18"/>
      </tp>
      <tp t="e">
        <v>#N/A</v>
        <stp/>
        <stp>BDH|3489976403961414915</stp>
        <tr r="O119" s="18"/>
      </tp>
      <tp t="e">
        <v>#N/A</v>
        <stp/>
        <stp>BDH|9192484768920603926</stp>
        <tr r="O64" s="34"/>
      </tp>
      <tp t="e">
        <v>#N/A</v>
        <stp/>
        <stp>BDH|5181792490359428099</stp>
        <tr r="V11" s="17"/>
      </tp>
      <tp t="e">
        <v>#N/A</v>
        <stp/>
        <stp>BDH|8580043682442659008</stp>
        <tr r="T74" s="17"/>
      </tp>
      <tp t="e">
        <v>#N/A</v>
        <stp/>
        <stp>BDH|6388952450139191127</stp>
        <tr r="M32" s="22"/>
      </tp>
      <tp t="e">
        <v>#N/A</v>
        <stp/>
        <stp>BDH|2543345423559071877</stp>
        <tr r="S14" s="23"/>
      </tp>
      <tp t="e">
        <v>#N/A</v>
        <stp/>
        <stp>BDH|2137389923623994261</stp>
        <tr r="P17" s="11"/>
      </tp>
      <tp t="e">
        <v>#N/A</v>
        <stp/>
        <stp>BDH|8125171964414429932</stp>
        <tr r="K8" s="17"/>
      </tp>
      <tp t="e">
        <v>#N/A</v>
        <stp/>
        <stp>BDH|8028895621575964543</stp>
        <tr r="Q78" s="18"/>
      </tp>
      <tp t="e">
        <v>#N/A</v>
        <stp/>
        <stp>BDH|1352874577358306454</stp>
        <tr r="C67" s="18"/>
      </tp>
      <tp t="e">
        <v>#N/A</v>
        <stp/>
        <stp>BDH|5802691958500531491</stp>
        <tr r="W32" s="24"/>
      </tp>
      <tp t="e">
        <v>#N/A</v>
        <stp/>
        <stp>BDH|7867345957941704293</stp>
        <tr r="K9" s="6"/>
      </tp>
      <tp t="e">
        <v>#N/A</v>
        <stp/>
        <stp>BDH|1049653569244186785</stp>
        <tr r="D78" s="12"/>
      </tp>
      <tp t="e">
        <v>#N/A</v>
        <stp/>
        <stp>BDH|1789414802642824593</stp>
        <tr r="F13" s="2"/>
      </tp>
      <tp t="e">
        <v>#N/A</v>
        <stp/>
        <stp>BDH|6383619451004439329</stp>
        <tr r="J13" s="5"/>
      </tp>
      <tp t="e">
        <v>#N/A</v>
        <stp/>
        <stp>BDH|4496160621134128171</stp>
        <tr r="R9" s="11"/>
      </tp>
      <tp t="e">
        <v>#N/A</v>
        <stp/>
        <stp>BDH|1136500523975347144</stp>
        <tr r="X41" s="21"/>
      </tp>
      <tp t="e">
        <v>#N/A</v>
        <stp/>
        <stp>BDH|9085424993276316075</stp>
        <tr r="J31" s="22"/>
      </tp>
      <tp t="e">
        <v>#N/A</v>
        <stp/>
        <stp>BDH|4562827872631990894</stp>
        <tr r="E20" s="30"/>
      </tp>
      <tp t="e">
        <v>#N/A</v>
        <stp/>
        <stp>BDH|5816031095888958620</stp>
        <tr r="D15" s="5"/>
      </tp>
      <tp t="e">
        <v>#N/A</v>
        <stp/>
        <stp>BDH|6928356772182387280</stp>
        <tr r="T66" s="12"/>
      </tp>
      <tp t="e">
        <v>#N/A</v>
        <stp/>
        <stp>BDH|3253692373464997447</stp>
        <tr r="AA17" s="20"/>
      </tp>
      <tp t="e">
        <v>#N/A</v>
        <stp/>
        <stp>BDH|2495008177491008669</stp>
        <tr r="F7" s="30"/>
      </tp>
      <tp t="e">
        <v>#N/A</v>
        <stp/>
        <stp>BDH|2282006882000463814</stp>
        <tr r="M57" s="24"/>
      </tp>
      <tp t="e">
        <v>#N/A</v>
        <stp/>
        <stp>BDH|6716646520856069666</stp>
        <tr r="K67" s="18"/>
      </tp>
      <tp t="e">
        <v>#N/A</v>
        <stp/>
        <stp>BDH|4477129102280035710</stp>
        <tr r="K29" s="22"/>
      </tp>
      <tp t="e">
        <v>#N/A</v>
        <stp/>
        <stp>BDH|7837080030045797324</stp>
        <tr r="J8" s="25"/>
        <tr r="H9" s="2"/>
        <tr r="G10" s="5"/>
      </tp>
      <tp t="e">
        <v>#N/A</v>
        <stp/>
        <stp>BDH|2266059087101070957</stp>
        <tr r="N25" s="10"/>
      </tp>
      <tp t="e">
        <v>#N/A</v>
        <stp/>
        <stp>BDH|2530558616942543668</stp>
        <tr r="P20" s="34"/>
      </tp>
      <tp t="e">
        <v>#N/A</v>
        <stp/>
        <stp>BDH|4507947477240725849</stp>
        <tr r="L8" s="22"/>
      </tp>
      <tp t="e">
        <v>#N/A</v>
        <stp/>
        <stp>BDH|4690429977263352659</stp>
        <tr r="R40" s="18"/>
      </tp>
      <tp t="e">
        <v>#N/A</v>
        <stp/>
        <stp>BDH|81059858862846839</stp>
        <tr r="T12" s="11"/>
      </tp>
      <tp t="e">
        <v>#N/A</v>
        <stp/>
        <stp>BDH|34696414759124183</stp>
        <tr r="D36" s="13"/>
      </tp>
      <tp t="e">
        <v>#N/A</v>
        <stp/>
        <stp>BDH|91932042096575491</stp>
        <tr r="V52" s="12"/>
      </tp>
      <tp t="e">
        <v>#N/A</v>
        <stp/>
        <stp>BDH|79851958157551530</stp>
        <tr r="H83" s="18"/>
      </tp>
      <tp t="e">
        <v>#N/A</v>
        <stp/>
        <stp>BDH|59409503069821222</stp>
        <tr r="Q18" s="12"/>
      </tp>
      <tp t="e">
        <v>#N/A</v>
        <stp/>
        <stp>BDH|4521314981989775589</stp>
        <tr r="R39" s="11"/>
        <tr r="R35" s="10"/>
        <tr r="R47" s="10"/>
        <tr r="R27" s="11"/>
      </tp>
      <tp t="e">
        <v>#N/A</v>
        <stp/>
        <stp>BDH|1118577161194536585</stp>
        <tr r="C46" s="6"/>
      </tp>
      <tp t="e">
        <v>#N/A</v>
        <stp/>
        <stp>BDH|9378441887220862623</stp>
        <tr r="J14" s="28"/>
      </tp>
      <tp t="e">
        <v>#N/A</v>
        <stp/>
        <stp>BDH|1829894432028162181</stp>
        <tr r="S58" s="12"/>
      </tp>
      <tp t="e">
        <v>#N/A</v>
        <stp/>
        <stp>BDH|8162076641429808655</stp>
        <tr r="P21" s="2"/>
      </tp>
      <tp t="e">
        <v>#N/A</v>
        <stp/>
        <stp>BDH|6501002168493644012</stp>
        <tr r="P91" s="12"/>
      </tp>
      <tp t="e">
        <v>#N/A</v>
        <stp/>
        <stp>BDH|6249584290640709975</stp>
        <tr r="Z22" s="17"/>
      </tp>
      <tp t="e">
        <v>#N/A</v>
        <stp/>
        <stp>BDH|1866474234561160402</stp>
        <tr r="C129" s="18"/>
      </tp>
      <tp t="e">
        <v>#N/A</v>
        <stp/>
        <stp>BDH|1663387955256097219</stp>
        <tr r="Q24" s="12"/>
      </tp>
      <tp t="e">
        <v>#N/A</v>
        <stp/>
        <stp>BDH|4165326010094156187</stp>
        <tr r="L19" s="26"/>
      </tp>
      <tp t="e">
        <v>#N/A</v>
        <stp/>
        <stp>BDH|4842736957727154275</stp>
        <tr r="J23" s="11"/>
      </tp>
      <tp t="e">
        <v>#N/A</v>
        <stp/>
        <stp>BDH|9978416789202367480</stp>
        <tr r="O13" s="20"/>
        <tr r="O114" s="18"/>
      </tp>
      <tp t="e">
        <v>#N/A</v>
        <stp/>
        <stp>BDH|4552626463726638183</stp>
        <tr r="W12" s="14"/>
      </tp>
      <tp t="e">
        <v>#N/A</v>
        <stp/>
        <stp>BDH|8069594581045414367</stp>
        <tr r="L9" s="13"/>
      </tp>
      <tp t="e">
        <v>#N/A</v>
        <stp/>
        <stp>BDH|9759992083868332348</stp>
        <tr r="F11" s="24"/>
      </tp>
      <tp t="e">
        <v>#N/A</v>
        <stp/>
        <stp>BDH|4407097059835904778</stp>
        <tr r="P58" s="13"/>
      </tp>
      <tp t="e">
        <v>#N/A</v>
        <stp/>
        <stp>BDH|9347490569659136186</stp>
        <tr r="E41" s="22"/>
      </tp>
      <tp t="e">
        <v>#N/A</v>
        <stp/>
        <stp>BDH|1285683044530393071</stp>
        <tr r="O10" s="13"/>
      </tp>
      <tp t="e">
        <v>#N/A</v>
        <stp/>
        <stp>BDH|3157522448834795560</stp>
        <tr r="T9" s="34"/>
      </tp>
      <tp t="e">
        <v>#N/A</v>
        <stp/>
        <stp>BDH|4008190602364978282</stp>
        <tr r="H36" s="34"/>
      </tp>
      <tp t="e">
        <v>#N/A</v>
        <stp/>
        <stp>BDH|5715033578098370953</stp>
        <tr r="X22" s="11"/>
      </tp>
      <tp t="e">
        <v>#N/A</v>
        <stp/>
        <stp>BDH|4861051962940018156</stp>
        <tr r="Q89" s="12"/>
      </tp>
      <tp t="e">
        <v>#N/A</v>
        <stp/>
        <stp>BDH|6815167540902709236</stp>
        <tr r="Y79" s="12"/>
      </tp>
      <tp t="e">
        <v>#N/A</v>
        <stp/>
        <stp>BDH|7321093470083209029</stp>
        <tr r="K171" s="18"/>
      </tp>
      <tp t="e">
        <v>#N/A</v>
        <stp/>
        <stp>BDH|5821610335391799210</stp>
        <tr r="R25" s="17"/>
      </tp>
      <tp t="e">
        <v>#N/A</v>
        <stp/>
        <stp>BDH|6925659204671502275</stp>
        <tr r="J26" s="24"/>
      </tp>
      <tp t="e">
        <v>#N/A</v>
        <stp/>
        <stp>BDH|4385694945600321560</stp>
        <tr r="H66" s="12"/>
      </tp>
      <tp t="e">
        <v>#N/A</v>
        <stp/>
        <stp>BDH|9369272175159281696</stp>
        <tr r="U34" s="17"/>
      </tp>
      <tp t="e">
        <v>#N/A</v>
        <stp/>
        <stp>BDH|4205789715448257975</stp>
        <tr r="G21" s="6"/>
      </tp>
      <tp t="e">
        <v>#N/A</v>
        <stp/>
        <stp>BDH|3417457778885369604</stp>
        <tr r="I144" s="18"/>
      </tp>
      <tp t="e">
        <v>#N/A</v>
        <stp/>
        <stp>BDH|9560614214254258989</stp>
        <tr r="R25" s="13"/>
      </tp>
      <tp t="e">
        <v>#N/A</v>
        <stp/>
        <stp>BDH|4097596252831793661</stp>
        <tr r="Q19" s="23"/>
        <tr r="O59" s="11"/>
      </tp>
      <tp t="e">
        <v>#N/A</v>
        <stp/>
        <stp>BDH|4616592225631738179</stp>
        <tr r="X35" s="24"/>
      </tp>
      <tp t="e">
        <v>#N/A</v>
        <stp/>
        <stp>BDH|9840724246630699900</stp>
        <tr r="N83" s="12"/>
      </tp>
      <tp t="e">
        <v>#N/A</v>
        <stp/>
        <stp>BDH|4709641791718016088</stp>
        <tr r="H61" s="21"/>
        <tr r="F25" s="2"/>
      </tp>
      <tp t="e">
        <v>#N/A</v>
        <stp/>
        <stp>BDH|6021142043748813858</stp>
        <tr r="U17" s="13"/>
      </tp>
      <tp t="e">
        <v>#N/A</v>
        <stp/>
        <stp>BDH|6883408345967634214</stp>
        <tr r="F68" s="34"/>
      </tp>
      <tp t="e">
        <v>#N/A</v>
        <stp/>
        <stp>BDH|4270699668304950319</stp>
        <tr r="W51" s="17"/>
      </tp>
      <tp t="e">
        <v>#N/A</v>
        <stp/>
        <stp>BDH|6228478940754792195</stp>
        <tr r="R11" s="20"/>
        <tr r="R112" s="18"/>
      </tp>
      <tp t="e">
        <v>#N/A</v>
        <stp/>
        <stp>BDH|2541953099257476663</stp>
        <tr r="F62" s="21"/>
      </tp>
      <tp t="e">
        <v>#N/A</v>
        <stp/>
        <stp>BDH|3896162959147932358</stp>
        <tr r="G24" s="20"/>
      </tp>
      <tp t="e">
        <v>#N/A</v>
        <stp/>
        <stp>BDH|4210607699048839084</stp>
        <tr r="L26" s="6"/>
      </tp>
      <tp t="e">
        <v>#N/A</v>
        <stp/>
        <stp>BDH|3652595378024435683</stp>
        <tr r="S19" s="25"/>
      </tp>
      <tp t="e">
        <v>#N/A</v>
        <stp/>
        <stp>BDH|8946858972591390560</stp>
        <tr r="E13" s="25"/>
      </tp>
      <tp t="e">
        <v>#N/A</v>
        <stp/>
        <stp>BDH|8508366328833164918</stp>
        <tr r="R25" s="6"/>
      </tp>
      <tp t="e">
        <v>#N/A</v>
        <stp/>
        <stp>BDH|1863737295198196449</stp>
        <tr r="K36" s="13"/>
        <tr r="I24" s="10"/>
        <tr r="I46" s="4"/>
      </tp>
      <tp t="e">
        <v>#N/A</v>
        <stp/>
        <stp>BDH|1549213452782528781</stp>
        <tr r="W16" s="13"/>
        <tr r="W26" s="13"/>
        <tr r="U18" s="10"/>
      </tp>
      <tp t="e">
        <v>#N/A</v>
        <stp/>
        <stp>BDH|3481215354224395393</stp>
        <tr r="E40" s="6"/>
      </tp>
      <tp t="e">
        <v>#N/A</v>
        <stp/>
        <stp>BDH|4755526225181258192</stp>
        <tr r="R14" s="4"/>
      </tp>
      <tp t="e">
        <v>#N/A</v>
        <stp/>
        <stp>BDH|6370771301153737191</stp>
        <tr r="M19" s="6"/>
      </tp>
      <tp t="e">
        <v>#N/A</v>
        <stp/>
        <stp>BDH|7473375478916069608</stp>
        <tr r="E25" s="3"/>
      </tp>
      <tp t="e">
        <v>#N/A</v>
        <stp/>
        <stp>BDH|4857264476784221611</stp>
        <tr r="Y7" s="23"/>
      </tp>
      <tp t="e">
        <v>#N/A</v>
        <stp/>
        <stp>BDH|6048570677596829137</stp>
        <tr r="R80" s="18"/>
      </tp>
      <tp t="e">
        <v>#N/A</v>
        <stp/>
        <stp>BDH|4931299159797310718</stp>
        <tr r="V35" s="24"/>
      </tp>
      <tp t="e">
        <v>#N/A</v>
        <stp/>
        <stp>BDH|9331910078010606474</stp>
        <tr r="E20" s="6"/>
      </tp>
      <tp t="e">
        <v>#N/A</v>
        <stp/>
        <stp>BDH|1962525753105524767</stp>
        <tr r="D8" s="24"/>
      </tp>
      <tp t="e">
        <v>#N/A</v>
        <stp/>
        <stp>BDH|8091938155876507180</stp>
        <tr r="D62" s="11"/>
        <tr r="D70" s="10"/>
      </tp>
      <tp t="e">
        <v>#N/A</v>
        <stp/>
        <stp>BDH|8810512166980355876</stp>
        <tr r="Q54" s="34"/>
      </tp>
      <tp t="e">
        <v>#N/A</v>
        <stp/>
        <stp>BDH|4746586716812458166</stp>
        <tr r="O26" s="24"/>
      </tp>
      <tp t="e">
        <v>#N/A</v>
        <stp/>
        <stp>BDH|2140663597817830934</stp>
        <tr r="J129" s="18"/>
      </tp>
      <tp t="e">
        <v>#N/A</v>
        <stp/>
        <stp>BDH|7861270975341397024</stp>
        <tr r="U37" s="21"/>
        <tr r="U24" s="3"/>
      </tp>
      <tp t="e">
        <v>#N/A</v>
        <stp/>
        <stp>BDH|8090269274046036898</stp>
        <tr r="M44" s="21"/>
      </tp>
      <tp t="e">
        <v>#N/A</v>
        <stp/>
        <stp>BDH|7775106039432574409</stp>
        <tr r="H107" s="12"/>
      </tp>
      <tp t="e">
        <v>#N/A</v>
        <stp/>
        <stp>BDH|6940244420846463325</stp>
        <tr r="Y59" s="13"/>
      </tp>
      <tp t="e">
        <v>#N/A</v>
        <stp/>
        <stp>BDH|7925625400834269622</stp>
        <tr r="M127" s="18"/>
      </tp>
      <tp t="e">
        <v>#N/A</v>
        <stp/>
        <stp>BDH|9321302199775490554</stp>
        <tr r="C98" s="12"/>
      </tp>
      <tp t="e">
        <v>#N/A</v>
        <stp/>
        <stp>BDH|4572169344400859245</stp>
        <tr r="X8" s="26"/>
        <tr r="U10" s="9"/>
      </tp>
      <tp t="e">
        <v>#N/A</v>
        <stp/>
        <stp>BDH|1945727053459389905</stp>
        <tr r="Z159" s="18"/>
      </tp>
      <tp t="e">
        <v>#N/A</v>
        <stp/>
        <stp>BDH|8219890828198921918</stp>
        <tr r="M48" s="21"/>
      </tp>
      <tp t="e">
        <v>#N/A</v>
        <stp/>
        <stp>BDH|2444877560319194694</stp>
        <tr r="E8" s="20"/>
        <tr r="E110" s="18"/>
      </tp>
      <tp t="e">
        <v>#N/A</v>
        <stp/>
        <stp>BDH|3797427929397150164</stp>
        <tr r="J14" s="13"/>
      </tp>
      <tp t="e">
        <v>#N/A</v>
        <stp/>
        <stp>BDH|1898627530531617676</stp>
        <tr r="I22" s="29"/>
        <tr r="I13" s="29"/>
        <tr r="I33" s="29"/>
      </tp>
      <tp t="e">
        <v>#N/A</v>
        <stp/>
        <stp>BDH|9189481263398312024</stp>
        <tr r="E108" s="12"/>
      </tp>
      <tp t="e">
        <v>#N/A</v>
        <stp/>
        <stp>BDH|3973374771194056048</stp>
        <tr r="H39" s="13"/>
        <tr r="F43" s="10"/>
        <tr r="F35" s="11"/>
        <tr r="H8" s="3"/>
        <tr r="F52" s="4"/>
      </tp>
      <tp t="e">
        <v>#N/A</v>
        <stp/>
        <stp>BDH|3432601270483698291</stp>
        <tr r="C16" s="25"/>
      </tp>
      <tp t="e">
        <v>#N/A</v>
        <stp/>
        <stp>BDH|2707269159320418675</stp>
        <tr r="W43" s="22"/>
      </tp>
      <tp t="e">
        <v>#N/A</v>
        <stp/>
        <stp>BDH|6957025584459511424</stp>
        <tr r="S33" s="22"/>
      </tp>
      <tp t="e">
        <v>#N/A</v>
        <stp/>
        <stp>BDH|4588562990659956228</stp>
        <tr r="F39" s="10"/>
        <tr r="F31" s="11"/>
      </tp>
      <tp t="e">
        <v>#N/A</v>
        <stp/>
        <stp>BDH|2838521753989439859</stp>
        <tr r="S14" s="11"/>
      </tp>
      <tp t="e">
        <v>#N/A</v>
        <stp/>
        <stp>BDH|4258434381549054280</stp>
        <tr r="S56" s="24"/>
      </tp>
      <tp t="e">
        <v>#N/A</v>
        <stp/>
        <stp>BDH|3081890122142704849</stp>
        <tr r="J7" s="30"/>
      </tp>
      <tp t="e">
        <v>#N/A</v>
        <stp/>
        <stp>BDH|8606440400178847725</stp>
        <tr r="Y8" s="25"/>
        <tr r="V10" s="5"/>
        <tr r="W9" s="2"/>
      </tp>
      <tp t="e">
        <v>#N/A</v>
        <stp/>
        <stp>BDH|1451952868015231834</stp>
        <tr r="L57" s="13"/>
      </tp>
      <tp t="e">
        <v>#N/A</v>
        <stp/>
        <stp>BDH|4411610131253473187</stp>
        <tr r="I67" s="12"/>
      </tp>
      <tp t="e">
        <v>#N/A</v>
        <stp/>
        <stp>BDH|1016872097882814109</stp>
        <tr r="Z72" s="17"/>
      </tp>
      <tp t="e">
        <v>#N/A</v>
        <stp/>
        <stp>BDH|8459439237889927514</stp>
        <tr r="N25" s="13"/>
      </tp>
      <tp t="e">
        <v>#N/A</v>
        <stp/>
        <stp>BDH|1727847101343812925</stp>
        <tr r="E63" s="21"/>
      </tp>
      <tp t="e">
        <v>#N/A</v>
        <stp/>
        <stp>BDH|2751186214618233914</stp>
        <tr r="N18" s="24"/>
      </tp>
      <tp t="e">
        <v>#N/A</v>
        <stp/>
        <stp>BDH|3571384807233466065</stp>
        <tr r="O9" s="29"/>
      </tp>
      <tp t="e">
        <v>#N/A</v>
        <stp/>
        <stp>BDH|7602780017661548340</stp>
        <tr r="D28" s="4"/>
      </tp>
      <tp t="e">
        <v>#N/A</v>
        <stp/>
        <stp>BDH|9005945974493039780</stp>
        <tr r="O44" s="12"/>
      </tp>
      <tp t="e">
        <v>#N/A</v>
        <stp/>
        <stp>BDH|6347791305946702409</stp>
        <tr r="I15" s="21"/>
      </tp>
      <tp t="e">
        <v>#N/A</v>
        <stp/>
        <stp>BDH|3117306371674970013</stp>
        <tr r="Z61" s="21"/>
        <tr r="X25" s="2"/>
      </tp>
      <tp t="e">
        <v>#N/A</v>
        <stp/>
        <stp>BDH|8255140024399200183</stp>
        <tr r="D16" s="18"/>
      </tp>
      <tp t="e">
        <v>#N/A</v>
        <stp/>
        <stp>BDH|3355582851761225107</stp>
        <tr r="O21" s="10"/>
      </tp>
      <tp t="e">
        <v>#N/A</v>
        <stp/>
        <stp>BDH|8897045290696468408</stp>
        <tr r="V16" s="10"/>
      </tp>
      <tp t="e">
        <v>#N/A</v>
        <stp/>
        <stp>BDH|2966866486489329822</stp>
        <tr r="D16" s="25"/>
      </tp>
      <tp t="e">
        <v>#N/A</v>
        <stp/>
        <stp>BDH|5574634026286142491</stp>
        <tr r="O84" s="18"/>
      </tp>
      <tp t="e">
        <v>#N/A</v>
        <stp/>
        <stp>BDH|5753207772884882756</stp>
        <tr r="H39" s="17"/>
      </tp>
      <tp t="e">
        <v>#N/A</v>
        <stp/>
        <stp>BDH|7443118592828960465</stp>
        <tr r="N93" s="12"/>
      </tp>
      <tp t="e">
        <v>#N/A</v>
        <stp/>
        <stp>BDH|3021779173976823646</stp>
        <tr r="T26" s="6"/>
      </tp>
      <tp t="e">
        <v>#N/A</v>
        <stp/>
        <stp>BDH|5630658835161640288</stp>
        <tr r="X16" s="34"/>
      </tp>
      <tp t="e">
        <v>#N/A</v>
        <stp/>
        <stp>BDH|6546590816708326917</stp>
        <tr r="U21" s="17"/>
        <tr r="U15" s="3"/>
      </tp>
      <tp t="e">
        <v>#N/A</v>
        <stp/>
        <stp>BDH|2725285766936644373</stp>
        <tr r="R102" s="12"/>
      </tp>
      <tp t="e">
        <v>#N/A</v>
        <stp/>
        <stp>BDH|3617043277114531389</stp>
        <tr r="Y126" s="18"/>
      </tp>
      <tp t="e">
        <v>#N/A</v>
        <stp/>
        <stp>BDH|6493590761307404103</stp>
        <tr r="M71" s="12"/>
      </tp>
      <tp t="e">
        <v>#N/A</v>
        <stp/>
        <stp>BDH|8949490328834918994</stp>
        <tr r="R102" s="18"/>
      </tp>
      <tp t="e">
        <v>#N/A</v>
        <stp/>
        <stp>BDH|7495005600312955652</stp>
        <tr r="M106" s="12"/>
      </tp>
      <tp t="e">
        <v>#N/A</v>
        <stp/>
        <stp>BDH|3040087827706389444</stp>
        <tr r="N91" s="18"/>
      </tp>
      <tp t="e">
        <v>#N/A</v>
        <stp/>
        <stp>BDH|1113182164202510708</stp>
        <tr r="N8" s="21"/>
      </tp>
      <tp t="e">
        <v>#N/A</v>
        <stp/>
        <stp>BDH|7677858630759956625</stp>
        <tr r="I16" s="24"/>
      </tp>
      <tp t="e">
        <v>#N/A</v>
        <stp/>
        <stp>BDH|8654869678791275524</stp>
        <tr r="T25" s="6"/>
      </tp>
      <tp t="e">
        <v>#N/A</v>
        <stp/>
        <stp>BDH|2882513590699911484</stp>
        <tr r="N59" s="13"/>
      </tp>
      <tp t="e">
        <v>#N/A</v>
        <stp/>
        <stp>BDH|4724422060561948449</stp>
        <tr r="D42" s="21"/>
      </tp>
      <tp t="e">
        <v>#N/A</v>
        <stp/>
        <stp>BDH|8735150249849134722</stp>
        <tr r="T9" s="22"/>
      </tp>
      <tp t="e">
        <v>#N/A</v>
        <stp/>
        <stp>BDH|1157017808245498744</stp>
        <tr r="D35" s="34"/>
      </tp>
      <tp t="e">
        <v>#N/A</v>
        <stp/>
        <stp>BDH|2725595971667485434</stp>
        <tr r="P23" s="18"/>
      </tp>
      <tp t="e">
        <v>#N/A</v>
        <stp/>
        <stp>BDH|2968548969757877542</stp>
        <tr r="C24" s="6"/>
      </tp>
      <tp t="e">
        <v>#N/A</v>
        <stp/>
        <stp>BDH|3874963838913782999</stp>
        <tr r="Y18" s="25"/>
      </tp>
      <tp t="e">
        <v>#N/A</v>
        <stp/>
        <stp>BDH|4942904488090846618</stp>
        <tr r="F77" s="24"/>
      </tp>
      <tp t="e">
        <v>#N/A</v>
        <stp/>
        <stp>BDH|4715496180938394358</stp>
        <tr r="P17" s="24"/>
      </tp>
      <tp t="e">
        <v>#N/A</v>
        <stp/>
        <stp>BDH|7655764609883273031</stp>
        <tr r="D39" s="24"/>
      </tp>
      <tp t="e">
        <v>#N/A</v>
        <stp/>
        <stp>BDH|2861398088629439355</stp>
        <tr r="W49" s="4"/>
      </tp>
      <tp t="e">
        <v>#N/A</v>
        <stp/>
        <stp>BDH|1763455128631563562</stp>
        <tr r="X74" s="12"/>
      </tp>
      <tp t="e">
        <v>#N/A</v>
        <stp/>
        <stp>BDH|8947558232864511924</stp>
        <tr r="M83" s="12"/>
      </tp>
      <tp t="e">
        <v>#N/A</v>
        <stp/>
        <stp>BDH|2623613175080892039</stp>
        <tr r="P45" s="17"/>
      </tp>
      <tp t="e">
        <v>#N/A</v>
        <stp/>
        <stp>BDH|2497530829907294158</stp>
        <tr r="L65" s="10"/>
        <tr r="L39" s="4"/>
      </tp>
      <tp t="e">
        <v>#N/A</v>
        <stp/>
        <stp>BDH|8511943722563307397</stp>
        <tr r="K51" s="12"/>
      </tp>
      <tp t="e">
        <v>#N/A</v>
        <stp/>
        <stp>BDH|5512363979606263412</stp>
        <tr r="K11" s="6"/>
      </tp>
      <tp t="e">
        <v>#N/A</v>
        <stp/>
        <stp>BDH|8047645058450166841</stp>
        <tr r="X173" s="18"/>
      </tp>
      <tp t="e">
        <v>#N/A</v>
        <stp/>
        <stp>BDH|1736390249872903779</stp>
        <tr r="T38" s="24"/>
      </tp>
      <tp t="e">
        <v>#N/A</v>
        <stp/>
        <stp>BDH|3266484774652057173</stp>
        <tr r="U172" s="18"/>
      </tp>
      <tp t="e">
        <v>#N/A</v>
        <stp/>
        <stp>BDH|2584201138595571519</stp>
        <tr r="Y64" s="10"/>
        <tr r="Y25" s="4"/>
      </tp>
      <tp t="e">
        <v>#N/A</v>
        <stp/>
        <stp>BDH|2703580995085757841</stp>
        <tr r="W100" s="18"/>
      </tp>
      <tp t="e">
        <v>#N/A</v>
        <stp/>
        <stp>BDH|3961434432154762362</stp>
        <tr r="F45" s="24"/>
      </tp>
      <tp t="e">
        <v>#N/A</v>
        <stp/>
        <stp>BDH|9286689293847162218</stp>
        <tr r="M59" s="13"/>
      </tp>
      <tp t="e">
        <v>#N/A</v>
        <stp/>
        <stp>BDH|3475640088279964785</stp>
        <tr r="M60" s="17"/>
      </tp>
      <tp t="e">
        <v>#N/A</v>
        <stp/>
        <stp>BDH|2959720933234844195</stp>
        <tr r="J19" s="17"/>
      </tp>
      <tp t="e">
        <v>#N/A</v>
        <stp/>
        <stp>BDH|5391628350421112492</stp>
        <tr r="L13" s="8"/>
      </tp>
      <tp t="e">
        <v>#N/A</v>
        <stp/>
        <stp>BDH|4713599200372255058</stp>
        <tr r="P36" s="6"/>
      </tp>
      <tp t="e">
        <v>#N/A</v>
        <stp/>
        <stp>BDH|4268081152210844297</stp>
        <tr r="I50" s="12"/>
      </tp>
      <tp t="e">
        <v>#N/A</v>
        <stp/>
        <stp>BDH|2485585692464631913</stp>
        <tr r="R53" s="18"/>
      </tp>
      <tp t="e">
        <v>#N/A</v>
        <stp/>
        <stp>BDH|4795219368955196669</stp>
        <tr r="C52" s="22"/>
      </tp>
      <tp t="e">
        <v>#N/A</v>
        <stp/>
        <stp>BDH|7554226430426973379</stp>
        <tr r="R24" s="13"/>
      </tp>
      <tp t="e">
        <v>#N/A</v>
        <stp/>
        <stp>BDH|6021225118752398400</stp>
        <tr r="R156" s="18"/>
      </tp>
      <tp t="e">
        <v>#N/A</v>
        <stp/>
        <stp>BDH|1430956294820534296</stp>
        <tr r="F28" s="4"/>
      </tp>
      <tp t="e">
        <v>#N/A</v>
        <stp/>
        <stp>BDH|3524560309907056235</stp>
        <tr r="I47" s="12"/>
      </tp>
      <tp t="e">
        <v>#N/A</v>
        <stp/>
        <stp>BDH|4348498222359454851</stp>
        <tr r="N11" s="18"/>
      </tp>
      <tp t="e">
        <v>#N/A</v>
        <stp/>
        <stp>BDH|6061067759805465525</stp>
        <tr r="P57" s="18"/>
      </tp>
      <tp t="e">
        <v>#N/A</v>
        <stp/>
        <stp>BDH|4150504791978969304</stp>
        <tr r="R19" s="12"/>
      </tp>
      <tp t="e">
        <v>#N/A</v>
        <stp/>
        <stp>BDH|5353032585399599790</stp>
        <tr r="U9" s="21"/>
      </tp>
      <tp t="e">
        <v>#N/A</v>
        <stp/>
        <stp>BDH|6133359574443054296</stp>
        <tr r="I39" s="24"/>
      </tp>
      <tp t="e">
        <v>#N/A</v>
        <stp/>
        <stp>BDH|1168436462377997707</stp>
        <tr r="AA8" s="20"/>
        <tr r="AA110" s="18"/>
      </tp>
      <tp t="e">
        <v>#N/A</v>
        <stp/>
        <stp>BDH|2658149598260323901</stp>
        <tr r="P13" s="9"/>
      </tp>
      <tp t="e">
        <v>#N/A</v>
        <stp/>
        <stp>BDH|4881890229914692977</stp>
        <tr r="H112" s="12"/>
      </tp>
      <tp t="e">
        <v>#N/A</v>
        <stp/>
        <stp>BDH|4701973699397393036</stp>
        <tr r="W59" s="34"/>
      </tp>
      <tp t="e">
        <v>#N/A</v>
        <stp/>
        <stp>BDH|8974996613467994432</stp>
        <tr r="L52" s="13"/>
        <tr r="J47" s="11"/>
        <tr r="J55" s="10"/>
        <tr r="J17" s="4"/>
        <tr r="L10" s="3"/>
        <tr r="J17" s="7"/>
      </tp>
      <tp t="e">
        <v>#N/A</v>
        <stp/>
        <stp>BDH|2901078292721182949</stp>
        <tr r="L9" s="21"/>
      </tp>
      <tp t="e">
        <v>#N/A</v>
        <stp/>
        <stp>BDH|8233696395046598222</stp>
        <tr r="D165" s="18"/>
      </tp>
      <tp t="e">
        <v>#N/A</v>
        <stp/>
        <stp>BDH|2229693956681495300</stp>
        <tr r="M30" s="26"/>
      </tp>
      <tp t="e">
        <v>#N/A</v>
        <stp/>
        <stp>BDH|7853936908575313899</stp>
        <tr r="M43" s="24"/>
      </tp>
      <tp t="e">
        <v>#N/A</v>
        <stp/>
        <stp>BDH|6059598780059833180</stp>
        <tr r="C25" s="29"/>
        <tr r="C19" s="29"/>
        <tr r="C10" s="29"/>
        <tr r="D12" s="8"/>
        <tr r="C6" s="2"/>
      </tp>
      <tp t="e">
        <v>#N/A</v>
        <stp/>
        <stp>BDH|9968648525516754860</stp>
        <tr r="W130" s="18"/>
      </tp>
      <tp t="e">
        <v>#N/A</v>
        <stp/>
        <stp>BDH|4678934086837480192</stp>
        <tr r="W7" s="14"/>
      </tp>
      <tp t="e">
        <v>#N/A</v>
        <stp/>
        <stp>BDH|5545696419531849032</stp>
        <tr r="S44" s="13"/>
      </tp>
      <tp t="e">
        <v>#N/A</v>
        <stp/>
        <stp>BDH|6951158937326293177</stp>
        <tr r="C17" s="24"/>
      </tp>
      <tp t="e">
        <v>#N/A</v>
        <stp/>
        <stp>BDH|7315617315254155782</stp>
        <tr r="R53" s="6"/>
      </tp>
      <tp t="e">
        <v>#N/A</v>
        <stp/>
        <stp>BDH|2195098035316647454</stp>
        <tr r="Q63" s="21"/>
      </tp>
      <tp t="e">
        <v>#N/A</v>
        <stp/>
        <stp>BDH|2820222057661779743</stp>
        <tr r="O15" s="22"/>
      </tp>
      <tp t="e">
        <v>#N/A</v>
        <stp/>
        <stp>BDH|8372196589456946444</stp>
        <tr r="M15" s="12"/>
      </tp>
      <tp t="e">
        <v>#N/A</v>
        <stp/>
        <stp>BDH|8171333189131074157</stp>
        <tr r="X29" s="6"/>
      </tp>
      <tp t="e">
        <v>#N/A</v>
        <stp/>
        <stp>BDH|8653836534529824971</stp>
        <tr r="U23" s="25"/>
        <tr r="S21" s="11"/>
      </tp>
      <tp t="e">
        <v>#N/A</v>
        <stp/>
        <stp>BDH|7054747650181217787</stp>
        <tr r="Z103" s="12"/>
      </tp>
      <tp t="e">
        <v>#N/A</v>
        <stp/>
        <stp>BDH|5143215078366521534</stp>
        <tr r="E11" s="13"/>
      </tp>
      <tp t="e">
        <v>#N/A</v>
        <stp/>
        <stp>BDH|3264794127655787058</stp>
        <tr r="I6" s="19"/>
        <tr r="I35" s="17"/>
        <tr r="I16" s="3"/>
      </tp>
      <tp t="e">
        <v>#N/A</v>
        <stp/>
        <stp>BDH|9222124091421960360</stp>
        <tr r="K23" s="25"/>
        <tr r="I21" s="11"/>
      </tp>
      <tp t="e">
        <v>#N/A</v>
        <stp/>
        <stp>BDH|8131040273018938414</stp>
        <tr r="N18" s="26"/>
      </tp>
      <tp t="e">
        <v>#N/A</v>
        <stp/>
        <stp>BDH|5800102284819743659</stp>
        <tr r="X83" s="12"/>
      </tp>
      <tp t="e">
        <v>#N/A</v>
        <stp/>
        <stp>BDH|6337654921170068197</stp>
        <tr r="F18" s="17"/>
      </tp>
      <tp t="e">
        <v>#N/A</v>
        <stp/>
        <stp>BDH|5919783028794662714</stp>
        <tr r="G63" s="12"/>
      </tp>
      <tp t="e">
        <v>#N/A</v>
        <stp/>
        <stp>BDH|6865668270864202021</stp>
        <tr r="X11" s="9"/>
      </tp>
      <tp t="e">
        <v>#N/A</v>
        <stp/>
        <stp>BDH|6430180352878140916</stp>
        <tr r="Q94" s="12"/>
      </tp>
      <tp t="e">
        <v>#N/A</v>
        <stp/>
        <stp>BDH|9543129187052950171</stp>
        <tr r="F10" s="11"/>
      </tp>
      <tp t="e">
        <v>#N/A</v>
        <stp/>
        <stp>BDH|7592517656905864148</stp>
        <tr r="X38" s="18"/>
      </tp>
      <tp t="e">
        <v>#N/A</v>
        <stp/>
        <stp>BDH|8903671885944290178</stp>
        <tr r="W43" s="4"/>
      </tp>
      <tp t="e">
        <v>#N/A</v>
        <stp/>
        <stp>BDH|7844218785436195839</stp>
        <tr r="H16" s="7"/>
        <tr r="H44" s="11"/>
        <tr r="H52" s="10"/>
      </tp>
      <tp t="e">
        <v>#N/A</v>
        <stp/>
        <stp>BDH|8457336729898608263</stp>
        <tr r="G94" s="18"/>
      </tp>
      <tp t="e">
        <v>#N/A</v>
        <stp/>
        <stp>BDH|1919870067798572429</stp>
        <tr r="S14" s="18"/>
      </tp>
      <tp t="e">
        <v>#N/A</v>
        <stp/>
        <stp>BDH|1250548371016064690</stp>
        <tr r="U8" s="10"/>
      </tp>
      <tp t="e">
        <v>#N/A</v>
        <stp/>
        <stp>BDH|6943858580341343410</stp>
        <tr r="R16" s="34"/>
      </tp>
      <tp t="e">
        <v>#N/A</v>
        <stp/>
        <stp>BDH|5363680913772398352</stp>
        <tr r="N65" s="18"/>
      </tp>
      <tp t="e">
        <v>#N/A</v>
        <stp/>
        <stp>BDH|3237490834923123402</stp>
        <tr r="AA99" s="18"/>
      </tp>
      <tp t="e">
        <v>#N/A</v>
        <stp/>
        <stp>BDH|4166083162882623333</stp>
        <tr r="I102" s="12"/>
      </tp>
      <tp t="e">
        <v>#N/A</v>
        <stp/>
        <stp>BDH|3048786174508426869</stp>
        <tr r="W29" s="9"/>
      </tp>
      <tp t="e">
        <v>#N/A</v>
        <stp/>
        <stp>BDH|1767518533731201596</stp>
        <tr r="W147" s="18"/>
      </tp>
      <tp t="e">
        <v>#N/A</v>
        <stp/>
        <stp>BDH|2472099464633335444</stp>
        <tr r="N8" s="24"/>
      </tp>
      <tp t="e">
        <v>#N/A</v>
        <stp/>
        <stp>BDH|5388781952760186468</stp>
        <tr r="W16" s="24"/>
      </tp>
      <tp t="e">
        <v>#N/A</v>
        <stp/>
        <stp>BDH|7290793174302269631</stp>
        <tr r="R125" s="18"/>
      </tp>
      <tp t="e">
        <v>#N/A</v>
        <stp/>
        <stp>BDH|5874514225233023232</stp>
        <tr r="Q100" s="18"/>
      </tp>
      <tp t="e">
        <v>#N/A</v>
        <stp/>
        <stp>BDH|6668591808984989417</stp>
        <tr r="X8" s="21"/>
      </tp>
      <tp t="e">
        <v>#N/A</v>
        <stp/>
        <stp>BDH|4862210344286033726</stp>
        <tr r="O18" s="22"/>
      </tp>
      <tp t="e">
        <v>#N/A</v>
        <stp/>
        <stp>BDH|4933842547968393361</stp>
        <tr r="L43" s="22"/>
      </tp>
      <tp t="e">
        <v>#N/A</v>
        <stp/>
        <stp>BDH|7850095977175867617</stp>
        <tr r="X43" s="17"/>
        <tr r="X9" s="25"/>
      </tp>
      <tp t="e">
        <v>#N/A</v>
        <stp/>
        <stp>BDH|4495098682147215822</stp>
        <tr r="X57" s="24"/>
      </tp>
      <tp t="e">
        <v>#N/A</v>
        <stp/>
        <stp>BDH|4912516304596576466</stp>
        <tr r="X13" s="11"/>
      </tp>
      <tp t="e">
        <v>#N/A</v>
        <stp/>
        <stp>BDH|8318932178704501127</stp>
        <tr r="T51" s="22"/>
      </tp>
      <tp t="e">
        <v>#N/A</v>
        <stp/>
        <stp>BDH|1401760908600508504</stp>
        <tr r="L20" s="12"/>
      </tp>
      <tp t="e">
        <v>#N/A</v>
        <stp/>
        <stp>BDH|6642031431291258797</stp>
        <tr r="J22" s="9"/>
      </tp>
      <tp t="e">
        <v>#N/A</v>
        <stp/>
        <stp>BDH|3320671078114100527</stp>
        <tr r="K21" s="3"/>
      </tp>
      <tp t="e">
        <v>#N/A</v>
        <stp/>
        <stp>BDH|2763242263012672796</stp>
        <tr r="C77" s="12"/>
      </tp>
      <tp t="e">
        <v>#N/A</v>
        <stp/>
        <stp>BDH|8558862864223830603</stp>
        <tr r="O35" s="29"/>
        <tr r="O15" s="29"/>
      </tp>
      <tp t="e">
        <v>#N/A</v>
        <stp/>
        <stp>BDH|6935629804916413547</stp>
        <tr r="H45" s="24"/>
      </tp>
      <tp t="e">
        <v>#N/A</v>
        <stp/>
        <stp>BDH|5796475978555783004</stp>
        <tr r="G35" s="21"/>
      </tp>
      <tp t="e">
        <v>#N/A</v>
        <stp/>
        <stp>BDH|8068673481166133382</stp>
        <tr r="V13" s="25"/>
      </tp>
      <tp t="e">
        <v>#N/A</v>
        <stp/>
        <stp>BDH|9939236387085618541</stp>
        <tr r="P46" s="17"/>
      </tp>
      <tp t="e">
        <v>#N/A</v>
        <stp/>
        <stp>BDH|2220781635572756777</stp>
        <tr r="H101" s="18"/>
      </tp>
      <tp t="e">
        <v>#N/A</v>
        <stp/>
        <stp>BDH|7942254073004949590</stp>
        <tr r="N19" s="9"/>
      </tp>
      <tp t="e">
        <v>#N/A</v>
        <stp/>
        <stp>BDH|5464844453229921255</stp>
        <tr r="X54" s="34"/>
      </tp>
      <tp t="e">
        <v>#N/A</v>
        <stp/>
        <stp>BDH|6638461714484224493</stp>
        <tr r="P34" s="18"/>
      </tp>
      <tp t="e">
        <v>#N/A</v>
        <stp/>
        <stp>BDH|4546712188650538864</stp>
        <tr r="I12" s="14"/>
      </tp>
      <tp t="e">
        <v>#N/A</v>
        <stp/>
        <stp>BDH|5026515870102734692</stp>
        <tr r="P46" s="22"/>
      </tp>
      <tp t="e">
        <v>#N/A</v>
        <stp/>
        <stp>BDH|4792814309769880684</stp>
        <tr r="H68" s="24"/>
      </tp>
      <tp t="e">
        <v>#N/A</v>
        <stp/>
        <stp>BDH|1832252912490750176</stp>
        <tr r="K13" s="5"/>
      </tp>
      <tp t="e">
        <v>#N/A</v>
        <stp/>
        <stp>BDH|9469454895166248191</stp>
        <tr r="F24" s="13"/>
      </tp>
      <tp t="e">
        <v>#N/A</v>
        <stp/>
        <stp>BDH|3469509368947206410</stp>
        <tr r="K21" s="22"/>
      </tp>
      <tp t="e">
        <v>#N/A</v>
        <stp/>
        <stp>BDH|5891637265831759765</stp>
        <tr r="L48" s="13"/>
      </tp>
      <tp t="e">
        <v>#N/A</v>
        <stp/>
        <stp>BDH|9153913431799718999</stp>
        <tr r="U13" s="34"/>
      </tp>
      <tp t="e">
        <v>#N/A</v>
        <stp/>
        <stp>BDH|4981198533813918650</stp>
        <tr r="T26" s="18"/>
      </tp>
      <tp t="e">
        <v>#N/A</v>
        <stp/>
        <stp>BDH|5697151717085367387</stp>
        <tr r="I29" s="13"/>
        <tr r="G32" s="10"/>
        <tr r="G24" s="11"/>
        <tr r="G45" s="4"/>
      </tp>
      <tp t="e">
        <v>#N/A</v>
        <stp/>
        <stp>BDH|8717284918459198193</stp>
        <tr r="D8" s="4"/>
      </tp>
      <tp t="e">
        <v>#N/A</v>
        <stp/>
        <stp>BDH|3359348273413915723</stp>
        <tr r="R31" s="26"/>
        <tr r="O14" s="9"/>
      </tp>
      <tp t="e">
        <v>#N/A</v>
        <stp/>
        <stp>BDH|3437899152628724574</stp>
        <tr r="D92" s="18"/>
      </tp>
      <tp t="e">
        <v>#N/A</v>
        <stp/>
        <stp>BDH|2977056436774326669</stp>
        <tr r="C26" s="26"/>
      </tp>
      <tp t="e">
        <v>#N/A</v>
        <stp/>
        <stp>BDH|2989935242639705506</stp>
        <tr r="M54" s="17"/>
      </tp>
      <tp t="e">
        <v>#N/A</v>
        <stp/>
        <stp>BDH|1881424147866309419</stp>
        <tr r="L8" s="8"/>
      </tp>
      <tp t="e">
        <v>#N/A</v>
        <stp/>
        <stp>BDH|3858459278665977630</stp>
        <tr r="S54" s="17"/>
      </tp>
      <tp t="e">
        <v>#N/A</v>
        <stp/>
        <stp>BDH|2120882575516398800</stp>
        <tr r="N56" s="17"/>
      </tp>
      <tp t="e">
        <v>#N/A</v>
        <stp/>
        <stp>BDH|8513112404038899276</stp>
        <tr r="F68" s="24"/>
      </tp>
      <tp t="e">
        <v>#N/A</v>
        <stp/>
        <stp>BDH|8735355587485295587</stp>
        <tr r="Q41" s="17"/>
      </tp>
      <tp t="e">
        <v>#N/A</v>
        <stp/>
        <stp>BDH|8898812473264007055</stp>
        <tr r="U170" s="18"/>
      </tp>
      <tp t="e">
        <v>#N/A</v>
        <stp/>
        <stp>BDH|5911506032368798831</stp>
        <tr r="Z13" s="13"/>
      </tp>
      <tp t="e">
        <v>#N/A</v>
        <stp/>
        <stp>BDH|5015792337864710665</stp>
        <tr r="P33" s="11"/>
        <tr r="P41" s="10"/>
      </tp>
      <tp t="e">
        <v>#N/A</v>
        <stp/>
        <stp>BDH|4078710450412654789</stp>
        <tr r="X14" s="23"/>
      </tp>
      <tp t="e">
        <v>#N/A</v>
        <stp/>
        <stp>BDH|5898386378253134161</stp>
        <tr r="G26" s="7"/>
      </tp>
      <tp t="e">
        <v>#N/A</v>
        <stp/>
        <stp>BDH|5441006195518681781</stp>
        <tr r="M10" s="13"/>
      </tp>
      <tp t="e">
        <v>#N/A</v>
        <stp/>
        <stp>BDH|7012571454596932267</stp>
        <tr r="T126" s="18"/>
      </tp>
      <tp t="e">
        <v>#N/A</v>
        <stp/>
        <stp>BDH|3171061961653378597</stp>
        <tr r="D26" s="29"/>
      </tp>
      <tp t="e">
        <v>#N/A</v>
        <stp/>
        <stp>BDH|6005135199734302952</stp>
        <tr r="H53" s="6"/>
      </tp>
      <tp t="e">
        <v>#N/A</v>
        <stp/>
        <stp>BDH|8905041701569311236</stp>
        <tr r="K44" s="11"/>
        <tr r="K52" s="10"/>
        <tr r="K16" s="7"/>
      </tp>
      <tp t="e">
        <v>#N/A</v>
        <stp/>
        <stp>BDH|4059731653330872543</stp>
        <tr r="D36" s="6"/>
      </tp>
      <tp t="e">
        <v>#N/A</v>
        <stp/>
        <stp>BDH|9559779693505520188</stp>
        <tr r="M29" s="4"/>
      </tp>
      <tp t="e">
        <v>#N/A</v>
        <stp/>
        <stp>BDH|2756036209181365027</stp>
        <tr r="X25" s="34"/>
      </tp>
      <tp t="e">
        <v>#N/A</v>
        <stp/>
        <stp>BDH|9622697807774759835</stp>
        <tr r="L8" s="2"/>
      </tp>
      <tp t="e">
        <v>#N/A</v>
        <stp/>
        <stp>BDH|7826045420375252323</stp>
        <tr r="P8" s="27"/>
      </tp>
      <tp t="e">
        <v>#N/A</v>
        <stp/>
        <stp>BDH|2952464573293935192</stp>
        <tr r="Z120" s="18"/>
      </tp>
      <tp t="e">
        <v>#N/A</v>
        <stp/>
        <stp>BDH|1056946738138058002</stp>
        <tr r="P41" s="6"/>
      </tp>
      <tp t="e">
        <v>#N/A</v>
        <stp/>
        <stp>BDH|5623916331815819929</stp>
        <tr r="R20" s="34"/>
      </tp>
      <tp t="e">
        <v>#N/A</v>
        <stp/>
        <stp>BDH|6699130683364992837</stp>
        <tr r="W9" s="11"/>
      </tp>
      <tp t="e">
        <v>#N/A</v>
        <stp/>
        <stp>BDH|9695613167233896946</stp>
        <tr r="X126" s="18"/>
      </tp>
      <tp t="e">
        <v>#N/A</v>
        <stp/>
        <stp>BDH|1062207849612086656</stp>
        <tr r="Q9" s="12"/>
      </tp>
      <tp t="e">
        <v>#N/A</v>
        <stp/>
        <stp>BDH|4071098039317964352</stp>
        <tr r="V39" s="11"/>
        <tr r="V35" s="10"/>
        <tr r="V27" s="11"/>
        <tr r="V47" s="10"/>
      </tp>
      <tp t="e">
        <v>#N/A</v>
        <stp/>
        <stp>BDH|6206953117765854849</stp>
        <tr r="D120" s="18"/>
      </tp>
      <tp t="e">
        <v>#N/A</v>
        <stp/>
        <stp>BDH|1215667078271555259</stp>
        <tr r="H74" s="18"/>
      </tp>
      <tp t="e">
        <v>#N/A</v>
        <stp/>
        <stp>BDH|8290190712519266272</stp>
        <tr r="M49" s="17"/>
      </tp>
      <tp t="e">
        <v>#N/A</v>
        <stp/>
        <stp>BDH|6133474676145462388</stp>
        <tr r="C19" s="18"/>
      </tp>
      <tp t="e">
        <v>#N/A</v>
        <stp/>
        <stp>BDH|3740322145886452180</stp>
        <tr r="K8" s="26"/>
        <tr r="H10" s="9"/>
      </tp>
      <tp t="e">
        <v>#N/A</v>
        <stp/>
        <stp>BDH|3949632445085644758</stp>
        <tr r="E24" s="24"/>
      </tp>
      <tp t="e">
        <v>#N/A</v>
        <stp/>
        <stp>BDH|8957272750439500579</stp>
        <tr r="W16" s="10"/>
      </tp>
      <tp t="e">
        <v>#N/A</v>
        <stp/>
        <stp>BDH|6499567758171204445</stp>
        <tr r="F70" s="17"/>
      </tp>
      <tp t="e">
        <v>#N/A</v>
        <stp/>
        <stp>BDH|1022401505896007096</stp>
        <tr r="P49" s="21"/>
      </tp>
      <tp t="e">
        <v>#N/A</v>
        <stp/>
        <stp>BDH|4839926664120193831</stp>
        <tr r="I7" s="34"/>
      </tp>
      <tp t="e">
        <v>#N/A</v>
        <stp/>
        <stp>BDH|3837938097087026705</stp>
        <tr r="R58" s="12"/>
      </tp>
      <tp t="e">
        <v>#N/A</v>
        <stp/>
        <stp>BDH|3683720867791743084</stp>
        <tr r="F30" s="21"/>
      </tp>
      <tp t="e">
        <v>#N/A</v>
        <stp/>
        <stp>BDH|8237954578977026232</stp>
        <tr r="R18" s="13"/>
      </tp>
      <tp t="e">
        <v>#N/A</v>
        <stp/>
        <stp>BDH|9645160487767821420</stp>
        <tr r="F33" s="34"/>
      </tp>
      <tp t="e">
        <v>#N/A</v>
        <stp/>
        <stp>BDH|6614366221707594398</stp>
        <tr r="V49" s="21"/>
      </tp>
      <tp t="e">
        <v>#N/A</v>
        <stp/>
        <stp>BDH|4057096643665347641</stp>
        <tr r="E56" s="11"/>
        <tr r="E24" s="4"/>
      </tp>
      <tp t="e">
        <v>#N/A</v>
        <stp/>
        <stp>BDH|4312864807888642799</stp>
        <tr r="T13" s="23"/>
        <tr r="R57" s="11"/>
        <tr r="R38" s="4"/>
      </tp>
      <tp t="e">
        <v>#N/A</v>
        <stp/>
        <stp>BDH|5965902405439776664</stp>
        <tr r="M29" s="24"/>
      </tp>
      <tp t="e">
        <v>#N/A</v>
        <stp/>
        <stp>BDH|8388395381310086065</stp>
        <tr r="P14" s="13"/>
      </tp>
      <tp t="e">
        <v>#N/A</v>
        <stp/>
        <stp>BDH|8714371898435362461</stp>
        <tr r="F75" s="17"/>
      </tp>
      <tp t="e">
        <v>#N/A</v>
        <stp/>
        <stp>BDH|2859169363774402248</stp>
        <tr r="X45" s="22"/>
      </tp>
      <tp t="e">
        <v>#N/A</v>
        <stp/>
        <stp>BDH|7613985157440071845</stp>
        <tr r="G40" s="24"/>
      </tp>
      <tp t="e">
        <v>#N/A</v>
        <stp/>
        <stp>BDH|2291596437697530048</stp>
        <tr r="O39" s="26"/>
      </tp>
      <tp t="e">
        <v>#N/A</v>
        <stp/>
        <stp>BDH|8334280908730613987</stp>
        <tr r="T88" s="18"/>
      </tp>
      <tp t="e">
        <v>#N/A</v>
        <stp/>
        <stp>BDH|1301688707867478355</stp>
        <tr r="Q37" s="21"/>
        <tr r="Q24" s="3"/>
      </tp>
      <tp t="e">
        <v>#N/A</v>
        <stp/>
        <stp>BDH|2918462342286517755</stp>
        <tr r="N17" s="22"/>
      </tp>
      <tp t="e">
        <v>#N/A</v>
        <stp/>
        <stp>BDH|2356262319065526740</stp>
        <tr r="K9" s="12"/>
      </tp>
      <tp t="e">
        <v>#N/A</v>
        <stp/>
        <stp>BDH|6884174316831373476</stp>
        <tr r="P19" s="18"/>
      </tp>
      <tp t="e">
        <v>#N/A</v>
        <stp/>
        <stp>BDH|1447795431802499455</stp>
        <tr r="Y16" s="21"/>
      </tp>
      <tp t="e">
        <v>#N/A</v>
        <stp/>
        <stp>BDH|1777182055475026377</stp>
        <tr r="C9" s="6"/>
      </tp>
      <tp t="e">
        <v>#N/A</v>
        <stp/>
        <stp>BDH|7422549656526831239</stp>
        <tr r="W10" s="6"/>
      </tp>
      <tp t="e">
        <v>#N/A</v>
        <stp/>
        <stp>BDH|3639861885604180498</stp>
        <tr r="P13" s="25"/>
      </tp>
      <tp t="e">
        <v>#N/A</v>
        <stp/>
        <stp>BDH|1026637371085675696</stp>
        <tr r="J14" s="6"/>
      </tp>
      <tp t="e">
        <v>#N/A</v>
        <stp/>
        <stp>BDH|8969905015670156304</stp>
        <tr r="V40" s="6"/>
      </tp>
      <tp t="e">
        <v>#N/A</v>
        <stp/>
        <stp>BDH|7465141928925218278</stp>
        <tr r="Y37" s="12"/>
      </tp>
      <tp t="e">
        <v>#N/A</v>
        <stp/>
        <stp>BDH|8419658589696085350</stp>
        <tr r="E61" s="13"/>
      </tp>
      <tp t="e">
        <v>#N/A</v>
        <stp/>
        <stp>BDH|6856428067467983096</stp>
        <tr r="I70" s="12"/>
      </tp>
      <tp t="e">
        <v>#N/A</v>
        <stp/>
        <stp>BDH|2513743828045335176</stp>
        <tr r="H57" s="12"/>
      </tp>
      <tp t="e">
        <v>#N/A</v>
        <stp/>
        <stp>BDH|6701570723897794596</stp>
        <tr r="L14" s="6"/>
      </tp>
      <tp t="e">
        <v>#N/A</v>
        <stp/>
        <stp>BDH|4340790693431612827</stp>
        <tr r="H77" s="24"/>
      </tp>
      <tp t="e">
        <v>#N/A</v>
        <stp/>
        <stp>BDH|9333931769707605223</stp>
        <tr r="K73" s="18"/>
      </tp>
      <tp t="e">
        <v>#N/A</v>
        <stp/>
        <stp>BDH|9868766921469625640</stp>
        <tr r="S46" s="21"/>
      </tp>
      <tp t="e">
        <v>#N/A</v>
        <stp/>
        <stp>BDH|4807275360902499163</stp>
        <tr r="D48" s="22"/>
      </tp>
      <tp t="e">
        <v>#N/A</v>
        <stp/>
        <stp>BDH|7114040958141432045</stp>
        <tr r="F28" s="21"/>
      </tp>
      <tp t="e">
        <v>#N/A</v>
        <stp/>
        <stp>BDH|5571869292562548597</stp>
        <tr r="H59" s="21"/>
        <tr r="F54" s="11"/>
      </tp>
      <tp t="e">
        <v>#N/A</v>
        <stp/>
        <stp>BDH|8278968557714894369</stp>
        <tr r="Z76" s="18"/>
      </tp>
      <tp t="e">
        <v>#N/A</v>
        <stp/>
        <stp>BDH|4465605150800063496</stp>
        <tr r="G38" s="6"/>
        <tr r="G18" s="5"/>
      </tp>
      <tp t="e">
        <v>#N/A</v>
        <stp/>
        <stp>BDH|8389982428396856667</stp>
        <tr r="L27" s="26"/>
      </tp>
      <tp t="e">
        <v>#N/A</v>
        <stp/>
        <stp>BDH|2003385721637097740</stp>
        <tr r="W21" s="20"/>
      </tp>
      <tp t="e">
        <v>#N/A</v>
        <stp/>
        <stp>BDH|1594158953824943277</stp>
        <tr r="V46" s="6"/>
      </tp>
      <tp t="e">
        <v>#N/A</v>
        <stp/>
        <stp>BDH|4247781824110397207</stp>
        <tr r="N35" s="34"/>
      </tp>
      <tp t="e">
        <v>#N/A</v>
        <stp/>
        <stp>BDH|8878583923369983572</stp>
        <tr r="C35" s="29"/>
        <tr r="C15" s="29"/>
      </tp>
      <tp t="e">
        <v>#N/A</v>
        <stp/>
        <stp>BDH|2196347533244862537</stp>
        <tr r="N13" s="13"/>
      </tp>
      <tp t="e">
        <v>#N/A</v>
        <stp/>
        <stp>BDH|2541709169768843893</stp>
        <tr r="R49" s="24"/>
      </tp>
      <tp t="e">
        <v>#N/A</v>
        <stp/>
        <stp>BDH|7974029095918228518</stp>
        <tr r="J11" s="12"/>
      </tp>
      <tp t="e">
        <v>#N/A</v>
        <stp/>
        <stp>BDH|1988346331952637079</stp>
        <tr r="F63" s="11"/>
        <tr r="F71" s="10"/>
      </tp>
      <tp t="e">
        <v>#N/A</v>
        <stp/>
        <stp>BDH|8997694087533340690</stp>
        <tr r="I55" s="13"/>
        <tr r="G56" s="10"/>
        <tr r="G48" s="11"/>
        <tr r="G18" s="7"/>
      </tp>
      <tp t="e">
        <v>#N/A</v>
        <stp/>
        <stp>BDH|4146249000093066687</stp>
        <tr r="N23" s="6"/>
      </tp>
      <tp t="e">
        <v>#N/A</v>
        <stp/>
        <stp>BDH|4947420425814189528</stp>
        <tr r="Q12" s="17"/>
      </tp>
      <tp t="e">
        <v>#N/A</v>
        <stp/>
        <stp>BDH|8387291648504767985</stp>
        <tr r="J159" s="18"/>
      </tp>
      <tp t="e">
        <v>#N/A</v>
        <stp/>
        <stp>BDH|1742376667536897121</stp>
        <tr r="K17" s="27"/>
        <tr r="K31" s="25"/>
        <tr r="H14" s="5"/>
      </tp>
      <tp t="e">
        <v>#N/A</v>
        <stp/>
        <stp>BDH|1318233617099984835</stp>
        <tr r="K17" s="13"/>
      </tp>
      <tp t="e">
        <v>#N/A</v>
        <stp/>
        <stp>BDH|7962697571381481485</stp>
        <tr r="D69" s="17"/>
      </tp>
      <tp t="e">
        <v>#N/A</v>
        <stp/>
        <stp>BDH|8816331717389282034</stp>
        <tr r="V32" s="21"/>
      </tp>
      <tp t="e">
        <v>#N/A</v>
        <stp/>
        <stp>BDH|5599599331931258122</stp>
        <tr r="G25" s="17"/>
      </tp>
      <tp t="e">
        <v>#N/A</v>
        <stp/>
        <stp>BDH|6499396853094509761</stp>
        <tr r="S22" s="20"/>
      </tp>
      <tp t="e">
        <v>#N/A</v>
        <stp/>
        <stp>BDH|4928219845308362930</stp>
        <tr r="U176" s="18"/>
      </tp>
      <tp t="e">
        <v>#N/A</v>
        <stp/>
        <stp>BDH|8148115966074792839</stp>
        <tr r="T22" s="12"/>
      </tp>
      <tp t="e">
        <v>#N/A</v>
        <stp/>
        <stp>BDH|3507147408655221492</stp>
        <tr r="R149" s="18"/>
      </tp>
      <tp t="e">
        <v>#N/A</v>
        <stp/>
        <stp>BDH|4783828132724612837</stp>
        <tr r="R45" s="17"/>
      </tp>
      <tp t="e">
        <v>#N/A</v>
        <stp/>
        <stp>BDH|6743715531266238771</stp>
        <tr r="C42" s="13"/>
      </tp>
      <tp t="e">
        <v>#N/A</v>
        <stp/>
        <stp>BDH|6153128268044181685</stp>
        <tr r="L10" s="27"/>
        <tr r="L25" s="25"/>
      </tp>
      <tp t="e">
        <v>#N/A</v>
        <stp/>
        <stp>BDH|4771172179838252998</stp>
        <tr r="T11" s="14"/>
      </tp>
      <tp t="e">
        <v>#N/A</v>
        <stp/>
        <stp>BDH|5411216062504485619</stp>
        <tr r="H59" s="17"/>
      </tp>
      <tp t="e">
        <v>#N/A</v>
        <stp/>
        <stp>BDH|5680526241975420236</stp>
        <tr r="D96" s="12"/>
      </tp>
      <tp t="e">
        <v>#N/A</v>
        <stp/>
        <stp>BDH|9041405456659536217</stp>
        <tr r="Z20" s="27"/>
      </tp>
      <tp t="e">
        <v>#N/A</v>
        <stp/>
        <stp>BDH|1887055277756017388</stp>
        <tr r="E52" s="21"/>
      </tp>
      <tp t="e">
        <v>#N/A</v>
        <stp/>
        <stp>BDH|3752753420872396735</stp>
        <tr r="V59" s="24"/>
      </tp>
      <tp t="e">
        <v>#N/A</v>
        <stp/>
        <stp>BDH|3853796245053594038</stp>
        <tr r="Z15" s="12"/>
      </tp>
      <tp t="e">
        <v>#N/A</v>
        <stp/>
        <stp>BDH|9972757062529850242</stp>
        <tr r="P164" s="18"/>
      </tp>
      <tp t="e">
        <v>#N/A</v>
        <stp/>
        <stp>BDH|2238225901562755144</stp>
        <tr r="X36" s="13"/>
        <tr r="V24" s="10"/>
        <tr r="V46" s="4"/>
      </tp>
      <tp t="e">
        <v>#N/A</v>
        <stp/>
        <stp>BDH|5074047527325405156</stp>
        <tr r="W12" s="25"/>
      </tp>
      <tp t="e">
        <v>#N/A</v>
        <stp/>
        <stp>BDH|6084769897539620253</stp>
        <tr r="P35" s="26"/>
      </tp>
      <tp t="e">
        <v>#N/A</v>
        <stp/>
        <stp>BDH|2208701781477900980</stp>
        <tr r="C52" s="17"/>
        <tr r="C17" s="3"/>
      </tp>
      <tp t="e">
        <v>#N/A</v>
        <stp/>
        <stp>BDH|2361251765666006315</stp>
        <tr r="S64" s="17"/>
      </tp>
      <tp t="e">
        <v>#N/A</v>
        <stp/>
        <stp>BDH|3925856867588176682</stp>
        <tr r="F48" s="6"/>
        <tr r="H6" s="8"/>
      </tp>
      <tp t="e">
        <v>#N/A</v>
        <stp/>
        <stp>BDH|4974602693509126195</stp>
        <tr r="Y91" s="17"/>
      </tp>
      <tp t="e">
        <v>#N/A</v>
        <stp/>
        <stp>BDH|1408961281157420455</stp>
        <tr r="L39" s="25"/>
        <tr r="L7" s="13"/>
        <tr r="L22" s="13"/>
        <tr r="J18" s="11"/>
        <tr r="L7" s="3"/>
      </tp>
      <tp t="e">
        <v>#N/A</v>
        <stp/>
        <stp>BDH|8539050065415247854</stp>
        <tr r="J126" s="18"/>
      </tp>
      <tp t="e">
        <v>#N/A</v>
        <stp/>
        <stp>BDH|7888722479944071013</stp>
        <tr r="AA22" s="20"/>
      </tp>
      <tp t="e">
        <v>#N/A</v>
        <stp/>
        <stp>BDH|4452201103387298278</stp>
        <tr r="Y47" s="13"/>
      </tp>
      <tp t="e">
        <v>#N/A</v>
        <stp/>
        <stp>BDH|4996579454523059486</stp>
        <tr r="Z10" s="12"/>
      </tp>
      <tp t="e">
        <v>#N/A</v>
        <stp/>
        <stp>BDH|9565459094013368450</stp>
        <tr r="J63" s="11"/>
        <tr r="J71" s="10"/>
      </tp>
      <tp t="e">
        <v>#N/A</v>
        <stp/>
        <stp>BDH|8769100187826215406</stp>
        <tr r="G65" s="12"/>
      </tp>
      <tp t="e">
        <v>#N/A</v>
        <stp/>
        <stp>BDH|1481782542294545595</stp>
        <tr r="Y14" s="22"/>
      </tp>
      <tp t="e">
        <v>#N/A</v>
        <stp/>
        <stp>BDH|5475366871024201639</stp>
        <tr r="V39" s="24"/>
      </tp>
      <tp t="e">
        <v>#N/A</v>
        <stp/>
        <stp>BDH|8495658164392787902</stp>
        <tr r="R97" s="18"/>
      </tp>
      <tp t="e">
        <v>#N/A</v>
        <stp/>
        <stp>BDH|4895382212055669065</stp>
        <tr r="R29" s="9"/>
      </tp>
      <tp t="e">
        <v>#N/A</v>
        <stp/>
        <stp>BDH|3038635995838235766</stp>
        <tr r="Z118" s="18"/>
      </tp>
      <tp t="e">
        <v>#N/A</v>
        <stp/>
        <stp>BDH|2360718170504403540</stp>
        <tr r="C55" s="24"/>
      </tp>
      <tp t="e">
        <v>#N/A</v>
        <stp/>
        <stp>BDH|8428067751508491652</stp>
        <tr r="O21" s="4"/>
      </tp>
      <tp t="e">
        <v>#N/A</v>
        <stp/>
        <stp>BDH|2490203557427703164</stp>
        <tr r="H23" s="22"/>
      </tp>
      <tp t="e">
        <v>#N/A</v>
        <stp/>
        <stp>BDH|5392561483138321371</stp>
        <tr r="I31" s="11"/>
        <tr r="I39" s="10"/>
      </tp>
      <tp t="e">
        <v>#N/A</v>
        <stp/>
        <stp>BDH|2254709373632400377</stp>
        <tr r="Z18" s="26"/>
      </tp>
      <tp t="e">
        <v>#N/A</v>
        <stp/>
        <stp>BDH|1438802487830409254</stp>
        <tr r="M88" s="18"/>
      </tp>
      <tp t="e">
        <v>#N/A</v>
        <stp/>
        <stp>BDH|7898753853942864448</stp>
        <tr r="O121" s="18"/>
      </tp>
      <tp t="e">
        <v>#N/A</v>
        <stp/>
        <stp>BDH|2253736920076295217</stp>
        <tr r="Q42" s="21"/>
      </tp>
      <tp t="e">
        <v>#N/A</v>
        <stp/>
        <stp>BDH|7521618834240554171</stp>
        <tr r="X48" s="17"/>
      </tp>
      <tp t="e">
        <v>#N/A</v>
        <stp/>
        <stp>BDH|7700166177630599215</stp>
        <tr r="Q59" s="24"/>
      </tp>
      <tp t="e">
        <v>#N/A</v>
        <stp/>
        <stp>BDH|9531755647968326162</stp>
        <tr r="E34" s="18"/>
      </tp>
      <tp t="e">
        <v>#N/A</v>
        <stp/>
        <stp>BDH|5123578822295661401</stp>
        <tr r="Q23" s="24"/>
      </tp>
      <tp t="e">
        <v>#N/A</v>
        <stp/>
        <stp>BDH|5500492975653220699</stp>
        <tr r="P35" s="18"/>
      </tp>
      <tp t="e">
        <v>#N/A</v>
        <stp/>
        <stp>BDH|2043019276462733424</stp>
        <tr r="S35" s="6"/>
      </tp>
      <tp t="e">
        <v>#N/A</v>
        <stp/>
        <stp>BDH|2759118025261758364</stp>
        <tr r="D16" s="20"/>
      </tp>
      <tp t="e">
        <v>#N/A</v>
        <stp/>
        <stp>BDH|6439367384998631620</stp>
        <tr r="J63" s="34"/>
      </tp>
      <tp t="e">
        <v>#N/A</v>
        <stp/>
        <stp>BDH|3651652761461204132</stp>
        <tr r="G10" s="6"/>
      </tp>
      <tp t="e">
        <v>#N/A</v>
        <stp/>
        <stp>BDH|6200361275373741257</stp>
        <tr r="J20" s="6"/>
      </tp>
      <tp t="e">
        <v>#N/A</v>
        <stp/>
        <stp>BDH|6272239796137263968</stp>
        <tr r="Y40" s="24"/>
      </tp>
      <tp t="e">
        <v>#N/A</v>
        <stp/>
        <stp>BDH|5391530736958722823</stp>
        <tr r="Z10" s="21"/>
      </tp>
      <tp t="e">
        <v>#N/A</v>
        <stp/>
        <stp>BDH|6036615972186475241</stp>
        <tr r="Y26" s="21"/>
      </tp>
      <tp t="e">
        <v>#N/A</v>
        <stp/>
        <stp>BDH|1100465131140326567</stp>
        <tr r="P52" s="10"/>
        <tr r="P44" s="11"/>
        <tr r="P16" s="7"/>
      </tp>
      <tp t="e">
        <v>#N/A</v>
        <stp/>
        <stp>BDH|4349622412238124817</stp>
        <tr r="Y28" s="18"/>
      </tp>
      <tp t="e">
        <v>#N/A</v>
        <stp/>
        <stp>BDH|7629131297089720561</stp>
        <tr r="D124" s="18"/>
      </tp>
      <tp t="e">
        <v>#N/A</v>
        <stp/>
        <stp>BDH|5113439521392208228</stp>
        <tr r="R9" s="21"/>
      </tp>
      <tp t="e">
        <v>#N/A</v>
        <stp/>
        <stp>BDH|5234424223186602665</stp>
        <tr r="Y89" s="17"/>
      </tp>
      <tp t="e">
        <v>#N/A</v>
        <stp/>
        <stp>BDH|7929743432939929958</stp>
        <tr r="E105" s="18"/>
      </tp>
      <tp t="e">
        <v>#N/A</v>
        <stp/>
        <stp>BDH|1676003805877279529</stp>
        <tr r="T28" s="12"/>
      </tp>
      <tp t="e">
        <v>#N/A</v>
        <stp/>
        <stp>BDH|8835989643380093602</stp>
        <tr r="U64" s="11"/>
        <tr r="U72" s="10"/>
      </tp>
      <tp t="e">
        <v>#N/A</v>
        <stp/>
        <stp>BDH|1133726502626361311</stp>
        <tr r="C8" s="4"/>
      </tp>
      <tp t="e">
        <v>#N/A</v>
        <stp/>
        <stp>BDH|4578672970503516545</stp>
        <tr r="N77" s="12"/>
      </tp>
      <tp t="e">
        <v>#N/A</v>
        <stp/>
        <stp>BDH|2560063181651534844</stp>
        <tr r="Z21" s="3"/>
      </tp>
      <tp t="e">
        <v>#N/A</v>
        <stp/>
        <stp>BDH|3620619865983668370</stp>
        <tr r="M34" s="22"/>
      </tp>
      <tp t="e">
        <v>#N/A</v>
        <stp/>
        <stp>BDH|3215654503263500520</stp>
        <tr r="AA89" s="18"/>
      </tp>
      <tp t="e">
        <v>#N/A</v>
        <stp/>
        <stp>BDH|4675538350235626208</stp>
        <tr r="O76" s="18"/>
      </tp>
      <tp t="e">
        <v>#N/A</v>
        <stp/>
        <stp>BDH|7644191578952238068</stp>
        <tr r="R40" s="13"/>
        <tr r="P36" s="10"/>
        <tr r="P28" s="11"/>
      </tp>
      <tp t="e">
        <v>#N/A</v>
        <stp/>
        <stp>BDH|7874693266176055246</stp>
        <tr r="J116" s="18"/>
      </tp>
      <tp t="e">
        <v>#N/A</v>
        <stp/>
        <stp>BDH|2147491351703241380</stp>
        <tr r="G157" s="18"/>
      </tp>
      <tp t="e">
        <v>#N/A</v>
        <stp/>
        <stp>BDH|7010020934334439318</stp>
        <tr r="D15" s="26"/>
      </tp>
      <tp t="e">
        <v>#N/A</v>
        <stp/>
        <stp>BDH|8345818629409985818</stp>
        <tr r="AA28" s="22"/>
      </tp>
      <tp t="e">
        <v>#N/A</v>
        <stp/>
        <stp>BDH|5789624130462059165</stp>
        <tr r="AA20" s="17"/>
      </tp>
      <tp t="e">
        <v>#N/A</v>
        <stp/>
        <stp>BDH|6350739003205460742</stp>
        <tr r="V36" s="34"/>
      </tp>
      <tp t="e">
        <v>#N/A</v>
        <stp/>
        <stp>BDH|2849273335252992206</stp>
        <tr r="Y92" s="17"/>
        <tr r="Y7" s="27"/>
      </tp>
      <tp t="e">
        <v>#N/A</v>
        <stp/>
        <stp>BDH|6923845933766895853</stp>
        <tr r="U168" s="18"/>
      </tp>
      <tp t="e">
        <v>#N/A</v>
        <stp/>
        <stp>BDH|7480382856344162682</stp>
        <tr r="N132" s="18"/>
      </tp>
      <tp t="e">
        <v>#N/A</v>
        <stp/>
        <stp>BDH|8246938137384047556</stp>
        <tr r="G7" s="20"/>
        <tr r="G109" s="18"/>
      </tp>
      <tp t="e">
        <v>#N/A</v>
        <stp/>
        <stp>BDH|4447990513456595985</stp>
        <tr r="S23" s="22"/>
      </tp>
      <tp t="e">
        <v>#N/A</v>
        <stp/>
        <stp>BDH|9300564203886320962</stp>
        <tr r="E15" s="12"/>
      </tp>
      <tp t="e">
        <v>#N/A</v>
        <stp/>
        <stp>BDH|5242706303843631246</stp>
        <tr r="Y61" s="21"/>
        <tr r="W25" s="2"/>
      </tp>
      <tp t="e">
        <v>#N/A</v>
        <stp/>
        <stp>BDH|2136835784906337763</stp>
        <tr r="AA13" s="18"/>
      </tp>
      <tp t="e">
        <v>#N/A</v>
        <stp/>
        <stp>BDH|7879124449287563658</stp>
        <tr r="R46" s="6"/>
      </tp>
      <tp t="e">
        <v>#N/A</v>
        <stp/>
        <stp>BDH|4717515248970443697</stp>
        <tr r="AA20" s="26"/>
      </tp>
      <tp t="e">
        <v>#N/A</v>
        <stp/>
        <stp>BDH|3341013604626066659</stp>
        <tr r="I14" s="22"/>
      </tp>
      <tp t="e">
        <v>#N/A</v>
        <stp/>
        <stp>BDH|1872502698058870683</stp>
        <tr r="H105" s="18"/>
      </tp>
      <tp t="e">
        <v>#N/A</v>
        <stp/>
        <stp>BDH|4209325027086060072</stp>
        <tr r="W110" s="12"/>
      </tp>
      <tp t="e">
        <v>#N/A</v>
        <stp/>
        <stp>BDH|5474480275351070492</stp>
        <tr r="V66" s="24"/>
      </tp>
      <tp t="e">
        <v>#N/A</v>
        <stp/>
        <stp>BDH|7578402615178216924</stp>
        <tr r="E146" s="18"/>
      </tp>
      <tp t="e">
        <v>#N/A</v>
        <stp/>
        <stp>BDH|2419906094541449046</stp>
        <tr r="AA28" s="21"/>
      </tp>
      <tp t="e">
        <v>#N/A</v>
        <stp/>
        <stp>BDH|9193058605732673871</stp>
        <tr r="D62" s="18"/>
      </tp>
      <tp t="e">
        <v>#N/A</v>
        <stp/>
        <stp>BDH|5940384174034673637</stp>
        <tr r="AA84" s="12"/>
      </tp>
      <tp t="e">
        <v>#N/A</v>
        <stp/>
        <stp>BDH|2195235034214589436</stp>
        <tr r="G19" s="9"/>
      </tp>
      <tp t="e">
        <v>#N/A</v>
        <stp/>
        <stp>BDH|1419074027124458402</stp>
        <tr r="U47" s="10"/>
        <tr r="U27" s="11"/>
        <tr r="U39" s="11"/>
        <tr r="U35" s="10"/>
      </tp>
      <tp t="e">
        <v>#N/A</v>
        <stp/>
        <stp>BDH|6351264544604448750</stp>
        <tr r="J29" s="24"/>
      </tp>
      <tp t="e">
        <v>#N/A</v>
        <stp/>
        <stp>BDH|6683738355671476643</stp>
        <tr r="AA40" s="13"/>
        <tr r="Y28" s="11"/>
        <tr r="Y36" s="10"/>
      </tp>
      <tp t="e">
        <v>#N/A</v>
        <stp/>
        <stp>BDH|5452344494054470804</stp>
        <tr r="W9" s="23"/>
      </tp>
      <tp t="e">
        <v>#N/A</v>
        <stp/>
        <stp>BDH|2847208673442841639</stp>
        <tr r="V6" s="20"/>
        <tr r="V108" s="18"/>
      </tp>
      <tp t="e">
        <v>#N/A</v>
        <stp/>
        <stp>BDH|6701085180649613497</stp>
        <tr r="E16" s="30"/>
      </tp>
      <tp t="e">
        <v>#N/A</v>
        <stp/>
        <stp>BDH|4318765892298041177</stp>
        <tr r="U45" s="12"/>
      </tp>
      <tp t="e">
        <v>#N/A</v>
        <stp/>
        <stp>BDH|3924112664940992754</stp>
        <tr r="N43" s="6"/>
        <tr r="N19" s="5"/>
      </tp>
      <tp t="e">
        <v>#N/A</v>
        <stp/>
        <stp>BDH|3425219363100370459</stp>
        <tr r="N71" s="12"/>
      </tp>
      <tp t="e">
        <v>#N/A</v>
        <stp/>
        <stp>BDH|5423659637907413427</stp>
        <tr r="U9" s="12"/>
      </tp>
      <tp t="e">
        <v>#N/A</v>
        <stp/>
        <stp>BDH|3042671876010369127</stp>
        <tr r="Z64" s="21"/>
        <tr r="X23" s="7"/>
      </tp>
      <tp t="e">
        <v>#N/A</v>
        <stp/>
        <stp>BDH|5821537909262558175</stp>
        <tr r="H31" s="11"/>
        <tr r="H39" s="10"/>
      </tp>
      <tp t="e">
        <v>#N/A</v>
        <stp/>
        <stp>BDH|5982863857822148990</stp>
        <tr r="AA64" s="18"/>
      </tp>
      <tp t="e">
        <v>#N/A</v>
        <stp/>
        <stp>BDH|7050413422050310200</stp>
        <tr r="L16" s="6"/>
      </tp>
      <tp t="e">
        <v>#N/A</v>
        <stp/>
        <stp>BDH|8494266046269280462</stp>
        <tr r="K41" s="18"/>
      </tp>
      <tp t="e">
        <v>#N/A</v>
        <stp/>
        <stp>BDH|1708272004200374070</stp>
        <tr r="P77" s="18"/>
      </tp>
      <tp t="e">
        <v>#N/A</v>
        <stp/>
        <stp>BDH|2847104350486005383</stp>
        <tr r="I32" s="26"/>
      </tp>
      <tp t="e">
        <v>#N/A</v>
        <stp/>
        <stp>BDH|5946839078839349017</stp>
        <tr r="O44" s="18"/>
      </tp>
      <tp t="e">
        <v>#N/A</v>
        <stp/>
        <stp>BDH|5460556610457787565</stp>
        <tr r="M64" s="24"/>
      </tp>
      <tp t="e">
        <v>#N/A</v>
        <stp/>
        <stp>BDH|1091989454986878847</stp>
        <tr r="V12" s="22"/>
      </tp>
      <tp t="e">
        <v>#N/A</v>
        <stp/>
        <stp>BDH|6559265464990173167</stp>
        <tr r="K42" s="10"/>
        <tr r="K34" s="11"/>
      </tp>
      <tp t="e">
        <v>#N/A</v>
        <stp/>
        <stp>BDH|5486035384438107620</stp>
        <tr r="J38" s="18"/>
      </tp>
      <tp t="e">
        <v>#N/A</v>
        <stp/>
        <stp>BDH|3078919563457445867</stp>
        <tr r="H28" s="22"/>
      </tp>
      <tp t="e">
        <v>#N/A</v>
        <stp/>
        <stp>BDH|2428177857066799335</stp>
        <tr r="K107" s="12"/>
      </tp>
      <tp t="e">
        <v>#N/A</v>
        <stp/>
        <stp>BDH|8169251693539624919</stp>
        <tr r="T41" s="6"/>
      </tp>
      <tp t="e">
        <v>#N/A</v>
        <stp/>
        <stp>BDH|8058967152850315772</stp>
        <tr r="E46" s="21"/>
      </tp>
      <tp t="e">
        <v>#N/A</v>
        <stp/>
        <stp>BDH|3485502717144117021</stp>
        <tr r="P44" s="24"/>
      </tp>
      <tp t="e">
        <v>#N/A</v>
        <stp/>
        <stp>BDH|4470010725083792675</stp>
        <tr r="N37" s="22"/>
      </tp>
      <tp t="e">
        <v>#N/A</v>
        <stp/>
        <stp>BDH|4446448284599247266</stp>
        <tr r="X47" s="21"/>
      </tp>
      <tp t="e">
        <v>#N/A</v>
        <stp/>
        <stp>BDH|5136618461914507248</stp>
        <tr r="W18" s="13"/>
      </tp>
      <tp t="e">
        <v>#N/A</v>
        <stp/>
        <stp>BDH|8366290760069880624</stp>
        <tr r="N30" s="6"/>
      </tp>
      <tp t="e">
        <v>#N/A</v>
        <stp/>
        <stp>BDH|3904419843349959925</stp>
        <tr r="F65" s="24"/>
      </tp>
      <tp t="e">
        <v>#N/A</v>
        <stp/>
        <stp>BDH|9270936085698557318</stp>
        <tr r="E66" s="10"/>
      </tp>
      <tp t="e">
        <v>#N/A</v>
        <stp/>
        <stp>BDH|4983853949408421317</stp>
        <tr r="X63" s="17"/>
      </tp>
      <tp t="e">
        <v>#N/A</v>
        <stp/>
        <stp>BDH|2344542282115791923</stp>
        <tr r="R65" s="34"/>
      </tp>
      <tp t="e">
        <v>#N/A</v>
        <stp/>
        <stp>BDH|4984421261481205480</stp>
        <tr r="T93" s="18"/>
      </tp>
      <tp t="e">
        <v>#N/A</v>
        <stp/>
        <stp>BDH|1353718963633508047</stp>
        <tr r="E16" s="17"/>
        <tr r="E19" s="28"/>
      </tp>
      <tp t="e">
        <v>#N/A</v>
        <stp/>
        <stp>BDH|3940589256159276957</stp>
        <tr r="F26" s="24"/>
      </tp>
      <tp t="e">
        <v>#N/A</v>
        <stp/>
        <stp>BDH|6008139262590861296</stp>
        <tr r="N24" s="24"/>
      </tp>
      <tp t="e">
        <v>#N/A</v>
        <stp/>
        <stp>BDH|4611748136736000542</stp>
        <tr r="Q14" s="17"/>
        <tr r="Q17" s="28"/>
      </tp>
      <tp t="e">
        <v>#N/A</v>
        <stp/>
        <stp>BDH|1655867560008688466</stp>
        <tr r="Q7" s="11"/>
      </tp>
      <tp t="e">
        <v>#N/A</v>
        <stp/>
        <stp>BDH|9680791372193573983</stp>
        <tr r="V18" s="9"/>
      </tp>
      <tp t="e">
        <v>#N/A</v>
        <stp/>
        <stp>BDH|5222079246333669152</stp>
        <tr r="J73" s="18"/>
      </tp>
      <tp t="e">
        <v>#N/A</v>
        <stp/>
        <stp>BDH|6604433726601222218</stp>
        <tr r="X22" s="22"/>
      </tp>
      <tp t="e">
        <v>#N/A</v>
        <stp/>
        <stp>BDH|1571041035628371978</stp>
        <tr r="O34" s="21"/>
      </tp>
      <tp t="e">
        <v>#N/A</v>
        <stp/>
        <stp>BDH|2027763540591597332</stp>
        <tr r="O56" s="24"/>
      </tp>
      <tp t="e">
        <v>#N/A</v>
        <stp/>
        <stp>BDH|8577486398926209077</stp>
        <tr r="T71" s="24"/>
      </tp>
      <tp t="e">
        <v>#N/A</v>
        <stp/>
        <stp>BDH|5912938635529976565</stp>
        <tr r="X22" s="20"/>
      </tp>
      <tp t="e">
        <v>#N/A</v>
        <stp/>
        <stp>BDH|7307630913654306708</stp>
        <tr r="S102" s="18"/>
      </tp>
      <tp t="e">
        <v>#N/A</v>
        <stp/>
        <stp>BDH|5043120781777072825</stp>
        <tr r="F43" s="18"/>
      </tp>
      <tp t="e">
        <v>#N/A</v>
        <stp/>
        <stp>BDH|2984460854741266188</stp>
        <tr r="V28" s="12"/>
      </tp>
      <tp t="e">
        <v>#N/A</v>
        <stp/>
        <stp>BDH|7407228726193516749</stp>
        <tr r="J32" s="25"/>
        <tr r="J18" s="27"/>
      </tp>
      <tp t="e">
        <v>#N/A</v>
        <stp/>
        <stp>BDH|2136286539037162703</stp>
        <tr r="Q68" s="34"/>
      </tp>
      <tp t="e">
        <v>#N/A</v>
        <stp/>
        <stp>BDH|2486557041490191002</stp>
        <tr r="W14" s="30"/>
      </tp>
      <tp t="e">
        <v>#N/A</v>
        <stp/>
        <stp>BDH|5114321008253956634</stp>
        <tr r="E17" s="34"/>
      </tp>
      <tp t="e">
        <v>#N/A</v>
        <stp/>
        <stp>BDH|2006168305907347716</stp>
        <tr r="Z8" s="8"/>
      </tp>
      <tp t="e">
        <v>#N/A</v>
        <stp/>
        <stp>BDH|4589689140490922554</stp>
        <tr r="W23" s="5"/>
      </tp>
      <tp t="e">
        <v>#N/A</v>
        <stp/>
        <stp>BDH|9620719686293935699</stp>
        <tr r="S40" s="34"/>
      </tp>
      <tp t="e">
        <v>#N/A</v>
        <stp/>
        <stp>BDH|3307686458437741454</stp>
        <tr r="D37" s="29"/>
        <tr r="D17" s="29"/>
      </tp>
      <tp t="e">
        <v>#N/A</v>
        <stp/>
        <stp>BDH|7144932592791109503</stp>
        <tr r="J9" s="28"/>
      </tp>
      <tp t="e">
        <v>#N/A</v>
        <stp/>
        <stp>BDH|6614795605763332185</stp>
        <tr r="H6" s="15"/>
        <tr r="H6" s="10"/>
        <tr r="H12" s="2"/>
        <tr r="H11" s="4"/>
      </tp>
      <tp t="e">
        <v>#N/A</v>
        <stp/>
        <stp>BDH|3257628513764565379</stp>
        <tr r="J59" s="12"/>
      </tp>
      <tp t="e">
        <v>#N/A</v>
        <stp/>
        <stp>BDH|7475311686769509674</stp>
        <tr r="P31" s="29"/>
        <tr r="P39" s="29"/>
        <tr r="O52" s="6"/>
        <tr r="P10" s="2"/>
        <tr r="O11" s="5"/>
      </tp>
      <tp t="e">
        <v>#N/A</v>
        <stp/>
        <stp>BDH|4401603612640079077</stp>
        <tr r="W25" s="18"/>
      </tp>
      <tp t="e">
        <v>#N/A</v>
        <stp/>
        <stp>BDH|1282529534527470317</stp>
        <tr r="I9" s="20"/>
        <tr r="I111" s="18"/>
      </tp>
      <tp t="e">
        <v>#N/A</v>
        <stp/>
        <stp>BDH|2900631477137861742</stp>
        <tr r="P127" s="18"/>
      </tp>
      <tp t="e">
        <v>#N/A</v>
        <stp/>
        <stp>BDH|2086829385876792714</stp>
        <tr r="Q77" s="17"/>
        <tr r="Q19" s="3"/>
      </tp>
      <tp t="e">
        <v>#N/A</v>
        <stp/>
        <stp>BDH|7574645230549721871</stp>
        <tr r="E25" s="6"/>
      </tp>
      <tp t="e">
        <v>#N/A</v>
        <stp/>
        <stp>BDH|6444564382190769860</stp>
        <tr r="H22" s="10"/>
      </tp>
      <tp t="e">
        <v>#N/A</v>
        <stp/>
        <stp>BDH|3170490846533709385</stp>
        <tr r="O40" s="29"/>
      </tp>
      <tp t="e">
        <v>#N/A</v>
        <stp/>
        <stp>BDH|4572420166660109517</stp>
        <tr r="T36" s="34"/>
      </tp>
      <tp t="e">
        <v>#N/A</v>
        <stp/>
        <stp>BDH|7520766134717649701</stp>
        <tr r="V21" s="27"/>
      </tp>
      <tp t="e">
        <v>#N/A</v>
        <stp/>
        <stp>BDH|3662267557306292142</stp>
        <tr r="C68" s="34"/>
      </tp>
      <tp t="e">
        <v>#N/A</v>
        <stp/>
        <stp>BDH|4945009429311156402</stp>
        <tr r="P10" s="6"/>
      </tp>
      <tp t="e">
        <v>#N/A</v>
        <stp/>
        <stp>BDH|7277157137735675379</stp>
        <tr r="Q15" s="11"/>
      </tp>
      <tp t="e">
        <v>#N/A</v>
        <stp/>
        <stp>BDH|1423159372112054624</stp>
        <tr r="J22" s="10"/>
      </tp>
      <tp t="e">
        <v>#N/A</v>
        <stp/>
        <stp>BDH|2258236355980615630</stp>
        <tr r="M49" s="22"/>
      </tp>
      <tp t="e">
        <v>#N/A</v>
        <stp/>
        <stp>BDH|5890053324960993411</stp>
        <tr r="S14" s="20"/>
        <tr r="S115" s="18"/>
      </tp>
      <tp t="e">
        <v>#N/A</v>
        <stp/>
        <stp>BDH|7048812633998566762</stp>
        <tr r="N40" s="13"/>
        <tr r="L28" s="11"/>
        <tr r="L36" s="10"/>
      </tp>
      <tp t="e">
        <v>#N/A</v>
        <stp/>
        <stp>BDH|8401589387206353094</stp>
        <tr r="V7" s="17"/>
      </tp>
      <tp t="e">
        <v>#N/A</v>
        <stp/>
        <stp>BDH|2777461605170094554</stp>
        <tr r="L33" s="34"/>
      </tp>
      <tp t="e">
        <v>#N/A</v>
        <stp/>
        <stp>BDH|8761418581740003763</stp>
        <tr r="C37" s="18"/>
      </tp>
      <tp t="e">
        <v>#N/A</v>
        <stp/>
        <stp>BDH|2174080945242890756</stp>
        <tr r="I42" s="4"/>
      </tp>
      <tp t="e">
        <v>#N/A</v>
        <stp/>
        <stp>BDH|9727617886836573247</stp>
        <tr r="N7" s="29"/>
        <tr r="N29" s="29"/>
      </tp>
      <tp t="e">
        <v>#N/A</v>
        <stp/>
        <stp>BDH|2845158804254149496</stp>
        <tr r="K76" s="17"/>
        <tr r="H9" s="9"/>
        <tr r="H9" s="5"/>
      </tp>
      <tp t="e">
        <v>#N/A</v>
        <stp/>
        <stp>BDH|8652307450884643912</stp>
        <tr r="N50" s="4"/>
      </tp>
      <tp t="e">
        <v>#N/A</v>
        <stp/>
        <stp>BDH|9917180399810119287</stp>
        <tr r="E42" s="22"/>
      </tp>
      <tp t="e">
        <v>#N/A</v>
        <stp/>
        <stp>BDH|3245628221081436540</stp>
        <tr r="Q31" s="21"/>
      </tp>
      <tp t="e">
        <v>#N/A</v>
        <stp/>
        <stp>BDH|9219848210754537722</stp>
        <tr r="I46" s="24"/>
      </tp>
      <tp t="e">
        <v>#N/A</v>
        <stp/>
        <stp>BDH|9031345767948377716</stp>
        <tr r="X97" s="18"/>
      </tp>
      <tp t="e">
        <v>#N/A</v>
        <stp/>
        <stp>BDH|1945116539667891783</stp>
        <tr r="D58" s="13"/>
      </tp>
      <tp t="e">
        <v>#N/A</v>
        <stp/>
        <stp>BDH|8727060791300693276</stp>
        <tr r="G41" s="18"/>
      </tp>
      <tp t="e">
        <v>#N/A</v>
        <stp/>
        <stp>BDH|5190173031665538131</stp>
        <tr r="F35" s="24"/>
      </tp>
      <tp t="e">
        <v>#N/A</v>
        <stp/>
        <stp>BDH|3426012504454456430</stp>
        <tr r="H56" s="24"/>
      </tp>
      <tp t="e">
        <v>#N/A</v>
        <stp/>
        <stp>BDH|4555286437717930156</stp>
        <tr r="F36" s="34"/>
      </tp>
      <tp t="e">
        <v>#N/A</v>
        <stp/>
        <stp>BDH|3762655762011645106</stp>
        <tr r="R18" s="17"/>
      </tp>
      <tp t="e">
        <v>#N/A</v>
        <stp/>
        <stp>BDH|9111545140312110927</stp>
        <tr r="K59" s="34"/>
      </tp>
      <tp t="e">
        <v>#N/A</v>
        <stp/>
        <stp>BDH|1959220295359130094</stp>
        <tr r="I35" s="22"/>
      </tp>
      <tp t="e">
        <v>#N/A</v>
        <stp/>
        <stp>BDH|2846501557414066597</stp>
        <tr r="K32" s="13"/>
        <tr r="I28" s="10"/>
      </tp>
      <tp t="e">
        <v>#N/A</v>
        <stp/>
        <stp>BDH|4098414527434509559</stp>
        <tr r="Q84" s="17"/>
      </tp>
      <tp t="e">
        <v>#N/A</v>
        <stp/>
        <stp>BDH|1404376770151016756</stp>
        <tr r="Q128" s="18"/>
      </tp>
      <tp t="e">
        <v>#N/A</v>
        <stp/>
        <stp>BDH|2586600148076890531</stp>
        <tr r="K8" s="2"/>
      </tp>
      <tp t="e">
        <v>#N/A</v>
        <stp/>
        <stp>BDH|3100604637630710570</stp>
        <tr r="Z32" s="17"/>
      </tp>
      <tp t="e">
        <v>#N/A</v>
        <stp/>
        <stp>BDH|1849712608404148165</stp>
        <tr r="O28" s="21"/>
      </tp>
      <tp t="e">
        <v>#N/A</v>
        <stp/>
        <stp>BDH|9309701148538442193</stp>
        <tr r="E43" s="21"/>
      </tp>
      <tp t="e">
        <v>#N/A</v>
        <stp/>
        <stp>BDH|1231224219524776587</stp>
        <tr r="W81" s="12"/>
      </tp>
      <tp t="e">
        <v>#N/A</v>
        <stp/>
        <stp>BDH|5638305601772860795</stp>
        <tr r="H91" s="12"/>
      </tp>
      <tp t="e">
        <v>#N/A</v>
        <stp/>
        <stp>BDH|7443412696950449919</stp>
        <tr r="AA142" s="18"/>
      </tp>
      <tp t="e">
        <v>#N/A</v>
        <stp/>
        <stp>BDH|3919050476306507190</stp>
        <tr r="T25" s="12"/>
      </tp>
      <tp t="e">
        <v>#N/A</v>
        <stp/>
        <stp>BDH|4997692312902516216</stp>
        <tr r="F88" s="17"/>
      </tp>
      <tp t="e">
        <v>#N/A</v>
        <stp/>
        <stp>BDH|7705555137504127627</stp>
        <tr r="O13" s="2"/>
      </tp>
      <tp t="e">
        <v>#N/A</v>
        <stp/>
        <stp>BDH|8768535202418505652</stp>
        <tr r="C12" s="21"/>
      </tp>
      <tp t="e">
        <v>#N/A</v>
        <stp/>
        <stp>BDH|3663677288538992669</stp>
        <tr r="M24" s="34"/>
      </tp>
      <tp t="e">
        <v>#N/A</v>
        <stp/>
        <stp>BDH|3827224662912733698</stp>
        <tr r="O67" s="10"/>
      </tp>
      <tp t="e">
        <v>#N/A</v>
        <stp/>
        <stp>BDH|7065151210443477773</stp>
        <tr r="N55" s="11"/>
      </tp>
      <tp t="e">
        <v>#N/A</v>
        <stp/>
        <stp>BDH|6945140332837097092</stp>
        <tr r="O22" s="18"/>
      </tp>
      <tp t="e">
        <v>#N/A</v>
        <stp/>
        <stp>BDH|5454338794079587502</stp>
        <tr r="T82" s="12"/>
      </tp>
      <tp t="e">
        <v>#N/A</v>
        <stp/>
        <stp>BDH|7711474896781712875</stp>
        <tr r="C157" s="18"/>
      </tp>
      <tp t="e">
        <v>#N/A</v>
        <stp/>
        <stp>BDH|1955189994699158329</stp>
        <tr r="Z15" s="13"/>
      </tp>
      <tp t="e">
        <v>#N/A</v>
        <stp/>
        <stp>BDH|4397953952673726858</stp>
        <tr r="Y9" s="27"/>
      </tp>
      <tp t="e">
        <v>#N/A</v>
        <stp/>
        <stp>BDH|2717474340743184273</stp>
        <tr r="M51" s="18"/>
      </tp>
      <tp t="e">
        <v>#N/A</v>
        <stp/>
        <stp>BDH|7341129634737574164</stp>
        <tr r="X30" s="22"/>
      </tp>
      <tp t="e">
        <v>#N/A</v>
        <stp/>
        <stp>BDH|9465369556189317516</stp>
        <tr r="V22" s="10"/>
      </tp>
      <tp t="e">
        <v>#N/A</v>
        <stp/>
        <stp>BDH|6260658954616320063</stp>
        <tr r="W44" s="22"/>
      </tp>
      <tp t="e">
        <v>#N/A</v>
        <stp/>
        <stp>BDH|1176108083662164957</stp>
        <tr r="E54" s="6"/>
      </tp>
      <tp t="e">
        <v>#N/A</v>
        <stp/>
        <stp>BDH|2444865671476283875</stp>
        <tr r="S19" s="11"/>
      </tp>
      <tp t="e">
        <v>#N/A</v>
        <stp/>
        <stp>BDH|4819421357637875139</stp>
        <tr r="X64" s="12"/>
      </tp>
      <tp t="e">
        <v>#N/A</v>
        <stp/>
        <stp>BDH|7354672924091199176</stp>
        <tr r="Q39" s="26"/>
      </tp>
      <tp t="e">
        <v>#N/A</v>
        <stp/>
        <stp>BDH|1043230466692230419</stp>
        <tr r="U57" s="12"/>
      </tp>
      <tp t="e">
        <v>#N/A</v>
        <stp/>
        <stp>BDH|2515681478302596261</stp>
        <tr r="X41" s="24"/>
      </tp>
      <tp t="e">
        <v>#N/A</v>
        <stp/>
        <stp>BDH|4663661768920711794</stp>
        <tr r="T59" s="13"/>
      </tp>
      <tp t="e">
        <v>#N/A</v>
        <stp/>
        <stp>BDH|7833862055611495895</stp>
        <tr r="D14" s="11"/>
      </tp>
      <tp t="e">
        <v>#N/A</v>
        <stp/>
        <stp>BDH|7923646516025581681</stp>
        <tr r="Q14" s="30"/>
      </tp>
      <tp t="e">
        <v>#N/A</v>
        <stp/>
        <stp>BDH|3729055914195025409</stp>
        <tr r="M54" s="21"/>
      </tp>
      <tp t="e">
        <v>#N/A</v>
        <stp/>
        <stp>BDH|8905092606649292221</stp>
        <tr r="U19" s="23"/>
        <tr r="S59" s="11"/>
      </tp>
      <tp t="e">
        <v>#N/A</v>
        <stp/>
        <stp>BDH|9263119895457526556</stp>
        <tr r="I19" s="24"/>
      </tp>
      <tp t="e">
        <v>#N/A</v>
        <stp/>
        <stp>BDH|2888222090812950858</stp>
        <tr r="S10" s="34"/>
      </tp>
      <tp t="e">
        <v>#N/A</v>
        <stp/>
        <stp>BDH|8013147673299629478</stp>
        <tr r="V110" s="12"/>
      </tp>
      <tp t="e">
        <v>#N/A</v>
        <stp/>
        <stp>BDH|1596308714013564336</stp>
        <tr r="N44" s="22"/>
      </tp>
      <tp t="e">
        <v>#N/A</v>
        <stp/>
        <stp>BDH|4101276333523175535</stp>
        <tr r="P51" s="17"/>
      </tp>
      <tp t="e">
        <v>#N/A</v>
        <stp/>
        <stp>BDH|7938028442094983473</stp>
        <tr r="T78" s="17"/>
      </tp>
      <tp t="e">
        <v>#N/A</v>
        <stp/>
        <stp>BDH|7554249519102793584</stp>
        <tr r="S45" s="18"/>
      </tp>
      <tp t="e">
        <v>#N/A</v>
        <stp/>
        <stp>BDH|4937813499234723210</stp>
        <tr r="P87" s="18"/>
      </tp>
      <tp t="e">
        <v>#N/A</v>
        <stp/>
        <stp>BDH|7050047450019116823</stp>
        <tr r="M48" s="24"/>
      </tp>
      <tp t="e">
        <v>#N/A</v>
        <stp/>
        <stp>BDH|4570143673073027255</stp>
        <tr r="D6" s="6"/>
      </tp>
      <tp t="e">
        <v>#N/A</v>
        <stp/>
        <stp>BDH|3092185576482188483</stp>
        <tr r="Z41" s="13"/>
        <tr r="X29" s="11"/>
        <tr r="X37" s="10"/>
      </tp>
      <tp t="e">
        <v>#N/A</v>
        <stp/>
        <stp>BDH|3891688059402630185</stp>
        <tr r="Y13" s="13"/>
      </tp>
      <tp t="e">
        <v>#N/A</v>
        <stp/>
        <stp>BDH|8752394164517861951</stp>
        <tr r="W42" s="17"/>
      </tp>
      <tp t="e">
        <v>#N/A</v>
        <stp/>
        <stp>BDH|8363605841471114845</stp>
        <tr r="K49" s="18"/>
      </tp>
      <tp t="e">
        <v>#N/A</v>
        <stp/>
        <stp>BDH|6342121520336652001</stp>
        <tr r="T58" s="18"/>
      </tp>
      <tp t="e">
        <v>#N/A</v>
        <stp/>
        <stp>BDH|4479648156963630777</stp>
        <tr r="F13" s="5"/>
      </tp>
      <tp t="e">
        <v>#N/A</v>
        <stp/>
        <stp>BDH|4698167381409592731</stp>
        <tr r="F53" s="18"/>
      </tp>
      <tp t="e">
        <v>#N/A</v>
        <stp/>
        <stp>BDH|2038754411422775546</stp>
        <tr r="V23" s="23"/>
      </tp>
      <tp t="e">
        <v>#N/A</v>
        <stp/>
        <stp>BDH|1279754313412045636</stp>
        <tr r="R34" s="26"/>
      </tp>
      <tp t="e">
        <v>#N/A</v>
        <stp/>
        <stp>BDH|7131206338646764391</stp>
        <tr r="L69" s="34"/>
      </tp>
      <tp t="e">
        <v>#N/A</v>
        <stp/>
        <stp>BDH|2314758833935606044</stp>
        <tr r="J86" s="12"/>
      </tp>
      <tp t="e">
        <v>#N/A</v>
        <stp/>
        <stp>BDH|4804811869781588829</stp>
        <tr r="Q61" s="18"/>
      </tp>
      <tp t="e">
        <v>#N/A</v>
        <stp/>
        <stp>BDH|8857568968100835899</stp>
        <tr r="Y54" s="21"/>
      </tp>
      <tp t="e">
        <v>#N/A</v>
        <stp/>
        <stp>BDH|2131750272713683275</stp>
        <tr r="S62" s="13"/>
        <tr r="Q49" s="11"/>
        <tr r="Q57" s="10"/>
        <tr r="Q19" s="7"/>
        <tr r="Q20" s="2"/>
        <tr r="Q18" s="4"/>
      </tp>
      <tp t="e">
        <v>#N/A</v>
        <stp/>
        <stp>BDH|8323545084982179450</stp>
        <tr r="L60" s="12"/>
      </tp>
      <tp t="e">
        <v>#N/A</v>
        <stp/>
        <stp>BDH|6710434882760532948</stp>
        <tr r="G92" s="17"/>
        <tr r="G7" s="27"/>
      </tp>
      <tp t="e">
        <v>#N/A</v>
        <stp/>
        <stp>BDH|7759385451110113289</stp>
        <tr r="N8" s="18"/>
      </tp>
      <tp t="e">
        <v>#N/A</v>
        <stp/>
        <stp>BDH|2139330409036420489</stp>
        <tr r="L26" s="17"/>
      </tp>
      <tp t="e">
        <v>#N/A</v>
        <stp/>
        <stp>BDH|9081595539535355946</stp>
        <tr r="L10" s="21"/>
      </tp>
      <tp t="e">
        <v>#N/A</v>
        <stp/>
        <stp>BDH|8802728985272043685</stp>
        <tr r="N87" s="12"/>
      </tp>
      <tp t="e">
        <v>#N/A</v>
        <stp/>
        <stp>BDH|2719065623253691034</stp>
        <tr r="K17" s="20"/>
      </tp>
      <tp t="e">
        <v>#N/A</v>
        <stp/>
        <stp>BDH|9392366073528387628</stp>
        <tr r="X16" s="11"/>
      </tp>
      <tp t="e">
        <v>#N/A</v>
        <stp/>
        <stp>BDH|5562471950951541600</stp>
        <tr r="M13" s="18"/>
      </tp>
      <tp t="e">
        <v>#N/A</v>
        <stp/>
        <stp>BDH|7872333400661494686</stp>
        <tr r="S31" s="12"/>
      </tp>
      <tp t="e">
        <v>#N/A</v>
        <stp/>
        <stp>BDH|8227436315168795641</stp>
        <tr r="N25" s="26"/>
      </tp>
      <tp t="e">
        <v>#N/A</v>
        <stp/>
        <stp>BDH|5296406254647721066</stp>
        <tr r="K43" s="17"/>
        <tr r="K9" s="25"/>
      </tp>
      <tp t="e">
        <v>#N/A</v>
        <stp/>
        <stp>BDH|5334868516259016645</stp>
        <tr r="L25" s="7"/>
      </tp>
      <tp t="e">
        <v>#N/A</v>
        <stp/>
        <stp>BDH|2206196651350886550</stp>
        <tr r="N153" s="18"/>
      </tp>
      <tp t="e">
        <v>#N/A</v>
        <stp/>
        <stp>BDH|2373348550440235724</stp>
        <tr r="J55" s="17"/>
      </tp>
      <tp t="e">
        <v>#N/A</v>
        <stp/>
        <stp>BDH|9987161239251810996</stp>
        <tr r="P46" s="21"/>
      </tp>
      <tp t="e">
        <v>#N/A</v>
        <stp/>
        <stp>BDH|4390240916394065063</stp>
        <tr r="Q106" s="12"/>
      </tp>
      <tp t="e">
        <v>#N/A</v>
        <stp/>
        <stp>BDH|1131338097060666842</stp>
        <tr r="G86" s="18"/>
      </tp>
      <tp t="e">
        <v>#N/A</v>
        <stp/>
        <stp>BDH|2346108870250377776</stp>
        <tr r="L78" s="12"/>
      </tp>
      <tp t="e">
        <v>#N/A</v>
        <stp/>
        <stp>BDH|1949270874080537788</stp>
        <tr r="L24" s="34"/>
      </tp>
      <tp t="e">
        <v>#N/A</v>
        <stp/>
        <stp>BDH|6617688589203938897</stp>
        <tr r="C23" s="23"/>
      </tp>
      <tp t="e">
        <v>#N/A</v>
        <stp/>
        <stp>BDH|4511732008381899117</stp>
        <tr r="W21" s="17"/>
        <tr r="W15" s="3"/>
      </tp>
      <tp t="e">
        <v>#N/A</v>
        <stp/>
        <stp>BDH|3292960795574040459</stp>
        <tr r="W45" s="13"/>
      </tp>
      <tp t="e">
        <v>#N/A</v>
        <stp/>
        <stp>BDH|2676323303320472270</stp>
        <tr r="K7" s="10"/>
      </tp>
      <tp t="e">
        <v>#N/A</v>
        <stp/>
        <stp>BDH|5063101504350636767</stp>
        <tr r="O16" s="10"/>
      </tp>
      <tp t="e">
        <v>#N/A</v>
        <stp/>
        <stp>BDH|4950174002725133396</stp>
        <tr r="R18" s="29"/>
        <tr r="R38" s="29"/>
      </tp>
      <tp t="e">
        <v>#N/A</v>
        <stp/>
        <stp>BDH|5626975443182730916</stp>
        <tr r="C6" s="11"/>
        <tr r="E6" s="3"/>
        <tr r="C10" s="4"/>
      </tp>
      <tp t="e">
        <v>#N/A</v>
        <stp/>
        <stp>BDH|9664424386505577332</stp>
        <tr r="X44" s="22"/>
      </tp>
      <tp t="e">
        <v>#N/A</v>
        <stp/>
        <stp>BDH|4170362212715642074</stp>
        <tr r="P14" s="28"/>
      </tp>
      <tp t="e">
        <v>#N/A</v>
        <stp/>
        <stp>BDH|4115059067019126868</stp>
        <tr r="H69" s="17"/>
      </tp>
      <tp t="e">
        <v>#N/A</v>
        <stp/>
        <stp>BDH|2119381595423872801</stp>
        <tr r="P61" s="12"/>
      </tp>
      <tp t="e">
        <v>#N/A</v>
        <stp/>
        <stp>BDH|4810060785299914660</stp>
        <tr r="C16" s="21"/>
      </tp>
      <tp t="e">
        <v>#N/A</v>
        <stp/>
        <stp>BDH|2233771440290469253</stp>
        <tr r="W26" s="21"/>
      </tp>
      <tp t="e">
        <v>#N/A</v>
        <stp/>
        <stp>BDH|3147298676953953635</stp>
        <tr r="E62" s="34"/>
      </tp>
      <tp t="e">
        <v>#N/A</v>
        <stp/>
        <stp>BDH|4916516544716173092</stp>
        <tr r="F44" s="24"/>
      </tp>
      <tp t="e">
        <v>#N/A</v>
        <stp/>
        <stp>BDH|4452632952507655372</stp>
        <tr r="G42" s="12"/>
      </tp>
      <tp t="e">
        <v>#N/A</v>
        <stp/>
        <stp>BDH|5869313101853496681</stp>
        <tr r="I11" s="28"/>
      </tp>
      <tp t="e">
        <v>#N/A</v>
        <stp/>
        <stp>BDH|7622774498122950846</stp>
        <tr r="C13" s="6"/>
      </tp>
      <tp t="e">
        <v>#N/A</v>
        <stp/>
        <stp>BDH|2091538315546740354</stp>
        <tr r="D9" s="8"/>
      </tp>
      <tp t="e">
        <v>#N/A</v>
        <stp/>
        <stp>BDH|1159180231224979454</stp>
        <tr r="M23" s="22"/>
      </tp>
      <tp t="e">
        <v>#N/A</v>
        <stp/>
        <stp>BDH|8550327415010339955</stp>
        <tr r="Y9" s="24"/>
      </tp>
      <tp t="e">
        <v>#N/A</v>
        <stp/>
        <stp>BDH|8516055661474433914</stp>
        <tr r="Q8" s="24"/>
      </tp>
      <tp t="e">
        <v>#N/A</v>
        <stp/>
        <stp>BDH|3707906052055254934</stp>
        <tr r="H76" s="18"/>
      </tp>
      <tp t="e">
        <v>#N/A</v>
        <stp/>
        <stp>BDH|2929811599463266376</stp>
        <tr r="L10" s="11"/>
      </tp>
      <tp t="e">
        <v>#N/A</v>
        <stp/>
        <stp>BDH|6650502900613360310</stp>
        <tr r="C64" s="21"/>
      </tp>
      <tp t="e">
        <v>#N/A</v>
        <stp/>
        <stp>BDH|2052054610807784767</stp>
        <tr r="K90" s="18"/>
      </tp>
      <tp t="e">
        <v>#N/A</v>
        <stp/>
        <stp>BDH|5502992473889262195</stp>
        <tr r="R50" s="4"/>
      </tp>
      <tp t="e">
        <v>#N/A</v>
        <stp/>
        <stp>BDH|9170199783414730781</stp>
        <tr r="S17" s="18"/>
      </tp>
      <tp t="e">
        <v>#N/A</v>
        <stp/>
        <stp>BDH|5948588986738469375</stp>
        <tr r="AA42" s="24"/>
      </tp>
      <tp t="e">
        <v>#N/A</v>
        <stp/>
        <stp>BDH|7888150438097241136</stp>
        <tr r="K20" s="34"/>
      </tp>
      <tp t="e">
        <v>#N/A</v>
        <stp/>
        <stp>BDH|3636409104522352650</stp>
        <tr r="H7" s="17"/>
      </tp>
      <tp t="e">
        <v>#N/A</v>
        <stp/>
        <stp>BDH|6147338533303756627</stp>
        <tr r="T49" s="4"/>
      </tp>
      <tp t="e">
        <v>#N/A</v>
        <stp/>
        <stp>BDH|4192769739181392295</stp>
        <tr r="P146" s="18"/>
      </tp>
      <tp t="e">
        <v>#N/A</v>
        <stp/>
        <stp>BDH|7738330394987056943</stp>
        <tr r="J46" s="17"/>
      </tp>
      <tp t="e">
        <v>#N/A</v>
        <stp/>
        <stp>BDH|9784381898631309103</stp>
        <tr r="H34" s="21"/>
      </tp>
      <tp t="e">
        <v>#N/A</v>
        <stp/>
        <stp>BDH|4818306893165637899</stp>
        <tr r="I17" s="22"/>
      </tp>
      <tp t="e">
        <v>#N/A</v>
        <stp/>
        <stp>BDH|2473542733160591722</stp>
        <tr r="V46" s="21"/>
      </tp>
      <tp t="e">
        <v>#N/A</v>
        <stp/>
        <stp>BDH|3338432306461682542</stp>
        <tr r="T30" s="18"/>
      </tp>
      <tp t="e">
        <v>#N/A</v>
        <stp/>
        <stp>BDH|1735538397578745604</stp>
        <tr r="E25" s="11"/>
        <tr r="E33" s="10"/>
      </tp>
      <tp t="e">
        <v>#N/A</v>
        <stp/>
        <stp>BDH|7896766925578864972</stp>
        <tr r="Z59" s="17"/>
      </tp>
      <tp t="e">
        <v>#N/A</v>
        <stp/>
        <stp>BDH|4458782168741763778</stp>
        <tr r="J64" s="18"/>
      </tp>
      <tp t="e">
        <v>#N/A</v>
        <stp/>
        <stp>BDH|2095568950009775858</stp>
        <tr r="P140" s="18"/>
      </tp>
      <tp t="e">
        <v>#N/A</v>
        <stp/>
        <stp>BDH|3730794219441647746</stp>
        <tr r="T8" s="24"/>
      </tp>
      <tp t="e">
        <v>#N/A</v>
        <stp/>
        <stp>BDH|2469475440509513836</stp>
        <tr r="G54" s="18"/>
      </tp>
      <tp t="e">
        <v>#N/A</v>
        <stp/>
        <stp>BDH|4682873715417070918</stp>
        <tr r="E44" s="18"/>
      </tp>
      <tp t="e">
        <v>#N/A</v>
        <stp/>
        <stp>BDH|1670517235657321344</stp>
        <tr r="V17" s="17"/>
        <tr r="V20" s="28"/>
      </tp>
      <tp t="e">
        <v>#N/A</v>
        <stp/>
        <stp>BDH|7935495414733733262</stp>
        <tr r="Q37" s="34"/>
      </tp>
      <tp t="e">
        <v>#N/A</v>
        <stp/>
        <stp>BDH|3852463842631182188</stp>
        <tr r="D22" s="10"/>
      </tp>
      <tp t="e">
        <v>#N/A</v>
        <stp/>
        <stp>BDH|3560725131543121727</stp>
        <tr r="T61" s="21"/>
        <tr r="R25" s="2"/>
      </tp>
      <tp t="e">
        <v>#N/A</v>
        <stp/>
        <stp>BDH|7227477601544277434</stp>
        <tr r="X176" s="18"/>
      </tp>
      <tp t="e">
        <v>#N/A</v>
        <stp/>
        <stp>BDH|9607677384143743771</stp>
        <tr r="L107" s="12"/>
      </tp>
      <tp t="e">
        <v>#N/A</v>
        <stp/>
        <stp>BDH|5292816246042349838</stp>
        <tr r="E78" s="12"/>
      </tp>
      <tp t="e">
        <v>#N/A</v>
        <stp/>
        <stp>BDH|7543679372844679131</stp>
        <tr r="H23" s="21"/>
      </tp>
      <tp t="e">
        <v>#N/A</v>
        <stp/>
        <stp>BDH|2311653871051034122</stp>
        <tr r="P33" s="18"/>
      </tp>
      <tp t="e">
        <v>#N/A</v>
        <stp/>
        <stp>BDH|2772472762611703201</stp>
        <tr r="N18" s="20"/>
      </tp>
      <tp t="e">
        <v>#N/A</v>
        <stp/>
        <stp>BDH|9301723807918584560</stp>
        <tr r="W48" s="17"/>
      </tp>
      <tp t="e">
        <v>#N/A</v>
        <stp/>
        <stp>BDH|8175621006374838984</stp>
        <tr r="M38" s="18"/>
      </tp>
      <tp t="e">
        <v>#N/A</v>
        <stp/>
        <stp>BDH|3735175359754944050</stp>
        <tr r="U30" s="29"/>
        <tr r="U8" s="29"/>
      </tp>
      <tp t="e">
        <v>#N/A</v>
        <stp/>
        <stp>BDH|3720751418452700482</stp>
        <tr r="AA19" s="12"/>
      </tp>
      <tp t="e">
        <v>#N/A</v>
        <stp/>
        <stp>BDH|6037668553763985591</stp>
        <tr r="I22" s="9"/>
      </tp>
      <tp t="e">
        <v>#N/A</v>
        <stp/>
        <stp>BDH|7659121853596059621</stp>
        <tr r="X29" s="22"/>
      </tp>
      <tp t="e">
        <v>#N/A</v>
        <stp/>
        <stp>BDH|1568512867237201643</stp>
        <tr r="R15" s="24"/>
      </tp>
      <tp t="e">
        <v>#N/A</v>
        <stp/>
        <stp>BDH|4270481481358928372</stp>
        <tr r="R78" s="24"/>
      </tp>
      <tp t="e">
        <v>#N/A</v>
        <stp/>
        <stp>BDH|5264721779960831649</stp>
        <tr r="H65" s="24"/>
      </tp>
      <tp t="e">
        <v>#N/A</v>
        <stp/>
        <stp>BDH|9974516889616469105</stp>
        <tr r="W9" s="12"/>
      </tp>
      <tp t="e">
        <v>#N/A</v>
        <stp/>
        <stp>BDH|7843896592704433122</stp>
        <tr r="N50" s="17"/>
      </tp>
      <tp t="e">
        <v>#N/A</v>
        <stp/>
        <stp>BDH|4469161554681106225</stp>
        <tr r="K21" s="9"/>
        <tr r="K21" s="5"/>
      </tp>
      <tp t="e">
        <v>#N/A</v>
        <stp/>
        <stp>BDH|1933106799208134243</stp>
        <tr r="V36" s="13"/>
        <tr r="T24" s="10"/>
        <tr r="T46" s="4"/>
      </tp>
      <tp t="e">
        <v>#N/A</v>
        <stp/>
        <stp>BDH|6336309473863026257</stp>
        <tr r="N12" s="27"/>
        <tr r="N26" s="25"/>
      </tp>
      <tp t="e">
        <v>#N/A</v>
        <stp/>
        <stp>BDH|4340813526194382928</stp>
        <tr r="D65" s="10"/>
        <tr r="D39" s="4"/>
      </tp>
      <tp t="e">
        <v>#N/A</v>
        <stp/>
        <stp>BDH|5495217670487592455</stp>
        <tr r="R128" s="18"/>
      </tp>
      <tp t="e">
        <v>#N/A</v>
        <stp/>
        <stp>BDH|1492722566926180543</stp>
        <tr r="K8" s="24"/>
      </tp>
      <tp t="e">
        <v>#N/A</v>
        <stp/>
        <stp>BDH|6262379376222605304</stp>
        <tr r="J10" s="21"/>
      </tp>
      <tp t="e">
        <v>#N/A</v>
        <stp/>
        <stp>BDH|5843579798512732852</stp>
        <tr r="I166" s="18"/>
      </tp>
      <tp t="e">
        <v>#N/A</v>
        <stp/>
        <stp>BDH|6448619160712702773</stp>
        <tr r="AA74" s="12"/>
      </tp>
      <tp t="e">
        <v>#N/A</v>
        <stp/>
        <stp>BDH|9976979332092958203</stp>
        <tr r="K53" s="13"/>
      </tp>
      <tp t="e">
        <v>#N/A</v>
        <stp/>
        <stp>BDH|3050398539503723322</stp>
        <tr r="F40" s="17"/>
      </tp>
      <tp t="e">
        <v>#N/A</v>
        <stp/>
        <stp>BDH|5065053460131695165</stp>
        <tr r="O31" s="22"/>
      </tp>
      <tp t="e">
        <v>#N/A</v>
        <stp/>
        <stp>BDH|9570953132752092271</stp>
        <tr r="M140" s="18"/>
      </tp>
      <tp t="e">
        <v>#N/A</v>
        <stp/>
        <stp>BDH|5300439953011651607</stp>
        <tr r="E61" s="12"/>
      </tp>
      <tp t="e">
        <v>#N/A</v>
        <stp/>
        <stp>BDH|6292709353294081341</stp>
        <tr r="M39" s="12"/>
      </tp>
      <tp t="e">
        <v>#N/A</v>
        <stp/>
        <stp>BDH|3367558855367322754</stp>
        <tr r="M36" s="12"/>
      </tp>
      <tp t="e">
        <v>#N/A</v>
        <stp/>
        <stp>BDH|7499258184249681761</stp>
        <tr r="D56" s="13"/>
      </tp>
      <tp t="e">
        <v>#N/A</v>
        <stp/>
        <stp>BDH|3541178103725678426</stp>
        <tr r="Z13" s="24"/>
      </tp>
      <tp t="e">
        <v>#N/A</v>
        <stp/>
        <stp>BDH|1890293365384716265</stp>
        <tr r="U47" s="22"/>
      </tp>
      <tp t="e">
        <v>#N/A</v>
        <stp/>
        <stp>BDH|5667368040426710727</stp>
        <tr r="H23" s="26"/>
      </tp>
      <tp t="e">
        <v>#N/A</v>
        <stp/>
        <stp>BDH|3762616060962712244</stp>
        <tr r="L75" s="17"/>
      </tp>
      <tp t="e">
        <v>#N/A</v>
        <stp/>
        <stp>BDH|5417068076771178005</stp>
        <tr r="J34" s="26"/>
      </tp>
      <tp t="e">
        <v>#N/A</v>
        <stp/>
        <stp>BDH|3406063715553780251</stp>
        <tr r="H45" s="18"/>
      </tp>
      <tp t="e">
        <v>#N/A</v>
        <stp/>
        <stp>BDH|8032530498861928676</stp>
        <tr r="Z12" s="24"/>
      </tp>
      <tp t="e">
        <v>#N/A</v>
        <stp/>
        <stp>BDH|9527306690784896484</stp>
        <tr r="G105" s="18"/>
      </tp>
      <tp t="e">
        <v>#N/A</v>
        <stp/>
        <stp>BDH|3693616571261208013</stp>
        <tr r="I45" s="18"/>
      </tp>
      <tp t="e">
        <v>#N/A</v>
        <stp/>
        <stp>BDH|68894679484392548</stp>
        <tr r="AA44" s="18"/>
      </tp>
      <tp t="e">
        <v>#N/A</v>
        <stp/>
        <stp>BDH|58962529934816191</stp>
        <tr r="V18" s="20"/>
      </tp>
      <tp t="e">
        <v>#N/A</v>
        <stp/>
        <stp>BDH|67812107015086392</stp>
        <tr r="Z30" s="18"/>
      </tp>
      <tp t="e">
        <v>#N/A</v>
        <stp/>
        <stp>BDH|49593675685958980</stp>
        <tr r="E16" s="25"/>
      </tp>
      <tp t="e">
        <v>#N/A</v>
        <stp/>
        <stp>BDH|82913049127585474</stp>
        <tr r="F20" s="25"/>
      </tp>
      <tp t="e">
        <v>#N/A</v>
        <stp/>
        <stp>BDH|635540942876415286</stp>
        <tr r="S12" s="7"/>
      </tp>
      <tp t="e">
        <v>#N/A</v>
        <stp/>
        <stp>BDH|933316920622666621</stp>
        <tr r="T8" s="13"/>
      </tp>
      <tp t="e">
        <v>#N/A</v>
        <stp/>
        <stp>BDH|839450947734255159</stp>
        <tr r="U11" s="6"/>
      </tp>
      <tp t="e">
        <v>#N/A</v>
        <stp/>
        <stp>BDH|863665972837603377</stp>
        <tr r="L28" s="9"/>
        <tr r="L28" s="5"/>
      </tp>
      <tp t="e">
        <v>#N/A</v>
        <stp/>
        <stp>BDH|828059870437592554</stp>
        <tr r="P121" s="18"/>
      </tp>
      <tp t="e">
        <v>#N/A</v>
        <stp/>
        <stp>BDH|173347004242452482</stp>
        <tr r="X21" s="6"/>
      </tp>
      <tp t="e">
        <v>#N/A</v>
        <stp/>
        <stp>BDH|701241459161299363</stp>
        <tr r="V13" s="13"/>
      </tp>
      <tp t="e">
        <v>#N/A</v>
        <stp/>
        <stp>BDH|309011455982040294</stp>
        <tr r="Y24" s="21"/>
      </tp>
      <tp t="e">
        <v>#N/A</v>
        <stp/>
        <stp>BDH|947529017940543179</stp>
        <tr r="T8" s="23"/>
      </tp>
      <tp t="e">
        <v>#N/A</v>
        <stp/>
        <stp>BDH|177487557973856780</stp>
        <tr r="S20" s="17"/>
      </tp>
      <tp t="e">
        <v>#N/A</v>
        <stp/>
        <stp>BDH|737613468232704770</stp>
        <tr r="E69" s="10"/>
        <tr r="E61" s="11"/>
        <tr r="E20" s="7"/>
      </tp>
      <tp t="e">
        <v>#N/A</v>
        <stp/>
        <stp>BDH|867633895383027902</stp>
        <tr r="R19" s="13"/>
        <tr r="P61" s="10"/>
        <tr r="P32" s="4"/>
        <tr r="P16" s="2"/>
      </tp>
      <tp t="e">
        <v>#N/A</v>
        <stp/>
        <stp>BDH|168198868371949361</stp>
        <tr r="R10" s="22"/>
      </tp>
      <tp t="e">
        <v>#N/A</v>
        <stp/>
        <stp>BDH|384467601512917322</stp>
        <tr r="T37" s="22"/>
      </tp>
      <tp t="e">
        <v>#N/A</v>
        <stp/>
        <stp>BDH|225513479356070153</stp>
        <tr r="AA75" s="12"/>
      </tp>
      <tp t="e">
        <v>#N/A</v>
        <stp/>
        <stp>BDH|869005924191635657</stp>
        <tr r="V9" s="10"/>
      </tp>
      <tp t="e">
        <v>#N/A</v>
        <stp/>
        <stp>BDH|687747438160711155</stp>
        <tr r="H44" s="21"/>
      </tp>
      <tp t="e">
        <v>#N/A</v>
        <stp/>
        <stp>BDH|988183702631826531</stp>
        <tr r="S34" s="26"/>
      </tp>
      <tp t="e">
        <v>#N/A</v>
        <stp/>
        <stp>BDH|724729547025842323</stp>
        <tr r="J52" s="12"/>
      </tp>
      <tp t="e">
        <v>#N/A</v>
        <stp/>
        <stp>BDH|981409943237698246</stp>
        <tr r="E30" s="17"/>
      </tp>
      <tp t="e">
        <v>#N/A</v>
        <stp/>
        <stp>BDH|812724660254341010</stp>
        <tr r="AA12" s="24"/>
      </tp>
      <tp t="e">
        <v>#N/A</v>
        <stp/>
        <stp>BDH|470270901011388698</stp>
        <tr r="F142" s="18"/>
      </tp>
      <tp t="e">
        <v>#N/A</v>
        <stp/>
        <stp>BDH|415451059487309324</stp>
        <tr r="P28" s="17"/>
      </tp>
      <tp t="e">
        <v>#N/A</v>
        <stp/>
        <stp>BDH|585076336875411393</stp>
        <tr r="Y163" s="18"/>
      </tp>
      <tp t="e">
        <v>#N/A</v>
        <stp/>
        <stp>BDH|141659940935949279</stp>
        <tr r="M76" s="12"/>
      </tp>
      <tp t="e">
        <v>#N/A</v>
        <stp/>
        <stp>BDH|788756059396861199</stp>
        <tr r="W14" s="18"/>
      </tp>
      <tp t="e">
        <v>#N/A</v>
        <stp/>
        <stp>BDH|173778220580933059</stp>
        <tr r="F7" s="14"/>
      </tp>
      <tp t="e">
        <v>#N/A</v>
        <stp/>
        <stp>BDH|234116508670363423</stp>
        <tr r="Q49" s="13"/>
        <tr r="O37" s="11"/>
        <tr r="O45" s="10"/>
        <tr r="O53" s="4"/>
        <tr r="O18" s="2"/>
      </tp>
      <tp t="e">
        <v>#N/A</v>
        <stp/>
        <stp>BDH|517875497436951262</stp>
        <tr r="F13" s="34"/>
      </tp>
      <tp t="e">
        <v>#N/A</v>
        <stp/>
        <stp>BDH|773516627915987739</stp>
        <tr r="T41" s="18"/>
      </tp>
      <tp t="e">
        <v>#N/A</v>
        <stp/>
        <stp>BDH|637158459279179807</stp>
        <tr r="AA46" s="22"/>
      </tp>
      <tp t="e">
        <v>#N/A</v>
        <stp/>
        <stp>BDH|646883349418808140</stp>
        <tr r="Q175" s="18"/>
      </tp>
      <tp t="e">
        <v>#N/A</v>
        <stp/>
        <stp>BDH|738395626607112322</stp>
        <tr r="U18" s="24"/>
      </tp>
      <tp t="e">
        <v>#N/A</v>
        <stp/>
        <stp>BDH|500090273575643727</stp>
        <tr r="T49" s="24"/>
      </tp>
      <tp t="e">
        <v>#N/A</v>
        <stp/>
        <stp>BDH|528054149192084328</stp>
        <tr r="W28" s="4"/>
      </tp>
      <tp t="e">
        <v>#N/A</v>
        <stp/>
        <stp>BDH|536172145198502894</stp>
        <tr r="R74" s="12"/>
      </tp>
      <tp t="e">
        <v>#N/A</v>
        <stp/>
        <stp>BDH|519427623724785773</stp>
        <tr r="AA15" s="24"/>
      </tp>
      <tp t="e">
        <v>#N/A</v>
        <stp/>
        <stp>BDH|400231344854717701</stp>
        <tr r="Z49" s="12"/>
      </tp>
      <tp t="e">
        <v>#N/A</v>
        <stp/>
        <stp>BDH|731278471012755223</stp>
        <tr r="S43" s="24"/>
      </tp>
      <tp t="e">
        <v>#N/A</v>
        <stp/>
        <stp>BDH|742319266055438503</stp>
        <tr r="K69" s="18"/>
      </tp>
      <tp t="e">
        <v>#N/A</v>
        <stp/>
        <stp>BDH|275191914632350787</stp>
        <tr r="Y57" s="18"/>
      </tp>
      <tp t="e">
        <v>#N/A</v>
        <stp/>
        <stp>BDH|756477825441719266</stp>
        <tr r="O23" s="5"/>
      </tp>
      <tp t="e">
        <v>#N/A</v>
        <stp/>
        <stp>BDH|543713421801584143</stp>
        <tr r="G137" s="18"/>
      </tp>
      <tp t="e">
        <v>#N/A</v>
        <stp/>
        <stp>BDH|780343375962331302</stp>
        <tr r="U19" s="5"/>
        <tr r="U43" s="6"/>
      </tp>
      <tp t="e">
        <v>#N/A</v>
        <stp/>
        <stp>BDH|727579220860344264</stp>
        <tr r="O109" s="12"/>
      </tp>
      <tp t="e">
        <v>#N/A</v>
        <stp/>
        <stp>BDH|287046240887267613</stp>
        <tr r="C44" s="17"/>
      </tp>
      <tp t="e">
        <v>#N/A</v>
        <stp/>
        <stp>BDH|750695104586727584</stp>
        <tr r="C8" s="6"/>
      </tp>
      <tp t="e">
        <v>#N/A</v>
        <stp/>
        <stp>BDH|904990596294655150</stp>
        <tr r="G37" s="29"/>
        <tr r="G17" s="29"/>
      </tp>
      <tp t="e">
        <v>#N/A</v>
        <stp/>
        <stp>BDH|311271227590308550</stp>
        <tr r="X109" s="12"/>
      </tp>
      <tp t="e">
        <v>#N/A</v>
        <stp/>
        <stp>BDH|298366225992662610</stp>
        <tr r="T40" s="13"/>
        <tr r="R28" s="11"/>
        <tr r="R36" s="10"/>
      </tp>
      <tp t="e">
        <v>#N/A</v>
        <stp/>
        <stp>BDH|989301828217083373</stp>
        <tr r="D50" s="18"/>
      </tp>
      <tp t="e">
        <v>#N/A</v>
        <stp/>
        <stp>BDH|845568354446814348</stp>
        <tr r="M30" s="34"/>
      </tp>
      <tp t="e">
        <v>#N/A</v>
        <stp/>
        <stp>BDH|221617915164555654</stp>
        <tr r="N60" s="11"/>
      </tp>
      <tp t="e">
        <v>#N/A</v>
        <stp/>
        <stp>BDH|727046402212097764</stp>
        <tr r="K71" s="24"/>
      </tp>
      <tp t="e">
        <v>#N/A</v>
        <stp/>
        <stp>BDH|237800363142002963</stp>
        <tr r="P51" s="24"/>
      </tp>
      <tp t="e">
        <v>#N/A</v>
        <stp/>
        <stp>BDH|122502607619659977</stp>
        <tr r="F20" s="24"/>
      </tp>
      <tp t="e">
        <v>#N/A</v>
        <stp/>
        <stp>BDH|396322034890315568</stp>
        <tr r="N30" s="26"/>
      </tp>
      <tp t="e">
        <v>#N/A</v>
        <stp/>
        <stp>BDH|299752500273550125</stp>
        <tr r="Z12" s="21"/>
      </tp>
      <tp t="e">
        <v>#N/A</v>
        <stp/>
        <stp>BDH|243923102399235509</stp>
        <tr r="D35" s="13"/>
      </tp>
      <tp t="e">
        <v>#N/A</v>
        <stp/>
        <stp>BDH|437635020461489035</stp>
        <tr r="S68" s="34"/>
      </tp>
      <tp t="e">
        <v>#N/A</v>
        <stp/>
        <stp>BDH|450892794871185584</stp>
        <tr r="U69" s="10"/>
        <tr r="U61" s="11"/>
        <tr r="U20" s="7"/>
      </tp>
      <tp t="e">
        <v>#N/A</v>
        <stp/>
        <stp>BDH|309447233046676423</stp>
        <tr r="T13" s="34"/>
      </tp>
      <tp t="e">
        <v>#N/A</v>
        <stp/>
        <stp>BDH|532208300132582502</stp>
        <tr r="U64" s="12"/>
      </tp>
      <tp t="e">
        <v>#N/A</v>
        <stp/>
        <stp>BDH|579581121652547094</stp>
        <tr r="S48" s="21"/>
      </tp>
      <tp t="e">
        <v>#N/A</v>
        <stp/>
        <stp>BDH|276974211479149457</stp>
        <tr r="V6" s="28"/>
      </tp>
      <tp t="e">
        <v>#N/A</v>
        <stp/>
        <stp>BDH|498618159900501687</stp>
        <tr r="C21" s="5"/>
        <tr r="C21" s="9"/>
      </tp>
      <tp t="e">
        <v>#N/A</v>
        <stp/>
        <stp>BDH|763257305115090268</stp>
        <tr r="U99" s="12"/>
      </tp>
      <tp t="e">
        <v>#N/A</v>
        <stp/>
        <stp>BDH|408389243382792096</stp>
        <tr r="Q49" s="21"/>
      </tp>
      <tp t="e">
        <v>#N/A</v>
        <stp/>
        <stp>BDH|489293785679219686</stp>
        <tr r="O17" s="12"/>
      </tp>
      <tp t="e">
        <v>#N/A</v>
        <stp/>
        <stp>BDH|351344517414621342</stp>
        <tr r="L29" s="18"/>
      </tp>
      <tp t="e">
        <v>#N/A</v>
        <stp/>
        <stp>BDH|202103953759575879</stp>
        <tr r="P19" s="11"/>
      </tp>
      <tp t="e">
        <v>#N/A</v>
        <stp/>
        <stp>BDH|361704460772679668</stp>
        <tr r="I65" s="34"/>
      </tp>
      <tp t="e">
        <v>#N/A</v>
        <stp/>
        <stp>BDH|680553107911380141</stp>
        <tr r="F19" s="14"/>
      </tp>
      <tp t="e">
        <v>#N/A</v>
        <stp/>
        <stp>BDH|141759025723009323</stp>
        <tr r="H23" s="17"/>
      </tp>
      <tp t="e">
        <v>#N/A</v>
        <stp/>
        <stp>BDH|911775179480017548</stp>
        <tr r="N149" s="18"/>
      </tp>
      <tp t="e">
        <v>#N/A</v>
        <stp/>
        <stp>BDH|525781159273656418</stp>
        <tr r="K31" s="24"/>
      </tp>
      <tp t="e">
        <v>#N/A</v>
        <stp/>
        <stp>BDH|941613651630925630</stp>
        <tr r="L7" s="11"/>
      </tp>
      <tp t="e">
        <v>#N/A</v>
        <stp/>
        <stp>BDH|849372178394404504</stp>
        <tr r="C11" s="14"/>
      </tp>
      <tp t="e">
        <v>#N/A</v>
        <stp/>
        <stp>BDH|787308507334628257</stp>
        <tr r="P54" s="18"/>
      </tp>
      <tp t="e">
        <v>#N/A</v>
        <stp/>
        <stp>BDH|655365398537496902</stp>
        <tr r="H25" s="22"/>
      </tp>
      <tp t="e">
        <v>#N/A</v>
        <stp/>
        <stp>BDH|472035378123681059</stp>
        <tr r="V8" s="2"/>
      </tp>
      <tp t="e">
        <v>#N/A</v>
        <stp/>
        <stp>BDH|992253886318786613</stp>
        <tr r="M66" s="17"/>
      </tp>
      <tp t="e">
        <v>#N/A</v>
        <stp/>
        <stp>BDH|483092714742113749</stp>
        <tr r="T62" s="10"/>
      </tp>
      <tp t="e">
        <v>#N/A</v>
        <stp/>
        <stp>BDH|900389668733226266</stp>
        <tr r="C18" s="22"/>
      </tp>
      <tp t="e">
        <v>#N/A</v>
        <stp/>
        <stp>BDH|496747939825434509</stp>
        <tr r="AA174" s="18"/>
      </tp>
      <tp t="e">
        <v>#N/A</v>
        <stp/>
        <stp>BDH|921461734337377466</stp>
        <tr r="Q92" s="12"/>
      </tp>
      <tp t="e">
        <v>#N/A</v>
        <stp/>
        <stp>BDH|946294763143548397</stp>
        <tr r="R56" s="12"/>
      </tp>
      <tp t="e">
        <v>#N/A</v>
        <stp/>
        <stp>BDH|910718663560153559</stp>
        <tr r="Y52" s="22"/>
      </tp>
      <tp t="e">
        <v>#N/A</v>
        <stp/>
        <stp>BDH|918651836588331960</stp>
        <tr r="P13" s="7"/>
      </tp>
      <tp t="e">
        <v>#N/A</v>
        <stp/>
        <stp>BDH|397716828727455618</stp>
        <tr r="V41" s="13"/>
        <tr r="T29" s="11"/>
        <tr r="T37" s="10"/>
      </tp>
      <tp t="e">
        <v>#N/A</v>
        <stp/>
        <stp>BDH|840929884671403427</stp>
        <tr r="F48" s="22"/>
      </tp>
      <tp t="e">
        <v>#N/A</v>
        <stp/>
        <stp>BDH|358045174423825032</stp>
        <tr r="T43" s="18"/>
      </tp>
      <tp t="e">
        <v>#N/A</v>
        <stp/>
        <stp>BDH|233097031881611656</stp>
        <tr r="C15" s="10"/>
      </tp>
      <tp t="e">
        <v>#N/A</v>
        <stp/>
        <stp>BDH|229770978320669425</stp>
        <tr r="F37" s="21"/>
        <tr r="F24" s="3"/>
      </tp>
      <tp t="e">
        <v>#N/A</v>
        <stp/>
        <stp>BDH|391175250308979876</stp>
        <tr r="W10" s="30"/>
      </tp>
      <tp t="e">
        <v>#N/A</v>
        <stp/>
        <stp>BDH|657139305875360091</stp>
        <tr r="D64" s="34"/>
      </tp>
      <tp t="e">
        <v>#N/A</v>
        <stp/>
        <stp>BDH|850241056535551653</stp>
        <tr r="L35" s="25"/>
      </tp>
      <tp t="e">
        <v>#N/A</v>
        <stp/>
        <stp>BDH|434483747346421256</stp>
        <tr r="J19" s="9"/>
      </tp>
      <tp t="e">
        <v>#N/A</v>
        <stp/>
        <stp>BDH|814075223055642305</stp>
        <tr r="W17" s="21"/>
      </tp>
      <tp t="e">
        <v>#N/A</v>
        <stp/>
        <stp>BDH|468627360916481299</stp>
        <tr r="H79" s="12"/>
      </tp>
      <tp t="e">
        <v>#N/A</v>
        <stp/>
        <stp>BDH|940616063866149213</stp>
        <tr r="I18" s="27"/>
        <tr r="I32" s="25"/>
      </tp>
      <tp t="e">
        <v>#N/A</v>
        <stp/>
        <stp>BDH|139593877285159351</stp>
        <tr r="U25" s="29"/>
        <tr r="U10" s="29"/>
        <tr r="U19" s="29"/>
        <tr r="T6" s="9"/>
        <tr r="T6" s="5"/>
        <tr r="V12" s="8"/>
        <tr r="U6" s="2"/>
      </tp>
      <tp t="e">
        <v>#N/A</v>
        <stp/>
        <stp>BDH|502330535584295055</stp>
        <tr r="M75" s="12"/>
      </tp>
      <tp t="e">
        <v>#N/A</v>
        <stp/>
        <stp>BDH|982749573496842228</stp>
        <tr r="P95" s="12"/>
      </tp>
      <tp t="e">
        <v>#N/A</v>
        <stp/>
        <stp>BDH|254922347649263019</stp>
        <tr r="AA104" s="12"/>
      </tp>
      <tp t="e">
        <v>#N/A</v>
        <stp/>
        <stp>BDH|298362454247134555</stp>
        <tr r="G93" s="17"/>
        <tr r="G13" s="28"/>
      </tp>
      <tp t="e">
        <v>#N/A</v>
        <stp/>
        <stp>BDH|908383237044005025</stp>
        <tr r="G25" s="12"/>
      </tp>
      <tp t="e">
        <v>#N/A</v>
        <stp/>
        <stp>BDH|395503767910033705</stp>
        <tr r="L147" s="18"/>
      </tp>
      <tp t="e">
        <v>#N/A</v>
        <stp/>
        <stp>BDH|970077758857017633</stp>
        <tr r="N27" s="11"/>
        <tr r="N39" s="11"/>
        <tr r="N47" s="10"/>
        <tr r="N35" s="10"/>
      </tp>
      <tp t="e">
        <v>#N/A</v>
        <stp/>
        <stp>BDH|167389439594536003</stp>
        <tr r="C30" s="6"/>
      </tp>
      <tp t="e">
        <v>#N/A</v>
        <stp/>
        <stp>BDH|310458908798886839</stp>
        <tr r="K33" s="13"/>
        <tr r="I29" s="10"/>
      </tp>
      <tp t="e">
        <v>#N/A</v>
        <stp/>
        <stp>BDH|550179640496228759</stp>
        <tr r="Y26" s="18"/>
      </tp>
      <tp t="e">
        <v>#N/A</v>
        <stp/>
        <stp>BDH|859167023505050282</stp>
        <tr r="E133" s="18"/>
      </tp>
      <tp t="e">
        <v>#N/A</v>
        <stp/>
        <stp>BDH|480212173925313404</stp>
        <tr r="AA80" s="18"/>
      </tp>
      <tp t="e">
        <v>#N/A</v>
        <stp/>
        <stp>BDH|509107835516227076</stp>
        <tr r="X128" s="18"/>
      </tp>
      <tp t="e">
        <v>#N/A</v>
        <stp/>
        <stp>BDH|494530150415209136</stp>
        <tr r="V23" s="26"/>
      </tp>
      <tp t="e">
        <v>#N/A</v>
        <stp/>
        <stp>BDH|397031918416636387</stp>
        <tr r="C18" s="5"/>
        <tr r="C38" s="6"/>
      </tp>
      <tp t="e">
        <v>#N/A</v>
        <stp/>
        <stp>BDH|887296562110359064</stp>
        <tr r="T34" s="17"/>
      </tp>
      <tp t="e">
        <v>#N/A</v>
        <stp/>
        <stp>BDH|286127646423609266</stp>
        <tr r="Q70" s="17"/>
      </tp>
      <tp t="e">
        <v>#N/A</v>
        <stp/>
        <stp>BDH|283672154094182360</stp>
        <tr r="N34" s="34"/>
      </tp>
      <tp t="e">
        <v>#N/A</v>
        <stp/>
        <stp>BDH|212711706704527766</stp>
        <tr r="N62" s="10"/>
      </tp>
      <tp t="e">
        <v>#N/A</v>
        <stp/>
        <stp>BDH|440142865291626256</stp>
        <tr r="U72" s="24"/>
      </tp>
      <tp t="e">
        <v>#N/A</v>
        <stp/>
        <stp>BDH|995948732157156997</stp>
        <tr r="W12" s="30"/>
      </tp>
      <tp t="e">
        <v>#N/A</v>
        <stp/>
        <stp>BDH|390848397512579722</stp>
        <tr r="X89" s="17"/>
      </tp>
      <tp t="e">
        <v>#N/A</v>
        <stp/>
        <stp>BDH|945910951260643884</stp>
        <tr r="G148" s="18"/>
      </tp>
      <tp t="e">
        <v>#N/A</v>
        <stp/>
        <stp>BDH|151455027981172358</stp>
        <tr r="P53" s="6"/>
      </tp>
      <tp t="e">
        <v>#N/A</v>
        <stp/>
        <stp>BDH|524732130896572648</stp>
        <tr r="I64" s="34"/>
      </tp>
      <tp t="e">
        <v>#N/A</v>
        <stp/>
        <stp>BDH|263506140626480367</stp>
        <tr r="T44" s="17"/>
      </tp>
      <tp t="e">
        <v>#N/A</v>
        <stp/>
        <stp>BDH|383474697179347006</stp>
        <tr r="F51" s="24"/>
      </tp>
      <tp t="e">
        <v>#N/A</v>
        <stp/>
        <stp>BDH|854748476520841420</stp>
        <tr r="D23" s="6"/>
      </tp>
      <tp t="e">
        <v>#N/A</v>
        <stp/>
        <stp>BDH|680516761513671401</stp>
        <tr r="D30" s="13"/>
      </tp>
      <tp t="e">
        <v>#N/A</v>
        <stp/>
        <stp>BDH|151307961012074302</stp>
        <tr r="V56" s="34"/>
      </tp>
      <tp t="e">
        <v>#N/A</v>
        <stp/>
        <stp>BDH|528389537484311084</stp>
        <tr r="O29" s="13"/>
        <tr r="M32" s="10"/>
        <tr r="M24" s="11"/>
        <tr r="M45" s="4"/>
      </tp>
      <tp t="e">
        <v>#N/A</v>
        <stp/>
        <stp>BDH|698288616122989506</stp>
        <tr r="K6" s="20"/>
        <tr r="K108" s="18"/>
      </tp>
      <tp t="e">
        <v>#N/A</v>
        <stp/>
        <stp>BDH|621539686540484965</stp>
        <tr r="D117" s="18"/>
      </tp>
      <tp t="e">
        <v>#N/A</v>
        <stp/>
        <stp>BDH|688065803571299504</stp>
        <tr r="N23" s="5"/>
      </tp>
      <tp t="e">
        <v>#N/A</v>
        <stp/>
        <stp>BDH|245968587114098118</stp>
        <tr r="Y13" s="7"/>
      </tp>
      <tp t="e">
        <v>#N/A</v>
        <stp/>
        <stp>BDH|202850740551149942</stp>
        <tr r="W31" s="17"/>
      </tp>
      <tp t="e">
        <v>#N/A</v>
        <stp/>
        <stp>BDH|161885208335235915</stp>
        <tr r="F158" s="18"/>
      </tp>
      <tp t="e">
        <v>#N/A</v>
        <stp/>
        <stp>BDH|117173475691096319</stp>
        <tr r="V62" s="21"/>
      </tp>
      <tp t="e">
        <v>#N/A</v>
        <stp/>
        <stp>BDH|940380100510122726</stp>
        <tr r="G175" s="18"/>
      </tp>
      <tp t="e">
        <v>#N/A</v>
        <stp/>
        <stp>BDH|953443486308884007</stp>
        <tr r="P135" s="18"/>
      </tp>
      <tp t="e">
        <v>#N/A</v>
        <stp/>
        <stp>BDH|433733877821032538</stp>
        <tr r="G21" s="20"/>
      </tp>
      <tp t="e">
        <v>#N/A</v>
        <stp/>
        <stp>BDH|702522103300509101</stp>
        <tr r="K84" s="17"/>
      </tp>
      <tp t="e">
        <v>#N/A</v>
        <stp/>
        <stp>BDH|166446077116860190</stp>
        <tr r="T39" s="25"/>
        <tr r="T22" s="13"/>
        <tr r="T7" s="13"/>
        <tr r="R18" s="11"/>
        <tr r="T7" s="3"/>
      </tp>
      <tp t="e">
        <v>#N/A</v>
        <stp/>
        <stp>BDH|631312125892715490</stp>
        <tr r="C39" s="25"/>
        <tr r="C7" s="13"/>
        <tr r="C22" s="13"/>
        <tr r="C7" s="3"/>
      </tp>
      <tp t="e">
        <v>#N/A</v>
        <stp/>
        <stp>BDH|817548202431032323</stp>
        <tr r="X28" s="18"/>
      </tp>
      <tp t="e">
        <v>#N/A</v>
        <stp/>
        <stp>BDH|999082532151822575</stp>
        <tr r="R56" s="13"/>
      </tp>
      <tp t="e">
        <v>#N/A</v>
        <stp/>
        <stp>BDH|460006409293506442</stp>
        <tr r="K46" s="24"/>
      </tp>
      <tp t="e">
        <v>#N/A</v>
        <stp/>
        <stp>BDH|736837732629901536</stp>
        <tr r="P13" s="22"/>
      </tp>
      <tp t="e">
        <v>#N/A</v>
        <stp/>
        <stp>BDH|574284874114314673</stp>
        <tr r="H19" s="20"/>
      </tp>
      <tp t="e">
        <v>#N/A</v>
        <stp/>
        <stp>BDH|904575202293126103</stp>
        <tr r="V13" s="8"/>
      </tp>
      <tp t="e">
        <v>#N/A</v>
        <stp/>
        <stp>BDH|415521248764379204</stp>
        <tr r="X19" s="34"/>
      </tp>
      <tp t="e">
        <v>#N/A</v>
        <stp/>
        <stp>BDH|657152398297336869</stp>
        <tr r="U89" s="17"/>
      </tp>
      <tp t="e">
        <v>#N/A</v>
        <stp/>
        <stp>BDH|997496344713244480</stp>
        <tr r="G14" s="22"/>
      </tp>
      <tp t="e">
        <v>#N/A</v>
        <stp/>
        <stp>BDH|303600999551183941</stp>
        <tr r="Z123" s="18"/>
      </tp>
      <tp t="e">
        <v>#N/A</v>
        <stp/>
        <stp>BDH|478290941653470272</stp>
        <tr r="M54" s="24"/>
      </tp>
      <tp t="e">
        <v>#N/A</v>
        <stp/>
        <stp>BDH|469014779928659826</stp>
        <tr r="S32" s="22"/>
      </tp>
      <tp t="e">
        <v>#N/A</v>
        <stp/>
        <stp>BDH|922240901483344671</stp>
        <tr r="R160" s="18"/>
      </tp>
      <tp t="e">
        <v>#N/A</v>
        <stp/>
        <stp>BDH|646015378545709516</stp>
        <tr r="G55" s="11"/>
      </tp>
      <tp t="e">
        <v>#N/A</v>
        <stp/>
        <stp>BDH|426639409893722207</stp>
        <tr r="V76" s="18"/>
      </tp>
      <tp t="e">
        <v>#N/A</v>
        <stp/>
        <stp>BDH|326390398914280996</stp>
        <tr r="D46" s="24"/>
      </tp>
      <tp t="e">
        <v>#N/A</v>
        <stp/>
        <stp>BDH|349815783500970729</stp>
        <tr r="E7" s="29"/>
        <tr r="E29" s="29"/>
      </tp>
      <tp t="e">
        <v>#N/A</v>
        <stp/>
        <stp>BDH|412732862742998474</stp>
        <tr r="F66" s="12"/>
      </tp>
      <tp t="e">
        <v>#N/A</v>
        <stp/>
        <stp>BDH|972268966402431161</stp>
        <tr r="L33" s="6"/>
        <tr r="L17" s="5"/>
      </tp>
      <tp t="e">
        <v>#N/A</v>
        <stp/>
        <stp>BDH|393462577691840517</stp>
        <tr r="O37" s="22"/>
      </tp>
      <tp t="e">
        <v>#N/A</v>
        <stp/>
        <stp>BDH|173285567184679738</stp>
        <tr r="C26" s="24"/>
      </tp>
      <tp t="e">
        <v>#N/A</v>
        <stp/>
        <stp>BDH|109915438379472472</stp>
        <tr r="W25" s="7"/>
      </tp>
      <tp t="e">
        <v>#N/A</v>
        <stp/>
        <stp>BDH|982844288836965173</stp>
        <tr r="K163" s="18"/>
      </tp>
      <tp t="e">
        <v>#N/A</v>
        <stp/>
        <stp>BDH|821641317158208824</stp>
        <tr r="S8" s="28"/>
      </tp>
      <tp t="e">
        <v>#N/A</v>
        <stp/>
        <stp>BDH|751645961141368659</stp>
        <tr r="G30" s="26"/>
      </tp>
      <tp t="e">
        <v>#N/A</v>
        <stp/>
        <stp>BDH|482709871437192000</stp>
        <tr r="M47" s="13"/>
      </tp>
      <tp t="e">
        <v>#N/A</v>
        <stp/>
        <stp>BDH|806069370973834323</stp>
        <tr r="K57" s="17"/>
      </tp>
      <tp t="e">
        <v>#N/A</v>
        <stp/>
        <stp>BDH|619704863164272235</stp>
        <tr r="L54" s="6"/>
      </tp>
      <tp t="e">
        <v>#N/A</v>
        <stp/>
        <stp>BDH|483818607657007863</stp>
        <tr r="J13" s="12"/>
      </tp>
      <tp t="e">
        <v>#N/A</v>
        <stp/>
        <stp>BDH|298980944618938227</stp>
        <tr r="P83" s="12"/>
      </tp>
      <tp t="e">
        <v>#N/A</v>
        <stp/>
        <stp>BDH|619668353022029663</stp>
        <tr r="Q8" s="14"/>
      </tp>
      <tp t="e">
        <v>#N/A</v>
        <stp/>
        <stp>BDH|154874552969014310</stp>
        <tr r="D9" s="27"/>
      </tp>
      <tp t="e">
        <v>#N/A</v>
        <stp/>
        <stp>BDH|547634662606298130</stp>
        <tr r="I6" s="15"/>
        <tr r="I6" s="10"/>
        <tr r="I11" s="4"/>
        <tr r="I12" s="2"/>
      </tp>
      <tp t="e">
        <v>#N/A</v>
        <stp/>
        <stp>BDH|225256500233696643</stp>
        <tr r="T16" s="6"/>
      </tp>
      <tp t="e">
        <v>#N/A</v>
        <stp/>
        <stp>BDH|557579048176834046</stp>
        <tr r="T76" s="12"/>
      </tp>
      <tp t="e">
        <v>#N/A</v>
        <stp/>
        <stp>BDH|227308659225470496</stp>
        <tr r="Q48" s="34"/>
      </tp>
      <tp t="e">
        <v>#N/A</v>
        <stp/>
        <stp>BDH|607270004881591462</stp>
        <tr r="K42" s="22"/>
      </tp>
      <tp t="e">
        <v>#N/A</v>
        <stp/>
        <stp>BDH|686808347143331846</stp>
        <tr r="U36" s="4"/>
      </tp>
      <tp t="e">
        <v>#N/A</v>
        <stp/>
        <stp>BDH|329729036993327032</stp>
        <tr r="Y22" s="29"/>
        <tr r="Y13" s="29"/>
        <tr r="Y33" s="29"/>
      </tp>
      <tp t="e">
        <v>#N/A</v>
        <stp/>
        <stp>BDH|717711360914298232</stp>
        <tr r="E83" s="12"/>
      </tp>
      <tp t="e">
        <v>#N/A</v>
        <stp/>
        <stp>BDH|626540925204177417</stp>
        <tr r="I52" s="12"/>
      </tp>
      <tp t="e">
        <v>#N/A</v>
        <stp/>
        <stp>BDH|845203865290301393</stp>
        <tr r="N69" s="24"/>
      </tp>
      <tp t="e">
        <v>#N/A</v>
        <stp/>
        <stp>BDH|961451599483626947</stp>
        <tr r="F19" s="23"/>
        <tr r="D59" s="11"/>
      </tp>
      <tp t="e">
        <v>#N/A</v>
        <stp/>
        <stp>BDH|944788900807083769</stp>
        <tr r="H41" s="22"/>
      </tp>
      <tp t="e">
        <v>#N/A</v>
        <stp/>
        <stp>BDH|860918292965287297</stp>
        <tr r="T35" s="18"/>
      </tp>
      <tp t="e">
        <v>#N/A</v>
        <stp/>
        <stp>BDH|480301883368271451</stp>
        <tr r="M69" s="18"/>
      </tp>
      <tp t="e">
        <v>#N/A</v>
        <stp/>
        <stp>BDH|557220620726117163</stp>
        <tr r="F10" s="23"/>
      </tp>
      <tp t="e">
        <v>#N/A</v>
        <stp/>
        <stp>BDH|775462377346334253</stp>
        <tr r="Q27" s="21"/>
      </tp>
      <tp t="e">
        <v>#N/A</v>
        <stp/>
        <stp>BDH|285732820604544653</stp>
        <tr r="H24" s="12"/>
      </tp>
      <tp t="e">
        <v>#N/A</v>
        <stp/>
        <stp>BDH|815310721030042698</stp>
        <tr r="X16" s="18"/>
      </tp>
      <tp t="e">
        <v>#N/A</v>
        <stp/>
        <stp>BDH|423822785351683646</stp>
        <tr r="T14" s="14"/>
      </tp>
      <tp t="e">
        <v>#N/A</v>
        <stp/>
        <stp>BDH|264073453395263750</stp>
        <tr r="L28" s="26"/>
      </tp>
      <tp t="e">
        <v>#N/A</v>
        <stp/>
        <stp>BDH|861711876276623187</stp>
        <tr r="Q98" s="18"/>
      </tp>
      <tp t="e">
        <v>#N/A</v>
        <stp/>
        <stp>BDH|918650343200764590</stp>
        <tr r="I12" s="7"/>
      </tp>
      <tp t="e">
        <v>#N/A</v>
        <stp/>
        <stp>BDH|827164401235433399</stp>
        <tr r="W80" s="12"/>
      </tp>
      <tp t="e">
        <v>#N/A</v>
        <stp/>
        <stp>BDH|217357255581278027</stp>
        <tr r="P25" s="18"/>
      </tp>
      <tp t="e">
        <v>#N/A</v>
        <stp/>
        <stp>BDH|796841864480332977</stp>
        <tr r="W38" s="12"/>
      </tp>
      <tp t="e">
        <v>#N/A</v>
        <stp/>
        <stp>BDH|430272133785500367</stp>
        <tr r="E22" s="12"/>
      </tp>
      <tp t="e">
        <v>#N/A</v>
        <stp/>
        <stp>BDH|856285182318950582</stp>
        <tr r="P82" s="18"/>
      </tp>
      <tp t="e">
        <v>#N/A</v>
        <stp/>
        <stp>BDH|361738683248589050</stp>
        <tr r="C159" s="18"/>
      </tp>
      <tp t="e">
        <v>#N/A</v>
        <stp/>
        <stp>BDH|735206995979796560</stp>
        <tr r="V26" s="7"/>
      </tp>
      <tp t="e">
        <v>#N/A</v>
        <stp/>
        <stp>BDH|452756652654733085</stp>
        <tr r="Q6" s="19"/>
        <tr r="Q35" s="17"/>
        <tr r="Q16" s="3"/>
      </tp>
      <tp t="e">
        <v>#N/A</v>
        <stp/>
        <stp>BDH|498330830131395787</stp>
        <tr r="M53" s="18"/>
      </tp>
      <tp t="e">
        <v>#N/A</v>
        <stp/>
        <stp>BDH|232830314986865918</stp>
        <tr r="W32" s="11"/>
        <tr r="W40" s="10"/>
      </tp>
      <tp t="e">
        <v>#N/A</v>
        <stp/>
        <stp>BDH|623504479245789154</stp>
        <tr r="Y24" s="22"/>
      </tp>
      <tp t="e">
        <v>#N/A</v>
        <stp/>
        <stp>BDH|864719764146991190</stp>
        <tr r="Z80" s="18"/>
      </tp>
      <tp t="e">
        <v>#N/A</v>
        <stp/>
        <stp>BDH|988670034165360674</stp>
        <tr r="W17" s="23"/>
      </tp>
      <tp t="e">
        <v>#N/A</v>
        <stp/>
        <stp>BDH|527533029239886897</stp>
        <tr r="W64" s="10"/>
        <tr r="W25" s="4"/>
      </tp>
      <tp t="e">
        <v>#N/A</v>
        <stp/>
        <stp>BDH|408644205201264192</stp>
        <tr r="H44" s="24"/>
      </tp>
      <tp t="e">
        <v>#N/A</v>
        <stp/>
        <stp>BDH|717264552776940745</stp>
        <tr r="Q28" s="12"/>
      </tp>
      <tp t="e">
        <v>#N/A</v>
        <stp/>
        <stp>BDH|130312220213672485</stp>
        <tr r="N56" s="24"/>
      </tp>
      <tp t="e">
        <v>#N/A</v>
        <stp/>
        <stp>BDH|441363558135422503</stp>
        <tr r="Q12" s="30"/>
      </tp>
      <tp t="e">
        <v>#N/A</v>
        <stp/>
        <stp>BDH|299573698193705927</stp>
        <tr r="V22" s="5"/>
      </tp>
      <tp t="e">
        <v>#N/A</v>
        <stp/>
        <stp>BDH|537351687549677492</stp>
        <tr r="K19" s="25"/>
      </tp>
      <tp t="e">
        <v>#N/A</v>
        <stp/>
        <stp>BDH|994125956437307568</stp>
        <tr r="V62" s="18"/>
      </tp>
      <tp t="e">
        <v>#N/A</v>
        <stp/>
        <stp>BDH|403535470142620692</stp>
        <tr r="E18" s="22"/>
      </tp>
      <tp t="e">
        <v>#N/A</v>
        <stp/>
        <stp>BDH|806527174540504436</stp>
        <tr r="Z73" s="12"/>
      </tp>
      <tp t="e">
        <v>#N/A</v>
        <stp/>
        <stp>BDH|336930399685673369</stp>
        <tr r="M63" s="11"/>
        <tr r="M71" s="10"/>
      </tp>
      <tp t="e">
        <v>#N/A</v>
        <stp/>
        <stp>BDH|885916710997738974</stp>
        <tr r="U43" s="4"/>
      </tp>
      <tp t="e">
        <v>#N/A</v>
        <stp/>
        <stp>BDH|630163610410849610</stp>
        <tr r="O42" s="12"/>
      </tp>
      <tp t="e">
        <v>#N/A</v>
        <stp/>
        <stp>BDH|119792586670468932</stp>
        <tr r="C40" s="17"/>
      </tp>
      <tp t="e">
        <v>#N/A</v>
        <stp/>
        <stp>BDH|120083371320345127</stp>
        <tr r="W33" s="12"/>
      </tp>
      <tp t="e">
        <v>#N/A</v>
        <stp/>
        <stp>BDH|489954377331470986</stp>
        <tr r="K19" s="20"/>
      </tp>
      <tp t="e">
        <v>#N/A</v>
        <stp/>
        <stp>BDH|584980230999765509</stp>
        <tr r="W13" s="34"/>
      </tp>
      <tp t="e">
        <v>#N/A</v>
        <stp/>
        <stp>BDH|114299014061223445</stp>
        <tr r="R14" s="14"/>
      </tp>
      <tp t="e">
        <v>#N/A</v>
        <stp/>
        <stp>BDH|577925984194867315</stp>
        <tr r="N90" s="18"/>
      </tp>
      <tp t="e">
        <v>#N/A</v>
        <stp/>
        <stp>BDH|128027209916241029</stp>
        <tr r="X8" s="23"/>
      </tp>
      <tp t="e">
        <v>#N/A</v>
        <stp/>
        <stp>BDH|462391443217157654</stp>
        <tr r="R14" s="13"/>
      </tp>
      <tp t="e">
        <v>#N/A</v>
        <stp/>
        <stp>BDH|505415199639114278</stp>
        <tr r="I77" s="18"/>
      </tp>
      <tp t="e">
        <v>#N/A</v>
        <stp/>
        <stp>BDH|971114955673747118</stp>
        <tr r="AA9" s="28"/>
      </tp>
      <tp t="e">
        <v>#N/A</v>
        <stp/>
        <stp>BDH|225686755372190752</stp>
        <tr r="K41" s="24"/>
      </tp>
      <tp t="e">
        <v>#N/A</v>
        <stp/>
        <stp>BDH|253308454891808159</stp>
        <tr r="C176" s="18"/>
      </tp>
      <tp t="e">
        <v>#N/A</v>
        <stp/>
        <stp>BDH|823952799371932763</stp>
        <tr r="F19" s="13"/>
        <tr r="D61" s="10"/>
        <tr r="D32" s="4"/>
        <tr r="D16" s="2"/>
      </tp>
      <tp t="e">
        <v>#N/A</v>
        <stp/>
        <stp>BDH|450769849924406146</stp>
        <tr r="K39" s="11"/>
        <tr r="K27" s="11"/>
        <tr r="K47" s="10"/>
        <tr r="K35" s="10"/>
      </tp>
      <tp t="e">
        <v>#N/A</v>
        <stp/>
        <stp>BDH|720673569024699248</stp>
        <tr r="AA61" s="13"/>
      </tp>
      <tp t="e">
        <v>#N/A</v>
        <stp/>
        <stp>BDH|341296062310411277</stp>
        <tr r="T20" s="18"/>
      </tp>
      <tp t="e">
        <v>#N/A</v>
        <stp/>
        <stp>BDH|178726363502396577</stp>
        <tr r="X59" s="12"/>
      </tp>
      <tp t="e">
        <v>#N/A</v>
        <stp/>
        <stp>BDH|836129959776204457</stp>
        <tr r="Q141" s="18"/>
      </tp>
      <tp t="e">
        <v>#N/A</v>
        <stp/>
        <stp>BDH|636274130152675539</stp>
        <tr r="J6" s="19"/>
        <tr r="J35" s="17"/>
        <tr r="J16" s="3"/>
      </tp>
      <tp t="e">
        <v>#N/A</v>
        <stp/>
        <stp>BDH|267430953363386443</stp>
        <tr r="J24" s="23"/>
        <tr r="J21" s="30"/>
      </tp>
      <tp t="e">
        <v>#N/A</v>
        <stp/>
        <stp>BDH|828305671887929550</stp>
        <tr r="R39" s="17"/>
      </tp>
      <tp t="e">
        <v>#N/A</v>
        <stp/>
        <stp>BDH|213101556250063217</stp>
        <tr r="N41" s="6"/>
      </tp>
      <tp t="e">
        <v>#N/A</v>
        <stp/>
        <stp>BDH|549675671407279041</stp>
        <tr r="O20" s="24"/>
      </tp>
      <tp t="e">
        <v>#N/A</v>
        <stp/>
        <stp>BDH|351660866007171173</stp>
        <tr r="I77" s="24"/>
      </tp>
      <tp t="e">
        <v>#N/A</v>
        <stp/>
        <stp>BDH|918274357574512597</stp>
        <tr r="K99" s="18"/>
      </tp>
      <tp t="e">
        <v>#N/A</v>
        <stp/>
        <stp>BDH|127358136433715530</stp>
        <tr r="Q17" s="9"/>
      </tp>
      <tp t="e">
        <v>#N/A</v>
        <stp/>
        <stp>BDH|714776771600312642</stp>
        <tr r="L34" s="22"/>
      </tp>
      <tp t="e">
        <v>#N/A</v>
        <stp/>
        <stp>BDH|170643276186578102</stp>
        <tr r="D60" s="17"/>
      </tp>
      <tp t="e">
        <v>#N/A</v>
        <stp/>
        <stp>BDH|872360569742432157</stp>
        <tr r="T9" s="23"/>
      </tp>
      <tp t="e">
        <v>#N/A</v>
        <stp/>
        <stp>BDH|341597069282629737</stp>
        <tr r="J65" s="24"/>
      </tp>
      <tp t="e">
        <v>#N/A</v>
        <stp/>
        <stp>BDH|224910844522567944</stp>
        <tr r="P13" s="8"/>
      </tp>
      <tp t="e">
        <v>#N/A</v>
        <stp/>
        <stp>BDH|602474783393126950</stp>
        <tr r="L79" s="12"/>
      </tp>
      <tp t="e">
        <v>#N/A</v>
        <stp/>
        <stp>BDH|675915951278123209</stp>
        <tr r="G17" s="22"/>
      </tp>
      <tp t="e">
        <v>#N/A</v>
        <stp/>
        <stp>BDH|742838067699662120</stp>
        <tr r="D40" s="10"/>
        <tr r="D32" s="11"/>
      </tp>
      <tp t="e">
        <v>#N/A</v>
        <stp/>
        <stp>BDH|227050352516141533</stp>
        <tr r="M92" s="12"/>
      </tp>
      <tp t="e">
        <v>#N/A</v>
        <stp/>
        <stp>BDH|795450169202481686</stp>
        <tr r="Q49" s="4"/>
      </tp>
      <tp t="e">
        <v>#N/A</v>
        <stp/>
        <stp>BDH|275866885851190775</stp>
        <tr r="C25" s="7"/>
      </tp>
      <tp t="e">
        <v>#N/A</v>
        <stp/>
        <stp>BDH|390328389978898501</stp>
        <tr r="Q18" s="21"/>
        <tr r="O23" s="2"/>
        <tr r="Q23" s="3"/>
      </tp>
      <tp t="e">
        <v>#N/A</v>
        <stp/>
        <stp>BDH|372564263855485025</stp>
        <tr r="G18" s="17"/>
      </tp>
      <tp t="e">
        <v>#N/A</v>
        <stp/>
        <stp>BDH|554478842163724578</stp>
        <tr r="I18" s="14"/>
      </tp>
      <tp t="e">
        <v>#N/A</v>
        <stp/>
        <stp>BDH|671218160134760611</stp>
        <tr r="K94" s="18"/>
      </tp>
      <tp t="e">
        <v>#N/A</v>
        <stp/>
        <stp>BDH|438511845434367322</stp>
        <tr r="D54" s="6"/>
      </tp>
      <tp t="e">
        <v>#N/A</v>
        <stp/>
        <stp>BDH|865413337253679292</stp>
        <tr r="C43" s="13"/>
      </tp>
      <tp t="e">
        <v>#N/A</v>
        <stp/>
        <stp>BDH|652178427613392644</stp>
        <tr r="N13" s="25"/>
      </tp>
      <tp t="e">
        <v>#N/A</v>
        <stp/>
        <stp>BDH|313526821379692845</stp>
        <tr r="K11" s="11"/>
      </tp>
      <tp t="e">
        <v>#N/A</v>
        <stp/>
        <stp>BDH|746208348310853053</stp>
        <tr r="J29" s="34"/>
      </tp>
      <tp t="e">
        <v>#N/A</v>
        <stp/>
        <stp>BDH|444400227808376825</stp>
        <tr r="K66" s="34"/>
      </tp>
      <tp t="e">
        <v>#N/A</v>
        <stp/>
        <stp>BDH|481482658393254440</stp>
        <tr r="H68" s="34"/>
      </tp>
      <tp t="e">
        <v>#N/A</v>
        <stp/>
        <stp>BDH|672517710086302460</stp>
        <tr r="G35" s="26"/>
      </tp>
      <tp t="e">
        <v>#N/A</v>
        <stp/>
        <stp>BDH|219434103860859289</stp>
        <tr r="AA161" s="18"/>
      </tp>
      <tp t="e">
        <v>#N/A</v>
        <stp/>
        <stp>BDH|789292844210884006</stp>
        <tr r="E46" s="22"/>
      </tp>
      <tp t="e">
        <v>#N/A</v>
        <stp/>
        <stp>BDH|141689563725073388</stp>
        <tr r="AA51" s="22"/>
      </tp>
      <tp t="e">
        <v>#N/A</v>
        <stp/>
        <stp>BDH|319669276101748672</stp>
        <tr r="N77" s="24"/>
      </tp>
      <tp t="e">
        <v>#N/A</v>
        <stp/>
        <stp>BDH|685435342482327383</stp>
        <tr r="X13" s="20"/>
        <tr r="X114" s="18"/>
      </tp>
      <tp t="e">
        <v>#N/A</v>
        <stp/>
        <stp>BDH|710761578566320764</stp>
        <tr r="U134" s="18"/>
      </tp>
      <tp t="e">
        <v>#N/A</v>
        <stp/>
        <stp>BDH|614581811872065738</stp>
        <tr r="W67" s="12"/>
      </tp>
      <tp t="e">
        <v>#N/A</v>
        <stp/>
        <stp>BDH|371785679729850879</stp>
        <tr r="S97" s="18"/>
      </tp>
      <tp t="e">
        <v>#N/A</v>
        <stp/>
        <stp>BDH|855719261705678532</stp>
        <tr r="K10" s="30"/>
      </tp>
      <tp t="e">
        <v>#N/A</v>
        <stp/>
        <stp>BDH|695346471514933141</stp>
        <tr r="Z172" s="18"/>
      </tp>
      <tp t="e">
        <v>#N/A</v>
        <stp/>
        <stp>BDH|292397220181354163</stp>
        <tr r="D25" s="12"/>
      </tp>
      <tp t="e">
        <v>#N/A</v>
        <stp/>
        <stp>BDH|488338408444721665</stp>
        <tr r="K43" s="12"/>
      </tp>
      <tp t="e">
        <v>#N/A</v>
        <stp/>
        <stp>BDH|926217824089460864</stp>
        <tr r="T178" s="18"/>
      </tp>
      <tp t="e">
        <v>#N/A</v>
        <stp/>
        <stp>BDH|221582801483695739</stp>
        <tr r="D83" s="18"/>
      </tp>
      <tp t="e">
        <v>#N/A</v>
        <stp/>
        <stp>BDH|886985294761396097</stp>
        <tr r="R9" s="24"/>
      </tp>
      <tp t="e">
        <v>#N/A</v>
        <stp/>
        <stp>BDH|713825955798644499</stp>
        <tr r="X22" s="4"/>
      </tp>
      <tp t="e">
        <v>#N/A</v>
        <stp/>
        <stp>BDH|930277116710573229</stp>
        <tr r="T22" s="27"/>
      </tp>
      <tp t="e">
        <v>#N/A</v>
        <stp/>
        <stp>BDH|355105934220162390</stp>
        <tr r="J8" s="23"/>
      </tp>
      <tp t="e">
        <v>#N/A</v>
        <stp/>
        <stp>BDH|175642662300164195</stp>
        <tr r="F36" s="21"/>
      </tp>
      <tp t="e">
        <v>#N/A</v>
        <stp/>
        <stp>BDH|197621712431114786</stp>
        <tr r="C57" s="17"/>
      </tp>
      <tp t="e">
        <v>#N/A</v>
        <stp/>
        <stp>BDH|930839916511252961</stp>
        <tr r="H57" s="18"/>
      </tp>
      <tp t="e">
        <v>#N/A</v>
        <stp/>
        <stp>BDH|176622627390805549</stp>
        <tr r="Y95" s="12"/>
      </tp>
      <tp t="e">
        <v>#N/A</v>
        <stp/>
        <stp>BDH|263275670407914344</stp>
        <tr r="F58" s="17"/>
      </tp>
      <tp t="e">
        <v>#N/A</v>
        <stp/>
        <stp>BDH|903779457826641575</stp>
        <tr r="M9" s="17"/>
      </tp>
      <tp t="e">
        <v>#N/A</v>
        <stp/>
        <stp>BDH|960567239670843779</stp>
        <tr r="T149" s="18"/>
      </tp>
      <tp t="e">
        <v>#N/A</v>
        <stp/>
        <stp>BDH|287550656386062786</stp>
        <tr r="R12" s="25"/>
      </tp>
      <tp t="e">
        <v>#N/A</v>
        <stp/>
        <stp>BDH|752328438065649420</stp>
        <tr r="P171" s="18"/>
      </tp>
      <tp t="e">
        <v>#N/A</v>
        <stp/>
        <stp>BDH|948757642937589524</stp>
        <tr r="F7" s="28"/>
      </tp>
      <tp t="e">
        <v>#N/A</v>
        <stp/>
        <stp>BDH|112572334960046794</stp>
        <tr r="D10" s="8"/>
      </tp>
      <tp t="e">
        <v>#N/A</v>
        <stp/>
        <stp>BDH|265724719000591771</stp>
        <tr r="X147" s="18"/>
      </tp>
      <tp t="e">
        <v>#N/A</v>
        <stp/>
        <stp>BDH|765931919788573130</stp>
        <tr r="J35" s="24"/>
      </tp>
      <tp t="e">
        <v>#N/A</v>
        <stp/>
        <stp>BDH|939834494943731329</stp>
        <tr r="Y25" s="29"/>
        <tr r="Y19" s="29"/>
        <tr r="Y10" s="29"/>
        <tr r="Z12" s="8"/>
        <tr r="X6" s="9"/>
        <tr r="X6" s="5"/>
        <tr r="Y6" s="2"/>
      </tp>
      <tp t="e">
        <v>#N/A</v>
        <stp/>
        <stp>BDH|483103004187005746</stp>
        <tr r="X156" s="18"/>
      </tp>
      <tp t="e">
        <v>#N/A</v>
        <stp/>
        <stp>BDH|405612352457393509</stp>
        <tr r="J79" s="12"/>
      </tp>
      <tp t="e">
        <v>#N/A</v>
        <stp/>
        <stp>BDH|370281056117840109</stp>
        <tr r="H97" s="18"/>
      </tp>
      <tp t="e">
        <v>#N/A</v>
        <stp/>
        <stp>BDH|761370121951536115</stp>
        <tr r="G13" s="11"/>
      </tp>
      <tp t="e">
        <v>#N/A</v>
        <stp/>
        <stp>BDH|576595295119592494</stp>
        <tr r="D25" s="3"/>
      </tp>
      <tp t="e">
        <v>#N/A</v>
        <stp/>
        <stp>BDH|223272555502524408</stp>
        <tr r="R88" s="18"/>
      </tp>
      <tp t="e">
        <v>#N/A</v>
        <stp/>
        <stp>BDH|314172883888175030</stp>
        <tr r="Y21" s="12"/>
      </tp>
      <tp t="e">
        <v>#N/A</v>
        <stp/>
        <stp>BDH|818417512905795196</stp>
        <tr r="F64" s="24"/>
      </tp>
      <tp t="e">
        <v>#N/A</v>
        <stp/>
        <stp>BDH|969347139917708669</stp>
        <tr r="R35" s="4"/>
      </tp>
      <tp t="e">
        <v>#N/A</v>
        <stp/>
        <stp>BDH|844117812742725397</stp>
        <tr r="C13" s="17"/>
        <tr r="C16" s="28"/>
      </tp>
      <tp t="e">
        <v>#N/A</v>
        <stp/>
        <stp>BDH|803771238000210504</stp>
        <tr r="Z60" s="13"/>
      </tp>
      <tp t="e">
        <v>#N/A</v>
        <stp/>
        <stp>BDH|392078070410651675</stp>
        <tr r="L27" s="21"/>
      </tp>
      <tp t="e">
        <v>#N/A</v>
        <stp/>
        <stp>BDH|275524012584155158</stp>
        <tr r="X45" s="17"/>
      </tp>
      <tp t="e">
        <v>#N/A</v>
        <stp/>
        <stp>BDH|211333445832569475</stp>
        <tr r="X48" s="13"/>
      </tp>
      <tp t="e">
        <v>#N/A</v>
        <stp/>
        <stp>BDH|107619941347465431</stp>
        <tr r="C10" s="23"/>
      </tp>
      <tp t="e">
        <v>#N/A</v>
        <stp/>
        <stp>BDH|804800148295268842</stp>
        <tr r="C66" s="10"/>
      </tp>
      <tp t="e">
        <v>#N/A</v>
        <stp/>
        <stp>BDH|942747427252585682</stp>
        <tr r="X23" s="21"/>
      </tp>
      <tp t="e">
        <v>#N/A</v>
        <stp/>
        <stp>BDH|903442127761947649</stp>
        <tr r="T129" s="18"/>
      </tp>
      <tp t="e">
        <v>#N/A</v>
        <stp/>
        <stp>BDH|725928201310436874</stp>
        <tr r="V16" s="24"/>
      </tp>
      <tp t="e">
        <v>#N/A</v>
        <stp/>
        <stp>BDH|336216331168310879</stp>
        <tr r="E16" s="12"/>
      </tp>
      <tp t="e">
        <v>#N/A</v>
        <stp/>
        <stp>BDH|148369657144715301</stp>
        <tr r="K6" s="27"/>
      </tp>
      <tp t="e">
        <v>#N/A</v>
        <stp/>
        <stp>BDH|487673266703174239</stp>
        <tr r="E24" s="29"/>
      </tp>
      <tp t="e">
        <v>#N/A</v>
        <stp/>
        <stp>BDH|850174137043975064</stp>
        <tr r="G26" s="18"/>
      </tp>
      <tp t="e">
        <v>#N/A</v>
        <stp/>
        <stp>BDH|392034714904566460</stp>
        <tr r="Y50" s="21"/>
      </tp>
      <tp t="e">
        <v>#N/A</v>
        <stp/>
        <stp>BDH|516688624662779798</stp>
        <tr r="O33" s="11"/>
        <tr r="O41" s="10"/>
      </tp>
      <tp t="e">
        <v>#N/A</v>
        <stp/>
        <stp>BDH|284987888389087952</stp>
        <tr r="N24" s="21"/>
      </tp>
      <tp t="e">
        <v>#N/A</v>
        <stp/>
        <stp>BDH|299210873101197565</stp>
        <tr r="H15" s="5"/>
      </tp>
      <tp t="e">
        <v>#N/A</v>
        <stp/>
        <stp>BDH|881962885438521899</stp>
        <tr r="S55" s="24"/>
      </tp>
      <tp t="e">
        <v>#N/A</v>
        <stp/>
        <stp>BDH|954437269601195225</stp>
        <tr r="C18" s="21"/>
        <tr r="C23" s="3"/>
      </tp>
      <tp t="e">
        <v>#N/A</v>
        <stp/>
        <stp>BDH|526220517183015103</stp>
        <tr r="Q64" s="17"/>
      </tp>
      <tp t="e">
        <v>#N/A</v>
        <stp/>
        <stp>BDH|935936248859585572</stp>
        <tr r="E36" s="13"/>
        <tr r="C24" s="10"/>
        <tr r="C46" s="4"/>
      </tp>
      <tp t="e">
        <v>#N/A</v>
        <stp/>
        <stp>BDH|459416546439327801</stp>
        <tr r="X75" s="17"/>
      </tp>
      <tp t="e">
        <v>#N/A</v>
        <stp/>
        <stp>BDH|539655557586421434</stp>
        <tr r="K74" s="18"/>
      </tp>
      <tp t="e">
        <v>#N/A</v>
        <stp/>
        <stp>BDH|345129176986076176</stp>
        <tr r="Y10" s="22"/>
      </tp>
      <tp t="e">
        <v>#N/A</v>
        <stp/>
        <stp>BDH|176619816202731404</stp>
        <tr r="G20" s="7"/>
        <tr r="G61" s="11"/>
        <tr r="G69" s="10"/>
      </tp>
      <tp t="e">
        <v>#N/A</v>
        <stp/>
        <stp>BDH|757029571206502000</stp>
        <tr r="I169" s="18"/>
      </tp>
      <tp t="e">
        <v>#N/A</v>
        <stp/>
        <stp>BDH|967349133401626095</stp>
        <tr r="M77" s="12"/>
      </tp>
      <tp t="e">
        <v>#N/A</v>
        <stp/>
        <stp>BDH|907496743383177230</stp>
        <tr r="AA60" s="21"/>
      </tp>
      <tp t="e">
        <v>#N/A</v>
        <stp/>
        <stp>BDH|748622997928724649</stp>
        <tr r="Y38" s="11"/>
        <tr r="Y46" s="10"/>
      </tp>
      <tp t="e">
        <v>#N/A</v>
        <stp/>
        <stp>BDH|874198518168261993</stp>
        <tr r="R24" s="12"/>
      </tp>
      <tp t="e">
        <v>#N/A</v>
        <stp/>
        <stp>BDH|121647321677635206</stp>
        <tr r="Q19" s="14"/>
      </tp>
      <tp t="e">
        <v>#N/A</v>
        <stp/>
        <stp>BDH|409782413256404197</stp>
        <tr r="N24" s="22"/>
      </tp>
      <tp t="e">
        <v>#N/A</v>
        <stp/>
        <stp>BDH|916606438422233615</stp>
        <tr r="N64" s="17"/>
      </tp>
      <tp t="e">
        <v>#N/A</v>
        <stp/>
        <stp>BDH|555796434942270792</stp>
        <tr r="O41" s="34"/>
      </tp>
      <tp t="e">
        <v>#N/A</v>
        <stp/>
        <stp>BDH|111593957581882049</stp>
        <tr r="H31" s="24"/>
      </tp>
      <tp t="e">
        <v>#N/A</v>
        <stp/>
        <stp>BDH|784657272802669255</stp>
        <tr r="Z11" s="22"/>
      </tp>
      <tp t="e">
        <v>#N/A</v>
        <stp/>
        <stp>BDH|915900984634699574</stp>
        <tr r="Y25" s="3"/>
      </tp>
      <tp t="e">
        <v>#N/A</v>
        <stp/>
        <stp>BDH|692280422805316539</stp>
        <tr r="J121" s="18"/>
      </tp>
      <tp t="e">
        <v>#N/A</v>
        <stp/>
        <stp>BDH|964053773552291515</stp>
        <tr r="O19" s="25"/>
      </tp>
      <tp t="e">
        <v>#N/A</v>
        <stp/>
        <stp>BDH|587108713709914934</stp>
        <tr r="G41" s="34"/>
      </tp>
      <tp t="e">
        <v>#N/A</v>
        <stp/>
        <stp>BDH|693247074913342694</stp>
        <tr r="S21" s="10"/>
      </tp>
      <tp t="e">
        <v>#N/A</v>
        <stp/>
        <stp>BDH|995045009140812014</stp>
        <tr r="T55" s="34"/>
      </tp>
      <tp t="e">
        <v>#N/A</v>
        <stp/>
        <stp>BDH|190594380434562906</stp>
        <tr r="F10" s="12"/>
      </tp>
      <tp t="e">
        <v>#N/A</v>
        <stp/>
        <stp>BDH|813066610104068532</stp>
        <tr r="U58" s="18"/>
      </tp>
      <tp t="e">
        <v>#N/A</v>
        <stp/>
        <stp>BDH|481835992240081186</stp>
        <tr r="I34" s="18"/>
      </tp>
      <tp t="e">
        <v>#N/A</v>
        <stp/>
        <stp>BDH|257808736299931236</stp>
        <tr r="K18" s="24"/>
      </tp>
      <tp t="e">
        <v>#N/A</v>
        <stp/>
        <stp>BDH|798366063144477182</stp>
        <tr r="Q63" s="10"/>
      </tp>
      <tp t="e">
        <v>#N/A</v>
        <stp/>
        <stp>BDH|250203761832590689</stp>
        <tr r="O60" s="17"/>
      </tp>
      <tp t="e">
        <v>#N/A</v>
        <stp/>
        <stp>BDH|708794015164182243</stp>
        <tr r="T11" s="18"/>
      </tp>
      <tp t="e">
        <v>#N/A</v>
        <stp/>
        <stp>BDH|321260778217548268</stp>
        <tr r="I85" s="18"/>
      </tp>
      <tp t="e">
        <v>#N/A</v>
        <stp/>
        <stp>BDH|395599601221007452</stp>
        <tr r="R8" s="18"/>
      </tp>
      <tp t="e">
        <v>#N/A</v>
        <stp/>
        <stp>BDH|664017463794268287</stp>
        <tr r="P8" s="26"/>
        <tr r="M10" s="9"/>
      </tp>
      <tp t="e">
        <v>#N/A</v>
        <stp/>
        <stp>BDH|450690839333954637</stp>
        <tr r="K48" s="22"/>
      </tp>
      <tp t="e">
        <v>#N/A</v>
        <stp/>
        <stp>BDH|390695713141571630</stp>
        <tr r="J19" s="20"/>
      </tp>
      <tp t="e">
        <v>#N/A</v>
        <stp/>
        <stp>BDH|502080745642289657</stp>
        <tr r="X11" s="24"/>
      </tp>
      <tp t="e">
        <v>#N/A</v>
        <stp/>
        <stp>BDH|917781453401896351</stp>
        <tr r="J12" s="10"/>
      </tp>
      <tp t="e">
        <v>#N/A</v>
        <stp/>
        <stp>BDH|944516115985613149</stp>
        <tr r="P88" s="12"/>
      </tp>
      <tp t="e">
        <v>#N/A</v>
        <stp/>
        <stp>BDH|631920880692867335</stp>
        <tr r="X11" s="29"/>
      </tp>
      <tp t="e">
        <v>#N/A</v>
        <stp/>
        <stp>BDH|728412311617891209</stp>
        <tr r="G32" s="13"/>
        <tr r="E28" s="10"/>
      </tp>
      <tp t="e">
        <v>#N/A</v>
        <stp/>
        <stp>BDH|675118259532213641</stp>
        <tr r="H24" s="13"/>
      </tp>
      <tp t="e">
        <v>#N/A</v>
        <stp/>
        <stp>BDH|965669201787126179</stp>
        <tr r="Y10" s="17"/>
      </tp>
      <tp t="e">
        <v>#N/A</v>
        <stp/>
        <stp>BDH|513090701779008955</stp>
        <tr r="D28" s="26"/>
      </tp>
      <tp t="e">
        <v>#N/A</v>
        <stp/>
        <stp>BDH|378013836412525185</stp>
        <tr r="W64" s="11"/>
        <tr r="W72" s="10"/>
      </tp>
      <tp t="e">
        <v>#N/A</v>
        <stp/>
        <stp>BDH|337543011275557197</stp>
        <tr r="R42" s="34"/>
      </tp>
      <tp t="e">
        <v>#N/A</v>
        <stp/>
        <stp>BDH|798721181486843976</stp>
        <tr r="L40" s="13"/>
        <tr r="J28" s="11"/>
        <tr r="J36" s="10"/>
      </tp>
      <tp t="e">
        <v>#N/A</v>
        <stp/>
        <stp>BDH|566685439746910368</stp>
        <tr r="P70" s="18"/>
      </tp>
      <tp t="e">
        <v>#N/A</v>
        <stp/>
        <stp>BDH|560773349864428742</stp>
        <tr r="D46" s="11"/>
        <tr r="D7" s="7"/>
        <tr r="D54" s="10"/>
        <tr r="F12" s="3"/>
      </tp>
      <tp t="e">
        <v>#N/A</v>
        <stp/>
        <stp>BDH|788092581709694124</stp>
        <tr r="N9" s="22"/>
      </tp>
      <tp t="e">
        <v>#N/A</v>
        <stp/>
        <stp>BDH|815297680032815820</stp>
        <tr r="Y6" s="28"/>
      </tp>
      <tp t="e">
        <v>#N/A</v>
        <stp/>
        <stp>BDH|718535216526205249</stp>
        <tr r="V78" s="12"/>
      </tp>
      <tp t="e">
        <v>#N/A</v>
        <stp/>
        <stp>BDH|327737431957004350</stp>
        <tr r="T26" s="13"/>
        <tr r="T16" s="13"/>
        <tr r="R18" s="10"/>
      </tp>
      <tp t="e">
        <v>#N/A</v>
        <stp/>
        <stp>BDH|471963146715834881</stp>
        <tr r="U144" s="18"/>
      </tp>
      <tp t="e">
        <v>#N/A</v>
        <stp/>
        <stp>BDH|511470515706136323</stp>
        <tr r="F57" s="24"/>
      </tp>
      <tp t="e">
        <v>#N/A</v>
        <stp/>
        <stp>BDH|278307870913763707</stp>
        <tr r="K78" s="18"/>
      </tp>
      <tp t="e">
        <v>#N/A</v>
        <stp/>
        <stp>BDH|430540484248918588</stp>
        <tr r="Q16" s="27"/>
        <tr r="Q30" s="25"/>
      </tp>
      <tp t="e">
        <v>#N/A</v>
        <stp/>
        <stp>BDH|925748070060149091</stp>
        <tr r="G11" s="14"/>
      </tp>
      <tp t="e">
        <v>#N/A</v>
        <stp/>
        <stp>BDH|639235444651106752</stp>
        <tr r="Y21" s="3"/>
      </tp>
      <tp t="e">
        <v>#N/A</v>
        <stp/>
        <stp>BDH|289631385629196705</stp>
        <tr r="K37" s="12"/>
      </tp>
      <tp t="e">
        <v>#N/A</v>
        <stp/>
        <stp>BDH|207095363252823451</stp>
        <tr r="S176" s="18"/>
      </tp>
      <tp t="e">
        <v>#N/A</v>
        <stp/>
        <stp>BDH|272094206235978513</stp>
        <tr r="U85" s="18"/>
      </tp>
      <tp t="e">
        <v>#N/A</v>
        <stp/>
        <stp>BDH|481236746946690014</stp>
        <tr r="N89" s="17"/>
      </tp>
      <tp t="e">
        <v>#N/A</v>
        <stp/>
        <stp>BDH|771075077365882292</stp>
        <tr r="T24" s="13"/>
      </tp>
      <tp t="e">
        <v>#N/A</v>
        <stp/>
        <stp>BDH|840904659499426534</stp>
        <tr r="X20" s="26"/>
      </tp>
      <tp t="e">
        <v>#N/A</v>
        <stp/>
        <stp>BDH|817717888049535625</stp>
        <tr r="P26" s="17"/>
      </tp>
      <tp t="e">
        <v>#N/A</v>
        <stp/>
        <stp>BDH|475625752044320711</stp>
        <tr r="Q79" s="18"/>
      </tp>
      <tp t="e">
        <v>#N/A</v>
        <stp/>
        <stp>BDH|227244865316467215</stp>
        <tr r="H17" s="34"/>
      </tp>
      <tp t="e">
        <v>#N/A</v>
        <stp/>
        <stp>BDH|975973003060833933</stp>
        <tr r="R22" s="24"/>
      </tp>
      <tp t="e">
        <v>#N/A</v>
        <stp/>
        <stp>BDH|325880538008062350</stp>
        <tr r="J25" s="3"/>
      </tp>
      <tp t="e">
        <v>#N/A</v>
        <stp/>
        <stp>BDH|332045413295114431</stp>
        <tr r="E26" s="17"/>
      </tp>
      <tp t="e">
        <v>#N/A</v>
        <stp/>
        <stp>BDH|564527452917622741</stp>
        <tr r="M69" s="12"/>
      </tp>
      <tp t="e">
        <v>#N/A</v>
        <stp/>
        <stp>BDH|408673451077392461</stp>
        <tr r="V17" s="11"/>
      </tp>
      <tp t="e">
        <v>#N/A</v>
        <stp/>
        <stp>BDH|162154992711391927</stp>
        <tr r="I9" s="10"/>
      </tp>
      <tp t="e">
        <v>#N/A</v>
        <stp/>
        <stp>BDH|615154597809405179</stp>
        <tr r="G31" s="13"/>
        <tr r="E27" s="10"/>
      </tp>
      <tp t="e">
        <v>#N/A</v>
        <stp/>
        <stp>BDH|252646501720730607</stp>
        <tr r="N55" s="34"/>
      </tp>
      <tp t="e">
        <v>#N/A</v>
        <stp/>
        <stp>BDH|272832198813991205</stp>
        <tr r="H71" s="18"/>
      </tp>
      <tp t="e">
        <v>#N/A</v>
        <stp/>
        <stp>BDH|449827258028634581</stp>
        <tr r="U94" s="12"/>
      </tp>
      <tp t="e">
        <v>#N/A</v>
        <stp/>
        <stp>BDH|830312249457983099</stp>
        <tr r="C63" s="34"/>
      </tp>
      <tp t="e">
        <v>#N/A</v>
        <stp/>
        <stp>BDH|836191536410586237</stp>
        <tr r="K28" s="21"/>
      </tp>
      <tp t="e">
        <v>#N/A</v>
        <stp/>
        <stp>BDH|284864094820425151</stp>
        <tr r="O44" s="24"/>
      </tp>
      <tp t="e">
        <v>#N/A</v>
        <stp/>
        <stp>BDH|145147616852241235</stp>
        <tr r="W6" s="28"/>
      </tp>
      <tp t="e">
        <v>#N/A</v>
        <stp/>
        <stp>BDH|489080479597057070</stp>
        <tr r="F13" s="21"/>
      </tp>
      <tp t="e">
        <v>#N/A</v>
        <stp/>
        <stp>BDH|295826672437706873</stp>
        <tr r="F72" s="24"/>
      </tp>
      <tp t="e">
        <v>#N/A</v>
        <stp/>
        <stp>BDH|607552461445207628</stp>
        <tr r="J57" s="12"/>
      </tp>
      <tp t="e">
        <v>#N/A</v>
        <stp/>
        <stp>BDH|804225424897959757</stp>
        <tr r="F60" s="21"/>
      </tp>
      <tp t="e">
        <v>#N/A</v>
        <stp/>
        <stp>BDH|245308146157723013</stp>
        <tr r="V7" s="28"/>
      </tp>
      <tp t="e">
        <v>#N/A</v>
        <stp/>
        <stp>BDH|496030658686972344</stp>
        <tr r="O10" s="6"/>
      </tp>
      <tp t="e">
        <v>#N/A</v>
        <stp/>
        <stp>BDH|146193593568809011</stp>
        <tr r="I58" s="13"/>
      </tp>
      <tp t="e">
        <v>#N/A</v>
        <stp/>
        <stp>BDH|395200675946234362</stp>
        <tr r="G67" s="24"/>
      </tp>
      <tp t="e">
        <v>#N/A</v>
        <stp/>
        <stp>BDH|305324131660355010</stp>
        <tr r="D39" s="22"/>
      </tp>
      <tp t="e">
        <v>#N/A</v>
        <stp/>
        <stp>BDH|922991680667595665</stp>
        <tr r="C72" s="12"/>
      </tp>
      <tp t="e">
        <v>#N/A</v>
        <stp/>
        <stp>BDH|494924792672065278</stp>
        <tr r="AA40" s="24"/>
      </tp>
      <tp t="e">
        <v>#N/A</v>
        <stp/>
        <stp>BDH|912808205563860883</stp>
        <tr r="N97" s="18"/>
      </tp>
      <tp t="e">
        <v>#N/A</v>
        <stp/>
        <stp>BDH|780170460420451485</stp>
        <tr r="D10" s="17"/>
      </tp>
      <tp t="e">
        <v>#N/A</v>
        <stp/>
        <stp>BDH|831610347075610442</stp>
        <tr r="Z70" s="12"/>
      </tp>
      <tp t="e">
        <v>#N/A</v>
        <stp/>
        <stp>BDH|163765147342802246</stp>
        <tr r="F10" s="6"/>
      </tp>
      <tp t="e">
        <v>#N/A</v>
        <stp/>
        <stp>BDH|166045609623340036</stp>
        <tr r="H55" s="34"/>
      </tp>
      <tp t="e">
        <v>#N/A</v>
        <stp/>
        <stp>BDH|786726342038988822</stp>
        <tr r="Y18" s="23"/>
      </tp>
      <tp t="e">
        <v>#N/A</v>
        <stp/>
        <stp>BDH|235412158674465634</stp>
        <tr r="T60" s="21"/>
      </tp>
      <tp t="e">
        <v>#N/A</v>
        <stp/>
        <stp>BDH|307308419246694719</stp>
        <tr r="W20" s="30"/>
      </tp>
      <tp t="e">
        <v>#N/A</v>
        <stp/>
        <stp>BDH|142199120764563406</stp>
        <tr r="Y26" s="12"/>
      </tp>
      <tp t="e">
        <v>#N/A</v>
        <stp/>
        <stp>BDH|779301058943556671</stp>
        <tr r="M96" s="18"/>
      </tp>
      <tp t="e">
        <v>#N/A</v>
        <stp/>
        <stp>BDH|864323417612685365</stp>
        <tr r="K9" s="18"/>
      </tp>
      <tp t="e">
        <v>#N/A</v>
        <stp/>
        <stp>BDH|947130226253120309</stp>
        <tr r="L19" s="29"/>
        <tr r="L25" s="29"/>
        <tr r="L10" s="29"/>
        <tr r="K6" s="9"/>
        <tr r="M12" s="8"/>
        <tr r="L6" s="2"/>
        <tr r="K6" s="5"/>
      </tp>
      <tp t="e">
        <v>#N/A</v>
        <stp/>
        <stp>BDH|236795546678935890</stp>
        <tr r="I100" s="18"/>
      </tp>
      <tp t="e">
        <v>#N/A</v>
        <stp/>
        <stp>BDH|869393648154665021</stp>
        <tr r="W90" s="18"/>
      </tp>
      <tp t="e">
        <v>#N/A</v>
        <stp/>
        <stp>BDH|466089845365793234</stp>
        <tr r="X151" s="18"/>
      </tp>
      <tp t="e">
        <v>#N/A</v>
        <stp/>
        <stp>BDH|527216403203086290</stp>
        <tr r="Q15" s="9"/>
      </tp>
      <tp t="e">
        <v>#N/A</v>
        <stp/>
        <stp>BDH|107947536278576183</stp>
        <tr r="J18" s="13"/>
      </tp>
      <tp t="e">
        <v>#N/A</v>
        <stp/>
        <stp>BDH|954585775608967936</stp>
        <tr r="Q17" s="24"/>
      </tp>
      <tp t="e">
        <v>#N/A</v>
        <stp/>
        <stp>BDH|793244858712697637</stp>
        <tr r="W9" s="6"/>
      </tp>
      <tp t="e">
        <v>#N/A</v>
        <stp/>
        <stp>BDH|156468510964080283</stp>
        <tr r="W47" s="18"/>
      </tp>
      <tp t="e">
        <v>#N/A</v>
        <stp/>
        <stp>BDH|275039559872718406</stp>
        <tr r="P70" s="12"/>
      </tp>
      <tp t="e">
        <v>#N/A</v>
        <stp/>
        <stp>BDH|231320067452119490</stp>
        <tr r="T11" s="12"/>
      </tp>
      <tp t="e">
        <v>#N/A</v>
        <stp/>
        <stp>BDH|257297056005144131</stp>
        <tr r="E58" s="18"/>
      </tp>
      <tp t="e">
        <v>#N/A</v>
        <stp/>
        <stp>BDH|190377158106734314</stp>
        <tr r="U51" s="12"/>
      </tp>
      <tp t="e">
        <v>#N/A</v>
        <stp/>
        <stp>BDH|691494531064056061</stp>
        <tr r="M29" s="13"/>
        <tr r="K24" s="11"/>
        <tr r="K32" s="10"/>
        <tr r="K45" s="4"/>
      </tp>
      <tp t="e">
        <v>#N/A</v>
        <stp/>
        <stp>BDH|689936133270948976</stp>
        <tr r="I131" s="18"/>
      </tp>
      <tp t="e">
        <v>#N/A</v>
        <stp/>
        <stp>BDH|438539823385571190</stp>
        <tr r="Z157" s="18"/>
      </tp>
      <tp t="e">
        <v>#N/A</v>
        <stp/>
        <stp>BDH|689369379666224138</stp>
        <tr r="V39" s="10"/>
        <tr r="V31" s="11"/>
      </tp>
      <tp t="e">
        <v>#N/A</v>
        <stp/>
        <stp>BDH|831700175030233372</stp>
        <tr r="AA18" s="22"/>
      </tp>
      <tp t="e">
        <v>#N/A</v>
        <stp/>
        <stp>BDH|122917960219073587</stp>
        <tr r="Z14" s="18"/>
      </tp>
      <tp t="e">
        <v>#N/A</v>
        <stp/>
        <stp>BDH|236012828565611447</stp>
        <tr r="X15" s="10"/>
      </tp>
      <tp t="e">
        <v>#N/A</v>
        <stp/>
        <stp>BDH|973429721690224519</stp>
        <tr r="M50" s="17"/>
      </tp>
      <tp t="e">
        <v>#N/A</v>
        <stp/>
        <stp>BDH|768700116832900726</stp>
        <tr r="M35" s="21"/>
      </tp>
      <tp t="e">
        <v>#N/A</v>
        <stp/>
        <stp>BDH|671852085667839448</stp>
        <tr r="Q19" s="10"/>
      </tp>
      <tp t="e">
        <v>#N/A</v>
        <stp/>
        <stp>BDH|325662707910944506</stp>
        <tr r="V63" s="17"/>
      </tp>
      <tp t="e">
        <v>#N/A</v>
        <stp/>
        <stp>BDH|956418342473822097</stp>
        <tr r="I31" s="26"/>
        <tr r="F14" s="9"/>
      </tp>
      <tp t="e">
        <v>#N/A</v>
        <stp/>
        <stp>BDH|237518649932755061</stp>
        <tr r="L83" s="17"/>
      </tp>
      <tp t="e">
        <v>#N/A</v>
        <stp/>
        <stp>BDH|295434864383063213</stp>
        <tr r="M21" s="9"/>
        <tr r="M21" s="5"/>
      </tp>
      <tp t="e">
        <v>#N/A</v>
        <stp/>
        <stp>BDH|178137223868110847</stp>
        <tr r="O49" s="12"/>
      </tp>
      <tp t="e">
        <v>#N/A</v>
        <stp/>
        <stp>BDH|934685184538479558</stp>
        <tr r="H62" s="21"/>
      </tp>
      <tp t="e">
        <v>#N/A</v>
        <stp/>
        <stp>BDH|926464937152494682</stp>
        <tr r="H84" s="12"/>
      </tp>
      <tp t="e">
        <v>#N/A</v>
        <stp/>
        <stp>BDH|741114761995022136</stp>
        <tr r="Z20" s="12"/>
      </tp>
      <tp t="e">
        <v>#N/A</v>
        <stp/>
        <stp>BDH|455246717213563364</stp>
        <tr r="C93" s="12"/>
      </tp>
      <tp t="e">
        <v>#N/A</v>
        <stp/>
        <stp>BDH|482235714994727405</stp>
        <tr r="W12" s="22"/>
      </tp>
      <tp t="e">
        <v>#N/A</v>
        <stp/>
        <stp>BDH|413130575513160672</stp>
        <tr r="E20" s="11"/>
      </tp>
      <tp t="e">
        <v>#N/A</v>
        <stp/>
        <stp>BDH|219072327796531732</stp>
        <tr r="N63" s="34"/>
      </tp>
      <tp t="e">
        <v>#N/A</v>
        <stp/>
        <stp>BDH|523443395439669766</stp>
        <tr r="C31" s="24"/>
      </tp>
      <tp t="e">
        <v>#N/A</v>
        <stp/>
        <stp>BDH|384215751122441620</stp>
        <tr r="I117" s="18"/>
      </tp>
      <tp t="e">
        <v>#N/A</v>
        <stp/>
        <stp>BDH|794742493045514805</stp>
        <tr r="V48" s="17"/>
      </tp>
      <tp t="e">
        <v>#N/A</v>
        <stp/>
        <stp>BDH|434910921229547147</stp>
        <tr r="X70" s="17"/>
      </tp>
      <tp t="e">
        <v>#N/A</v>
        <stp/>
        <stp>BDH|726231390611521940</stp>
        <tr r="O88" s="12"/>
      </tp>
      <tp t="e">
        <v>#N/A</v>
        <stp/>
        <stp>BDH|729961798225982660</stp>
        <tr r="L43" s="6"/>
        <tr r="L19" s="5"/>
      </tp>
      <tp t="e">
        <v>#N/A</v>
        <stp/>
        <stp>BDH|229746314232033747</stp>
        <tr r="L46" s="6"/>
      </tp>
      <tp t="e">
        <v>#N/A</v>
        <stp/>
        <stp>BDH|319438076905934590</stp>
        <tr r="M40" s="12"/>
      </tp>
      <tp t="e">
        <v>#N/A</v>
        <stp/>
        <stp>BDH|104538562206146665</stp>
        <tr r="R11" s="11"/>
      </tp>
      <tp t="e">
        <v>#N/A</v>
        <stp/>
        <stp>BDH|100292658474281056</stp>
        <tr r="V116" s="18"/>
      </tp>
      <tp t="e">
        <v>#N/A</v>
        <stp/>
        <stp>BDH|283572309885982323</stp>
        <tr r="J71" s="18"/>
      </tp>
      <tp t="e">
        <v>#N/A</v>
        <stp/>
        <stp>BDH|389710721975097341</stp>
        <tr r="F8" s="8"/>
      </tp>
      <tp t="e">
        <v>#N/A</v>
        <stp/>
        <stp>BDH|709419573002436264</stp>
        <tr r="Z20" s="18"/>
      </tp>
      <tp t="e">
        <v>#N/A</v>
        <stp/>
        <stp>BDH|454839904439213267</stp>
        <tr r="W169" s="18"/>
      </tp>
      <tp t="e">
        <v>#N/A</v>
        <stp/>
        <stp>BDH|649408542763101051</stp>
        <tr r="H29" s="34"/>
      </tp>
      <tp t="e">
        <v>#N/A</v>
        <stp/>
        <stp>BDH|236010295839650301</stp>
        <tr r="G61" s="12"/>
      </tp>
      <tp t="e">
        <v>#N/A</v>
        <stp/>
        <stp>BDH|272702635273653412</stp>
        <tr r="T89" s="18"/>
      </tp>
      <tp t="e">
        <v>#N/A</v>
        <stp/>
        <stp>BDH|123850836081140936</stp>
        <tr r="H19" s="12"/>
      </tp>
      <tp t="e">
        <v>#N/A</v>
        <stp/>
        <stp>BDH|607066914041640338</stp>
        <tr r="U78" s="24"/>
      </tp>
      <tp t="e">
        <v>#N/A</v>
        <stp/>
        <stp>BDH|573838667599334432</stp>
        <tr r="G21" s="12"/>
      </tp>
      <tp t="e">
        <v>#N/A</v>
        <stp/>
        <stp>BDH|892991327371747907</stp>
        <tr r="J36" s="12"/>
      </tp>
      <tp t="e">
        <v>#N/A</v>
        <stp/>
        <stp>BDH|945549468258236865</stp>
        <tr r="M26" s="26"/>
      </tp>
      <tp t="e">
        <v>#N/A</v>
        <stp/>
        <stp>BDH|100009926884123570</stp>
        <tr r="O71" s="12"/>
      </tp>
      <tp t="e">
        <v>#N/A</v>
        <stp/>
        <stp>BDH|621663841936099706</stp>
        <tr r="M25" s="3"/>
      </tp>
      <tp t="e">
        <v>#N/A</v>
        <stp/>
        <stp>BDH|450715969174853653</stp>
        <tr r="V66" s="12"/>
      </tp>
      <tp t="e">
        <v>#N/A</v>
        <stp/>
        <stp>BDH|938459069178380949</stp>
        <tr r="V20" s="17"/>
      </tp>
      <tp t="e">
        <v>#N/A</v>
        <stp/>
        <stp>BDH|797123147016986099</stp>
        <tr r="Q99" s="18"/>
      </tp>
      <tp t="e">
        <v>#N/A</v>
        <stp/>
        <stp>BDH|729833683276207571</stp>
        <tr r="S78" s="17"/>
      </tp>
      <tp t="e">
        <v>#N/A</v>
        <stp/>
        <stp>BDH|718994938180439900</stp>
        <tr r="S15" s="17"/>
        <tr r="S18" s="28"/>
      </tp>
      <tp t="e">
        <v>#N/A</v>
        <stp/>
        <stp>BDH|110833388875977618</stp>
        <tr r="J26" s="13"/>
        <tr r="J16" s="13"/>
        <tr r="H18" s="10"/>
      </tp>
      <tp t="e">
        <v>#N/A</v>
        <stp/>
        <stp>BDH|130918624971383941</stp>
        <tr r="E21" s="20"/>
      </tp>
      <tp t="e">
        <v>#N/A</v>
        <stp/>
        <stp>BDH|688330073765683234</stp>
        <tr r="W40" s="6"/>
      </tp>
      <tp t="e">
        <v>#N/A</v>
        <stp/>
        <stp>BDH|499204141931330456</stp>
        <tr r="R11" s="9"/>
      </tp>
      <tp t="e">
        <v>#N/A</v>
        <stp/>
        <stp>BDH|817817694982977079</stp>
        <tr r="Z138" s="18"/>
      </tp>
      <tp t="e">
        <v>#N/A</v>
        <stp/>
        <stp>BDH|986466429025685031</stp>
        <tr r="U39" s="18"/>
      </tp>
      <tp t="e">
        <v>#N/A</v>
        <stp/>
        <stp>BDH|977560415411044690</stp>
        <tr r="Y29" s="18"/>
      </tp>
      <tp t="e">
        <v>#N/A</v>
        <stp/>
        <stp>BDH|299784556618732876</stp>
        <tr r="P20" s="12"/>
      </tp>
      <tp t="e">
        <v>#N/A</v>
        <stp/>
        <stp>BDH|952304152806443231</stp>
        <tr r="L10" s="17"/>
      </tp>
      <tp t="e">
        <v>#N/A</v>
        <stp/>
        <stp>BDH|198499444536893481</stp>
        <tr r="E13" s="12"/>
      </tp>
      <tp t="e">
        <v>#N/A</v>
        <stp/>
        <stp>BDH|531767524700228792</stp>
        <tr r="Z12" s="25"/>
      </tp>
      <tp t="e">
        <v>#N/A</v>
        <stp/>
        <stp>BDH|865399264923901407</stp>
        <tr r="AA91" s="18"/>
      </tp>
      <tp t="e">
        <v>#N/A</v>
        <stp/>
        <stp>BDH|137478104322818468</stp>
        <tr r="Z85" s="18"/>
      </tp>
      <tp t="e">
        <v>#N/A</v>
        <stp/>
        <stp>BDH|277644045431917160</stp>
        <tr r="U8" s="4"/>
      </tp>
      <tp t="e">
        <v>#N/A</v>
        <stp/>
        <stp>BDH|286391608298607981</stp>
        <tr r="I68" s="17"/>
        <tr r="F8" s="9"/>
        <tr r="F8" s="5"/>
      </tp>
      <tp t="e">
        <v>#N/A</v>
        <stp/>
        <stp>BDH|412518294506809840</stp>
        <tr r="X33" s="6"/>
        <tr r="X17" s="5"/>
      </tp>
      <tp t="e">
        <v>#N/A</v>
        <stp/>
        <stp>BDH|225950083263847013</stp>
        <tr r="S50" s="17"/>
      </tp>
      <tp t="e">
        <v>#N/A</v>
        <stp/>
        <stp>BDH|313989591372491036</stp>
        <tr r="J23" s="25"/>
        <tr r="H21" s="11"/>
      </tp>
      <tp t="e">
        <v>#N/A</v>
        <stp/>
        <stp>BDH|103564912932897400</stp>
        <tr r="V8" s="27"/>
      </tp>
      <tp t="e">
        <v>#N/A</v>
        <stp/>
        <stp>BDH|848156002664041718</stp>
        <tr r="P61" s="11"/>
        <tr r="P69" s="10"/>
        <tr r="P20" s="7"/>
      </tp>
      <tp t="e">
        <v>#N/A</v>
        <stp/>
        <stp>BDH|338766944623657293</stp>
        <tr r="H27" s="17"/>
      </tp>
      <tp t="e">
        <v>#N/A</v>
        <stp/>
        <stp>BDH|951298014232301383</stp>
        <tr r="V10" s="12"/>
      </tp>
      <tp t="e">
        <v>#N/A</v>
        <stp/>
        <stp>BDH|698226038984187723</stp>
        <tr r="L41" s="21"/>
      </tp>
      <tp t="e">
        <v>#N/A</v>
        <stp/>
        <stp>BDH|713024556451436681</stp>
        <tr r="K13" s="25"/>
      </tp>
      <tp t="e">
        <v>#N/A</v>
        <stp/>
        <stp>BDH|807289908283080372</stp>
        <tr r="X23" s="23"/>
      </tp>
      <tp t="e">
        <v>#N/A</v>
        <stp/>
        <stp>BDH|423073214484750789</stp>
        <tr r="D92" s="17"/>
        <tr r="D7" s="27"/>
      </tp>
      <tp t="e">
        <v>#N/A</v>
        <stp/>
        <stp>BDH|459619456073840235</stp>
        <tr r="P23" s="9"/>
      </tp>
      <tp t="e">
        <v>#N/A</v>
        <stp/>
        <stp>BDH|918544905543237421</stp>
        <tr r="P45" s="21"/>
      </tp>
      <tp t="e">
        <v>#N/A</v>
        <stp/>
        <stp>BDH|379068402274952668</stp>
        <tr r="K70" s="12"/>
      </tp>
      <tp t="e">
        <v>#N/A</v>
        <stp/>
        <stp>BDH|103602448073553340</stp>
        <tr r="F32" s="12"/>
      </tp>
      <tp t="e">
        <v>#N/A</v>
        <stp/>
        <stp>BDH|926607540815803587</stp>
        <tr r="L20" s="27"/>
      </tp>
      <tp t="e">
        <v>#N/A</v>
        <stp/>
        <stp>BDH|194387031037666571</stp>
        <tr r="C21" s="3"/>
      </tp>
      <tp t="e">
        <v>#N/A</v>
        <stp/>
        <stp>BDH|981312422712324100</stp>
        <tr r="L143" s="18"/>
      </tp>
      <tp t="e">
        <v>#N/A</v>
        <stp/>
        <stp>BDH|960114060404551142</stp>
        <tr r="S80" s="12"/>
      </tp>
      <tp t="e">
        <v>#N/A</v>
        <stp/>
        <stp>BDH|966065635312241315</stp>
        <tr r="I8" s="21"/>
      </tp>
      <tp t="e">
        <v>#N/A</v>
        <stp/>
        <stp>BDH|879120323315258427</stp>
        <tr r="Q13" s="17"/>
        <tr r="Q16" s="28"/>
      </tp>
      <tp t="e">
        <v>#N/A</v>
        <stp/>
        <stp>BDH|585540680168377784</stp>
        <tr r="Q40" s="17"/>
      </tp>
      <tp t="e">
        <v>#N/A</v>
        <stp/>
        <stp>BDH|961553025552066739</stp>
        <tr r="H9" s="29"/>
      </tp>
      <tp t="e">
        <v>#N/A</v>
        <stp/>
        <stp>BDH|828585719265479371</stp>
        <tr r="Q49" s="24"/>
      </tp>
      <tp t="e">
        <v>#N/A</v>
        <stp/>
        <stp>BDH|976300138243800133</stp>
        <tr r="F65" s="10"/>
        <tr r="F39" s="4"/>
      </tp>
      <tp t="e">
        <v>#N/A</v>
        <stp/>
        <stp>BDH|422154061133897629</stp>
        <tr r="U83" s="17"/>
      </tp>
      <tp t="e">
        <v>#N/A</v>
        <stp/>
        <stp>BDH|380741827476855135</stp>
        <tr r="M11" s="24"/>
      </tp>
      <tp t="e">
        <v>#N/A</v>
        <stp/>
        <stp>BDH|856175742717391059</stp>
        <tr r="R59" s="34"/>
      </tp>
      <tp t="e">
        <v>#N/A</v>
        <stp/>
        <stp>BDH|845806898591274297</stp>
        <tr r="S48" s="13"/>
      </tp>
      <tp t="e">
        <v>#N/A</v>
        <stp/>
        <stp>BDH|413057000100606233</stp>
        <tr r="T57" s="34"/>
      </tp>
      <tp t="e">
        <v>#N/A</v>
        <stp/>
        <stp>BDH|244862980950582252</stp>
        <tr r="N21" s="27"/>
      </tp>
      <tp t="e">
        <v>#N/A</v>
        <stp/>
        <stp>BDH|582933472074502848</stp>
        <tr r="G7" s="17"/>
      </tp>
      <tp t="e">
        <v>#N/A</v>
        <stp/>
        <stp>BDH|261755631041464775</stp>
        <tr r="Y38" s="29"/>
        <tr r="Y18" s="29"/>
      </tp>
      <tp t="e">
        <v>#N/A</v>
        <stp/>
        <stp>BDH|421855064605342933</stp>
        <tr r="V13" s="6"/>
      </tp>
      <tp t="e">
        <v>#N/A</v>
        <stp/>
        <stp>BDH|266746650947491774</stp>
        <tr r="F6" s="6"/>
      </tp>
      <tp t="e">
        <v>#N/A</v>
        <stp/>
        <stp>BDH|313938558179885755</stp>
        <tr r="V62" s="12"/>
      </tp>
      <tp t="e">
        <v>#N/A</v>
        <stp/>
        <stp>BDH|882637759431314073</stp>
        <tr r="M109" s="12"/>
      </tp>
      <tp t="e">
        <v>#N/A</v>
        <stp/>
        <stp>BDH|515462905616904099</stp>
        <tr r="M29" s="34"/>
      </tp>
      <tp t="e">
        <v>#N/A</v>
        <stp/>
        <stp>BDH|733000038403000297</stp>
        <tr r="U19" s="22"/>
      </tp>
      <tp t="e">
        <v>#N/A</v>
        <stp/>
        <stp>BDH|861026244640036680</stp>
        <tr r="I42" s="17"/>
      </tp>
      <tp t="e">
        <v>#N/A</v>
        <stp/>
        <stp>BDH|394641155619038848</stp>
        <tr r="X59" s="24"/>
      </tp>
      <tp t="e">
        <v>#N/A</v>
        <stp/>
        <stp>BDH|581148616287494541</stp>
        <tr r="N47" s="21"/>
      </tp>
      <tp t="e">
        <v>#N/A</v>
        <stp/>
        <stp>BDH|199027735183453253</stp>
        <tr r="P152" s="18"/>
      </tp>
      <tp t="e">
        <v>#N/A</v>
        <stp/>
        <stp>BDH|193624306007634347</stp>
        <tr r="T103" s="18"/>
      </tp>
      <tp t="e">
        <v>#N/A</v>
        <stp/>
        <stp>BDH|295619117222466773</stp>
        <tr r="C12" s="17"/>
      </tp>
      <tp t="e">
        <v>#N/A</v>
        <stp/>
        <stp>BDH|805042718787280419</stp>
        <tr r="V37" s="24"/>
      </tp>
      <tp t="e">
        <v>#N/A</v>
        <stp/>
        <stp>BDH|370498525297755383</stp>
        <tr r="S7" s="28"/>
      </tp>
      <tp t="e">
        <v>#N/A</v>
        <stp/>
        <stp>BDH|598778770415548777</stp>
        <tr r="E21" s="9"/>
        <tr r="E21" s="5"/>
      </tp>
      <tp t="e">
        <v>#N/A</v>
        <stp/>
        <stp>BDH|308867082426337445</stp>
        <tr r="T167" s="18"/>
      </tp>
      <tp t="e">
        <v>#N/A</v>
        <stp/>
        <stp>BDH|936856288371694334</stp>
        <tr r="W32" s="21"/>
      </tp>
      <tp t="e">
        <v>#N/A</v>
        <stp/>
        <stp>BDH|837754196859279580</stp>
        <tr r="C22" s="24"/>
      </tp>
      <tp t="e">
        <v>#N/A</v>
        <stp/>
        <stp>BDH|360765854945469545</stp>
        <tr r="Y58" s="21"/>
        <tr r="Y37" s="25"/>
        <tr r="W53" s="11"/>
        <tr r="W31" s="4"/>
      </tp>
      <tp t="e">
        <v>#N/A</v>
        <stp/>
        <stp>BDH|533279566374111245</stp>
        <tr r="U11" s="12"/>
      </tp>
      <tp t="e">
        <v>#N/A</v>
        <stp/>
        <stp>BDH|402257292030208905</stp>
        <tr r="G163" s="18"/>
      </tp>
      <tp t="e">
        <v>#N/A</v>
        <stp/>
        <stp>BDH|224524319381053780</stp>
        <tr r="AA69" s="17"/>
      </tp>
      <tp t="e">
        <v>#N/A</v>
        <stp/>
        <stp>BDH|358001039613308283</stp>
        <tr r="L62" s="21"/>
      </tp>
      <tp t="e">
        <v>#N/A</v>
        <stp/>
        <stp>BDH|903715503205976034</stp>
        <tr r="C10" s="13"/>
      </tp>
      <tp t="e">
        <v>#N/A</v>
        <stp/>
        <stp>BDH|453318880541627810</stp>
        <tr r="Y83" s="17"/>
      </tp>
      <tp t="e">
        <v>#N/A</v>
        <stp/>
        <stp>BDH|598471207066173066</stp>
        <tr r="V8" s="12"/>
      </tp>
      <tp t="e">
        <v>#N/A</v>
        <stp/>
        <stp>BDH|736194834843999318</stp>
        <tr r="C60" s="17"/>
      </tp>
      <tp t="e">
        <v>#N/A</v>
        <stp/>
        <stp>BDH|128948077478528453</stp>
        <tr r="AA13" s="17"/>
        <tr r="AA16" s="28"/>
      </tp>
      <tp t="e">
        <v>#N/A</v>
        <stp/>
        <stp>BDH|413875183830451265</stp>
        <tr r="E25" s="29"/>
        <tr r="E19" s="29"/>
        <tr r="E10" s="29"/>
        <tr r="D6" s="9"/>
        <tr r="F12" s="8"/>
        <tr r="E6" s="2"/>
        <tr r="D6" s="5"/>
      </tp>
      <tp t="e">
        <v>#N/A</v>
        <stp/>
        <stp>BDH|747426943655702738</stp>
        <tr r="P43" s="22"/>
      </tp>
      <tp t="e">
        <v>#N/A</v>
        <stp/>
        <stp>BDH|988176924039147898</stp>
        <tr r="G33" s="22"/>
      </tp>
      <tp t="e">
        <v>#N/A</v>
        <stp/>
        <stp>BDH|677687185684876813</stp>
        <tr r="M173" s="18"/>
      </tp>
      <tp t="e">
        <v>#N/A</v>
        <stp/>
        <stp>BDH|345008507513190173</stp>
        <tr r="C48" s="21"/>
      </tp>
      <tp t="e">
        <v>#N/A</v>
        <stp/>
        <stp>BDH|353135728746343794</stp>
        <tr r="AA48" s="21"/>
      </tp>
      <tp t="e">
        <v>#N/A</v>
        <stp/>
        <stp>BDH|774895470354560990</stp>
        <tr r="E12" s="24"/>
      </tp>
      <tp t="e">
        <v>#N/A</v>
        <stp/>
        <stp>BDH|242367746372962786</stp>
        <tr r="J48" s="12"/>
      </tp>
      <tp t="e">
        <v>#N/A</v>
        <stp/>
        <stp>BDH|484639545122003211</stp>
        <tr r="C167" s="18"/>
      </tp>
      <tp t="e">
        <v>#N/A</v>
        <stp/>
        <stp>BDH|783610284740711392</stp>
        <tr r="V8" s="14"/>
      </tp>
      <tp t="e">
        <v>#N/A</v>
        <stp/>
        <stp>BDH|851560269568953626</stp>
        <tr r="R28" s="34"/>
      </tp>
      <tp t="e">
        <v>#N/A</v>
        <stp/>
        <stp>BDH|225167448018071006</stp>
        <tr r="V34" s="17"/>
      </tp>
      <tp t="e">
        <v>#N/A</v>
        <stp/>
        <stp>BDH|178788627209524164</stp>
        <tr r="P30" s="18"/>
      </tp>
      <tp t="e">
        <v>#N/A</v>
        <stp/>
        <stp>BDH|511896377424253648</stp>
        <tr r="K38" s="26"/>
      </tp>
      <tp t="e">
        <v>#N/A</v>
        <stp/>
        <stp>BDH|807420465149180636</stp>
        <tr r="V36" s="21"/>
      </tp>
      <tp t="e">
        <v>#N/A</v>
        <stp/>
        <stp>BDH|968263099344386283</stp>
        <tr r="N141" s="18"/>
      </tp>
      <tp t="e">
        <v>#N/A</v>
        <stp/>
        <stp>BDH|729972655824022587</stp>
        <tr r="U44" s="13"/>
      </tp>
      <tp t="e">
        <v>#N/A</v>
        <stp/>
        <stp>BDH|331386853369617234</stp>
        <tr r="L78" s="17"/>
      </tp>
      <tp t="e">
        <v>#N/A</v>
        <stp/>
        <stp>BDH|646596982986790672</stp>
        <tr r="C24" s="34"/>
      </tp>
      <tp t="e">
        <v>#N/A</v>
        <stp/>
        <stp>BDH|834835218551906572</stp>
        <tr r="T25" s="27"/>
      </tp>
      <tp t="e">
        <v>#N/A</v>
        <stp/>
        <stp>BDH|699526299229136820</stp>
        <tr r="H82" s="18"/>
      </tp>
      <tp t="e">
        <v>#N/A</v>
        <stp/>
        <stp>BDH|651195282502166621</stp>
        <tr r="I86" s="17"/>
      </tp>
      <tp t="e">
        <v>#N/A</v>
        <stp/>
        <stp>BDH|332105117465839823</stp>
        <tr r="Y44" s="17"/>
      </tp>
      <tp t="e">
        <v>#N/A</v>
        <stp/>
        <stp>BDH|841775720378376022</stp>
        <tr r="P22" s="24"/>
      </tp>
      <tp t="e">
        <v>#N/A</v>
        <stp/>
        <stp>BDH|496183484274365048</stp>
        <tr r="K14" s="11"/>
      </tp>
      <tp t="e">
        <v>#N/A</v>
        <stp/>
        <stp>BDH|210050129027136805</stp>
        <tr r="S62" s="12"/>
      </tp>
      <tp t="e">
        <v>#N/A</v>
        <stp/>
        <stp>BDH|299048137097623986</stp>
        <tr r="C64" s="24"/>
      </tp>
      <tp t="e">
        <v>#N/A</v>
        <stp/>
        <stp>BDH|270753396940035394</stp>
        <tr r="L31" s="26"/>
        <tr r="I14" s="9"/>
      </tp>
      <tp t="e">
        <v>#N/A</v>
        <stp/>
        <stp>BDH|414832848187535628</stp>
        <tr r="G72" s="18"/>
      </tp>
      <tp t="e">
        <v>#N/A</v>
        <stp/>
        <stp>BDH|925773884833238106</stp>
        <tr r="I11" s="13"/>
      </tp>
      <tp t="e">
        <v>#N/A</v>
        <stp/>
        <stp>BDH|930166565572271800</stp>
        <tr r="F21" s="20"/>
      </tp>
      <tp t="e">
        <v>#N/A</v>
        <stp/>
        <stp>BDH|173569102121786989</stp>
        <tr r="L15" s="4"/>
      </tp>
      <tp t="e">
        <v>#N/A</v>
        <stp/>
        <stp>BDH|939815276137090540</stp>
        <tr r="AA72" s="12"/>
      </tp>
      <tp t="e">
        <v>#N/A</v>
        <stp/>
        <stp>BDH|479799122968261073</stp>
        <tr r="G9" s="29"/>
      </tp>
      <tp t="e">
        <v>#N/A</v>
        <stp/>
        <stp>BDH|716809761703486086</stp>
        <tr r="AA11" s="12"/>
      </tp>
      <tp t="e">
        <v>#N/A</v>
        <stp/>
        <stp>BDH|509874663437867424</stp>
        <tr r="O60" s="21"/>
      </tp>
      <tp t="e">
        <v>#N/A</v>
        <stp/>
        <stp>BDH|766680918942223815</stp>
        <tr r="J17" s="34"/>
      </tp>
      <tp t="e">
        <v>#N/A</v>
        <stp/>
        <stp>BDH|997281784084414355</stp>
        <tr r="C59" s="21"/>
      </tp>
      <tp t="e">
        <v>#N/A</v>
        <stp/>
        <stp>BDH|504665480305255652</stp>
        <tr r="D78" s="17"/>
      </tp>
      <tp t="e">
        <v>#N/A</v>
        <stp/>
        <stp>BDH|974976351296302784</stp>
        <tr r="F56" s="11"/>
        <tr r="F24" s="4"/>
      </tp>
      <tp t="e">
        <v>#N/A</v>
        <stp/>
        <stp>BDH|209653217213037959</stp>
        <tr r="Q99" s="12"/>
      </tp>
      <tp t="e">
        <v>#N/A</v>
        <stp/>
        <stp>BDH|485557356278915586</stp>
        <tr r="W63" s="10"/>
      </tp>
      <tp t="e">
        <v>#N/A</v>
        <stp/>
        <stp>BDH|475828427647438032</stp>
        <tr r="D21" s="6"/>
      </tp>
      <tp t="e">
        <v>#N/A</v>
        <stp/>
        <stp>BDH|670887607521819479</stp>
        <tr r="Z58" s="24"/>
      </tp>
      <tp t="e">
        <v>#N/A</v>
        <stp/>
        <stp>BDH|462436499916901603</stp>
        <tr r="J8" s="8"/>
      </tp>
      <tp t="e">
        <v>#N/A</v>
        <stp/>
        <stp>BDH|927192712959247476</stp>
        <tr r="Y8" s="13"/>
      </tp>
      <tp t="e">
        <v>#N/A</v>
        <stp/>
        <stp>BDH|169491538909724307</stp>
        <tr r="S20" s="18"/>
      </tp>
      <tp t="e">
        <v>#N/A</v>
        <stp/>
        <stp>BDH|318386720059525590</stp>
        <tr r="M73" s="17"/>
      </tp>
      <tp t="e">
        <v>#N/A</v>
        <stp/>
        <stp>BDH|522588856774364980</stp>
        <tr r="W53" s="12"/>
      </tp>
      <tp t="e">
        <v>#N/A</v>
        <stp/>
        <stp>BDH|233836390239684576</stp>
        <tr r="U43" s="12"/>
      </tp>
      <tp t="e">
        <v>#N/A</v>
        <stp/>
        <stp>BDH|588403161438062740</stp>
        <tr r="D9" s="17"/>
      </tp>
      <tp t="e">
        <v>#N/A</v>
        <stp/>
        <stp>BDH|434741749377192989</stp>
        <tr r="E74" s="17"/>
      </tp>
      <tp t="e">
        <v>#N/A</v>
        <stp/>
        <stp>BDH|372866613344774012</stp>
        <tr r="U50" s="21"/>
      </tp>
      <tp t="e">
        <v>#N/A</v>
        <stp/>
        <stp>BDH|282659966089986490</stp>
        <tr r="H9" s="24"/>
      </tp>
      <tp t="e">
        <v>#N/A</v>
        <stp/>
        <stp>BDH|526446591980265035</stp>
        <tr r="S44" s="12"/>
      </tp>
      <tp t="e">
        <v>#N/A</v>
        <stp/>
        <stp>BDH|697125896820101524</stp>
        <tr r="R17" s="13"/>
      </tp>
      <tp t="e">
        <v>#N/A</v>
        <stp/>
        <stp>BDH|628351021245518965</stp>
        <tr r="G20" s="24"/>
      </tp>
      <tp t="e">
        <v>#N/A</v>
        <stp/>
        <stp>BDH|988496784091074062</stp>
        <tr r="R83" s="18"/>
      </tp>
      <tp t="e">
        <v>#N/A</v>
        <stp/>
        <stp>BDH|531207653133709939</stp>
        <tr r="O129" s="18"/>
      </tp>
      <tp t="e">
        <v>#N/A</v>
        <stp/>
        <stp>BDH|438799175598285595</stp>
        <tr r="I8" s="20"/>
        <tr r="I110" s="18"/>
      </tp>
      <tp t="e">
        <v>#N/A</v>
        <stp/>
        <stp>BDH|736872165524076760</stp>
        <tr r="V177" s="18"/>
      </tp>
      <tp t="e">
        <v>#N/A</v>
        <stp/>
        <stp>BDH|184080563913189888</stp>
        <tr r="O7" s="29"/>
        <tr r="O29" s="29"/>
      </tp>
      <tp t="e">
        <v>#N/A</v>
        <stp/>
        <stp>BDH|228094887202882684</stp>
        <tr r="Y10" s="12"/>
      </tp>
      <tp t="e">
        <v>#N/A</v>
        <stp/>
        <stp>BDH|273563524893526892</stp>
        <tr r="Q40" s="21"/>
      </tp>
      <tp t="e">
        <v>#N/A</v>
        <stp/>
        <stp>BDH|857071363268866285</stp>
        <tr r="T82" s="17"/>
        <tr r="R6" s="7"/>
        <tr r="T20" s="3"/>
      </tp>
      <tp t="e">
        <v>#N/A</v>
        <stp/>
        <stp>BDH|610016028008131639</stp>
        <tr r="P9" s="28"/>
      </tp>
      <tp t="e">
        <v>#N/A</v>
        <stp/>
        <stp>BDH|385696730941339872</stp>
        <tr r="H50" s="12"/>
      </tp>
      <tp t="e">
        <v>#N/A</v>
        <stp/>
        <stp>BDH|805667221969588143</stp>
        <tr r="T18" s="26"/>
      </tp>
      <tp t="e">
        <v>#N/A</v>
        <stp/>
        <stp>BDH|527971406173890632</stp>
        <tr r="E61" s="18"/>
      </tp>
      <tp t="e">
        <v>#N/A</v>
        <stp/>
        <stp>BDH|202031250701862861</stp>
        <tr r="W44" s="24"/>
      </tp>
      <tp t="e">
        <v>#N/A</v>
        <stp/>
        <stp>BDH|804177162682077959</stp>
        <tr r="W119" s="18"/>
      </tp>
      <tp t="e">
        <v>#N/A</v>
        <stp/>
        <stp>BDH|178447089634222462</stp>
        <tr r="T72" s="18"/>
      </tp>
      <tp t="e">
        <v>#N/A</v>
        <stp/>
        <stp>BDH|299846918233410637</stp>
        <tr r="J39" s="12"/>
      </tp>
      <tp t="e">
        <v>#N/A</v>
        <stp/>
        <stp>BDH|662856346525951559</stp>
        <tr r="S39" s="6"/>
      </tp>
      <tp t="e">
        <v>#N/A</v>
        <stp/>
        <stp>BDH|190845449263511330</stp>
        <tr r="F57" s="18"/>
      </tp>
      <tp t="e">
        <v>#N/A</v>
        <stp/>
        <stp>BDH|365101091704837000</stp>
        <tr r="U63" s="18"/>
      </tp>
      <tp t="e">
        <v>#N/A</v>
        <stp/>
        <stp>BDH|364432997334915540</stp>
        <tr r="Y52" s="18"/>
      </tp>
      <tp t="e">
        <v>#N/A</v>
        <stp/>
        <stp>BDH|562816382439960547</stp>
        <tr r="D61" s="17"/>
      </tp>
      <tp t="e">
        <v>#N/A</v>
        <stp/>
        <stp>BDH|913093032946031962</stp>
        <tr r="AA16" s="26"/>
      </tp>
      <tp t="e">
        <v>#N/A</v>
        <stp/>
        <stp>BDH|607175698690981445</stp>
        <tr r="R29" s="5"/>
      </tp>
      <tp t="e">
        <v>#N/A</v>
        <stp/>
        <stp>BDH|492725276949329570</stp>
        <tr r="R51" s="12"/>
      </tp>
      <tp t="e">
        <v>#N/A</v>
        <stp/>
        <stp>BDH|636828425636617039</stp>
        <tr r="G13" s="20"/>
        <tr r="G114" s="18"/>
      </tp>
      <tp t="e">
        <v>#N/A</v>
        <stp/>
        <stp>BDH|715591105098605195</stp>
        <tr r="M107" s="12"/>
      </tp>
      <tp t="e">
        <v>#N/A</v>
        <stp/>
        <stp>BDH|500330824828751507</stp>
        <tr r="Z20" s="17"/>
      </tp>
      <tp t="e">
        <v>#N/A</v>
        <stp/>
        <stp>BDH|494763650789538725</stp>
        <tr r="T35" s="26"/>
      </tp>
      <tp t="e">
        <v>#N/A</v>
        <stp/>
        <stp>BDH|277206323479654529</stp>
        <tr r="F66" s="24"/>
      </tp>
      <tp t="e">
        <v>#N/A</v>
        <stp/>
        <stp>BDH|312710090492043072</stp>
        <tr r="Q49" s="6"/>
        <tr r="S9" s="8"/>
      </tp>
      <tp t="e">
        <v>#N/A</v>
        <stp/>
        <stp>BDH|176408476397587874</stp>
        <tr r="X7" s="21"/>
      </tp>
      <tp t="e">
        <v>#N/A</v>
        <stp/>
        <stp>BDH|319721264519031402</stp>
        <tr r="N22" s="24"/>
      </tp>
      <tp t="e">
        <v>#N/A</v>
        <stp/>
        <stp>BDH|522451872819263662</stp>
        <tr r="U56" s="34"/>
      </tp>
      <tp t="e">
        <v>#N/A</v>
        <stp/>
        <stp>BDH|611613940817091914</stp>
        <tr r="C156" s="18"/>
      </tp>
      <tp t="e">
        <v>#N/A</v>
        <stp/>
        <stp>BDH|193722263548479531</stp>
        <tr r="X29" s="24"/>
      </tp>
      <tp t="e">
        <v>#N/A</v>
        <stp/>
        <stp>BDH|439900151587305716</stp>
        <tr r="P18" s="13"/>
      </tp>
      <tp t="e">
        <v>#N/A</v>
        <stp/>
        <stp>BDH|104702481587396437</stp>
        <tr r="L100" s="18"/>
      </tp>
      <tp t="e">
        <v>#N/A</v>
        <stp/>
        <stp>BDH|420952816280311446</stp>
        <tr r="I162" s="18"/>
      </tp>
      <tp t="e">
        <v>#N/A</v>
        <stp/>
        <stp>BDH|438889198578582512</stp>
        <tr r="H59" s="34"/>
      </tp>
      <tp t="e">
        <v>#N/A</v>
        <stp/>
        <stp>BDH|726517136619239339</stp>
        <tr r="AA77" s="17"/>
        <tr r="AA19" s="3"/>
      </tp>
      <tp t="e">
        <v>#N/A</v>
        <stp/>
        <stp>BDH|312307901638473775</stp>
        <tr r="F55" s="34"/>
      </tp>
      <tp t="e">
        <v>#N/A</v>
        <stp/>
        <stp>BDH|440677980430397227</stp>
        <tr r="U156" s="18"/>
      </tp>
      <tp t="e">
        <v>#N/A</v>
        <stp/>
        <stp>BDH|578971268854152797</stp>
        <tr r="T31" s="11"/>
        <tr r="T39" s="10"/>
      </tp>
      <tp t="e">
        <v>#N/A</v>
        <stp/>
        <stp>BDH|387245144619707366</stp>
        <tr r="W54" s="18"/>
      </tp>
      <tp t="e">
        <v>#N/A</v>
        <stp/>
        <stp>BDH|212114925228031746</stp>
        <tr r="M18" s="26"/>
      </tp>
      <tp t="e">
        <v>#N/A</v>
        <stp/>
        <stp>BDH|717913318936982250</stp>
        <tr r="T43" s="22"/>
      </tp>
      <tp t="e">
        <v>#N/A</v>
        <stp/>
        <stp>BDH|555557381217636653</stp>
        <tr r="C50" s="17"/>
      </tp>
      <tp t="e">
        <v>#N/A</v>
        <stp/>
        <stp>BDH|651299084142018499</stp>
        <tr r="N26" s="11"/>
        <tr r="N34" s="10"/>
      </tp>
      <tp t="e">
        <v>#N/A</v>
        <stp/>
        <stp>BDH|398010340731409957</stp>
        <tr r="C12" s="27"/>
        <tr r="C26" s="25"/>
      </tp>
      <tp t="e">
        <v>#N/A</v>
        <stp/>
        <stp>BDH|496700764139328403</stp>
        <tr r="J54" s="18"/>
      </tp>
      <tp t="e">
        <v>#N/A</v>
        <stp/>
        <stp>BDH|725539251524327850</stp>
        <tr r="Y12" s="13"/>
      </tp>
      <tp t="e">
        <v>#N/A</v>
        <stp/>
        <stp>BDH|336747075339668576</stp>
        <tr r="K52" s="17"/>
        <tr r="K17" s="3"/>
      </tp>
      <tp t="e">
        <v>#N/A</v>
        <stp/>
        <stp>BDH|728784601360354809</stp>
        <tr r="O19" s="9"/>
      </tp>
      <tp t="e">
        <v>#N/A</v>
        <stp/>
        <stp>BDH|806685264747810813</stp>
        <tr r="M9" s="21"/>
      </tp>
      <tp t="e">
        <v>#N/A</v>
        <stp/>
        <stp>BDH|881673099466204699</stp>
        <tr r="E120" s="18"/>
      </tp>
      <tp t="e">
        <v>#N/A</v>
        <stp/>
        <stp>BDH|885537792134120760</stp>
        <tr r="F146" s="18"/>
      </tp>
      <tp t="e">
        <v>#N/A</v>
        <stp/>
        <stp>BDH|965407840059683615</stp>
        <tr r="W14" s="23"/>
      </tp>
      <tp t="e">
        <v>#N/A</v>
        <stp/>
        <stp>BDH|950857702291395639</stp>
        <tr r="L11" s="22"/>
      </tp>
      <tp t="e">
        <v>#N/A</v>
        <stp/>
        <stp>BDH|169355993527090298</stp>
        <tr r="T19" s="20"/>
      </tp>
      <tp t="e">
        <v>#N/A</v>
        <stp/>
        <stp>BDH|729025719319257705</stp>
        <tr r="H23" s="6"/>
      </tp>
      <tp t="e">
        <v>#N/A</v>
        <stp/>
        <stp>BDH|675006647808006383</stp>
        <tr r="O20" s="26"/>
      </tp>
      <tp t="e">
        <v>#N/A</v>
        <stp/>
        <stp>BDH|319936031357037284</stp>
        <tr r="L16" s="20"/>
      </tp>
      <tp t="e">
        <v>#N/A</v>
        <stp/>
        <stp>BDH|367082346092334941</stp>
        <tr r="I161" s="18"/>
      </tp>
      <tp t="e">
        <v>#N/A</v>
        <stp/>
        <stp>BDH|647877454514616693</stp>
        <tr r="R54" s="34"/>
      </tp>
      <tp t="e">
        <v>#N/A</v>
        <stp/>
        <stp>BDH|329835230453387781</stp>
        <tr r="O64" s="18"/>
      </tp>
      <tp t="e">
        <v>#N/A</v>
        <stp/>
        <stp>BDH|937101935498398547</stp>
        <tr r="Q46" s="18"/>
      </tp>
      <tp t="e">
        <v>#N/A</v>
        <stp/>
        <stp>BDH|585142856722449985</stp>
        <tr r="M17" s="23"/>
      </tp>
      <tp t="e">
        <v>#N/A</v>
        <stp/>
        <stp>BDH|303607992291421115</stp>
        <tr r="L17" s="17"/>
        <tr r="L20" s="28"/>
      </tp>
      <tp t="e">
        <v>#N/A</v>
        <stp/>
        <stp>BDH|289189166551939910</stp>
        <tr r="S20" s="11"/>
      </tp>
      <tp t="e">
        <v>#N/A</v>
        <stp/>
        <stp>BDH|742986308337252110</stp>
        <tr r="K23" s="24"/>
      </tp>
      <tp t="e">
        <v>#N/A</v>
        <stp/>
        <stp>BDH|219923090117598800</stp>
        <tr r="M68" s="17"/>
        <tr r="J8" s="5"/>
        <tr r="J8" s="9"/>
      </tp>
      <tp t="e">
        <v>#N/A</v>
        <stp/>
        <stp>BDH|644785124863603996</stp>
        <tr r="E31" s="17"/>
      </tp>
      <tp t="e">
        <v>#N/A</v>
        <stp/>
        <stp>BDH|586991768428876896</stp>
        <tr r="N61" s="18"/>
      </tp>
      <tp t="e">
        <v>#N/A</v>
        <stp/>
        <stp>BDH|467887920571048497</stp>
        <tr r="S24" s="22"/>
      </tp>
      <tp t="e">
        <v>#N/A</v>
        <stp/>
        <stp>BDH|721451167184503956</stp>
        <tr r="E25" s="18"/>
      </tp>
      <tp t="e">
        <v>#N/A</v>
        <stp/>
        <stp>BDH|930178119426062913</stp>
        <tr r="I13" s="17"/>
        <tr r="I16" s="28"/>
      </tp>
      <tp t="e">
        <v>#N/A</v>
        <stp/>
        <stp>BDH|847869406520703790</stp>
        <tr r="AA90" s="17"/>
        <tr r="AA34" s="25"/>
      </tp>
      <tp t="e">
        <v>#N/A</v>
        <stp/>
        <stp>BDH|132906641623121179</stp>
        <tr r="Y125" s="18"/>
      </tp>
      <tp t="e">
        <v>#N/A</v>
        <stp/>
        <stp>BDH|415028187700760716</stp>
        <tr r="O34" s="26"/>
      </tp>
      <tp t="e">
        <v>#N/A</v>
        <stp/>
        <stp>BDH|582928025400452468</stp>
        <tr r="R39" s="18"/>
      </tp>
      <tp t="e">
        <v>#N/A</v>
        <stp/>
        <stp>BDH|695778905930480809</stp>
        <tr r="D106" s="12"/>
      </tp>
      <tp t="e">
        <v>#N/A</v>
        <stp/>
        <stp>BDH|743811343041331261</stp>
        <tr r="G19" s="24"/>
      </tp>
      <tp t="e">
        <v>#N/A</v>
        <stp/>
        <stp>BDH|276906972229265821</stp>
        <tr r="E80" s="18"/>
      </tp>
      <tp t="e">
        <v>#N/A</v>
        <stp/>
        <stp>BDH|391770992464562520</stp>
        <tr r="L37" s="22"/>
      </tp>
      <tp t="e">
        <v>#N/A</v>
        <stp/>
        <stp>BDH|908727238129616241</stp>
        <tr r="V23" s="21"/>
      </tp>
      <tp t="e">
        <v>#N/A</v>
        <stp/>
        <stp>BDH|576990626003987717</stp>
        <tr r="M59" s="18"/>
      </tp>
      <tp t="e">
        <v>#N/A</v>
        <stp/>
        <stp>BDH|524826545317130416</stp>
        <tr r="K17" s="11"/>
      </tp>
      <tp t="e">
        <v>#N/A</v>
        <stp/>
        <stp>BDH|211277237656465844</stp>
        <tr r="N8" s="23"/>
      </tp>
      <tp t="e">
        <v>#N/A</v>
        <stp/>
        <stp>BDH|708598097281250299</stp>
        <tr r="V30" s="13"/>
        <tr r="T26" s="10"/>
      </tp>
      <tp t="e">
        <v>#N/A</v>
        <stp/>
        <stp>BDH|875676891138844843</stp>
        <tr r="D54" s="34"/>
      </tp>
      <tp t="e">
        <v>#N/A</v>
        <stp/>
        <stp>BDH|721323462283761921</stp>
        <tr r="W67" s="24"/>
      </tp>
      <tp t="e">
        <v>#N/A</v>
        <stp/>
        <stp>BDH|532469301312979985</stp>
        <tr r="F25" s="22"/>
      </tp>
      <tp t="e">
        <v>#N/A</v>
        <stp/>
        <stp>BDH|329174172369260078</stp>
        <tr r="G73" s="18"/>
      </tp>
      <tp t="e">
        <v>#N/A</v>
        <stp/>
        <stp>BDH|701140970898409149</stp>
        <tr r="O12" s="7"/>
      </tp>
      <tp t="e">
        <v>#N/A</v>
        <stp/>
        <stp>BDH|558734070286574903</stp>
        <tr r="X81" s="12"/>
      </tp>
      <tp t="e">
        <v>#N/A</v>
        <stp/>
        <stp>BDH|939669647884037848</stp>
        <tr r="O15" s="10"/>
      </tp>
      <tp t="e">
        <v>#N/A</v>
        <stp/>
        <stp>BDH|409728049955197827</stp>
        <tr r="I52" s="18"/>
      </tp>
      <tp t="e">
        <v>#N/A</v>
        <stp/>
        <stp>BDH|366439785162910026</stp>
        <tr r="E13" s="14"/>
      </tp>
      <tp t="e">
        <v>#N/A</v>
        <stp/>
        <stp>BDH|296683919209566080</stp>
        <tr r="J22" s="18"/>
      </tp>
      <tp t="e">
        <v>#N/A</v>
        <stp/>
        <stp>BDH|124070398583381433</stp>
        <tr r="J59" s="21"/>
        <tr r="H54" s="11"/>
      </tp>
      <tp t="e">
        <v>#N/A</v>
        <stp/>
        <stp>BDH|155517525198379189</stp>
        <tr r="L22" s="18"/>
      </tp>
      <tp t="e">
        <v>#N/A</v>
        <stp/>
        <stp>BDH|727717605941539882</stp>
        <tr r="Y36" s="18"/>
      </tp>
      <tp t="e">
        <v>#N/A</v>
        <stp/>
        <stp>BDH|904233552091657805</stp>
        <tr r="I20" s="18"/>
      </tp>
      <tp t="e">
        <v>#N/A</v>
        <stp/>
        <stp>BDH|525219606244826856</stp>
        <tr r="M15" s="9"/>
      </tp>
      <tp t="e">
        <v>#N/A</v>
        <stp/>
        <stp>BDH|829671686115220543</stp>
        <tr r="X14" s="22"/>
      </tp>
      <tp t="e">
        <v>#N/A</v>
        <stp/>
        <stp>BDH|978953193799658767</stp>
        <tr r="N85" s="12"/>
      </tp>
      <tp t="e">
        <v>#N/A</v>
        <stp/>
        <stp>BDH|602830728962588675</stp>
        <tr r="R11" s="22"/>
      </tp>
      <tp t="e">
        <v>#N/A</v>
        <stp/>
        <stp>BDH|456303223317736885</stp>
        <tr r="I8" s="12"/>
      </tp>
      <tp t="e">
        <v>#N/A</v>
        <stp/>
        <stp>BDH|382824123243821732</stp>
        <tr r="W152" s="18"/>
      </tp>
      <tp t="e">
        <v>#N/A</v>
        <stp/>
        <stp>BDH|173698400548475050</stp>
        <tr r="K8" s="11"/>
      </tp>
      <tp t="e">
        <v>#N/A</v>
        <stp/>
        <stp>BDH|204730583924823538</stp>
        <tr r="C15" s="4"/>
      </tp>
      <tp t="e">
        <v>#N/A</v>
        <stp/>
        <stp>BDH|758011600349602797</stp>
        <tr r="I130" s="18"/>
      </tp>
      <tp t="e">
        <v>#N/A</v>
        <stp/>
        <stp>BDH|656370529858080713</stp>
        <tr r="Y93" s="12"/>
      </tp>
      <tp t="e">
        <v>#N/A</v>
        <stp/>
        <stp>BDH|221862287269858721</stp>
        <tr r="O17" s="23"/>
      </tp>
      <tp t="e">
        <v>#N/A</v>
        <stp/>
        <stp>BDH|859648102871252963</stp>
        <tr r="D87" s="12"/>
      </tp>
      <tp t="e">
        <v>#N/A</v>
        <stp/>
        <stp>BDH|583977160831929011</stp>
        <tr r="G135" s="18"/>
      </tp>
      <tp t="e">
        <v>#N/A</v>
        <stp/>
        <stp>BDH|916780860397879823</stp>
        <tr r="W21" s="10"/>
      </tp>
      <tp t="e">
        <v>#N/A</v>
        <stp/>
        <stp>BDH|738411302143936964</stp>
        <tr r="G63" s="21"/>
      </tp>
      <tp t="e">
        <v>#N/A</v>
        <stp/>
        <stp>BDH|385836621264808028</stp>
        <tr r="I18" s="12"/>
      </tp>
      <tp t="e">
        <v>#N/A</v>
        <stp/>
        <stp>BDH|219342774722895818</stp>
        <tr r="Q89" s="18"/>
      </tp>
      <tp t="e">
        <v>#N/A</v>
        <stp/>
        <stp>BDH|493131122609520445</stp>
        <tr r="Q45" s="24"/>
      </tp>
      <tp t="e">
        <v>#N/A</v>
        <stp/>
        <stp>BDH|758813135343292652</stp>
        <tr r="C73" s="12"/>
      </tp>
      <tp t="e">
        <v>#N/A</v>
        <stp/>
        <stp>BDH|427326186714092147</stp>
        <tr r="Z83" s="17"/>
      </tp>
      <tp t="e">
        <v>#N/A</v>
        <stp/>
        <stp>BDH|521467914429673250</stp>
        <tr r="D26" s="22"/>
      </tp>
      <tp t="e">
        <v>#N/A</v>
        <stp/>
        <stp>BDH|677132661068462147</stp>
        <tr r="T50" s="4"/>
      </tp>
      <tp t="e">
        <v>#N/A</v>
        <stp/>
        <stp>BDH|365852716805487201</stp>
        <tr r="R53" s="17"/>
        <tr r="R10" s="25"/>
      </tp>
      <tp t="e">
        <v>#N/A</v>
        <stp/>
        <stp>BDH|391906037633085704</stp>
        <tr r="R22" s="21"/>
      </tp>
      <tp t="e">
        <v>#N/A</v>
        <stp/>
        <stp>BDH|361362191272874693</stp>
        <tr r="W11" s="10"/>
        <tr r="W14" s="2"/>
      </tp>
      <tp t="e">
        <v>#N/A</v>
        <stp/>
        <stp>BDH|675605789442859223</stp>
        <tr r="E7" s="24"/>
      </tp>
      <tp t="e">
        <v>#N/A</v>
        <stp/>
        <stp>BDH|725025298612138597</stp>
        <tr r="C77" s="24"/>
      </tp>
      <tp t="e">
        <v>#N/A</v>
        <stp/>
        <stp>BDH|576914941553740049</stp>
        <tr r="D18" s="34"/>
      </tp>
      <tp t="e">
        <v>#N/A</v>
        <stp/>
        <stp>BDH|435517640599266611</stp>
        <tr r="G9" s="8"/>
        <tr r="E49" s="6"/>
      </tp>
      <tp t="e">
        <v>#N/A</v>
        <stp/>
        <stp>BDH|171182747268957309</stp>
        <tr r="AA64" s="12"/>
      </tp>
      <tp t="e">
        <v>#N/A</v>
        <stp/>
        <stp>BDH|363215879392802942</stp>
        <tr r="Z37" s="21"/>
        <tr r="Z24" s="3"/>
      </tp>
      <tp t="e">
        <v>#N/A</v>
        <stp/>
        <stp>BDH|424033076160569936</stp>
        <tr r="W41" s="12"/>
      </tp>
      <tp t="e">
        <v>#N/A</v>
        <stp/>
        <stp>BDH|132674761607268927</stp>
        <tr r="G25" s="13"/>
      </tp>
      <tp t="e">
        <v>#N/A</v>
        <stp/>
        <stp>BDH|856356146599440083</stp>
        <tr r="L11" s="18"/>
      </tp>
      <tp t="e">
        <v>#N/A</v>
        <stp/>
        <stp>BDH|405758526073265829</stp>
        <tr r="W14" s="13"/>
      </tp>
      <tp t="e">
        <v>#N/A</v>
        <stp/>
        <stp>BDH|823060581577846107</stp>
        <tr r="G142" s="18"/>
      </tp>
      <tp t="e">
        <v>#N/A</v>
        <stp/>
        <stp>BDH|421722673438494616</stp>
        <tr r="G47" s="17"/>
      </tp>
      <tp t="e">
        <v>#N/A</v>
        <stp/>
        <stp>BDH|819599311999988382</stp>
        <tr r="R68" s="18"/>
      </tp>
      <tp t="e">
        <v>#N/A</v>
        <stp/>
        <stp>BDH|280837665859280977</stp>
        <tr r="Q82" s="17"/>
        <tr r="O6" s="7"/>
        <tr r="Q20" s="3"/>
      </tp>
      <tp t="e">
        <v>#N/A</v>
        <stp/>
        <stp>BDH|297270834309180615</stp>
        <tr r="U41" s="22"/>
      </tp>
      <tp t="e">
        <v>#N/A</v>
        <stp/>
        <stp>BDH|857977706910190797</stp>
        <tr r="E44" s="6"/>
      </tp>
      <tp t="e">
        <v>#N/A</v>
        <stp/>
        <stp>BDH|505141326765592804</stp>
        <tr r="Y34" s="26"/>
      </tp>
      <tp t="e">
        <v>#N/A</v>
        <stp/>
        <stp>BDH|985797469799336680</stp>
        <tr r="P11" s="14"/>
      </tp>
      <tp t="e">
        <v>#N/A</v>
        <stp/>
        <stp>BDH|727822844365121729</stp>
        <tr r="S50" s="4"/>
      </tp>
      <tp t="e">
        <v>#N/A</v>
        <stp/>
        <stp>BDH|695927797587331933</stp>
        <tr r="G176" s="18"/>
      </tp>
      <tp t="e">
        <v>#N/A</v>
        <stp/>
        <stp>BDH|473103321825225846</stp>
        <tr r="R41" s="22"/>
      </tp>
      <tp t="e">
        <v>#N/A</v>
        <stp/>
        <stp>BDH|588250552368531140</stp>
        <tr r="K47" s="13"/>
      </tp>
      <tp t="e">
        <v>#N/A</v>
        <stp/>
        <stp>BDH|625541359400532926</stp>
        <tr r="D29" s="29"/>
        <tr r="D7" s="29"/>
      </tp>
      <tp t="e">
        <v>#N/A</v>
        <stp/>
        <stp>BDH|984925551922351755</stp>
        <tr r="V134" s="18"/>
      </tp>
      <tp t="e">
        <v>#N/A</v>
        <stp/>
        <stp>BDH|365595578538875365</stp>
        <tr r="W23" s="29"/>
        <tr r="W14" s="29"/>
        <tr r="W34" s="29"/>
      </tp>
      <tp t="e">
        <v>#N/A</v>
        <stp/>
        <stp>BDH|582236312498968207</stp>
        <tr r="M29" s="17"/>
      </tp>
      <tp t="e">
        <v>#N/A</v>
        <stp/>
        <stp>BDH|530840853947760387</stp>
        <tr r="AA34" s="22"/>
      </tp>
      <tp t="e">
        <v>#N/A</v>
        <stp/>
        <stp>BDH|506747684417089183</stp>
        <tr r="X54" s="21"/>
      </tp>
      <tp t="e">
        <v>#N/A</v>
        <stp/>
        <stp>BDH|682879266866871127</stp>
        <tr r="S47" s="21"/>
      </tp>
      <tp t="e">
        <v>#N/A</v>
        <stp/>
        <stp>BDH|408483371708489243</stp>
        <tr r="C6" s="27"/>
      </tp>
      <tp t="e">
        <v>#N/A</v>
        <stp/>
        <stp>BDH|426166031542894964</stp>
        <tr r="F34" s="21"/>
      </tp>
      <tp t="e">
        <v>#N/A</v>
        <stp/>
        <stp>BDH|936417658688991047</stp>
        <tr r="O30" s="5"/>
      </tp>
      <tp t="e">
        <v>#N/A</v>
        <stp/>
        <stp>BDH|794834678827381120</stp>
        <tr r="L61" s="13"/>
      </tp>
      <tp t="e">
        <v>#N/A</v>
        <stp/>
        <stp>BDH|344786180003682530</stp>
        <tr r="V13" s="10"/>
      </tp>
      <tp t="e">
        <v>#N/A</v>
        <stp/>
        <stp>BDH|492980933074069718</stp>
        <tr r="Q14" s="27"/>
        <tr r="Q28" s="25"/>
      </tp>
      <tp t="e">
        <v>#N/A</v>
        <stp/>
        <stp>BDH|835291176175193994</stp>
        <tr r="H8" s="8"/>
      </tp>
      <tp t="e">
        <v>#N/A</v>
        <stp/>
        <stp>BDH|815362384893637138</stp>
        <tr r="H50" s="4"/>
      </tp>
      <tp t="e">
        <v>#N/A</v>
        <stp/>
        <stp>BDH|877833381631227871</stp>
        <tr r="Y56" s="12"/>
      </tp>
      <tp t="e">
        <v>#N/A</v>
        <stp/>
        <stp>BDH|251877393781997973</stp>
        <tr r="K28" s="4"/>
      </tp>
      <tp t="e">
        <v>#N/A</v>
        <stp/>
        <stp>BDH|287881763957957086</stp>
        <tr r="G177" s="18"/>
      </tp>
      <tp t="e">
        <v>#N/A</v>
        <stp/>
        <stp>BDH|773999013896769721</stp>
        <tr r="V33" s="11"/>
        <tr r="V41" s="10"/>
      </tp>
      <tp t="e">
        <v>#N/A</v>
        <stp/>
        <stp>BDH|268015788986785758</stp>
        <tr r="F20" s="34"/>
      </tp>
      <tp t="e">
        <v>#N/A</v>
        <stp/>
        <stp>BDH|896909711915745475</stp>
        <tr r="D24" s="24"/>
      </tp>
      <tp t="e">
        <v>#N/A</v>
        <stp/>
        <stp>BDH|591185082800038062</stp>
        <tr r="G118" s="18"/>
      </tp>
      <tp t="e">
        <v>#N/A</v>
        <stp/>
        <stp>BDH|741788892760555727</stp>
        <tr r="H49" s="22"/>
      </tp>
      <tp t="e">
        <v>#N/A</v>
        <stp/>
        <stp>BDH|793638494357317194</stp>
        <tr r="K19" s="14"/>
      </tp>
      <tp t="e">
        <v>#N/A</v>
        <stp/>
        <stp>BDH|413401353161816949</stp>
        <tr r="Z43" s="17"/>
        <tr r="Z9" s="25"/>
      </tp>
      <tp t="e">
        <v>#N/A</v>
        <stp/>
        <stp>BDH|939333293294198735</stp>
        <tr r="Y87" s="17"/>
      </tp>
      <tp t="e">
        <v>#N/A</v>
        <stp/>
        <stp>BDH|740120884213975330</stp>
        <tr r="E89" s="17"/>
      </tp>
      <tp t="e">
        <v>#N/A</v>
        <stp/>
        <stp>BDH|316469883612985740</stp>
        <tr r="J31" s="26"/>
        <tr r="G14" s="9"/>
      </tp>
      <tp t="e">
        <v>#N/A</v>
        <stp/>
        <stp>BDH|698121708921421935</stp>
        <tr r="T171" s="18"/>
      </tp>
      <tp t="e">
        <v>#N/A</v>
        <stp/>
        <stp>BDH|939660987574423370</stp>
        <tr r="U10" s="6"/>
      </tp>
      <tp t="e">
        <v>#N/A</v>
        <stp/>
        <stp>BDH|571912295441206884</stp>
        <tr r="C29" s="34"/>
      </tp>
      <tp t="e">
        <v>#N/A</v>
        <stp/>
        <stp>BDH|786719607069639739</stp>
        <tr r="S34" s="22"/>
      </tp>
      <tp t="e">
        <v>#N/A</v>
        <stp/>
        <stp>BDH|747183682548146889</stp>
        <tr r="K31" s="12"/>
      </tp>
      <tp t="e">
        <v>#N/A</v>
        <stp/>
        <stp>BDH|808905999598020152</stp>
        <tr r="N21" s="10"/>
      </tp>
      <tp t="e">
        <v>#N/A</v>
        <stp/>
        <stp>BDH|869231518672063871</stp>
        <tr r="W11" s="22"/>
      </tp>
      <tp t="e">
        <v>#N/A</v>
        <stp/>
        <stp>BDH|300681436259874513</stp>
        <tr r="L16" s="22"/>
      </tp>
      <tp t="e">
        <v>#N/A</v>
        <stp/>
        <stp>BDH|189395991971875240</stp>
        <tr r="W32" s="26"/>
      </tp>
      <tp t="e">
        <v>#N/A</v>
        <stp/>
        <stp>BDH|850808057414088098</stp>
        <tr r="L6" s="28"/>
      </tp>
      <tp t="e">
        <v>#N/A</v>
        <stp/>
        <stp>BDH|109479533368085633</stp>
        <tr r="U47" s="34"/>
      </tp>
      <tp t="e">
        <v>#N/A</v>
        <stp/>
        <stp>BDH|899943401635282586</stp>
        <tr r="L39" s="18"/>
      </tp>
      <tp t="e">
        <v>#N/A</v>
        <stp/>
        <stp>BDH|895176456149729498</stp>
        <tr r="C65" s="12"/>
      </tp>
      <tp t="e">
        <v>#N/A</v>
        <stp/>
        <stp>BDH|285224836821079916</stp>
        <tr r="K18" s="30"/>
      </tp>
      <tp t="e">
        <v>#N/A</v>
        <stp/>
        <stp>BDH|507969072274347325</stp>
        <tr r="J62" s="24"/>
      </tp>
      <tp t="e">
        <v>#N/A</v>
        <stp/>
        <stp>BDH|538912528217918552</stp>
        <tr r="I23" s="5"/>
      </tp>
      <tp t="e">
        <v>#N/A</v>
        <stp/>
        <stp>BDH|556787574560902907</stp>
        <tr r="U59" s="13"/>
      </tp>
      <tp t="e">
        <v>#N/A</v>
        <stp/>
        <stp>BDH|485335443879492708</stp>
        <tr r="E67" s="18"/>
      </tp>
      <tp t="e">
        <v>#N/A</v>
        <stp/>
        <stp>BDH|231373116343008829</stp>
        <tr r="R65" s="12"/>
      </tp>
      <tp t="e">
        <v>#N/A</v>
        <stp/>
        <stp>BDH|470999111047983644</stp>
        <tr r="T79" s="18"/>
      </tp>
      <tp t="e">
        <v>#N/A</v>
        <stp/>
        <stp>BDH|399132190371220039</stp>
        <tr r="V25" s="22"/>
      </tp>
      <tp t="e">
        <v>#N/A</v>
        <stp/>
        <stp>BDH|820730115418648792</stp>
        <tr r="I11" s="14"/>
      </tp>
      <tp t="e">
        <v>#N/A</v>
        <stp/>
        <stp>BDH|170765853293025854</stp>
        <tr r="L151" s="18"/>
      </tp>
      <tp t="e">
        <v>#N/A</v>
        <stp/>
        <stp>BDH|209433065102704927</stp>
        <tr r="U12" s="25"/>
      </tp>
      <tp t="e">
        <v>#N/A</v>
        <stp/>
        <stp>BDH|397017182608773957</stp>
        <tr r="N14" s="10"/>
      </tp>
      <tp t="e">
        <v>#N/A</v>
        <stp/>
        <stp>BDH|312302076168303545</stp>
        <tr r="P69" s="34"/>
      </tp>
      <tp t="e">
        <v>#N/A</v>
        <stp/>
        <stp>BDH|792867661166343103</stp>
        <tr r="R85" s="12"/>
      </tp>
      <tp t="e">
        <v>#N/A</v>
        <stp/>
        <stp>BDH|278428424526478933</stp>
        <tr r="M67" s="10"/>
      </tp>
      <tp t="e">
        <v>#N/A</v>
        <stp/>
        <stp>BDH|264625846539493210</stp>
        <tr r="N11" s="7"/>
      </tp>
      <tp t="e">
        <v>#N/A</v>
        <stp/>
        <stp>BDH|782876389129296086</stp>
        <tr r="G23" s="11"/>
      </tp>
      <tp t="e">
        <v>#N/A</v>
        <stp/>
        <stp>BDH|871547980643894779</stp>
        <tr r="C10" s="28"/>
      </tp>
      <tp t="e">
        <v>#N/A</v>
        <stp/>
        <stp>BDH|957896151045455161</stp>
        <tr r="T29" s="6"/>
      </tp>
      <tp t="e">
        <v>#N/A</v>
        <stp/>
        <stp>BDH|208891711373158383</stp>
        <tr r="E64" s="12"/>
      </tp>
      <tp t="e">
        <v>#N/A</v>
        <stp/>
        <stp>BDH|628999793591932990</stp>
        <tr r="Q22" s="5"/>
      </tp>
      <tp t="e">
        <v>#N/A</v>
        <stp/>
        <stp>BDH|134041988057303738</stp>
        <tr r="J19" s="6"/>
      </tp>
      <tp t="e">
        <v>#N/A</v>
        <stp/>
        <stp>BDH|705558272819964361</stp>
        <tr r="U37" s="26"/>
      </tp>
      <tp t="e">
        <v>#N/A</v>
        <stp/>
        <stp>BDH|376132389215245447</stp>
        <tr r="M76" s="24"/>
      </tp>
      <tp t="e">
        <v>#N/A</v>
        <stp/>
        <stp>BDH|953981613315936538</stp>
        <tr r="I156" s="18"/>
      </tp>
      <tp t="e">
        <v>#N/A</v>
        <stp/>
        <stp>BDH|983996709638815998</stp>
        <tr r="V63" s="12"/>
      </tp>
      <tp t="e">
        <v>#N/A</v>
        <stp/>
        <stp>BDH|638780451228511221</stp>
        <tr r="P20" s="23"/>
      </tp>
      <tp t="e">
        <v>#N/A</v>
        <stp/>
        <stp>BDH|551688351508652335</stp>
        <tr r="H19" s="24"/>
      </tp>
      <tp t="e">
        <v>#N/A</v>
        <stp/>
        <stp>BDH|288715166079461084</stp>
        <tr r="P63" s="18"/>
      </tp>
      <tp t="e">
        <v>#N/A</v>
        <stp/>
        <stp>BDH|362073099884392577</stp>
        <tr r="C34" s="13"/>
      </tp>
      <tp t="e">
        <v>#N/A</v>
        <stp/>
        <stp>BDH|743705968460506936</stp>
        <tr r="S9" s="20"/>
        <tr r="S111" s="18"/>
      </tp>
      <tp t="e">
        <v>#N/A</v>
        <stp/>
        <stp>BDH|474646688020833694</stp>
        <tr r="L49" s="17"/>
      </tp>
      <tp t="e">
        <v>#N/A</v>
        <stp/>
        <stp>BDH|134802771323148483</stp>
        <tr r="Y25" s="10"/>
      </tp>
      <tp t="e">
        <v>#N/A</v>
        <stp/>
        <stp>BDH|662849334882942159</stp>
        <tr r="S7" s="14"/>
      </tp>
      <tp t="e">
        <v>#N/A</v>
        <stp/>
        <stp>BDH|909038329208973204</stp>
        <tr r="F19" s="17"/>
      </tp>
      <tp t="e">
        <v>#N/A</v>
        <stp/>
        <stp>BDH|100898967271623731</stp>
        <tr r="J9" s="17"/>
      </tp>
      <tp t="e">
        <v>#N/A</v>
        <stp/>
        <stp>BDH|347806752057995225</stp>
        <tr r="K39" s="24"/>
      </tp>
      <tp t="e">
        <v>#N/A</v>
        <stp/>
        <stp>BDH|767646097163721495</stp>
        <tr r="O166" s="18"/>
      </tp>
      <tp t="e">
        <v>#N/A</v>
        <stp/>
        <stp>BDH|235874182490404894</stp>
        <tr r="Q49" s="34"/>
      </tp>
      <tp t="e">
        <v>#N/A</v>
        <stp/>
        <stp>BDH|521377704808462393</stp>
        <tr r="H12" s="21"/>
      </tp>
      <tp t="e">
        <v>#N/A</v>
        <stp/>
        <stp>BDH|310479447708932010</stp>
        <tr r="Z42" s="24"/>
      </tp>
      <tp t="e">
        <v>#N/A</v>
        <stp/>
        <stp>BDH|866505286804517108</stp>
        <tr r="Y41" s="17"/>
      </tp>
      <tp t="e">
        <v>#N/A</v>
        <stp/>
        <stp>BDH|987909039631357381</stp>
        <tr r="M37" s="12"/>
      </tp>
      <tp t="e">
        <v>#N/A</v>
        <stp/>
        <stp>BDH|851691005959065709</stp>
        <tr r="F29" s="5"/>
      </tp>
      <tp t="e">
        <v>#N/A</v>
        <stp/>
        <stp>BDH|275729847829130221</stp>
        <tr r="G15" s="21"/>
      </tp>
      <tp t="e">
        <v>#N/A</v>
        <stp/>
        <stp>BDH|335175543735028836</stp>
        <tr r="R36" s="18"/>
      </tp>
      <tp t="e">
        <v>#N/A</v>
        <stp/>
        <stp>BDH|441945911578253862</stp>
        <tr r="N30" s="13"/>
        <tr r="L26" s="10"/>
      </tp>
      <tp t="e">
        <v>#N/A</v>
        <stp/>
        <stp>BDH|714929257730036447</stp>
        <tr r="S47" s="18"/>
      </tp>
      <tp t="e">
        <v>#N/A</v>
        <stp/>
        <stp>BDH|527124089814810507</stp>
        <tr r="E46" s="6"/>
      </tp>
      <tp t="e">
        <v>#N/A</v>
        <stp/>
        <stp>BDH|611489709654866891</stp>
        <tr r="AA84" s="18"/>
      </tp>
      <tp t="e">
        <v>#N/A</v>
        <stp/>
        <stp>BDH|770473937048912783</stp>
        <tr r="J11" s="22"/>
      </tp>
      <tp t="e">
        <v>#N/A</v>
        <stp/>
        <stp>BDH|156592371462786890</stp>
        <tr r="I21" s="21"/>
      </tp>
      <tp t="e">
        <v>#N/A</v>
        <stp/>
        <stp>BDH|991989254931067524</stp>
        <tr r="X15" s="23"/>
        <tr r="V58" s="11"/>
      </tp>
      <tp t="e">
        <v>#N/A</v>
        <stp/>
        <stp>BDH|622945056920333404</stp>
        <tr r="C89" s="12"/>
      </tp>
      <tp t="e">
        <v>#N/A</v>
        <stp/>
        <stp>BDH|442414661263429977</stp>
        <tr r="U6" s="28"/>
      </tp>
      <tp t="e">
        <v>#N/A</v>
        <stp/>
        <stp>BDH|761233670598536566</stp>
        <tr r="F83" s="17"/>
      </tp>
      <tp t="e">
        <v>#N/A</v>
        <stp/>
        <stp>BDH|645189351168876473</stp>
        <tr r="G66" s="24"/>
      </tp>
      <tp t="e">
        <v>#N/A</v>
        <stp/>
        <stp>BDH|486986935313968102</stp>
        <tr r="Z92" s="18"/>
      </tp>
      <tp t="e">
        <v>#N/A</v>
        <stp/>
        <stp>BDH|404642100798298622</stp>
        <tr r="J167" s="18"/>
      </tp>
      <tp t="e">
        <v>#N/A</v>
        <stp/>
        <stp>BDH|325208931088077122</stp>
        <tr r="R92" s="17"/>
        <tr r="R7" s="27"/>
      </tp>
      <tp t="e">
        <v>#N/A</v>
        <stp/>
        <stp>BDH|966954408789507811</stp>
        <tr r="G58" s="34"/>
      </tp>
      <tp t="e">
        <v>#N/A</v>
        <stp/>
        <stp>BDH|922828128377554571</stp>
        <tr r="D123" s="18"/>
      </tp>
      <tp t="e">
        <v>#N/A</v>
        <stp/>
        <stp>BDH|217234240549957794</stp>
        <tr r="I64" s="10"/>
        <tr r="I25" s="4"/>
      </tp>
      <tp t="e">
        <v>#N/A</v>
        <stp/>
        <stp>BDH|252437956949297047</stp>
        <tr r="V19" s="22"/>
      </tp>
      <tp t="e">
        <v>#N/A</v>
        <stp/>
        <stp>BDH|195439938939154692</stp>
        <tr r="W29" s="17"/>
      </tp>
      <tp t="e">
        <v>#N/A</v>
        <stp/>
        <stp>BDH|105788043428833315</stp>
        <tr r="V67" s="34"/>
      </tp>
      <tp t="e">
        <v>#N/A</v>
        <stp/>
        <stp>BDH|598741537724641833</stp>
        <tr r="P13" s="21"/>
      </tp>
      <tp t="e">
        <v>#N/A</v>
        <stp/>
        <stp>BDH|428208777629136418</stp>
        <tr r="S112" s="12"/>
      </tp>
      <tp t="e">
        <v>#N/A</v>
        <stp/>
        <stp>BDH|282924571147521287</stp>
        <tr r="H21" s="6"/>
      </tp>
      <tp t="e">
        <v>#N/A</v>
        <stp/>
        <stp>BDH|926754867898581228</stp>
        <tr r="I13" s="2"/>
      </tp>
      <tp t="e">
        <v>#N/A</v>
        <stp/>
        <stp>BDH|844047920371871880</stp>
        <tr r="L121" s="18"/>
      </tp>
      <tp t="e">
        <v>#N/A</v>
        <stp/>
        <stp>BDH|885956310284069701</stp>
        <tr r="L50" s="18"/>
      </tp>
      <tp t="e">
        <v>#N/A</v>
        <stp/>
        <stp>BDH|123260218168772058</stp>
        <tr r="M90" s="18"/>
      </tp>
      <tp t="e">
        <v>#N/A</v>
        <stp/>
        <stp>BDH|679827659250143615</stp>
        <tr r="C107" s="12"/>
      </tp>
      <tp t="e">
        <v>#N/A</v>
        <stp/>
        <stp>BDH|349807642461560697</stp>
        <tr r="R63" s="17"/>
      </tp>
      <tp t="e">
        <v>#N/A</v>
        <stp/>
        <stp>BDH|261349959265115802</stp>
        <tr r="I22" s="12"/>
      </tp>
      <tp t="e">
        <v>#N/A</v>
        <stp/>
        <stp>BDH|961922274087648276</stp>
        <tr r="G47" s="34"/>
      </tp>
      <tp t="e">
        <v>#N/A</v>
        <stp/>
        <stp>BDH|745612394781914544</stp>
        <tr r="D80" s="18"/>
      </tp>
      <tp t="e">
        <v>#N/A</v>
        <stp/>
        <stp>BDH|435609089332349761</stp>
        <tr r="H19" s="22"/>
      </tp>
      <tp t="e">
        <v>#N/A</v>
        <stp/>
        <stp>BDH|755566395597839048</stp>
        <tr r="D58" s="18"/>
      </tp>
      <tp t="e">
        <v>#N/A</v>
        <stp/>
        <stp>BDH|562397083994080470</stp>
        <tr r="D163" s="18"/>
      </tp>
      <tp t="e">
        <v>#N/A</v>
        <stp/>
        <stp>BDH|706876769524294120</stp>
        <tr r="J81" s="18"/>
      </tp>
      <tp t="e">
        <v>#N/A</v>
        <stp/>
        <stp>BDH|233768784293118780</stp>
        <tr r="H63" s="21"/>
      </tp>
      <tp t="e">
        <v>#N/A</v>
        <stp/>
        <stp>BDH|861283995677962759</stp>
        <tr r="C41" s="34"/>
      </tp>
      <tp t="e">
        <v>#N/A</v>
        <stp/>
        <stp>BDH|170978064410300488</stp>
        <tr r="I43" s="24"/>
      </tp>
      <tp t="e">
        <v>#N/A</v>
        <stp/>
        <stp>BDH|163866859656502018</stp>
        <tr r="K66" s="17"/>
      </tp>
      <tp t="e">
        <v>#N/A</v>
        <stp/>
        <stp>BDH|584643396830477495</stp>
        <tr r="P10" s="29"/>
        <tr r="P19" s="29"/>
        <tr r="P25" s="29"/>
        <tr r="O6" s="9"/>
        <tr r="Q12" s="8"/>
        <tr r="O6" s="5"/>
        <tr r="P6" s="2"/>
      </tp>
      <tp t="e">
        <v>#N/A</v>
        <stp/>
        <stp>BDH|227031572195909906</stp>
        <tr r="W41" s="24"/>
      </tp>
      <tp t="e">
        <v>#N/A</v>
        <stp/>
        <stp>BDH|386014328160782967</stp>
        <tr r="F57" s="17"/>
      </tp>
      <tp t="e">
        <v>#N/A</v>
        <stp/>
        <stp>BDH|100546682965023333</stp>
        <tr r="G82" s="12"/>
      </tp>
      <tp t="e">
        <v>#N/A</v>
        <stp/>
        <stp>BDH|126553791074090316</stp>
        <tr r="E39" s="13"/>
        <tr r="C35" s="11"/>
        <tr r="C43" s="10"/>
        <tr r="C52" s="4"/>
        <tr r="E8" s="3"/>
      </tp>
      <tp t="e">
        <v>#N/A</v>
        <stp/>
        <stp>BDH|125937220244216445</stp>
        <tr r="X20" s="17"/>
      </tp>
      <tp t="e">
        <v>#N/A</v>
        <stp/>
        <stp>BDH|642554596791758662</stp>
        <tr r="P172" s="18"/>
      </tp>
      <tp t="e">
        <v>#N/A</v>
        <stp/>
        <stp>BDH|442465446622508950</stp>
        <tr r="Q107" s="12"/>
      </tp>
      <tp t="e">
        <v>#N/A</v>
        <stp/>
        <stp>BDH|267576660108889089</stp>
        <tr r="H64" s="21"/>
        <tr r="F23" s="7"/>
      </tp>
      <tp t="e">
        <v>#N/A</v>
        <stp/>
        <stp>BDH|867626003695577890</stp>
        <tr r="Z22" s="24"/>
      </tp>
      <tp t="e">
        <v>#N/A</v>
        <stp/>
        <stp>BDH|765961454246927190</stp>
        <tr r="O41" s="22"/>
      </tp>
      <tp t="e">
        <v>#N/A</v>
        <stp/>
        <stp>BDH|601031888513919026</stp>
        <tr r="N73" s="24"/>
      </tp>
      <tp t="e">
        <v>#N/A</v>
        <stp/>
        <stp>BDH|329988365252963618</stp>
        <tr r="V40" s="18"/>
      </tp>
      <tp t="e">
        <v>#N/A</v>
        <stp/>
        <stp>BDH|274935981579349357</stp>
        <tr r="W26" s="17"/>
      </tp>
      <tp t="e">
        <v>#N/A</v>
        <stp/>
        <stp>BDH|511849027798939980</stp>
        <tr r="P25" s="22"/>
      </tp>
      <tp t="e">
        <v>#N/A</v>
        <stp/>
        <stp>BDH|694868942764704322</stp>
        <tr r="V59" s="17"/>
      </tp>
      <tp t="e">
        <v>#N/A</v>
        <stp/>
        <stp>BDH|970733159539784040</stp>
        <tr r="I67" s="24"/>
      </tp>
      <tp t="e">
        <v>#N/A</v>
        <stp/>
        <stp>BDH|791531106976623858</stp>
        <tr r="Z38" s="26"/>
      </tp>
      <tp t="e">
        <v>#N/A</v>
        <stp/>
        <stp>BDH|660253183967403653</stp>
        <tr r="M10" s="18"/>
      </tp>
      <tp t="e">
        <v>#N/A</v>
        <stp/>
        <stp>BDH|608080752289583787</stp>
        <tr r="N41" s="24"/>
      </tp>
      <tp t="e">
        <v>#N/A</v>
        <stp/>
        <stp>BDH|309453589671867660</stp>
        <tr r="O31" s="26"/>
        <tr r="L14" s="9"/>
      </tp>
      <tp t="e">
        <v>#N/A</v>
        <stp/>
        <stp>BDH|849698760188117323</stp>
        <tr r="N47" s="22"/>
      </tp>
      <tp t="e">
        <v>#N/A</v>
        <stp/>
        <stp>BDH|704293146775363893</stp>
        <tr r="R27" s="17"/>
      </tp>
      <tp t="e">
        <v>#N/A</v>
        <stp/>
        <stp>BDH|122327613370383900</stp>
        <tr r="Y14" s="8"/>
      </tp>
      <tp t="e">
        <v>#N/A</v>
        <stp/>
        <stp>BDH|553723377299521268</stp>
        <tr r="E38" s="29"/>
        <tr r="E18" s="29"/>
      </tp>
      <tp t="e">
        <v>#N/A</v>
        <stp/>
        <stp>BDH|952359944178309482</stp>
        <tr r="N24" s="23"/>
        <tr r="N21" s="30"/>
      </tp>
      <tp t="e">
        <v>#N/A</v>
        <stp/>
        <stp>BDH|735961928162853226</stp>
        <tr r="V24" s="6"/>
      </tp>
      <tp t="e">
        <v>#N/A</v>
        <stp/>
        <stp>BDH|861922824730311116</stp>
        <tr r="J47" s="17"/>
      </tp>
      <tp t="e">
        <v>#N/A</v>
        <stp/>
        <stp>BDH|198793233788599621</stp>
        <tr r="J38" s="6"/>
        <tr r="J18" s="5"/>
      </tp>
      <tp t="e">
        <v>#N/A</v>
        <stp/>
        <stp>BDH|628534899582793461</stp>
        <tr r="M14" s="13"/>
      </tp>
      <tp t="e">
        <v>#N/A</v>
        <stp/>
        <stp>BDH|296250932339844207</stp>
        <tr r="X11" s="28"/>
      </tp>
      <tp t="e">
        <v>#N/A</v>
        <stp/>
        <stp>BDH|261994911916424438</stp>
        <tr r="O17" s="10"/>
      </tp>
      <tp t="e">
        <v>#N/A</v>
        <stp/>
        <stp>BDH|443703318044599849</stp>
        <tr r="I37" s="34"/>
      </tp>
      <tp t="e">
        <v>#N/A</v>
        <stp/>
        <stp>BDH|491192245288446725</stp>
        <tr r="L39" s="24"/>
      </tp>
      <tp t="e">
        <v>#N/A</v>
        <stp/>
        <stp>BDH|785483073628309113</stp>
        <tr r="G20" s="34"/>
      </tp>
      <tp t="e">
        <v>#N/A</v>
        <stp/>
        <stp>BDH|146807891979894261</stp>
        <tr r="M41" s="13"/>
        <tr r="K29" s="11"/>
        <tr r="K37" s="10"/>
      </tp>
      <tp t="e">
        <v>#N/A</v>
        <stp/>
        <stp>BDH|877457732439302422</stp>
        <tr r="H31" s="6"/>
      </tp>
      <tp t="e">
        <v>#N/A</v>
        <stp/>
        <stp>BDH|946036411558083358</stp>
        <tr r="X9" s="27"/>
      </tp>
      <tp t="e">
        <v>#N/A</v>
        <stp/>
        <stp>BDH|788131201162822922</stp>
        <tr r="X6" s="19"/>
        <tr r="X35" s="17"/>
        <tr r="X16" s="3"/>
      </tp>
      <tp t="e">
        <v>#N/A</v>
        <stp/>
        <stp>BDH|858723533148716616</stp>
        <tr r="Z56" s="17"/>
      </tp>
      <tp t="e">
        <v>#N/A</v>
        <stp/>
        <stp>BDH|811640832797774819</stp>
        <tr r="W16" s="22"/>
      </tp>
      <tp t="e">
        <v>#N/A</v>
        <stp/>
        <stp>BDH|782913080179831267</stp>
        <tr r="R64" s="34"/>
      </tp>
      <tp t="e">
        <v>#N/A</v>
        <stp/>
        <stp>BDH|300048298395068671</stp>
        <tr r="V12" s="13"/>
      </tp>
      <tp t="e">
        <v>#N/A</v>
        <stp/>
        <stp>BDH|969175199924942668</stp>
        <tr r="P131" s="18"/>
      </tp>
      <tp t="e">
        <v>#N/A</v>
        <stp/>
        <stp>BDH|715921012583870176</stp>
        <tr r="H16" s="24"/>
      </tp>
      <tp t="e">
        <v>#N/A</v>
        <stp/>
        <stp>BDH|976236581883006322</stp>
        <tr r="E88" s="18"/>
      </tp>
      <tp t="e">
        <v>#N/A</v>
        <stp/>
        <stp>BDH|537318088933313260</stp>
        <tr r="J26" s="21"/>
      </tp>
      <tp t="e">
        <v>#N/A</v>
        <stp/>
        <stp>BDH|316221581881361196</stp>
        <tr r="G57" s="13"/>
      </tp>
      <tp t="e">
        <v>#N/A</v>
        <stp/>
        <stp>BDH|169069720629432193</stp>
        <tr r="P40" s="18"/>
      </tp>
      <tp t="e">
        <v>#N/A</v>
        <stp/>
        <stp>BDH|591246746019918540</stp>
        <tr r="J19" s="11"/>
      </tp>
      <tp t="e">
        <v>#N/A</v>
        <stp/>
        <stp>BDH|740468874491894875</stp>
        <tr r="W14" s="8"/>
      </tp>
      <tp t="e">
        <v>#N/A</v>
        <stp/>
        <stp>BDH|592986567282380726</stp>
        <tr r="H94" s="12"/>
      </tp>
      <tp t="e">
        <v>#N/A</v>
        <stp/>
        <stp>BDH|241417692530897729</stp>
        <tr r="M63" s="12"/>
      </tp>
      <tp t="e">
        <v>#N/A</v>
        <stp/>
        <stp>BDH|655860413220894308</stp>
        <tr r="I92" s="17"/>
        <tr r="I7" s="27"/>
      </tp>
      <tp t="e">
        <v>#N/A</v>
        <stp/>
        <stp>BDH|426177667838511556</stp>
        <tr r="O171" s="18"/>
      </tp>
      <tp t="e">
        <v>#N/A</v>
        <stp/>
        <stp>BDH|764479366909051129</stp>
        <tr r="H19" s="13"/>
        <tr r="F61" s="10"/>
        <tr r="F32" s="4"/>
        <tr r="F16" s="2"/>
      </tp>
      <tp t="e">
        <v>#N/A</v>
        <stp/>
        <stp>BDH|376881567052934615</stp>
        <tr r="D100" s="18"/>
      </tp>
      <tp t="e">
        <v>#N/A</v>
        <stp/>
        <stp>BDH|266094944176211884</stp>
        <tr r="E135" s="18"/>
      </tp>
      <tp t="e">
        <v>#N/A</v>
        <stp/>
        <stp>BDH|551807438058011987</stp>
        <tr r="D168" s="18"/>
      </tp>
      <tp t="e">
        <v>#N/A</v>
        <stp/>
        <stp>BDH|684013966389744504</stp>
        <tr r="R9" s="8"/>
        <tr r="P49" s="6"/>
      </tp>
      <tp t="e">
        <v>#N/A</v>
        <stp/>
        <stp>BDH|816958956652928444</stp>
        <tr r="F92" s="18"/>
      </tp>
      <tp t="e">
        <v>#N/A</v>
        <stp/>
        <stp>BDH|829127286704896722</stp>
        <tr r="K42" s="17"/>
      </tp>
      <tp t="e">
        <v>#N/A</v>
        <stp/>
        <stp>BDH|117200976227606873</stp>
        <tr r="O36" s="12"/>
      </tp>
      <tp t="e">
        <v>#N/A</v>
        <stp/>
        <stp>BDH|410861226823278309</stp>
        <tr r="Q13" s="14"/>
      </tp>
      <tp t="e">
        <v>#N/A</v>
        <stp/>
        <stp>BDH|517847837589419845</stp>
        <tr r="Y60" s="18"/>
      </tp>
      <tp t="e">
        <v>#N/A</v>
        <stp/>
        <stp>BDH|484828427343763301</stp>
        <tr r="P57" s="24"/>
      </tp>
      <tp t="e">
        <v>#N/A</v>
        <stp/>
        <stp>BDH|318437757352060909</stp>
        <tr r="J39" s="10"/>
        <tr r="J31" s="11"/>
      </tp>
      <tp t="e">
        <v>#N/A</v>
        <stp/>
        <stp>BDH|476535791241508743</stp>
        <tr r="O31" s="12"/>
      </tp>
      <tp t="e">
        <v>#N/A</v>
        <stp/>
        <stp>BDH|782722830488688640</stp>
        <tr r="O23" s="11"/>
      </tp>
      <tp t="e">
        <v>#N/A</v>
        <stp/>
        <stp>BDH|678270758334094995</stp>
        <tr r="E65" s="18"/>
      </tp>
      <tp t="e">
        <v>#N/A</v>
        <stp/>
        <stp>BDH|105587719346917898</stp>
        <tr r="G39" s="18"/>
      </tp>
      <tp t="e">
        <v>#N/A</v>
        <stp/>
        <stp>BDH|345102890705576767</stp>
        <tr r="L54" s="13"/>
      </tp>
      <tp t="e">
        <v>#N/A</v>
        <stp/>
        <stp>BDH|225510992922481452</stp>
        <tr r="X62" s="18"/>
      </tp>
      <tp t="e">
        <v>#N/A</v>
        <stp/>
        <stp>BDH|850353898739329964</stp>
        <tr r="W35" s="22"/>
      </tp>
      <tp t="e">
        <v>#N/A</v>
        <stp/>
        <stp>BDH|441930856184595256</stp>
        <tr r="I7" s="9"/>
        <tr r="I7" s="5"/>
        <tr r="L14" s="3"/>
        <tr r="J7" s="2"/>
      </tp>
      <tp t="e">
        <v>#N/A</v>
        <stp/>
        <stp>BDH|217535245189380265</stp>
        <tr r="G153" s="18"/>
      </tp>
      <tp t="e">
        <v>#N/A</v>
        <stp/>
        <stp>BDH|841483407879733712</stp>
        <tr r="V6" s="16"/>
        <tr r="W6" s="11"/>
        <tr r="Y6" s="3"/>
        <tr r="W10" s="4"/>
      </tp>
      <tp t="e">
        <v>#N/A</v>
        <stp/>
        <stp>BDH|190038075168741512</stp>
        <tr r="U55" s="11"/>
      </tp>
      <tp t="e">
        <v>#N/A</v>
        <stp/>
        <stp>BDH|908944248704532317</stp>
        <tr r="S9" s="11"/>
      </tp>
      <tp t="e">
        <v>#N/A</v>
        <stp/>
        <stp>BDH|701370459148103495</stp>
        <tr r="E175" s="18"/>
      </tp>
      <tp t="e">
        <v>#N/A</v>
        <stp/>
        <stp>BDH|950664084005989102</stp>
        <tr r="J12" s="17"/>
      </tp>
      <tp t="e">
        <v>#N/A</v>
        <stp/>
        <stp>BDH|343939322209704871</stp>
        <tr r="E38" s="6"/>
        <tr r="E18" s="5"/>
      </tp>
      <tp t="e">
        <v>#N/A</v>
        <stp/>
        <stp>BDH|519234793509778809</stp>
        <tr r="C30" s="13"/>
      </tp>
      <tp t="e">
        <v>#N/A</v>
        <stp/>
        <stp>BDH|815636509765487949</stp>
        <tr r="K12" s="13"/>
      </tp>
      <tp t="e">
        <v>#N/A</v>
        <stp/>
        <stp>BDH|883897093312124</stp>
        <tr r="N12" s="26"/>
      </tp>
    </main>
  </volType>
</volType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8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60</v>
      </c>
      <c r="B6" s="6" t="s">
        <v>61</v>
      </c>
      <c r="C6" s="19">
        <f>_xll.BDH("ALNY US Equity","HISTORICAL_MARKET_CAP","FQ2 2019","FQ2 2019","Currency=USD","Period=FQ","BEST_FPERIOD_OVERRIDE=FQ","FILING_STATUS=MR","SCALING_FORMAT=MLN","Sort=A","Dates=H","DateFormat=P","Fill=—","Direction=H","UseDPDF=Y")</f>
        <v>8062.4318000000003</v>
      </c>
      <c r="D6" s="19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E6" s="19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F6" s="19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G6" s="19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H6" s="19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I6" s="19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J6" s="19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K6" s="19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L6" s="19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M6" s="19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N6" s="19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O6" s="19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P6" s="19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Q6" s="19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R6" s="19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S6" s="19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T6" s="19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U6" s="19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V6" s="19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W6" s="19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X6" s="19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Y6" s="19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Z6" s="19"/>
      <c r="AA6" s="19"/>
    </row>
    <row r="7" spans="1:27" x14ac:dyDescent="0.25">
      <c r="A7" s="10" t="s">
        <v>62</v>
      </c>
      <c r="B7" s="10" t="s">
        <v>63</v>
      </c>
      <c r="C7" s="13">
        <f>_xll.BDH("ALNY US Equity","CASH_AND_MARKETABLE_SECURITIES","FQ2 2019","FQ2 2019","Currency=USD","Period=FQ","BEST_FPERIOD_OVERRIDE=FQ","FILING_STATUS=MR","SCALING_FORMAT=MLN","Sort=A","Dates=H","DateFormat=P","Fill=—","Direction=H","UseDPDF=Y")</f>
        <v>1926.8309999999999</v>
      </c>
      <c r="D7" s="13">
        <f>_xll.BDH("ALNY US Equity","CASH_AND_MARKETABLE_SECURITIES","FQ3 2019","FQ3 2019","Currency=USD","Period=FQ","BEST_FPERIOD_OVERRIDE=FQ","FILING_STATUS=MR","SCALING_FORMAT=MLN","Sort=A","Dates=H","DateFormat=P","Fill=—","Direction=H","UseDPDF=Y")</f>
        <v>1721.058</v>
      </c>
      <c r="E7" s="13">
        <f>_xll.BDH("ALNY US Equity","CASH_AND_MARKETABLE_SECURITIES","FQ4 2019","FQ4 2019","Currency=USD","Period=FQ","BEST_FPERIOD_OVERRIDE=FQ","FILING_STATUS=MR","SCALING_FORMAT=MLN","Sort=A","Dates=H","DateFormat=P","Fill=—","Direction=H","UseDPDF=Y")</f>
        <v>1536.162</v>
      </c>
      <c r="F7" s="13">
        <f>_xll.BDH("ALNY US Equity","CASH_AND_MARKETABLE_SECURITIES","FQ1 2020","FQ1 2020","Currency=USD","Period=FQ","BEST_FPERIOD_OVERRIDE=FQ","FILING_STATUS=MR","SCALING_FORMAT=MLN","Sort=A","Dates=H","DateFormat=P","Fill=—","Direction=H","UseDPDF=Y")</f>
        <v>1342.203</v>
      </c>
      <c r="G7" s="13">
        <f>_xll.BDH("ALNY US Equity","CASH_AND_MARKETABLE_SECURITIES","FQ2 2020","FQ2 2020","Currency=USD","Period=FQ","BEST_FPERIOD_OVERRIDE=FQ","FILING_STATUS=MR","SCALING_FORMAT=MLN","Sort=A","Dates=H","DateFormat=P","Fill=—","Direction=H","UseDPDF=Y")</f>
        <v>1925.5640000000001</v>
      </c>
      <c r="H7" s="13">
        <f>_xll.BDH("ALNY US Equity","CASH_AND_MARKETABLE_SECURITIES","FQ3 2020","FQ3 2020","Currency=USD","Period=FQ","BEST_FPERIOD_OVERRIDE=FQ","FILING_STATUS=MR","SCALING_FORMAT=MLN","Sort=A","Dates=H","DateFormat=P","Fill=—","Direction=H","UseDPDF=Y")</f>
        <v>1833.876</v>
      </c>
      <c r="I7" s="13">
        <f>_xll.BDH("ALNY US Equity","CASH_AND_MARKETABLE_SECURITIES","FQ4 2020","FQ4 2020","Currency=USD","Period=FQ","BEST_FPERIOD_OVERRIDE=FQ","FILING_STATUS=MR","SCALING_FORMAT=MLN","Sort=A","Dates=H","DateFormat=P","Fill=—","Direction=H","UseDPDF=Y")</f>
        <v>1874.395</v>
      </c>
      <c r="J7" s="13">
        <f>_xll.BDH("ALNY US Equity","CASH_AND_MARKETABLE_SECURITIES","FQ1 2021","FQ1 2021","Currency=USD","Period=FQ","BEST_FPERIOD_OVERRIDE=FQ","FILING_STATUS=MR","SCALING_FORMAT=MLN","Sort=A","Dates=H","DateFormat=P","Fill=—","Direction=H","UseDPDF=Y")</f>
        <v>1709.537</v>
      </c>
      <c r="K7" s="13">
        <f>_xll.BDH("ALNY US Equity","CASH_AND_MARKETABLE_SECURITIES","FQ2 2021","FQ2 2021","Currency=USD","Period=FQ","BEST_FPERIOD_OVERRIDE=FQ","FILING_STATUS=MR","SCALING_FORMAT=MLN","Sort=A","Dates=H","DateFormat=P","Fill=—","Direction=H","UseDPDF=Y")</f>
        <v>1900.0820000000001</v>
      </c>
      <c r="L7" s="13">
        <f>_xll.BDH("ALNY US Equity","CASH_AND_MARKETABLE_SECURITIES","FQ3 2021","FQ3 2021","Currency=USD","Period=FQ","BEST_FPERIOD_OVERRIDE=FQ","FILING_STATUS=MR","SCALING_FORMAT=MLN","Sort=A","Dates=H","DateFormat=P","Fill=—","Direction=H","UseDPDF=Y")</f>
        <v>2327.8649999999998</v>
      </c>
      <c r="M7" s="13">
        <f>_xll.BDH("ALNY US Equity","CASH_AND_MARKETABLE_SECURITIES","FQ4 2021","FQ4 2021","Currency=USD","Period=FQ","BEST_FPERIOD_OVERRIDE=FQ","FILING_STATUS=MR","SCALING_FORMAT=MLN","Sort=A","Dates=H","DateFormat=P","Fill=—","Direction=H","UseDPDF=Y")</f>
        <v>2435.5639999999999</v>
      </c>
      <c r="N7" s="13">
        <f>_xll.BDH("ALNY US Equity","CASH_AND_MARKETABLE_SECURITIES","FQ1 2022","FQ1 2022","Currency=USD","Period=FQ","BEST_FPERIOD_OVERRIDE=FQ","FILING_STATUS=MR","SCALING_FORMAT=MLN","Sort=A","Dates=H","DateFormat=P","Fill=—","Direction=H","UseDPDF=Y")</f>
        <v>2239.5630000000001</v>
      </c>
      <c r="O7" s="13">
        <f>_xll.BDH("ALNY US Equity","CASH_AND_MARKETABLE_SECURITIES","FQ2 2022","FQ2 2022","Currency=USD","Period=FQ","BEST_FPERIOD_OVERRIDE=FQ","FILING_STATUS=MR","SCALING_FORMAT=MLN","Sort=A","Dates=H","DateFormat=P","Fill=—","Direction=H","UseDPDF=Y")</f>
        <v>2110.6129999999998</v>
      </c>
      <c r="P7" s="13">
        <f>_xll.BDH("ALNY US Equity","CASH_AND_MARKETABLE_SECURITIES","FQ3 2022","FQ3 2022","Currency=USD","Period=FQ","BEST_FPERIOD_OVERRIDE=FQ","FILING_STATUS=MR","SCALING_FORMAT=MLN","Sort=A","Dates=H","DateFormat=P","Fill=—","Direction=H","UseDPDF=Y")</f>
        <v>2265.3290000000002</v>
      </c>
      <c r="Q7" s="13">
        <f>_xll.BDH("ALNY US Equity","CASH_AND_MARKETABLE_SECURITIES","FQ4 2022","FQ4 2022","Currency=USD","Period=FQ","BEST_FPERIOD_OVERRIDE=FQ","FILING_STATUS=MR","SCALING_FORMAT=MLN","Sort=A","Dates=H","DateFormat=P","Fill=—","Direction=H","UseDPDF=Y")</f>
        <v>2192.4059999999999</v>
      </c>
      <c r="R7" s="13">
        <f>_xll.BDH("ALNY US Equity","CASH_AND_MARKETABLE_SECURITIES","FQ1 2023","FQ1 2023","Currency=USD","Period=FQ","BEST_FPERIOD_OVERRIDE=FQ","FILING_STATUS=MR","SCALING_FORMAT=MLN","Sort=A","Dates=H","DateFormat=P","Fill=—","Direction=H","UseDPDF=Y")</f>
        <v>2070.6750000000002</v>
      </c>
      <c r="S7" s="13">
        <f>_xll.BDH("ALNY US Equity","CASH_AND_MARKETABLE_SECURITIES","FQ2 2023","FQ2 2023","Currency=USD","Period=FQ","BEST_FPERIOD_OVERRIDE=FQ","FILING_STATUS=MR","SCALING_FORMAT=MLN","Sort=A","Dates=H","DateFormat=P","Fill=—","Direction=H","UseDPDF=Y")</f>
        <v>2057.5070000000001</v>
      </c>
      <c r="T7" s="13">
        <f>_xll.BDH("ALNY US Equity","CASH_AND_MARKETABLE_SECURITIES","FQ3 2023","FQ3 2023","Currency=USD","Period=FQ","BEST_FPERIOD_OVERRIDE=FQ","FILING_STATUS=MR","SCALING_FORMAT=MLN","Sort=A","Dates=H","DateFormat=P","Fill=—","Direction=H","UseDPDF=Y")</f>
        <v>2406.2779999999998</v>
      </c>
      <c r="U7" s="13">
        <f>_xll.BDH("ALNY US Equity","CASH_AND_MARKETABLE_SECURITIES","FQ4 2023","FQ4 2023","Currency=USD","Period=FQ","BEST_FPERIOD_OVERRIDE=FQ","FILING_STATUS=MR","SCALING_FORMAT=MLN","Sort=A","Dates=H","DateFormat=P","Fill=—","Direction=H","UseDPDF=Y")</f>
        <v>2439.3820000000001</v>
      </c>
      <c r="V7" s="13">
        <f>_xll.BDH("ALNY US Equity","CASH_AND_MARKETABLE_SECURITIES","FQ1 2024","FQ1 2024","Currency=USD","Period=FQ","BEST_FPERIOD_OVERRIDE=FQ","FILING_STATUS=MR","SCALING_FORMAT=MLN","Sort=A","Dates=H","DateFormat=P","Fill=—","Direction=H","UseDPDF=Y")</f>
        <v>2371.2820000000002</v>
      </c>
      <c r="W7" s="13">
        <f>_xll.BDH("ALNY US Equity","CASH_AND_MARKETABLE_SECURITIES","FQ2 2024","FQ2 2024","Currency=USD","Period=FQ","BEST_FPERIOD_OVERRIDE=FQ","FILING_STATUS=MR","SCALING_FORMAT=MLN","Sort=A","Dates=H","DateFormat=P","Fill=—","Direction=H","UseDPDF=Y")</f>
        <v>2624.6489999999999</v>
      </c>
      <c r="X7" s="13">
        <f>_xll.BDH("ALNY US Equity","CASH_AND_MARKETABLE_SECURITIES","FQ3 2024","FQ3 2024","Currency=USD","Period=FQ","BEST_FPERIOD_OVERRIDE=FQ","FILING_STATUS=MR","SCALING_FORMAT=MLN","Sort=A","Dates=H","DateFormat=P","Fill=—","Direction=H","UseDPDF=Y")</f>
        <v>2780.2350000000001</v>
      </c>
      <c r="Y7" s="13">
        <f>_xll.BDH("ALNY US Equity","CASH_AND_MARKETABLE_SECURITIES","FQ4 2024","FQ4 2024","Currency=USD","Period=FQ","BEST_FPERIOD_OVERRIDE=FQ","FILING_STATUS=MR","SCALING_FORMAT=MLN","Sort=A","Dates=H","DateFormat=P","Fill=—","Direction=H","UseDPDF=Y")</f>
        <v>2694.5039999999999</v>
      </c>
      <c r="Z7" s="13"/>
      <c r="AA7" s="13"/>
    </row>
    <row r="8" spans="1:27" x14ac:dyDescent="0.25">
      <c r="A8" s="10" t="s">
        <v>64</v>
      </c>
      <c r="B8" s="10" t="s">
        <v>65</v>
      </c>
      <c r="C8" s="13">
        <f>_xll.BDH("ALNY US Equity","PFD_EQTY_MINORTY_INTEREST","FQ2 2019","FQ2 2019","Currency=USD","Period=FQ","BEST_FPERIOD_OVERRIDE=FQ","FILING_STATUS=MR","SCALING_FORMAT=MLN","Sort=A","Dates=H","DateFormat=P","Fill=—","Direction=H","UseDPDF=Y")</f>
        <v>0</v>
      </c>
      <c r="D8" s="13">
        <f>_xll.BDH("ALNY US Equity","PFD_EQTY_MINORTY_INTEREST","FQ3 2019","FQ3 2019","Currency=USD","Period=FQ","BEST_FPERIOD_OVERRIDE=FQ","FILING_STATUS=MR","SCALING_FORMAT=MLN","Sort=A","Dates=H","DateFormat=P","Fill=—","Direction=H","UseDPDF=Y")</f>
        <v>0</v>
      </c>
      <c r="E8" s="13">
        <f>_xll.BDH("ALNY US Equity","PFD_EQTY_MINORTY_INTEREST","FQ4 2019","FQ4 2019","Currency=USD","Period=FQ","BEST_FPERIOD_OVERRIDE=FQ","FILING_STATUS=MR","SCALING_FORMAT=MLN","Sort=A","Dates=H","DateFormat=P","Fill=—","Direction=H","UseDPDF=Y")</f>
        <v>0</v>
      </c>
      <c r="F8" s="13">
        <f>_xll.BDH("ALNY US Equity","PFD_EQTY_MINORTY_INTEREST","FQ1 2020","FQ1 2020","Currency=USD","Period=FQ","BEST_FPERIOD_OVERRIDE=FQ","FILING_STATUS=MR","SCALING_FORMAT=MLN","Sort=A","Dates=H","DateFormat=P","Fill=—","Direction=H","UseDPDF=Y")</f>
        <v>0</v>
      </c>
      <c r="G8" s="13">
        <f>_xll.BDH("ALNY US Equity","PFD_EQTY_MINORTY_INTEREST","FQ2 2020","FQ2 2020","Currency=USD","Period=FQ","BEST_FPERIOD_OVERRIDE=FQ","FILING_STATUS=MR","SCALING_FORMAT=MLN","Sort=A","Dates=H","DateFormat=P","Fill=—","Direction=H","UseDPDF=Y")</f>
        <v>0</v>
      </c>
      <c r="H8" s="13">
        <f>_xll.BDH("ALNY US Equity","PFD_EQTY_MINORTY_INTEREST","FQ3 2020","FQ3 2020","Currency=USD","Period=FQ","BEST_FPERIOD_OVERRIDE=FQ","FILING_STATUS=MR","SCALING_FORMAT=MLN","Sort=A","Dates=H","DateFormat=P","Fill=—","Direction=H","UseDPDF=Y")</f>
        <v>0</v>
      </c>
      <c r="I8" s="13">
        <f>_xll.BDH("ALNY US Equity","PFD_EQTY_MINORTY_INTEREST","FQ4 2020","FQ4 2020","Currency=USD","Period=FQ","BEST_FPERIOD_OVERRIDE=FQ","FILING_STATUS=MR","SCALING_FORMAT=MLN","Sort=A","Dates=H","DateFormat=P","Fill=—","Direction=H","UseDPDF=Y")</f>
        <v>0</v>
      </c>
      <c r="J8" s="13">
        <f>_xll.BDH("ALNY US Equity","PFD_EQTY_MINORTY_INTEREST","FQ1 2021","FQ1 2021","Currency=USD","Period=FQ","BEST_FPERIOD_OVERRIDE=FQ","FILING_STATUS=MR","SCALING_FORMAT=MLN","Sort=A","Dates=H","DateFormat=P","Fill=—","Direction=H","UseDPDF=Y")</f>
        <v>0</v>
      </c>
      <c r="K8" s="13">
        <f>_xll.BDH("ALNY US Equity","PFD_EQTY_MINORTY_INTEREST","FQ2 2021","FQ2 2021","Currency=USD","Period=FQ","BEST_FPERIOD_OVERRIDE=FQ","FILING_STATUS=MR","SCALING_FORMAT=MLN","Sort=A","Dates=H","DateFormat=P","Fill=—","Direction=H","UseDPDF=Y")</f>
        <v>0</v>
      </c>
      <c r="L8" s="13">
        <f>_xll.BDH("ALNY US Equity","PFD_EQTY_MINORTY_INTEREST","FQ3 2021","FQ3 2021","Currency=USD","Period=FQ","BEST_FPERIOD_OVERRIDE=FQ","FILING_STATUS=MR","SCALING_FORMAT=MLN","Sort=A","Dates=H","DateFormat=P","Fill=—","Direction=H","UseDPDF=Y")</f>
        <v>0</v>
      </c>
      <c r="M8" s="13">
        <f>_xll.BDH("ALNY US Equity","PFD_EQTY_MINORTY_INTEREST","FQ4 2021","FQ4 2021","Currency=USD","Period=FQ","BEST_FPERIOD_OVERRIDE=FQ","FILING_STATUS=MR","SCALING_FORMAT=MLN","Sort=A","Dates=H","DateFormat=P","Fill=—","Direction=H","UseDPDF=Y")</f>
        <v>0</v>
      </c>
      <c r="N8" s="13">
        <f>_xll.BDH("ALNY US Equity","PFD_EQTY_MINORTY_INTEREST","FQ1 2022","FQ1 2022","Currency=USD","Period=FQ","BEST_FPERIOD_OVERRIDE=FQ","FILING_STATUS=MR","SCALING_FORMAT=MLN","Sort=A","Dates=H","DateFormat=P","Fill=—","Direction=H","UseDPDF=Y")</f>
        <v>0</v>
      </c>
      <c r="O8" s="13">
        <f>_xll.BDH("ALNY US Equity","PFD_EQTY_MINORTY_INTEREST","FQ2 2022","FQ2 2022","Currency=USD","Period=FQ","BEST_FPERIOD_OVERRIDE=FQ","FILING_STATUS=MR","SCALING_FORMAT=MLN","Sort=A","Dates=H","DateFormat=P","Fill=—","Direction=H","UseDPDF=Y")</f>
        <v>0</v>
      </c>
      <c r="P8" s="13">
        <f>_xll.BDH("ALNY US Equity","PFD_EQTY_MINORTY_INTEREST","FQ3 2022","FQ3 2022","Currency=USD","Period=FQ","BEST_FPERIOD_OVERRIDE=FQ","FILING_STATUS=MR","SCALING_FORMAT=MLN","Sort=A","Dates=H","DateFormat=P","Fill=—","Direction=H","UseDPDF=Y")</f>
        <v>0</v>
      </c>
      <c r="Q8" s="13">
        <f>_xll.BDH("ALNY US Equity","PFD_EQTY_MINORTY_INTEREST","FQ4 2022","FQ4 2022","Currency=USD","Period=FQ","BEST_FPERIOD_OVERRIDE=FQ","FILING_STATUS=MR","SCALING_FORMAT=MLN","Sort=A","Dates=H","DateFormat=P","Fill=—","Direction=H","UseDPDF=Y")</f>
        <v>0</v>
      </c>
      <c r="R8" s="13">
        <f>_xll.BDH("ALNY US Equity","PFD_EQTY_MINORTY_INTEREST","FQ1 2023","FQ1 2023","Currency=USD","Period=FQ","BEST_FPERIOD_OVERRIDE=FQ","FILING_STATUS=MR","SCALING_FORMAT=MLN","Sort=A","Dates=H","DateFormat=P","Fill=—","Direction=H","UseDPDF=Y")</f>
        <v>0</v>
      </c>
      <c r="S8" s="13">
        <f>_xll.BDH("ALNY US Equity","PFD_EQTY_MINORTY_INTEREST","FQ2 2023","FQ2 2023","Currency=USD","Period=FQ","BEST_FPERIOD_OVERRIDE=FQ","FILING_STATUS=MR","SCALING_FORMAT=MLN","Sort=A","Dates=H","DateFormat=P","Fill=—","Direction=H","UseDPDF=Y")</f>
        <v>0</v>
      </c>
      <c r="T8" s="13">
        <f>_xll.BDH("ALNY US Equity","PFD_EQTY_MINORTY_INTEREST","FQ3 2023","FQ3 2023","Currency=USD","Period=FQ","BEST_FPERIOD_OVERRIDE=FQ","FILING_STATUS=MR","SCALING_FORMAT=MLN","Sort=A","Dates=H","DateFormat=P","Fill=—","Direction=H","UseDPDF=Y")</f>
        <v>0</v>
      </c>
      <c r="U8" s="13">
        <f>_xll.BDH("ALNY US Equity","PFD_EQTY_MINORTY_INTEREST","FQ4 2023","FQ4 2023","Currency=USD","Period=FQ","BEST_FPERIOD_OVERRIDE=FQ","FILING_STATUS=MR","SCALING_FORMAT=MLN","Sort=A","Dates=H","DateFormat=P","Fill=—","Direction=H","UseDPDF=Y")</f>
        <v>0</v>
      </c>
      <c r="V8" s="13">
        <f>_xll.BDH("ALNY US Equity","PFD_EQTY_MINORTY_INTEREST","FQ1 2024","FQ1 2024","Currency=USD","Period=FQ","BEST_FPERIOD_OVERRIDE=FQ","FILING_STATUS=MR","SCALING_FORMAT=MLN","Sort=A","Dates=H","DateFormat=P","Fill=—","Direction=H","UseDPDF=Y")</f>
        <v>0</v>
      </c>
      <c r="W8" s="13">
        <f>_xll.BDH("ALNY US Equity","PFD_EQTY_MINORTY_INTEREST","FQ2 2024","FQ2 2024","Currency=USD","Period=FQ","BEST_FPERIOD_OVERRIDE=FQ","FILING_STATUS=MR","SCALING_FORMAT=MLN","Sort=A","Dates=H","DateFormat=P","Fill=—","Direction=H","UseDPDF=Y")</f>
        <v>0</v>
      </c>
      <c r="X8" s="13">
        <f>_xll.BDH("ALNY US Equity","PFD_EQTY_MINORTY_INTEREST","FQ3 2024","FQ3 2024","Currency=USD","Period=FQ","BEST_FPERIOD_OVERRIDE=FQ","FILING_STATUS=MR","SCALING_FORMAT=MLN","Sort=A","Dates=H","DateFormat=P","Fill=—","Direction=H","UseDPDF=Y")</f>
        <v>0</v>
      </c>
      <c r="Y8" s="13">
        <f>_xll.BDH("ALNY US Equity","PFD_EQTY_MINORTY_INTEREST","FQ4 2024","FQ4 2024","Currency=USD","Period=FQ","BEST_FPERIOD_OVERRIDE=FQ","FILING_STATUS=MR","SCALING_FORMAT=MLN","Sort=A","Dates=H","DateFormat=P","Fill=—","Direction=H","UseDPDF=Y")</f>
        <v>0</v>
      </c>
      <c r="Z8" s="13"/>
      <c r="AA8" s="13"/>
    </row>
    <row r="9" spans="1:27" x14ac:dyDescent="0.25">
      <c r="A9" s="10" t="s">
        <v>66</v>
      </c>
      <c r="B9" s="10" t="s">
        <v>67</v>
      </c>
      <c r="C9" s="13">
        <f>_xll.BDH("ALNY US Equity","SHORT_AND_LONG_TERM_DEBT","FQ2 2019","FQ2 2019","Currency=USD","Period=FQ","BEST_FPERIOD_OVERRIDE=FQ","FILING_STATUS=MR","SCALING_FORMAT=MLN","Sort=A","Dates=H","DateFormat=P","Fill=—","Direction=H","UseDPDF=Y")</f>
        <v>336.55799999999999</v>
      </c>
      <c r="D9" s="13">
        <f>_xll.BDH("ALNY US Equity","SHORT_AND_LONG_TERM_DEBT","FQ3 2019","FQ3 2019","Currency=USD","Period=FQ","BEST_FPERIOD_OVERRIDE=FQ","FILING_STATUS=MR","SCALING_FORMAT=MLN","Sort=A","Dates=H","DateFormat=P","Fill=—","Direction=H","UseDPDF=Y")</f>
        <v>304.62099999999998</v>
      </c>
      <c r="E9" s="13">
        <f>_xll.BDH("ALNY US Equity","SHORT_AND_LONG_TERM_DEBT","FQ4 2019","FQ4 2019","Currency=USD","Period=FQ","BEST_FPERIOD_OVERRIDE=FQ","FILING_STATUS=MR","SCALING_FORMAT=MLN","Sort=A","Dates=H","DateFormat=P","Fill=—","Direction=H","UseDPDF=Y")</f>
        <v>303.82299999999998</v>
      </c>
      <c r="F9" s="13">
        <f>_xll.BDH("ALNY US Equity","SHORT_AND_LONG_TERM_DEBT","FQ1 2020","FQ1 2020","Currency=USD","Period=FQ","BEST_FPERIOD_OVERRIDE=FQ","FILING_STATUS=MR","SCALING_FORMAT=MLN","Sort=A","Dates=H","DateFormat=P","Fill=—","Direction=H","UseDPDF=Y")</f>
        <v>304.82499999999999</v>
      </c>
      <c r="G9" s="13">
        <f>_xll.BDH("ALNY US Equity","SHORT_AND_LONG_TERM_DEBT","FQ2 2020","FQ2 2020","Currency=USD","Period=FQ","BEST_FPERIOD_OVERRIDE=FQ","FILING_STATUS=MR","SCALING_FORMAT=MLN","Sort=A","Dates=H","DateFormat=P","Fill=—","Direction=H","UseDPDF=Y")</f>
        <v>315.065</v>
      </c>
      <c r="H9" s="13">
        <f>_xll.BDH("ALNY US Equity","SHORT_AND_LONG_TERM_DEBT","FQ3 2020","FQ3 2020","Currency=USD","Period=FQ","BEST_FPERIOD_OVERRIDE=FQ","FILING_STATUS=MR","SCALING_FORMAT=MLN","Sort=A","Dates=H","DateFormat=P","Fill=—","Direction=H","UseDPDF=Y")</f>
        <v>329.45400000000001</v>
      </c>
      <c r="I9" s="13">
        <f>_xll.BDH("ALNY US Equity","SHORT_AND_LONG_TERM_DEBT","FQ4 2020","FQ4 2020","Currency=USD","Period=FQ","BEST_FPERIOD_OVERRIDE=FQ","FILING_STATUS=MR","SCALING_FORMAT=MLN","Sort=A","Dates=H","DateFormat=P","Fill=—","Direction=H","UseDPDF=Y")</f>
        <v>521.18899999999996</v>
      </c>
      <c r="J9" s="13">
        <f>_xll.BDH("ALNY US Equity","SHORT_AND_LONG_TERM_DEBT","FQ1 2021","FQ1 2021","Currency=USD","Period=FQ","BEST_FPERIOD_OVERRIDE=FQ","FILING_STATUS=MR","SCALING_FORMAT=MLN","Sort=A","Dates=H","DateFormat=P","Fill=—","Direction=H","UseDPDF=Y")</f>
        <v>518.52200000000005</v>
      </c>
      <c r="K9" s="13">
        <f>_xll.BDH("ALNY US Equity","SHORT_AND_LONG_TERM_DEBT","FQ2 2021","FQ2 2021","Currency=USD","Period=FQ","BEST_FPERIOD_OVERRIDE=FQ","FILING_STATUS=MR","SCALING_FORMAT=MLN","Sort=A","Dates=H","DateFormat=P","Fill=—","Direction=H","UseDPDF=Y")</f>
        <v>761.072</v>
      </c>
      <c r="L9" s="13">
        <f>_xll.BDH("ALNY US Equity","SHORT_AND_LONG_TERM_DEBT","FQ3 2021","FQ3 2021","Currency=USD","Period=FQ","BEST_FPERIOD_OVERRIDE=FQ","FILING_STATUS=MR","SCALING_FORMAT=MLN","Sort=A","Dates=H","DateFormat=P","Fill=—","Direction=H","UseDPDF=Y")</f>
        <v>760.44100000000003</v>
      </c>
      <c r="M9" s="13">
        <f>_xll.BDH("ALNY US Equity","SHORT_AND_LONG_TERM_DEBT","FQ4 2021","FQ4 2021","Currency=USD","Period=FQ","BEST_FPERIOD_OVERRIDE=FQ","FILING_STATUS=MR","SCALING_FORMAT=MLN","Sort=A","Dates=H","DateFormat=P","Fill=—","Direction=H","UseDPDF=Y")</f>
        <v>997.59199999999998</v>
      </c>
      <c r="N9" s="13">
        <f>_xll.BDH("ALNY US Equity","SHORT_AND_LONG_TERM_DEBT","FQ1 2022","FQ1 2022","Currency=USD","Period=FQ","BEST_FPERIOD_OVERRIDE=FQ","FILING_STATUS=MR","SCALING_FORMAT=MLN","Sort=A","Dates=H","DateFormat=P","Fill=—","Direction=H","UseDPDF=Y")</f>
        <v>995.38800000000003</v>
      </c>
      <c r="O9" s="13">
        <f>_xll.BDH("ALNY US Equity","SHORT_AND_LONG_TERM_DEBT","FQ2 2022","FQ2 2022","Currency=USD","Period=FQ","BEST_FPERIOD_OVERRIDE=FQ","FILING_STATUS=MR","SCALING_FORMAT=MLN","Sort=A","Dates=H","DateFormat=P","Fill=—","Direction=H","UseDPDF=Y")</f>
        <v>990.97500000000002</v>
      </c>
      <c r="P9" s="13">
        <f>_xll.BDH("ALNY US Equity","SHORT_AND_LONG_TERM_DEBT","FQ3 2022","FQ3 2022","Currency=USD","Period=FQ","BEST_FPERIOD_OVERRIDE=FQ","FILING_STATUS=MR","SCALING_FORMAT=MLN","Sort=A","Dates=H","DateFormat=P","Fill=—","Direction=H","UseDPDF=Y")</f>
        <v>1539.777</v>
      </c>
      <c r="Q9" s="13">
        <f>_xll.BDH("ALNY US Equity","SHORT_AND_LONG_TERM_DEBT","FQ4 2022","FQ4 2022","Currency=USD","Period=FQ","BEST_FPERIOD_OVERRIDE=FQ","FILING_STATUS=MR","SCALING_FORMAT=MLN","Sort=A","Dates=H","DateFormat=P","Fill=—","Direction=H","UseDPDF=Y")</f>
        <v>1320.248</v>
      </c>
      <c r="R9" s="13">
        <f>_xll.BDH("ALNY US Equity","SHORT_AND_LONG_TERM_DEBT","FQ1 2023","FQ1 2023","Currency=USD","Period=FQ","BEST_FPERIOD_OVERRIDE=FQ","FILING_STATUS=MR","SCALING_FORMAT=MLN","Sort=A","Dates=H","DateFormat=P","Fill=—","Direction=H","UseDPDF=Y")</f>
        <v>1320.3409999999999</v>
      </c>
      <c r="S9" s="13">
        <f>_xll.BDH("ALNY US Equity","SHORT_AND_LONG_TERM_DEBT","FQ2 2023","FQ2 2023","Currency=USD","Period=FQ","BEST_FPERIOD_OVERRIDE=FQ","FILING_STATUS=MR","SCALING_FORMAT=MLN","Sort=A","Dates=H","DateFormat=P","Fill=—","Direction=H","UseDPDF=Y")</f>
        <v>1314.3330000000001</v>
      </c>
      <c r="T9" s="13">
        <f>_xll.BDH("ALNY US Equity","SHORT_AND_LONG_TERM_DEBT","FQ3 2023","FQ3 2023","Currency=USD","Period=FQ","BEST_FPERIOD_OVERRIDE=FQ","FILING_STATUS=MR","SCALING_FORMAT=MLN","Sort=A","Dates=H","DateFormat=P","Fill=—","Direction=H","UseDPDF=Y")</f>
        <v>1309.0360000000001</v>
      </c>
      <c r="U9" s="13">
        <f>_xll.BDH("ALNY US Equity","SHORT_AND_LONG_TERM_DEBT","FQ4 2023","FQ4 2023","Currency=USD","Period=FQ","BEST_FPERIOD_OVERRIDE=FQ","FILING_STATUS=MR","SCALING_FORMAT=MLN","Sort=A","Dates=H","DateFormat=P","Fill=—","Direction=H","UseDPDF=Y")</f>
        <v>1305.3869999999999</v>
      </c>
      <c r="V9" s="13">
        <f>_xll.BDH("ALNY US Equity","SHORT_AND_LONG_TERM_DEBT","FQ1 2024","FQ1 2024","Currency=USD","Period=FQ","BEST_FPERIOD_OVERRIDE=FQ","FILING_STATUS=MR","SCALING_FORMAT=MLN","Sort=A","Dates=H","DateFormat=P","Fill=—","Direction=H","UseDPDF=Y")</f>
        <v>1301.2329999999999</v>
      </c>
      <c r="W9" s="13">
        <f>_xll.BDH("ALNY US Equity","SHORT_AND_LONG_TERM_DEBT","FQ2 2024","FQ2 2024","Currency=USD","Period=FQ","BEST_FPERIOD_OVERRIDE=FQ","FILING_STATUS=MR","SCALING_FORMAT=MLN","Sort=A","Dates=H","DateFormat=P","Fill=—","Direction=H","UseDPDF=Y")</f>
        <v>2646.2759999999998</v>
      </c>
      <c r="X9" s="13">
        <f>_xll.BDH("ALNY US Equity","SHORT_AND_LONG_TERM_DEBT","FQ3 2024","FQ3 2024","Currency=USD","Period=FQ","BEST_FPERIOD_OVERRIDE=FQ","FILING_STATUS=MR","SCALING_FORMAT=MLN","Sort=A","Dates=H","DateFormat=P","Fill=—","Direction=H","UseDPDF=Y")</f>
        <v>1301.828</v>
      </c>
      <c r="Y9" s="13">
        <f>_xll.BDH("ALNY US Equity","SHORT_AND_LONG_TERM_DEBT","FQ4 2024","FQ4 2024","Currency=USD","Period=FQ","BEST_FPERIOD_OVERRIDE=FQ","FILING_STATUS=MR","SCALING_FORMAT=MLN","Sort=A","Dates=H","DateFormat=P","Fill=—","Direction=H","UseDPDF=Y")</f>
        <v>1296.048</v>
      </c>
      <c r="Z9" s="13"/>
      <c r="AA9" s="13"/>
    </row>
    <row r="10" spans="1:27" x14ac:dyDescent="0.25">
      <c r="A10" s="6" t="s">
        <v>68</v>
      </c>
      <c r="B10" s="6" t="s">
        <v>69</v>
      </c>
      <c r="C10" s="19">
        <f>_xll.BDH("ALNY US Equity","ENTERPRISE_VALUE","FQ2 2019","FQ2 2019","Currency=USD","Period=FQ","BEST_FPERIOD_OVERRIDE=FQ","FILING_STATUS=MR","SCALING_FORMAT=MLN","Sort=A","Dates=H","DateFormat=P","Fill=—","Direction=H","UseDPDF=Y")</f>
        <v>6472.1588000000002</v>
      </c>
      <c r="D10" s="19">
        <f>_xll.BDH("ALNY US Equity","ENTERPRISE_VALUE","FQ3 2019","FQ3 2019","Currency=USD","Period=FQ","BEST_FPERIOD_OVERRIDE=FQ","FILING_STATUS=MR","SCALING_FORMAT=MLN","Sort=A","Dates=H","DateFormat=P","Fill=—","Direction=H","UseDPDF=Y")</f>
        <v>7536.3194999999996</v>
      </c>
      <c r="E10" s="19">
        <f>_xll.BDH("ALNY US Equity","ENTERPRISE_VALUE","FQ4 2019","FQ4 2019","Currency=USD","Period=FQ","BEST_FPERIOD_OVERRIDE=FQ","FILING_STATUS=MR","SCALING_FORMAT=MLN","Sort=A","Dates=H","DateFormat=P","Fill=—","Direction=H","UseDPDF=Y")</f>
        <v>11688.352999999999</v>
      </c>
      <c r="F10" s="19">
        <f>_xll.BDH("ALNY US Equity","ENTERPRISE_VALUE","FQ1 2020","FQ1 2020","Currency=USD","Period=FQ","BEST_FPERIOD_OVERRIDE=FQ","FILING_STATUS=MR","SCALING_FORMAT=MLN","Sort=A","Dates=H","DateFormat=P","Fill=—","Direction=H","UseDPDF=Y")</f>
        <v>11280.9588</v>
      </c>
      <c r="G10" s="19">
        <f>_xll.BDH("ALNY US Equity","ENTERPRISE_VALUE","FQ2 2020","FQ2 2020","Currency=USD","Period=FQ","BEST_FPERIOD_OVERRIDE=FQ","FILING_STATUS=MR","SCALING_FORMAT=MLN","Sort=A","Dates=H","DateFormat=P","Fill=—","Direction=H","UseDPDF=Y")</f>
        <v>15517.9782</v>
      </c>
      <c r="H10" s="19">
        <f>_xll.BDH("ALNY US Equity","ENTERPRISE_VALUE","FQ3 2020","FQ3 2020","Currency=USD","Period=FQ","BEST_FPERIOD_OVERRIDE=FQ","FILING_STATUS=MR","SCALING_FORMAT=MLN","Sort=A","Dates=H","DateFormat=P","Fill=—","Direction=H","UseDPDF=Y")</f>
        <v>15405.998799999999</v>
      </c>
      <c r="I10" s="19">
        <f>_xll.BDH("ALNY US Equity","ENTERPRISE_VALUE","FQ4 2020","FQ4 2020","Currency=USD","Period=FQ","BEST_FPERIOD_OVERRIDE=FQ","FILING_STATUS=MR","SCALING_FORMAT=MLN","Sort=A","Dates=H","DateFormat=P","Fill=—","Direction=H","UseDPDF=Y")</f>
        <v>13778.8112</v>
      </c>
      <c r="J10" s="19">
        <f>_xll.BDH("ALNY US Equity","ENTERPRISE_VALUE","FQ1 2021","FQ1 2021","Currency=USD","Period=FQ","BEST_FPERIOD_OVERRIDE=FQ","FILING_STATUS=MR","SCALING_FORMAT=MLN","Sort=A","Dates=H","DateFormat=P","Fill=—","Direction=H","UseDPDF=Y")</f>
        <v>15373.537</v>
      </c>
      <c r="K10" s="19">
        <f>_xll.BDH("ALNY US Equity","ENTERPRISE_VALUE","FQ2 2021","FQ2 2021","Currency=USD","Period=FQ","BEST_FPERIOD_OVERRIDE=FQ","FILING_STATUS=MR","SCALING_FORMAT=MLN","Sort=A","Dates=H","DateFormat=P","Fill=—","Direction=H","UseDPDF=Y")</f>
        <v>18965.383900000001</v>
      </c>
      <c r="L10" s="19">
        <f>_xll.BDH("ALNY US Equity","ENTERPRISE_VALUE","FQ3 2021","FQ3 2021","Currency=USD","Period=FQ","BEST_FPERIOD_OVERRIDE=FQ","FILING_STATUS=MR","SCALING_FORMAT=MLN","Sort=A","Dates=H","DateFormat=P","Fill=—","Direction=H","UseDPDF=Y")</f>
        <v>20991.594799999999</v>
      </c>
      <c r="M10" s="19">
        <f>_xll.BDH("ALNY US Equity","ENTERPRISE_VALUE","FQ4 2021","FQ4 2021","Currency=USD","Period=FQ","BEST_FPERIOD_OVERRIDE=FQ","FILING_STATUS=MR","SCALING_FORMAT=MLN","Sort=A","Dates=H","DateFormat=P","Fill=—","Direction=H","UseDPDF=Y")</f>
        <v>18942.491600000001</v>
      </c>
      <c r="N10" s="19">
        <f>_xll.BDH("ALNY US Equity","ENTERPRISE_VALUE","FQ1 2022","FQ1 2022","Currency=USD","Period=FQ","BEST_FPERIOD_OVERRIDE=FQ","FILING_STATUS=MR","SCALING_FORMAT=MLN","Sort=A","Dates=H","DateFormat=P","Fill=—","Direction=H","UseDPDF=Y")</f>
        <v>18469.663400000001</v>
      </c>
      <c r="O10" s="19">
        <f>_xll.BDH("ALNY US Equity","ENTERPRISE_VALUE","FQ2 2022","FQ2 2022","Currency=USD","Period=FQ","BEST_FPERIOD_OVERRIDE=FQ","FILING_STATUS=MR","SCALING_FORMAT=MLN","Sort=A","Dates=H","DateFormat=P","Fill=—","Direction=H","UseDPDF=Y")</f>
        <v>16527.0452</v>
      </c>
      <c r="P10" s="19">
        <f>_xll.BDH("ALNY US Equity","ENTERPRISE_VALUE","FQ3 2022","FQ3 2022","Currency=USD","Period=FQ","BEST_FPERIOD_OVERRIDE=FQ","FILING_STATUS=MR","SCALING_FORMAT=MLN","Sort=A","Dates=H","DateFormat=P","Fill=—","Direction=H","UseDPDF=Y")</f>
        <v>23892.3266</v>
      </c>
      <c r="Q10" s="19">
        <f>_xll.BDH("ALNY US Equity","ENTERPRISE_VALUE","FQ4 2022","FQ4 2022","Currency=USD","Period=FQ","BEST_FPERIOD_OVERRIDE=FQ","FILING_STATUS=MR","SCALING_FORMAT=MLN","Sort=A","Dates=H","DateFormat=P","Fill=—","Direction=H","UseDPDF=Y")</f>
        <v>28578.618299999998</v>
      </c>
      <c r="R10" s="19">
        <f>_xll.BDH("ALNY US Equity","ENTERPRISE_VALUE","FQ1 2023","FQ1 2023","Currency=USD","Period=FQ","BEST_FPERIOD_OVERRIDE=FQ","FILING_STATUS=MR","SCALING_FORMAT=MLN","Sort=A","Dates=H","DateFormat=P","Fill=—","Direction=H","UseDPDF=Y")</f>
        <v>24137.623100000001</v>
      </c>
      <c r="S10" s="19">
        <f>_xll.BDH("ALNY US Equity","ENTERPRISE_VALUE","FQ2 2023","FQ2 2023","Currency=USD","Period=FQ","BEST_FPERIOD_OVERRIDE=FQ","FILING_STATUS=MR","SCALING_FORMAT=MLN","Sort=A","Dates=H","DateFormat=P","Fill=—","Direction=H","UseDPDF=Y")</f>
        <v>22855.161499999998</v>
      </c>
      <c r="T10" s="19">
        <f>_xll.BDH("ALNY US Equity","ENTERPRISE_VALUE","FQ3 2023","FQ3 2023","Currency=USD","Period=FQ","BEST_FPERIOD_OVERRIDE=FQ","FILING_STATUS=MR","SCALING_FORMAT=MLN","Sort=A","Dates=H","DateFormat=P","Fill=—","Direction=H","UseDPDF=Y")</f>
        <v>21120.661400000001</v>
      </c>
      <c r="U10" s="19">
        <f>_xll.BDH("ALNY US Equity","ENTERPRISE_VALUE","FQ4 2023","FQ4 2023","Currency=USD","Period=FQ","BEST_FPERIOD_OVERRIDE=FQ","FILING_STATUS=MR","SCALING_FORMAT=MLN","Sort=A","Dates=H","DateFormat=P","Fill=—","Direction=H","UseDPDF=Y")</f>
        <v>22944.234499999999</v>
      </c>
      <c r="V10" s="19">
        <f>_xll.BDH("ALNY US Equity","ENTERPRISE_VALUE","FQ1 2024","FQ1 2024","Currency=USD","Period=FQ","BEST_FPERIOD_OVERRIDE=FQ","FILING_STATUS=MR","SCALING_FORMAT=MLN","Sort=A","Dates=H","DateFormat=P","Fill=—","Direction=H","UseDPDF=Y")</f>
        <v>17829.846399999999</v>
      </c>
      <c r="W10" s="19">
        <f>_xll.BDH("ALNY US Equity","ENTERPRISE_VALUE","FQ2 2024","FQ2 2024","Currency=USD","Period=FQ","BEST_FPERIOD_OVERRIDE=FQ","FILING_STATUS=MR","SCALING_FORMAT=MLN","Sort=A","Dates=H","DateFormat=P","Fill=—","Direction=H","UseDPDF=Y")</f>
        <v>31130.73</v>
      </c>
      <c r="X10" s="19">
        <f>_xll.BDH("ALNY US Equity","ENTERPRISE_VALUE","FQ3 2024","FQ3 2024","Currency=USD","Period=FQ","BEST_FPERIOD_OVERRIDE=FQ","FILING_STATUS=MR","SCALING_FORMAT=MLN","Sort=A","Dates=H","DateFormat=P","Fill=—","Direction=H","UseDPDF=Y")</f>
        <v>33956.733200000002</v>
      </c>
      <c r="Y10" s="19">
        <f>_xll.BDH("ALNY US Equity","ENTERPRISE_VALUE","FQ4 2024","FQ4 2024","Currency=USD","Period=FQ","BEST_FPERIOD_OVERRIDE=FQ","FILING_STATUS=MR","SCALING_FORMAT=MLN","Sort=A","Dates=H","DateFormat=P","Fill=—","Direction=H","UseDPDF=Y")</f>
        <v>29025.715100000001</v>
      </c>
      <c r="Z10" s="19"/>
      <c r="AA10" s="19"/>
    </row>
    <row r="11" spans="1:27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6" t="s">
        <v>70</v>
      </c>
      <c r="B12" s="6" t="s">
        <v>71</v>
      </c>
      <c r="C12" s="19">
        <f>_xll.BDH("ALNY US Equity","SALES_REV_TURN","FQ2 2019","FQ2 2019","Currency=USD","Period=FQ","BEST_FPERIOD_OVERRIDE=FQ","FILING_STATUS=MR","SCALING_FORMAT=MLN","FA_ADJUSTED=Adjusted","Sort=A","Dates=H","DateFormat=P","Fill=—","Direction=H","UseDPDF=Y")</f>
        <v>44.713999999999999</v>
      </c>
      <c r="D12" s="19">
        <f>_xll.BDH("ALNY US Equity","SALES_REV_TURN","FQ3 2019","FQ3 2019","Currency=USD","Period=FQ","BEST_FPERIOD_OVERRIDE=FQ","FILING_STATUS=MR","SCALING_FORMAT=MLN","FA_ADJUSTED=Adjusted","Sort=A","Dates=H","DateFormat=P","Fill=—","Direction=H","UseDPDF=Y")</f>
        <v>70.061000000000007</v>
      </c>
      <c r="E12" s="19">
        <f>_xll.BDH("ALNY US Equity","SALES_REV_TURN","FQ4 2019","FQ4 2019","Currency=USD","Period=FQ","BEST_FPERIOD_OVERRIDE=FQ","FILING_STATUS=MR","SCALING_FORMAT=MLN","FA_ADJUSTED=Adjusted","Sort=A","Dates=H","DateFormat=P","Fill=—","Direction=H","UseDPDF=Y")</f>
        <v>71.680999999999997</v>
      </c>
      <c r="F12" s="19">
        <f>_xll.BDH("ALNY US Equity","SALES_REV_TURN","FQ1 2020","FQ1 2020","Currency=USD","Period=FQ","BEST_FPERIOD_OVERRIDE=FQ","FILING_STATUS=MR","SCALING_FORMAT=MLN","FA_ADJUSTED=Adjusted","Sort=A","Dates=H","DateFormat=P","Fill=—","Direction=H","UseDPDF=Y")</f>
        <v>99.475999999999999</v>
      </c>
      <c r="G12" s="19">
        <f>_xll.BDH("ALNY US Equity","SALES_REV_TURN","FQ2 2020","FQ2 2020","Currency=USD","Period=FQ","BEST_FPERIOD_OVERRIDE=FQ","FILING_STATUS=MR","SCALING_FORMAT=MLN","FA_ADJUSTED=Adjusted","Sort=A","Dates=H","DateFormat=P","Fill=—","Direction=H","UseDPDF=Y")</f>
        <v>103.962</v>
      </c>
      <c r="H12" s="19">
        <f>_xll.BDH("ALNY US Equity","SALES_REV_TURN","FQ3 2020","FQ3 2020","Currency=USD","Period=FQ","BEST_FPERIOD_OVERRIDE=FQ","FILING_STATUS=MR","SCALING_FORMAT=MLN","FA_ADJUSTED=Adjusted","Sort=A","Dates=H","DateFormat=P","Fill=—","Direction=H","UseDPDF=Y")</f>
        <v>125.85299999999999</v>
      </c>
      <c r="I12" s="19">
        <f>_xll.BDH("ALNY US Equity","SALES_REV_TURN","FQ4 2020","FQ4 2020","Currency=USD","Period=FQ","BEST_FPERIOD_OVERRIDE=FQ","FILING_STATUS=MR","SCALING_FORMAT=MLN","FA_ADJUSTED=Adjusted","Sort=A","Dates=H","DateFormat=P","Fill=—","Direction=H","UseDPDF=Y")</f>
        <v>163.56200000000001</v>
      </c>
      <c r="J12" s="19">
        <f>_xll.BDH("ALNY US Equity","SALES_REV_TURN","FQ1 2021","FQ1 2021","Currency=USD","Period=FQ","BEST_FPERIOD_OVERRIDE=FQ","FILING_STATUS=MR","SCALING_FORMAT=MLN","FA_ADJUSTED=Adjusted","Sort=A","Dates=H","DateFormat=P","Fill=—","Direction=H","UseDPDF=Y")</f>
        <v>177.566</v>
      </c>
      <c r="K12" s="19">
        <f>_xll.BDH("ALNY US Equity","SALES_REV_TURN","FQ2 2021","FQ2 2021","Currency=USD","Period=FQ","BEST_FPERIOD_OVERRIDE=FQ","FILING_STATUS=MR","SCALING_FORMAT=MLN","FA_ADJUSTED=Adjusted","Sort=A","Dates=H","DateFormat=P","Fill=—","Direction=H","UseDPDF=Y")</f>
        <v>220.553</v>
      </c>
      <c r="L12" s="19">
        <f>_xll.BDH("ALNY US Equity","SALES_REV_TURN","FQ3 2021","FQ3 2021","Currency=USD","Period=FQ","BEST_FPERIOD_OVERRIDE=FQ","FILING_STATUS=MR","SCALING_FORMAT=MLN","FA_ADJUSTED=Adjusted","Sort=A","Dates=H","DateFormat=P","Fill=—","Direction=H","UseDPDF=Y")</f>
        <v>187.63300000000001</v>
      </c>
      <c r="M12" s="19">
        <f>_xll.BDH("ALNY US Equity","SALES_REV_TURN","FQ4 2021","FQ4 2021","Currency=USD","Period=FQ","BEST_FPERIOD_OVERRIDE=FQ","FILING_STATUS=MR","SCALING_FORMAT=MLN","FA_ADJUSTED=Adjusted","Sort=A","Dates=H","DateFormat=P","Fill=—","Direction=H","UseDPDF=Y")</f>
        <v>258.53500000000003</v>
      </c>
      <c r="N12" s="19">
        <f>_xll.BDH("ALNY US Equity","SALES_REV_TURN","FQ1 2022","FQ1 2022","Currency=USD","Period=FQ","BEST_FPERIOD_OVERRIDE=FQ","FILING_STATUS=MR","SCALING_FORMAT=MLN","FA_ADJUSTED=Adjusted","Sort=A","Dates=H","DateFormat=P","Fill=—","Direction=H","UseDPDF=Y")</f>
        <v>213.25899999999999</v>
      </c>
      <c r="O12" s="19">
        <f>_xll.BDH("ALNY US Equity","SALES_REV_TURN","FQ2 2022","FQ2 2022","Currency=USD","Period=FQ","BEST_FPERIOD_OVERRIDE=FQ","FILING_STATUS=MR","SCALING_FORMAT=MLN","FA_ADJUSTED=Adjusted","Sort=A","Dates=H","DateFormat=P","Fill=—","Direction=H","UseDPDF=Y")</f>
        <v>224.81800000000001</v>
      </c>
      <c r="P12" s="19">
        <f>_xll.BDH("ALNY US Equity","SALES_REV_TURN","FQ3 2022","FQ3 2022","Currency=USD","Period=FQ","BEST_FPERIOD_OVERRIDE=FQ","FILING_STATUS=MR","SCALING_FORMAT=MLN","FA_ADJUSTED=Adjusted","Sort=A","Dates=H","DateFormat=P","Fill=—","Direction=H","UseDPDF=Y")</f>
        <v>264.30599999999998</v>
      </c>
      <c r="Q12" s="19">
        <f>_xll.BDH("ALNY US Equity","SALES_REV_TURN","FQ4 2022","FQ4 2022","Currency=USD","Period=FQ","BEST_FPERIOD_OVERRIDE=FQ","FILING_STATUS=MR","SCALING_FORMAT=MLN","FA_ADJUSTED=Adjusted","Sort=A","Dates=H","DateFormat=P","Fill=—","Direction=H","UseDPDF=Y")</f>
        <v>335.03500000000003</v>
      </c>
      <c r="R12" s="19">
        <f>_xll.BDH("ALNY US Equity","SALES_REV_TURN","FQ1 2023","FQ1 2023","Currency=USD","Period=FQ","BEST_FPERIOD_OVERRIDE=FQ","FILING_STATUS=MR","SCALING_FORMAT=MLN","FA_ADJUSTED=Adjusted","Sort=A","Dates=H","DateFormat=P","Fill=—","Direction=H","UseDPDF=Y")</f>
        <v>319.29000000000002</v>
      </c>
      <c r="S12" s="19">
        <f>_xll.BDH("ALNY US Equity","SALES_REV_TURN","FQ2 2023","FQ2 2023","Currency=USD","Period=FQ","BEST_FPERIOD_OVERRIDE=FQ","FILING_STATUS=MR","SCALING_FORMAT=MLN","FA_ADJUSTED=Adjusted","Sort=A","Dates=H","DateFormat=P","Fill=—","Direction=H","UseDPDF=Y")</f>
        <v>318.75400000000002</v>
      </c>
      <c r="T12" s="19">
        <f>_xll.BDH("ALNY US Equity","SALES_REV_TURN","FQ3 2023","FQ3 2023","Currency=USD","Period=FQ","BEST_FPERIOD_OVERRIDE=FQ","FILING_STATUS=MR","SCALING_FORMAT=MLN","FA_ADJUSTED=Adjusted","Sort=A","Dates=H","DateFormat=P","Fill=—","Direction=H","UseDPDF=Y")</f>
        <v>750.53</v>
      </c>
      <c r="U12" s="19">
        <f>_xll.BDH("ALNY US Equity","SALES_REV_TURN","FQ4 2023","FQ4 2023","Currency=USD","Period=FQ","BEST_FPERIOD_OVERRIDE=FQ","FILING_STATUS=MR","SCALING_FORMAT=MLN","FA_ADJUSTED=Adjusted","Sort=A","Dates=H","DateFormat=P","Fill=—","Direction=H","UseDPDF=Y")</f>
        <v>439.71800000000002</v>
      </c>
      <c r="V12" s="19">
        <f>_xll.BDH("ALNY US Equity","SALES_REV_TURN","FQ1 2024","FQ1 2024","Currency=USD","Period=FQ","BEST_FPERIOD_OVERRIDE=FQ","FILING_STATUS=MR","SCALING_FORMAT=MLN","FA_ADJUSTED=Adjusted","Sort=A","Dates=H","DateFormat=P","Fill=—","Direction=H","UseDPDF=Y")</f>
        <v>494.33300000000003</v>
      </c>
      <c r="W12" s="19">
        <f>_xll.BDH("ALNY US Equity","SALES_REV_TURN","FQ2 2024","FQ2 2024","Currency=USD","Period=FQ","BEST_FPERIOD_OVERRIDE=FQ","FILING_STATUS=MR","SCALING_FORMAT=MLN","FA_ADJUSTED=Adjusted","Sort=A","Dates=H","DateFormat=P","Fill=—","Direction=H","UseDPDF=Y")</f>
        <v>659.82500000000005</v>
      </c>
      <c r="X12" s="19">
        <f>_xll.BDH("ALNY US Equity","SALES_REV_TURN","FQ3 2024","FQ3 2024","Currency=USD","Period=FQ","BEST_FPERIOD_OVERRIDE=FQ","FILING_STATUS=MR","SCALING_FORMAT=MLN","FA_ADJUSTED=Adjusted","Sort=A","Dates=H","DateFormat=P","Fill=—","Direction=H","UseDPDF=Y")</f>
        <v>500.91899999999998</v>
      </c>
      <c r="Y12" s="19">
        <f>_xll.BDH("ALNY US Equity","SALES_REV_TURN","FQ4 2024","FQ4 2024","Currency=USD","Period=FQ","BEST_FPERIOD_OVERRIDE=FQ","FILING_STATUS=MR","SCALING_FORMAT=MLN","FA_ADJUSTED=Adjusted","Sort=A","Dates=H","DateFormat=P","Fill=—","Direction=H","UseDPDF=Y")</f>
        <v>593.16600000000005</v>
      </c>
      <c r="Z12" s="19">
        <v>583.59299999999996</v>
      </c>
      <c r="AA12" s="19">
        <v>631.77800000000002</v>
      </c>
    </row>
    <row r="13" spans="1:27" x14ac:dyDescent="0.25">
      <c r="A13" s="11" t="s">
        <v>72</v>
      </c>
      <c r="B13" s="11" t="s">
        <v>73</v>
      </c>
      <c r="C13" s="25">
        <f>_xll.BDH("ALNY US Equity","SALES_GROWTH","FQ2 2019","FQ2 2019","Currency=USD","Period=FQ","BEST_FPERIOD_OVERRIDE=FQ","FILING_STATUS=MR","FA_ADJUSTED=Adjusted","Sort=A","Dates=H","DateFormat=P","Fill=—","Direction=H","UseDPDF=Y")</f>
        <v>49.510100000000001</v>
      </c>
      <c r="D13" s="25">
        <f>_xll.BDH("ALNY US Equity","SALES_GROWTH","FQ3 2019","FQ3 2019","Currency=USD","Period=FQ","BEST_FPERIOD_OVERRIDE=FQ","FILING_STATUS=MR","FA_ADJUSTED=Adjusted","Sort=A","Dates=H","DateFormat=P","Fill=—","Direction=H","UseDPDF=Y")</f>
        <v>3286.2251999999999</v>
      </c>
      <c r="E13" s="25">
        <f>_xll.BDH("ALNY US Equity","SALES_GROWTH","FQ4 2019","FQ4 2019","Currency=USD","Period=FQ","BEST_FPERIOD_OVERRIDE=FQ","FILING_STATUS=MR","FA_ADJUSTED=Adjusted","Sort=A","Dates=H","DateFormat=P","Fill=—","Direction=H","UseDPDF=Y")</f>
        <v>240.80250000000001</v>
      </c>
      <c r="F13" s="25">
        <f>_xll.BDH("ALNY US Equity","SALES_GROWTH","FQ1 2020","FQ1 2020","Currency=USD","Period=FQ","BEST_FPERIOD_OVERRIDE=FQ","FILING_STATUS=MR","FA_ADJUSTED=Adjusted","Sort=A","Dates=H","DateFormat=P","Fill=—","Direction=H","UseDPDF=Y")</f>
        <v>198.78059999999999</v>
      </c>
      <c r="G13" s="25">
        <f>_xll.BDH("ALNY US Equity","SALES_GROWTH","FQ2 2020","FQ2 2020","Currency=USD","Period=FQ","BEST_FPERIOD_OVERRIDE=FQ","FILING_STATUS=MR","FA_ADJUSTED=Adjusted","Sort=A","Dates=H","DateFormat=P","Fill=—","Direction=H","UseDPDF=Y")</f>
        <v>132.5044</v>
      </c>
      <c r="H13" s="25">
        <f>_xll.BDH("ALNY US Equity","SALES_GROWTH","FQ3 2020","FQ3 2020","Currency=USD","Period=FQ","BEST_FPERIOD_OVERRIDE=FQ","FILING_STATUS=MR","FA_ADJUSTED=Adjusted","Sort=A","Dates=H","DateFormat=P","Fill=—","Direction=H","UseDPDF=Y")</f>
        <v>79.633499999999998</v>
      </c>
      <c r="I13" s="25">
        <f>_xll.BDH("ALNY US Equity","SALES_GROWTH","FQ4 2020","FQ4 2020","Currency=USD","Period=FQ","BEST_FPERIOD_OVERRIDE=FQ","FILING_STATUS=MR","FA_ADJUSTED=Adjusted","Sort=A","Dates=H","DateFormat=P","Fill=—","Direction=H","UseDPDF=Y")</f>
        <v>128.18039999999999</v>
      </c>
      <c r="J13" s="25">
        <f>_xll.BDH("ALNY US Equity","SALES_GROWTH","FQ1 2021","FQ1 2021","Currency=USD","Period=FQ","BEST_FPERIOD_OVERRIDE=FQ","FILING_STATUS=MR","FA_ADJUSTED=Adjusted","Sort=A","Dates=H","DateFormat=P","Fill=—","Direction=H","UseDPDF=Y")</f>
        <v>78.501300000000001</v>
      </c>
      <c r="K13" s="25">
        <f>_xll.BDH("ALNY US Equity","SALES_GROWTH","FQ2 2021","FQ2 2021","Currency=USD","Period=FQ","BEST_FPERIOD_OVERRIDE=FQ","FILING_STATUS=MR","FA_ADJUSTED=Adjusted","Sort=A","Dates=H","DateFormat=P","Fill=—","Direction=H","UseDPDF=Y")</f>
        <v>112.1477</v>
      </c>
      <c r="L13" s="25">
        <f>_xll.BDH("ALNY US Equity","SALES_GROWTH","FQ3 2021","FQ3 2021","Currency=USD","Period=FQ","BEST_FPERIOD_OVERRIDE=FQ","FILING_STATUS=MR","FA_ADJUSTED=Adjusted","Sort=A","Dates=H","DateFormat=P","Fill=—","Direction=H","UseDPDF=Y")</f>
        <v>49.088999999999999</v>
      </c>
      <c r="M13" s="25">
        <f>_xll.BDH("ALNY US Equity","SALES_GROWTH","FQ4 2021","FQ4 2021","Currency=USD","Period=FQ","BEST_FPERIOD_OVERRIDE=FQ","FILING_STATUS=MR","FA_ADJUSTED=Adjusted","Sort=A","Dates=H","DateFormat=P","Fill=—","Direction=H","UseDPDF=Y")</f>
        <v>58.065399999999997</v>
      </c>
      <c r="N13" s="25">
        <f>_xll.BDH("ALNY US Equity","SALES_GROWTH","FQ1 2022","FQ1 2022","Currency=USD","Period=FQ","BEST_FPERIOD_OVERRIDE=FQ","FILING_STATUS=MR","FA_ADJUSTED=Adjusted","Sort=A","Dates=H","DateFormat=P","Fill=—","Direction=H","UseDPDF=Y")</f>
        <v>20.101299999999998</v>
      </c>
      <c r="O13" s="25">
        <f>_xll.BDH("ALNY US Equity","SALES_GROWTH","FQ2 2022","FQ2 2022","Currency=USD","Period=FQ","BEST_FPERIOD_OVERRIDE=FQ","FILING_STATUS=MR","FA_ADJUSTED=Adjusted","Sort=A","Dates=H","DateFormat=P","Fill=—","Direction=H","UseDPDF=Y")</f>
        <v>1.9338</v>
      </c>
      <c r="P13" s="25">
        <f>_xll.BDH("ALNY US Equity","SALES_GROWTH","FQ3 2022","FQ3 2022","Currency=USD","Period=FQ","BEST_FPERIOD_OVERRIDE=FQ","FILING_STATUS=MR","FA_ADJUSTED=Adjusted","Sort=A","Dates=H","DateFormat=P","Fill=—","Direction=H","UseDPDF=Y")</f>
        <v>40.863300000000002</v>
      </c>
      <c r="Q13" s="25">
        <f>_xll.BDH("ALNY US Equity","SALES_GROWTH","FQ4 2022","FQ4 2022","Currency=USD","Period=FQ","BEST_FPERIOD_OVERRIDE=FQ","FILING_STATUS=MR","FA_ADJUSTED=Adjusted","Sort=A","Dates=H","DateFormat=P","Fill=—","Direction=H","UseDPDF=Y")</f>
        <v>29.5898</v>
      </c>
      <c r="R13" s="25">
        <f>_xll.BDH("ALNY US Equity","SALES_GROWTH","FQ1 2023","FQ1 2023","Currency=USD","Period=FQ","BEST_FPERIOD_OVERRIDE=FQ","FILING_STATUS=MR","FA_ADJUSTED=Adjusted","Sort=A","Dates=H","DateFormat=P","Fill=—","Direction=H","UseDPDF=Y")</f>
        <v>49.7194</v>
      </c>
      <c r="S13" s="25">
        <f>_xll.BDH("ALNY US Equity","SALES_GROWTH","FQ2 2023","FQ2 2023","Currency=USD","Period=FQ","BEST_FPERIOD_OVERRIDE=FQ","FILING_STATUS=MR","FA_ADJUSTED=Adjusted","Sort=A","Dates=H","DateFormat=P","Fill=—","Direction=H","UseDPDF=Y")</f>
        <v>41.783099999999997</v>
      </c>
      <c r="T13" s="25">
        <f>_xll.BDH("ALNY US Equity","SALES_GROWTH","FQ3 2023","FQ3 2023","Currency=USD","Period=FQ","BEST_FPERIOD_OVERRIDE=FQ","FILING_STATUS=MR","FA_ADJUSTED=Adjusted","Sort=A","Dates=H","DateFormat=P","Fill=—","Direction=H","UseDPDF=Y")</f>
        <v>183.96250000000001</v>
      </c>
      <c r="U13" s="25">
        <f>_xll.BDH("ALNY US Equity","SALES_GROWTH","FQ4 2023","FQ4 2023","Currency=USD","Period=FQ","BEST_FPERIOD_OVERRIDE=FQ","FILING_STATUS=MR","FA_ADJUSTED=Adjusted","Sort=A","Dates=H","DateFormat=P","Fill=—","Direction=H","UseDPDF=Y")</f>
        <v>31.2454</v>
      </c>
      <c r="V13" s="25">
        <f>_xll.BDH("ALNY US Equity","SALES_GROWTH","FQ1 2024","FQ1 2024","Currency=USD","Period=FQ","BEST_FPERIOD_OVERRIDE=FQ","FILING_STATUS=MR","FA_ADJUSTED=Adjusted","Sort=A","Dates=H","DateFormat=P","Fill=—","Direction=H","UseDPDF=Y")</f>
        <v>54.822600000000001</v>
      </c>
      <c r="W13" s="25">
        <f>_xll.BDH("ALNY US Equity","SALES_GROWTH","FQ2 2024","FQ2 2024","Currency=USD","Period=FQ","BEST_FPERIOD_OVERRIDE=FQ","FILING_STATUS=MR","FA_ADJUSTED=Adjusted","Sort=A","Dates=H","DateFormat=P","Fill=—","Direction=H","UseDPDF=Y")</f>
        <v>107.0013</v>
      </c>
      <c r="X13" s="25">
        <f>_xll.BDH("ALNY US Equity","SALES_GROWTH","FQ3 2024","FQ3 2024","Currency=USD","Period=FQ","BEST_FPERIOD_OVERRIDE=FQ","FILING_STATUS=MR","FA_ADJUSTED=Adjusted","Sort=A","Dates=H","DateFormat=P","Fill=—","Direction=H","UseDPDF=Y")</f>
        <v>-33.258000000000003</v>
      </c>
      <c r="Y13" s="25">
        <f>_xll.BDH("ALNY US Equity","SALES_GROWTH","FQ4 2024","FQ4 2024","Currency=USD","Period=FQ","BEST_FPERIOD_OVERRIDE=FQ","FILING_STATUS=MR","FA_ADJUSTED=Adjusted","Sort=A","Dates=H","DateFormat=P","Fill=—","Direction=H","UseDPDF=Y")</f>
        <v>34.896900000000002</v>
      </c>
      <c r="Z13" s="25">
        <v>18.056654117770801</v>
      </c>
      <c r="AA13" s="25">
        <v>-4.2506725268063503</v>
      </c>
    </row>
    <row r="14" spans="1:27" x14ac:dyDescent="0.25">
      <c r="A14" s="6" t="s">
        <v>74</v>
      </c>
      <c r="B14" s="6" t="s">
        <v>75</v>
      </c>
      <c r="C14" s="19">
        <f>_xll.BDH("ALNY US Equity","GROSS_PROFIT","FQ2 2019","FQ2 2019","Currency=USD","Period=FQ","BEST_FPERIOD_OVERRIDE=FQ","FILING_STATUS=MR","SCALING_FORMAT=MLN","FA_ADJUSTED=Adjusted","Sort=A","Dates=H","DateFormat=P","Fill=—","Direction=H","UseDPDF=Y")</f>
        <v>40.387999999999998</v>
      </c>
      <c r="D14" s="19">
        <f>_xll.BDH("ALNY US Equity","GROSS_PROFIT","FQ3 2019","FQ3 2019","Currency=USD","Period=FQ","BEST_FPERIOD_OVERRIDE=FQ","FILING_STATUS=MR","SCALING_FORMAT=MLN","FA_ADJUSTED=Adjusted","Sort=A","Dates=H","DateFormat=P","Fill=—","Direction=H","UseDPDF=Y")</f>
        <v>64.847999999999999</v>
      </c>
      <c r="E14" s="19">
        <f>_xll.BDH("ALNY US Equity","GROSS_PROFIT","FQ4 2019","FQ4 2019","Currency=USD","Period=FQ","BEST_FPERIOD_OVERRIDE=FQ","FILING_STATUS=MR","SCALING_FORMAT=MLN","FA_ADJUSTED=Adjusted","Sort=A","Dates=H","DateFormat=P","Fill=—","Direction=H","UseDPDF=Y")</f>
        <v>59.505000000000003</v>
      </c>
      <c r="F14" s="19">
        <f>_xll.BDH("ALNY US Equity","GROSS_PROFIT","FQ1 2020","FQ1 2020","Currency=USD","Period=FQ","BEST_FPERIOD_OVERRIDE=FQ","FILING_STATUS=MR","SCALING_FORMAT=MLN","FA_ADJUSTED=Adjusted","Sort=A","Dates=H","DateFormat=P","Fill=—","Direction=H","UseDPDF=Y")</f>
        <v>86.174000000000007</v>
      </c>
      <c r="G14" s="19">
        <f>_xll.BDH("ALNY US Equity","GROSS_PROFIT","FQ2 2020","FQ2 2020","Currency=USD","Period=FQ","BEST_FPERIOD_OVERRIDE=FQ","FILING_STATUS=MR","SCALING_FORMAT=MLN","FA_ADJUSTED=Adjusted","Sort=A","Dates=H","DateFormat=P","Fill=—","Direction=H","UseDPDF=Y")</f>
        <v>84.033000000000001</v>
      </c>
      <c r="H14" s="19">
        <f>_xll.BDH("ALNY US Equity","GROSS_PROFIT","FQ3 2020","FQ3 2020","Currency=USD","Period=FQ","BEST_FPERIOD_OVERRIDE=FQ","FILING_STATUS=MR","SCALING_FORMAT=MLN","FA_ADJUSTED=Adjusted","Sort=A","Dates=H","DateFormat=P","Fill=—","Direction=H","UseDPDF=Y")</f>
        <v>104.056</v>
      </c>
      <c r="I14" s="19">
        <f>_xll.BDH("ALNY US Equity","GROSS_PROFIT","FQ4 2020","FQ4 2020","Currency=USD","Period=FQ","BEST_FPERIOD_OVERRIDE=FQ","FILING_STATUS=MR","SCALING_FORMAT=MLN","FA_ADJUSTED=Adjusted","Sort=A","Dates=H","DateFormat=P","Fill=—","Direction=H","UseDPDF=Y")</f>
        <v>140.53800000000001</v>
      </c>
      <c r="J14" s="19">
        <f>_xll.BDH("ALNY US Equity","GROSS_PROFIT","FQ1 2021","FQ1 2021","Currency=USD","Period=FQ","BEST_FPERIOD_OVERRIDE=FQ","FILING_STATUS=MR","SCALING_FORMAT=MLN","FA_ADJUSTED=Adjusted","Sort=A","Dates=H","DateFormat=P","Fill=—","Direction=H","UseDPDF=Y")</f>
        <v>146.50399999999999</v>
      </c>
      <c r="K14" s="19">
        <f>_xll.BDH("ALNY US Equity","GROSS_PROFIT","FQ2 2021","FQ2 2021","Currency=USD","Period=FQ","BEST_FPERIOD_OVERRIDE=FQ","FILING_STATUS=MR","SCALING_FORMAT=MLN","FA_ADJUSTED=Adjusted","Sort=A","Dates=H","DateFormat=P","Fill=—","Direction=H","UseDPDF=Y")</f>
        <v>181.798</v>
      </c>
      <c r="L14" s="19">
        <f>_xll.BDH("ALNY US Equity","GROSS_PROFIT","FQ3 2021","FQ3 2021","Currency=USD","Period=FQ","BEST_FPERIOD_OVERRIDE=FQ","FILING_STATUS=MR","SCALING_FORMAT=MLN","FA_ADJUSTED=Adjusted","Sort=A","Dates=H","DateFormat=P","Fill=—","Direction=H","UseDPDF=Y")</f>
        <v>154.97</v>
      </c>
      <c r="M14" s="19">
        <f>_xll.BDH("ALNY US Equity","GROSS_PROFIT","FQ4 2021","FQ4 2021","Currency=USD","Period=FQ","BEST_FPERIOD_OVERRIDE=FQ","FILING_STATUS=MR","SCALING_FORMAT=MLN","FA_ADJUSTED=Adjusted","Sort=A","Dates=H","DateFormat=P","Fill=—","Direction=H","UseDPDF=Y")</f>
        <v>220.87100000000001</v>
      </c>
      <c r="N14" s="19">
        <f>_xll.BDH("ALNY US Equity","GROSS_PROFIT","FQ1 2022","FQ1 2022","Currency=USD","Period=FQ","BEST_FPERIOD_OVERRIDE=FQ","FILING_STATUS=MR","SCALING_FORMAT=MLN","FA_ADJUSTED=Adjusted","Sort=A","Dates=H","DateFormat=P","Fill=—","Direction=H","UseDPDF=Y")</f>
        <v>177.63200000000001</v>
      </c>
      <c r="O14" s="19">
        <f>_xll.BDH("ALNY US Equity","GROSS_PROFIT","FQ2 2022","FQ2 2022","Currency=USD","Period=FQ","BEST_FPERIOD_OVERRIDE=FQ","FILING_STATUS=MR","SCALING_FORMAT=MLN","FA_ADJUSTED=Adjusted","Sort=A","Dates=H","DateFormat=P","Fill=—","Direction=H","UseDPDF=Y")</f>
        <v>184.01</v>
      </c>
      <c r="P14" s="19">
        <f>_xll.BDH("ALNY US Equity","GROSS_PROFIT","FQ3 2022","FQ3 2022","Currency=USD","Period=FQ","BEST_FPERIOD_OVERRIDE=FQ","FILING_STATUS=MR","SCALING_FORMAT=MLN","FA_ADJUSTED=Adjusted","Sort=A","Dates=H","DateFormat=P","Fill=—","Direction=H","UseDPDF=Y")</f>
        <v>223.19</v>
      </c>
      <c r="Q14" s="19">
        <f>_xll.BDH("ALNY US Equity","GROSS_PROFIT","FQ4 2022","FQ4 2022","Currency=USD","Period=FQ","BEST_FPERIOD_OVERRIDE=FQ","FILING_STATUS=MR","SCALING_FORMAT=MLN","FA_ADJUSTED=Adjusted","Sort=A","Dates=H","DateFormat=P","Fill=—","Direction=H","UseDPDF=Y")</f>
        <v>283.76900000000001</v>
      </c>
      <c r="R14" s="19">
        <f>_xll.BDH("ALNY US Equity","GROSS_PROFIT","FQ1 2023","FQ1 2023","Currency=USD","Period=FQ","BEST_FPERIOD_OVERRIDE=FQ","FILING_STATUS=MR","SCALING_FORMAT=MLN","FA_ADJUSTED=Adjusted","Sort=A","Dates=H","DateFormat=P","Fill=—","Direction=H","UseDPDF=Y")</f>
        <v>264.42099999999999</v>
      </c>
      <c r="S14" s="19">
        <f>_xll.BDH("ALNY US Equity","GROSS_PROFIT","FQ2 2023","FQ2 2023","Currency=USD","Period=FQ","BEST_FPERIOD_OVERRIDE=FQ","FILING_STATUS=MR","SCALING_FORMAT=MLN","FA_ADJUSTED=Adjusted","Sort=A","Dates=H","DateFormat=P","Fill=—","Direction=H","UseDPDF=Y")</f>
        <v>233.38399999999999</v>
      </c>
      <c r="T14" s="19">
        <f>_xll.BDH("ALNY US Equity","GROSS_PROFIT","FQ3 2023","FQ3 2023","Currency=USD","Period=FQ","BEST_FPERIOD_OVERRIDE=FQ","FILING_STATUS=MR","SCALING_FORMAT=MLN","FA_ADJUSTED=Adjusted","Sort=A","Dates=H","DateFormat=P","Fill=—","Direction=H","UseDPDF=Y")</f>
        <v>666.221</v>
      </c>
      <c r="U14" s="19">
        <f>_xll.BDH("ALNY US Equity","GROSS_PROFIT","FQ4 2023","FQ4 2023","Currency=USD","Period=FQ","BEST_FPERIOD_OVERRIDE=FQ","FILING_STATUS=MR","SCALING_FORMAT=MLN","FA_ADJUSTED=Adjusted","Sort=A","Dates=H","DateFormat=P","Fill=—","Direction=H","UseDPDF=Y")</f>
        <v>353.86</v>
      </c>
      <c r="V14" s="19">
        <f>_xll.BDH("ALNY US Equity","GROSS_PROFIT","FQ1 2024","FQ1 2024","Currency=USD","Period=FQ","BEST_FPERIOD_OVERRIDE=FQ","FILING_STATUS=MR","SCALING_FORMAT=MLN","FA_ADJUSTED=Adjusted","Sort=A","Dates=H","DateFormat=P","Fill=—","Direction=H","UseDPDF=Y")</f>
        <v>428.35700000000003</v>
      </c>
      <c r="W14" s="19">
        <f>_xll.BDH("ALNY US Equity","GROSS_PROFIT","FQ2 2024","FQ2 2024","Currency=USD","Period=FQ","BEST_FPERIOD_OVERRIDE=FQ","FILING_STATUS=MR","SCALING_FORMAT=MLN","FA_ADJUSTED=Adjusted","Sort=A","Dates=H","DateFormat=P","Fill=—","Direction=H","UseDPDF=Y")</f>
        <v>591.15300000000002</v>
      </c>
      <c r="X14" s="19">
        <f>_xll.BDH("ALNY US Equity","GROSS_PROFIT","FQ3 2024","FQ3 2024","Currency=USD","Period=FQ","BEST_FPERIOD_OVERRIDE=FQ","FILING_STATUS=MR","SCALING_FORMAT=MLN","FA_ADJUSTED=Adjusted","Sort=A","Dates=H","DateFormat=P","Fill=—","Direction=H","UseDPDF=Y")</f>
        <v>415.01400000000001</v>
      </c>
      <c r="Y14" s="19">
        <f>_xll.BDH("ALNY US Equity","GROSS_PROFIT","FQ4 2024","FQ4 2024","Currency=USD","Period=FQ","BEST_FPERIOD_OVERRIDE=FQ","FILING_STATUS=MR","SCALING_FORMAT=MLN","FA_ADJUSTED=Adjusted","Sort=A","Dates=H","DateFormat=P","Fill=—","Direction=H","UseDPDF=Y")</f>
        <v>490.34899999999999</v>
      </c>
      <c r="Z14" s="19">
        <v>475.73917767</v>
      </c>
      <c r="AA14" s="19">
        <v>512.76366036000002</v>
      </c>
    </row>
    <row r="15" spans="1:27" x14ac:dyDescent="0.25">
      <c r="A15" s="11" t="s">
        <v>76</v>
      </c>
      <c r="B15" s="11" t="s">
        <v>75</v>
      </c>
      <c r="C15" s="25">
        <v>90.325177796663198</v>
      </c>
      <c r="D15" s="25">
        <v>92.5593411455731</v>
      </c>
      <c r="E15" s="25">
        <v>83.013629832173095</v>
      </c>
      <c r="F15" s="25">
        <v>86.627930355060499</v>
      </c>
      <c r="G15" s="25">
        <v>80.830495758065396</v>
      </c>
      <c r="H15" s="25">
        <v>82.680587669741698</v>
      </c>
      <c r="I15" s="25">
        <v>85.923380736356904</v>
      </c>
      <c r="J15" s="25">
        <v>82.506786209071507</v>
      </c>
      <c r="K15" s="25">
        <v>82.428259874043903</v>
      </c>
      <c r="L15" s="25">
        <v>82.592081350295501</v>
      </c>
      <c r="M15" s="25">
        <v>85.431759723054896</v>
      </c>
      <c r="N15" s="25">
        <v>83.2940227610558</v>
      </c>
      <c r="O15" s="25">
        <v>81.848428506614198</v>
      </c>
      <c r="P15" s="25">
        <v>84.443788638926094</v>
      </c>
      <c r="Q15" s="25">
        <v>84.698315101407303</v>
      </c>
      <c r="R15" s="25">
        <v>82.815308966770004</v>
      </c>
      <c r="S15" s="25">
        <v>73.217590994936501</v>
      </c>
      <c r="T15" s="25">
        <v>88.766738171691998</v>
      </c>
      <c r="U15" s="25">
        <v>80.474303985736299</v>
      </c>
      <c r="V15" s="25">
        <v>86.653531121733707</v>
      </c>
      <c r="W15" s="25">
        <v>89.592391922100603</v>
      </c>
      <c r="X15" s="25">
        <v>82.850520742874593</v>
      </c>
      <c r="Y15" s="25">
        <v>82.666403671147705</v>
      </c>
      <c r="Z15" s="25">
        <v>81.519000000000005</v>
      </c>
      <c r="AA15" s="25">
        <v>81.162000000000006</v>
      </c>
    </row>
    <row r="16" spans="1:27" x14ac:dyDescent="0.25">
      <c r="A16" s="6" t="s">
        <v>77</v>
      </c>
      <c r="B16" s="6" t="s">
        <v>78</v>
      </c>
      <c r="C16" s="19">
        <f>_xll.BDH("ALNY US Equity","EBITDA","FQ2 2019","FQ2 2019","Currency=USD","Period=FQ","BEST_FPERIOD_OVERRIDE=FQ","FILING_STATUS=MR","SCALING_FORMAT=MLN","FA_ADJUSTED=Adjusted","Sort=A","Dates=H","DateFormat=P","Fill=—","Direction=H","UseDPDF=Y")</f>
        <v>-217.23500000000001</v>
      </c>
      <c r="D16" s="19">
        <f>_xll.BDH("ALNY US Equity","EBITDA","FQ3 2019","FQ3 2019","Currency=USD","Period=FQ","BEST_FPERIOD_OVERRIDE=FQ","FILING_STATUS=MR","SCALING_FORMAT=MLN","FA_ADJUSTED=Adjusted","Sort=A","Dates=H","DateFormat=P","Fill=—","Direction=H","UseDPDF=Y")</f>
        <v>-189.36600000000001</v>
      </c>
      <c r="E16" s="19">
        <f>_xll.BDH("ALNY US Equity","EBITDA","FQ4 2019","FQ4 2019","Currency=USD","Period=FQ","BEST_FPERIOD_OVERRIDE=FQ","FILING_STATUS=MR","SCALING_FORMAT=MLN","FA_ADJUSTED=Adjusted","Sort=A","Dates=H","DateFormat=P","Fill=—","Direction=H","UseDPDF=Y")</f>
        <v>-272.56099999999998</v>
      </c>
      <c r="F16" s="19">
        <f>_xll.BDH("ALNY US Equity","EBITDA","FQ1 2020","FQ1 2020","Currency=USD","Period=FQ","BEST_FPERIOD_OVERRIDE=FQ","FILING_STATUS=MR","SCALING_FORMAT=MLN","FA_ADJUSTED=Adjusted","Sort=A","Dates=H","DateFormat=P","Fill=—","Direction=H","UseDPDF=Y")</f>
        <v>-193.15199999999999</v>
      </c>
      <c r="G16" s="19">
        <f>_xll.BDH("ALNY US Equity","EBITDA","FQ2 2020","FQ2 2020","Currency=USD","Period=FQ","BEST_FPERIOD_OVERRIDE=FQ","FILING_STATUS=MR","SCALING_FORMAT=MLN","FA_ADJUSTED=Adjusted","Sort=A","Dates=H","DateFormat=P","Fill=—","Direction=H","UseDPDF=Y")</f>
        <v>-181.8937</v>
      </c>
      <c r="H16" s="19">
        <f>_xll.BDH("ALNY US Equity","EBITDA","FQ3 2020","FQ3 2020","Currency=USD","Period=FQ","BEST_FPERIOD_OVERRIDE=FQ","FILING_STATUS=MR","SCALING_FORMAT=MLN","FA_ADJUSTED=Adjusted","Sort=A","Dates=H","DateFormat=P","Fill=—","Direction=H","UseDPDF=Y")</f>
        <v>-177.01499999999999</v>
      </c>
      <c r="I16" s="19">
        <f>_xll.BDH("ALNY US Equity","EBITDA","FQ4 2020","FQ4 2020","Currency=USD","Period=FQ","BEST_FPERIOD_OVERRIDE=FQ","FILING_STATUS=MR","SCALING_FORMAT=MLN","FA_ADJUSTED=Adjusted","Sort=A","Dates=H","DateFormat=P","Fill=—","Direction=H","UseDPDF=Y")</f>
        <v>-163.126</v>
      </c>
      <c r="J16" s="19">
        <f>_xll.BDH("ALNY US Equity","EBITDA","FQ1 2021","FQ1 2021","Currency=USD","Period=FQ","BEST_FPERIOD_OVERRIDE=FQ","FILING_STATUS=MR","SCALING_FORMAT=MLN","FA_ADJUSTED=Adjusted","Sort=A","Dates=H","DateFormat=P","Fill=—","Direction=H","UseDPDF=Y")</f>
        <v>-163.392</v>
      </c>
      <c r="K16" s="19">
        <f>_xll.BDH("ALNY US Equity","EBITDA","FQ2 2021","FQ2 2021","Currency=USD","Period=FQ","BEST_FPERIOD_OVERRIDE=FQ","FILING_STATUS=MR","SCALING_FORMAT=MLN","FA_ADJUSTED=Adjusted","Sort=A","Dates=H","DateFormat=P","Fill=—","Direction=H","UseDPDF=Y")</f>
        <v>-123.999</v>
      </c>
      <c r="L16" s="19">
        <f>_xll.BDH("ALNY US Equity","EBITDA","FQ3 2021","FQ3 2021","Currency=USD","Period=FQ","BEST_FPERIOD_OVERRIDE=FQ","FILING_STATUS=MR","SCALING_FORMAT=MLN","FA_ADJUSTED=Adjusted","Sort=A","Dates=H","DateFormat=P","Fill=—","Direction=H","UseDPDF=Y")</f>
        <v>-148.45699999999999</v>
      </c>
      <c r="M16" s="19">
        <f>_xll.BDH("ALNY US Equity","EBITDA","FQ4 2021","FQ4 2021","Currency=USD","Period=FQ","BEST_FPERIOD_OVERRIDE=FQ","FILING_STATUS=MR","SCALING_FORMAT=MLN","FA_ADJUSTED=Adjusted","Sort=A","Dates=H","DateFormat=P","Fill=—","Direction=H","UseDPDF=Y")</f>
        <v>-173.11</v>
      </c>
      <c r="N16" s="19">
        <f>_xll.BDH("ALNY US Equity","EBITDA","FQ1 2022","FQ1 2022","Currency=USD","Period=FQ","BEST_FPERIOD_OVERRIDE=FQ","FILING_STATUS=MR","SCALING_FORMAT=MLN","FA_ADJUSTED=Adjusted","Sort=A","Dates=H","DateFormat=P","Fill=—","Direction=H","UseDPDF=Y")</f>
        <v>-126.95399999999999</v>
      </c>
      <c r="O16" s="19">
        <f>_xll.BDH("ALNY US Equity","EBITDA","FQ2 2022","FQ2 2022","Currency=USD","Period=FQ","BEST_FPERIOD_OVERRIDE=FQ","FILING_STATUS=MR","SCALING_FORMAT=MLN","FA_ADJUSTED=Adjusted","Sort=A","Dates=H","DateFormat=P","Fill=—","Direction=H","UseDPDF=Y")</f>
        <v>-171.44900000000001</v>
      </c>
      <c r="P16" s="19">
        <f>_xll.BDH("ALNY US Equity","EBITDA","FQ3 2022","FQ3 2022","Currency=USD","Period=FQ","BEST_FPERIOD_OVERRIDE=FQ","FILING_STATUS=MR","SCALING_FORMAT=MLN","FA_ADJUSTED=Adjusted","Sort=A","Dates=H","DateFormat=P","Fill=—","Direction=H","UseDPDF=Y")</f>
        <v>-237.39</v>
      </c>
      <c r="Q16" s="19">
        <f>_xll.BDH("ALNY US Equity","EBITDA","FQ4 2022","FQ4 2022","Currency=USD","Period=FQ","BEST_FPERIOD_OVERRIDE=FQ","FILING_STATUS=MR","SCALING_FORMAT=MLN","FA_ADJUSTED=Adjusted","Sort=A","Dates=H","DateFormat=P","Fill=—","Direction=H","UseDPDF=Y")</f>
        <v>-163.72900000000001</v>
      </c>
      <c r="R16" s="19">
        <f>_xll.BDH("ALNY US Equity","EBITDA","FQ1 2023","FQ1 2023","Currency=USD","Period=FQ","BEST_FPERIOD_OVERRIDE=FQ","FILING_STATUS=MR","SCALING_FORMAT=MLN","FA_ADJUSTED=Adjusted","Sort=A","Dates=H","DateFormat=P","Fill=—","Direction=H","UseDPDF=Y")</f>
        <v>-123.72799999999999</v>
      </c>
      <c r="S16" s="19">
        <f>_xll.BDH("ALNY US Equity","EBITDA","FQ2 2023","FQ2 2023","Currency=USD","Period=FQ","BEST_FPERIOD_OVERRIDE=FQ","FILING_STATUS=MR","SCALING_FORMAT=MLN","FA_ADJUSTED=Adjusted","Sort=A","Dates=H","DateFormat=P","Fill=—","Direction=H","UseDPDF=Y")</f>
        <v>-206.38399999999999</v>
      </c>
      <c r="T16" s="19">
        <f>_xll.BDH("ALNY US Equity","EBITDA","FQ3 2023","FQ3 2023","Currency=USD","Period=FQ","BEST_FPERIOD_OVERRIDE=FQ","FILING_STATUS=MR","SCALING_FORMAT=MLN","FA_ADJUSTED=Adjusted","Sort=A","Dates=H","DateFormat=P","Fill=—","Direction=H","UseDPDF=Y")</f>
        <v>237.399</v>
      </c>
      <c r="U16" s="19">
        <f>_xll.BDH("ALNY US Equity","EBITDA","FQ4 2023","FQ4 2023","Currency=USD","Period=FQ","BEST_FPERIOD_OVERRIDE=FQ","FILING_STATUS=MR","SCALING_FORMAT=MLN","FA_ADJUSTED=Adjusted","Sort=A","Dates=H","DateFormat=P","Fill=—","Direction=H","UseDPDF=Y")</f>
        <v>-92.430999999999997</v>
      </c>
      <c r="V16" s="19">
        <f>_xll.BDH("ALNY US Equity","EBITDA","FQ1 2024","FQ1 2024","Currency=USD","Period=FQ","BEST_FPERIOD_OVERRIDE=FQ","FILING_STATUS=MR","SCALING_FORMAT=MLN","FA_ADJUSTED=Adjusted","Sort=A","Dates=H","DateFormat=P","Fill=—","Direction=H","UseDPDF=Y")</f>
        <v>-17.949000000000002</v>
      </c>
      <c r="W16" s="19">
        <f>_xll.BDH("ALNY US Equity","EBITDA","FQ2 2024","FQ2 2024","Currency=USD","Period=FQ","BEST_FPERIOD_OVERRIDE=FQ","FILING_STATUS=MR","SCALING_FORMAT=MLN","FA_ADJUSTED=Adjusted","Sort=A","Dates=H","DateFormat=P","Fill=—","Direction=H","UseDPDF=Y")</f>
        <v>73.305999999999997</v>
      </c>
      <c r="X16" s="19">
        <f>_xll.BDH("ALNY US Equity","EBITDA","FQ3 2024","FQ3 2024","Currency=USD","Period=FQ","BEST_FPERIOD_OVERRIDE=FQ","FILING_STATUS=MR","SCALING_FORMAT=MLN","FA_ADJUSTED=Adjusted","Sort=A","Dates=H","DateFormat=P","Fill=—","Direction=H","UseDPDF=Y")</f>
        <v>-49.866999999999997</v>
      </c>
      <c r="Y16" s="19">
        <f>_xll.BDH("ALNY US Equity","EBITDA","FQ4 2024","FQ4 2024","Currency=USD","Period=FQ","BEST_FPERIOD_OVERRIDE=FQ","FILING_STATUS=MR","SCALING_FORMAT=MLN","FA_ADJUSTED=Adjusted","Sort=A","Dates=H","DateFormat=P","Fill=—","Direction=H","UseDPDF=Y")</f>
        <v>-90.991</v>
      </c>
      <c r="Z16" s="19">
        <v>-89.875</v>
      </c>
      <c r="AA16" s="19">
        <v>-68.125</v>
      </c>
    </row>
    <row r="17" spans="1:27" x14ac:dyDescent="0.25">
      <c r="A17" s="11" t="s">
        <v>76</v>
      </c>
      <c r="B17" s="11" t="s">
        <v>78</v>
      </c>
      <c r="C17" s="25">
        <v>-485.83217784139202</v>
      </c>
      <c r="D17" s="25">
        <v>-270.28732104879998</v>
      </c>
      <c r="E17" s="25">
        <v>-380.241626093386</v>
      </c>
      <c r="F17" s="25">
        <v>-194.169447907033</v>
      </c>
      <c r="G17" s="25">
        <v>-174.96167638175501</v>
      </c>
      <c r="H17" s="25">
        <v>-140.65218945913099</v>
      </c>
      <c r="I17" s="25">
        <v>-99.733434416307006</v>
      </c>
      <c r="J17" s="25">
        <v>-92.017615985042198</v>
      </c>
      <c r="K17" s="25">
        <v>-56.221860505184701</v>
      </c>
      <c r="L17" s="25">
        <v>-79.120943544046099</v>
      </c>
      <c r="M17" s="25">
        <v>-66.958052101262894</v>
      </c>
      <c r="N17" s="25">
        <v>-59.530430134249897</v>
      </c>
      <c r="O17" s="25">
        <v>-76.261242427207804</v>
      </c>
      <c r="P17" s="25">
        <v>-89.816349231572502</v>
      </c>
      <c r="Q17" s="25">
        <v>-48.869222618532397</v>
      </c>
      <c r="R17" s="25">
        <v>-38.750978734066202</v>
      </c>
      <c r="S17" s="25">
        <v>-64.747109055886398</v>
      </c>
      <c r="T17" s="25">
        <v>31.630847534409</v>
      </c>
      <c r="U17" s="25">
        <v>-21.020517695432101</v>
      </c>
      <c r="V17" s="25">
        <v>-3.6309532238389899</v>
      </c>
      <c r="W17" s="25">
        <v>11.1099155078998</v>
      </c>
      <c r="X17" s="25">
        <v>-9.9551025215653599</v>
      </c>
      <c r="Y17" s="25">
        <v>-15.339887990882801</v>
      </c>
      <c r="Z17" s="25">
        <v>-15.400287529151299</v>
      </c>
      <c r="AA17" s="25">
        <v>-10.783059872296899</v>
      </c>
    </row>
    <row r="18" spans="1:27" x14ac:dyDescent="0.25">
      <c r="A18" s="6" t="s">
        <v>79</v>
      </c>
      <c r="B18" s="6" t="s">
        <v>80</v>
      </c>
      <c r="C18" s="19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D18" s="19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E18" s="19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F18" s="19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G18" s="19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H18" s="19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I18" s="19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J18" s="19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K18" s="19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L18" s="19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M18" s="19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N18" s="19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O18" s="19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P18" s="19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Q18" s="19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R18" s="19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S18" s="19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T18" s="19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U18" s="19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V18" s="19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W18" s="19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X18" s="19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Y18" s="19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  <c r="Z18" s="19">
        <v>-31.765000000000001</v>
      </c>
      <c r="AA18" s="19">
        <v>-29.167999999999999</v>
      </c>
    </row>
    <row r="19" spans="1:27" x14ac:dyDescent="0.25">
      <c r="A19" s="11" t="s">
        <v>76</v>
      </c>
      <c r="B19" s="11" t="s">
        <v>80</v>
      </c>
      <c r="C19" s="25">
        <v>-511.92691327101102</v>
      </c>
      <c r="D19" s="25">
        <v>-297.647764091292</v>
      </c>
      <c r="E19" s="25">
        <v>-401.01561083132202</v>
      </c>
      <c r="F19" s="25">
        <v>-207.4188749045</v>
      </c>
      <c r="G19" s="25">
        <v>-216.50506915988501</v>
      </c>
      <c r="H19" s="25">
        <v>-175.49124772552099</v>
      </c>
      <c r="I19" s="25">
        <v>-134.95799757890001</v>
      </c>
      <c r="J19" s="25">
        <v>-139.27610015430901</v>
      </c>
      <c r="K19" s="25">
        <v>-83.936740828734997</v>
      </c>
      <c r="L19" s="25">
        <v>-113.62873268561501</v>
      </c>
      <c r="M19" s="25">
        <v>-97.813448856054293</v>
      </c>
      <c r="N19" s="25">
        <v>-98.087302294393197</v>
      </c>
      <c r="O19" s="25">
        <v>-122.901635990001</v>
      </c>
      <c r="P19" s="25">
        <v>-121.63325842016501</v>
      </c>
      <c r="Q19" s="25">
        <v>-63.960183264435102</v>
      </c>
      <c r="R19" s="25">
        <v>-53.817532650568403</v>
      </c>
      <c r="S19" s="25">
        <v>-87.033888202187299</v>
      </c>
      <c r="T19" s="25">
        <v>21.930768923294199</v>
      </c>
      <c r="U19" s="25">
        <v>-31.528616067570599</v>
      </c>
      <c r="V19" s="25">
        <v>-13.3539537113646</v>
      </c>
      <c r="W19" s="25">
        <v>-2.3524419353616501</v>
      </c>
      <c r="X19" s="25">
        <v>-21.9602370842392</v>
      </c>
      <c r="Y19" s="25">
        <v>-14.0933566657563</v>
      </c>
      <c r="Z19" s="25">
        <v>-5.4430056563392597</v>
      </c>
      <c r="AA19" s="25">
        <v>-4.6168116015435796</v>
      </c>
    </row>
    <row r="20" spans="1:27" x14ac:dyDescent="0.25">
      <c r="A20" s="6" t="s">
        <v>81</v>
      </c>
      <c r="B20" s="6" t="s">
        <v>82</v>
      </c>
      <c r="C20" s="20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D20" s="20">
        <f>_xll.BDH("ALNY US Equity","IS_DIL_EPS_CONT_OPS","FQ3 2019","FQ3 2019","Currency=USD","Period=FQ","BEST_FPERIOD_OVERRIDE=FQ","FILING_STATUS=MR","Sort=A","Dates=H","DateFormat=P","Fill=—","Direction=H","UseDPDF=Y")</f>
        <v>-1.92</v>
      </c>
      <c r="E20" s="20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F20" s="20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G20" s="20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H20" s="20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I20" s="20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J20" s="20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K20" s="20">
        <f>_xll.BDH("ALNY US Equity","IS_DIL_EPS_CONT_OPS","FQ2 2021","FQ2 2021","Currency=USD","Period=FQ","BEST_FPERIOD_OVERRIDE=FQ","FILING_STATUS=MR","Sort=A","Dates=H","DateFormat=P","Fill=—","Direction=H","UseDPDF=Y")</f>
        <v>-1.5724</v>
      </c>
      <c r="L20" s="20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M20" s="20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N20" s="20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O20" s="20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P20" s="20">
        <f>_xll.BDH("ALNY US Equity","IS_DIL_EPS_CONT_OPS","FQ3 2022","FQ3 2022","Currency=USD","Period=FQ","BEST_FPERIOD_OVERRIDE=FQ","FILING_STATUS=MR","Sort=A","Dates=H","DateFormat=P","Fill=—","Direction=H","UseDPDF=Y")</f>
        <v>-2.6315</v>
      </c>
      <c r="Q20" s="20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R20" s="20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S20" s="20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T20" s="20">
        <f>_xll.BDH("ALNY US Equity","IS_DIL_EPS_CONT_OPS","FQ3 2023","FQ3 2023","Currency=USD","Period=FQ","BEST_FPERIOD_OVERRIDE=FQ","FILING_STATUS=MR","Sort=A","Dates=H","DateFormat=P","Fill=—","Direction=H","UseDPDF=Y")</f>
        <v>1.2783</v>
      </c>
      <c r="U20" s="20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V20" s="20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W20" s="20">
        <f>_xll.BDH("ALNY US Equity","IS_DIL_EPS_CONT_OPS","FQ2 2024","FQ2 2024","Currency=USD","Period=FQ","BEST_FPERIOD_OVERRIDE=FQ","FILING_STATUS=MR","Sort=A","Dates=H","DateFormat=P","Fill=—","Direction=H","UseDPDF=Y")</f>
        <v>-0.1225</v>
      </c>
      <c r="X20" s="20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Y20" s="20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  <c r="Z20" s="20">
        <v>-0.46400000000000002</v>
      </c>
      <c r="AA20" s="20">
        <v>-0.39400000000000002</v>
      </c>
    </row>
    <row r="21" spans="1:27" x14ac:dyDescent="0.25">
      <c r="A21" s="11" t="s">
        <v>72</v>
      </c>
      <c r="B21" s="11" t="s">
        <v>83</v>
      </c>
      <c r="C21" s="26">
        <f>_xll.BDH("ALNY US Equity","DILUTED_EPS_AFT_XO_ITEMS_GROWTH","FQ2 2019","FQ2 2019","Currency=USD","Period=FQ","BEST_FPERIOD_OVERRIDE=FQ","FILING_STATUS=MR","FA_ADJUSTED=Adjusted","Sort=A","Dates=H","DateFormat=P","Fill=—","Direction=H","UseDPDF=Y")</f>
        <v>-14.9162</v>
      </c>
      <c r="D21" s="26">
        <f>_xll.BDH("ALNY US Equity","DILUTED_EPS_AFT_XO_ITEMS_GROWTH","FQ3 2019","FQ3 2019","Currency=USD","Period=FQ","BEST_FPERIOD_OVERRIDE=FQ","FILING_STATUS=MR","FA_ADJUSTED=Adjusted","Sort=A","Dates=H","DateFormat=P","Fill=—","Direction=H","UseDPDF=Y")</f>
        <v>20.9877</v>
      </c>
      <c r="E21" s="26">
        <f>_xll.BDH("ALNY US Equity","DILUTED_EPS_AFT_XO_ITEMS_GROWTH","FQ4 2019","FQ4 2019","Currency=USD","Period=FQ","BEST_FPERIOD_OVERRIDE=FQ","FILING_STATUS=MR","FA_ADJUSTED=Adjusted","Sort=A","Dates=H","DateFormat=P","Fill=—","Direction=H","UseDPDF=Y")</f>
        <v>-23.075500000000002</v>
      </c>
      <c r="F21" s="26">
        <f>_xll.BDH("ALNY US Equity","DILUTED_EPS_AFT_XO_ITEMS_GROWTH","FQ1 2020","FQ1 2020","Currency=USD","Period=FQ","BEST_FPERIOD_OVERRIDE=FQ","FILING_STATUS=MR","FA_ADJUSTED=Adjusted","Sort=A","Dates=H","DateFormat=P","Fill=—","Direction=H","UseDPDF=Y")</f>
        <v>-6.0027999999999997</v>
      </c>
      <c r="G21" s="26">
        <f>_xll.BDH("ALNY US Equity","DILUTED_EPS_AFT_XO_ITEMS_GROWTH","FQ2 2020","FQ2 2020","Currency=USD","Period=FQ","BEST_FPERIOD_OVERRIDE=FQ","FILING_STATUS=MR","FA_ADJUSTED=Adjusted","Sort=A","Dates=H","DateFormat=P","Fill=—","Direction=H","UseDPDF=Y")</f>
        <v>7.0765000000000002</v>
      </c>
      <c r="H21" s="26">
        <f>_xll.BDH("ALNY US Equity","DILUTED_EPS_AFT_XO_ITEMS_GROWTH","FQ3 2020","FQ3 2020","Currency=USD","Period=FQ","BEST_FPERIOD_OVERRIDE=FQ","FILING_STATUS=MR","FA_ADJUSTED=Adjusted","Sort=A","Dates=H","DateFormat=P","Fill=—","Direction=H","UseDPDF=Y")</f>
        <v>0.82269999999999999</v>
      </c>
      <c r="I21" s="26">
        <f>_xll.BDH("ALNY US Equity","DILUTED_EPS_AFT_XO_ITEMS_GROWTH","FQ4 2020","FQ4 2020","Currency=USD","Period=FQ","BEST_FPERIOD_OVERRIDE=FQ","FILING_STATUS=MR","FA_ADJUSTED=Adjusted","Sort=A","Dates=H","DateFormat=P","Fill=—","Direction=H","UseDPDF=Y")</f>
        <v>26.195900000000002</v>
      </c>
      <c r="J21" s="26">
        <f>_xll.BDH("ALNY US Equity","DILUTED_EPS_AFT_XO_ITEMS_GROWTH","FQ1 2021","FQ1 2021","Currency=USD","Period=FQ","BEST_FPERIOD_OVERRIDE=FQ","FILING_STATUS=MR","FA_ADJUSTED=Adjusted","Sort=A","Dates=H","DateFormat=P","Fill=—","Direction=H","UseDPDF=Y")</f>
        <v>-15.1835</v>
      </c>
      <c r="K21" s="26">
        <f>_xll.BDH("ALNY US Equity","DILUTED_EPS_AFT_XO_ITEMS_GROWTH","FQ2 2021","FQ2 2021","Currency=USD","Period=FQ","BEST_FPERIOD_OVERRIDE=FQ","FILING_STATUS=MR","FA_ADJUSTED=Adjusted","Sort=A","Dates=H","DateFormat=P","Fill=—","Direction=H","UseDPDF=Y")</f>
        <v>19.738700000000001</v>
      </c>
      <c r="L21" s="26">
        <f>_xll.BDH("ALNY US Equity","DILUTED_EPS_AFT_XO_ITEMS_GROWTH","FQ3 2021","FQ3 2021","Currency=USD","Period=FQ","BEST_FPERIOD_OVERRIDE=FQ","FILING_STATUS=MR","FA_ADJUSTED=Adjusted","Sort=A","Dates=H","DateFormat=P","Fill=—","Direction=H","UseDPDF=Y")</f>
        <v>5.8426999999999998</v>
      </c>
      <c r="M21" s="26">
        <f>_xll.BDH("ALNY US Equity","DILUTED_EPS_AFT_XO_ITEMS_GROWTH","FQ4 2021","FQ4 2021","Currency=USD","Period=FQ","BEST_FPERIOD_OVERRIDE=FQ","FILING_STATUS=MR","FA_ADJUSTED=Adjusted","Sort=A","Dates=H","DateFormat=P","Fill=—","Direction=H","UseDPDF=Y")</f>
        <v>-11.3241</v>
      </c>
      <c r="N21" s="26">
        <f>_xll.BDH("ALNY US Equity","DILUTED_EPS_AFT_XO_ITEMS_GROWTH","FQ1 2022","FQ1 2022","Currency=USD","Period=FQ","BEST_FPERIOD_OVERRIDE=FQ","FILING_STATUS=MR","FA_ADJUSTED=Adjusted","Sort=A","Dates=H","DateFormat=P","Fill=—","Direction=H","UseDPDF=Y")</f>
        <v>17.569500000000001</v>
      </c>
      <c r="O21" s="26">
        <f>_xll.BDH("ALNY US Equity","DILUTED_EPS_AFT_XO_ITEMS_GROWTH","FQ2 2022","FQ2 2022","Currency=USD","Period=FQ","BEST_FPERIOD_OVERRIDE=FQ","FILING_STATUS=MR","FA_ADJUSTED=Adjusted","Sort=A","Dates=H","DateFormat=P","Fill=—","Direction=H","UseDPDF=Y")</f>
        <v>-45.354100000000003</v>
      </c>
      <c r="P21" s="26">
        <f>_xll.BDH("ALNY US Equity","DILUTED_EPS_AFT_XO_ITEMS_GROWTH","FQ3 2022","FQ3 2022","Currency=USD","Period=FQ","BEST_FPERIOD_OVERRIDE=FQ","FILING_STATUS=MR","FA_ADJUSTED=Adjusted","Sort=A","Dates=H","DateFormat=P","Fill=—","Direction=H","UseDPDF=Y")</f>
        <v>-46.7714</v>
      </c>
      <c r="Q21" s="26">
        <f>_xll.BDH("ALNY US Equity","DILUTED_EPS_AFT_XO_ITEMS_GROWTH","FQ4 2022","FQ4 2022","Currency=USD","Period=FQ","BEST_FPERIOD_OVERRIDE=FQ","FILING_STATUS=MR","FA_ADJUSTED=Adjusted","Sort=A","Dates=H","DateFormat=P","Fill=—","Direction=H","UseDPDF=Y")</f>
        <v>17.7438</v>
      </c>
      <c r="R21" s="26">
        <f>_xll.BDH("ALNY US Equity","DILUTED_EPS_AFT_XO_ITEMS_GROWTH","FQ1 2023","FQ1 2023","Currency=USD","Period=FQ","BEST_FPERIOD_OVERRIDE=FQ","FILING_STATUS=MR","FA_ADJUSTED=Adjusted","Sort=A","Dates=H","DateFormat=P","Fill=—","Direction=H","UseDPDF=Y")</f>
        <v>20.483499999999999</v>
      </c>
      <c r="S21" s="26">
        <f>_xll.BDH("ALNY US Equity","DILUTED_EPS_AFT_XO_ITEMS_GROWTH","FQ2 2023","FQ2 2023","Currency=USD","Period=FQ","BEST_FPERIOD_OVERRIDE=FQ","FILING_STATUS=MR","FA_ADJUSTED=Adjusted","Sort=A","Dates=H","DateFormat=P","Fill=—","Direction=H","UseDPDF=Y")</f>
        <v>2.6259000000000001</v>
      </c>
      <c r="T21" s="26" t="str">
        <f>_xll.BDH("ALNY US Equity","DILUTED_EPS_AFT_XO_ITEMS_GROWTH","FQ3 2023","FQ3 2023","Currency=USD","Period=FQ","BEST_FPERIOD_OVERRIDE=FQ","FILING_STATUS=MR","FA_ADJUSTED=Adjusted","Sort=A","Dates=H","DateFormat=P","Fill=—","Direction=H","UseDPDF=Y")</f>
        <v>—</v>
      </c>
      <c r="U21" s="26">
        <f>_xll.BDH("ALNY US Equity","DILUTED_EPS_AFT_XO_ITEMS_GROWTH","FQ4 2023","FQ4 2023","Currency=USD","Period=FQ","BEST_FPERIOD_OVERRIDE=FQ","FILING_STATUS=MR","FA_ADJUSTED=Adjusted","Sort=A","Dates=H","DateFormat=P","Fill=—","Direction=H","UseDPDF=Y")</f>
        <v>36.373199999999997</v>
      </c>
      <c r="V21" s="26">
        <f>_xll.BDH("ALNY US Equity","DILUTED_EPS_AFT_XO_ITEMS_GROWTH","FQ1 2024","FQ1 2024","Currency=USD","Period=FQ","BEST_FPERIOD_OVERRIDE=FQ","FILING_STATUS=MR","FA_ADJUSTED=Adjusted","Sort=A","Dates=H","DateFormat=P","Fill=—","Direction=H","UseDPDF=Y")</f>
        <v>62.200600000000001</v>
      </c>
      <c r="W21" s="26">
        <f>_xll.BDH("ALNY US Equity","DILUTED_EPS_AFT_XO_ITEMS_GROWTH","FQ2 2024","FQ2 2024","Currency=USD","Period=FQ","BEST_FPERIOD_OVERRIDE=FQ","FILING_STATUS=MR","FA_ADJUSTED=Adjusted","Sort=A","Dates=H","DateFormat=P","Fill=—","Direction=H","UseDPDF=Y")</f>
        <v>94.496499999999997</v>
      </c>
      <c r="X21" s="26" t="str">
        <f>_xll.BDH("ALNY US Equity","DILUTED_EPS_AFT_XO_ITEMS_GROWTH","FQ3 2024","FQ3 2024","Currency=USD","Period=FQ","BEST_FPERIOD_OVERRIDE=FQ","FILING_STATUS=MR","FA_ADJUSTED=Adjusted","Sort=A","Dates=H","DateFormat=P","Fill=—","Direction=H","UseDPDF=Y")</f>
        <v>—</v>
      </c>
      <c r="Y21" s="26">
        <f>_xll.BDH("ALNY US Equity","DILUTED_EPS_AFT_XO_ITEMS_GROWTH","FQ4 2024","FQ4 2024","Currency=USD","Period=FQ","BEST_FPERIOD_OVERRIDE=FQ","FILING_STATUS=MR","FA_ADJUSTED=Adjusted","Sort=A","Dates=H","DateFormat=P","Fill=—","Direction=H","UseDPDF=Y")</f>
        <v>41.351599999999998</v>
      </c>
      <c r="Z21" s="26">
        <v>11.3387090610311</v>
      </c>
      <c r="AA21" s="26">
        <v>-221.69042603569599</v>
      </c>
    </row>
    <row r="22" spans="1:27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6" t="s">
        <v>84</v>
      </c>
      <c r="B23" s="6" t="s">
        <v>85</v>
      </c>
      <c r="C23" s="19">
        <f>_xll.BDH("ALNY US Equity","CF_CASH_FROM_OPER","FQ2 2019","FQ2 2019","Currency=USD","Period=FQ","BEST_FPERIOD_OVERRIDE=FQ","FILING_STATUS=MR","SCALING_FORMAT=MLN","Sort=A","Dates=H","DateFormat=P","Fill=—","Direction=H","UseDPDF=Y")</f>
        <v>288.69499999999999</v>
      </c>
      <c r="D23" s="19">
        <f>_xll.BDH("ALNY US Equity","CF_CASH_FROM_OPER","FQ3 2019","FQ3 2019","Currency=USD","Period=FQ","BEST_FPERIOD_OVERRIDE=FQ","FILING_STATUS=MR","SCALING_FORMAT=MLN","Sort=A","Dates=H","DateFormat=P","Fill=—","Direction=H","UseDPDF=Y")</f>
        <v>-182.63200000000001</v>
      </c>
      <c r="E23" s="19">
        <f>_xll.BDH("ALNY US Equity","CF_CASH_FROM_OPER","FQ4 2019","FQ4 2019","Currency=USD","Period=FQ","BEST_FPERIOD_OVERRIDE=FQ","FILING_STATUS=MR","SCALING_FORMAT=MLN","Sort=A","Dates=H","DateFormat=P","Fill=—","Direction=H","UseDPDF=Y")</f>
        <v>-195.98</v>
      </c>
      <c r="F23" s="19">
        <f>_xll.BDH("ALNY US Equity","CF_CASH_FROM_OPER","FQ1 2020","FQ1 2020","Currency=USD","Period=FQ","BEST_FPERIOD_OVERRIDE=FQ","FILING_STATUS=MR","SCALING_FORMAT=MLN","Sort=A","Dates=H","DateFormat=P","Fill=—","Direction=H","UseDPDF=Y")</f>
        <v>-246.161</v>
      </c>
      <c r="G23" s="19">
        <f>_xll.BDH("ALNY US Equity","CF_CASH_FROM_OPER","FQ2 2020","FQ2 2020","Currency=USD","Period=FQ","BEST_FPERIOD_OVERRIDE=FQ","FILING_STATUS=MR","SCALING_FORMAT=MLN","Sort=A","Dates=H","DateFormat=P","Fill=—","Direction=H","UseDPDF=Y")</f>
        <v>-135.33000000000001</v>
      </c>
      <c r="H23" s="19">
        <f>_xll.BDH("ALNY US Equity","CF_CASH_FROM_OPER","FQ3 2020","FQ3 2020","Currency=USD","Period=FQ","BEST_FPERIOD_OVERRIDE=FQ","FILING_STATUS=MR","SCALING_FORMAT=MLN","Sort=A","Dates=H","DateFormat=P","Fill=—","Direction=H","UseDPDF=Y")</f>
        <v>-110.32599999999999</v>
      </c>
      <c r="I23" s="19">
        <f>_xll.BDH("ALNY US Equity","CF_CASH_FROM_OPER","FQ4 2020","FQ4 2020","Currency=USD","Period=FQ","BEST_FPERIOD_OVERRIDE=FQ","FILING_STATUS=MR","SCALING_FORMAT=MLN","Sort=A","Dates=H","DateFormat=P","Fill=—","Direction=H","UseDPDF=Y")</f>
        <v>-123.14400000000001</v>
      </c>
      <c r="J23" s="19">
        <f>_xll.BDH("ALNY US Equity","CF_CASH_FROM_OPER","FQ1 2021","FQ1 2021","Currency=USD","Period=FQ","BEST_FPERIOD_OVERRIDE=FQ","FILING_STATUS=MR","SCALING_FORMAT=MLN","Sort=A","Dates=H","DateFormat=P","Fill=—","Direction=H","UseDPDF=Y")</f>
        <v>-235.66</v>
      </c>
      <c r="K23" s="19">
        <f>_xll.BDH("ALNY US Equity","CF_CASH_FROM_OPER","FQ2 2021","FQ2 2021","Currency=USD","Period=FQ","BEST_FPERIOD_OVERRIDE=FQ","FILING_STATUS=MR","SCALING_FORMAT=MLN","Sort=A","Dates=H","DateFormat=P","Fill=—","Direction=H","UseDPDF=Y")</f>
        <v>-121.85599999999999</v>
      </c>
      <c r="L23" s="19">
        <f>_xll.BDH("ALNY US Equity","CF_CASH_FROM_OPER","FQ3 2021","FQ3 2021","Currency=USD","Period=FQ","BEST_FPERIOD_OVERRIDE=FQ","FILING_STATUS=MR","SCALING_FORMAT=MLN","Sort=A","Dates=H","DateFormat=P","Fill=—","Direction=H","UseDPDF=Y")</f>
        <v>-134.036</v>
      </c>
      <c r="M23" s="19">
        <f>_xll.BDH("ALNY US Equity","CF_CASH_FROM_OPER","FQ4 2021","FQ4 2021","Currency=USD","Period=FQ","BEST_FPERIOD_OVERRIDE=FQ","FILING_STATUS=MR","SCALING_FORMAT=MLN","Sort=A","Dates=H","DateFormat=P","Fill=—","Direction=H","UseDPDF=Y")</f>
        <v>-150.14099999999999</v>
      </c>
      <c r="N23" s="19">
        <f>_xll.BDH("ALNY US Equity","CF_CASH_FROM_OPER","FQ1 2022","FQ1 2022","Currency=USD","Period=FQ","BEST_FPERIOD_OVERRIDE=FQ","FILING_STATUS=MR","SCALING_FORMAT=MLN","Sort=A","Dates=H","DateFormat=P","Fill=—","Direction=H","UseDPDF=Y")</f>
        <v>-171.19300000000001</v>
      </c>
      <c r="O23" s="19">
        <f>_xll.BDH("ALNY US Equity","CF_CASH_FROM_OPER","FQ2 2022","FQ2 2022","Currency=USD","Period=FQ","BEST_FPERIOD_OVERRIDE=FQ","FILING_STATUS=MR","SCALING_FORMAT=MLN","Sort=A","Dates=H","DateFormat=P","Fill=—","Direction=H","UseDPDF=Y")</f>
        <v>-122.819</v>
      </c>
      <c r="P23" s="19">
        <f>_xll.BDH("ALNY US Equity","CF_CASH_FROM_OPER","FQ3 2022","FQ3 2022","Currency=USD","Period=FQ","BEST_FPERIOD_OVERRIDE=FQ","FILING_STATUS=MR","SCALING_FORMAT=MLN","Sort=A","Dates=H","DateFormat=P","Fill=—","Direction=H","UseDPDF=Y")</f>
        <v>-115.28400000000001</v>
      </c>
      <c r="Q23" s="19">
        <f>_xll.BDH("ALNY US Equity","CF_CASH_FROM_OPER","FQ4 2022","FQ4 2022","Currency=USD","Period=FQ","BEST_FPERIOD_OVERRIDE=FQ","FILING_STATUS=MR","SCALING_FORMAT=MLN","Sort=A","Dates=H","DateFormat=P","Fill=—","Direction=H","UseDPDF=Y")</f>
        <v>-131.97800000000001</v>
      </c>
      <c r="R23" s="19">
        <f>_xll.BDH("ALNY US Equity","CF_CASH_FROM_OPER","FQ1 2023","FQ1 2023","Currency=USD","Period=FQ","BEST_FPERIOD_OVERRIDE=FQ","FILING_STATUS=MR","SCALING_FORMAT=MLN","Sort=A","Dates=H","DateFormat=P","Fill=—","Direction=H","UseDPDF=Y")</f>
        <v>-166.47499999999999</v>
      </c>
      <c r="S23" s="19">
        <f>_xll.BDH("ALNY US Equity","CF_CASH_FROM_OPER","FQ2 2023","FQ2 2023","Currency=USD","Period=FQ","BEST_FPERIOD_OVERRIDE=FQ","FILING_STATUS=MR","SCALING_FORMAT=MLN","Sort=A","Dates=H","DateFormat=P","Fill=—","Direction=H","UseDPDF=Y")</f>
        <v>-58.985999999999997</v>
      </c>
      <c r="T23" s="19">
        <f>_xll.BDH("ALNY US Equity","CF_CASH_FROM_OPER","FQ3 2023","FQ3 2023","Currency=USD","Period=FQ","BEST_FPERIOD_OVERRIDE=FQ","FILING_STATUS=MR","SCALING_FORMAT=MLN","Sort=A","Dates=H","DateFormat=P","Fill=—","Direction=H","UseDPDF=Y")</f>
        <v>359.41199999999998</v>
      </c>
      <c r="U23" s="19">
        <f>_xll.BDH("ALNY US Equity","CF_CASH_FROM_OPER","FQ4 2023","FQ4 2023","Currency=USD","Period=FQ","BEST_FPERIOD_OVERRIDE=FQ","FILING_STATUS=MR","SCALING_FORMAT=MLN","Sort=A","Dates=H","DateFormat=P","Fill=—","Direction=H","UseDPDF=Y")</f>
        <v>-29.795000000000002</v>
      </c>
      <c r="V23" s="19">
        <f>_xll.BDH("ALNY US Equity","CF_CASH_FROM_OPER","FQ1 2024","FQ1 2024","Currency=USD","Period=FQ","BEST_FPERIOD_OVERRIDE=FQ","FILING_STATUS=MR","SCALING_FORMAT=MLN","Sort=A","Dates=H","DateFormat=P","Fill=—","Direction=H","UseDPDF=Y")</f>
        <v>-81.515000000000001</v>
      </c>
      <c r="W23" s="19">
        <f>_xll.BDH("ALNY US Equity","CF_CASH_FROM_OPER","FQ2 2024","FQ2 2024","Currency=USD","Period=FQ","BEST_FPERIOD_OVERRIDE=FQ","FILING_STATUS=MR","SCALING_FORMAT=MLN","Sort=A","Dates=H","DateFormat=P","Fill=—","Direction=H","UseDPDF=Y")</f>
        <v>124.158</v>
      </c>
      <c r="X23" s="19">
        <f>_xll.BDH("ALNY US Equity","CF_CASH_FROM_OPER","FQ3 2024","FQ3 2024","Currency=USD","Period=FQ","BEST_FPERIOD_OVERRIDE=FQ","FILING_STATUS=MR","SCALING_FORMAT=MLN","Sort=A","Dates=H","DateFormat=P","Fill=—","Direction=H","UseDPDF=Y")</f>
        <v>43.707000000000001</v>
      </c>
      <c r="Y23" s="19">
        <f>_xll.BDH("ALNY US Equity","CF_CASH_FROM_OPER","FQ4 2024","FQ4 2024","Currency=USD","Period=FQ","BEST_FPERIOD_OVERRIDE=FQ","FILING_STATUS=MR","SCALING_FORMAT=MLN","Sort=A","Dates=H","DateFormat=P","Fill=—","Direction=H","UseDPDF=Y")</f>
        <v>-94.662000000000006</v>
      </c>
      <c r="Z23" s="19"/>
      <c r="AA23" s="19"/>
    </row>
    <row r="24" spans="1:27" x14ac:dyDescent="0.25">
      <c r="A24" s="6" t="s">
        <v>86</v>
      </c>
      <c r="B24" s="6" t="s">
        <v>87</v>
      </c>
      <c r="C24" s="19">
        <f>_xll.BDH("ALNY US Equity","CAPITAL_EXPEND","FQ2 2019","FQ2 2019","Currency=USD","Period=FQ","BEST_FPERIOD_OVERRIDE=FQ","FILING_STATUS=MR","SCALING_FORMAT=MLN","Sort=A","Dates=H","DateFormat=P","Fill=—","Direction=H","UseDPDF=Y")</f>
        <v>-21.244</v>
      </c>
      <c r="D24" s="19">
        <f>_xll.BDH("ALNY US Equity","CAPITAL_EXPEND","FQ3 2019","FQ3 2019","Currency=USD","Period=FQ","BEST_FPERIOD_OVERRIDE=FQ","FILING_STATUS=MR","SCALING_FORMAT=MLN","Sort=A","Dates=H","DateFormat=P","Fill=—","Direction=H","UseDPDF=Y")</f>
        <v>-36.058</v>
      </c>
      <c r="E24" s="19">
        <f>_xll.BDH("ALNY US Equity","CAPITAL_EXPEND","FQ4 2019","FQ4 2019","Currency=USD","Period=FQ","BEST_FPERIOD_OVERRIDE=FQ","FILING_STATUS=MR","SCALING_FORMAT=MLN","Sort=A","Dates=H","DateFormat=P","Fill=—","Direction=H","UseDPDF=Y")</f>
        <v>-38.805</v>
      </c>
      <c r="F24" s="19">
        <f>_xll.BDH("ALNY US Equity","CAPITAL_EXPEND","FQ1 2020","FQ1 2020","Currency=USD","Period=FQ","BEST_FPERIOD_OVERRIDE=FQ","FILING_STATUS=MR","SCALING_FORMAT=MLN","Sort=A","Dates=H","DateFormat=P","Fill=—","Direction=H","UseDPDF=Y")</f>
        <v>-19.617000000000001</v>
      </c>
      <c r="G24" s="19">
        <f>_xll.BDH("ALNY US Equity","CAPITAL_EXPEND","FQ2 2020","FQ2 2020","Currency=USD","Period=FQ","BEST_FPERIOD_OVERRIDE=FQ","FILING_STATUS=MR","SCALING_FORMAT=MLN","Sort=A","Dates=H","DateFormat=P","Fill=—","Direction=H","UseDPDF=Y")</f>
        <v>-16.658000000000001</v>
      </c>
      <c r="H24" s="19">
        <f>_xll.BDH("ALNY US Equity","CAPITAL_EXPEND","FQ3 2020","FQ3 2020","Currency=USD","Period=FQ","BEST_FPERIOD_OVERRIDE=FQ","FILING_STATUS=MR","SCALING_FORMAT=MLN","Sort=A","Dates=H","DateFormat=P","Fill=—","Direction=H","UseDPDF=Y")</f>
        <v>-12.417999999999999</v>
      </c>
      <c r="I24" s="19">
        <f>_xll.BDH("ALNY US Equity","CAPITAL_EXPEND","FQ4 2020","FQ4 2020","Currency=USD","Period=FQ","BEST_FPERIOD_OVERRIDE=FQ","FILING_STATUS=MR","SCALING_FORMAT=MLN","Sort=A","Dates=H","DateFormat=P","Fill=—","Direction=H","UseDPDF=Y")</f>
        <v>-21.667999999999999</v>
      </c>
      <c r="J24" s="19">
        <f>_xll.BDH("ALNY US Equity","CAPITAL_EXPEND","FQ1 2021","FQ1 2021","Currency=USD","Period=FQ","BEST_FPERIOD_OVERRIDE=FQ","FILING_STATUS=MR","SCALING_FORMAT=MLN","Sort=A","Dates=H","DateFormat=P","Fill=—","Direction=H","UseDPDF=Y")</f>
        <v>-17.178000000000001</v>
      </c>
      <c r="K24" s="19">
        <f>_xll.BDH("ALNY US Equity","CAPITAL_EXPEND","FQ2 2021","FQ2 2021","Currency=USD","Period=FQ","BEST_FPERIOD_OVERRIDE=FQ","FILING_STATUS=MR","SCALING_FORMAT=MLN","Sort=A","Dates=H","DateFormat=P","Fill=—","Direction=H","UseDPDF=Y")</f>
        <v>-11.246</v>
      </c>
      <c r="L24" s="19">
        <f>_xll.BDH("ALNY US Equity","CAPITAL_EXPEND","FQ3 2021","FQ3 2021","Currency=USD","Period=FQ","BEST_FPERIOD_OVERRIDE=FQ","FILING_STATUS=MR","SCALING_FORMAT=MLN","Sort=A","Dates=H","DateFormat=P","Fill=—","Direction=H","UseDPDF=Y")</f>
        <v>-26.062000000000001</v>
      </c>
      <c r="M24" s="19">
        <f>_xll.BDH("ALNY US Equity","CAPITAL_EXPEND","FQ4 2021","FQ4 2021","Currency=USD","Period=FQ","BEST_FPERIOD_OVERRIDE=FQ","FILING_STATUS=MR","SCALING_FORMAT=MLN","Sort=A","Dates=H","DateFormat=P","Fill=—","Direction=H","UseDPDF=Y")</f>
        <v>-21.885999999999999</v>
      </c>
      <c r="N24" s="19">
        <f>_xll.BDH("ALNY US Equity","CAPITAL_EXPEND","FQ1 2022","FQ1 2022","Currency=USD","Period=FQ","BEST_FPERIOD_OVERRIDE=FQ","FILING_STATUS=MR","SCALING_FORMAT=MLN","Sort=A","Dates=H","DateFormat=P","Fill=—","Direction=H","UseDPDF=Y")</f>
        <v>-17.859000000000002</v>
      </c>
      <c r="O24" s="19">
        <f>_xll.BDH("ALNY US Equity","CAPITAL_EXPEND","FQ2 2022","FQ2 2022","Currency=USD","Period=FQ","BEST_FPERIOD_OVERRIDE=FQ","FILING_STATUS=MR","SCALING_FORMAT=MLN","Sort=A","Dates=H","DateFormat=P","Fill=—","Direction=H","UseDPDF=Y")</f>
        <v>-16.055</v>
      </c>
      <c r="P24" s="19">
        <f>_xll.BDH("ALNY US Equity","CAPITAL_EXPEND","FQ3 2022","FQ3 2022","Currency=USD","Period=FQ","BEST_FPERIOD_OVERRIDE=FQ","FILING_STATUS=MR","SCALING_FORMAT=MLN","Sort=A","Dates=H","DateFormat=P","Fill=—","Direction=H","UseDPDF=Y")</f>
        <v>-16.510000000000002</v>
      </c>
      <c r="Q24" s="19">
        <f>_xll.BDH("ALNY US Equity","CAPITAL_EXPEND","FQ4 2022","FQ4 2022","Currency=USD","Period=FQ","BEST_FPERIOD_OVERRIDE=FQ","FILING_STATUS=MR","SCALING_FORMAT=MLN","Sort=A","Dates=H","DateFormat=P","Fill=—","Direction=H","UseDPDF=Y")</f>
        <v>-21.635000000000002</v>
      </c>
      <c r="R24" s="19">
        <f>_xll.BDH("ALNY US Equity","CAPITAL_EXPEND","FQ1 2023","FQ1 2023","Currency=USD","Period=FQ","BEST_FPERIOD_OVERRIDE=FQ","FILING_STATUS=MR","SCALING_FORMAT=MLN","Sort=A","Dates=H","DateFormat=P","Fill=—","Direction=H","UseDPDF=Y")</f>
        <v>-13.891</v>
      </c>
      <c r="S24" s="19">
        <f>_xll.BDH("ALNY US Equity","CAPITAL_EXPEND","FQ2 2023","FQ2 2023","Currency=USD","Period=FQ","BEST_FPERIOD_OVERRIDE=FQ","FILING_STATUS=MR","SCALING_FORMAT=MLN","Sort=A","Dates=H","DateFormat=P","Fill=—","Direction=H","UseDPDF=Y")</f>
        <v>-15.919</v>
      </c>
      <c r="T24" s="19">
        <f>_xll.BDH("ALNY US Equity","CAPITAL_EXPEND","FQ3 2023","FQ3 2023","Currency=USD","Period=FQ","BEST_FPERIOD_OVERRIDE=FQ","FILING_STATUS=MR","SCALING_FORMAT=MLN","Sort=A","Dates=H","DateFormat=P","Fill=—","Direction=H","UseDPDF=Y")</f>
        <v>-17.091999999999999</v>
      </c>
      <c r="U24" s="19">
        <f>_xll.BDH("ALNY US Equity","CAPITAL_EXPEND","FQ4 2023","FQ4 2023","Currency=USD","Period=FQ","BEST_FPERIOD_OVERRIDE=FQ","FILING_STATUS=MR","SCALING_FORMAT=MLN","Sort=A","Dates=H","DateFormat=P","Fill=—","Direction=H","UseDPDF=Y")</f>
        <v>-15.308999999999999</v>
      </c>
      <c r="V24" s="19">
        <f>_xll.BDH("ALNY US Equity","CAPITAL_EXPEND","FQ1 2024","FQ1 2024","Currency=USD","Period=FQ","BEST_FPERIOD_OVERRIDE=FQ","FILING_STATUS=MR","SCALING_FORMAT=MLN","Sort=A","Dates=H","DateFormat=P","Fill=—","Direction=H","UseDPDF=Y")</f>
        <v>-12.973000000000001</v>
      </c>
      <c r="W24" s="19">
        <f>_xll.BDH("ALNY US Equity","CAPITAL_EXPEND","FQ2 2024","FQ2 2024","Currency=USD","Period=FQ","BEST_FPERIOD_OVERRIDE=FQ","FILING_STATUS=MR","SCALING_FORMAT=MLN","Sort=A","Dates=H","DateFormat=P","Fill=—","Direction=H","UseDPDF=Y")</f>
        <v>-8.0180000000000007</v>
      </c>
      <c r="X24" s="19">
        <f>_xll.BDH("ALNY US Equity","CAPITAL_EXPEND","FQ3 2024","FQ3 2024","Currency=USD","Period=FQ","BEST_FPERIOD_OVERRIDE=FQ","FILING_STATUS=MR","SCALING_FORMAT=MLN","Sort=A","Dates=H","DateFormat=P","Fill=—","Direction=H","UseDPDF=Y")</f>
        <v>-4.1920000000000002</v>
      </c>
      <c r="Y24" s="19">
        <f>_xll.BDH("ALNY US Equity","CAPITAL_EXPEND","FQ4 2024","FQ4 2024","Currency=USD","Period=FQ","BEST_FPERIOD_OVERRIDE=FQ","FILING_STATUS=MR","SCALING_FORMAT=MLN","Sort=A","Dates=H","DateFormat=P","Fill=—","Direction=H","UseDPDF=Y")</f>
        <v>-9.0939999999999994</v>
      </c>
      <c r="Z24" s="19">
        <v>-12.414999999999999</v>
      </c>
      <c r="AA24" s="19">
        <v>-12.516</v>
      </c>
    </row>
    <row r="25" spans="1:27" x14ac:dyDescent="0.25">
      <c r="A25" s="6" t="s">
        <v>88</v>
      </c>
      <c r="B25" s="6" t="s">
        <v>89</v>
      </c>
      <c r="C25" s="19">
        <f>_xll.BDH("ALNY US Equity","CF_FREE_CASH_FLOW","FQ2 2019","FQ2 2019","Currency=USD","Period=FQ","BEST_FPERIOD_OVERRIDE=FQ","FILING_STATUS=MR","SCALING_FORMAT=MLN","Sort=A","Dates=H","DateFormat=P","Fill=—","Direction=H","UseDPDF=Y")</f>
        <v>267.45100000000002</v>
      </c>
      <c r="D25" s="19">
        <f>_xll.BDH("ALNY US Equity","CF_FREE_CASH_FLOW","FQ3 2019","FQ3 2019","Currency=USD","Period=FQ","BEST_FPERIOD_OVERRIDE=FQ","FILING_STATUS=MR","SCALING_FORMAT=MLN","Sort=A","Dates=H","DateFormat=P","Fill=—","Direction=H","UseDPDF=Y")</f>
        <v>-218.69</v>
      </c>
      <c r="E25" s="19">
        <f>_xll.BDH("ALNY US Equity","CF_FREE_CASH_FLOW","FQ4 2019","FQ4 2019","Currency=USD","Period=FQ","BEST_FPERIOD_OVERRIDE=FQ","FILING_STATUS=MR","SCALING_FORMAT=MLN","Sort=A","Dates=H","DateFormat=P","Fill=—","Direction=H","UseDPDF=Y")</f>
        <v>-234.785</v>
      </c>
      <c r="F25" s="19">
        <f>_xll.BDH("ALNY US Equity","CF_FREE_CASH_FLOW","FQ1 2020","FQ1 2020","Currency=USD","Period=FQ","BEST_FPERIOD_OVERRIDE=FQ","FILING_STATUS=MR","SCALING_FORMAT=MLN","Sort=A","Dates=H","DateFormat=P","Fill=—","Direction=H","UseDPDF=Y")</f>
        <v>-265.77800000000002</v>
      </c>
      <c r="G25" s="19">
        <f>_xll.BDH("ALNY US Equity","CF_FREE_CASH_FLOW","FQ2 2020","FQ2 2020","Currency=USD","Period=FQ","BEST_FPERIOD_OVERRIDE=FQ","FILING_STATUS=MR","SCALING_FORMAT=MLN","Sort=A","Dates=H","DateFormat=P","Fill=—","Direction=H","UseDPDF=Y")</f>
        <v>-151.988</v>
      </c>
      <c r="H25" s="19">
        <f>_xll.BDH("ALNY US Equity","CF_FREE_CASH_FLOW","FQ3 2020","FQ3 2020","Currency=USD","Period=FQ","BEST_FPERIOD_OVERRIDE=FQ","FILING_STATUS=MR","SCALING_FORMAT=MLN","Sort=A","Dates=H","DateFormat=P","Fill=—","Direction=H","UseDPDF=Y")</f>
        <v>-122.744</v>
      </c>
      <c r="I25" s="19">
        <f>_xll.BDH("ALNY US Equity","CF_FREE_CASH_FLOW","FQ4 2020","FQ4 2020","Currency=USD","Period=FQ","BEST_FPERIOD_OVERRIDE=FQ","FILING_STATUS=MR","SCALING_FORMAT=MLN","Sort=A","Dates=H","DateFormat=P","Fill=—","Direction=H","UseDPDF=Y")</f>
        <v>-144.81200000000001</v>
      </c>
      <c r="J25" s="19">
        <f>_xll.BDH("ALNY US Equity","CF_FREE_CASH_FLOW","FQ1 2021","FQ1 2021","Currency=USD","Period=FQ","BEST_FPERIOD_OVERRIDE=FQ","FILING_STATUS=MR","SCALING_FORMAT=MLN","Sort=A","Dates=H","DateFormat=P","Fill=—","Direction=H","UseDPDF=Y")</f>
        <v>-252.83799999999999</v>
      </c>
      <c r="K25" s="19">
        <f>_xll.BDH("ALNY US Equity","CF_FREE_CASH_FLOW","FQ2 2021","FQ2 2021","Currency=USD","Period=FQ","BEST_FPERIOD_OVERRIDE=FQ","FILING_STATUS=MR","SCALING_FORMAT=MLN","Sort=A","Dates=H","DateFormat=P","Fill=—","Direction=H","UseDPDF=Y")</f>
        <v>-133.102</v>
      </c>
      <c r="L25" s="19">
        <f>_xll.BDH("ALNY US Equity","CF_FREE_CASH_FLOW","FQ3 2021","FQ3 2021","Currency=USD","Period=FQ","BEST_FPERIOD_OVERRIDE=FQ","FILING_STATUS=MR","SCALING_FORMAT=MLN","Sort=A","Dates=H","DateFormat=P","Fill=—","Direction=H","UseDPDF=Y")</f>
        <v>-160.09800000000001</v>
      </c>
      <c r="M25" s="19">
        <f>_xll.BDH("ALNY US Equity","CF_FREE_CASH_FLOW","FQ4 2021","FQ4 2021","Currency=USD","Period=FQ","BEST_FPERIOD_OVERRIDE=FQ","FILING_STATUS=MR","SCALING_FORMAT=MLN","Sort=A","Dates=H","DateFormat=P","Fill=—","Direction=H","UseDPDF=Y")</f>
        <v>-172.02699999999999</v>
      </c>
      <c r="N25" s="19">
        <f>_xll.BDH("ALNY US Equity","CF_FREE_CASH_FLOW","FQ1 2022","FQ1 2022","Currency=USD","Period=FQ","BEST_FPERIOD_OVERRIDE=FQ","FILING_STATUS=MR","SCALING_FORMAT=MLN","Sort=A","Dates=H","DateFormat=P","Fill=—","Direction=H","UseDPDF=Y")</f>
        <v>-189.05199999999999</v>
      </c>
      <c r="O25" s="19">
        <f>_xll.BDH("ALNY US Equity","CF_FREE_CASH_FLOW","FQ2 2022","FQ2 2022","Currency=USD","Period=FQ","BEST_FPERIOD_OVERRIDE=FQ","FILING_STATUS=MR","SCALING_FORMAT=MLN","Sort=A","Dates=H","DateFormat=P","Fill=—","Direction=H","UseDPDF=Y")</f>
        <v>-138.874</v>
      </c>
      <c r="P25" s="19">
        <f>_xll.BDH("ALNY US Equity","CF_FREE_CASH_FLOW","FQ3 2022","FQ3 2022","Currency=USD","Period=FQ","BEST_FPERIOD_OVERRIDE=FQ","FILING_STATUS=MR","SCALING_FORMAT=MLN","Sort=A","Dates=H","DateFormat=P","Fill=—","Direction=H","UseDPDF=Y")</f>
        <v>-131.79400000000001</v>
      </c>
      <c r="Q25" s="19">
        <f>_xll.BDH("ALNY US Equity","CF_FREE_CASH_FLOW","FQ4 2022","FQ4 2022","Currency=USD","Period=FQ","BEST_FPERIOD_OVERRIDE=FQ","FILING_STATUS=MR","SCALING_FORMAT=MLN","Sort=A","Dates=H","DateFormat=P","Fill=—","Direction=H","UseDPDF=Y")</f>
        <v>-153.613</v>
      </c>
      <c r="R25" s="19">
        <f>_xll.BDH("ALNY US Equity","CF_FREE_CASH_FLOW","FQ1 2023","FQ1 2023","Currency=USD","Period=FQ","BEST_FPERIOD_OVERRIDE=FQ","FILING_STATUS=MR","SCALING_FORMAT=MLN","Sort=A","Dates=H","DateFormat=P","Fill=—","Direction=H","UseDPDF=Y")</f>
        <v>-180.36600000000001</v>
      </c>
      <c r="S25" s="19">
        <f>_xll.BDH("ALNY US Equity","CF_FREE_CASH_FLOW","FQ2 2023","FQ2 2023","Currency=USD","Period=FQ","BEST_FPERIOD_OVERRIDE=FQ","FILING_STATUS=MR","SCALING_FORMAT=MLN","Sort=A","Dates=H","DateFormat=P","Fill=—","Direction=H","UseDPDF=Y")</f>
        <v>-74.905000000000001</v>
      </c>
      <c r="T25" s="19">
        <f>_xll.BDH("ALNY US Equity","CF_FREE_CASH_FLOW","FQ3 2023","FQ3 2023","Currency=USD","Period=FQ","BEST_FPERIOD_OVERRIDE=FQ","FILING_STATUS=MR","SCALING_FORMAT=MLN","Sort=A","Dates=H","DateFormat=P","Fill=—","Direction=H","UseDPDF=Y")</f>
        <v>342.32</v>
      </c>
      <c r="U25" s="19">
        <f>_xll.BDH("ALNY US Equity","CF_FREE_CASH_FLOW","FQ4 2023","FQ4 2023","Currency=USD","Period=FQ","BEST_FPERIOD_OVERRIDE=FQ","FILING_STATUS=MR","SCALING_FORMAT=MLN","Sort=A","Dates=H","DateFormat=P","Fill=—","Direction=H","UseDPDF=Y")</f>
        <v>-45.103999999999999</v>
      </c>
      <c r="V25" s="19">
        <f>_xll.BDH("ALNY US Equity","CF_FREE_CASH_FLOW","FQ1 2024","FQ1 2024","Currency=USD","Period=FQ","BEST_FPERIOD_OVERRIDE=FQ","FILING_STATUS=MR","SCALING_FORMAT=MLN","Sort=A","Dates=H","DateFormat=P","Fill=—","Direction=H","UseDPDF=Y")</f>
        <v>-94.488</v>
      </c>
      <c r="W25" s="19">
        <f>_xll.BDH("ALNY US Equity","CF_FREE_CASH_FLOW","FQ2 2024","FQ2 2024","Currency=USD","Period=FQ","BEST_FPERIOD_OVERRIDE=FQ","FILING_STATUS=MR","SCALING_FORMAT=MLN","Sort=A","Dates=H","DateFormat=P","Fill=—","Direction=H","UseDPDF=Y")</f>
        <v>116.14</v>
      </c>
      <c r="X25" s="19">
        <f>_xll.BDH("ALNY US Equity","CF_FREE_CASH_FLOW","FQ3 2024","FQ3 2024","Currency=USD","Period=FQ","BEST_FPERIOD_OVERRIDE=FQ","FILING_STATUS=MR","SCALING_FORMAT=MLN","Sort=A","Dates=H","DateFormat=P","Fill=—","Direction=H","UseDPDF=Y")</f>
        <v>39.515000000000001</v>
      </c>
      <c r="Y25" s="19">
        <f>_xll.BDH("ALNY US Equity","CF_FREE_CASH_FLOW","FQ4 2024","FQ4 2024","Currency=USD","Period=FQ","BEST_FPERIOD_OVERRIDE=FQ","FILING_STATUS=MR","SCALING_FORMAT=MLN","Sort=A","Dates=H","DateFormat=P","Fill=—","Direction=H","UseDPDF=Y")</f>
        <v>-103.756</v>
      </c>
      <c r="Z25" s="19">
        <v>-44.838999999999999</v>
      </c>
      <c r="AA25" s="19">
        <v>11.957000000000001</v>
      </c>
    </row>
    <row r="26" spans="1:27" x14ac:dyDescent="0.25">
      <c r="A26" s="7" t="s">
        <v>90</v>
      </c>
      <c r="B26" s="7"/>
      <c r="C26" s="7" t="s">
        <v>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97</v>
      </c>
      <c r="B6" s="10" t="s">
        <v>71</v>
      </c>
      <c r="C6" s="13">
        <f>_xll.BDH("ALNY US Equity","SALES_REV_TURN","FQ4 2018","FQ4 2018","Currency=USD","Period=FQ","BEST_FPERIOD_OVERRIDE=FQ","FILING_STATUS=MR","SCALING_FORMAT=MLN","FA_ADJUSTED=GAAP","Sort=A","Dates=H","DateFormat=P","Fill=—","Direction=H","UseDPDF=Y")</f>
        <v>21.033000000000001</v>
      </c>
      <c r="D6" s="13">
        <f>_xll.BDH("ALNY US Equity","SALES_REV_TURN","FQ1 2019","FQ1 2019","Currency=USD","Period=FQ","BEST_FPERIOD_OVERRIDE=FQ","FILING_STATUS=MR","SCALING_FORMAT=MLN","FA_ADJUSTED=GAAP","Sort=A","Dates=H","DateFormat=P","Fill=—","Direction=H","UseDPDF=Y")</f>
        <v>33.293999999999997</v>
      </c>
      <c r="E6" s="13">
        <f>_xll.BDH("ALNY US Equity","SALES_REV_TURN","FQ2 2019","FQ2 2019","Currency=USD","Period=FQ","BEST_FPERIOD_OVERRIDE=FQ","FILING_STATUS=MR","SCALING_FORMAT=MLN","FA_ADJUSTED=GAAP","Sort=A","Dates=H","DateFormat=P","Fill=—","Direction=H","UseDPDF=Y")</f>
        <v>44.713999999999999</v>
      </c>
      <c r="F6" s="13">
        <f>_xll.BDH("ALNY US Equity","SALES_REV_TURN","FQ3 2019","FQ3 2019","Currency=USD","Period=FQ","BEST_FPERIOD_OVERRIDE=FQ","FILING_STATUS=MR","SCALING_FORMAT=MLN","FA_ADJUSTED=GAAP","Sort=A","Dates=H","DateFormat=P","Fill=—","Direction=H","UseDPDF=Y")</f>
        <v>70.061000000000007</v>
      </c>
      <c r="G6" s="13">
        <f>_xll.BDH("ALNY US Equity","SALES_REV_TURN","FQ4 2019","FQ4 2019","Currency=USD","Period=FQ","BEST_FPERIOD_OVERRIDE=FQ","FILING_STATUS=MR","SCALING_FORMAT=MLN","FA_ADJUSTED=GAAP","Sort=A","Dates=H","DateFormat=P","Fill=—","Direction=H","UseDPDF=Y")</f>
        <v>71.680999999999997</v>
      </c>
      <c r="H6" s="13">
        <f>_xll.BDH("ALNY US Equity","SALES_REV_TURN","FQ1 2020","FQ1 2020","Currency=USD","Period=FQ","BEST_FPERIOD_OVERRIDE=FQ","FILING_STATUS=MR","SCALING_FORMAT=MLN","FA_ADJUSTED=GAAP","Sort=A","Dates=H","DateFormat=P","Fill=—","Direction=H","UseDPDF=Y")</f>
        <v>99.475999999999999</v>
      </c>
      <c r="I6" s="13">
        <f>_xll.BDH("ALNY US Equity","SALES_REV_TURN","FQ2 2020","FQ2 2020","Currency=USD","Period=FQ","BEST_FPERIOD_OVERRIDE=FQ","FILING_STATUS=MR","SCALING_FORMAT=MLN","FA_ADJUSTED=GAAP","Sort=A","Dates=H","DateFormat=P","Fill=—","Direction=H","UseDPDF=Y")</f>
        <v>103.962</v>
      </c>
      <c r="J6" s="13">
        <f>_xll.BDH("ALNY US Equity","SALES_REV_TURN","FQ3 2020","FQ3 2020","Currency=USD","Period=FQ","BEST_FPERIOD_OVERRIDE=FQ","FILING_STATUS=MR","SCALING_FORMAT=MLN","FA_ADJUSTED=GAAP","Sort=A","Dates=H","DateFormat=P","Fill=—","Direction=H","UseDPDF=Y")</f>
        <v>125.85299999999999</v>
      </c>
      <c r="K6" s="13">
        <f>_xll.BDH("ALNY US Equity","SALES_REV_TURN","FQ4 2020","FQ4 2020","Currency=USD","Period=FQ","BEST_FPERIOD_OVERRIDE=FQ","FILING_STATUS=MR","SCALING_FORMAT=MLN","FA_ADJUSTED=GAAP","Sort=A","Dates=H","DateFormat=P","Fill=—","Direction=H","UseDPDF=Y")</f>
        <v>163.56200000000001</v>
      </c>
      <c r="L6" s="13">
        <f>_xll.BDH("ALNY US Equity","SALES_REV_TURN","FQ1 2021","FQ1 2021","Currency=USD","Period=FQ","BEST_FPERIOD_OVERRIDE=FQ","FILING_STATUS=MR","SCALING_FORMAT=MLN","FA_ADJUSTED=GAAP","Sort=A","Dates=H","DateFormat=P","Fill=—","Direction=H","UseDPDF=Y")</f>
        <v>177.566</v>
      </c>
      <c r="M6" s="13">
        <f>_xll.BDH("ALNY US Equity","SALES_REV_TURN","FQ2 2021","FQ2 2021","Currency=USD","Period=FQ","BEST_FPERIOD_OVERRIDE=FQ","FILING_STATUS=MR","SCALING_FORMAT=MLN","FA_ADJUSTED=GAAP","Sort=A","Dates=H","DateFormat=P","Fill=—","Direction=H","UseDPDF=Y")</f>
        <v>220.553</v>
      </c>
      <c r="N6" s="13">
        <f>_xll.BDH("ALNY US Equity","SALES_REV_TURN","FQ3 2021","FQ3 2021","Currency=USD","Period=FQ","BEST_FPERIOD_OVERRIDE=FQ","FILING_STATUS=MR","SCALING_FORMAT=MLN","FA_ADJUSTED=GAAP","Sort=A","Dates=H","DateFormat=P","Fill=—","Direction=H","UseDPDF=Y")</f>
        <v>187.63300000000001</v>
      </c>
      <c r="O6" s="13">
        <f>_xll.BDH("ALNY US Equity","SALES_REV_TURN","FQ4 2021","FQ4 2021","Currency=USD","Period=FQ","BEST_FPERIOD_OVERRIDE=FQ","FILING_STATUS=MR","SCALING_FORMAT=MLN","FA_ADJUSTED=GAAP","Sort=A","Dates=H","DateFormat=P","Fill=—","Direction=H","UseDPDF=Y")</f>
        <v>258.53500000000003</v>
      </c>
      <c r="P6" s="13">
        <f>_xll.BDH("ALNY US Equity","SALES_REV_TURN","FQ1 2022","FQ1 2022","Currency=USD","Period=FQ","BEST_FPERIOD_OVERRIDE=FQ","FILING_STATUS=MR","SCALING_FORMAT=MLN","FA_ADJUSTED=GAAP","Sort=A","Dates=H","DateFormat=P","Fill=—","Direction=H","UseDPDF=Y")</f>
        <v>213.25899999999999</v>
      </c>
      <c r="Q6" s="13">
        <f>_xll.BDH("ALNY US Equity","SALES_REV_TURN","FQ2 2022","FQ2 2022","Currency=USD","Period=FQ","BEST_FPERIOD_OVERRIDE=FQ","FILING_STATUS=MR","SCALING_FORMAT=MLN","FA_ADJUSTED=GAAP","Sort=A","Dates=H","DateFormat=P","Fill=—","Direction=H","UseDPDF=Y")</f>
        <v>224.81800000000001</v>
      </c>
      <c r="R6" s="13">
        <f>_xll.BDH("ALNY US Equity","SALES_REV_TURN","FQ3 2022","FQ3 2022","Currency=USD","Period=FQ","BEST_FPERIOD_OVERRIDE=FQ","FILING_STATUS=MR","SCALING_FORMAT=MLN","FA_ADJUSTED=GAAP","Sort=A","Dates=H","DateFormat=P","Fill=—","Direction=H","UseDPDF=Y")</f>
        <v>264.30599999999998</v>
      </c>
      <c r="S6" s="13">
        <f>_xll.BDH("ALNY US Equity","SALES_REV_TURN","FQ4 2022","FQ4 2022","Currency=USD","Period=FQ","BEST_FPERIOD_OVERRIDE=FQ","FILING_STATUS=MR","SCALING_FORMAT=MLN","FA_ADJUSTED=GAAP","Sort=A","Dates=H","DateFormat=P","Fill=—","Direction=H","UseDPDF=Y")</f>
        <v>335.03500000000003</v>
      </c>
      <c r="T6" s="13">
        <f>_xll.BDH("ALNY US Equity","SALES_REV_TURN","FQ1 2023","FQ1 2023","Currency=USD","Period=FQ","BEST_FPERIOD_OVERRIDE=FQ","FILING_STATUS=MR","SCALING_FORMAT=MLN","FA_ADJUSTED=GAAP","Sort=A","Dates=H","DateFormat=P","Fill=—","Direction=H","UseDPDF=Y")</f>
        <v>319.29000000000002</v>
      </c>
      <c r="U6" s="13">
        <f>_xll.BDH("ALNY US Equity","SALES_REV_TURN","FQ2 2023","FQ2 2023","Currency=USD","Period=FQ","BEST_FPERIOD_OVERRIDE=FQ","FILING_STATUS=MR","SCALING_FORMAT=MLN","FA_ADJUSTED=GAAP","Sort=A","Dates=H","DateFormat=P","Fill=—","Direction=H","UseDPDF=Y")</f>
        <v>318.75400000000002</v>
      </c>
      <c r="V6" s="13">
        <f>_xll.BDH("ALNY US Equity","SALES_REV_TURN","FQ3 2023","FQ3 2023","Currency=USD","Period=FQ","BEST_FPERIOD_OVERRIDE=FQ","FILING_STATUS=MR","SCALING_FORMAT=MLN","FA_ADJUSTED=GAAP","Sort=A","Dates=H","DateFormat=P","Fill=—","Direction=H","UseDPDF=Y")</f>
        <v>750.53</v>
      </c>
      <c r="W6" s="13">
        <f>_xll.BDH("ALNY US Equity","SALES_REV_TURN","FQ4 2023","FQ4 2023","Currency=USD","Period=FQ","BEST_FPERIOD_OVERRIDE=FQ","FILING_STATUS=MR","SCALING_FORMAT=MLN","FA_ADJUSTED=GAAP","Sort=A","Dates=H","DateFormat=P","Fill=—","Direction=H","UseDPDF=Y")</f>
        <v>439.71800000000002</v>
      </c>
      <c r="X6" s="13">
        <f>_xll.BDH("ALNY US Equity","SALES_REV_TURN","FQ1 2024","FQ1 2024","Currency=USD","Period=FQ","BEST_FPERIOD_OVERRIDE=FQ","FILING_STATUS=MR","SCALING_FORMAT=MLN","FA_ADJUSTED=GAAP","Sort=A","Dates=H","DateFormat=P","Fill=—","Direction=H","UseDPDF=Y")</f>
        <v>494.33300000000003</v>
      </c>
      <c r="Y6" s="13">
        <f>_xll.BDH("ALNY US Equity","SALES_REV_TURN","FQ2 2024","FQ2 2024","Currency=USD","Period=FQ","BEST_FPERIOD_OVERRIDE=FQ","FILING_STATUS=MR","SCALING_FORMAT=MLN","FA_ADJUSTED=GAAP","Sort=A","Dates=H","DateFormat=P","Fill=—","Direction=H","UseDPDF=Y")</f>
        <v>659.82500000000005</v>
      </c>
      <c r="Z6" s="13">
        <f>_xll.BDH("ALNY US Equity","SALES_REV_TURN","FQ3 2024","FQ3 2024","Currency=USD","Period=FQ","BEST_FPERIOD_OVERRIDE=FQ","FILING_STATUS=MR","SCALING_FORMAT=MLN","FA_ADJUSTED=GAAP","Sort=A","Dates=H","DateFormat=P","Fill=—","Direction=H","UseDPDF=Y")</f>
        <v>500.91899999999998</v>
      </c>
      <c r="AA6" s="13">
        <f>_xll.BDH("ALNY US Equity","SALES_REV_TURN","FQ4 2024","FQ4 2024","Currency=USD","Period=FQ","BEST_FPERIOD_OVERRIDE=FQ","FILING_STATUS=MR","SCALING_FORMAT=MLN","FA_ADJUSTED=GAAP","Sort=A","Dates=H","DateFormat=P","Fill=—","Direction=H","UseDPDF=Y")</f>
        <v>593.16600000000005</v>
      </c>
    </row>
    <row r="7" spans="1:27" x14ac:dyDescent="0.25">
      <c r="A7" s="10" t="s">
        <v>98</v>
      </c>
      <c r="B7" s="10" t="s">
        <v>99</v>
      </c>
      <c r="C7" s="13">
        <f>_xll.BDH("ALNY US Equity","IS_OPER_INC","FQ4 2018","FQ4 2018","Currency=USD","Period=FQ","BEST_FPERIOD_OVERRIDE=FQ","FILING_STATUS=MR","SCALING_FORMAT=MLN","FA_ADJUSTED=GAAP","Sort=A","Dates=H","DateFormat=P","Fill=—","Direction=H","UseDPDF=Y")</f>
        <v>-220.35599999999999</v>
      </c>
      <c r="D7" s="13">
        <f>_xll.BDH("ALNY US Equity","IS_OPER_INC","FQ1 2019","FQ1 2019","Currency=USD","Period=FQ","BEST_FPERIOD_OVERRIDE=FQ","FILING_STATUS=MR","SCALING_FORMAT=MLN","FA_ADJUSTED=GAAP","Sort=A","Dates=H","DateFormat=P","Fill=—","Direction=H","UseDPDF=Y")</f>
        <v>-188.78800000000001</v>
      </c>
      <c r="E7" s="13">
        <f>_xll.BDH("ALNY US Equity","IS_OPER_INC","FQ2 2019","FQ2 2019","Currency=USD","Period=FQ","BEST_FPERIOD_OVERRIDE=FQ","FILING_STATUS=MR","SCALING_FORMAT=MLN","FA_ADJUSTED=GAAP","Sort=A","Dates=H","DateFormat=P","Fill=—","Direction=H","UseDPDF=Y")</f>
        <v>-236.27099999999999</v>
      </c>
      <c r="F7" s="13">
        <f>_xll.BDH("ALNY US Equity","IS_OPER_INC","FQ3 2019","FQ3 2019","Currency=USD","Period=FQ","BEST_FPERIOD_OVERRIDE=FQ","FILING_STATUS=MR","SCALING_FORMAT=MLN","FA_ADJUSTED=GAAP","Sort=A","Dates=H","DateFormat=P","Fill=—","Direction=H","UseDPDF=Y")</f>
        <v>-216.29900000000001</v>
      </c>
      <c r="G7" s="13">
        <f>_xll.BDH("ALNY US Equity","IS_OPER_INC","FQ4 2019","FQ4 2019","Currency=USD","Period=FQ","BEST_FPERIOD_OVERRIDE=FQ","FILING_STATUS=MR","SCALING_FORMAT=MLN","FA_ADJUSTED=GAAP","Sort=A","Dates=H","DateFormat=P","Fill=—","Direction=H","UseDPDF=Y")</f>
        <v>-298.07299999999998</v>
      </c>
      <c r="H7" s="13">
        <f>_xll.BDH("ALNY US Equity","IS_OPER_INC","FQ1 2020","FQ1 2020","Currency=USD","Period=FQ","BEST_FPERIOD_OVERRIDE=FQ","FILING_STATUS=MR","SCALING_FORMAT=MLN","FA_ADJUSTED=GAAP","Sort=A","Dates=H","DateFormat=P","Fill=—","Direction=H","UseDPDF=Y")</f>
        <v>-210.15799999999999</v>
      </c>
      <c r="I7" s="13">
        <f>_xll.BDH("ALNY US Equity","IS_OPER_INC","FQ2 2020","FQ2 2020","Currency=USD","Period=FQ","BEST_FPERIOD_OVERRIDE=FQ","FILING_STATUS=MR","SCALING_FORMAT=MLN","FA_ADJUSTED=GAAP","Sort=A","Dates=H","DateFormat=P","Fill=—","Direction=H","UseDPDF=Y")</f>
        <v>-198.85900000000001</v>
      </c>
      <c r="J7" s="13">
        <f>_xll.BDH("ALNY US Equity","IS_OPER_INC","FQ3 2020","FQ3 2020","Currency=USD","Period=FQ","BEST_FPERIOD_OVERRIDE=FQ","FILING_STATUS=MR","SCALING_FORMAT=MLN","FA_ADJUSTED=GAAP","Sort=A","Dates=H","DateFormat=P","Fill=—","Direction=H","UseDPDF=Y")</f>
        <v>-225.19900000000001</v>
      </c>
      <c r="K7" s="13">
        <f>_xll.BDH("ALNY US Equity","IS_OPER_INC","FQ4 2020","FQ4 2020","Currency=USD","Period=FQ","BEST_FPERIOD_OVERRIDE=FQ","FILING_STATUS=MR","SCALING_FORMAT=MLN","FA_ADJUSTED=GAAP","Sort=A","Dates=H","DateFormat=P","Fill=—","Direction=H","UseDPDF=Y")</f>
        <v>-194.22200000000001</v>
      </c>
      <c r="L7" s="13">
        <f>_xll.BDH("ALNY US Equity","IS_OPER_INC","FQ1 2021","FQ1 2021","Currency=USD","Period=FQ","BEST_FPERIOD_OVERRIDE=FQ","FILING_STATUS=MR","SCALING_FORMAT=MLN","FA_ADJUSTED=GAAP","Sort=A","Dates=H","DateFormat=P","Fill=—","Direction=H","UseDPDF=Y")</f>
        <v>-186.25399999999999</v>
      </c>
      <c r="M7" s="13">
        <f>_xll.BDH("ALNY US Equity","IS_OPER_INC","FQ2 2021","FQ2 2021","Currency=USD","Period=FQ","BEST_FPERIOD_OVERRIDE=FQ","FILING_STATUS=MR","SCALING_FORMAT=MLN","FA_ADJUSTED=GAAP","Sort=A","Dates=H","DateFormat=P","Fill=—","Direction=H","UseDPDF=Y")</f>
        <v>-146.16</v>
      </c>
      <c r="N7" s="13">
        <f>_xll.BDH("ALNY US Equity","IS_OPER_INC","FQ3 2021","FQ3 2021","Currency=USD","Period=FQ","BEST_FPERIOD_OVERRIDE=FQ","FILING_STATUS=MR","SCALING_FORMAT=MLN","FA_ADJUSTED=GAAP","Sort=A","Dates=H","DateFormat=P","Fill=—","Direction=H","UseDPDF=Y")</f>
        <v>-181.67699999999999</v>
      </c>
      <c r="O7" s="13">
        <f>_xll.BDH("ALNY US Equity","IS_OPER_INC","FQ4 2021","FQ4 2021","Currency=USD","Period=FQ","BEST_FPERIOD_OVERRIDE=FQ","FILING_STATUS=MR","SCALING_FORMAT=MLN","FA_ADJUSTED=GAAP","Sort=A","Dates=H","DateFormat=P","Fill=—","Direction=H","UseDPDF=Y")</f>
        <v>-194.56100000000001</v>
      </c>
      <c r="P7" s="13">
        <f>_xll.BDH("ALNY US Equity","IS_OPER_INC","FQ1 2022","FQ1 2022","Currency=USD","Period=FQ","BEST_FPERIOD_OVERRIDE=FQ","FILING_STATUS=MR","SCALING_FORMAT=MLN","FA_ADJUSTED=GAAP","Sort=A","Dates=H","DateFormat=P","Fill=—","Direction=H","UseDPDF=Y")</f>
        <v>-146.732</v>
      </c>
      <c r="Q7" s="13">
        <f>_xll.BDH("ALNY US Equity","IS_OPER_INC","FQ2 2022","FQ2 2022","Currency=USD","Period=FQ","BEST_FPERIOD_OVERRIDE=FQ","FILING_STATUS=MR","SCALING_FORMAT=MLN","FA_ADJUSTED=GAAP","Sort=A","Dates=H","DateFormat=P","Fill=—","Direction=H","UseDPDF=Y")</f>
        <v>-191.68600000000001</v>
      </c>
      <c r="R7" s="13">
        <f>_xll.BDH("ALNY US Equity","IS_OPER_INC","FQ3 2022","FQ3 2022","Currency=USD","Period=FQ","BEST_FPERIOD_OVERRIDE=FQ","FILING_STATUS=MR","SCALING_FORMAT=MLN","FA_ADJUSTED=GAAP","Sort=A","Dates=H","DateFormat=P","Fill=—","Direction=H","UseDPDF=Y")</f>
        <v>-258.04000000000002</v>
      </c>
      <c r="S7" s="13">
        <f>_xll.BDH("ALNY US Equity","IS_OPER_INC","FQ4 2022","FQ4 2022","Currency=USD","Period=FQ","BEST_FPERIOD_OVERRIDE=FQ","FILING_STATUS=MR","SCALING_FORMAT=MLN","FA_ADJUSTED=GAAP","Sort=A","Dates=H","DateFormat=P","Fill=—","Direction=H","UseDPDF=Y")</f>
        <v>-188.614</v>
      </c>
      <c r="T7" s="13">
        <f>_xll.BDH("ALNY US Equity","IS_OPER_INC","FQ1 2023","FQ1 2023","Currency=USD","Period=FQ","BEST_FPERIOD_OVERRIDE=FQ","FILING_STATUS=MR","SCALING_FORMAT=MLN","FA_ADJUSTED=GAAP","Sort=A","Dates=H","DateFormat=P","Fill=—","Direction=H","UseDPDF=Y")</f>
        <v>-149.80699999999999</v>
      </c>
      <c r="U7" s="13">
        <f>_xll.BDH("ALNY US Equity","IS_OPER_INC","FQ2 2023","FQ2 2023","Currency=USD","Period=FQ","BEST_FPERIOD_OVERRIDE=FQ","FILING_STATUS=MR","SCALING_FORMAT=MLN","FA_ADJUSTED=GAAP","Sort=A","Dates=H","DateFormat=P","Fill=—","Direction=H","UseDPDF=Y")</f>
        <v>-229.83099999999999</v>
      </c>
      <c r="V7" s="13">
        <f>_xll.BDH("ALNY US Equity","IS_OPER_INC","FQ3 2023","FQ3 2023","Currency=USD","Period=FQ","BEST_FPERIOD_OVERRIDE=FQ","FILING_STATUS=MR","SCALING_FORMAT=MLN","FA_ADJUSTED=GAAP","Sort=A","Dates=H","DateFormat=P","Fill=—","Direction=H","UseDPDF=Y")</f>
        <v>213.86699999999999</v>
      </c>
      <c r="W7" s="13">
        <f>_xll.BDH("ALNY US Equity","IS_OPER_INC","FQ4 2023","FQ4 2023","Currency=USD","Period=FQ","BEST_FPERIOD_OVERRIDE=FQ","FILING_STATUS=MR","SCALING_FORMAT=MLN","FA_ADJUSTED=GAAP","Sort=A","Dates=H","DateFormat=P","Fill=—","Direction=H","UseDPDF=Y")</f>
        <v>-116.404</v>
      </c>
      <c r="X7" s="13">
        <f>_xll.BDH("ALNY US Equity","IS_OPER_INC","FQ1 2024","FQ1 2024","Currency=USD","Period=FQ","BEST_FPERIOD_OVERRIDE=FQ","FILING_STATUS=MR","SCALING_FORMAT=MLN","FA_ADJUSTED=GAAP","Sort=A","Dates=H","DateFormat=P","Fill=—","Direction=H","UseDPDF=Y")</f>
        <v>-43.435000000000002</v>
      </c>
      <c r="Y7" s="13">
        <f>_xll.BDH("ALNY US Equity","IS_OPER_INC","FQ2 2024","FQ2 2024","Currency=USD","Period=FQ","BEST_FPERIOD_OVERRIDE=FQ","FILING_STATUS=MR","SCALING_FORMAT=MLN","FA_ADJUSTED=GAAP","Sort=A","Dates=H","DateFormat=P","Fill=—","Direction=H","UseDPDF=Y")</f>
        <v>48.613999999999997</v>
      </c>
      <c r="Z7" s="13">
        <f>_xll.BDH("ALNY US Equity","IS_OPER_INC","FQ3 2024","FQ3 2024","Currency=USD","Period=FQ","BEST_FPERIOD_OVERRIDE=FQ","FILING_STATUS=MR","SCALING_FORMAT=MLN","FA_ADJUSTED=GAAP","Sort=A","Dates=H","DateFormat=P","Fill=—","Direction=H","UseDPDF=Y")</f>
        <v>-76.905000000000001</v>
      </c>
      <c r="AA7" s="13">
        <f>_xll.BDH("ALNY US Equity","IS_OPER_INC","FQ4 2024","FQ4 2024","Currency=USD","Period=FQ","BEST_FPERIOD_OVERRIDE=FQ","FILING_STATUS=MR","SCALING_FORMAT=MLN","FA_ADJUSTED=GAAP","Sort=A","Dates=H","DateFormat=P","Fill=—","Direction=H","UseDPDF=Y")</f>
        <v>-105.15900000000001</v>
      </c>
    </row>
    <row r="8" spans="1:27" x14ac:dyDescent="0.25">
      <c r="A8" s="10" t="s">
        <v>100</v>
      </c>
      <c r="B8" s="10" t="s">
        <v>80</v>
      </c>
      <c r="C8" s="13">
        <f>_xll.BDH("ALNY US Equity","EARN_FOR_COMMON","FQ4 2018","FQ4 2018","Currency=USD","Period=FQ","BEST_FPERIOD_OVERRIDE=FQ","FILING_STATUS=MR","SCALING_FORMAT=MLN","FA_ADJUSTED=GAAP","Sort=A","Dates=H","DateFormat=P","Fill=—","Direction=H","UseDPDF=Y")</f>
        <v>-211.441</v>
      </c>
      <c r="D8" s="13">
        <f>_xll.BDH("ALNY US Equity","EARN_FOR_COMMON","FQ1 2019","FQ1 2019","Currency=USD","Period=FQ","BEST_FPERIOD_OVERRIDE=FQ","FILING_STATUS=MR","SCALING_FORMAT=MLN","FA_ADJUSTED=GAAP","Sort=A","Dates=H","DateFormat=P","Fill=—","Direction=H","UseDPDF=Y")</f>
        <v>-181.91499999999999</v>
      </c>
      <c r="E8" s="13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F8" s="13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G8" s="13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H8" s="13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I8" s="13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J8" s="13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K8" s="13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L8" s="13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M8" s="13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N8" s="13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O8" s="13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P8" s="13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Q8" s="13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R8" s="13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S8" s="13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T8" s="13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U8" s="13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V8" s="13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W8" s="13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X8" s="13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Y8" s="13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Z8" s="13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AA8" s="13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9" spans="1:27" x14ac:dyDescent="0.25">
      <c r="A9" s="10" t="s">
        <v>101</v>
      </c>
      <c r="B9" s="10" t="s">
        <v>102</v>
      </c>
      <c r="C9" s="14">
        <f>_xll.BDH("ALNY US Equity","IS_EPS","FQ4 2018","FQ4 2018","Currency=USD","Period=FQ","BEST_FPERIOD_OVERRIDE=FQ","FILING_STATUS=MR","FA_ADJUSTED=GAAP","Sort=A","Dates=H","DateFormat=P","Fill=—","Direction=H","UseDPDF=Y")</f>
        <v>-2.09</v>
      </c>
      <c r="D9" s="14">
        <f>_xll.BDH("ALNY US Equity","IS_EPS","FQ1 2019","FQ1 2019","Currency=USD","Period=FQ","BEST_FPERIOD_OVERRIDE=FQ","FILING_STATUS=MR","FA_ADJUSTED=GAAP","Sort=A","Dates=H","DateFormat=P","Fill=—","Direction=H","UseDPDF=Y")</f>
        <v>-1.73</v>
      </c>
      <c r="E9" s="14">
        <f>_xll.BDH("ALNY US Equity","IS_EPS","FQ2 2019","FQ2 2019","Currency=USD","Period=FQ","BEST_FPERIOD_OVERRIDE=FQ","FILING_STATUS=MR","FA_ADJUSTED=GAAP","Sort=A","Dates=H","DateFormat=P","Fill=—","Direction=H","UseDPDF=Y")</f>
        <v>-2.02</v>
      </c>
      <c r="F9" s="14">
        <f>_xll.BDH("ALNY US Equity","IS_EPS","FQ3 2019","FQ3 2019","Currency=USD","Period=FQ","BEST_FPERIOD_OVERRIDE=FQ","FILING_STATUS=MR","FA_ADJUSTED=GAAP","Sort=A","Dates=H","DateFormat=P","Fill=—","Direction=H","UseDPDF=Y")</f>
        <v>-1.92</v>
      </c>
      <c r="G9" s="14">
        <f>_xll.BDH("ALNY US Equity","IS_EPS","FQ4 2019","FQ4 2019","Currency=USD","Period=FQ","BEST_FPERIOD_OVERRIDE=FQ","FILING_STATUS=MR","FA_ADJUSTED=GAAP","Sort=A","Dates=H","DateFormat=P","Fill=—","Direction=H","UseDPDF=Y")</f>
        <v>-2.4700000000000002</v>
      </c>
      <c r="H9" s="14">
        <f>_xll.BDH("ALNY US Equity","IS_EPS","FQ1 2020","FQ1 2020","Currency=USD","Period=FQ","BEST_FPERIOD_OVERRIDE=FQ","FILING_STATUS=MR","FA_ADJUSTED=GAAP","Sort=A","Dates=H","DateFormat=P","Fill=—","Direction=H","UseDPDF=Y")</f>
        <v>-1.62</v>
      </c>
      <c r="I9" s="14">
        <f>_xll.BDH("ALNY US Equity","IS_EPS","FQ2 2020","FQ2 2020","Currency=USD","Period=FQ","BEST_FPERIOD_OVERRIDE=FQ","FILING_STATUS=MR","FA_ADJUSTED=GAAP","Sort=A","Dates=H","DateFormat=P","Fill=—","Direction=H","UseDPDF=Y")</f>
        <v>-1.56</v>
      </c>
      <c r="J9" s="14">
        <f>_xll.BDH("ALNY US Equity","IS_EPS","FQ3 2020","FQ3 2020","Currency=USD","Period=FQ","BEST_FPERIOD_OVERRIDE=FQ","FILING_STATUS=MR","FA_ADJUSTED=GAAP","Sort=A","Dates=H","DateFormat=P","Fill=—","Direction=H","UseDPDF=Y")</f>
        <v>-2.1800000000000002</v>
      </c>
      <c r="K9" s="14">
        <f>_xll.BDH("ALNY US Equity","IS_EPS","FQ4 2020","FQ4 2020","Currency=USD","Period=FQ","BEST_FPERIOD_OVERRIDE=FQ","FILING_STATUS=MR","FA_ADJUSTED=GAAP","Sort=A","Dates=H","DateFormat=P","Fill=—","Direction=H","UseDPDF=Y")</f>
        <v>-2.09</v>
      </c>
      <c r="L9" s="14">
        <f>_xll.BDH("ALNY US Equity","IS_EPS","FQ1 2021","FQ1 2021","Currency=USD","Period=FQ","BEST_FPERIOD_OVERRIDE=FQ","FILING_STATUS=MR","FA_ADJUSTED=GAAP","Sort=A","Dates=H","DateFormat=P","Fill=—","Direction=H","UseDPDF=Y")</f>
        <v>-1.71</v>
      </c>
      <c r="M9" s="14">
        <f>_xll.BDH("ALNY US Equity","IS_EPS","FQ2 2021","FQ2 2021","Currency=USD","Period=FQ","BEST_FPERIOD_OVERRIDE=FQ","FILING_STATUS=MR","FA_ADJUSTED=GAAP","Sort=A","Dates=H","DateFormat=P","Fill=—","Direction=H","UseDPDF=Y")</f>
        <v>-1.61</v>
      </c>
      <c r="N9" s="14">
        <f>_xll.BDH("ALNY US Equity","IS_EPS","FQ3 2021","FQ3 2021","Currency=USD","Period=FQ","BEST_FPERIOD_OVERRIDE=FQ","FILING_STATUS=MR","FA_ADJUSTED=GAAP","Sort=A","Dates=H","DateFormat=P","Fill=—","Direction=H","UseDPDF=Y")</f>
        <v>-1.72</v>
      </c>
      <c r="O9" s="14">
        <f>_xll.BDH("ALNY US Equity","IS_EPS","FQ4 2021","FQ4 2021","Currency=USD","Period=FQ","BEST_FPERIOD_OVERRIDE=FQ","FILING_STATUS=MR","FA_ADJUSTED=GAAP","Sort=A","Dates=H","DateFormat=P","Fill=—","Direction=H","UseDPDF=Y")</f>
        <v>-2.16</v>
      </c>
      <c r="P9" s="14">
        <f>_xll.BDH("ALNY US Equity","IS_EPS","FQ1 2022","FQ1 2022","Currency=USD","Period=FQ","BEST_FPERIOD_OVERRIDE=FQ","FILING_STATUS=MR","FA_ADJUSTED=GAAP","Sort=A","Dates=H","DateFormat=P","Fill=—","Direction=H","UseDPDF=Y")</f>
        <v>-2</v>
      </c>
      <c r="Q9" s="14">
        <f>_xll.BDH("ALNY US Equity","IS_EPS","FQ2 2022","FQ2 2022","Currency=USD","Period=FQ","BEST_FPERIOD_OVERRIDE=FQ","FILING_STATUS=MR","FA_ADJUSTED=GAAP","Sort=A","Dates=H","DateFormat=P","Fill=—","Direction=H","UseDPDF=Y")</f>
        <v>-2.29</v>
      </c>
      <c r="R9" s="14">
        <f>_xll.BDH("ALNY US Equity","IS_EPS","FQ3 2022","FQ3 2022","Currency=USD","Period=FQ","BEST_FPERIOD_OVERRIDE=FQ","FILING_STATUS=MR","FA_ADJUSTED=GAAP","Sort=A","Dates=H","DateFormat=P","Fill=—","Direction=H","UseDPDF=Y")</f>
        <v>-3.32</v>
      </c>
      <c r="S9" s="14">
        <f>_xll.BDH("ALNY US Equity","IS_EPS","FQ4 2022","FQ4 2022","Currency=USD","Period=FQ","BEST_FPERIOD_OVERRIDE=FQ","FILING_STATUS=MR","FA_ADJUSTED=GAAP","Sort=A","Dates=H","DateFormat=P","Fill=—","Direction=H","UseDPDF=Y")</f>
        <v>-1.68</v>
      </c>
      <c r="T9" s="14">
        <f>_xll.BDH("ALNY US Equity","IS_EPS","FQ1 2023","FQ1 2023","Currency=USD","Period=FQ","BEST_FPERIOD_OVERRIDE=FQ","FILING_STATUS=MR","FA_ADJUSTED=GAAP","Sort=A","Dates=H","DateFormat=P","Fill=—","Direction=H","UseDPDF=Y")</f>
        <v>-1.4</v>
      </c>
      <c r="U9" s="14">
        <f>_xll.BDH("ALNY US Equity","IS_EPS","FQ2 2023","FQ2 2023","Currency=USD","Period=FQ","BEST_FPERIOD_OVERRIDE=FQ","FILING_STATUS=MR","FA_ADJUSTED=GAAP","Sort=A","Dates=H","DateFormat=P","Fill=—","Direction=H","UseDPDF=Y")</f>
        <v>-2.21</v>
      </c>
      <c r="V9" s="14">
        <f>_xll.BDH("ALNY US Equity","IS_EPS","FQ3 2023","FQ3 2023","Currency=USD","Period=FQ","BEST_FPERIOD_OVERRIDE=FQ","FILING_STATUS=MR","FA_ADJUSTED=GAAP","Sort=A","Dates=H","DateFormat=P","Fill=—","Direction=H","UseDPDF=Y")</f>
        <v>1.18</v>
      </c>
      <c r="W9" s="14">
        <f>_xll.BDH("ALNY US Equity","IS_EPS","FQ4 2023","FQ4 2023","Currency=USD","Period=FQ","BEST_FPERIOD_OVERRIDE=FQ","FILING_STATUS=MR","FA_ADJUSTED=GAAP","Sort=A","Dates=H","DateFormat=P","Fill=—","Direction=H","UseDPDF=Y")</f>
        <v>-1.1000000000000001</v>
      </c>
      <c r="X9" s="14">
        <f>_xll.BDH("ALNY US Equity","IS_EPS","FQ1 2024","FQ1 2024","Currency=USD","Period=FQ","BEST_FPERIOD_OVERRIDE=FQ","FILING_STATUS=MR","FA_ADJUSTED=GAAP","Sort=A","Dates=H","DateFormat=P","Fill=—","Direction=H","UseDPDF=Y")</f>
        <v>-0.52</v>
      </c>
      <c r="Y9" s="14">
        <f>_xll.BDH("ALNY US Equity","IS_EPS","FQ2 2024","FQ2 2024","Currency=USD","Period=FQ","BEST_FPERIOD_OVERRIDE=FQ","FILING_STATUS=MR","FA_ADJUSTED=GAAP","Sort=A","Dates=H","DateFormat=P","Fill=—","Direction=H","UseDPDF=Y")</f>
        <v>-0.13</v>
      </c>
      <c r="Z9" s="14">
        <f>_xll.BDH("ALNY US Equity","IS_EPS","FQ3 2024","FQ3 2024","Currency=USD","Period=FQ","BEST_FPERIOD_OVERRIDE=FQ","FILING_STATUS=MR","FA_ADJUSTED=GAAP","Sort=A","Dates=H","DateFormat=P","Fill=—","Direction=H","UseDPDF=Y")</f>
        <v>-0.87</v>
      </c>
      <c r="AA9" s="14">
        <f>_xll.BDH("ALNY US Equity","IS_EPS","FQ4 2024","FQ4 2024","Currency=USD","Period=FQ","BEST_FPERIOD_OVERRIDE=FQ","FILING_STATUS=MR","FA_ADJUSTED=GAAP","Sort=A","Dates=H","DateFormat=P","Fill=—","Direction=H","UseDPDF=Y")</f>
        <v>-0.65</v>
      </c>
    </row>
    <row r="10" spans="1:27" x14ac:dyDescent="0.25">
      <c r="A10" s="10" t="s">
        <v>103</v>
      </c>
      <c r="B10" s="10" t="s">
        <v>104</v>
      </c>
      <c r="C10" s="14">
        <f>_xll.BDH("ALNY US Equity","IS_DILUTED_EPS","FQ4 2018","FQ4 2018","Currency=USD","Period=FQ","BEST_FPERIOD_OVERRIDE=FQ","FILING_STATUS=MR","FA_ADJUSTED=GAAP","Sort=A","Dates=H","DateFormat=P","Fill=—","Direction=H","UseDPDF=Y")</f>
        <v>-2.09</v>
      </c>
      <c r="D10" s="14">
        <f>_xll.BDH("ALNY US Equity","IS_DILUTED_EPS","FQ1 2019","FQ1 2019","Currency=USD","Period=FQ","BEST_FPERIOD_OVERRIDE=FQ","FILING_STATUS=MR","FA_ADJUSTED=GAAP","Sort=A","Dates=H","DateFormat=P","Fill=—","Direction=H","UseDPDF=Y")</f>
        <v>-1.73</v>
      </c>
      <c r="E10" s="14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F10" s="14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G10" s="14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H10" s="14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I10" s="14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J10" s="14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K10" s="14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L10" s="14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M10" s="14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N10" s="14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O10" s="14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P10" s="14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Q10" s="14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R10" s="14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S10" s="14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T10" s="14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U10" s="14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V10" s="14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W10" s="14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X10" s="14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Y10" s="14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Z10" s="14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AA10" s="14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</row>
    <row r="11" spans="1:27" x14ac:dyDescent="0.25">
      <c r="A11" s="10" t="s">
        <v>105</v>
      </c>
      <c r="B11" s="10" t="s">
        <v>106</v>
      </c>
      <c r="C11" s="13">
        <f>_xll.BDH("ALNY US Equity","IS_AVG_NUM_SH_FOR_EPS","FQ4 2018","FQ4 2018","Currency=USD","Period=FQ","BEST_FPERIOD_OVERRIDE=FQ","FILING_STATUS=MR","Sort=A","Dates=H","DateFormat=P","Fill=—","Direction=H","UseDPDF=Y")</f>
        <v>101.066</v>
      </c>
      <c r="D11" s="13">
        <f>_xll.BDH("ALNY US Equity","IS_AVG_NUM_SH_FOR_EPS","FQ1 2019","FQ1 2019","Currency=USD","Period=FQ","BEST_FPERIOD_OVERRIDE=FQ","FILING_STATUS=MR","Sort=A","Dates=H","DateFormat=P","Fill=—","Direction=H","UseDPDF=Y")</f>
        <v>105.4</v>
      </c>
      <c r="E11" s="13">
        <f>_xll.BDH("ALNY US Equity","IS_AVG_NUM_SH_FOR_EPS","FQ2 2019","FQ2 2019","Currency=USD","Period=FQ","BEST_FPERIOD_OVERRIDE=FQ","FILING_STATUS=MR","Sort=A","Dates=H","DateFormat=P","Fill=—","Direction=H","UseDPDF=Y")</f>
        <v>108.57599999999999</v>
      </c>
      <c r="F11" s="13">
        <f>_xll.BDH("ALNY US Equity","IS_AVG_NUM_SH_FOR_EPS","FQ3 2019","FQ3 2019","Currency=USD","Period=FQ","BEST_FPERIOD_OVERRIDE=FQ","FILING_STATUS=MR","Sort=A","Dates=H","DateFormat=P","Fill=—","Direction=H","UseDPDF=Y")</f>
        <v>108.70099999999999</v>
      </c>
      <c r="G11" s="13">
        <f>_xll.BDH("ALNY US Equity","IS_AVG_NUM_SH_FOR_EPS","FQ4 2019","FQ4 2019","Currency=USD","Period=FQ","BEST_FPERIOD_OVERRIDE=FQ","FILING_STATUS=MR","Sort=A","Dates=H","DateFormat=P","Fill=—","Direction=H","UseDPDF=Y")</f>
        <v>111.75</v>
      </c>
      <c r="H11" s="13">
        <f>_xll.BDH("ALNY US Equity","IS_AVG_NUM_SH_FOR_EPS","FQ1 2020","FQ1 2020","Currency=USD","Period=FQ","BEST_FPERIOD_OVERRIDE=FQ","FILING_STATUS=MR","Sort=A","Dates=H","DateFormat=P","Fill=—","Direction=H","UseDPDF=Y")</f>
        <v>112.748</v>
      </c>
      <c r="I11" s="13">
        <f>_xll.BDH("ALNY US Equity","IS_AVG_NUM_SH_FOR_EPS","FQ2 2020","FQ2 2020","Currency=USD","Period=FQ","BEST_FPERIOD_OVERRIDE=FQ","FILING_STATUS=MR","Sort=A","Dates=H","DateFormat=P","Fill=—","Direction=H","UseDPDF=Y")</f>
        <v>114.911</v>
      </c>
      <c r="J11" s="13">
        <f>_xll.BDH("ALNY US Equity","IS_AVG_NUM_SH_FOR_EPS","FQ3 2020","FQ3 2020","Currency=USD","Period=FQ","BEST_FPERIOD_OVERRIDE=FQ","FILING_STATUS=MR","Sort=A","Dates=H","DateFormat=P","Fill=—","Direction=H","UseDPDF=Y")</f>
        <v>115.986</v>
      </c>
      <c r="K11" s="13">
        <f>_xll.BDH("ALNY US Equity","IS_AVG_NUM_SH_FOR_EPS","FQ4 2020","FQ4 2020","Currency=USD","Period=FQ","BEST_FPERIOD_OVERRIDE=FQ","FILING_STATUS=MR","Sort=A","Dates=H","DateFormat=P","Fill=—","Direction=H","UseDPDF=Y")</f>
        <v>116.274</v>
      </c>
      <c r="L11" s="13">
        <f>_xll.BDH("ALNY US Equity","IS_AVG_NUM_SH_FOR_EPS","FQ1 2021","FQ1 2021","Currency=USD","Period=FQ","BEST_FPERIOD_OVERRIDE=FQ","FILING_STATUS=MR","Sort=A","Dates=H","DateFormat=P","Fill=—","Direction=H","UseDPDF=Y")</f>
        <v>117.08</v>
      </c>
      <c r="M11" s="13">
        <f>_xll.BDH("ALNY US Equity","IS_AVG_NUM_SH_FOR_EPS","FQ2 2021","FQ2 2021","Currency=USD","Period=FQ","BEST_FPERIOD_OVERRIDE=FQ","FILING_STATUS=MR","Sort=A","Dates=H","DateFormat=P","Fill=—","Direction=H","UseDPDF=Y")</f>
        <v>117.77200000000001</v>
      </c>
      <c r="N11" s="13">
        <f>_xll.BDH("ALNY US Equity","IS_AVG_NUM_SH_FOR_EPS","FQ3 2021","FQ3 2021","Currency=USD","Period=FQ","BEST_FPERIOD_OVERRIDE=FQ","FILING_STATUS=MR","Sort=A","Dates=H","DateFormat=P","Fill=—","Direction=H","UseDPDF=Y")</f>
        <v>119.14100000000001</v>
      </c>
      <c r="O11" s="13">
        <f>_xll.BDH("ALNY US Equity","IS_AVG_NUM_SH_FOR_EPS","FQ4 2021","FQ4 2021","Currency=USD","Period=FQ","BEST_FPERIOD_OVERRIDE=FQ","FILING_STATUS=MR","Sort=A","Dates=H","DateFormat=P","Fill=—","Direction=H","UseDPDF=Y")</f>
        <v>119.773</v>
      </c>
      <c r="P11" s="13">
        <f>_xll.BDH("ALNY US Equity","IS_AVG_NUM_SH_FOR_EPS","FQ1 2022","FQ1 2022","Currency=USD","Period=FQ","BEST_FPERIOD_OVERRIDE=FQ","FILING_STATUS=MR","Sort=A","Dates=H","DateFormat=P","Fill=—","Direction=H","UseDPDF=Y")</f>
        <v>120.393</v>
      </c>
      <c r="Q11" s="13">
        <f>_xll.BDH("ALNY US Equity","IS_AVG_NUM_SH_FOR_EPS","FQ2 2022","FQ2 2022","Currency=USD","Period=FQ","BEST_FPERIOD_OVERRIDE=FQ","FILING_STATUS=MR","Sort=A","Dates=H","DateFormat=P","Fill=—","Direction=H","UseDPDF=Y")</f>
        <v>120.896</v>
      </c>
      <c r="R11" s="13">
        <f>_xll.BDH("ALNY US Equity","IS_AVG_NUM_SH_FOR_EPS","FQ3 2022","FQ3 2022","Currency=USD","Period=FQ","BEST_FPERIOD_OVERRIDE=FQ","FILING_STATUS=MR","Sort=A","Dates=H","DateFormat=P","Fill=—","Direction=H","UseDPDF=Y")</f>
        <v>122.166</v>
      </c>
      <c r="S11" s="13">
        <f>_xll.BDH("ALNY US Equity","IS_AVG_NUM_SH_FOR_EPS","FQ4 2022","FQ4 2022","Currency=USD","Period=FQ","BEST_FPERIOD_OVERRIDE=FQ","FILING_STATUS=MR","Sort=A","Dates=H","DateFormat=P","Fill=—","Direction=H","UseDPDF=Y")</f>
        <v>123.26600000000001</v>
      </c>
      <c r="T11" s="13">
        <f>_xll.BDH("ALNY US Equity","IS_AVG_NUM_SH_FOR_EPS","FQ1 2023","FQ1 2023","Currency=USD","Period=FQ","BEST_FPERIOD_OVERRIDE=FQ","FILING_STATUS=MR","Sort=A","Dates=H","DateFormat=P","Fill=—","Direction=H","UseDPDF=Y")</f>
        <v>124.111</v>
      </c>
      <c r="U11" s="13">
        <f>_xll.BDH("ALNY US Equity","IS_AVG_NUM_SH_FOR_EPS","FQ2 2023","FQ2 2023","Currency=USD","Period=FQ","BEST_FPERIOD_OVERRIDE=FQ","FILING_STATUS=MR","Sort=A","Dates=H","DateFormat=P","Fill=—","Direction=H","UseDPDF=Y")</f>
        <v>124.65900000000001</v>
      </c>
      <c r="V11" s="13">
        <f>_xll.BDH("ALNY US Equity","IS_AVG_NUM_SH_FOR_EPS","FQ3 2023","FQ3 2023","Currency=USD","Period=FQ","BEST_FPERIOD_OVERRIDE=FQ","FILING_STATUS=MR","Sort=A","Dates=H","DateFormat=P","Fill=—","Direction=H","UseDPDF=Y")</f>
        <v>125.22</v>
      </c>
      <c r="W11" s="13">
        <f>_xll.BDH("ALNY US Equity","IS_AVG_NUM_SH_FOR_EPS","FQ4 2023","FQ4 2023","Currency=USD","Period=FQ","BEST_FPERIOD_OVERRIDE=FQ","FILING_STATUS=MR","Sort=A","Dates=H","DateFormat=P","Fill=—","Direction=H","UseDPDF=Y")</f>
        <v>125.613</v>
      </c>
      <c r="X11" s="13">
        <f>_xll.BDH("ALNY US Equity","IS_AVG_NUM_SH_FOR_EPS","FQ1 2024","FQ1 2024","Currency=USD","Period=FQ","BEST_FPERIOD_OVERRIDE=FQ","FILING_STATUS=MR","Sort=A","Dates=H","DateFormat=P","Fill=—","Direction=H","UseDPDF=Y")</f>
        <v>126.13800000000001</v>
      </c>
      <c r="Y11" s="13">
        <f>_xll.BDH("ALNY US Equity","IS_AVG_NUM_SH_FOR_EPS","FQ2 2024","FQ2 2024","Currency=USD","Period=FQ","BEST_FPERIOD_OVERRIDE=FQ","FILING_STATUS=MR","Sort=A","Dates=H","DateFormat=P","Fill=—","Direction=H","UseDPDF=Y")</f>
        <v>126.733</v>
      </c>
      <c r="Z11" s="13">
        <f>_xll.BDH("ALNY US Equity","IS_AVG_NUM_SH_FOR_EPS","FQ3 2024","FQ3 2024","Currency=USD","Period=FQ","BEST_FPERIOD_OVERRIDE=FQ","FILING_STATUS=MR","Sort=A","Dates=H","DateFormat=P","Fill=—","Direction=H","UseDPDF=Y")</f>
        <v>128.59</v>
      </c>
      <c r="AA11" s="13">
        <f>_xll.BDH("ALNY US Equity","IS_AVG_NUM_SH_FOR_EPS","FQ4 2024","FQ4 2024","Currency=USD","Period=FQ","BEST_FPERIOD_OVERRIDE=FQ","FILING_STATUS=MR","Sort=A","Dates=H","DateFormat=P","Fill=—","Direction=H","UseDPDF=Y")</f>
        <v>129.11600000000001</v>
      </c>
    </row>
    <row r="12" spans="1:27" x14ac:dyDescent="0.25">
      <c r="A12" s="10" t="s">
        <v>107</v>
      </c>
      <c r="B12" s="10" t="s">
        <v>108</v>
      </c>
      <c r="C12" s="13">
        <f>_xll.BDH("ALNY US Equity","IS_SH_FOR_DILUTED_EPS","FQ4 2018","FQ4 2018","Currency=USD","Period=FQ","BEST_FPERIOD_OVERRIDE=FQ","FILING_STATUS=MR","Sort=A","Dates=H","DateFormat=P","Fill=—","Direction=H","UseDPDF=Y")</f>
        <v>101.066</v>
      </c>
      <c r="D12" s="13">
        <f>_xll.BDH("ALNY US Equity","IS_SH_FOR_DILUTED_EPS","FQ1 2019","FQ1 2019","Currency=USD","Period=FQ","BEST_FPERIOD_OVERRIDE=FQ","FILING_STATUS=MR","Sort=A","Dates=H","DateFormat=P","Fill=—","Direction=H","UseDPDF=Y")</f>
        <v>105.4</v>
      </c>
      <c r="E12" s="13">
        <f>_xll.BDH("ALNY US Equity","IS_SH_FOR_DILUTED_EPS","FQ2 2019","FQ2 2019","Currency=USD","Period=FQ","BEST_FPERIOD_OVERRIDE=FQ","FILING_STATUS=MR","Sort=A","Dates=H","DateFormat=P","Fill=—","Direction=H","UseDPDF=Y")</f>
        <v>108.57599999999999</v>
      </c>
      <c r="F12" s="13">
        <f>_xll.BDH("ALNY US Equity","IS_SH_FOR_DILUTED_EPS","FQ3 2019","FQ3 2019","Currency=USD","Period=FQ","BEST_FPERIOD_OVERRIDE=FQ","FILING_STATUS=MR","Sort=A","Dates=H","DateFormat=P","Fill=—","Direction=H","UseDPDF=Y")</f>
        <v>108.70099999999999</v>
      </c>
      <c r="G12" s="13">
        <f>_xll.BDH("ALNY US Equity","IS_SH_FOR_DILUTED_EPS","FQ4 2019","FQ4 2019","Currency=USD","Period=FQ","BEST_FPERIOD_OVERRIDE=FQ","FILING_STATUS=MR","Sort=A","Dates=H","DateFormat=P","Fill=—","Direction=H","UseDPDF=Y")</f>
        <v>111.75</v>
      </c>
      <c r="H12" s="13">
        <f>_xll.BDH("ALNY US Equity","IS_SH_FOR_DILUTED_EPS","FQ1 2020","FQ1 2020","Currency=USD","Period=FQ","BEST_FPERIOD_OVERRIDE=FQ","FILING_STATUS=MR","Sort=A","Dates=H","DateFormat=P","Fill=—","Direction=H","UseDPDF=Y")</f>
        <v>112.748</v>
      </c>
      <c r="I12" s="13">
        <f>_xll.BDH("ALNY US Equity","IS_SH_FOR_DILUTED_EPS","FQ2 2020","FQ2 2020","Currency=USD","Period=FQ","BEST_FPERIOD_OVERRIDE=FQ","FILING_STATUS=MR","Sort=A","Dates=H","DateFormat=P","Fill=—","Direction=H","UseDPDF=Y")</f>
        <v>114.911</v>
      </c>
      <c r="J12" s="13">
        <f>_xll.BDH("ALNY US Equity","IS_SH_FOR_DILUTED_EPS","FQ3 2020","FQ3 2020","Currency=USD","Period=FQ","BEST_FPERIOD_OVERRIDE=FQ","FILING_STATUS=MR","Sort=A","Dates=H","DateFormat=P","Fill=—","Direction=H","UseDPDF=Y")</f>
        <v>115.986</v>
      </c>
      <c r="K12" s="13">
        <f>_xll.BDH("ALNY US Equity","IS_SH_FOR_DILUTED_EPS","FQ4 2020","FQ4 2020","Currency=USD","Period=FQ","BEST_FPERIOD_OVERRIDE=FQ","FILING_STATUS=MR","Sort=A","Dates=H","DateFormat=P","Fill=—","Direction=H","UseDPDF=Y")</f>
        <v>116.274</v>
      </c>
      <c r="L12" s="13">
        <f>_xll.BDH("ALNY US Equity","IS_SH_FOR_DILUTED_EPS","FQ1 2021","FQ1 2021","Currency=USD","Period=FQ","BEST_FPERIOD_OVERRIDE=FQ","FILING_STATUS=MR","Sort=A","Dates=H","DateFormat=P","Fill=—","Direction=H","UseDPDF=Y")</f>
        <v>117.08</v>
      </c>
      <c r="M12" s="13">
        <f>_xll.BDH("ALNY US Equity","IS_SH_FOR_DILUTED_EPS","FQ2 2021","FQ2 2021","Currency=USD","Period=FQ","BEST_FPERIOD_OVERRIDE=FQ","FILING_STATUS=MR","Sort=A","Dates=H","DateFormat=P","Fill=—","Direction=H","UseDPDF=Y")</f>
        <v>117.77200000000001</v>
      </c>
      <c r="N12" s="13">
        <f>_xll.BDH("ALNY US Equity","IS_SH_FOR_DILUTED_EPS","FQ3 2021","FQ3 2021","Currency=USD","Period=FQ","BEST_FPERIOD_OVERRIDE=FQ","FILING_STATUS=MR","Sort=A","Dates=H","DateFormat=P","Fill=—","Direction=H","UseDPDF=Y")</f>
        <v>119.14100000000001</v>
      </c>
      <c r="O12" s="13">
        <f>_xll.BDH("ALNY US Equity","IS_SH_FOR_DILUTED_EPS","FQ4 2021","FQ4 2021","Currency=USD","Period=FQ","BEST_FPERIOD_OVERRIDE=FQ","FILING_STATUS=MR","Sort=A","Dates=H","DateFormat=P","Fill=—","Direction=H","UseDPDF=Y")</f>
        <v>119.773</v>
      </c>
      <c r="P12" s="13">
        <f>_xll.BDH("ALNY US Equity","IS_SH_FOR_DILUTED_EPS","FQ1 2022","FQ1 2022","Currency=USD","Period=FQ","BEST_FPERIOD_OVERRIDE=FQ","FILING_STATUS=MR","Sort=A","Dates=H","DateFormat=P","Fill=—","Direction=H","UseDPDF=Y")</f>
        <v>120.393</v>
      </c>
      <c r="Q12" s="13">
        <f>_xll.BDH("ALNY US Equity","IS_SH_FOR_DILUTED_EPS","FQ2 2022","FQ2 2022","Currency=USD","Period=FQ","BEST_FPERIOD_OVERRIDE=FQ","FILING_STATUS=MR","Sort=A","Dates=H","DateFormat=P","Fill=—","Direction=H","UseDPDF=Y")</f>
        <v>120.896</v>
      </c>
      <c r="R12" s="13">
        <f>_xll.BDH("ALNY US Equity","IS_SH_FOR_DILUTED_EPS","FQ3 2022","FQ3 2022","Currency=USD","Period=FQ","BEST_FPERIOD_OVERRIDE=FQ","FILING_STATUS=MR","Sort=A","Dates=H","DateFormat=P","Fill=—","Direction=H","UseDPDF=Y")</f>
        <v>122.166</v>
      </c>
      <c r="S12" s="13">
        <f>_xll.BDH("ALNY US Equity","IS_SH_FOR_DILUTED_EPS","FQ4 2022","FQ4 2022","Currency=USD","Period=FQ","BEST_FPERIOD_OVERRIDE=FQ","FILING_STATUS=MR","Sort=A","Dates=H","DateFormat=P","Fill=—","Direction=H","UseDPDF=Y")</f>
        <v>123.26600000000001</v>
      </c>
      <c r="T12" s="13">
        <f>_xll.BDH("ALNY US Equity","IS_SH_FOR_DILUTED_EPS","FQ1 2023","FQ1 2023","Currency=USD","Period=FQ","BEST_FPERIOD_OVERRIDE=FQ","FILING_STATUS=MR","Sort=A","Dates=H","DateFormat=P","Fill=—","Direction=H","UseDPDF=Y")</f>
        <v>124.111</v>
      </c>
      <c r="U12" s="13">
        <f>_xll.BDH("ALNY US Equity","IS_SH_FOR_DILUTED_EPS","FQ2 2023","FQ2 2023","Currency=USD","Period=FQ","BEST_FPERIOD_OVERRIDE=FQ","FILING_STATUS=MR","Sort=A","Dates=H","DateFormat=P","Fill=—","Direction=H","UseDPDF=Y")</f>
        <v>124.65900000000001</v>
      </c>
      <c r="V12" s="13">
        <f>_xll.BDH("ALNY US Equity","IS_SH_FOR_DILUTED_EPS","FQ3 2023","FQ3 2023","Currency=USD","Period=FQ","BEST_FPERIOD_OVERRIDE=FQ","FILING_STATUS=MR","Sort=A","Dates=H","DateFormat=P","Fill=—","Direction=H","UseDPDF=Y")</f>
        <v>131.33699999999999</v>
      </c>
      <c r="W12" s="13">
        <f>_xll.BDH("ALNY US Equity","IS_SH_FOR_DILUTED_EPS","FQ4 2023","FQ4 2023","Currency=USD","Period=FQ","BEST_FPERIOD_OVERRIDE=FQ","FILING_STATUS=MR","Sort=A","Dates=H","DateFormat=P","Fill=—","Direction=H","UseDPDF=Y")</f>
        <v>125.613</v>
      </c>
      <c r="X12" s="13">
        <f>_xll.BDH("ALNY US Equity","IS_SH_FOR_DILUTED_EPS","FQ1 2024","FQ1 2024","Currency=USD","Period=FQ","BEST_FPERIOD_OVERRIDE=FQ","FILING_STATUS=MR","Sort=A","Dates=H","DateFormat=P","Fill=—","Direction=H","UseDPDF=Y")</f>
        <v>126.13800000000001</v>
      </c>
      <c r="Y12" s="13">
        <f>_xll.BDH("ALNY US Equity","IS_SH_FOR_DILUTED_EPS","FQ2 2024","FQ2 2024","Currency=USD","Period=FQ","BEST_FPERIOD_OVERRIDE=FQ","FILING_STATUS=MR","Sort=A","Dates=H","DateFormat=P","Fill=—","Direction=H","UseDPDF=Y")</f>
        <v>126.733</v>
      </c>
      <c r="Z12" s="13">
        <f>_xll.BDH("ALNY US Equity","IS_SH_FOR_DILUTED_EPS","FQ3 2024","FQ3 2024","Currency=USD","Period=FQ","BEST_FPERIOD_OVERRIDE=FQ","FILING_STATUS=MR","Sort=A","Dates=H","DateFormat=P","Fill=—","Direction=H","UseDPDF=Y")</f>
        <v>128.59</v>
      </c>
      <c r="AA12" s="13">
        <f>_xll.BDH("ALNY US Equity","IS_SH_FOR_DILUTED_EPS","FQ4 2024","FQ4 2024","Currency=USD","Period=FQ","BEST_FPERIOD_OVERRIDE=FQ","FILING_STATUS=MR","Sort=A","Dates=H","DateFormat=P","Fill=—","Direction=H","UseDPDF=Y")</f>
        <v>129.11600000000001</v>
      </c>
    </row>
    <row r="13" spans="1:27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A14" s="10" t="s">
        <v>109</v>
      </c>
      <c r="B14" s="10" t="s">
        <v>63</v>
      </c>
      <c r="C14" s="13">
        <f>_xll.BDH("ALNY US Equity","CASH_AND_MARKETABLE_SECURITIES","FQ4 2018","FQ4 2018","Currency=USD","Period=FQ","BEST_FPERIOD_OVERRIDE=FQ","FILING_STATUS=MR","SCALING_FORMAT=MLN","Sort=A","Dates=H","DateFormat=P","Fill=—","Direction=H","UseDPDF=Y")</f>
        <v>1084.155</v>
      </c>
      <c r="D14" s="13">
        <f>_xll.BDH("ALNY US Equity","CASH_AND_MARKETABLE_SECURITIES","FQ1 2019","FQ1 2019","Currency=USD","Period=FQ","BEST_FPERIOD_OVERRIDE=FQ","FILING_STATUS=MR","SCALING_FORMAT=MLN","Sort=A","Dates=H","DateFormat=P","Fill=—","Direction=H","UseDPDF=Y")</f>
        <v>1244.537</v>
      </c>
      <c r="E14" s="13">
        <f>_xll.BDH("ALNY US Equity","CASH_AND_MARKETABLE_SECURITIES","FQ2 2019","FQ2 2019","Currency=USD","Period=FQ","BEST_FPERIOD_OVERRIDE=FQ","FILING_STATUS=MR","SCALING_FORMAT=MLN","Sort=A","Dates=H","DateFormat=P","Fill=—","Direction=H","UseDPDF=Y")</f>
        <v>1926.8309999999999</v>
      </c>
      <c r="F14" s="13">
        <f>_xll.BDH("ALNY US Equity","CASH_AND_MARKETABLE_SECURITIES","FQ3 2019","FQ3 2019","Currency=USD","Period=FQ","BEST_FPERIOD_OVERRIDE=FQ","FILING_STATUS=MR","SCALING_FORMAT=MLN","Sort=A","Dates=H","DateFormat=P","Fill=—","Direction=H","UseDPDF=Y")</f>
        <v>1721.058</v>
      </c>
      <c r="G14" s="13">
        <f>_xll.BDH("ALNY US Equity","CASH_AND_MARKETABLE_SECURITIES","FQ4 2019","FQ4 2019","Currency=USD","Period=FQ","BEST_FPERIOD_OVERRIDE=FQ","FILING_STATUS=MR","SCALING_FORMAT=MLN","Sort=A","Dates=H","DateFormat=P","Fill=—","Direction=H","UseDPDF=Y")</f>
        <v>1536.162</v>
      </c>
      <c r="H14" s="13">
        <f>_xll.BDH("ALNY US Equity","CASH_AND_MARKETABLE_SECURITIES","FQ1 2020","FQ1 2020","Currency=USD","Period=FQ","BEST_FPERIOD_OVERRIDE=FQ","FILING_STATUS=MR","SCALING_FORMAT=MLN","Sort=A","Dates=H","DateFormat=P","Fill=—","Direction=H","UseDPDF=Y")</f>
        <v>1342.203</v>
      </c>
      <c r="I14" s="13">
        <f>_xll.BDH("ALNY US Equity","CASH_AND_MARKETABLE_SECURITIES","FQ2 2020","FQ2 2020","Currency=USD","Period=FQ","BEST_FPERIOD_OVERRIDE=FQ","FILING_STATUS=MR","SCALING_FORMAT=MLN","Sort=A","Dates=H","DateFormat=P","Fill=—","Direction=H","UseDPDF=Y")</f>
        <v>1925.5640000000001</v>
      </c>
      <c r="J14" s="13">
        <f>_xll.BDH("ALNY US Equity","CASH_AND_MARKETABLE_SECURITIES","FQ3 2020","FQ3 2020","Currency=USD","Period=FQ","BEST_FPERIOD_OVERRIDE=FQ","FILING_STATUS=MR","SCALING_FORMAT=MLN","Sort=A","Dates=H","DateFormat=P","Fill=—","Direction=H","UseDPDF=Y")</f>
        <v>1833.876</v>
      </c>
      <c r="K14" s="13">
        <f>_xll.BDH("ALNY US Equity","CASH_AND_MARKETABLE_SECURITIES","FQ4 2020","FQ4 2020","Currency=USD","Period=FQ","BEST_FPERIOD_OVERRIDE=FQ","FILING_STATUS=MR","SCALING_FORMAT=MLN","Sort=A","Dates=H","DateFormat=P","Fill=—","Direction=H","UseDPDF=Y")</f>
        <v>1874.395</v>
      </c>
      <c r="L14" s="13">
        <f>_xll.BDH("ALNY US Equity","CASH_AND_MARKETABLE_SECURITIES","FQ1 2021","FQ1 2021","Currency=USD","Period=FQ","BEST_FPERIOD_OVERRIDE=FQ","FILING_STATUS=MR","SCALING_FORMAT=MLN","Sort=A","Dates=H","DateFormat=P","Fill=—","Direction=H","UseDPDF=Y")</f>
        <v>1709.537</v>
      </c>
      <c r="M14" s="13">
        <f>_xll.BDH("ALNY US Equity","CASH_AND_MARKETABLE_SECURITIES","FQ2 2021","FQ2 2021","Currency=USD","Period=FQ","BEST_FPERIOD_OVERRIDE=FQ","FILING_STATUS=MR","SCALING_FORMAT=MLN","Sort=A","Dates=H","DateFormat=P","Fill=—","Direction=H","UseDPDF=Y")</f>
        <v>1900.0820000000001</v>
      </c>
      <c r="N14" s="13">
        <f>_xll.BDH("ALNY US Equity","CASH_AND_MARKETABLE_SECURITIES","FQ3 2021","FQ3 2021","Currency=USD","Period=FQ","BEST_FPERIOD_OVERRIDE=FQ","FILING_STATUS=MR","SCALING_FORMAT=MLN","Sort=A","Dates=H","DateFormat=P","Fill=—","Direction=H","UseDPDF=Y")</f>
        <v>2327.8649999999998</v>
      </c>
      <c r="O14" s="13">
        <f>_xll.BDH("ALNY US Equity","CASH_AND_MARKETABLE_SECURITIES","FQ4 2021","FQ4 2021","Currency=USD","Period=FQ","BEST_FPERIOD_OVERRIDE=FQ","FILING_STATUS=MR","SCALING_FORMAT=MLN","Sort=A","Dates=H","DateFormat=P","Fill=—","Direction=H","UseDPDF=Y")</f>
        <v>2435.5639999999999</v>
      </c>
      <c r="P14" s="13">
        <f>_xll.BDH("ALNY US Equity","CASH_AND_MARKETABLE_SECURITIES","FQ1 2022","FQ1 2022","Currency=USD","Period=FQ","BEST_FPERIOD_OVERRIDE=FQ","FILING_STATUS=MR","SCALING_FORMAT=MLN","Sort=A","Dates=H","DateFormat=P","Fill=—","Direction=H","UseDPDF=Y")</f>
        <v>2239.5630000000001</v>
      </c>
      <c r="Q14" s="13">
        <f>_xll.BDH("ALNY US Equity","CASH_AND_MARKETABLE_SECURITIES","FQ2 2022","FQ2 2022","Currency=USD","Period=FQ","BEST_FPERIOD_OVERRIDE=FQ","FILING_STATUS=MR","SCALING_FORMAT=MLN","Sort=A","Dates=H","DateFormat=P","Fill=—","Direction=H","UseDPDF=Y")</f>
        <v>2110.6129999999998</v>
      </c>
      <c r="R14" s="13">
        <f>_xll.BDH("ALNY US Equity","CASH_AND_MARKETABLE_SECURITIES","FQ3 2022","FQ3 2022","Currency=USD","Period=FQ","BEST_FPERIOD_OVERRIDE=FQ","FILING_STATUS=MR","SCALING_FORMAT=MLN","Sort=A","Dates=H","DateFormat=P","Fill=—","Direction=H","UseDPDF=Y")</f>
        <v>2265.3290000000002</v>
      </c>
      <c r="S14" s="13">
        <f>_xll.BDH("ALNY US Equity","CASH_AND_MARKETABLE_SECURITIES","FQ4 2022","FQ4 2022","Currency=USD","Period=FQ","BEST_FPERIOD_OVERRIDE=FQ","FILING_STATUS=MR","SCALING_FORMAT=MLN","Sort=A","Dates=H","DateFormat=P","Fill=—","Direction=H","UseDPDF=Y")</f>
        <v>2192.4059999999999</v>
      </c>
      <c r="T14" s="13">
        <f>_xll.BDH("ALNY US Equity","CASH_AND_MARKETABLE_SECURITIES","FQ1 2023","FQ1 2023","Currency=USD","Period=FQ","BEST_FPERIOD_OVERRIDE=FQ","FILING_STATUS=MR","SCALING_FORMAT=MLN","Sort=A","Dates=H","DateFormat=P","Fill=—","Direction=H","UseDPDF=Y")</f>
        <v>2070.6750000000002</v>
      </c>
      <c r="U14" s="13">
        <f>_xll.BDH("ALNY US Equity","CASH_AND_MARKETABLE_SECURITIES","FQ2 2023","FQ2 2023","Currency=USD","Period=FQ","BEST_FPERIOD_OVERRIDE=FQ","FILING_STATUS=MR","SCALING_FORMAT=MLN","Sort=A","Dates=H","DateFormat=P","Fill=—","Direction=H","UseDPDF=Y")</f>
        <v>2057.5070000000001</v>
      </c>
      <c r="V14" s="13">
        <f>_xll.BDH("ALNY US Equity","CASH_AND_MARKETABLE_SECURITIES","FQ3 2023","FQ3 2023","Currency=USD","Period=FQ","BEST_FPERIOD_OVERRIDE=FQ","FILING_STATUS=MR","SCALING_FORMAT=MLN","Sort=A","Dates=H","DateFormat=P","Fill=—","Direction=H","UseDPDF=Y")</f>
        <v>2406.2779999999998</v>
      </c>
      <c r="W14" s="13">
        <f>_xll.BDH("ALNY US Equity","CASH_AND_MARKETABLE_SECURITIES","FQ4 2023","FQ4 2023","Currency=USD","Period=FQ","BEST_FPERIOD_OVERRIDE=FQ","FILING_STATUS=MR","SCALING_FORMAT=MLN","Sort=A","Dates=H","DateFormat=P","Fill=—","Direction=H","UseDPDF=Y")</f>
        <v>2439.3820000000001</v>
      </c>
      <c r="X14" s="13">
        <f>_xll.BDH("ALNY US Equity","CASH_AND_MARKETABLE_SECURITIES","FQ1 2024","FQ1 2024","Currency=USD","Period=FQ","BEST_FPERIOD_OVERRIDE=FQ","FILING_STATUS=MR","SCALING_FORMAT=MLN","Sort=A","Dates=H","DateFormat=P","Fill=—","Direction=H","UseDPDF=Y")</f>
        <v>2371.2820000000002</v>
      </c>
      <c r="Y14" s="13">
        <f>_xll.BDH("ALNY US Equity","CASH_AND_MARKETABLE_SECURITIES","FQ2 2024","FQ2 2024","Currency=USD","Period=FQ","BEST_FPERIOD_OVERRIDE=FQ","FILING_STATUS=MR","SCALING_FORMAT=MLN","Sort=A","Dates=H","DateFormat=P","Fill=—","Direction=H","UseDPDF=Y")</f>
        <v>2624.6489999999999</v>
      </c>
      <c r="Z14" s="13">
        <f>_xll.BDH("ALNY US Equity","CASH_AND_MARKETABLE_SECURITIES","FQ3 2024","FQ3 2024","Currency=USD","Period=FQ","BEST_FPERIOD_OVERRIDE=FQ","FILING_STATUS=MR","SCALING_FORMAT=MLN","Sort=A","Dates=H","DateFormat=P","Fill=—","Direction=H","UseDPDF=Y")</f>
        <v>2780.2350000000001</v>
      </c>
      <c r="AA14" s="13">
        <f>_xll.BDH("ALNY US Equity","CASH_AND_MARKETABLE_SECURITIES","FQ4 2024","FQ4 2024","Currency=USD","Period=FQ","BEST_FPERIOD_OVERRIDE=FQ","FILING_STATUS=MR","SCALING_FORMAT=MLN","Sort=A","Dates=H","DateFormat=P","Fill=—","Direction=H","UseDPDF=Y")</f>
        <v>2694.5039999999999</v>
      </c>
    </row>
    <row r="15" spans="1:27" x14ac:dyDescent="0.25">
      <c r="A15" s="10" t="s">
        <v>110</v>
      </c>
      <c r="B15" s="10" t="s">
        <v>111</v>
      </c>
      <c r="C15" s="13">
        <f>_xll.BDH("ALNY US Equity","BS_CUR_ASSET_REPORT","FQ4 2018","FQ4 2018","Currency=USD","Period=FQ","BEST_FPERIOD_OVERRIDE=FQ","FILING_STATUS=MR","SCALING_FORMAT=MLN","Sort=A","Dates=H","DateFormat=P","Fill=—","Direction=H","UseDPDF=Y")</f>
        <v>1200.6959999999999</v>
      </c>
      <c r="D15" s="13">
        <f>_xll.BDH("ALNY US Equity","BS_CUR_ASSET_REPORT","FQ1 2019","FQ1 2019","Currency=USD","Period=FQ","BEST_FPERIOD_OVERRIDE=FQ","FILING_STATUS=MR","SCALING_FORMAT=MLN","Sort=A","Dates=H","DateFormat=P","Fill=—","Direction=H","UseDPDF=Y")</f>
        <v>1392.0129999999999</v>
      </c>
      <c r="E15" s="13">
        <f>_xll.BDH("ALNY US Equity","BS_CUR_ASSET_REPORT","FQ2 2019","FQ2 2019","Currency=USD","Period=FQ","BEST_FPERIOD_OVERRIDE=FQ","FILING_STATUS=MR","SCALING_FORMAT=MLN","Sort=A","Dates=H","DateFormat=P","Fill=—","Direction=H","UseDPDF=Y")</f>
        <v>2063.7730000000001</v>
      </c>
      <c r="F15" s="13">
        <f>_xll.BDH("ALNY US Equity","BS_CUR_ASSET_REPORT","FQ3 2019","FQ3 2019","Currency=USD","Period=FQ","BEST_FPERIOD_OVERRIDE=FQ","FILING_STATUS=MR","SCALING_FORMAT=MLN","Sort=A","Dates=H","DateFormat=P","Fill=—","Direction=H","UseDPDF=Y")</f>
        <v>1897.2650000000001</v>
      </c>
      <c r="G15" s="13">
        <f>_xll.BDH("ALNY US Equity","BS_CUR_ASSET_REPORT","FQ4 2019","FQ4 2019","Currency=USD","Period=FQ","BEST_FPERIOD_OVERRIDE=FQ","FILING_STATUS=MR","SCALING_FORMAT=MLN","Sort=A","Dates=H","DateFormat=P","Fill=—","Direction=H","UseDPDF=Y")</f>
        <v>1715.864</v>
      </c>
      <c r="H15" s="13">
        <f>_xll.BDH("ALNY US Equity","BS_CUR_ASSET_REPORT","FQ1 2020","FQ1 2020","Currency=USD","Period=FQ","BEST_FPERIOD_OVERRIDE=FQ","FILING_STATUS=MR","SCALING_FORMAT=MLN","Sort=A","Dates=H","DateFormat=P","Fill=—","Direction=H","UseDPDF=Y")</f>
        <v>1584.7729999999999</v>
      </c>
      <c r="I15" s="13">
        <f>_xll.BDH("ALNY US Equity","BS_CUR_ASSET_REPORT","FQ2 2020","FQ2 2020","Currency=USD","Period=FQ","BEST_FPERIOD_OVERRIDE=FQ","FILING_STATUS=MR","SCALING_FORMAT=MLN","Sort=A","Dates=H","DateFormat=P","Fill=—","Direction=H","UseDPDF=Y")</f>
        <v>2160.4459999999999</v>
      </c>
      <c r="J15" s="13">
        <f>_xll.BDH("ALNY US Equity","BS_CUR_ASSET_REPORT","FQ3 2020","FQ3 2020","Currency=USD","Period=FQ","BEST_FPERIOD_OVERRIDE=FQ","FILING_STATUS=MR","SCALING_FORMAT=MLN","Sort=A","Dates=H","DateFormat=P","Fill=—","Direction=H","UseDPDF=Y")</f>
        <v>2554.7020000000002</v>
      </c>
      <c r="K15" s="13">
        <f>_xll.BDH("ALNY US Equity","BS_CUR_ASSET_REPORT","FQ4 2020","FQ4 2020","Currency=USD","Period=FQ","BEST_FPERIOD_OVERRIDE=FQ","FILING_STATUS=MR","SCALING_FORMAT=MLN","Sort=A","Dates=H","DateFormat=P","Fill=—","Direction=H","UseDPDF=Y")</f>
        <v>2614.777</v>
      </c>
      <c r="L15" s="13">
        <f>_xll.BDH("ALNY US Equity","BS_CUR_ASSET_REPORT","FQ1 2021","FQ1 2021","Currency=USD","Period=FQ","BEST_FPERIOD_OVERRIDE=FQ","FILING_STATUS=MR","SCALING_FORMAT=MLN","Sort=A","Dates=H","DateFormat=P","Fill=—","Direction=H","UseDPDF=Y")</f>
        <v>2470.0830000000001</v>
      </c>
      <c r="M15" s="13">
        <f>_xll.BDH("ALNY US Equity","BS_CUR_ASSET_REPORT","FQ2 2021","FQ2 2021","Currency=USD","Period=FQ","BEST_FPERIOD_OVERRIDE=FQ","FILING_STATUS=MR","SCALING_FORMAT=MLN","Sort=A","Dates=H","DateFormat=P","Fill=—","Direction=H","UseDPDF=Y")</f>
        <v>2725.163</v>
      </c>
      <c r="N15" s="13">
        <f>_xll.BDH("ALNY US Equity","BS_CUR_ASSET_REPORT","FQ3 2021","FQ3 2021","Currency=USD","Period=FQ","BEST_FPERIOD_OVERRIDE=FQ","FILING_STATUS=MR","SCALING_FORMAT=MLN","Sort=A","Dates=H","DateFormat=P","Fill=—","Direction=H","UseDPDF=Y")</f>
        <v>2675.3620000000001</v>
      </c>
      <c r="O15" s="13">
        <f>_xll.BDH("ALNY US Equity","BS_CUR_ASSET_REPORT","FQ4 2021","FQ4 2021","Currency=USD","Period=FQ","BEST_FPERIOD_OVERRIDE=FQ","FILING_STATUS=MR","SCALING_FORMAT=MLN","Sort=A","Dates=H","DateFormat=P","Fill=—","Direction=H","UseDPDF=Y")</f>
        <v>2808.576</v>
      </c>
      <c r="P15" s="13">
        <f>_xll.BDH("ALNY US Equity","BS_CUR_ASSET_REPORT","FQ1 2022","FQ1 2022","Currency=USD","Period=FQ","BEST_FPERIOD_OVERRIDE=FQ","FILING_STATUS=MR","SCALING_FORMAT=MLN","Sort=A","Dates=H","DateFormat=P","Fill=—","Direction=H","UseDPDF=Y")</f>
        <v>2589.6770000000001</v>
      </c>
      <c r="Q15" s="13">
        <f>_xll.BDH("ALNY US Equity","BS_CUR_ASSET_REPORT","FQ2 2022","FQ2 2022","Currency=USD","Period=FQ","BEST_FPERIOD_OVERRIDE=FQ","FILING_STATUS=MR","SCALING_FORMAT=MLN","Sort=A","Dates=H","DateFormat=P","Fill=—","Direction=H","UseDPDF=Y")</f>
        <v>2471.6379999999999</v>
      </c>
      <c r="R15" s="13">
        <f>_xll.BDH("ALNY US Equity","BS_CUR_ASSET_REPORT","FQ3 2022","FQ3 2022","Currency=USD","Period=FQ","BEST_FPERIOD_OVERRIDE=FQ","FILING_STATUS=MR","SCALING_FORMAT=MLN","Sort=A","Dates=H","DateFormat=P","Fill=—","Direction=H","UseDPDF=Y")</f>
        <v>2690.8470000000002</v>
      </c>
      <c r="S15" s="13">
        <f>_xll.BDH("ALNY US Equity","BS_CUR_ASSET_REPORT","FQ4 2022","FQ4 2022","Currency=USD","Period=FQ","BEST_FPERIOD_OVERRIDE=FQ","FILING_STATUS=MR","SCALING_FORMAT=MLN","Sort=A","Dates=H","DateFormat=P","Fill=—","Direction=H","UseDPDF=Y")</f>
        <v>2692.2469999999998</v>
      </c>
      <c r="T15" s="13">
        <f>_xll.BDH("ALNY US Equity","BS_CUR_ASSET_REPORT","FQ1 2023","FQ1 2023","Currency=USD","Period=FQ","BEST_FPERIOD_OVERRIDE=FQ","FILING_STATUS=MR","SCALING_FORMAT=MLN","Sort=A","Dates=H","DateFormat=P","Fill=—","Direction=H","UseDPDF=Y")</f>
        <v>2541.018</v>
      </c>
      <c r="U15" s="13">
        <f>_xll.BDH("ALNY US Equity","BS_CUR_ASSET_REPORT","FQ2 2023","FQ2 2023","Currency=USD","Period=FQ","BEST_FPERIOD_OVERRIDE=FQ","FILING_STATUS=MR","SCALING_FORMAT=MLN","Sort=A","Dates=H","DateFormat=P","Fill=—","Direction=H","UseDPDF=Y")</f>
        <v>2524.047</v>
      </c>
      <c r="V15" s="13">
        <f>_xll.BDH("ALNY US Equity","BS_CUR_ASSET_REPORT","FQ3 2023","FQ3 2023","Currency=USD","Period=FQ","BEST_FPERIOD_OVERRIDE=FQ","FILING_STATUS=MR","SCALING_FORMAT=MLN","Sort=A","Dates=H","DateFormat=P","Fill=—","Direction=H","UseDPDF=Y")</f>
        <v>2985.4520000000002</v>
      </c>
      <c r="W15" s="13">
        <f>_xll.BDH("ALNY US Equity","BS_CUR_ASSET_REPORT","FQ4 2023","FQ4 2023","Currency=USD","Period=FQ","BEST_FPERIOD_OVERRIDE=FQ","FILING_STATUS=MR","SCALING_FORMAT=MLN","Sort=A","Dates=H","DateFormat=P","Fill=—","Direction=H","UseDPDF=Y")</f>
        <v>2982.6970000000001</v>
      </c>
      <c r="X15" s="13">
        <f>_xll.BDH("ALNY US Equity","BS_CUR_ASSET_REPORT","FQ1 2024","FQ1 2024","Currency=USD","Period=FQ","BEST_FPERIOD_OVERRIDE=FQ","FILING_STATUS=MR","SCALING_FORMAT=MLN","Sort=A","Dates=H","DateFormat=P","Fill=—","Direction=H","UseDPDF=Y")</f>
        <v>2988.607</v>
      </c>
      <c r="Y15" s="13">
        <f>_xll.BDH("ALNY US Equity","BS_CUR_ASSET_REPORT","FQ2 2024","FQ2 2024","Currency=USD","Period=FQ","BEST_FPERIOD_OVERRIDE=FQ","FILING_STATUS=MR","SCALING_FORMAT=MLN","Sort=A","Dates=H","DateFormat=P","Fill=—","Direction=H","UseDPDF=Y")</f>
        <v>3172.8560000000002</v>
      </c>
      <c r="Z15" s="13">
        <f>_xll.BDH("ALNY US Equity","BS_CUR_ASSET_REPORT","FQ3 2024","FQ3 2024","Currency=USD","Period=FQ","BEST_FPERIOD_OVERRIDE=FQ","FILING_STATUS=MR","SCALING_FORMAT=MLN","Sort=A","Dates=H","DateFormat=P","Fill=—","Direction=H","UseDPDF=Y")</f>
        <v>3355.424</v>
      </c>
      <c r="AA15" s="13">
        <f>_xll.BDH("ALNY US Equity","BS_CUR_ASSET_REPORT","FQ4 2024","FQ4 2024","Currency=USD","Period=FQ","BEST_FPERIOD_OVERRIDE=FQ","FILING_STATUS=MR","SCALING_FORMAT=MLN","Sort=A","Dates=H","DateFormat=P","Fill=—","Direction=H","UseDPDF=Y")</f>
        <v>3295.2849999999999</v>
      </c>
    </row>
    <row r="16" spans="1:27" x14ac:dyDescent="0.25">
      <c r="A16" s="10" t="s">
        <v>112</v>
      </c>
      <c r="B16" s="10" t="s">
        <v>113</v>
      </c>
      <c r="C16" s="13">
        <f>_xll.BDH("ALNY US Equity","BS_TOT_ASSET","FQ4 2018","FQ4 2018","Currency=USD","Period=FQ","BEST_FPERIOD_OVERRIDE=FQ","FILING_STATUS=MR","SCALING_FORMAT=MLN","Sort=A","Dates=H","DateFormat=P","Fill=—","Direction=H","UseDPDF=Y")</f>
        <v>1574.8019999999999</v>
      </c>
      <c r="D16" s="13">
        <f>_xll.BDH("ALNY US Equity","BS_TOT_ASSET","FQ1 2019","FQ1 2019","Currency=USD","Period=FQ","BEST_FPERIOD_OVERRIDE=FQ","FILING_STATUS=MR","SCALING_FORMAT=MLN","Sort=A","Dates=H","DateFormat=P","Fill=—","Direction=H","UseDPDF=Y")</f>
        <v>2013.999</v>
      </c>
      <c r="E16" s="13">
        <f>_xll.BDH("ALNY US Equity","BS_TOT_ASSET","FQ2 2019","FQ2 2019","Currency=USD","Period=FQ","BEST_FPERIOD_OVERRIDE=FQ","FILING_STATUS=MR","SCALING_FORMAT=MLN","Sort=A","Dates=H","DateFormat=P","Fill=—","Direction=H","UseDPDF=Y")</f>
        <v>2716.4110000000001</v>
      </c>
      <c r="F16" s="13">
        <f>_xll.BDH("ALNY US Equity","BS_TOT_ASSET","FQ3 2019","FQ3 2019","Currency=USD","Period=FQ","BEST_FPERIOD_OVERRIDE=FQ","FILING_STATUS=MR","SCALING_FORMAT=MLN","Sort=A","Dates=H","DateFormat=P","Fill=—","Direction=H","UseDPDF=Y")</f>
        <v>2541.6219999999998</v>
      </c>
      <c r="G16" s="13">
        <f>_xll.BDH("ALNY US Equity","BS_TOT_ASSET","FQ4 2019","FQ4 2019","Currency=USD","Period=FQ","BEST_FPERIOD_OVERRIDE=FQ","FILING_STATUS=MR","SCALING_FORMAT=MLN","Sort=A","Dates=H","DateFormat=P","Fill=—","Direction=H","UseDPDF=Y")</f>
        <v>2395.134</v>
      </c>
      <c r="H16" s="13">
        <f>_xll.BDH("ALNY US Equity","BS_TOT_ASSET","FQ1 2020","FQ1 2020","Currency=USD","Period=FQ","BEST_FPERIOD_OVERRIDE=FQ","FILING_STATUS=MR","SCALING_FORMAT=MLN","Sort=A","Dates=H","DateFormat=P","Fill=—","Direction=H","UseDPDF=Y")</f>
        <v>2279.6239999999998</v>
      </c>
      <c r="I16" s="13">
        <f>_xll.BDH("ALNY US Equity","BS_TOT_ASSET","FQ2 2020","FQ2 2020","Currency=USD","Period=FQ","BEST_FPERIOD_OVERRIDE=FQ","FILING_STATUS=MR","SCALING_FORMAT=MLN","Sort=A","Dates=H","DateFormat=P","Fill=—","Direction=H","UseDPDF=Y")</f>
        <v>3374.3670000000002</v>
      </c>
      <c r="J16" s="13">
        <f>_xll.BDH("ALNY US Equity","BS_TOT_ASSET","FQ3 2020","FQ3 2020","Currency=USD","Period=FQ","BEST_FPERIOD_OVERRIDE=FQ","FILING_STATUS=MR","SCALING_FORMAT=MLN","Sort=A","Dates=H","DateFormat=P","Fill=—","Direction=H","UseDPDF=Y")</f>
        <v>3307.2829999999999</v>
      </c>
      <c r="K16" s="13">
        <f>_xll.BDH("ALNY US Equity","BS_TOT_ASSET","FQ4 2020","FQ4 2020","Currency=USD","Period=FQ","BEST_FPERIOD_OVERRIDE=FQ","FILING_STATUS=MR","SCALING_FORMAT=MLN","Sort=A","Dates=H","DateFormat=P","Fill=—","Direction=H","UseDPDF=Y")</f>
        <v>3407.0610000000001</v>
      </c>
      <c r="L16" s="13">
        <f>_xll.BDH("ALNY US Equity","BS_TOT_ASSET","FQ1 2021","FQ1 2021","Currency=USD","Period=FQ","BEST_FPERIOD_OVERRIDE=FQ","FILING_STATUS=MR","SCALING_FORMAT=MLN","Sort=A","Dates=H","DateFormat=P","Fill=—","Direction=H","UseDPDF=Y")</f>
        <v>3255.2689999999998</v>
      </c>
      <c r="M16" s="13">
        <f>_xll.BDH("ALNY US Equity","BS_TOT_ASSET","FQ2 2021","FQ2 2021","Currency=USD","Period=FQ","BEST_FPERIOD_OVERRIDE=FQ","FILING_STATUS=MR","SCALING_FORMAT=MLN","Sort=A","Dates=H","DateFormat=P","Fill=—","Direction=H","UseDPDF=Y")</f>
        <v>3509.4290000000001</v>
      </c>
      <c r="N16" s="13">
        <f>_xll.BDH("ALNY US Equity","BS_TOT_ASSET","FQ3 2021","FQ3 2021","Currency=USD","Period=FQ","BEST_FPERIOD_OVERRIDE=FQ","FILING_STATUS=MR","SCALING_FORMAT=MLN","Sort=A","Dates=H","DateFormat=P","Fill=—","Direction=H","UseDPDF=Y")</f>
        <v>3472.3130000000001</v>
      </c>
      <c r="O16" s="13">
        <f>_xll.BDH("ALNY US Equity","BS_TOT_ASSET","FQ4 2021","FQ4 2021","Currency=USD","Period=FQ","BEST_FPERIOD_OVERRIDE=FQ","FILING_STATUS=MR","SCALING_FORMAT=MLN","Sort=A","Dates=H","DateFormat=P","Fill=—","Direction=H","UseDPDF=Y")</f>
        <v>3643.3040000000001</v>
      </c>
      <c r="P16" s="13">
        <f>_xll.BDH("ALNY US Equity","BS_TOT_ASSET","FQ1 2022","FQ1 2022","Currency=USD","Period=FQ","BEST_FPERIOD_OVERRIDE=FQ","FILING_STATUS=MR","SCALING_FORMAT=MLN","Sort=A","Dates=H","DateFormat=P","Fill=—","Direction=H","UseDPDF=Y")</f>
        <v>3433.5450000000001</v>
      </c>
      <c r="Q16" s="13">
        <f>_xll.BDH("ALNY US Equity","BS_TOT_ASSET","FQ2 2022","FQ2 2022","Currency=USD","Period=FQ","BEST_FPERIOD_OVERRIDE=FQ","FILING_STATUS=MR","SCALING_FORMAT=MLN","Sort=A","Dates=H","DateFormat=P","Fill=—","Direction=H","UseDPDF=Y")</f>
        <v>3330.4169999999999</v>
      </c>
      <c r="R16" s="13">
        <f>_xll.BDH("ALNY US Equity","BS_TOT_ASSET","FQ3 2022","FQ3 2022","Currency=USD","Period=FQ","BEST_FPERIOD_OVERRIDE=FQ","FILING_STATUS=MR","SCALING_FORMAT=MLN","Sort=A","Dates=H","DateFormat=P","Fill=—","Direction=H","UseDPDF=Y")</f>
        <v>3535.2550000000001</v>
      </c>
      <c r="S16" s="13">
        <f>_xll.BDH("ALNY US Equity","BS_TOT_ASSET","FQ4 2022","FQ4 2022","Currency=USD","Period=FQ","BEST_FPERIOD_OVERRIDE=FQ","FILING_STATUS=MR","SCALING_FORMAT=MLN","Sort=A","Dates=H","DateFormat=P","Fill=—","Direction=H","UseDPDF=Y")</f>
        <v>3546.3589999999999</v>
      </c>
      <c r="T16" s="13">
        <f>_xll.BDH("ALNY US Equity","BS_TOT_ASSET","FQ1 2023","FQ1 2023","Currency=USD","Period=FQ","BEST_FPERIOD_OVERRIDE=FQ","FILING_STATUS=MR","SCALING_FORMAT=MLN","Sort=A","Dates=H","DateFormat=P","Fill=—","Direction=H","UseDPDF=Y")</f>
        <v>3391.94</v>
      </c>
      <c r="U16" s="13">
        <f>_xll.BDH("ALNY US Equity","BS_TOT_ASSET","FQ2 2023","FQ2 2023","Currency=USD","Period=FQ","BEST_FPERIOD_OVERRIDE=FQ","FILING_STATUS=MR","SCALING_FORMAT=MLN","Sort=A","Dates=H","DateFormat=P","Fill=—","Direction=H","UseDPDF=Y")</f>
        <v>3402.3960000000002</v>
      </c>
      <c r="V16" s="13">
        <f>_xll.BDH("ALNY US Equity","BS_TOT_ASSET","FQ3 2023","FQ3 2023","Currency=USD","Period=FQ","BEST_FPERIOD_OVERRIDE=FQ","FILING_STATUS=MR","SCALING_FORMAT=MLN","Sort=A","Dates=H","DateFormat=P","Fill=—","Direction=H","UseDPDF=Y")</f>
        <v>3839.0729999999999</v>
      </c>
      <c r="W16" s="13">
        <f>_xll.BDH("ALNY US Equity","BS_TOT_ASSET","FQ4 2023","FQ4 2023","Currency=USD","Period=FQ","BEST_FPERIOD_OVERRIDE=FQ","FILING_STATUS=MR","SCALING_FORMAT=MLN","Sort=A","Dates=H","DateFormat=P","Fill=—","Direction=H","UseDPDF=Y")</f>
        <v>3829.88</v>
      </c>
      <c r="X16" s="13">
        <f>_xll.BDH("ALNY US Equity","BS_TOT_ASSET","FQ1 2024","FQ1 2024","Currency=USD","Period=FQ","BEST_FPERIOD_OVERRIDE=FQ","FILING_STATUS=MR","SCALING_FORMAT=MLN","Sort=A","Dates=H","DateFormat=P","Fill=—","Direction=H","UseDPDF=Y")</f>
        <v>3824.386</v>
      </c>
      <c r="Y16" s="13">
        <f>_xll.BDH("ALNY US Equity","BS_TOT_ASSET","FQ2 2024","FQ2 2024","Currency=USD","Period=FQ","BEST_FPERIOD_OVERRIDE=FQ","FILING_STATUS=MR","SCALING_FORMAT=MLN","Sort=A","Dates=H","DateFormat=P","Fill=—","Direction=H","UseDPDF=Y")</f>
        <v>4009.634</v>
      </c>
      <c r="Z16" s="13">
        <f>_xll.BDH("ALNY US Equity","BS_TOT_ASSET","FQ3 2024","FQ3 2024","Currency=USD","Period=FQ","BEST_FPERIOD_OVERRIDE=FQ","FILING_STATUS=MR","SCALING_FORMAT=MLN","Sort=A","Dates=H","DateFormat=P","Fill=—","Direction=H","UseDPDF=Y")</f>
        <v>4205.0389999999998</v>
      </c>
      <c r="AA16" s="13">
        <f>_xll.BDH("ALNY US Equity","BS_TOT_ASSET","FQ4 2024","FQ4 2024","Currency=USD","Period=FQ","BEST_FPERIOD_OVERRIDE=FQ","FILING_STATUS=MR","SCALING_FORMAT=MLN","Sort=A","Dates=H","DateFormat=P","Fill=—","Direction=H","UseDPDF=Y")</f>
        <v>4239.9830000000002</v>
      </c>
    </row>
    <row r="17" spans="1:27" x14ac:dyDescent="0.25">
      <c r="A17" s="10" t="s">
        <v>114</v>
      </c>
      <c r="B17" s="10" t="s">
        <v>115</v>
      </c>
      <c r="C17" s="13">
        <f>_xll.BDH("ALNY US Equity","BS_CUR_LIAB","FQ4 2018","FQ4 2018","Currency=USD","Period=FQ","BEST_FPERIOD_OVERRIDE=FQ","FILING_STATUS=MR","SCALING_FORMAT=MLN","Sort=A","Dates=H","DateFormat=P","Fill=—","Direction=H","UseDPDF=Y")</f>
        <v>179.494</v>
      </c>
      <c r="D17" s="13">
        <f>_xll.BDH("ALNY US Equity","BS_CUR_LIAB","FQ1 2019","FQ1 2019","Currency=USD","Period=FQ","BEST_FPERIOD_OVERRIDE=FQ","FILING_STATUS=MR","SCALING_FORMAT=MLN","Sort=A","Dates=H","DateFormat=P","Fill=—","Direction=H","UseDPDF=Y")</f>
        <v>149.16300000000001</v>
      </c>
      <c r="E17" s="13">
        <f>_xll.BDH("ALNY US Equity","BS_CUR_LIAB","FQ2 2019","FQ2 2019","Currency=USD","Period=FQ","BEST_FPERIOD_OVERRIDE=FQ","FILING_STATUS=MR","SCALING_FORMAT=MLN","Sort=A","Dates=H","DateFormat=P","Fill=—","Direction=H","UseDPDF=Y")</f>
        <v>328.60399999999998</v>
      </c>
      <c r="F17" s="13">
        <f>_xll.BDH("ALNY US Equity","BS_CUR_LIAB","FQ3 2019","FQ3 2019","Currency=USD","Period=FQ","BEST_FPERIOD_OVERRIDE=FQ","FILING_STATUS=MR","SCALING_FORMAT=MLN","Sort=A","Dates=H","DateFormat=P","Fill=—","Direction=H","UseDPDF=Y")</f>
        <v>352.86399999999998</v>
      </c>
      <c r="G17" s="13">
        <f>_xll.BDH("ALNY US Equity","BS_CUR_LIAB","FQ4 2019","FQ4 2019","Currency=USD","Period=FQ","BEST_FPERIOD_OVERRIDE=FQ","FILING_STATUS=MR","SCALING_FORMAT=MLN","Sort=A","Dates=H","DateFormat=P","Fill=—","Direction=H","UseDPDF=Y")</f>
        <v>352.59399999999999</v>
      </c>
      <c r="H17" s="13">
        <f>_xll.BDH("ALNY US Equity","BS_CUR_LIAB","FQ1 2020","FQ1 2020","Currency=USD","Period=FQ","BEST_FPERIOD_OVERRIDE=FQ","FILING_STATUS=MR","SCALING_FORMAT=MLN","Sort=A","Dates=H","DateFormat=P","Fill=—","Direction=H","UseDPDF=Y")</f>
        <v>338.791</v>
      </c>
      <c r="I17" s="13">
        <f>_xll.BDH("ALNY US Equity","BS_CUR_LIAB","FQ2 2020","FQ2 2020","Currency=USD","Period=FQ","BEST_FPERIOD_OVERRIDE=FQ","FILING_STATUS=MR","SCALING_FORMAT=MLN","Sort=A","Dates=H","DateFormat=P","Fill=—","Direction=H","UseDPDF=Y")</f>
        <v>384.30200000000002</v>
      </c>
      <c r="J17" s="13">
        <f>_xll.BDH("ALNY US Equity","BS_CUR_LIAB","FQ3 2020","FQ3 2020","Currency=USD","Period=FQ","BEST_FPERIOD_OVERRIDE=FQ","FILING_STATUS=MR","SCALING_FORMAT=MLN","Sort=A","Dates=H","DateFormat=P","Fill=—","Direction=H","UseDPDF=Y")</f>
        <v>480.24099999999999</v>
      </c>
      <c r="K17" s="13">
        <f>_xll.BDH("ALNY US Equity","BS_CUR_LIAB","FQ4 2020","FQ4 2020","Currency=USD","Period=FQ","BEST_FPERIOD_OVERRIDE=FQ","FILING_STATUS=MR","SCALING_FORMAT=MLN","Sort=A","Dates=H","DateFormat=P","Fill=—","Direction=H","UseDPDF=Y")</f>
        <v>585.27</v>
      </c>
      <c r="L17" s="13">
        <f>_xll.BDH("ALNY US Equity","BS_CUR_LIAB","FQ1 2021","FQ1 2021","Currency=USD","Period=FQ","BEST_FPERIOD_OVERRIDE=FQ","FILING_STATUS=MR","SCALING_FORMAT=MLN","Sort=A","Dates=H","DateFormat=P","Fill=—","Direction=H","UseDPDF=Y")</f>
        <v>494.82499999999999</v>
      </c>
      <c r="M17" s="13">
        <f>_xll.BDH("ALNY US Equity","BS_CUR_LIAB","FQ2 2021","FQ2 2021","Currency=USD","Period=FQ","BEST_FPERIOD_OVERRIDE=FQ","FILING_STATUS=MR","SCALING_FORMAT=MLN","Sort=A","Dates=H","DateFormat=P","Fill=—","Direction=H","UseDPDF=Y")</f>
        <v>554.64800000000002</v>
      </c>
      <c r="N17" s="13">
        <f>_xll.BDH("ALNY US Equity","BS_CUR_LIAB","FQ3 2021","FQ3 2021","Currency=USD","Period=FQ","BEST_FPERIOD_OVERRIDE=FQ","FILING_STATUS=MR","SCALING_FORMAT=MLN","Sort=A","Dates=H","DateFormat=P","Fill=—","Direction=H","UseDPDF=Y")</f>
        <v>610.65599999999995</v>
      </c>
      <c r="O17" s="13">
        <f>_xll.BDH("ALNY US Equity","BS_CUR_LIAB","FQ4 2021","FQ4 2021","Currency=USD","Period=FQ","BEST_FPERIOD_OVERRIDE=FQ","FILING_STATUS=MR","SCALING_FORMAT=MLN","Sort=A","Dates=H","DateFormat=P","Fill=—","Direction=H","UseDPDF=Y")</f>
        <v>695.71</v>
      </c>
      <c r="P17" s="13">
        <f>_xll.BDH("ALNY US Equity","BS_CUR_LIAB","FQ1 2022","FQ1 2022","Currency=USD","Period=FQ","BEST_FPERIOD_OVERRIDE=FQ","FILING_STATUS=MR","SCALING_FORMAT=MLN","Sort=A","Dates=H","DateFormat=P","Fill=—","Direction=H","UseDPDF=Y")</f>
        <v>605.96299999999997</v>
      </c>
      <c r="Q17" s="13">
        <f>_xll.BDH("ALNY US Equity","BS_CUR_LIAB","FQ2 2022","FQ2 2022","Currency=USD","Period=FQ","BEST_FPERIOD_OVERRIDE=FQ","FILING_STATUS=MR","SCALING_FORMAT=MLN","Sort=A","Dates=H","DateFormat=P","Fill=—","Direction=H","UseDPDF=Y")</f>
        <v>657.68499999999995</v>
      </c>
      <c r="R17" s="13">
        <f>_xll.BDH("ALNY US Equity","BS_CUR_LIAB","FQ3 2022","FQ3 2022","Currency=USD","Period=FQ","BEST_FPERIOD_OVERRIDE=FQ","FILING_STATUS=MR","SCALING_FORMAT=MLN","Sort=A","Dates=H","DateFormat=P","Fill=—","Direction=H","UseDPDF=Y")</f>
        <v>772.79100000000005</v>
      </c>
      <c r="S17" s="13">
        <f>_xll.BDH("ALNY US Equity","BS_CUR_LIAB","FQ4 2022","FQ4 2022","Currency=USD","Period=FQ","BEST_FPERIOD_OVERRIDE=FQ","FILING_STATUS=MR","SCALING_FORMAT=MLN","Sort=A","Dates=H","DateFormat=P","Fill=—","Direction=H","UseDPDF=Y")</f>
        <v>767.91499999999996</v>
      </c>
      <c r="T17" s="13">
        <f>_xll.BDH("ALNY US Equity","BS_CUR_LIAB","FQ1 2023","FQ1 2023","Currency=USD","Period=FQ","BEST_FPERIOD_OVERRIDE=FQ","FILING_STATUS=MR","SCALING_FORMAT=MLN","Sort=A","Dates=H","DateFormat=P","Fill=—","Direction=H","UseDPDF=Y")</f>
        <v>673.39099999999996</v>
      </c>
      <c r="U17" s="13">
        <f>_xll.BDH("ALNY US Equity","BS_CUR_LIAB","FQ2 2023","FQ2 2023","Currency=USD","Period=FQ","BEST_FPERIOD_OVERRIDE=FQ","FILING_STATUS=MR","SCALING_FORMAT=MLN","Sort=A","Dates=H","DateFormat=P","Fill=—","Direction=H","UseDPDF=Y")</f>
        <v>788.63900000000001</v>
      </c>
      <c r="V17" s="13">
        <f>_xll.BDH("ALNY US Equity","BS_CUR_LIAB","FQ3 2023","FQ3 2023","Currency=USD","Period=FQ","BEST_FPERIOD_OVERRIDE=FQ","FILING_STATUS=MR","SCALING_FORMAT=MLN","Sort=A","Dates=H","DateFormat=P","Fill=—","Direction=H","UseDPDF=Y")</f>
        <v>949.78499999999997</v>
      </c>
      <c r="W17" s="13">
        <f>_xll.BDH("ALNY US Equity","BS_CUR_LIAB","FQ4 2023","FQ4 2023","Currency=USD","Period=FQ","BEST_FPERIOD_OVERRIDE=FQ","FILING_STATUS=MR","SCALING_FORMAT=MLN","Sort=A","Dates=H","DateFormat=P","Fill=—","Direction=H","UseDPDF=Y")</f>
        <v>967.78599999999994</v>
      </c>
      <c r="X17" s="13">
        <f>_xll.BDH("ALNY US Equity","BS_CUR_LIAB","FQ1 2024","FQ1 2024","Currency=USD","Period=FQ","BEST_FPERIOD_OVERRIDE=FQ","FILING_STATUS=MR","SCALING_FORMAT=MLN","Sort=A","Dates=H","DateFormat=P","Fill=—","Direction=H","UseDPDF=Y")</f>
        <v>941.70899999999995</v>
      </c>
      <c r="Y17" s="13">
        <f>_xll.BDH("ALNY US Equity","BS_CUR_LIAB","FQ2 2024","FQ2 2024","Currency=USD","Period=FQ","BEST_FPERIOD_OVERRIDE=FQ","FILING_STATUS=MR","SCALING_FORMAT=MLN","Sort=A","Dates=H","DateFormat=P","Fill=—","Direction=H","UseDPDF=Y")</f>
        <v>1055.251</v>
      </c>
      <c r="Z17" s="13">
        <f>_xll.BDH("ALNY US Equity","BS_CUR_LIAB","FQ3 2024","FQ3 2024","Currency=USD","Period=FQ","BEST_FPERIOD_OVERRIDE=FQ","FILING_STATUS=MR","SCALING_FORMAT=MLN","Sort=A","Dates=H","DateFormat=P","Fill=—","Direction=H","UseDPDF=Y")</f>
        <v>1220.663</v>
      </c>
      <c r="AA17" s="13">
        <f>_xll.BDH("ALNY US Equity","BS_CUR_LIAB","FQ4 2024","FQ4 2024","Currency=USD","Period=FQ","BEST_FPERIOD_OVERRIDE=FQ","FILING_STATUS=MR","SCALING_FORMAT=MLN","Sort=A","Dates=H","DateFormat=P","Fill=—","Direction=H","UseDPDF=Y")</f>
        <v>1186.2719999999999</v>
      </c>
    </row>
    <row r="18" spans="1:27" x14ac:dyDescent="0.25">
      <c r="A18" s="10" t="s">
        <v>116</v>
      </c>
      <c r="B18" s="10" t="s">
        <v>117</v>
      </c>
      <c r="C18" s="13">
        <f>_xll.BDH("ALNY US Equity","BS_TOT_LIAB2","FQ4 2018","FQ4 2018","Currency=USD","Period=FQ","BEST_FPERIOD_OVERRIDE=FQ","FILING_STATUS=MR","SCALING_FORMAT=MLN","Sort=A","Dates=H","DateFormat=P","Fill=—","Direction=H","UseDPDF=Y")</f>
        <v>272.83699999999999</v>
      </c>
      <c r="D18" s="13">
        <f>_xll.BDH("ALNY US Equity","BS_TOT_LIAB2","FQ1 2019","FQ1 2019","Currency=USD","Period=FQ","BEST_FPERIOD_OVERRIDE=FQ","FILING_STATUS=MR","SCALING_FORMAT=MLN","Sort=A","Dates=H","DateFormat=P","Fill=—","Direction=H","UseDPDF=Y")</f>
        <v>467.01299999999998</v>
      </c>
      <c r="E18" s="13">
        <f>_xll.BDH("ALNY US Equity","BS_TOT_LIAB2","FQ2 2019","FQ2 2019","Currency=USD","Period=FQ","BEST_FPERIOD_OVERRIDE=FQ","FILING_STATUS=MR","SCALING_FORMAT=MLN","Sort=A","Dates=H","DateFormat=P","Fill=—","Direction=H","UseDPDF=Y")</f>
        <v>959.21600000000001</v>
      </c>
      <c r="F18" s="13">
        <f>_xll.BDH("ALNY US Equity","BS_TOT_LIAB2","FQ3 2019","FQ3 2019","Currency=USD","Period=FQ","BEST_FPERIOD_OVERRIDE=FQ","FILING_STATUS=MR","SCALING_FORMAT=MLN","Sort=A","Dates=H","DateFormat=P","Fill=—","Direction=H","UseDPDF=Y")</f>
        <v>934.53499999999997</v>
      </c>
      <c r="G18" s="13">
        <f>_xll.BDH("ALNY US Equity","BS_TOT_LIAB2","FQ4 2019","FQ4 2019","Currency=USD","Period=FQ","BEST_FPERIOD_OVERRIDE=FQ","FILING_STATUS=MR","SCALING_FORMAT=MLN","Sort=A","Dates=H","DateFormat=P","Fill=—","Direction=H","UseDPDF=Y")</f>
        <v>956.44200000000001</v>
      </c>
      <c r="H18" s="13">
        <f>_xll.BDH("ALNY US Equity","BS_TOT_LIAB2","FQ1 2020","FQ1 2020","Currency=USD","Period=FQ","BEST_FPERIOD_OVERRIDE=FQ","FILING_STATUS=MR","SCALING_FORMAT=MLN","Sort=A","Dates=H","DateFormat=P","Fill=—","Direction=H","UseDPDF=Y")</f>
        <v>929.89499999999998</v>
      </c>
      <c r="I18" s="13">
        <f>_xll.BDH("ALNY US Equity","BS_TOT_LIAB2","FQ2 2020","FQ2 2020","Currency=USD","Period=FQ","BEST_FPERIOD_OVERRIDE=FQ","FILING_STATUS=MR","SCALING_FORMAT=MLN","Sort=A","Dates=H","DateFormat=P","Fill=—","Direction=H","UseDPDF=Y")</f>
        <v>1974.6410000000001</v>
      </c>
      <c r="J18" s="13">
        <f>_xll.BDH("ALNY US Equity","BS_TOT_LIAB2","FQ3 2020","FQ3 2020","Currency=USD","Period=FQ","BEST_FPERIOD_OVERRIDE=FQ","FILING_STATUS=MR","SCALING_FORMAT=MLN","Sort=A","Dates=H","DateFormat=P","Fill=—","Direction=H","UseDPDF=Y")</f>
        <v>2092.2600000000002</v>
      </c>
      <c r="K18" s="13">
        <f>_xll.BDH("ALNY US Equity","BS_TOT_LIAB2","FQ4 2020","FQ4 2020","Currency=USD","Period=FQ","BEST_FPERIOD_OVERRIDE=FQ","FILING_STATUS=MR","SCALING_FORMAT=MLN","Sort=A","Dates=H","DateFormat=P","Fill=—","Direction=H","UseDPDF=Y")</f>
        <v>2390.8139999999999</v>
      </c>
      <c r="L18" s="13">
        <f>_xll.BDH("ALNY US Equity","BS_TOT_LIAB2","FQ1 2021","FQ1 2021","Currency=USD","Period=FQ","BEST_FPERIOD_OVERRIDE=FQ","FILING_STATUS=MR","SCALING_FORMAT=MLN","Sort=A","Dates=H","DateFormat=P","Fill=—","Direction=H","UseDPDF=Y")</f>
        <v>2329.0790000000002</v>
      </c>
      <c r="M18" s="13">
        <f>_xll.BDH("ALNY US Equity","BS_TOT_LIAB2","FQ2 2021","FQ2 2021","Currency=USD","Period=FQ","BEST_FPERIOD_OVERRIDE=FQ","FILING_STATUS=MR","SCALING_FORMAT=MLN","Sort=A","Dates=H","DateFormat=P","Fill=—","Direction=H","UseDPDF=Y")</f>
        <v>2656.067</v>
      </c>
      <c r="N18" s="13">
        <f>_xll.BDH("ALNY US Equity","BS_TOT_LIAB2","FQ3 2021","FQ3 2021","Currency=USD","Period=FQ","BEST_FPERIOD_OVERRIDE=FQ","FILING_STATUS=MR","SCALING_FORMAT=MLN","Sort=A","Dates=H","DateFormat=P","Fill=—","Direction=H","UseDPDF=Y")</f>
        <v>2716.42</v>
      </c>
      <c r="O18" s="13">
        <f>_xll.BDH("ALNY US Equity","BS_TOT_LIAB2","FQ4 2021","FQ4 2021","Currency=USD","Period=FQ","BEST_FPERIOD_OVERRIDE=FQ","FILING_STATUS=MR","SCALING_FORMAT=MLN","Sort=A","Dates=H","DateFormat=P","Fill=—","Direction=H","UseDPDF=Y")</f>
        <v>3055.1010000000001</v>
      </c>
      <c r="P18" s="13">
        <f>_xll.BDH("ALNY US Equity","BS_TOT_LIAB2","FQ1 2022","FQ1 2022","Currency=USD","Period=FQ","BEST_FPERIOD_OVERRIDE=FQ","FILING_STATUS=MR","SCALING_FORMAT=MLN","Sort=A","Dates=H","DateFormat=P","Fill=—","Direction=H","UseDPDF=Y")</f>
        <v>3032.3789999999999</v>
      </c>
      <c r="Q18" s="13">
        <f>_xll.BDH("ALNY US Equity","BS_TOT_LIAB2","FQ2 2022","FQ2 2022","Currency=USD","Period=FQ","BEST_FPERIOD_OVERRIDE=FQ","FILING_STATUS=MR","SCALING_FORMAT=MLN","Sort=A","Dates=H","DateFormat=P","Fill=—","Direction=H","UseDPDF=Y")</f>
        <v>3154.377</v>
      </c>
      <c r="R18" s="13">
        <f>_xll.BDH("ALNY US Equity","BS_TOT_LIAB2","FQ3 2022","FQ3 2022","Currency=USD","Period=FQ","BEST_FPERIOD_OVERRIDE=FQ","FILING_STATUS=MR","SCALING_FORMAT=MLN","Sort=A","Dates=H","DateFormat=P","Fill=—","Direction=H","UseDPDF=Y")</f>
        <v>3602.893</v>
      </c>
      <c r="S18" s="13">
        <f>_xll.BDH("ALNY US Equity","BS_TOT_LIAB2","FQ4 2022","FQ4 2022","Currency=USD","Period=FQ","BEST_FPERIOD_OVERRIDE=FQ","FILING_STATUS=MR","SCALING_FORMAT=MLN","Sort=A","Dates=H","DateFormat=P","Fill=—","Direction=H","UseDPDF=Y")</f>
        <v>3704.5819999999999</v>
      </c>
      <c r="T18" s="13">
        <f>_xll.BDH("ALNY US Equity","BS_TOT_LIAB2","FQ1 2023","FQ1 2023","Currency=USD","Period=FQ","BEST_FPERIOD_OVERRIDE=FQ","FILING_STATUS=MR","SCALING_FORMAT=MLN","Sort=A","Dates=H","DateFormat=P","Fill=—","Direction=H","UseDPDF=Y")</f>
        <v>3651.18</v>
      </c>
      <c r="U18" s="13">
        <f>_xll.BDH("ALNY US Equity","BS_TOT_LIAB2","FQ2 2023","FQ2 2023","Currency=USD","Period=FQ","BEST_FPERIOD_OVERRIDE=FQ","FILING_STATUS=MR","SCALING_FORMAT=MLN","Sort=A","Dates=H","DateFormat=P","Fill=—","Direction=H","UseDPDF=Y")</f>
        <v>3810.527</v>
      </c>
      <c r="V18" s="13">
        <f>_xll.BDH("ALNY US Equity","BS_TOT_LIAB2","FQ3 2023","FQ3 2023","Currency=USD","Period=FQ","BEST_FPERIOD_OVERRIDE=FQ","FILING_STATUS=MR","SCALING_FORMAT=MLN","Sort=A","Dates=H","DateFormat=P","Fill=—","Direction=H","UseDPDF=Y")</f>
        <v>4004.9389999999999</v>
      </c>
      <c r="W18" s="13">
        <f>_xll.BDH("ALNY US Equity","BS_TOT_LIAB2","FQ4 2023","FQ4 2023","Currency=USD","Period=FQ","BEST_FPERIOD_OVERRIDE=FQ","FILING_STATUS=MR","SCALING_FORMAT=MLN","Sort=A","Dates=H","DateFormat=P","Fill=—","Direction=H","UseDPDF=Y")</f>
        <v>4050.5239999999999</v>
      </c>
      <c r="X18" s="13">
        <f>_xll.BDH("ALNY US Equity","BS_TOT_LIAB2","FQ1 2024","FQ1 2024","Currency=USD","Period=FQ","BEST_FPERIOD_OVERRIDE=FQ","FILING_STATUS=MR","SCALING_FORMAT=MLN","Sort=A","Dates=H","DateFormat=P","Fill=—","Direction=H","UseDPDF=Y")</f>
        <v>4043.6579999999999</v>
      </c>
      <c r="Y18" s="13">
        <f>_xll.BDH("ALNY US Equity","BS_TOT_LIAB2","FQ2 2024","FQ2 2024","Currency=USD","Period=FQ","BEST_FPERIOD_OVERRIDE=FQ","FILING_STATUS=MR","SCALING_FORMAT=MLN","Sort=A","Dates=H","DateFormat=P","Fill=—","Direction=H","UseDPDF=Y")</f>
        <v>4012.701</v>
      </c>
      <c r="Z18" s="13">
        <f>_xll.BDH("ALNY US Equity","BS_TOT_LIAB2","FQ3 2024","FQ3 2024","Currency=USD","Period=FQ","BEST_FPERIOD_OVERRIDE=FQ","FILING_STATUS=MR","SCALING_FORMAT=MLN","Sort=A","Dates=H","DateFormat=P","Fill=—","Direction=H","UseDPDF=Y")</f>
        <v>4172.6850000000004</v>
      </c>
      <c r="AA18" s="13">
        <f>_xll.BDH("ALNY US Equity","BS_TOT_LIAB2","FQ4 2024","FQ4 2024","Currency=USD","Period=FQ","BEST_FPERIOD_OVERRIDE=FQ","FILING_STATUS=MR","SCALING_FORMAT=MLN","Sort=A","Dates=H","DateFormat=P","Fill=—","Direction=H","UseDPDF=Y")</f>
        <v>4172.8950000000004</v>
      </c>
    </row>
    <row r="19" spans="1:27" x14ac:dyDescent="0.25">
      <c r="A19" s="10" t="s">
        <v>118</v>
      </c>
      <c r="B19" s="10" t="s">
        <v>119</v>
      </c>
      <c r="C19" s="13">
        <f>_xll.BDH("ALNY US Equity","TOTAL_EQUITY","FQ4 2018","FQ4 2018","Currency=USD","Period=FQ","BEST_FPERIOD_OVERRIDE=FQ","FILING_STATUS=MR","SCALING_FORMAT=MLN","Sort=A","Dates=H","DateFormat=P","Fill=—","Direction=H","UseDPDF=Y")</f>
        <v>1301.9649999999999</v>
      </c>
      <c r="D19" s="13">
        <f>_xll.BDH("ALNY US Equity","TOTAL_EQUITY","FQ1 2019","FQ1 2019","Currency=USD","Period=FQ","BEST_FPERIOD_OVERRIDE=FQ","FILING_STATUS=MR","SCALING_FORMAT=MLN","Sort=A","Dates=H","DateFormat=P","Fill=—","Direction=H","UseDPDF=Y")</f>
        <v>1546.9860000000001</v>
      </c>
      <c r="E19" s="13">
        <f>_xll.BDH("ALNY US Equity","TOTAL_EQUITY","FQ2 2019","FQ2 2019","Currency=USD","Period=FQ","BEST_FPERIOD_OVERRIDE=FQ","FILING_STATUS=MR","SCALING_FORMAT=MLN","Sort=A","Dates=H","DateFormat=P","Fill=—","Direction=H","UseDPDF=Y")</f>
        <v>1757.1949999999999</v>
      </c>
      <c r="F19" s="13">
        <f>_xll.BDH("ALNY US Equity","TOTAL_EQUITY","FQ3 2019","FQ3 2019","Currency=USD","Period=FQ","BEST_FPERIOD_OVERRIDE=FQ","FILING_STATUS=MR","SCALING_FORMAT=MLN","Sort=A","Dates=H","DateFormat=P","Fill=—","Direction=H","UseDPDF=Y")</f>
        <v>1607.087</v>
      </c>
      <c r="G19" s="13">
        <f>_xll.BDH("ALNY US Equity","TOTAL_EQUITY","FQ4 2019","FQ4 2019","Currency=USD","Period=FQ","BEST_FPERIOD_OVERRIDE=FQ","FILING_STATUS=MR","SCALING_FORMAT=MLN","Sort=A","Dates=H","DateFormat=P","Fill=—","Direction=H","UseDPDF=Y")</f>
        <v>1438.692</v>
      </c>
      <c r="H19" s="13">
        <f>_xll.BDH("ALNY US Equity","TOTAL_EQUITY","FQ1 2020","FQ1 2020","Currency=USD","Period=FQ","BEST_FPERIOD_OVERRIDE=FQ","FILING_STATUS=MR","SCALING_FORMAT=MLN","Sort=A","Dates=H","DateFormat=P","Fill=—","Direction=H","UseDPDF=Y")</f>
        <v>1349.729</v>
      </c>
      <c r="I19" s="13">
        <f>_xll.BDH("ALNY US Equity","TOTAL_EQUITY","FQ2 2020","FQ2 2020","Currency=USD","Period=FQ","BEST_FPERIOD_OVERRIDE=FQ","FILING_STATUS=MR","SCALING_FORMAT=MLN","Sort=A","Dates=H","DateFormat=P","Fill=—","Direction=H","UseDPDF=Y")</f>
        <v>1399.7260000000001</v>
      </c>
      <c r="J19" s="13">
        <f>_xll.BDH("ALNY US Equity","TOTAL_EQUITY","FQ3 2020","FQ3 2020","Currency=USD","Period=FQ","BEST_FPERIOD_OVERRIDE=FQ","FILING_STATUS=MR","SCALING_FORMAT=MLN","Sort=A","Dates=H","DateFormat=P","Fill=—","Direction=H","UseDPDF=Y")</f>
        <v>1215.0229999999999</v>
      </c>
      <c r="K19" s="13">
        <f>_xll.BDH("ALNY US Equity","TOTAL_EQUITY","FQ4 2020","FQ4 2020","Currency=USD","Period=FQ","BEST_FPERIOD_OVERRIDE=FQ","FILING_STATUS=MR","SCALING_FORMAT=MLN","Sort=A","Dates=H","DateFormat=P","Fill=—","Direction=H","UseDPDF=Y")</f>
        <v>1016.247</v>
      </c>
      <c r="L19" s="13">
        <f>_xll.BDH("ALNY US Equity","TOTAL_EQUITY","FQ1 2021","FQ1 2021","Currency=USD","Period=FQ","BEST_FPERIOD_OVERRIDE=FQ","FILING_STATUS=MR","SCALING_FORMAT=MLN","Sort=A","Dates=H","DateFormat=P","Fill=—","Direction=H","UseDPDF=Y")</f>
        <v>926.19</v>
      </c>
      <c r="M19" s="13">
        <f>_xll.BDH("ALNY US Equity","TOTAL_EQUITY","FQ2 2021","FQ2 2021","Currency=USD","Period=FQ","BEST_FPERIOD_OVERRIDE=FQ","FILING_STATUS=MR","SCALING_FORMAT=MLN","Sort=A","Dates=H","DateFormat=P","Fill=—","Direction=H","UseDPDF=Y")</f>
        <v>853.36199999999997</v>
      </c>
      <c r="N19" s="13">
        <f>_xll.BDH("ALNY US Equity","TOTAL_EQUITY","FQ3 2021","FQ3 2021","Currency=USD","Period=FQ","BEST_FPERIOD_OVERRIDE=FQ","FILING_STATUS=MR","SCALING_FORMAT=MLN","Sort=A","Dates=H","DateFormat=P","Fill=—","Direction=H","UseDPDF=Y")</f>
        <v>755.89300000000003</v>
      </c>
      <c r="O19" s="13">
        <f>_xll.BDH("ALNY US Equity","TOTAL_EQUITY","FQ4 2021","FQ4 2021","Currency=USD","Period=FQ","BEST_FPERIOD_OVERRIDE=FQ","FILING_STATUS=MR","SCALING_FORMAT=MLN","Sort=A","Dates=H","DateFormat=P","Fill=—","Direction=H","UseDPDF=Y")</f>
        <v>588.20299999999997</v>
      </c>
      <c r="P19" s="13">
        <f>_xll.BDH("ALNY US Equity","TOTAL_EQUITY","FQ1 2022","FQ1 2022","Currency=USD","Period=FQ","BEST_FPERIOD_OVERRIDE=FQ","FILING_STATUS=MR","SCALING_FORMAT=MLN","Sort=A","Dates=H","DateFormat=P","Fill=—","Direction=H","UseDPDF=Y")</f>
        <v>401.166</v>
      </c>
      <c r="Q19" s="13">
        <f>_xll.BDH("ALNY US Equity","TOTAL_EQUITY","FQ2 2022","FQ2 2022","Currency=USD","Period=FQ","BEST_FPERIOD_OVERRIDE=FQ","FILING_STATUS=MR","SCALING_FORMAT=MLN","Sort=A","Dates=H","DateFormat=P","Fill=—","Direction=H","UseDPDF=Y")</f>
        <v>176.04</v>
      </c>
      <c r="R19" s="13">
        <f>_xll.BDH("ALNY US Equity","TOTAL_EQUITY","FQ3 2022","FQ3 2022","Currency=USD","Period=FQ","BEST_FPERIOD_OVERRIDE=FQ","FILING_STATUS=MR","SCALING_FORMAT=MLN","Sort=A","Dates=H","DateFormat=P","Fill=—","Direction=H","UseDPDF=Y")</f>
        <v>-67.638000000000005</v>
      </c>
      <c r="S19" s="13">
        <f>_xll.BDH("ALNY US Equity","TOTAL_EQUITY","FQ4 2022","FQ4 2022","Currency=USD","Period=FQ","BEST_FPERIOD_OVERRIDE=FQ","FILING_STATUS=MR","SCALING_FORMAT=MLN","Sort=A","Dates=H","DateFormat=P","Fill=—","Direction=H","UseDPDF=Y")</f>
        <v>-158.22300000000001</v>
      </c>
      <c r="T19" s="13">
        <f>_xll.BDH("ALNY US Equity","TOTAL_EQUITY","FQ1 2023","FQ1 2023","Currency=USD","Period=FQ","BEST_FPERIOD_OVERRIDE=FQ","FILING_STATUS=MR","SCALING_FORMAT=MLN","Sort=A","Dates=H","DateFormat=P","Fill=—","Direction=H","UseDPDF=Y")</f>
        <v>-259.24</v>
      </c>
      <c r="U19" s="13">
        <f>_xll.BDH("ALNY US Equity","TOTAL_EQUITY","FQ2 2023","FQ2 2023","Currency=USD","Period=FQ","BEST_FPERIOD_OVERRIDE=FQ","FILING_STATUS=MR","SCALING_FORMAT=MLN","Sort=A","Dates=H","DateFormat=P","Fill=—","Direction=H","UseDPDF=Y")</f>
        <v>-408.13099999999997</v>
      </c>
      <c r="V19" s="13">
        <f>_xll.BDH("ALNY US Equity","TOTAL_EQUITY","FQ3 2023","FQ3 2023","Currency=USD","Period=FQ","BEST_FPERIOD_OVERRIDE=FQ","FILING_STATUS=MR","SCALING_FORMAT=MLN","Sort=A","Dates=H","DateFormat=P","Fill=—","Direction=H","UseDPDF=Y")</f>
        <v>-165.86600000000001</v>
      </c>
      <c r="W19" s="13">
        <f>_xll.BDH("ALNY US Equity","TOTAL_EQUITY","FQ4 2023","FQ4 2023","Currency=USD","Period=FQ","BEST_FPERIOD_OVERRIDE=FQ","FILING_STATUS=MR","SCALING_FORMAT=MLN","Sort=A","Dates=H","DateFormat=P","Fill=—","Direction=H","UseDPDF=Y")</f>
        <v>-220.64400000000001</v>
      </c>
      <c r="X19" s="13">
        <f>_xll.BDH("ALNY US Equity","TOTAL_EQUITY","FQ1 2024","FQ1 2024","Currency=USD","Period=FQ","BEST_FPERIOD_OVERRIDE=FQ","FILING_STATUS=MR","SCALING_FORMAT=MLN","Sort=A","Dates=H","DateFormat=P","Fill=—","Direction=H","UseDPDF=Y")</f>
        <v>-219.27199999999999</v>
      </c>
      <c r="Y19" s="13">
        <f>_xll.BDH("ALNY US Equity","TOTAL_EQUITY","FQ2 2024","FQ2 2024","Currency=USD","Period=FQ","BEST_FPERIOD_OVERRIDE=FQ","FILING_STATUS=MR","SCALING_FORMAT=MLN","Sort=A","Dates=H","DateFormat=P","Fill=—","Direction=H","UseDPDF=Y")</f>
        <v>-3.0670000000000002</v>
      </c>
      <c r="Z19" s="13">
        <f>_xll.BDH("ALNY US Equity","TOTAL_EQUITY","FQ3 2024","FQ3 2024","Currency=USD","Period=FQ","BEST_FPERIOD_OVERRIDE=FQ","FILING_STATUS=MR","SCALING_FORMAT=MLN","Sort=A","Dates=H","DateFormat=P","Fill=—","Direction=H","UseDPDF=Y")</f>
        <v>32.353999999999999</v>
      </c>
      <c r="AA19" s="13">
        <f>_xll.BDH("ALNY US Equity","TOTAL_EQUITY","FQ4 2024","FQ4 2024","Currency=USD","Period=FQ","BEST_FPERIOD_OVERRIDE=FQ","FILING_STATUS=MR","SCALING_FORMAT=MLN","Sort=A","Dates=H","DateFormat=P","Fill=—","Direction=H","UseDPDF=Y")</f>
        <v>67.087999999999994</v>
      </c>
    </row>
    <row r="20" spans="1:27" x14ac:dyDescent="0.25">
      <c r="A20" s="10" t="s">
        <v>120</v>
      </c>
      <c r="B20" s="10" t="s">
        <v>121</v>
      </c>
      <c r="C20" s="13">
        <f>_xll.BDH("ALNY US Equity","BS_SH_OUT","FQ4 2018","FQ4 2018","Currency=USD","Period=FQ","BEST_FPERIOD_OVERRIDE=FQ","FILING_STATUS=MR","Sort=A","Dates=H","DateFormat=P","Fill=—","Direction=H","UseDPDF=Y")</f>
        <v>101.17700000000001</v>
      </c>
      <c r="D20" s="13">
        <f>_xll.BDH("ALNY US Equity","BS_SH_OUT","FQ1 2019","FQ1 2019","Currency=USD","Period=FQ","BEST_FPERIOD_OVERRIDE=FQ","FILING_STATUS=MR","Sort=A","Dates=H","DateFormat=P","Fill=—","Direction=H","UseDPDF=Y")</f>
        <v>106.4</v>
      </c>
      <c r="E20" s="13">
        <f>_xll.BDH("ALNY US Equity","BS_SH_OUT","FQ2 2019","FQ2 2019","Currency=USD","Period=FQ","BEST_FPERIOD_OVERRIDE=FQ","FILING_STATUS=MR","Sort=A","Dates=H","DateFormat=P","Fill=—","Direction=H","UseDPDF=Y")</f>
        <v>111.114</v>
      </c>
      <c r="F20" s="13">
        <f>_xll.BDH("ALNY US Equity","BS_SH_OUT","FQ3 2019","FQ3 2019","Currency=USD","Period=FQ","BEST_FPERIOD_OVERRIDE=FQ","FILING_STATUS=MR","Sort=A","Dates=H","DateFormat=P","Fill=—","Direction=H","UseDPDF=Y")</f>
        <v>111.325</v>
      </c>
      <c r="G20" s="13">
        <f>_xll.BDH("ALNY US Equity","BS_SH_OUT","FQ4 2019","FQ4 2019","Currency=USD","Period=FQ","BEST_FPERIOD_OVERRIDE=FQ","FILING_STATUS=MR","Sort=A","Dates=H","DateFormat=P","Fill=—","Direction=H","UseDPDF=Y")</f>
        <v>112.188</v>
      </c>
      <c r="H20" s="13">
        <f>_xll.BDH("ALNY US Equity","BS_SH_OUT","FQ1 2020","FQ1 2020","Currency=USD","Period=FQ","BEST_FPERIOD_OVERRIDE=FQ","FILING_STATUS=MR","Sort=A","Dates=H","DateFormat=P","Fill=—","Direction=H","UseDPDF=Y")</f>
        <v>113.16800000000001</v>
      </c>
      <c r="I20" s="13">
        <f>_xll.BDH("ALNY US Equity","BS_SH_OUT","FQ2 2020","FQ2 2020","Currency=USD","Period=FQ","BEST_FPERIOD_OVERRIDE=FQ","FILING_STATUS=MR","Sort=A","Dates=H","DateFormat=P","Fill=—","Direction=H","UseDPDF=Y")</f>
        <v>115.64700000000001</v>
      </c>
      <c r="J20" s="13">
        <f>_xll.BDH("ALNY US Equity","BS_SH_OUT","FQ3 2020","FQ3 2020","Currency=USD","Period=FQ","BEST_FPERIOD_OVERRIDE=FQ","FILING_STATUS=MR","Sort=A","Dates=H","DateFormat=P","Fill=—","Direction=H","UseDPDF=Y")</f>
        <v>116.143</v>
      </c>
      <c r="K20" s="13">
        <f>_xll.BDH("ALNY US Equity","BS_SH_OUT","FQ4 2020","FQ4 2020","Currency=USD","Period=FQ","BEST_FPERIOD_OVERRIDE=FQ","FILING_STATUS=MR","Sort=A","Dates=H","DateFormat=P","Fill=—","Direction=H","UseDPDF=Y")</f>
        <v>116.42700000000001</v>
      </c>
      <c r="L20" s="13">
        <f>_xll.BDH("ALNY US Equity","BS_SH_OUT","FQ1 2021","FQ1 2021","Currency=USD","Period=FQ","BEST_FPERIOD_OVERRIDE=FQ","FILING_STATUS=MR","Sort=A","Dates=H","DateFormat=P","Fill=—","Direction=H","UseDPDF=Y")</f>
        <v>117.321</v>
      </c>
      <c r="M20" s="13">
        <f>_xll.BDH("ALNY US Equity","BS_SH_OUT","FQ2 2021","FQ2 2021","Currency=USD","Period=FQ","BEST_FPERIOD_OVERRIDE=FQ","FILING_STATUS=MR","Sort=A","Dates=H","DateFormat=P","Fill=—","Direction=H","UseDPDF=Y")</f>
        <v>118.596</v>
      </c>
      <c r="N20" s="13">
        <f>_xll.BDH("ALNY US Equity","BS_SH_OUT","FQ3 2021","FQ3 2021","Currency=USD","Period=FQ","BEST_FPERIOD_OVERRIDE=FQ","FILING_STATUS=MR","Sort=A","Dates=H","DateFormat=P","Fill=—","Direction=H","UseDPDF=Y")</f>
        <v>119.48</v>
      </c>
      <c r="O20" s="13">
        <f>_xll.BDH("ALNY US Equity","BS_SH_OUT","FQ4 2021","FQ4 2021","Currency=USD","Period=FQ","BEST_FPERIOD_OVERRIDE=FQ","FILING_STATUS=MR","Sort=A","Dates=H","DateFormat=P","Fill=—","Direction=H","UseDPDF=Y")</f>
        <v>120.182</v>
      </c>
      <c r="P20" s="13">
        <f>_xll.BDH("ALNY US Equity","BS_SH_OUT","FQ1 2022","FQ1 2022","Currency=USD","Period=FQ","BEST_FPERIOD_OVERRIDE=FQ","FILING_STATUS=MR","Sort=A","Dates=H","DateFormat=P","Fill=—","Direction=H","UseDPDF=Y")</f>
        <v>120.729</v>
      </c>
      <c r="Q20" s="13">
        <f>_xll.BDH("ALNY US Equity","BS_SH_OUT","FQ2 2022","FQ2 2022","Currency=USD","Period=FQ","BEST_FPERIOD_OVERRIDE=FQ","FILING_STATUS=MR","Sort=A","Dates=H","DateFormat=P","Fill=—","Direction=H","UseDPDF=Y")</f>
        <v>120.992</v>
      </c>
      <c r="R20" s="13">
        <f>_xll.BDH("ALNY US Equity","BS_SH_OUT","FQ3 2022","FQ3 2022","Currency=USD","Period=FQ","BEST_FPERIOD_OVERRIDE=FQ","FILING_STATUS=MR","Sort=A","Dates=H","DateFormat=P","Fill=—","Direction=H","UseDPDF=Y")</f>
        <v>122.991</v>
      </c>
      <c r="S20" s="13">
        <f>_xll.BDH("ALNY US Equity","BS_SH_OUT","FQ4 2022","FQ4 2022","Currency=USD","Period=FQ","BEST_FPERIOD_OVERRIDE=FQ","FILING_STATUS=MR","Sort=A","Dates=H","DateFormat=P","Fill=—","Direction=H","UseDPDF=Y")</f>
        <v>123.925</v>
      </c>
      <c r="T20" s="13">
        <f>_xll.BDH("ALNY US Equity","BS_SH_OUT","FQ1 2023","FQ1 2023","Currency=USD","Period=FQ","BEST_FPERIOD_OVERRIDE=FQ","FILING_STATUS=MR","Sort=A","Dates=H","DateFormat=P","Fill=—","Direction=H","UseDPDF=Y")</f>
        <v>124.241</v>
      </c>
      <c r="U20" s="13">
        <f>_xll.BDH("ALNY US Equity","BS_SH_OUT","FQ2 2023","FQ2 2023","Currency=USD","Period=FQ","BEST_FPERIOD_OVERRIDE=FQ","FILING_STATUS=MR","Sort=A","Dates=H","DateFormat=P","Fill=—","Direction=H","UseDPDF=Y")</f>
        <v>124.241</v>
      </c>
      <c r="V20" s="13">
        <f>_xll.BDH("ALNY US Equity","BS_SH_OUT","FQ3 2023","FQ3 2023","Currency=USD","Period=FQ","BEST_FPERIOD_OVERRIDE=FQ","FILING_STATUS=MR","Sort=A","Dates=H","DateFormat=P","Fill=—","Direction=H","UseDPDF=Y")</f>
        <v>125.45399999999999</v>
      </c>
      <c r="W20" s="13">
        <f>_xll.BDH("ALNY US Equity","BS_SH_OUT","FQ4 2023","FQ4 2023","Currency=USD","Period=FQ","BEST_FPERIOD_OVERRIDE=FQ","FILING_STATUS=MR","Sort=A","Dates=H","DateFormat=P","Fill=—","Direction=H","UseDPDF=Y")</f>
        <v>125.794</v>
      </c>
      <c r="X20" s="13">
        <f>_xll.BDH("ALNY US Equity","BS_SH_OUT","FQ1 2024","FQ1 2024","Currency=USD","Period=FQ","BEST_FPERIOD_OVERRIDE=FQ","FILING_STATUS=MR","Sort=A","Dates=H","DateFormat=P","Fill=—","Direction=H","UseDPDF=Y")</f>
        <v>126.46299999999999</v>
      </c>
      <c r="Y20" s="13">
        <f>_xll.BDH("ALNY US Equity","BS_SH_OUT","FQ2 2024","FQ2 2024","Currency=USD","Period=FQ","BEST_FPERIOD_OVERRIDE=FQ","FILING_STATUS=MR","Sort=A","Dates=H","DateFormat=P","Fill=—","Direction=H","UseDPDF=Y")</f>
        <v>128.02099999999999</v>
      </c>
      <c r="Z20" s="13">
        <f>_xll.BDH("ALNY US Equity","BS_SH_OUT","FQ3 2024","FQ3 2024","Currency=USD","Period=FQ","BEST_FPERIOD_OVERRIDE=FQ","FILING_STATUS=MR","Sort=A","Dates=H","DateFormat=P","Fill=—","Direction=H","UseDPDF=Y")</f>
        <v>128.84100000000001</v>
      </c>
      <c r="AA20" s="13">
        <f>_xll.BDH("ALNY US Equity","BS_SH_OUT","FQ4 2024","FQ4 2024","Currency=USD","Period=FQ","BEST_FPERIOD_OVERRIDE=FQ","FILING_STATUS=MR","Sort=A","Dates=H","DateFormat=P","Fill=—","Direction=H","UseDPDF=Y")</f>
        <v>129.29400000000001</v>
      </c>
    </row>
    <row r="21" spans="1:27" x14ac:dyDescent="0.25">
      <c r="A21" s="10" t="s">
        <v>122</v>
      </c>
      <c r="B21" s="10" t="s">
        <v>123</v>
      </c>
      <c r="C21" s="13">
        <f>_xll.BDH("ALNY US Equity","ARD_SHARE_OUT_FROM_FRONT_COVER","FQ4 2018","FQ4 2018","Currency=USD","Period=FQ","BEST_FPERIOD_OVERRIDE=FQ","FILING_STATUS=MR","Sort=A","Dates=H","DateFormat=P","Fill=—","Direction=H","UseDPDF=Y")</f>
        <v>106.25830000000001</v>
      </c>
      <c r="D21" s="13">
        <f>_xll.BDH("ALNY US Equity","ARD_SHARE_OUT_FROM_FRONT_COVER","FQ1 2019","FQ1 2019","Currency=USD","Period=FQ","BEST_FPERIOD_OVERRIDE=FQ","FILING_STATUS=MR","Sort=A","Dates=H","DateFormat=P","Fill=—","Direction=H","UseDPDF=Y")</f>
        <v>106.5368</v>
      </c>
      <c r="E21" s="13">
        <f>_xll.BDH("ALNY US Equity","ARD_SHARE_OUT_FROM_FRONT_COVER","FQ2 2019","FQ2 2019","Currency=USD","Period=FQ","BEST_FPERIOD_OVERRIDE=FQ","FILING_STATUS=MR","Sort=A","Dates=H","DateFormat=P","Fill=—","Direction=H","UseDPDF=Y")</f>
        <v>111.2077</v>
      </c>
      <c r="F21" s="13">
        <f>_xll.BDH("ALNY US Equity","ARD_SHARE_OUT_FROM_FRONT_COVER","FQ3 2019","FQ3 2019","Currency=USD","Period=FQ","BEST_FPERIOD_OVERRIDE=FQ","FILING_STATUS=MR","Sort=A","Dates=H","DateFormat=P","Fill=—","Direction=H","UseDPDF=Y")</f>
        <v>111.4897</v>
      </c>
      <c r="G21" s="13">
        <f>_xll.BDH("ALNY US Equity","ARD_SHARE_OUT_FROM_FRONT_COVER","FQ4 2019","FQ4 2019","Currency=USD","Period=FQ","BEST_FPERIOD_OVERRIDE=FQ","FILING_STATUS=MR","Sort=A","Dates=H","DateFormat=P","Fill=—","Direction=H","UseDPDF=Y")</f>
        <v>112.584</v>
      </c>
      <c r="H21" s="13">
        <f>_xll.BDH("ALNY US Equity","ARD_SHARE_OUT_FROM_FRONT_COVER","FQ1 2020","FQ1 2020","Currency=USD","Period=FQ","BEST_FPERIOD_OVERRIDE=FQ","FILING_STATUS=MR","Sort=A","Dates=H","DateFormat=P","Fill=—","Direction=H","UseDPDF=Y")</f>
        <v>114.8192</v>
      </c>
      <c r="I21" s="13">
        <f>_xll.BDH("ALNY US Equity","ARD_SHARE_OUT_FROM_FRONT_COVER","FQ2 2020","FQ2 2020","Currency=USD","Period=FQ","BEST_FPERIOD_OVERRIDE=FQ","FILING_STATUS=MR","Sort=A","Dates=H","DateFormat=P","Fill=—","Direction=H","UseDPDF=Y")</f>
        <v>115.96980000000001</v>
      </c>
      <c r="J21" s="13">
        <f>_xll.BDH("ALNY US Equity","ARD_SHARE_OUT_FROM_FRONT_COVER","FQ3 2020","FQ3 2020","Currency=USD","Period=FQ","BEST_FPERIOD_OVERRIDE=FQ","FILING_STATUS=MR","Sort=A","Dates=H","DateFormat=P","Fill=—","Direction=H","UseDPDF=Y")</f>
        <v>116.1808</v>
      </c>
      <c r="K21" s="13">
        <f>_xll.BDH("ALNY US Equity","ARD_SHARE_OUT_FROM_FRONT_COVER","FQ4 2020","FQ4 2020","Currency=USD","Period=FQ","BEST_FPERIOD_OVERRIDE=FQ","FILING_STATUS=MR","Sort=A","Dates=H","DateFormat=P","Fill=—","Direction=H","UseDPDF=Y")</f>
        <v>117.002</v>
      </c>
      <c r="L21" s="13">
        <f>_xll.BDH("ALNY US Equity","ARD_SHARE_OUT_FROM_FRONT_COVER","FQ1 2021","FQ1 2021","Currency=USD","Period=FQ","BEST_FPERIOD_OVERRIDE=FQ","FILING_STATUS=MR","Sort=A","Dates=H","DateFormat=P","Fill=—","Direction=H","UseDPDF=Y")</f>
        <v>117.545</v>
      </c>
      <c r="M21" s="13">
        <f>_xll.BDH("ALNY US Equity","ARD_SHARE_OUT_FROM_FRONT_COVER","FQ2 2021","FQ2 2021","Currency=USD","Period=FQ","BEST_FPERIOD_OVERRIDE=FQ","FILING_STATUS=MR","Sort=A","Dates=H","DateFormat=P","Fill=—","Direction=H","UseDPDF=Y")</f>
        <v>118.8477</v>
      </c>
      <c r="N21" s="13">
        <f>_xll.BDH("ALNY US Equity","ARD_SHARE_OUT_FROM_FRONT_COVER","FQ3 2021","FQ3 2021","Currency=USD","Period=FQ","BEST_FPERIOD_OVERRIDE=FQ","FILING_STATUS=MR","Sort=A","Dates=H","DateFormat=P","Fill=—","Direction=H","UseDPDF=Y")</f>
        <v>119.60120000000001</v>
      </c>
      <c r="O21" s="13">
        <f>_xll.BDH("ALNY US Equity","ARD_SHARE_OUT_FROM_FRONT_COVER","FQ4 2021","FQ4 2021","Currency=USD","Period=FQ","BEST_FPERIOD_OVERRIDE=FQ","FILING_STATUS=MR","Sort=A","Dates=H","DateFormat=P","Fill=—","Direction=H","UseDPDF=Y")</f>
        <v>120.2105</v>
      </c>
      <c r="P21" s="13">
        <f>_xll.BDH("ALNY US Equity","ARD_SHARE_OUT_FROM_FRONT_COVER","FQ1 2022","FQ1 2022","Currency=USD","Period=FQ","BEST_FPERIOD_OVERRIDE=FQ","FILING_STATUS=MR","Sort=A","Dates=H","DateFormat=P","Fill=—","Direction=H","UseDPDF=Y")</f>
        <v>120.81359999999999</v>
      </c>
      <c r="Q21" s="13">
        <f>_xll.BDH("ALNY US Equity","ARD_SHARE_OUT_FROM_FRONT_COVER","FQ2 2022","FQ2 2022","Currency=USD","Period=FQ","BEST_FPERIOD_OVERRIDE=FQ","FILING_STATUS=MR","Sort=A","Dates=H","DateFormat=P","Fill=—","Direction=H","UseDPDF=Y")</f>
        <v>120.0266</v>
      </c>
      <c r="R21" s="13">
        <f>_xll.BDH("ALNY US Equity","ARD_SHARE_OUT_FROM_FRONT_COVER","FQ3 2022","FQ3 2022","Currency=USD","Period=FQ","BEST_FPERIOD_OVERRIDE=FQ","FILING_STATUS=MR","Sort=A","Dates=H","DateFormat=P","Fill=—","Direction=H","UseDPDF=Y")</f>
        <v>123.0282</v>
      </c>
      <c r="S21" s="13">
        <f>_xll.BDH("ALNY US Equity","ARD_SHARE_OUT_FROM_FRONT_COVER","FQ4 2022","FQ4 2022","Currency=USD","Period=FQ","BEST_FPERIOD_OVERRIDE=FQ","FILING_STATUS=MR","Sort=A","Dates=H","DateFormat=P","Fill=—","Direction=H","UseDPDF=Y")</f>
        <v>124.131</v>
      </c>
      <c r="T21" s="13">
        <f>_xll.BDH("ALNY US Equity","ARD_SHARE_OUT_FROM_FRONT_COVER","FQ1 2023","FQ1 2023","Currency=USD","Period=FQ","BEST_FPERIOD_OVERRIDE=FQ","FILING_STATUS=MR","Sort=A","Dates=H","DateFormat=P","Fill=—","Direction=H","UseDPDF=Y")</f>
        <v>124.5257</v>
      </c>
      <c r="U21" s="13">
        <f>_xll.BDH("ALNY US Equity","ARD_SHARE_OUT_FROM_FRONT_COVER","FQ2 2023","FQ2 2023","Currency=USD","Period=FQ","BEST_FPERIOD_OVERRIDE=FQ","FILING_STATUS=MR","Sort=A","Dates=H","DateFormat=P","Fill=—","Direction=H","UseDPDF=Y")</f>
        <v>125.00069999999999</v>
      </c>
      <c r="V21" s="13">
        <f>_xll.BDH("ALNY US Equity","ARD_SHARE_OUT_FROM_FRONT_COVER","FQ3 2023","FQ3 2023","Currency=USD","Period=FQ","BEST_FPERIOD_OVERRIDE=FQ","FILING_STATUS=MR","Sort=A","Dates=H","DateFormat=P","Fill=—","Direction=H","UseDPDF=Y")</f>
        <v>125.49290000000001</v>
      </c>
      <c r="W21" s="13">
        <f>_xll.BDH("ALNY US Equity","ARD_SHARE_OUT_FROM_FRONT_COVER","FQ4 2023","FQ4 2023","Currency=USD","Period=FQ","BEST_FPERIOD_OVERRIDE=FQ","FILING_STATUS=MR","Sort=A","Dates=H","DateFormat=P","Fill=—","Direction=H","UseDPDF=Y")</f>
        <v>125.94580000000001</v>
      </c>
      <c r="X21" s="13">
        <f>_xll.BDH("ALNY US Equity","ARD_SHARE_OUT_FROM_FRONT_COVER","FQ1 2024","FQ1 2024","Currency=USD","Period=FQ","BEST_FPERIOD_OVERRIDE=FQ","FILING_STATUS=MR","Sort=A","Dates=H","DateFormat=P","Fill=—","Direction=H","UseDPDF=Y")</f>
        <v>126.4918</v>
      </c>
      <c r="Y21" s="13">
        <f>_xll.BDH("ALNY US Equity","ARD_SHARE_OUT_FROM_FRONT_COVER","FQ2 2024","FQ2 2024","Currency=USD","Period=FQ","BEST_FPERIOD_OVERRIDE=FQ","FILING_STATUS=MR","Sort=A","Dates=H","DateFormat=P","Fill=—","Direction=H","UseDPDF=Y")</f>
        <v>128.38050000000001</v>
      </c>
      <c r="Z21" s="13">
        <f>_xll.BDH("ALNY US Equity","ARD_SHARE_OUT_FROM_FRONT_COVER","FQ3 2024","FQ3 2024","Currency=USD","Period=FQ","BEST_FPERIOD_OVERRIDE=FQ","FILING_STATUS=MR","Sort=A","Dates=H","DateFormat=P","Fill=—","Direction=H","UseDPDF=Y")</f>
        <v>128.98089999999999</v>
      </c>
      <c r="AA21" s="13">
        <f>_xll.BDH("ALNY US Equity","ARD_SHARE_OUT_FROM_FRONT_COVER","FQ4 2024","FQ4 2024","Currency=USD","Period=FQ","BEST_FPERIOD_OVERRIDE=FQ","FILING_STATUS=MR","Sort=A","Dates=H","DateFormat=P","Fill=—","Direction=H","UseDPDF=Y")</f>
        <v>129.4572</v>
      </c>
    </row>
    <row r="22" spans="1:27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0" t="s">
        <v>124</v>
      </c>
      <c r="B23" s="10" t="s">
        <v>85</v>
      </c>
      <c r="C23" s="13">
        <f>_xll.BDH("ALNY US Equity","CF_CASH_FROM_OPER","FQ4 2018","FQ4 2018","Currency=USD","Period=FQ","BEST_FPERIOD_OVERRIDE=FQ","FILING_STATUS=MR","SCALING_FORMAT=MLN","Sort=A","Dates=H","DateFormat=P","Fill=—","Direction=H","UseDPDF=Y")</f>
        <v>-150.45699999999999</v>
      </c>
      <c r="D23" s="13">
        <f>_xll.BDH("ALNY US Equity","CF_CASH_FROM_OPER","FQ1 2019","FQ1 2019","Currency=USD","Period=FQ","BEST_FPERIOD_OVERRIDE=FQ","FILING_STATUS=MR","SCALING_FORMAT=MLN","Sort=A","Dates=H","DateFormat=P","Fill=—","Direction=H","UseDPDF=Y")</f>
        <v>-188.51</v>
      </c>
      <c r="E23" s="13">
        <f>_xll.BDH("ALNY US Equity","CF_CASH_FROM_OPER","FQ2 2019","FQ2 2019","Currency=USD","Period=FQ","BEST_FPERIOD_OVERRIDE=FQ","FILING_STATUS=MR","SCALING_FORMAT=MLN","Sort=A","Dates=H","DateFormat=P","Fill=—","Direction=H","UseDPDF=Y")</f>
        <v>288.69499999999999</v>
      </c>
      <c r="F23" s="13">
        <f>_xll.BDH("ALNY US Equity","CF_CASH_FROM_OPER","FQ3 2019","FQ3 2019","Currency=USD","Period=FQ","BEST_FPERIOD_OVERRIDE=FQ","FILING_STATUS=MR","SCALING_FORMAT=MLN","Sort=A","Dates=H","DateFormat=P","Fill=—","Direction=H","UseDPDF=Y")</f>
        <v>-182.63200000000001</v>
      </c>
      <c r="G23" s="13">
        <f>_xll.BDH("ALNY US Equity","CF_CASH_FROM_OPER","FQ4 2019","FQ4 2019","Currency=USD","Period=FQ","BEST_FPERIOD_OVERRIDE=FQ","FILING_STATUS=MR","SCALING_FORMAT=MLN","Sort=A","Dates=H","DateFormat=P","Fill=—","Direction=H","UseDPDF=Y")</f>
        <v>-195.98</v>
      </c>
      <c r="H23" s="13">
        <f>_xll.BDH("ALNY US Equity","CF_CASH_FROM_OPER","FQ1 2020","FQ1 2020","Currency=USD","Period=FQ","BEST_FPERIOD_OVERRIDE=FQ","FILING_STATUS=MR","SCALING_FORMAT=MLN","Sort=A","Dates=H","DateFormat=P","Fill=—","Direction=H","UseDPDF=Y")</f>
        <v>-246.161</v>
      </c>
      <c r="I23" s="13">
        <f>_xll.BDH("ALNY US Equity","CF_CASH_FROM_OPER","FQ2 2020","FQ2 2020","Currency=USD","Period=FQ","BEST_FPERIOD_OVERRIDE=FQ","FILING_STATUS=MR","SCALING_FORMAT=MLN","Sort=A","Dates=H","DateFormat=P","Fill=—","Direction=H","UseDPDF=Y")</f>
        <v>-135.33000000000001</v>
      </c>
      <c r="J23" s="13">
        <f>_xll.BDH("ALNY US Equity","CF_CASH_FROM_OPER","FQ3 2020","FQ3 2020","Currency=USD","Period=FQ","BEST_FPERIOD_OVERRIDE=FQ","FILING_STATUS=MR","SCALING_FORMAT=MLN","Sort=A","Dates=H","DateFormat=P","Fill=—","Direction=H","UseDPDF=Y")</f>
        <v>-110.32599999999999</v>
      </c>
      <c r="K23" s="13">
        <f>_xll.BDH("ALNY US Equity","CF_CASH_FROM_OPER","FQ4 2020","FQ4 2020","Currency=USD","Period=FQ","BEST_FPERIOD_OVERRIDE=FQ","FILING_STATUS=MR","SCALING_FORMAT=MLN","Sort=A","Dates=H","DateFormat=P","Fill=—","Direction=H","UseDPDF=Y")</f>
        <v>-123.14400000000001</v>
      </c>
      <c r="L23" s="13">
        <f>_xll.BDH("ALNY US Equity","CF_CASH_FROM_OPER","FQ1 2021","FQ1 2021","Currency=USD","Period=FQ","BEST_FPERIOD_OVERRIDE=FQ","FILING_STATUS=MR","SCALING_FORMAT=MLN","Sort=A","Dates=H","DateFormat=P","Fill=—","Direction=H","UseDPDF=Y")</f>
        <v>-235.66</v>
      </c>
      <c r="M23" s="13">
        <f>_xll.BDH("ALNY US Equity","CF_CASH_FROM_OPER","FQ2 2021","FQ2 2021","Currency=USD","Period=FQ","BEST_FPERIOD_OVERRIDE=FQ","FILING_STATUS=MR","SCALING_FORMAT=MLN","Sort=A","Dates=H","DateFormat=P","Fill=—","Direction=H","UseDPDF=Y")</f>
        <v>-121.85599999999999</v>
      </c>
      <c r="N23" s="13">
        <f>_xll.BDH("ALNY US Equity","CF_CASH_FROM_OPER","FQ3 2021","FQ3 2021","Currency=USD","Period=FQ","BEST_FPERIOD_OVERRIDE=FQ","FILING_STATUS=MR","SCALING_FORMAT=MLN","Sort=A","Dates=H","DateFormat=P","Fill=—","Direction=H","UseDPDF=Y")</f>
        <v>-134.036</v>
      </c>
      <c r="O23" s="13">
        <f>_xll.BDH("ALNY US Equity","CF_CASH_FROM_OPER","FQ4 2021","FQ4 2021","Currency=USD","Period=FQ","BEST_FPERIOD_OVERRIDE=FQ","FILING_STATUS=MR","SCALING_FORMAT=MLN","Sort=A","Dates=H","DateFormat=P","Fill=—","Direction=H","UseDPDF=Y")</f>
        <v>-150.14099999999999</v>
      </c>
      <c r="P23" s="13">
        <f>_xll.BDH("ALNY US Equity","CF_CASH_FROM_OPER","FQ1 2022","FQ1 2022","Currency=USD","Period=FQ","BEST_FPERIOD_OVERRIDE=FQ","FILING_STATUS=MR","SCALING_FORMAT=MLN","Sort=A","Dates=H","DateFormat=P","Fill=—","Direction=H","UseDPDF=Y")</f>
        <v>-171.19300000000001</v>
      </c>
      <c r="Q23" s="13">
        <f>_xll.BDH("ALNY US Equity","CF_CASH_FROM_OPER","FQ2 2022","FQ2 2022","Currency=USD","Period=FQ","BEST_FPERIOD_OVERRIDE=FQ","FILING_STATUS=MR","SCALING_FORMAT=MLN","Sort=A","Dates=H","DateFormat=P","Fill=—","Direction=H","UseDPDF=Y")</f>
        <v>-122.819</v>
      </c>
      <c r="R23" s="13">
        <f>_xll.BDH("ALNY US Equity","CF_CASH_FROM_OPER","FQ3 2022","FQ3 2022","Currency=USD","Period=FQ","BEST_FPERIOD_OVERRIDE=FQ","FILING_STATUS=MR","SCALING_FORMAT=MLN","Sort=A","Dates=H","DateFormat=P","Fill=—","Direction=H","UseDPDF=Y")</f>
        <v>-115.28400000000001</v>
      </c>
      <c r="S23" s="13">
        <f>_xll.BDH("ALNY US Equity","CF_CASH_FROM_OPER","FQ4 2022","FQ4 2022","Currency=USD","Period=FQ","BEST_FPERIOD_OVERRIDE=FQ","FILING_STATUS=MR","SCALING_FORMAT=MLN","Sort=A","Dates=H","DateFormat=P","Fill=—","Direction=H","UseDPDF=Y")</f>
        <v>-131.97800000000001</v>
      </c>
      <c r="T23" s="13">
        <f>_xll.BDH("ALNY US Equity","CF_CASH_FROM_OPER","FQ1 2023","FQ1 2023","Currency=USD","Period=FQ","BEST_FPERIOD_OVERRIDE=FQ","FILING_STATUS=MR","SCALING_FORMAT=MLN","Sort=A","Dates=H","DateFormat=P","Fill=—","Direction=H","UseDPDF=Y")</f>
        <v>-166.47499999999999</v>
      </c>
      <c r="U23" s="13">
        <f>_xll.BDH("ALNY US Equity","CF_CASH_FROM_OPER","FQ2 2023","FQ2 2023","Currency=USD","Period=FQ","BEST_FPERIOD_OVERRIDE=FQ","FILING_STATUS=MR","SCALING_FORMAT=MLN","Sort=A","Dates=H","DateFormat=P","Fill=—","Direction=H","UseDPDF=Y")</f>
        <v>-58.985999999999997</v>
      </c>
      <c r="V23" s="13">
        <f>_xll.BDH("ALNY US Equity","CF_CASH_FROM_OPER","FQ3 2023","FQ3 2023","Currency=USD","Period=FQ","BEST_FPERIOD_OVERRIDE=FQ","FILING_STATUS=MR","SCALING_FORMAT=MLN","Sort=A","Dates=H","DateFormat=P","Fill=—","Direction=H","UseDPDF=Y")</f>
        <v>359.41199999999998</v>
      </c>
      <c r="W23" s="13">
        <f>_xll.BDH("ALNY US Equity","CF_CASH_FROM_OPER","FQ4 2023","FQ4 2023","Currency=USD","Period=FQ","BEST_FPERIOD_OVERRIDE=FQ","FILING_STATUS=MR","SCALING_FORMAT=MLN","Sort=A","Dates=H","DateFormat=P","Fill=—","Direction=H","UseDPDF=Y")</f>
        <v>-29.795000000000002</v>
      </c>
      <c r="X23" s="13">
        <f>_xll.BDH("ALNY US Equity","CF_CASH_FROM_OPER","FQ1 2024","FQ1 2024","Currency=USD","Period=FQ","BEST_FPERIOD_OVERRIDE=FQ","FILING_STATUS=MR","SCALING_FORMAT=MLN","Sort=A","Dates=H","DateFormat=P","Fill=—","Direction=H","UseDPDF=Y")</f>
        <v>-81.515000000000001</v>
      </c>
      <c r="Y23" s="13">
        <f>_xll.BDH("ALNY US Equity","CF_CASH_FROM_OPER","FQ2 2024","FQ2 2024","Currency=USD","Period=FQ","BEST_FPERIOD_OVERRIDE=FQ","FILING_STATUS=MR","SCALING_FORMAT=MLN","Sort=A","Dates=H","DateFormat=P","Fill=—","Direction=H","UseDPDF=Y")</f>
        <v>124.158</v>
      </c>
      <c r="Z23" s="13">
        <f>_xll.BDH("ALNY US Equity","CF_CASH_FROM_OPER","FQ3 2024","FQ3 2024","Currency=USD","Period=FQ","BEST_FPERIOD_OVERRIDE=FQ","FILING_STATUS=MR","SCALING_FORMAT=MLN","Sort=A","Dates=H","DateFormat=P","Fill=—","Direction=H","UseDPDF=Y")</f>
        <v>43.707000000000001</v>
      </c>
      <c r="AA23" s="13">
        <f>_xll.BDH("ALNY US Equity","CF_CASH_FROM_OPER","FQ4 2024","FQ4 2024","Currency=USD","Period=FQ","BEST_FPERIOD_OVERRIDE=FQ","FILING_STATUS=MR","SCALING_FORMAT=MLN","Sort=A","Dates=H","DateFormat=P","Fill=—","Direction=H","UseDPDF=Y")</f>
        <v>-94.662000000000006</v>
      </c>
    </row>
    <row r="24" spans="1:27" x14ac:dyDescent="0.25">
      <c r="A24" s="10" t="s">
        <v>125</v>
      </c>
      <c r="B24" s="10" t="s">
        <v>126</v>
      </c>
      <c r="C24" s="13">
        <f>_xll.BDH("ALNY US Equity","CF_CASH_FROM_INV_ACT","FQ4 2018","FQ4 2018","Currency=USD","Period=FQ","BEST_FPERIOD_OVERRIDE=FQ","FILING_STATUS=MR","SCALING_FORMAT=MLN","Sort=A","Dates=H","DateFormat=P","Fill=—","Direction=H","UseDPDF=Y")</f>
        <v>248.964</v>
      </c>
      <c r="D24" s="13">
        <f>_xll.BDH("ALNY US Equity","CF_CASH_FROM_INV_ACT","FQ1 2019","FQ1 2019","Currency=USD","Period=FQ","BEST_FPERIOD_OVERRIDE=FQ","FILING_STATUS=MR","SCALING_FORMAT=MLN","Sort=A","Dates=H","DateFormat=P","Fill=—","Direction=H","UseDPDF=Y")</f>
        <v>102.652</v>
      </c>
      <c r="E24" s="13">
        <f>_xll.BDH("ALNY US Equity","CF_CASH_FROM_INV_ACT","FQ2 2019","FQ2 2019","Currency=USD","Period=FQ","BEST_FPERIOD_OVERRIDE=FQ","FILING_STATUS=MR","SCALING_FORMAT=MLN","Sort=A","Dates=H","DateFormat=P","Fill=—","Direction=H","UseDPDF=Y")</f>
        <v>-289.40199999999999</v>
      </c>
      <c r="F24" s="13">
        <f>_xll.BDH("ALNY US Equity","CF_CASH_FROM_INV_ACT","FQ3 2019","FQ3 2019","Currency=USD","Period=FQ","BEST_FPERIOD_OVERRIDE=FQ","FILING_STATUS=MR","SCALING_FORMAT=MLN","Sort=A","Dates=H","DateFormat=P","Fill=—","Direction=H","UseDPDF=Y")</f>
        <v>-10.077</v>
      </c>
      <c r="G24" s="13">
        <f>_xll.BDH("ALNY US Equity","CF_CASH_FROM_INV_ACT","FQ4 2019","FQ4 2019","Currency=USD","Period=FQ","BEST_FPERIOD_OVERRIDE=FQ","FILING_STATUS=MR","SCALING_FORMAT=MLN","Sort=A","Dates=H","DateFormat=P","Fill=—","Direction=H","UseDPDF=Y")</f>
        <v>-220.85</v>
      </c>
      <c r="H24" s="13">
        <f>_xll.BDH("ALNY US Equity","CF_CASH_FROM_INV_ACT","FQ1 2020","FQ1 2020","Currency=USD","Period=FQ","BEST_FPERIOD_OVERRIDE=FQ","FILING_STATUS=MR","SCALING_FORMAT=MLN","Sort=A","Dates=H","DateFormat=P","Fill=—","Direction=H","UseDPDF=Y")</f>
        <v>113.688</v>
      </c>
      <c r="I24" s="13">
        <f>_xll.BDH("ALNY US Equity","CF_CASH_FROM_INV_ACT","FQ2 2020","FQ2 2020","Currency=USD","Period=FQ","BEST_FPERIOD_OVERRIDE=FQ","FILING_STATUS=MR","SCALING_FORMAT=MLN","Sort=A","Dates=H","DateFormat=P","Fill=—","Direction=H","UseDPDF=Y")</f>
        <v>-441.23</v>
      </c>
      <c r="J24" s="13">
        <f>_xll.BDH("ALNY US Equity","CF_CASH_FROM_INV_ACT","FQ3 2020","FQ3 2020","Currency=USD","Period=FQ","BEST_FPERIOD_OVERRIDE=FQ","FILING_STATUS=MR","SCALING_FORMAT=MLN","Sort=A","Dates=H","DateFormat=P","Fill=—","Direction=H","UseDPDF=Y")</f>
        <v>-10.087999999999999</v>
      </c>
      <c r="K24" s="13">
        <f>_xll.BDH("ALNY US Equity","CF_CASH_FROM_INV_ACT","FQ4 2020","FQ4 2020","Currency=USD","Period=FQ","BEST_FPERIOD_OVERRIDE=FQ","FILING_STATUS=MR","SCALING_FORMAT=MLN","Sort=A","Dates=H","DateFormat=P","Fill=—","Direction=H","UseDPDF=Y")</f>
        <v>-97.888000000000005</v>
      </c>
      <c r="L24" s="13">
        <f>_xll.BDH("ALNY US Equity","CF_CASH_FROM_INV_ACT","FQ1 2021","FQ1 2021","Currency=USD","Period=FQ","BEST_FPERIOD_OVERRIDE=FQ","FILING_STATUS=MR","SCALING_FORMAT=MLN","Sort=A","Dates=H","DateFormat=P","Fill=—","Direction=H","UseDPDF=Y")</f>
        <v>71.352000000000004</v>
      </c>
      <c r="M24" s="13">
        <f>_xll.BDH("ALNY US Equity","CF_CASH_FROM_INV_ACT","FQ2 2021","FQ2 2021","Currency=USD","Period=FQ","BEST_FPERIOD_OVERRIDE=FQ","FILING_STATUS=MR","SCALING_FORMAT=MLN","Sort=A","Dates=H","DateFormat=P","Fill=—","Direction=H","UseDPDF=Y")</f>
        <v>157.024</v>
      </c>
      <c r="N24" s="13">
        <f>_xll.BDH("ALNY US Equity","CF_CASH_FROM_INV_ACT","FQ3 2021","FQ3 2021","Currency=USD","Period=FQ","BEST_FPERIOD_OVERRIDE=FQ","FILING_STATUS=MR","SCALING_FORMAT=MLN","Sort=A","Dates=H","DateFormat=P","Fill=—","Direction=H","UseDPDF=Y")</f>
        <v>-88.271000000000001</v>
      </c>
      <c r="O24" s="13">
        <f>_xll.BDH("ALNY US Equity","CF_CASH_FROM_INV_ACT","FQ4 2021","FQ4 2021","Currency=USD","Period=FQ","BEST_FPERIOD_OVERRIDE=FQ","FILING_STATUS=MR","SCALING_FORMAT=MLN","Sort=A","Dates=H","DateFormat=P","Fill=—","Direction=H","UseDPDF=Y")</f>
        <v>-413.40499999999997</v>
      </c>
      <c r="P24" s="13">
        <f>_xll.BDH("ALNY US Equity","CF_CASH_FROM_INV_ACT","FQ1 2022","FQ1 2022","Currency=USD","Period=FQ","BEST_FPERIOD_OVERRIDE=FQ","FILING_STATUS=MR","SCALING_FORMAT=MLN","Sort=A","Dates=H","DateFormat=P","Fill=—","Direction=H","UseDPDF=Y")</f>
        <v>-147.41900000000001</v>
      </c>
      <c r="Q24" s="13">
        <f>_xll.BDH("ALNY US Equity","CF_CASH_FROM_INV_ACT","FQ2 2022","FQ2 2022","Currency=USD","Period=FQ","BEST_FPERIOD_OVERRIDE=FQ","FILING_STATUS=MR","SCALING_FORMAT=MLN","Sort=A","Dates=H","DateFormat=P","Fill=—","Direction=H","UseDPDF=Y")</f>
        <v>142.79300000000001</v>
      </c>
      <c r="R24" s="13">
        <f>_xll.BDH("ALNY US Equity","CF_CASH_FROM_INV_ACT","FQ3 2022","FQ3 2022","Currency=USD","Period=FQ","BEST_FPERIOD_OVERRIDE=FQ","FILING_STATUS=MR","SCALING_FORMAT=MLN","Sort=A","Dates=H","DateFormat=P","Fill=—","Direction=H","UseDPDF=Y")</f>
        <v>313.89100000000002</v>
      </c>
      <c r="S24" s="13">
        <f>_xll.BDH("ALNY US Equity","CF_CASH_FROM_INV_ACT","FQ4 2022","FQ4 2022","Currency=USD","Period=FQ","BEST_FPERIOD_OVERRIDE=FQ","FILING_STATUS=MR","SCALING_FORMAT=MLN","Sort=A","Dates=H","DateFormat=P","Fill=—","Direction=H","UseDPDF=Y")</f>
        <v>-139.911</v>
      </c>
      <c r="T24" s="13">
        <f>_xll.BDH("ALNY US Equity","CF_CASH_FROM_INV_ACT","FQ1 2023","FQ1 2023","Currency=USD","Period=FQ","BEST_FPERIOD_OVERRIDE=FQ","FILING_STATUS=MR","SCALING_FORMAT=MLN","Sort=A","Dates=H","DateFormat=P","Fill=—","Direction=H","UseDPDF=Y")</f>
        <v>-76.216999999999999</v>
      </c>
      <c r="U24" s="13">
        <f>_xll.BDH("ALNY US Equity","CF_CASH_FROM_INV_ACT","FQ2 2023","FQ2 2023","Currency=USD","Period=FQ","BEST_FPERIOD_OVERRIDE=FQ","FILING_STATUS=MR","SCALING_FORMAT=MLN","Sort=A","Dates=H","DateFormat=P","Fill=—","Direction=H","UseDPDF=Y")</f>
        <v>-8.7129999999999992</v>
      </c>
      <c r="V24" s="13">
        <f>_xll.BDH("ALNY US Equity","CF_CASH_FROM_INV_ACT","FQ3 2023","FQ3 2023","Currency=USD","Period=FQ","BEST_FPERIOD_OVERRIDE=FQ","FILING_STATUS=MR","SCALING_FORMAT=MLN","Sort=A","Dates=H","DateFormat=P","Fill=—","Direction=H","UseDPDF=Y")</f>
        <v>-10.763999999999999</v>
      </c>
      <c r="W24" s="13">
        <f>_xll.BDH("ALNY US Equity","CF_CASH_FROM_INV_ACT","FQ4 2023","FQ4 2023","Currency=USD","Period=FQ","BEST_FPERIOD_OVERRIDE=FQ","FILING_STATUS=MR","SCALING_FORMAT=MLN","Sort=A","Dates=H","DateFormat=P","Fill=—","Direction=H","UseDPDF=Y")</f>
        <v>-240.65600000000001</v>
      </c>
      <c r="X24" s="13">
        <f>_xll.BDH("ALNY US Equity","CF_CASH_FROM_INV_ACT","FQ1 2024","FQ1 2024","Currency=USD","Period=FQ","BEST_FPERIOD_OVERRIDE=FQ","FILING_STATUS=MR","SCALING_FORMAT=MLN","Sort=A","Dates=H","DateFormat=P","Fill=—","Direction=H","UseDPDF=Y")</f>
        <v>-67.62</v>
      </c>
      <c r="Y24" s="13">
        <f>_xll.BDH("ALNY US Equity","CF_CASH_FROM_INV_ACT","FQ2 2024","FQ2 2024","Currency=USD","Period=FQ","BEST_FPERIOD_OVERRIDE=FQ","FILING_STATUS=MR","SCALING_FORMAT=MLN","Sort=A","Dates=H","DateFormat=P","Fill=—","Direction=H","UseDPDF=Y")</f>
        <v>33.94</v>
      </c>
      <c r="Z24" s="13">
        <f>_xll.BDH("ALNY US Equity","CF_CASH_FROM_INV_ACT","FQ3 2024","FQ3 2024","Currency=USD","Period=FQ","BEST_FPERIOD_OVERRIDE=FQ","FILING_STATUS=MR","SCALING_FORMAT=MLN","Sort=A","Dates=H","DateFormat=P","Fill=—","Direction=H","UseDPDF=Y")</f>
        <v>-30.25</v>
      </c>
      <c r="AA24" s="13">
        <f>_xll.BDH("ALNY US Equity","CF_CASH_FROM_INV_ACT","FQ4 2024","FQ4 2024","Currency=USD","Period=FQ","BEST_FPERIOD_OVERRIDE=FQ","FILING_STATUS=MR","SCALING_FORMAT=MLN","Sort=A","Dates=H","DateFormat=P","Fill=—","Direction=H","UseDPDF=Y")</f>
        <v>-52.91</v>
      </c>
    </row>
    <row r="25" spans="1:27" x14ac:dyDescent="0.25">
      <c r="A25" s="10" t="s">
        <v>127</v>
      </c>
      <c r="B25" s="10" t="s">
        <v>128</v>
      </c>
      <c r="C25" s="13">
        <f>_xll.BDH("ALNY US Equity","CF_CASH_FROM_FNC_ACT","FQ4 2018","FQ4 2018","Currency=USD","Period=FQ","BEST_FPERIOD_OVERRIDE=FQ","FILING_STATUS=MR","SCALING_FORMAT=MLN","Sort=A","Dates=H","DateFormat=P","Fill=—","Direction=H","UseDPDF=Y")</f>
        <v>5.3780000000000001</v>
      </c>
      <c r="D25" s="13">
        <f>_xll.BDH("ALNY US Equity","CF_CASH_FROM_FNC_ACT","FQ1 2019","FQ1 2019","Currency=USD","Period=FQ","BEST_FPERIOD_OVERRIDE=FQ","FILING_STATUS=MR","SCALING_FORMAT=MLN","Sort=A","Dates=H","DateFormat=P","Fill=—","Direction=H","UseDPDF=Y")</f>
        <v>390.93099999999998</v>
      </c>
      <c r="E25" s="13">
        <f>_xll.BDH("ALNY US Equity","CF_CASH_FROM_FNC_ACT","FQ2 2019","FQ2 2019","Currency=USD","Period=FQ","BEST_FPERIOD_OVERRIDE=FQ","FILING_STATUS=MR","SCALING_FORMAT=MLN","Sort=A","Dates=H","DateFormat=P","Fill=—","Direction=H","UseDPDF=Y")</f>
        <v>412.60700000000003</v>
      </c>
      <c r="F25" s="13">
        <f>_xll.BDH("ALNY US Equity","CF_CASH_FROM_FNC_ACT","FQ3 2019","FQ3 2019","Currency=USD","Period=FQ","BEST_FPERIOD_OVERRIDE=FQ","FILING_STATUS=MR","SCALING_FORMAT=MLN","Sort=A","Dates=H","DateFormat=P","Fill=—","Direction=H","UseDPDF=Y")</f>
        <v>-21.145</v>
      </c>
      <c r="G25" s="13">
        <f>_xll.BDH("ALNY US Equity","CF_CASH_FROM_FNC_ACT","FQ4 2019","FQ4 2019","Currency=USD","Period=FQ","BEST_FPERIOD_OVERRIDE=FQ","FILING_STATUS=MR","SCALING_FORMAT=MLN","Sort=A","Dates=H","DateFormat=P","Fill=—","Direction=H","UseDPDF=Y")</f>
        <v>40.707999999999998</v>
      </c>
      <c r="H25" s="13">
        <f>_xll.BDH("ALNY US Equity","CF_CASH_FROM_FNC_ACT","FQ1 2020","FQ1 2020","Currency=USD","Period=FQ","BEST_FPERIOD_OVERRIDE=FQ","FILING_STATUS=MR","SCALING_FORMAT=MLN","Sort=A","Dates=H","DateFormat=P","Fill=—","Direction=H","UseDPDF=Y")</f>
        <v>53.238</v>
      </c>
      <c r="I25" s="13">
        <f>_xll.BDH("ALNY US Equity","CF_CASH_FROM_FNC_ACT","FQ2 2020","FQ2 2020","Currency=USD","Period=FQ","BEST_FPERIOD_OVERRIDE=FQ","FILING_STATUS=MR","SCALING_FORMAT=MLN","Sort=A","Dates=H","DateFormat=P","Fill=—","Direction=H","UseDPDF=Y")</f>
        <v>689.44799999999998</v>
      </c>
      <c r="J25" s="13">
        <f>_xll.BDH("ALNY US Equity","CF_CASH_FROM_FNC_ACT","FQ3 2020","FQ3 2020","Currency=USD","Period=FQ","BEST_FPERIOD_OVERRIDE=FQ","FILING_STATUS=MR","SCALING_FORMAT=MLN","Sort=A","Dates=H","DateFormat=P","Fill=—","Direction=H","UseDPDF=Y")</f>
        <v>36.289000000000001</v>
      </c>
      <c r="K25" s="13">
        <f>_xll.BDH("ALNY US Equity","CF_CASH_FROM_FNC_ACT","FQ4 2020","FQ4 2020","Currency=USD","Period=FQ","BEST_FPERIOD_OVERRIDE=FQ","FILING_STATUS=MR","SCALING_FORMAT=MLN","Sort=A","Dates=H","DateFormat=P","Fill=—","Direction=H","UseDPDF=Y")</f>
        <v>220.922</v>
      </c>
      <c r="L25" s="13">
        <f>_xll.BDH("ALNY US Equity","CF_CASH_FROM_FNC_ACT","FQ1 2021","FQ1 2021","Currency=USD","Period=FQ","BEST_FPERIOD_OVERRIDE=FQ","FILING_STATUS=MR","SCALING_FORMAT=MLN","Sort=A","Dates=H","DateFormat=P","Fill=—","Direction=H","UseDPDF=Y")</f>
        <v>47.267000000000003</v>
      </c>
      <c r="M25" s="13">
        <f>_xll.BDH("ALNY US Equity","CF_CASH_FROM_FNC_ACT","FQ2 2021","FQ2 2021","Currency=USD","Period=FQ","BEST_FPERIOD_OVERRIDE=FQ","FILING_STATUS=MR","SCALING_FORMAT=MLN","Sort=A","Dates=H","DateFormat=P","Fill=—","Direction=H","UseDPDF=Y")</f>
        <v>330.892</v>
      </c>
      <c r="N25" s="13">
        <f>_xll.BDH("ALNY US Equity","CF_CASH_FROM_FNC_ACT","FQ3 2021","FQ3 2021","Currency=USD","Period=FQ","BEST_FPERIOD_OVERRIDE=FQ","FILING_STATUS=MR","SCALING_FORMAT=MLN","Sort=A","Dates=H","DateFormat=P","Fill=—","Direction=H","UseDPDF=Y")</f>
        <v>570.70000000000005</v>
      </c>
      <c r="O25" s="13">
        <f>_xll.BDH("ALNY US Equity","CF_CASH_FROM_FNC_ACT","FQ4 2021","FQ4 2021","Currency=USD","Period=FQ","BEST_FPERIOD_OVERRIDE=FQ","FILING_STATUS=MR","SCALING_FORMAT=MLN","Sort=A","Dates=H","DateFormat=P","Fill=—","Direction=H","UseDPDF=Y")</f>
        <v>289.24099999999999</v>
      </c>
      <c r="P25" s="13">
        <f>_xll.BDH("ALNY US Equity","CF_CASH_FROM_FNC_ACT","FQ1 2022","FQ1 2022","Currency=USD","Period=FQ","BEST_FPERIOD_OVERRIDE=FQ","FILING_STATUS=MR","SCALING_FORMAT=MLN","Sort=A","Dates=H","DateFormat=P","Fill=—","Direction=H","UseDPDF=Y")</f>
        <v>32.718000000000004</v>
      </c>
      <c r="Q25" s="13">
        <f>_xll.BDH("ALNY US Equity","CF_CASH_FROM_FNC_ACT","FQ2 2022","FQ2 2022","Currency=USD","Period=FQ","BEST_FPERIOD_OVERRIDE=FQ","FILING_STATUS=MR","SCALING_FORMAT=MLN","Sort=A","Dates=H","DateFormat=P","Fill=—","Direction=H","UseDPDF=Y")</f>
        <v>21.501999999999999</v>
      </c>
      <c r="R25" s="13">
        <f>_xll.BDH("ALNY US Equity","CF_CASH_FROM_FNC_ACT","FQ3 2022","FQ3 2022","Currency=USD","Period=FQ","BEST_FPERIOD_OVERRIDE=FQ","FILING_STATUS=MR","SCALING_FORMAT=MLN","Sort=A","Dates=H","DateFormat=P","Fill=—","Direction=H","UseDPDF=Y")</f>
        <v>299.04700000000003</v>
      </c>
      <c r="S25" s="13">
        <f>_xll.BDH("ALNY US Equity","CF_CASH_FROM_FNC_ACT","FQ4 2022","FQ4 2022","Currency=USD","Period=FQ","BEST_FPERIOD_OVERRIDE=FQ","FILING_STATUS=MR","SCALING_FORMAT=MLN","Sort=A","Dates=H","DateFormat=P","Fill=—","Direction=H","UseDPDF=Y")</f>
        <v>65.055999999999997</v>
      </c>
      <c r="T25" s="13">
        <f>_xll.BDH("ALNY US Equity","CF_CASH_FROM_FNC_ACT","FQ1 2023","FQ1 2023","Currency=USD","Period=FQ","BEST_FPERIOD_OVERRIDE=FQ","FILING_STATUS=MR","SCALING_FORMAT=MLN","Sort=A","Dates=H","DateFormat=P","Fill=—","Direction=H","UseDPDF=Y")</f>
        <v>48.546999999999997</v>
      </c>
      <c r="U25" s="13">
        <f>_xll.BDH("ALNY US Equity","CF_CASH_FROM_FNC_ACT","FQ2 2023","FQ2 2023","Currency=USD","Period=FQ","BEST_FPERIOD_OVERRIDE=FQ","FILING_STATUS=MR","SCALING_FORMAT=MLN","Sort=A","Dates=H","DateFormat=P","Fill=—","Direction=H","UseDPDF=Y")</f>
        <v>53.264000000000003</v>
      </c>
      <c r="V25" s="13">
        <f>_xll.BDH("ALNY US Equity","CF_CASH_FROM_FNC_ACT","FQ3 2023","FQ3 2023","Currency=USD","Period=FQ","BEST_FPERIOD_OVERRIDE=FQ","FILING_STATUS=MR","SCALING_FORMAT=MLN","Sort=A","Dates=H","DateFormat=P","Fill=—","Direction=H","UseDPDF=Y")</f>
        <v>26.585999999999999</v>
      </c>
      <c r="W25" s="13">
        <f>_xll.BDH("ALNY US Equity","CF_CASH_FROM_FNC_ACT","FQ4 2023","FQ4 2023","Currency=USD","Period=FQ","BEST_FPERIOD_OVERRIDE=FQ","FILING_STATUS=MR","SCALING_FORMAT=MLN","Sort=A","Dates=H","DateFormat=P","Fill=—","Direction=H","UseDPDF=Y")</f>
        <v>50.125</v>
      </c>
      <c r="X25" s="13">
        <f>_xll.BDH("ALNY US Equity","CF_CASH_FROM_FNC_ACT","FQ1 2024","FQ1 2024","Currency=USD","Period=FQ","BEST_FPERIOD_OVERRIDE=FQ","FILING_STATUS=MR","SCALING_FORMAT=MLN","Sort=A","Dates=H","DateFormat=P","Fill=—","Direction=H","UseDPDF=Y")</f>
        <v>18.97</v>
      </c>
      <c r="Y25" s="13">
        <f>_xll.BDH("ALNY US Equity","CF_CASH_FROM_FNC_ACT","FQ2 2024","FQ2 2024","Currency=USD","Period=FQ","BEST_FPERIOD_OVERRIDE=FQ","FILING_STATUS=MR","SCALING_FORMAT=MLN","Sort=A","Dates=H","DateFormat=P","Fill=—","Direction=H","UseDPDF=Y")</f>
        <v>128.376</v>
      </c>
      <c r="Z25" s="13">
        <f>_xll.BDH("ALNY US Equity","CF_CASH_FROM_FNC_ACT","FQ3 2024","FQ3 2024","Currency=USD","Period=FQ","BEST_FPERIOD_OVERRIDE=FQ","FILING_STATUS=MR","SCALING_FORMAT=MLN","Sort=A","Dates=H","DateFormat=P","Fill=—","Direction=H","UseDPDF=Y")</f>
        <v>117.848</v>
      </c>
      <c r="AA25" s="13">
        <f>_xll.BDH("ALNY US Equity","CF_CASH_FROM_FNC_ACT","FQ4 2024","FQ4 2024","Currency=USD","Period=FQ","BEST_FPERIOD_OVERRIDE=FQ","FILING_STATUS=MR","SCALING_FORMAT=MLN","Sort=A","Dates=H","DateFormat=P","Fill=—","Direction=H","UseDPDF=Y")</f>
        <v>13.726000000000001</v>
      </c>
    </row>
    <row r="26" spans="1:27" x14ac:dyDescent="0.25">
      <c r="A26" s="7" t="s">
        <v>90</v>
      </c>
      <c r="B26" s="7"/>
      <c r="C26" s="7" t="s">
        <v>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130</v>
      </c>
      <c r="B7" s="10" t="s">
        <v>131</v>
      </c>
      <c r="C7" s="13">
        <f>_xll.BDH("ALNY US Equity","BEST_SALES","FQ2 2019","FQ2 2019","Currency=USD","Period=FQ","BEST_FPERIOD_OVERRIDE=FQ","FILING_STATUS=MR","Sort=A","Dates=H","DateFormat=P","Fill=—","Direction=H","UseDPDF=Y")</f>
        <v>42.529000000000003</v>
      </c>
      <c r="D7" s="13">
        <f>_xll.BDH("ALNY US Equity","BEST_SALES","FQ3 2019","FQ3 2019","Currency=USD","Period=FQ","BEST_FPERIOD_OVERRIDE=FQ","FILING_STATUS=MR","Sort=A","Dates=H","DateFormat=P","Fill=—","Direction=H","UseDPDF=Y")</f>
        <v>55.98</v>
      </c>
      <c r="E7" s="13">
        <f>_xll.BDH("ALNY US Equity","BEST_SALES","FQ4 2019","FQ4 2019","Currency=USD","Period=FQ","BEST_FPERIOD_OVERRIDE=FQ","FILING_STATUS=MR","Sort=A","Dates=H","DateFormat=P","Fill=—","Direction=H","UseDPDF=Y")</f>
        <v>70.938999999999993</v>
      </c>
      <c r="F7" s="13">
        <f>_xll.BDH("ALNY US Equity","BEST_SALES","FQ1 2020","FQ1 2020","Currency=USD","Period=FQ","BEST_FPERIOD_OVERRIDE=FQ","FILING_STATUS=MR","Sort=A","Dates=H","DateFormat=P","Fill=—","Direction=H","UseDPDF=Y")</f>
        <v>91.581000000000003</v>
      </c>
      <c r="G7" s="13">
        <f>_xll.BDH("ALNY US Equity","BEST_SALES","FQ2 2020","FQ2 2020","Currency=USD","Period=FQ","BEST_FPERIOD_OVERRIDE=FQ","FILING_STATUS=MR","Sort=A","Dates=H","DateFormat=P","Fill=—","Direction=H","UseDPDF=Y")</f>
        <v>96.941000000000003</v>
      </c>
      <c r="H7" s="13">
        <f>_xll.BDH("ALNY US Equity","BEST_SALES","FQ3 2020","FQ3 2020","Currency=USD","Period=FQ","BEST_FPERIOD_OVERRIDE=FQ","FILING_STATUS=MR","Sort=A","Dates=H","DateFormat=P","Fill=—","Direction=H","UseDPDF=Y")</f>
        <v>122.1</v>
      </c>
      <c r="I7" s="13">
        <f>_xll.BDH("ALNY US Equity","BEST_SALES","FQ4 2020","FQ4 2020","Currency=USD","Period=FQ","BEST_FPERIOD_OVERRIDE=FQ","FILING_STATUS=MR","Sort=A","Dates=H","DateFormat=P","Fill=—","Direction=H","UseDPDF=Y")</f>
        <v>147.636</v>
      </c>
      <c r="J7" s="13">
        <f>_xll.BDH("ALNY US Equity","BEST_SALES","FQ1 2021","FQ1 2021","Currency=USD","Period=FQ","BEST_FPERIOD_OVERRIDE=FQ","FILING_STATUS=MR","Sort=A","Dates=H","DateFormat=P","Fill=—","Direction=H","UseDPDF=Y")</f>
        <v>169.833</v>
      </c>
      <c r="K7" s="13">
        <f>_xll.BDH("ALNY US Equity","BEST_SALES","FQ2 2021","FQ2 2021","Currency=USD","Period=FQ","BEST_FPERIOD_OVERRIDE=FQ","FILING_STATUS=MR","Sort=A","Dates=H","DateFormat=P","Fill=—","Direction=H","UseDPDF=Y")</f>
        <v>194.5</v>
      </c>
      <c r="L7" s="13">
        <f>_xll.BDH("ALNY US Equity","BEST_SALES","FQ3 2021","FQ3 2021","Currency=USD","Period=FQ","BEST_FPERIOD_OVERRIDE=FQ","FILING_STATUS=MR","Sort=A","Dates=H","DateFormat=P","Fill=—","Direction=H","UseDPDF=Y")</f>
        <v>219.22200000000001</v>
      </c>
      <c r="M7" s="13">
        <f>_xll.BDH("ALNY US Equity","BEST_SALES","FQ4 2021","FQ4 2021","Currency=USD","Period=FQ","BEST_FPERIOD_OVERRIDE=FQ","FILING_STATUS=MR","Sort=A","Dates=H","DateFormat=P","Fill=—","Direction=H","UseDPDF=Y")</f>
        <v>232.63200000000001</v>
      </c>
      <c r="N7" s="13">
        <f>_xll.BDH("ALNY US Equity","BEST_SALES","FQ1 2022","FQ1 2022","Currency=USD","Period=FQ","BEST_FPERIOD_OVERRIDE=FQ","FILING_STATUS=MR","Sort=A","Dates=H","DateFormat=P","Fill=—","Direction=H","UseDPDF=Y")</f>
        <v>243.44399999999999</v>
      </c>
      <c r="O7" s="13">
        <f>_xll.BDH("ALNY US Equity","BEST_SALES","FQ2 2022","FQ2 2022","Currency=USD","Period=FQ","BEST_FPERIOD_OVERRIDE=FQ","FILING_STATUS=MR","Sort=A","Dates=H","DateFormat=P","Fill=—","Direction=H","UseDPDF=Y")</f>
        <v>256.54500000000002</v>
      </c>
      <c r="P7" s="13">
        <f>_xll.BDH("ALNY US Equity","BEST_SALES","FQ3 2022","FQ3 2022","Currency=USD","Period=FQ","BEST_FPERIOD_OVERRIDE=FQ","FILING_STATUS=MR","Sort=A","Dates=H","DateFormat=P","Fill=—","Direction=H","UseDPDF=Y")</f>
        <v>291.13600000000002</v>
      </c>
      <c r="Q7" s="13">
        <f>_xll.BDH("ALNY US Equity","BEST_SALES","FQ4 2022","FQ4 2022","Currency=USD","Period=FQ","BEST_FPERIOD_OVERRIDE=FQ","FILING_STATUS=MR","Sort=A","Dates=H","DateFormat=P","Fill=—","Direction=H","UseDPDF=Y")</f>
        <v>312.5</v>
      </c>
      <c r="R7" s="13">
        <f>_xll.BDH("ALNY US Equity","BEST_SALES","FQ1 2023","FQ1 2023","Currency=USD","Period=FQ","BEST_FPERIOD_OVERRIDE=FQ","FILING_STATUS=MR","Sort=A","Dates=H","DateFormat=P","Fill=—","Direction=H","UseDPDF=Y")</f>
        <v>309.8</v>
      </c>
      <c r="S7" s="13">
        <f>_xll.BDH("ALNY US Equity","BEST_SALES","FQ2 2023","FQ2 2023","Currency=USD","Period=FQ","BEST_FPERIOD_OVERRIDE=FQ","FILING_STATUS=MR","Sort=A","Dates=H","DateFormat=P","Fill=—","Direction=H","UseDPDF=Y")</f>
        <v>333.565</v>
      </c>
      <c r="T7" s="13">
        <f>_xll.BDH("ALNY US Equity","BEST_SALES","FQ3 2023","FQ3 2023","Currency=USD","Period=FQ","BEST_FPERIOD_OVERRIDE=FQ","FILING_STATUS=MR","Sort=A","Dates=H","DateFormat=P","Fill=—","Direction=H","UseDPDF=Y")</f>
        <v>366.26100000000002</v>
      </c>
      <c r="U7" s="13">
        <f>_xll.BDH("ALNY US Equity","BEST_SALES","FQ4 2023","FQ4 2023","Currency=USD","Period=FQ","BEST_FPERIOD_OVERRIDE=FQ","FILING_STATUS=MR","Sort=A","Dates=H","DateFormat=P","Fill=—","Direction=H","UseDPDF=Y")</f>
        <v>440.96</v>
      </c>
      <c r="V7" s="13">
        <f>_xll.BDH("ALNY US Equity","BEST_SALES","FQ1 2024","FQ1 2024","Currency=USD","Period=FQ","BEST_FPERIOD_OVERRIDE=FQ","FILING_STATUS=MR","Sort=A","Dates=H","DateFormat=P","Fill=—","Direction=H","UseDPDF=Y")</f>
        <v>428.76900000000001</v>
      </c>
      <c r="W7" s="13">
        <f>_xll.BDH("ALNY US Equity","BEST_SALES","FQ2 2024","FQ2 2024","Currency=USD","Period=FQ","BEST_FPERIOD_OVERRIDE=FQ","FILING_STATUS=MR","Sort=A","Dates=H","DateFormat=P","Fill=—","Direction=H","UseDPDF=Y")</f>
        <v>447.61500000000001</v>
      </c>
      <c r="X7" s="13">
        <f>_xll.BDH("ALNY US Equity","BEST_SALES","FQ3 2024","FQ3 2024","Currency=USD","Period=FQ","BEST_FPERIOD_OVERRIDE=FQ","FILING_STATUS=MR","Sort=A","Dates=H","DateFormat=P","Fill=—","Direction=H","UseDPDF=Y")</f>
        <v>529.14800000000002</v>
      </c>
      <c r="Y7" s="13">
        <f>_xll.BDH("ALNY US Equity","BEST_SALES","FQ4 2024","FQ4 2024","Currency=USD","Period=FQ","BEST_FPERIOD_OVERRIDE=FQ","FILING_STATUS=MR","Sort=A","Dates=H","DateFormat=P","Fill=—","Direction=H","UseDPDF=Y")</f>
        <v>585</v>
      </c>
      <c r="Z7" s="13">
        <v>583.59299999999996</v>
      </c>
      <c r="AA7" s="13">
        <v>631.77800000000002</v>
      </c>
    </row>
    <row r="8" spans="1:27" x14ac:dyDescent="0.25">
      <c r="A8" s="10" t="s">
        <v>132</v>
      </c>
      <c r="B8" s="10" t="s">
        <v>133</v>
      </c>
      <c r="C8" s="13">
        <f>_xll.BDH("ALNY US Equity","IS_COMP_SALES","FQ2 2019","FQ2 2019","Currency=USD","Period=FQ","BEST_FPERIOD_OVERRIDE=FQ","FILING_STATUS=MR","SCALING_FORMAT=MLN","Sort=A","Dates=H","DateFormat=P","Fill=—","Direction=H","UseDPDF=Y")</f>
        <v>44.713999999999999</v>
      </c>
      <c r="D8" s="13">
        <f>_xll.BDH("ALNY US Equity","IS_COMP_SALES","FQ3 2019","FQ3 2019","Currency=USD","Period=FQ","BEST_FPERIOD_OVERRIDE=FQ","FILING_STATUS=MR","SCALING_FORMAT=MLN","Sort=A","Dates=H","DateFormat=P","Fill=—","Direction=H","UseDPDF=Y")</f>
        <v>70.061000000000007</v>
      </c>
      <c r="E8" s="13">
        <f>_xll.BDH("ALNY US Equity","IS_COMP_SALES","FQ4 2019","FQ4 2019","Currency=USD","Period=FQ","BEST_FPERIOD_OVERRIDE=FQ","FILING_STATUS=MR","SCALING_FORMAT=MLN","Sort=A","Dates=H","DateFormat=P","Fill=—","Direction=H","UseDPDF=Y")</f>
        <v>71.680999999999997</v>
      </c>
      <c r="F8" s="13">
        <f>_xll.BDH("ALNY US Equity","IS_COMP_SALES","FQ1 2020","FQ1 2020","Currency=USD","Period=FQ","BEST_FPERIOD_OVERRIDE=FQ","FILING_STATUS=MR","SCALING_FORMAT=MLN","Sort=A","Dates=H","DateFormat=P","Fill=—","Direction=H","UseDPDF=Y")</f>
        <v>99.475999999999999</v>
      </c>
      <c r="G8" s="13">
        <f>_xll.BDH("ALNY US Equity","IS_COMP_SALES","FQ2 2020","FQ2 2020","Currency=USD","Period=FQ","BEST_FPERIOD_OVERRIDE=FQ","FILING_STATUS=MR","SCALING_FORMAT=MLN","Sort=A","Dates=H","DateFormat=P","Fill=—","Direction=H","UseDPDF=Y")</f>
        <v>103.962</v>
      </c>
      <c r="H8" s="13">
        <f>_xll.BDH("ALNY US Equity","IS_COMP_SALES","FQ3 2020","FQ3 2020","Currency=USD","Period=FQ","BEST_FPERIOD_OVERRIDE=FQ","FILING_STATUS=MR","SCALING_FORMAT=MLN","Sort=A","Dates=H","DateFormat=P","Fill=—","Direction=H","UseDPDF=Y")</f>
        <v>125.85299999999999</v>
      </c>
      <c r="I8" s="13">
        <f>_xll.BDH("ALNY US Equity","IS_COMP_SALES","FQ4 2020","FQ4 2020","Currency=USD","Period=FQ","BEST_FPERIOD_OVERRIDE=FQ","FILING_STATUS=MR","SCALING_FORMAT=MLN","Sort=A","Dates=H","DateFormat=P","Fill=—","Direction=H","UseDPDF=Y")</f>
        <v>163.56200000000001</v>
      </c>
      <c r="J8" s="13">
        <f>_xll.BDH("ALNY US Equity","IS_COMP_SALES","FQ1 2021","FQ1 2021","Currency=USD","Period=FQ","BEST_FPERIOD_OVERRIDE=FQ","FILING_STATUS=MR","SCALING_FORMAT=MLN","Sort=A","Dates=H","DateFormat=P","Fill=—","Direction=H","UseDPDF=Y")</f>
        <v>177.566</v>
      </c>
      <c r="K8" s="13">
        <f>_xll.BDH("ALNY US Equity","IS_COMP_SALES","FQ2 2021","FQ2 2021","Currency=USD","Period=FQ","BEST_FPERIOD_OVERRIDE=FQ","FILING_STATUS=MR","SCALING_FORMAT=MLN","Sort=A","Dates=H","DateFormat=P","Fill=—","Direction=H","UseDPDF=Y")</f>
        <v>220.553</v>
      </c>
      <c r="L8" s="13">
        <f>_xll.BDH("ALNY US Equity","IS_COMP_SALES","FQ3 2021","FQ3 2021","Currency=USD","Period=FQ","BEST_FPERIOD_OVERRIDE=FQ","FILING_STATUS=MR","SCALING_FORMAT=MLN","Sort=A","Dates=H","DateFormat=P","Fill=—","Direction=H","UseDPDF=Y")</f>
        <v>187.63300000000001</v>
      </c>
      <c r="M8" s="13">
        <f>_xll.BDH("ALNY US Equity","IS_COMP_SALES","FQ4 2021","FQ4 2021","Currency=USD","Period=FQ","BEST_FPERIOD_OVERRIDE=FQ","FILING_STATUS=MR","SCALING_FORMAT=MLN","Sort=A","Dates=H","DateFormat=P","Fill=—","Direction=H","UseDPDF=Y")</f>
        <v>258.53500000000003</v>
      </c>
      <c r="N8" s="13">
        <f>_xll.BDH("ALNY US Equity","IS_COMP_SALES","FQ1 2022","FQ1 2022","Currency=USD","Period=FQ","BEST_FPERIOD_OVERRIDE=FQ","FILING_STATUS=MR","SCALING_FORMAT=MLN","Sort=A","Dates=H","DateFormat=P","Fill=—","Direction=H","UseDPDF=Y")</f>
        <v>213.25899999999999</v>
      </c>
      <c r="O8" s="13">
        <f>_xll.BDH("ALNY US Equity","IS_COMP_SALES","FQ2 2022","FQ2 2022","Currency=USD","Period=FQ","BEST_FPERIOD_OVERRIDE=FQ","FILING_STATUS=MR","SCALING_FORMAT=MLN","Sort=A","Dates=H","DateFormat=P","Fill=—","Direction=H","UseDPDF=Y")</f>
        <v>224.81800000000001</v>
      </c>
      <c r="P8" s="13">
        <f>_xll.BDH("ALNY US Equity","IS_COMP_SALES","FQ3 2022","FQ3 2022","Currency=USD","Period=FQ","BEST_FPERIOD_OVERRIDE=FQ","FILING_STATUS=MR","SCALING_FORMAT=MLN","Sort=A","Dates=H","DateFormat=P","Fill=—","Direction=H","UseDPDF=Y")</f>
        <v>264.30599999999998</v>
      </c>
      <c r="Q8" s="13">
        <f>_xll.BDH("ALNY US Equity","IS_COMP_SALES","FQ4 2022","FQ4 2022","Currency=USD","Period=FQ","BEST_FPERIOD_OVERRIDE=FQ","FILING_STATUS=MR","SCALING_FORMAT=MLN","Sort=A","Dates=H","DateFormat=P","Fill=—","Direction=H","UseDPDF=Y")</f>
        <v>335.03500000000003</v>
      </c>
      <c r="R8" s="13">
        <f>_xll.BDH("ALNY US Equity","IS_COMP_SALES","FQ1 2023","FQ1 2023","Currency=USD","Period=FQ","BEST_FPERIOD_OVERRIDE=FQ","FILING_STATUS=MR","SCALING_FORMAT=MLN","Sort=A","Dates=H","DateFormat=P","Fill=—","Direction=H","UseDPDF=Y")</f>
        <v>319.29000000000002</v>
      </c>
      <c r="S8" s="13">
        <f>_xll.BDH("ALNY US Equity","IS_COMP_SALES","FQ2 2023","FQ2 2023","Currency=USD","Period=FQ","BEST_FPERIOD_OVERRIDE=FQ","FILING_STATUS=MR","SCALING_FORMAT=MLN","Sort=A","Dates=H","DateFormat=P","Fill=—","Direction=H","UseDPDF=Y")</f>
        <v>318.75400000000002</v>
      </c>
      <c r="T8" s="13">
        <f>_xll.BDH("ALNY US Equity","IS_COMP_SALES","FQ3 2023","FQ3 2023","Currency=USD","Period=FQ","BEST_FPERIOD_OVERRIDE=FQ","FILING_STATUS=MR","SCALING_FORMAT=MLN","Sort=A","Dates=H","DateFormat=P","Fill=—","Direction=H","UseDPDF=Y")</f>
        <v>750.53</v>
      </c>
      <c r="U8" s="13">
        <f>_xll.BDH("ALNY US Equity","IS_COMP_SALES","FQ4 2023","FQ4 2023","Currency=USD","Period=FQ","BEST_FPERIOD_OVERRIDE=FQ","FILING_STATUS=MR","SCALING_FORMAT=MLN","Sort=A","Dates=H","DateFormat=P","Fill=—","Direction=H","UseDPDF=Y")</f>
        <v>439.71800000000002</v>
      </c>
      <c r="V8" s="13">
        <f>_xll.BDH("ALNY US Equity","IS_COMP_SALES","FQ1 2024","FQ1 2024","Currency=USD","Period=FQ","BEST_FPERIOD_OVERRIDE=FQ","FILING_STATUS=MR","SCALING_FORMAT=MLN","Sort=A","Dates=H","DateFormat=P","Fill=—","Direction=H","UseDPDF=Y")</f>
        <v>494.33300000000003</v>
      </c>
      <c r="W8" s="13">
        <f>_xll.BDH("ALNY US Equity","IS_COMP_SALES","FQ2 2024","FQ2 2024","Currency=USD","Period=FQ","BEST_FPERIOD_OVERRIDE=FQ","FILING_STATUS=MR","SCALING_FORMAT=MLN","Sort=A","Dates=H","DateFormat=P","Fill=—","Direction=H","UseDPDF=Y")</f>
        <v>659.82500000000005</v>
      </c>
      <c r="X8" s="13">
        <f>_xll.BDH("ALNY US Equity","IS_COMP_SALES","FQ3 2024","FQ3 2024","Currency=USD","Period=FQ","BEST_FPERIOD_OVERRIDE=FQ","FILING_STATUS=MR","SCALING_FORMAT=MLN","Sort=A","Dates=H","DateFormat=P","Fill=—","Direction=H","UseDPDF=Y")</f>
        <v>500.91899999999998</v>
      </c>
      <c r="Y8" s="13">
        <f>_xll.BDH("ALNY US Equity","IS_COMP_SALES","FQ4 2024","FQ4 2024","Currency=USD","Period=FQ","BEST_FPERIOD_OVERRIDE=FQ","FILING_STATUS=MR","SCALING_FORMAT=MLN","Sort=A","Dates=H","DateFormat=P","Fill=—","Direction=H","UseDPDF=Y")</f>
        <v>593.16600000000005</v>
      </c>
      <c r="Z8" s="13"/>
      <c r="AA8" s="13"/>
    </row>
    <row r="9" spans="1:27" x14ac:dyDescent="0.25">
      <c r="A9" s="11" t="s">
        <v>134</v>
      </c>
      <c r="B9" s="11"/>
      <c r="C9" s="25">
        <v>5.13767076583036</v>
      </c>
      <c r="D9" s="25">
        <v>25.153626295105401</v>
      </c>
      <c r="E9" s="25">
        <v>1.04596907201963</v>
      </c>
      <c r="F9" s="25">
        <v>8.6207837870300601</v>
      </c>
      <c r="G9" s="25">
        <v>7.2425495920198903</v>
      </c>
      <c r="H9" s="25">
        <v>3.0737100737100702</v>
      </c>
      <c r="I9" s="25">
        <v>10.787341840743499</v>
      </c>
      <c r="J9" s="25">
        <v>4.5532964735946502</v>
      </c>
      <c r="K9" s="25">
        <v>13.3948586118252</v>
      </c>
      <c r="L9" s="25">
        <v>-14.4095939276168</v>
      </c>
      <c r="M9" s="25">
        <v>11.1347536022559</v>
      </c>
      <c r="N9" s="25">
        <v>-12.399155452588699</v>
      </c>
      <c r="O9" s="25">
        <v>-12.367031125143701</v>
      </c>
      <c r="P9" s="25">
        <v>-9.2156243130358497</v>
      </c>
      <c r="Q9" s="25">
        <v>7.2112000000000096</v>
      </c>
      <c r="R9" s="25">
        <v>3.0632666236281501</v>
      </c>
      <c r="S9" s="25">
        <v>-4.4402140512343902</v>
      </c>
      <c r="T9" s="25">
        <v>104.916712399082</v>
      </c>
      <c r="U9" s="25">
        <v>-0.281658200290267</v>
      </c>
      <c r="V9" s="25">
        <v>15.291217415438201</v>
      </c>
      <c r="W9" s="25">
        <v>47.409045720094298</v>
      </c>
      <c r="X9" s="25">
        <v>-5.3348023615321303</v>
      </c>
      <c r="Y9" s="25">
        <v>1.3958974358974401</v>
      </c>
      <c r="Z9" s="25"/>
      <c r="AA9" s="25"/>
    </row>
    <row r="10" spans="1:27" x14ac:dyDescent="0.25">
      <c r="A10" s="10" t="s">
        <v>135</v>
      </c>
      <c r="B10" s="10" t="s">
        <v>71</v>
      </c>
      <c r="C10" s="13">
        <f>_xll.BDH("ALNY US Equity","SALES_REV_TURN","FQ2 2019","FQ2 2019","Currency=USD","Period=FQ","BEST_FPERIOD_OVERRIDE=FQ","FILING_STATUS=MR","SCALING_FORMAT=MLN","FA_ADJUSTED=GAAP","Sort=A","Dates=H","DateFormat=P","Fill=—","Direction=H","UseDPDF=Y")</f>
        <v>44.713999999999999</v>
      </c>
      <c r="D10" s="13">
        <f>_xll.BDH("ALNY US Equity","SALES_REV_TURN","FQ3 2019","FQ3 2019","Currency=USD","Period=FQ","BEST_FPERIOD_OVERRIDE=FQ","FILING_STATUS=MR","SCALING_FORMAT=MLN","FA_ADJUSTED=GAAP","Sort=A","Dates=H","DateFormat=P","Fill=—","Direction=H","UseDPDF=Y")</f>
        <v>70.061000000000007</v>
      </c>
      <c r="E10" s="13">
        <f>_xll.BDH("ALNY US Equity","SALES_REV_TURN","FQ4 2019","FQ4 2019","Currency=USD","Period=FQ","BEST_FPERIOD_OVERRIDE=FQ","FILING_STATUS=MR","SCALING_FORMAT=MLN","FA_ADJUSTED=GAAP","Sort=A","Dates=H","DateFormat=P","Fill=—","Direction=H","UseDPDF=Y")</f>
        <v>71.680999999999997</v>
      </c>
      <c r="F10" s="13">
        <f>_xll.BDH("ALNY US Equity","SALES_REV_TURN","FQ1 2020","FQ1 2020","Currency=USD","Period=FQ","BEST_FPERIOD_OVERRIDE=FQ","FILING_STATUS=MR","SCALING_FORMAT=MLN","FA_ADJUSTED=GAAP","Sort=A","Dates=H","DateFormat=P","Fill=—","Direction=H","UseDPDF=Y")</f>
        <v>99.475999999999999</v>
      </c>
      <c r="G10" s="13">
        <f>_xll.BDH("ALNY US Equity","SALES_REV_TURN","FQ2 2020","FQ2 2020","Currency=USD","Period=FQ","BEST_FPERIOD_OVERRIDE=FQ","FILING_STATUS=MR","SCALING_FORMAT=MLN","FA_ADJUSTED=GAAP","Sort=A","Dates=H","DateFormat=P","Fill=—","Direction=H","UseDPDF=Y")</f>
        <v>103.962</v>
      </c>
      <c r="H10" s="13">
        <f>_xll.BDH("ALNY US Equity","SALES_REV_TURN","FQ3 2020","FQ3 2020","Currency=USD","Period=FQ","BEST_FPERIOD_OVERRIDE=FQ","FILING_STATUS=MR","SCALING_FORMAT=MLN","FA_ADJUSTED=GAAP","Sort=A","Dates=H","DateFormat=P","Fill=—","Direction=H","UseDPDF=Y")</f>
        <v>125.85299999999999</v>
      </c>
      <c r="I10" s="13">
        <f>_xll.BDH("ALNY US Equity","SALES_REV_TURN","FQ4 2020","FQ4 2020","Currency=USD","Period=FQ","BEST_FPERIOD_OVERRIDE=FQ","FILING_STATUS=MR","SCALING_FORMAT=MLN","FA_ADJUSTED=GAAP","Sort=A","Dates=H","DateFormat=P","Fill=—","Direction=H","UseDPDF=Y")</f>
        <v>163.56200000000001</v>
      </c>
      <c r="J10" s="13">
        <f>_xll.BDH("ALNY US Equity","SALES_REV_TURN","FQ1 2021","FQ1 2021","Currency=USD","Period=FQ","BEST_FPERIOD_OVERRIDE=FQ","FILING_STATUS=MR","SCALING_FORMAT=MLN","FA_ADJUSTED=GAAP","Sort=A","Dates=H","DateFormat=P","Fill=—","Direction=H","UseDPDF=Y")</f>
        <v>177.566</v>
      </c>
      <c r="K10" s="13">
        <f>_xll.BDH("ALNY US Equity","SALES_REV_TURN","FQ2 2021","FQ2 2021","Currency=USD","Period=FQ","BEST_FPERIOD_OVERRIDE=FQ","FILING_STATUS=MR","SCALING_FORMAT=MLN","FA_ADJUSTED=GAAP","Sort=A","Dates=H","DateFormat=P","Fill=—","Direction=H","UseDPDF=Y")</f>
        <v>220.553</v>
      </c>
      <c r="L10" s="13">
        <f>_xll.BDH("ALNY US Equity","SALES_REV_TURN","FQ3 2021","FQ3 2021","Currency=USD","Period=FQ","BEST_FPERIOD_OVERRIDE=FQ","FILING_STATUS=MR","SCALING_FORMAT=MLN","FA_ADJUSTED=GAAP","Sort=A","Dates=H","DateFormat=P","Fill=—","Direction=H","UseDPDF=Y")</f>
        <v>187.63300000000001</v>
      </c>
      <c r="M10" s="13">
        <f>_xll.BDH("ALNY US Equity","SALES_REV_TURN","FQ4 2021","FQ4 2021","Currency=USD","Period=FQ","BEST_FPERIOD_OVERRIDE=FQ","FILING_STATUS=MR","SCALING_FORMAT=MLN","FA_ADJUSTED=GAAP","Sort=A","Dates=H","DateFormat=P","Fill=—","Direction=H","UseDPDF=Y")</f>
        <v>258.53500000000003</v>
      </c>
      <c r="N10" s="13">
        <f>_xll.BDH("ALNY US Equity","SALES_REV_TURN","FQ1 2022","FQ1 2022","Currency=USD","Period=FQ","BEST_FPERIOD_OVERRIDE=FQ","FILING_STATUS=MR","SCALING_FORMAT=MLN","FA_ADJUSTED=GAAP","Sort=A","Dates=H","DateFormat=P","Fill=—","Direction=H","UseDPDF=Y")</f>
        <v>213.25899999999999</v>
      </c>
      <c r="O10" s="13">
        <f>_xll.BDH("ALNY US Equity","SALES_REV_TURN","FQ2 2022","FQ2 2022","Currency=USD","Period=FQ","BEST_FPERIOD_OVERRIDE=FQ","FILING_STATUS=MR","SCALING_FORMAT=MLN","FA_ADJUSTED=GAAP","Sort=A","Dates=H","DateFormat=P","Fill=—","Direction=H","UseDPDF=Y")</f>
        <v>224.81800000000001</v>
      </c>
      <c r="P10" s="13">
        <f>_xll.BDH("ALNY US Equity","SALES_REV_TURN","FQ3 2022","FQ3 2022","Currency=USD","Period=FQ","BEST_FPERIOD_OVERRIDE=FQ","FILING_STATUS=MR","SCALING_FORMAT=MLN","FA_ADJUSTED=GAAP","Sort=A","Dates=H","DateFormat=P","Fill=—","Direction=H","UseDPDF=Y")</f>
        <v>264.30599999999998</v>
      </c>
      <c r="Q10" s="13">
        <f>_xll.BDH("ALNY US Equity","SALES_REV_TURN","FQ4 2022","FQ4 2022","Currency=USD","Period=FQ","BEST_FPERIOD_OVERRIDE=FQ","FILING_STATUS=MR","SCALING_FORMAT=MLN","FA_ADJUSTED=GAAP","Sort=A","Dates=H","DateFormat=P","Fill=—","Direction=H","UseDPDF=Y")</f>
        <v>335.03500000000003</v>
      </c>
      <c r="R10" s="13">
        <f>_xll.BDH("ALNY US Equity","SALES_REV_TURN","FQ1 2023","FQ1 2023","Currency=USD","Period=FQ","BEST_FPERIOD_OVERRIDE=FQ","FILING_STATUS=MR","SCALING_FORMAT=MLN","FA_ADJUSTED=GAAP","Sort=A","Dates=H","DateFormat=P","Fill=—","Direction=H","UseDPDF=Y")</f>
        <v>319.29000000000002</v>
      </c>
      <c r="S10" s="13">
        <f>_xll.BDH("ALNY US Equity","SALES_REV_TURN","FQ2 2023","FQ2 2023","Currency=USD","Period=FQ","BEST_FPERIOD_OVERRIDE=FQ","FILING_STATUS=MR","SCALING_FORMAT=MLN","FA_ADJUSTED=GAAP","Sort=A","Dates=H","DateFormat=P","Fill=—","Direction=H","UseDPDF=Y")</f>
        <v>318.75400000000002</v>
      </c>
      <c r="T10" s="13">
        <f>_xll.BDH("ALNY US Equity","SALES_REV_TURN","FQ3 2023","FQ3 2023","Currency=USD","Period=FQ","BEST_FPERIOD_OVERRIDE=FQ","FILING_STATUS=MR","SCALING_FORMAT=MLN","FA_ADJUSTED=GAAP","Sort=A","Dates=H","DateFormat=P","Fill=—","Direction=H","UseDPDF=Y")</f>
        <v>750.53</v>
      </c>
      <c r="U10" s="13">
        <f>_xll.BDH("ALNY US Equity","SALES_REV_TURN","FQ4 2023","FQ4 2023","Currency=USD","Period=FQ","BEST_FPERIOD_OVERRIDE=FQ","FILING_STATUS=MR","SCALING_FORMAT=MLN","FA_ADJUSTED=GAAP","Sort=A","Dates=H","DateFormat=P","Fill=—","Direction=H","UseDPDF=Y")</f>
        <v>439.71800000000002</v>
      </c>
      <c r="V10" s="13">
        <f>_xll.BDH("ALNY US Equity","SALES_REV_TURN","FQ1 2024","FQ1 2024","Currency=USD","Period=FQ","BEST_FPERIOD_OVERRIDE=FQ","FILING_STATUS=MR","SCALING_FORMAT=MLN","FA_ADJUSTED=GAAP","Sort=A","Dates=H","DateFormat=P","Fill=—","Direction=H","UseDPDF=Y")</f>
        <v>494.33300000000003</v>
      </c>
      <c r="W10" s="13">
        <f>_xll.BDH("ALNY US Equity","SALES_REV_TURN","FQ2 2024","FQ2 2024","Currency=USD","Period=FQ","BEST_FPERIOD_OVERRIDE=FQ","FILING_STATUS=MR","SCALING_FORMAT=MLN","FA_ADJUSTED=GAAP","Sort=A","Dates=H","DateFormat=P","Fill=—","Direction=H","UseDPDF=Y")</f>
        <v>659.82500000000005</v>
      </c>
      <c r="X10" s="13">
        <f>_xll.BDH("ALNY US Equity","SALES_REV_TURN","FQ3 2024","FQ3 2024","Currency=USD","Period=FQ","BEST_FPERIOD_OVERRIDE=FQ","FILING_STATUS=MR","SCALING_FORMAT=MLN","FA_ADJUSTED=GAAP","Sort=A","Dates=H","DateFormat=P","Fill=—","Direction=H","UseDPDF=Y")</f>
        <v>500.91899999999998</v>
      </c>
      <c r="Y10" s="13">
        <f>_xll.BDH("ALNY US Equity","SALES_REV_TURN","FQ4 2024","FQ4 2024","Currency=USD","Period=FQ","BEST_FPERIOD_OVERRIDE=FQ","FILING_STATUS=MR","SCALING_FORMAT=MLN","FA_ADJUSTED=GAAP","Sort=A","Dates=H","DateFormat=P","Fill=—","Direction=H","UseDPDF=Y")</f>
        <v>593.16600000000005</v>
      </c>
      <c r="Z10" s="13"/>
      <c r="AA10" s="13"/>
    </row>
    <row r="11" spans="1:27" x14ac:dyDescent="0.25">
      <c r="A11" s="10" t="s">
        <v>136</v>
      </c>
      <c r="B11" s="10" t="s">
        <v>71</v>
      </c>
      <c r="C11" s="13">
        <f>_xll.BDH("ALNY US Equity","SALES_REV_TURN","FQ2 2019","FQ2 2019","Currency=USD","Period=FQ","BEST_FPERIOD_OVERRIDE=FQ","FILING_STATUS=MR","SCALING_FORMAT=MLN","FA_ADJUSTED=Adjusted","Sort=A","Dates=H","DateFormat=P","Fill=—","Direction=H","UseDPDF=Y")</f>
        <v>44.713999999999999</v>
      </c>
      <c r="D11" s="13">
        <f>_xll.BDH("ALNY US Equity","SALES_REV_TURN","FQ3 2019","FQ3 2019","Currency=USD","Period=FQ","BEST_FPERIOD_OVERRIDE=FQ","FILING_STATUS=MR","SCALING_FORMAT=MLN","FA_ADJUSTED=Adjusted","Sort=A","Dates=H","DateFormat=P","Fill=—","Direction=H","UseDPDF=Y")</f>
        <v>70.061000000000007</v>
      </c>
      <c r="E11" s="13">
        <f>_xll.BDH("ALNY US Equity","SALES_REV_TURN","FQ4 2019","FQ4 2019","Currency=USD","Period=FQ","BEST_FPERIOD_OVERRIDE=FQ","FILING_STATUS=MR","SCALING_FORMAT=MLN","FA_ADJUSTED=Adjusted","Sort=A","Dates=H","DateFormat=P","Fill=—","Direction=H","UseDPDF=Y")</f>
        <v>71.680999999999997</v>
      </c>
      <c r="F11" s="13">
        <f>_xll.BDH("ALNY US Equity","SALES_REV_TURN","FQ1 2020","FQ1 2020","Currency=USD","Period=FQ","BEST_FPERIOD_OVERRIDE=FQ","FILING_STATUS=MR","SCALING_FORMAT=MLN","FA_ADJUSTED=Adjusted","Sort=A","Dates=H","DateFormat=P","Fill=—","Direction=H","UseDPDF=Y")</f>
        <v>99.475999999999999</v>
      </c>
      <c r="G11" s="13">
        <f>_xll.BDH("ALNY US Equity","SALES_REV_TURN","FQ2 2020","FQ2 2020","Currency=USD","Period=FQ","BEST_FPERIOD_OVERRIDE=FQ","FILING_STATUS=MR","SCALING_FORMAT=MLN","FA_ADJUSTED=Adjusted","Sort=A","Dates=H","DateFormat=P","Fill=—","Direction=H","UseDPDF=Y")</f>
        <v>103.962</v>
      </c>
      <c r="H11" s="13">
        <f>_xll.BDH("ALNY US Equity","SALES_REV_TURN","FQ3 2020","FQ3 2020","Currency=USD","Period=FQ","BEST_FPERIOD_OVERRIDE=FQ","FILING_STATUS=MR","SCALING_FORMAT=MLN","FA_ADJUSTED=Adjusted","Sort=A","Dates=H","DateFormat=P","Fill=—","Direction=H","UseDPDF=Y")</f>
        <v>125.85299999999999</v>
      </c>
      <c r="I11" s="13">
        <f>_xll.BDH("ALNY US Equity","SALES_REV_TURN","FQ4 2020","FQ4 2020","Currency=USD","Period=FQ","BEST_FPERIOD_OVERRIDE=FQ","FILING_STATUS=MR","SCALING_FORMAT=MLN","FA_ADJUSTED=Adjusted","Sort=A","Dates=H","DateFormat=P","Fill=—","Direction=H","UseDPDF=Y")</f>
        <v>163.56200000000001</v>
      </c>
      <c r="J11" s="13">
        <f>_xll.BDH("ALNY US Equity","SALES_REV_TURN","FQ1 2021","FQ1 2021","Currency=USD","Period=FQ","BEST_FPERIOD_OVERRIDE=FQ","FILING_STATUS=MR","SCALING_FORMAT=MLN","FA_ADJUSTED=Adjusted","Sort=A","Dates=H","DateFormat=P","Fill=—","Direction=H","UseDPDF=Y")</f>
        <v>177.566</v>
      </c>
      <c r="K11" s="13">
        <f>_xll.BDH("ALNY US Equity","SALES_REV_TURN","FQ2 2021","FQ2 2021","Currency=USD","Period=FQ","BEST_FPERIOD_OVERRIDE=FQ","FILING_STATUS=MR","SCALING_FORMAT=MLN","FA_ADJUSTED=Adjusted","Sort=A","Dates=H","DateFormat=P","Fill=—","Direction=H","UseDPDF=Y")</f>
        <v>220.553</v>
      </c>
      <c r="L11" s="13">
        <f>_xll.BDH("ALNY US Equity","SALES_REV_TURN","FQ3 2021","FQ3 2021","Currency=USD","Period=FQ","BEST_FPERIOD_OVERRIDE=FQ","FILING_STATUS=MR","SCALING_FORMAT=MLN","FA_ADJUSTED=Adjusted","Sort=A","Dates=H","DateFormat=P","Fill=—","Direction=H","UseDPDF=Y")</f>
        <v>187.63300000000001</v>
      </c>
      <c r="M11" s="13">
        <f>_xll.BDH("ALNY US Equity","SALES_REV_TURN","FQ4 2021","FQ4 2021","Currency=USD","Period=FQ","BEST_FPERIOD_OVERRIDE=FQ","FILING_STATUS=MR","SCALING_FORMAT=MLN","FA_ADJUSTED=Adjusted","Sort=A","Dates=H","DateFormat=P","Fill=—","Direction=H","UseDPDF=Y")</f>
        <v>258.53500000000003</v>
      </c>
      <c r="N11" s="13">
        <f>_xll.BDH("ALNY US Equity","SALES_REV_TURN","FQ1 2022","FQ1 2022","Currency=USD","Period=FQ","BEST_FPERIOD_OVERRIDE=FQ","FILING_STATUS=MR","SCALING_FORMAT=MLN","FA_ADJUSTED=Adjusted","Sort=A","Dates=H","DateFormat=P","Fill=—","Direction=H","UseDPDF=Y")</f>
        <v>213.25899999999999</v>
      </c>
      <c r="O11" s="13">
        <f>_xll.BDH("ALNY US Equity","SALES_REV_TURN","FQ2 2022","FQ2 2022","Currency=USD","Period=FQ","BEST_FPERIOD_OVERRIDE=FQ","FILING_STATUS=MR","SCALING_FORMAT=MLN","FA_ADJUSTED=Adjusted","Sort=A","Dates=H","DateFormat=P","Fill=—","Direction=H","UseDPDF=Y")</f>
        <v>224.81800000000001</v>
      </c>
      <c r="P11" s="13">
        <f>_xll.BDH("ALNY US Equity","SALES_REV_TURN","FQ3 2022","FQ3 2022","Currency=USD","Period=FQ","BEST_FPERIOD_OVERRIDE=FQ","FILING_STATUS=MR","SCALING_FORMAT=MLN","FA_ADJUSTED=Adjusted","Sort=A","Dates=H","DateFormat=P","Fill=—","Direction=H","UseDPDF=Y")</f>
        <v>264.30599999999998</v>
      </c>
      <c r="Q11" s="13">
        <f>_xll.BDH("ALNY US Equity","SALES_REV_TURN","FQ4 2022","FQ4 2022","Currency=USD","Period=FQ","BEST_FPERIOD_OVERRIDE=FQ","FILING_STATUS=MR","SCALING_FORMAT=MLN","FA_ADJUSTED=Adjusted","Sort=A","Dates=H","DateFormat=P","Fill=—","Direction=H","UseDPDF=Y")</f>
        <v>335.03500000000003</v>
      </c>
      <c r="R11" s="13">
        <f>_xll.BDH("ALNY US Equity","SALES_REV_TURN","FQ1 2023","FQ1 2023","Currency=USD","Period=FQ","BEST_FPERIOD_OVERRIDE=FQ","FILING_STATUS=MR","SCALING_FORMAT=MLN","FA_ADJUSTED=Adjusted","Sort=A","Dates=H","DateFormat=P","Fill=—","Direction=H","UseDPDF=Y")</f>
        <v>319.29000000000002</v>
      </c>
      <c r="S11" s="13">
        <f>_xll.BDH("ALNY US Equity","SALES_REV_TURN","FQ2 2023","FQ2 2023","Currency=USD","Period=FQ","BEST_FPERIOD_OVERRIDE=FQ","FILING_STATUS=MR","SCALING_FORMAT=MLN","FA_ADJUSTED=Adjusted","Sort=A","Dates=H","DateFormat=P","Fill=—","Direction=H","UseDPDF=Y")</f>
        <v>318.75400000000002</v>
      </c>
      <c r="T11" s="13">
        <f>_xll.BDH("ALNY US Equity","SALES_REV_TURN","FQ3 2023","FQ3 2023","Currency=USD","Period=FQ","BEST_FPERIOD_OVERRIDE=FQ","FILING_STATUS=MR","SCALING_FORMAT=MLN","FA_ADJUSTED=Adjusted","Sort=A","Dates=H","DateFormat=P","Fill=—","Direction=H","UseDPDF=Y")</f>
        <v>750.53</v>
      </c>
      <c r="U11" s="13">
        <f>_xll.BDH("ALNY US Equity","SALES_REV_TURN","FQ4 2023","FQ4 2023","Currency=USD","Period=FQ","BEST_FPERIOD_OVERRIDE=FQ","FILING_STATUS=MR","SCALING_FORMAT=MLN","FA_ADJUSTED=Adjusted","Sort=A","Dates=H","DateFormat=P","Fill=—","Direction=H","UseDPDF=Y")</f>
        <v>439.71800000000002</v>
      </c>
      <c r="V11" s="13">
        <f>_xll.BDH("ALNY US Equity","SALES_REV_TURN","FQ1 2024","FQ1 2024","Currency=USD","Period=FQ","BEST_FPERIOD_OVERRIDE=FQ","FILING_STATUS=MR","SCALING_FORMAT=MLN","FA_ADJUSTED=Adjusted","Sort=A","Dates=H","DateFormat=P","Fill=—","Direction=H","UseDPDF=Y")</f>
        <v>494.33300000000003</v>
      </c>
      <c r="W11" s="13">
        <f>_xll.BDH("ALNY US Equity","SALES_REV_TURN","FQ2 2024","FQ2 2024","Currency=USD","Period=FQ","BEST_FPERIOD_OVERRIDE=FQ","FILING_STATUS=MR","SCALING_FORMAT=MLN","FA_ADJUSTED=Adjusted","Sort=A","Dates=H","DateFormat=P","Fill=—","Direction=H","UseDPDF=Y")</f>
        <v>659.82500000000005</v>
      </c>
      <c r="X11" s="13">
        <f>_xll.BDH("ALNY US Equity","SALES_REV_TURN","FQ3 2024","FQ3 2024","Currency=USD","Period=FQ","BEST_FPERIOD_OVERRIDE=FQ","FILING_STATUS=MR","SCALING_FORMAT=MLN","FA_ADJUSTED=Adjusted","Sort=A","Dates=H","DateFormat=P","Fill=—","Direction=H","UseDPDF=Y")</f>
        <v>500.91899999999998</v>
      </c>
      <c r="Y11" s="13">
        <f>_xll.BDH("ALNY US Equity","SALES_REV_TURN","FQ4 2024","FQ4 2024","Currency=USD","Period=FQ","BEST_FPERIOD_OVERRIDE=FQ","FILING_STATUS=MR","SCALING_FORMAT=MLN","FA_ADJUSTED=Adjusted","Sort=A","Dates=H","DateFormat=P","Fill=—","Direction=H","UseDPDF=Y")</f>
        <v>593.16600000000005</v>
      </c>
      <c r="Z11" s="13"/>
      <c r="AA11" s="13"/>
    </row>
    <row r="12" spans="1:27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A13" s="6" t="s">
        <v>137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0" t="s">
        <v>130</v>
      </c>
      <c r="B14" s="10" t="s">
        <v>138</v>
      </c>
      <c r="C14" s="14">
        <f>_xll.BDH("ALNY US Equity","BEST_EPS_GAAP","FQ2 2019","FQ2 2019","Currency=USD","Period=FQ","BEST_FPERIOD_OVERRIDE=FQ","FILING_STATUS=MR","Sort=A","Dates=H","DateFormat=P","Fill=—","Direction=H","UseDPDF=Y")</f>
        <v>-2.12</v>
      </c>
      <c r="D14" s="14">
        <f>_xll.BDH("ALNY US Equity","BEST_EPS_GAAP","FQ3 2019","FQ3 2019","Currency=USD","Period=FQ","BEST_FPERIOD_OVERRIDE=FQ","FILING_STATUS=MR","Sort=A","Dates=H","DateFormat=P","Fill=—","Direction=H","UseDPDF=Y")</f>
        <v>-2.121</v>
      </c>
      <c r="E14" s="14">
        <f>_xll.BDH("ALNY US Equity","BEST_EPS_GAAP","FQ4 2019","FQ4 2019","Currency=USD","Period=FQ","BEST_FPERIOD_OVERRIDE=FQ","FILING_STATUS=MR","Sort=A","Dates=H","DateFormat=P","Fill=—","Direction=H","UseDPDF=Y")</f>
        <v>-2.2210000000000001</v>
      </c>
      <c r="F14" s="14">
        <f>_xll.BDH("ALNY US Equity","BEST_EPS_GAAP","FQ1 2020","FQ1 2020","Currency=USD","Period=FQ","BEST_FPERIOD_OVERRIDE=FQ","FILING_STATUS=MR","Sort=A","Dates=H","DateFormat=P","Fill=—","Direction=H","UseDPDF=Y")</f>
        <v>-1.8520000000000001</v>
      </c>
      <c r="G14" s="14">
        <f>_xll.BDH("ALNY US Equity","BEST_EPS_GAAP","FQ2 2020","FQ2 2020","Currency=USD","Period=FQ","BEST_FPERIOD_OVERRIDE=FQ","FILING_STATUS=MR","Sort=A","Dates=H","DateFormat=P","Fill=—","Direction=H","UseDPDF=Y")</f>
        <v>-1.8069999999999999</v>
      </c>
      <c r="H14" s="14">
        <f>_xll.BDH("ALNY US Equity","BEST_EPS_GAAP","FQ3 2020","FQ3 2020","Currency=USD","Period=FQ","BEST_FPERIOD_OVERRIDE=FQ","FILING_STATUS=MR","Sort=A","Dates=H","DateFormat=P","Fill=—","Direction=H","UseDPDF=Y")</f>
        <v>-1.599</v>
      </c>
      <c r="I14" s="14">
        <f>_xll.BDH("ALNY US Equity","BEST_EPS_GAAP","FQ4 2020","FQ4 2020","Currency=USD","Period=FQ","BEST_FPERIOD_OVERRIDE=FQ","FILING_STATUS=MR","Sort=A","Dates=H","DateFormat=P","Fill=—","Direction=H","UseDPDF=Y")</f>
        <v>-1.7410000000000001</v>
      </c>
      <c r="J14" s="14">
        <f>_xll.BDH("ALNY US Equity","BEST_EPS_GAAP","FQ1 2021","FQ1 2021","Currency=USD","Period=FQ","BEST_FPERIOD_OVERRIDE=FQ","FILING_STATUS=MR","Sort=A","Dates=H","DateFormat=P","Fill=—","Direction=H","UseDPDF=Y")</f>
        <v>-1.7629999999999999</v>
      </c>
      <c r="K14" s="14">
        <f>_xll.BDH("ALNY US Equity","BEST_EPS_GAAP","FQ2 2021","FQ2 2021","Currency=USD","Period=FQ","BEST_FPERIOD_OVERRIDE=FQ","FILING_STATUS=MR","Sort=A","Dates=H","DateFormat=P","Fill=—","Direction=H","UseDPDF=Y")</f>
        <v>-1.625</v>
      </c>
      <c r="L14" s="14">
        <f>_xll.BDH("ALNY US Equity","BEST_EPS_GAAP","FQ3 2021","FQ3 2021","Currency=USD","Period=FQ","BEST_FPERIOD_OVERRIDE=FQ","FILING_STATUS=MR","Sort=A","Dates=H","DateFormat=P","Fill=—","Direction=H","UseDPDF=Y")</f>
        <v>-1.5229999999999999</v>
      </c>
      <c r="M14" s="14">
        <f>_xll.BDH("ALNY US Equity","BEST_EPS_GAAP","FQ4 2021","FQ4 2021","Currency=USD","Period=FQ","BEST_FPERIOD_OVERRIDE=FQ","FILING_STATUS=MR","Sort=A","Dates=H","DateFormat=P","Fill=—","Direction=H","UseDPDF=Y")</f>
        <v>-1.474</v>
      </c>
      <c r="N14" s="14">
        <f>_xll.BDH("ALNY US Equity","BEST_EPS_GAAP","FQ1 2022","FQ1 2022","Currency=USD","Period=FQ","BEST_FPERIOD_OVERRIDE=FQ","FILING_STATUS=MR","Sort=A","Dates=H","DateFormat=P","Fill=—","Direction=H","UseDPDF=Y")</f>
        <v>-1.9239999999999999</v>
      </c>
      <c r="O14" s="14">
        <f>_xll.BDH("ALNY US Equity","BEST_EPS_GAAP","FQ2 2022","FQ2 2022","Currency=USD","Period=FQ","BEST_FPERIOD_OVERRIDE=FQ","FILING_STATUS=MR","Sort=A","Dates=H","DateFormat=P","Fill=—","Direction=H","UseDPDF=Y")</f>
        <v>-1.7130000000000001</v>
      </c>
      <c r="P14" s="14">
        <f>_xll.BDH("ALNY US Equity","BEST_EPS_GAAP","FQ3 2022","FQ3 2022","Currency=USD","Period=FQ","BEST_FPERIOD_OVERRIDE=FQ","FILING_STATUS=MR","Sort=A","Dates=H","DateFormat=P","Fill=—","Direction=H","UseDPDF=Y")</f>
        <v>-1.79</v>
      </c>
      <c r="Q14" s="14">
        <f>_xll.BDH("ALNY US Equity","BEST_EPS_GAAP","FQ4 2022","FQ4 2022","Currency=USD","Period=FQ","BEST_FPERIOD_OVERRIDE=FQ","FILING_STATUS=MR","Sort=A","Dates=H","DateFormat=P","Fill=—","Direction=H","UseDPDF=Y")</f>
        <v>-1.9119999999999999</v>
      </c>
      <c r="R14" s="14">
        <f>_xll.BDH("ALNY US Equity","BEST_EPS_GAAP","FQ1 2023","FQ1 2023","Currency=USD","Period=FQ","BEST_FPERIOD_OVERRIDE=FQ","FILING_STATUS=MR","Sort=A","Dates=H","DateFormat=P","Fill=—","Direction=H","UseDPDF=Y")</f>
        <v>-1.7709999999999999</v>
      </c>
      <c r="S14" s="14">
        <f>_xll.BDH("ALNY US Equity","BEST_EPS_GAAP","FQ2 2023","FQ2 2023","Currency=USD","Period=FQ","BEST_FPERIOD_OVERRIDE=FQ","FILING_STATUS=MR","Sort=A","Dates=H","DateFormat=P","Fill=—","Direction=H","UseDPDF=Y")</f>
        <v>-1.516</v>
      </c>
      <c r="T14" s="14">
        <f>_xll.BDH("ALNY US Equity","BEST_EPS_GAAP","FQ3 2023","FQ3 2023","Currency=USD","Period=FQ","BEST_FPERIOD_OVERRIDE=FQ","FILING_STATUS=MR","Sort=A","Dates=H","DateFormat=P","Fill=—","Direction=H","UseDPDF=Y")</f>
        <v>-1.538</v>
      </c>
      <c r="U14" s="14">
        <f>_xll.BDH("ALNY US Equity","BEST_EPS_GAAP","FQ4 2023","FQ4 2023","Currency=USD","Period=FQ","BEST_FPERIOD_OVERRIDE=FQ","FILING_STATUS=MR","Sort=A","Dates=H","DateFormat=P","Fill=—","Direction=H","UseDPDF=Y")</f>
        <v>-1.256</v>
      </c>
      <c r="V14" s="14">
        <f>_xll.BDH("ALNY US Equity","BEST_EPS_GAAP","FQ1 2024","FQ1 2024","Currency=USD","Period=FQ","BEST_FPERIOD_OVERRIDE=FQ","FILING_STATUS=MR","Sort=A","Dates=H","DateFormat=P","Fill=—","Direction=H","UseDPDF=Y")</f>
        <v>-1.196</v>
      </c>
      <c r="W14" s="14">
        <f>_xll.BDH("ALNY US Equity","BEST_EPS_GAAP","FQ2 2024","FQ2 2024","Currency=USD","Period=FQ","BEST_FPERIOD_OVERRIDE=FQ","FILING_STATUS=MR","Sort=A","Dates=H","DateFormat=P","Fill=—","Direction=H","UseDPDF=Y")</f>
        <v>-1.0649999999999999</v>
      </c>
      <c r="X14" s="14">
        <f>_xll.BDH("ALNY US Equity","BEST_EPS_GAAP","FQ3 2024","FQ3 2024","Currency=USD","Period=FQ","BEST_FPERIOD_OVERRIDE=FQ","FILING_STATUS=MR","Sort=A","Dates=H","DateFormat=P","Fill=—","Direction=H","UseDPDF=Y")</f>
        <v>-0.94399999999999995</v>
      </c>
      <c r="Y14" s="14">
        <f>_xll.BDH("ALNY US Equity","BEST_EPS_GAAP","FQ4 2024","FQ4 2024","Currency=USD","Period=FQ","BEST_FPERIOD_OVERRIDE=FQ","FILING_STATUS=MR","Sort=A","Dates=H","DateFormat=P","Fill=—","Direction=H","UseDPDF=Y")</f>
        <v>-0.64200000000000002</v>
      </c>
      <c r="Z14" s="14">
        <v>-0.95</v>
      </c>
      <c r="AA14" s="14">
        <v>-0.91500000000000004</v>
      </c>
    </row>
    <row r="15" spans="1:27" x14ac:dyDescent="0.25">
      <c r="A15" s="10" t="s">
        <v>132</v>
      </c>
      <c r="B15" s="10" t="s">
        <v>139</v>
      </c>
      <c r="C15" s="14">
        <f>_xll.BDH("ALNY US Equity","IS_COMP_EPS_GAAP","FQ2 2019","FQ2 2019","Currency=USD","Period=FQ","BEST_FPERIOD_OVERRIDE=FQ","FILING_STATUS=MR","Sort=A","Dates=H","DateFormat=P","Fill=—","Direction=H","UseDPDF=Y")</f>
        <v>-2.02</v>
      </c>
      <c r="D15" s="14">
        <f>_xll.BDH("ALNY US Equity","IS_COMP_EPS_GAAP","FQ3 2019","FQ3 2019","Currency=USD","Period=FQ","BEST_FPERIOD_OVERRIDE=FQ","FILING_STATUS=MR","Sort=A","Dates=H","DateFormat=P","Fill=—","Direction=H","UseDPDF=Y")</f>
        <v>-1.92</v>
      </c>
      <c r="E15" s="14">
        <f>_xll.BDH("ALNY US Equity","IS_COMP_EPS_GAAP","FQ4 2019","FQ4 2019","Currency=USD","Period=FQ","BEST_FPERIOD_OVERRIDE=FQ","FILING_STATUS=MR","Sort=A","Dates=H","DateFormat=P","Fill=—","Direction=H","UseDPDF=Y")</f>
        <v>-2.4700000000000002</v>
      </c>
      <c r="F15" s="14">
        <f>_xll.BDH("ALNY US Equity","IS_COMP_EPS_GAAP","FQ1 2020","FQ1 2020","Currency=USD","Period=FQ","BEST_FPERIOD_OVERRIDE=FQ","FILING_STATUS=MR","Sort=A","Dates=H","DateFormat=P","Fill=—","Direction=H","UseDPDF=Y")</f>
        <v>-1.62</v>
      </c>
      <c r="G15" s="14">
        <f>_xll.BDH("ALNY US Equity","IS_COMP_EPS_GAAP","FQ2 2020","FQ2 2020","Currency=USD","Period=FQ","BEST_FPERIOD_OVERRIDE=FQ","FILING_STATUS=MR","Sort=A","Dates=H","DateFormat=P","Fill=—","Direction=H","UseDPDF=Y")</f>
        <v>-1.56</v>
      </c>
      <c r="H15" s="14">
        <f>_xll.BDH("ALNY US Equity","IS_COMP_EPS_GAAP","FQ3 2020","FQ3 2020","Currency=USD","Period=FQ","BEST_FPERIOD_OVERRIDE=FQ","FILING_STATUS=MR","Sort=A","Dates=H","DateFormat=P","Fill=—","Direction=H","UseDPDF=Y")</f>
        <v>-2.1800000000000002</v>
      </c>
      <c r="I15" s="14">
        <f>_xll.BDH("ALNY US Equity","IS_COMP_EPS_GAAP","FQ4 2020","FQ4 2020","Currency=USD","Period=FQ","BEST_FPERIOD_OVERRIDE=FQ","FILING_STATUS=MR","Sort=A","Dates=H","DateFormat=P","Fill=—","Direction=H","UseDPDF=Y")</f>
        <v>-2.09</v>
      </c>
      <c r="J15" s="14">
        <f>_xll.BDH("ALNY US Equity","IS_COMP_EPS_GAAP","FQ1 2021","FQ1 2021","Currency=USD","Period=FQ","BEST_FPERIOD_OVERRIDE=FQ","FILING_STATUS=MR","Sort=A","Dates=H","DateFormat=P","Fill=—","Direction=H","UseDPDF=Y")</f>
        <v>-1.71</v>
      </c>
      <c r="K15" s="14">
        <f>_xll.BDH("ALNY US Equity","IS_COMP_EPS_GAAP","FQ2 2021","FQ2 2021","Currency=USD","Period=FQ","BEST_FPERIOD_OVERRIDE=FQ","FILING_STATUS=MR","Sort=A","Dates=H","DateFormat=P","Fill=—","Direction=H","UseDPDF=Y")</f>
        <v>-1.61</v>
      </c>
      <c r="L15" s="14">
        <f>_xll.BDH("ALNY US Equity","IS_COMP_EPS_GAAP","FQ3 2021","FQ3 2021","Currency=USD","Period=FQ","BEST_FPERIOD_OVERRIDE=FQ","FILING_STATUS=MR","Sort=A","Dates=H","DateFormat=P","Fill=—","Direction=H","UseDPDF=Y")</f>
        <v>-1.72</v>
      </c>
      <c r="M15" s="14">
        <f>_xll.BDH("ALNY US Equity","IS_COMP_EPS_GAAP","FQ4 2021","FQ4 2021","Currency=USD","Period=FQ","BEST_FPERIOD_OVERRIDE=FQ","FILING_STATUS=MR","Sort=A","Dates=H","DateFormat=P","Fill=—","Direction=H","UseDPDF=Y")</f>
        <v>-2.16</v>
      </c>
      <c r="N15" s="14">
        <f>_xll.BDH("ALNY US Equity","IS_COMP_EPS_GAAP","FQ1 2022","FQ1 2022","Currency=USD","Period=FQ","BEST_FPERIOD_OVERRIDE=FQ","FILING_STATUS=MR","Sort=A","Dates=H","DateFormat=P","Fill=—","Direction=H","UseDPDF=Y")</f>
        <v>-2</v>
      </c>
      <c r="O15" s="14">
        <f>_xll.BDH("ALNY US Equity","IS_COMP_EPS_GAAP","FQ2 2022","FQ2 2022","Currency=USD","Period=FQ","BEST_FPERIOD_OVERRIDE=FQ","FILING_STATUS=MR","Sort=A","Dates=H","DateFormat=P","Fill=—","Direction=H","UseDPDF=Y")</f>
        <v>-2.29</v>
      </c>
      <c r="P15" s="14">
        <f>_xll.BDH("ALNY US Equity","IS_COMP_EPS_GAAP","FQ3 2022","FQ3 2022","Currency=USD","Period=FQ","BEST_FPERIOD_OVERRIDE=FQ","FILING_STATUS=MR","Sort=A","Dates=H","DateFormat=P","Fill=—","Direction=H","UseDPDF=Y")</f>
        <v>-3.32</v>
      </c>
      <c r="Q15" s="14">
        <f>_xll.BDH("ALNY US Equity","IS_COMP_EPS_GAAP","FQ4 2022","FQ4 2022","Currency=USD","Period=FQ","BEST_FPERIOD_OVERRIDE=FQ","FILING_STATUS=MR","Sort=A","Dates=H","DateFormat=P","Fill=—","Direction=H","UseDPDF=Y")</f>
        <v>-1.68</v>
      </c>
      <c r="R15" s="14">
        <f>_xll.BDH("ALNY US Equity","IS_COMP_EPS_GAAP","FQ1 2023","FQ1 2023","Currency=USD","Period=FQ","BEST_FPERIOD_OVERRIDE=FQ","FILING_STATUS=MR","Sort=A","Dates=H","DateFormat=P","Fill=—","Direction=H","UseDPDF=Y")</f>
        <v>-1.4</v>
      </c>
      <c r="S15" s="14">
        <f>_xll.BDH("ALNY US Equity","IS_COMP_EPS_GAAP","FQ2 2023","FQ2 2023","Currency=USD","Period=FQ","BEST_FPERIOD_OVERRIDE=FQ","FILING_STATUS=MR","Sort=A","Dates=H","DateFormat=P","Fill=—","Direction=H","UseDPDF=Y")</f>
        <v>-2.21</v>
      </c>
      <c r="T15" s="14">
        <f>_xll.BDH("ALNY US Equity","IS_COMP_EPS_GAAP","FQ3 2023","FQ3 2023","Currency=USD","Period=FQ","BEST_FPERIOD_OVERRIDE=FQ","FILING_STATUS=MR","Sort=A","Dates=H","DateFormat=P","Fill=—","Direction=H","UseDPDF=Y")</f>
        <v>1.1499999999999999</v>
      </c>
      <c r="U15" s="14">
        <f>_xll.BDH("ALNY US Equity","IS_COMP_EPS_GAAP","FQ4 2023","FQ4 2023","Currency=USD","Period=FQ","BEST_FPERIOD_OVERRIDE=FQ","FILING_STATUS=MR","Sort=A","Dates=H","DateFormat=P","Fill=—","Direction=H","UseDPDF=Y")</f>
        <v>-1.1000000000000001</v>
      </c>
      <c r="V15" s="14">
        <f>_xll.BDH("ALNY US Equity","IS_COMP_EPS_GAAP","FQ1 2024","FQ1 2024","Currency=USD","Period=FQ","BEST_FPERIOD_OVERRIDE=FQ","FILING_STATUS=MR","Sort=A","Dates=H","DateFormat=P","Fill=—","Direction=H","UseDPDF=Y")</f>
        <v>-0.52</v>
      </c>
      <c r="W15" s="14">
        <f>_xll.BDH("ALNY US Equity","IS_COMP_EPS_GAAP","FQ2 2024","FQ2 2024","Currency=USD","Period=FQ","BEST_FPERIOD_OVERRIDE=FQ","FILING_STATUS=MR","Sort=A","Dates=H","DateFormat=P","Fill=—","Direction=H","UseDPDF=Y")</f>
        <v>-0.13</v>
      </c>
      <c r="X15" s="14">
        <f>_xll.BDH("ALNY US Equity","IS_COMP_EPS_GAAP","FQ3 2024","FQ3 2024","Currency=USD","Period=FQ","BEST_FPERIOD_OVERRIDE=FQ","FILING_STATUS=MR","Sort=A","Dates=H","DateFormat=P","Fill=—","Direction=H","UseDPDF=Y")</f>
        <v>-0.87</v>
      </c>
      <c r="Y15" s="14">
        <f>_xll.BDH("ALNY US Equity","IS_COMP_EPS_GAAP","FQ4 2024","FQ4 2024","Currency=USD","Period=FQ","BEST_FPERIOD_OVERRIDE=FQ","FILING_STATUS=MR","Sort=A","Dates=H","DateFormat=P","Fill=—","Direction=H","UseDPDF=Y")</f>
        <v>-0.65</v>
      </c>
      <c r="Z15" s="14"/>
      <c r="AA15" s="14"/>
    </row>
    <row r="16" spans="1:27" x14ac:dyDescent="0.25">
      <c r="A16" s="11" t="s">
        <v>140</v>
      </c>
      <c r="B16" s="11"/>
      <c r="C16" s="25">
        <v>4.71698113207548</v>
      </c>
      <c r="D16" s="25">
        <v>9.4766619519094792</v>
      </c>
      <c r="E16" s="25">
        <v>-11.211166141377801</v>
      </c>
      <c r="F16" s="25">
        <v>12.5269978401728</v>
      </c>
      <c r="G16" s="25">
        <v>13.6690647482014</v>
      </c>
      <c r="H16" s="25">
        <v>-36.335209505941201</v>
      </c>
      <c r="I16" s="25">
        <v>-20.045950603101701</v>
      </c>
      <c r="J16" s="25">
        <v>3.00623936471922</v>
      </c>
      <c r="K16" s="25">
        <v>0.92307692307691702</v>
      </c>
      <c r="L16" s="25">
        <v>-12.9349967170059</v>
      </c>
      <c r="M16" s="25">
        <v>-46.540027137042102</v>
      </c>
      <c r="N16" s="25">
        <v>-3.9501039501039501</v>
      </c>
      <c r="O16" s="25">
        <v>-33.6835960303561</v>
      </c>
      <c r="P16" s="25">
        <v>-85.474860335195501</v>
      </c>
      <c r="Q16" s="25">
        <v>12.1338912133891</v>
      </c>
      <c r="R16" s="25">
        <v>20.948616600790501</v>
      </c>
      <c r="S16" s="25">
        <v>-45.778364116094998</v>
      </c>
      <c r="T16" s="25" t="s">
        <v>141</v>
      </c>
      <c r="U16" s="25">
        <v>12.420382165605099</v>
      </c>
      <c r="V16" s="25">
        <v>56.521739130434803</v>
      </c>
      <c r="W16" s="25">
        <v>87.793427230046902</v>
      </c>
      <c r="X16" s="25">
        <v>7.8389830508474496</v>
      </c>
      <c r="Y16" s="25">
        <v>-1.2461059190031201</v>
      </c>
      <c r="Z16" s="25"/>
      <c r="AA16" s="25"/>
    </row>
    <row r="17" spans="1:27" x14ac:dyDescent="0.25">
      <c r="A17" s="10" t="s">
        <v>135</v>
      </c>
      <c r="B17" s="10" t="s">
        <v>104</v>
      </c>
      <c r="C17" s="14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D17" s="14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E17" s="14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F17" s="14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G17" s="14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H17" s="14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I17" s="14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J17" s="14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K17" s="14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L17" s="14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M17" s="14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N17" s="14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O17" s="14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P17" s="14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Q17" s="14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R17" s="14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S17" s="14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T17" s="14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U17" s="14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V17" s="14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W17" s="14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X17" s="14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Y17" s="14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  <c r="Z17" s="14"/>
      <c r="AA17" s="14"/>
    </row>
    <row r="18" spans="1:27" x14ac:dyDescent="0.25">
      <c r="A18" s="10" t="s">
        <v>136</v>
      </c>
      <c r="B18" s="10" t="s">
        <v>82</v>
      </c>
      <c r="C18" s="14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D18" s="14">
        <f>_xll.BDH("ALNY US Equity","IS_DIL_EPS_CONT_OPS","FQ3 2019","FQ3 2019","Currency=USD","Period=FQ","BEST_FPERIOD_OVERRIDE=FQ","FILING_STATUS=MR","Sort=A","Dates=H","DateFormat=P","Fill=—","Direction=H","UseDPDF=Y")</f>
        <v>-1.92</v>
      </c>
      <c r="E18" s="14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F18" s="14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G18" s="14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H18" s="14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I18" s="14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J18" s="14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K18" s="14">
        <f>_xll.BDH("ALNY US Equity","IS_DIL_EPS_CONT_OPS","FQ2 2021","FQ2 2021","Currency=USD","Period=FQ","BEST_FPERIOD_OVERRIDE=FQ","FILING_STATUS=MR","Sort=A","Dates=H","DateFormat=P","Fill=—","Direction=H","UseDPDF=Y")</f>
        <v>-1.5724</v>
      </c>
      <c r="L18" s="14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M18" s="14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N18" s="14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O18" s="14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P18" s="14">
        <f>_xll.BDH("ALNY US Equity","IS_DIL_EPS_CONT_OPS","FQ3 2022","FQ3 2022","Currency=USD","Period=FQ","BEST_FPERIOD_OVERRIDE=FQ","FILING_STATUS=MR","Sort=A","Dates=H","DateFormat=P","Fill=—","Direction=H","UseDPDF=Y")</f>
        <v>-2.6315</v>
      </c>
      <c r="Q18" s="14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R18" s="14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S18" s="14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T18" s="14">
        <f>_xll.BDH("ALNY US Equity","IS_DIL_EPS_CONT_OPS","FQ3 2023","FQ3 2023","Currency=USD","Period=FQ","BEST_FPERIOD_OVERRIDE=FQ","FILING_STATUS=MR","Sort=A","Dates=H","DateFormat=P","Fill=—","Direction=H","UseDPDF=Y")</f>
        <v>1.2783</v>
      </c>
      <c r="U18" s="14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V18" s="14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W18" s="14">
        <f>_xll.BDH("ALNY US Equity","IS_DIL_EPS_CONT_OPS","FQ2 2024","FQ2 2024","Currency=USD","Period=FQ","BEST_FPERIOD_OVERRIDE=FQ","FILING_STATUS=MR","Sort=A","Dates=H","DateFormat=P","Fill=—","Direction=H","UseDPDF=Y")</f>
        <v>-0.1225</v>
      </c>
      <c r="X18" s="14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Y18" s="14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  <c r="Z18" s="14"/>
      <c r="AA18" s="14"/>
    </row>
    <row r="19" spans="1:27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6" t="s">
        <v>142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0" t="s">
        <v>130</v>
      </c>
      <c r="B21" s="10" t="s">
        <v>143</v>
      </c>
      <c r="C21" s="13">
        <f>_xll.BDH("ALNY US Equity","BEST_OPP","FQ2 2019","FQ2 2019","Currency=USD","Period=FQ","BEST_FPERIOD_OVERRIDE=FQ","FILING_STATUS=MR","Sort=A","Dates=H","DateFormat=P","Fill=—","Direction=H","UseDPDF=Y")</f>
        <v>-241.286</v>
      </c>
      <c r="D21" s="13">
        <f>_xll.BDH("ALNY US Equity","BEST_OPP","FQ3 2019","FQ3 2019","Currency=USD","Period=FQ","BEST_FPERIOD_OVERRIDE=FQ","FILING_STATUS=MR","Sort=A","Dates=H","DateFormat=P","Fill=—","Direction=H","UseDPDF=Y")</f>
        <v>-239.25</v>
      </c>
      <c r="E21" s="13">
        <f>_xll.BDH("ALNY US Equity","BEST_OPP","FQ4 2019","FQ4 2019","Currency=USD","Period=FQ","BEST_FPERIOD_OVERRIDE=FQ","FILING_STATUS=MR","Sort=A","Dates=H","DateFormat=P","Fill=—","Direction=H","UseDPDF=Y")</f>
        <v>-242.6</v>
      </c>
      <c r="F21" s="13">
        <f>_xll.BDH("ALNY US Equity","BEST_OPP","FQ1 2020","FQ1 2020","Currency=USD","Period=FQ","BEST_FPERIOD_OVERRIDE=FQ","FILING_STATUS=MR","Sort=A","Dates=H","DateFormat=P","Fill=—","Direction=H","UseDPDF=Y")</f>
        <v>-220.22200000000001</v>
      </c>
      <c r="G21" s="13">
        <f>_xll.BDH("ALNY US Equity","BEST_OPP","FQ2 2020","FQ2 2020","Currency=USD","Period=FQ","BEST_FPERIOD_OVERRIDE=FQ","FILING_STATUS=MR","Sort=A","Dates=H","DateFormat=P","Fill=—","Direction=H","UseDPDF=Y")</f>
        <v>-210.333</v>
      </c>
      <c r="H21" s="13">
        <f>_xll.BDH("ALNY US Equity","BEST_OPP","FQ3 2020","FQ3 2020","Currency=USD","Period=FQ","BEST_FPERIOD_OVERRIDE=FQ","FILING_STATUS=MR","Sort=A","Dates=H","DateFormat=P","Fill=—","Direction=H","UseDPDF=Y")</f>
        <v>-189</v>
      </c>
      <c r="I21" s="13">
        <f>_xll.BDH("ALNY US Equity","BEST_OPP","FQ4 2020","FQ4 2020","Currency=USD","Period=FQ","BEST_FPERIOD_OVERRIDE=FQ","FILING_STATUS=MR","Sort=A","Dates=H","DateFormat=P","Fill=—","Direction=H","UseDPDF=Y")</f>
        <v>-192.38499999999999</v>
      </c>
      <c r="J21" s="13">
        <f>_xll.BDH("ALNY US Equity","BEST_OPP","FQ1 2021","FQ1 2021","Currency=USD","Period=FQ","BEST_FPERIOD_OVERRIDE=FQ","FILING_STATUS=MR","Sort=A","Dates=H","DateFormat=P","Fill=—","Direction=H","UseDPDF=Y")</f>
        <v>-190.5</v>
      </c>
      <c r="K21" s="13">
        <f>_xll.BDH("ALNY US Equity","BEST_OPP","FQ2 2021","FQ2 2021","Currency=USD","Period=FQ","BEST_FPERIOD_OVERRIDE=FQ","FILING_STATUS=MR","Sort=A","Dates=H","DateFormat=P","Fill=—","Direction=H","UseDPDF=Y")</f>
        <v>-177.38499999999999</v>
      </c>
      <c r="L21" s="13">
        <f>_xll.BDH("ALNY US Equity","BEST_OPP","FQ3 2021","FQ3 2021","Currency=USD","Period=FQ","BEST_FPERIOD_OVERRIDE=FQ","FILING_STATUS=MR","Sort=A","Dates=H","DateFormat=P","Fill=—","Direction=H","UseDPDF=Y")</f>
        <v>-158</v>
      </c>
      <c r="M21" s="13">
        <f>_xll.BDH("ALNY US Equity","BEST_OPP","FQ4 2021","FQ4 2021","Currency=USD","Period=FQ","BEST_FPERIOD_OVERRIDE=FQ","FILING_STATUS=MR","Sort=A","Dates=H","DateFormat=P","Fill=—","Direction=H","UseDPDF=Y")</f>
        <v>-156.154</v>
      </c>
      <c r="N21" s="13">
        <f>_xll.BDH("ALNY US Equity","BEST_OPP","FQ1 2022","FQ1 2022","Currency=USD","Period=FQ","BEST_FPERIOD_OVERRIDE=FQ","FILING_STATUS=MR","Sort=A","Dates=H","DateFormat=P","Fill=—","Direction=H","UseDPDF=Y")</f>
        <v>-189</v>
      </c>
      <c r="O21" s="13">
        <f>_xll.BDH("ALNY US Equity","BEST_OPP","FQ2 2022","FQ2 2022","Currency=USD","Period=FQ","BEST_FPERIOD_OVERRIDE=FQ","FILING_STATUS=MR","Sort=A","Dates=H","DateFormat=P","Fill=—","Direction=H","UseDPDF=Y")</f>
        <v>-160.941</v>
      </c>
      <c r="P21" s="13">
        <f>_xll.BDH("ALNY US Equity","BEST_OPP","FQ3 2022","FQ3 2022","Currency=USD","Period=FQ","BEST_FPERIOD_OVERRIDE=FQ","FILING_STATUS=MR","Sort=A","Dates=H","DateFormat=P","Fill=—","Direction=H","UseDPDF=Y")</f>
        <v>-184.93700000000001</v>
      </c>
      <c r="Q21" s="13">
        <f>_xll.BDH("ALNY US Equity","BEST_OPP","FQ4 2022","FQ4 2022","Currency=USD","Period=FQ","BEST_FPERIOD_OVERRIDE=FQ","FILING_STATUS=MR","Sort=A","Dates=H","DateFormat=P","Fill=—","Direction=H","UseDPDF=Y")</f>
        <v>-192.364</v>
      </c>
      <c r="R21" s="13">
        <f>_xll.BDH("ALNY US Equity","BEST_OPP","FQ1 2023","FQ1 2023","Currency=USD","Period=FQ","BEST_FPERIOD_OVERRIDE=FQ","FILING_STATUS=MR","Sort=A","Dates=H","DateFormat=P","Fill=—","Direction=H","UseDPDF=Y")</f>
        <v>-170.81399999999999</v>
      </c>
      <c r="S21" s="13">
        <f>_xll.BDH("ALNY US Equity","BEST_OPP","FQ2 2023","FQ2 2023","Currency=USD","Period=FQ","BEST_FPERIOD_OVERRIDE=FQ","FILING_STATUS=MR","Sort=A","Dates=H","DateFormat=P","Fill=—","Direction=H","UseDPDF=Y")</f>
        <v>-151.88300000000001</v>
      </c>
      <c r="T21" s="13">
        <f>_xll.BDH("ALNY US Equity","BEST_OPP","FQ3 2023","FQ3 2023","Currency=USD","Period=FQ","BEST_FPERIOD_OVERRIDE=FQ","FILING_STATUS=MR","Sort=A","Dates=H","DateFormat=P","Fill=—","Direction=H","UseDPDF=Y")</f>
        <v>-157.589</v>
      </c>
      <c r="U21" s="13">
        <f>_xll.BDH("ALNY US Equity","BEST_OPP","FQ4 2023","FQ4 2023","Currency=USD","Period=FQ","BEST_FPERIOD_OVERRIDE=FQ","FILING_STATUS=MR","Sort=A","Dates=H","DateFormat=P","Fill=—","Direction=H","UseDPDF=Y")</f>
        <v>-98.67</v>
      </c>
      <c r="V21" s="13">
        <f>_xll.BDH("ALNY US Equity","BEST_OPP","FQ1 2024","FQ1 2024","Currency=USD","Period=FQ","BEST_FPERIOD_OVERRIDE=FQ","FILING_STATUS=MR","Sort=A","Dates=H","DateFormat=P","Fill=—","Direction=H","UseDPDF=Y")</f>
        <v>-117.587</v>
      </c>
      <c r="W21" s="13">
        <f>_xll.BDH("ALNY US Equity","BEST_OPP","FQ2 2024","FQ2 2024","Currency=USD","Period=FQ","BEST_FPERIOD_OVERRIDE=FQ","FILING_STATUS=MR","Sort=A","Dates=H","DateFormat=P","Fill=—","Direction=H","UseDPDF=Y")</f>
        <v>-113.45699999999999</v>
      </c>
      <c r="X21" s="13">
        <f>_xll.BDH("ALNY US Equity","BEST_OPP","FQ3 2024","FQ3 2024","Currency=USD","Period=FQ","BEST_FPERIOD_OVERRIDE=FQ","FILING_STATUS=MR","Sort=A","Dates=H","DateFormat=P","Fill=—","Direction=H","UseDPDF=Y")</f>
        <v>-89.186999999999998</v>
      </c>
      <c r="Y21" s="13">
        <f>_xll.BDH("ALNY US Equity","BEST_OPP","FQ4 2024","FQ4 2024","Currency=USD","Period=FQ","BEST_FPERIOD_OVERRIDE=FQ","FILING_STATUS=MR","Sort=A","Dates=H","DateFormat=P","Fill=—","Direction=H","UseDPDF=Y")</f>
        <v>-57.817</v>
      </c>
      <c r="Z21" s="13">
        <v>-77.468999999999994</v>
      </c>
      <c r="AA21" s="13">
        <v>-73.013000000000005</v>
      </c>
    </row>
    <row r="22" spans="1:27" x14ac:dyDescent="0.25">
      <c r="A22" s="10" t="s">
        <v>132</v>
      </c>
      <c r="B22" s="10" t="s">
        <v>144</v>
      </c>
      <c r="C22" s="13">
        <f>_xll.BDH("ALNY US Equity","IS_COMPARABLE_EBIT","FQ2 2019","FQ2 2019","Currency=USD","Period=FQ","BEST_FPERIOD_OVERRIDE=FQ","FILING_STATUS=MR","SCALING_FORMAT=MLN","Sort=A","Dates=H","DateFormat=P","Fill=—","Direction=H","UseDPDF=Y")</f>
        <v>-236.27099999999999</v>
      </c>
      <c r="D22" s="13">
        <f>_xll.BDH("ALNY US Equity","IS_COMPARABLE_EBIT","FQ3 2019","FQ3 2019","Currency=USD","Period=FQ","BEST_FPERIOD_OVERRIDE=FQ","FILING_STATUS=MR","SCALING_FORMAT=MLN","Sort=A","Dates=H","DateFormat=P","Fill=—","Direction=H","UseDPDF=Y")</f>
        <v>-216.29900000000001</v>
      </c>
      <c r="E22" s="13">
        <f>_xll.BDH("ALNY US Equity","IS_COMPARABLE_EBIT","FQ4 2019","FQ4 2019","Currency=USD","Period=FQ","BEST_FPERIOD_OVERRIDE=FQ","FILING_STATUS=MR","SCALING_FORMAT=MLN","Sort=A","Dates=H","DateFormat=P","Fill=—","Direction=H","UseDPDF=Y")</f>
        <v>-298.07299999999998</v>
      </c>
      <c r="F22" s="13">
        <f>_xll.BDH("ALNY US Equity","IS_COMPARABLE_EBIT","FQ1 2020","FQ1 2020","Currency=USD","Period=FQ","BEST_FPERIOD_OVERRIDE=FQ","FILING_STATUS=MR","SCALING_FORMAT=MLN","Sort=A","Dates=H","DateFormat=P","Fill=—","Direction=H","UseDPDF=Y")</f>
        <v>-210.15799999999999</v>
      </c>
      <c r="G22" s="13">
        <f>_xll.BDH("ALNY US Equity","IS_COMPARABLE_EBIT","FQ2 2020","FQ2 2020","Currency=USD","Period=FQ","BEST_FPERIOD_OVERRIDE=FQ","FILING_STATUS=MR","SCALING_FORMAT=MLN","Sort=A","Dates=H","DateFormat=P","Fill=—","Direction=H","UseDPDF=Y")</f>
        <v>-198.85900000000001</v>
      </c>
      <c r="H22" s="13">
        <f>_xll.BDH("ALNY US Equity","IS_COMPARABLE_EBIT","FQ3 2020","FQ3 2020","Currency=USD","Period=FQ","BEST_FPERIOD_OVERRIDE=FQ","FILING_STATUS=MR","SCALING_FORMAT=MLN","Sort=A","Dates=H","DateFormat=P","Fill=—","Direction=H","UseDPDF=Y")</f>
        <v>-225.19900000000001</v>
      </c>
      <c r="I22" s="13">
        <f>_xll.BDH("ALNY US Equity","IS_COMPARABLE_EBIT","FQ4 2020","FQ4 2020","Currency=USD","Period=FQ","BEST_FPERIOD_OVERRIDE=FQ","FILING_STATUS=MR","SCALING_FORMAT=MLN","Sort=A","Dates=H","DateFormat=P","Fill=—","Direction=H","UseDPDF=Y")</f>
        <v>-194.22200000000001</v>
      </c>
      <c r="J22" s="13">
        <f>_xll.BDH("ALNY US Equity","IS_COMPARABLE_EBIT","FQ1 2021","FQ1 2021","Currency=USD","Period=FQ","BEST_FPERIOD_OVERRIDE=FQ","FILING_STATUS=MR","SCALING_FORMAT=MLN","Sort=A","Dates=H","DateFormat=P","Fill=—","Direction=H","UseDPDF=Y")</f>
        <v>-186.25399999999999</v>
      </c>
      <c r="K22" s="13">
        <f>_xll.BDH("ALNY US Equity","IS_COMPARABLE_EBIT","FQ2 2021","FQ2 2021","Currency=USD","Period=FQ","BEST_FPERIOD_OVERRIDE=FQ","FILING_STATUS=MR","SCALING_FORMAT=MLN","Sort=A","Dates=H","DateFormat=P","Fill=—","Direction=H","UseDPDF=Y")</f>
        <v>-146.16</v>
      </c>
      <c r="L22" s="13">
        <f>_xll.BDH("ALNY US Equity","IS_COMPARABLE_EBIT","FQ3 2021","FQ3 2021","Currency=USD","Period=FQ","BEST_FPERIOD_OVERRIDE=FQ","FILING_STATUS=MR","SCALING_FORMAT=MLN","Sort=A","Dates=H","DateFormat=P","Fill=—","Direction=H","UseDPDF=Y")</f>
        <v>-181.67699999999999</v>
      </c>
      <c r="M22" s="13">
        <f>_xll.BDH("ALNY US Equity","IS_COMPARABLE_EBIT","FQ4 2021","FQ4 2021","Currency=USD","Period=FQ","BEST_FPERIOD_OVERRIDE=FQ","FILING_STATUS=MR","SCALING_FORMAT=MLN","Sort=A","Dates=H","DateFormat=P","Fill=—","Direction=H","UseDPDF=Y")</f>
        <v>-194.56100000000001</v>
      </c>
      <c r="N22" s="13">
        <f>_xll.BDH("ALNY US Equity","IS_COMPARABLE_EBIT","FQ1 2022","FQ1 2022","Currency=USD","Period=FQ","BEST_FPERIOD_OVERRIDE=FQ","FILING_STATUS=MR","SCALING_FORMAT=MLN","Sort=A","Dates=H","DateFormat=P","Fill=—","Direction=H","UseDPDF=Y")</f>
        <v>-146.732</v>
      </c>
      <c r="O22" s="13">
        <f>_xll.BDH("ALNY US Equity","IS_COMPARABLE_EBIT","FQ2 2022","FQ2 2022","Currency=USD","Period=FQ","BEST_FPERIOD_OVERRIDE=FQ","FILING_STATUS=MR","SCALING_FORMAT=MLN","Sort=A","Dates=H","DateFormat=P","Fill=—","Direction=H","UseDPDF=Y")</f>
        <v>-191.68600000000001</v>
      </c>
      <c r="P22" s="13">
        <f>_xll.BDH("ALNY US Equity","IS_COMPARABLE_EBIT","FQ3 2022","FQ3 2022","Currency=USD","Period=FQ","BEST_FPERIOD_OVERRIDE=FQ","FILING_STATUS=MR","SCALING_FORMAT=MLN","Sort=A","Dates=H","DateFormat=P","Fill=—","Direction=H","UseDPDF=Y")</f>
        <v>-258.04000000000002</v>
      </c>
      <c r="Q22" s="13">
        <f>_xll.BDH("ALNY US Equity","IS_COMPARABLE_EBIT","FQ4 2022","FQ4 2022","Currency=USD","Period=FQ","BEST_FPERIOD_OVERRIDE=FQ","FILING_STATUS=MR","SCALING_FORMAT=MLN","Sort=A","Dates=H","DateFormat=P","Fill=—","Direction=H","UseDPDF=Y")</f>
        <v>-188.614</v>
      </c>
      <c r="R22" s="13">
        <f>_xll.BDH("ALNY US Equity","IS_COMPARABLE_EBIT","FQ1 2023","FQ1 2023","Currency=USD","Period=FQ","BEST_FPERIOD_OVERRIDE=FQ","FILING_STATUS=MR","SCALING_FORMAT=MLN","Sort=A","Dates=H","DateFormat=P","Fill=—","Direction=H","UseDPDF=Y")</f>
        <v>-149.80699999999999</v>
      </c>
      <c r="S22" s="13">
        <f>_xll.BDH("ALNY US Equity","IS_COMPARABLE_EBIT","FQ2 2023","FQ2 2023","Currency=USD","Period=FQ","BEST_FPERIOD_OVERRIDE=FQ","FILING_STATUS=MR","SCALING_FORMAT=MLN","Sort=A","Dates=H","DateFormat=P","Fill=—","Direction=H","UseDPDF=Y")</f>
        <v>-229.83099999999999</v>
      </c>
      <c r="T22" s="13">
        <f>_xll.BDH("ALNY US Equity","IS_COMPARABLE_EBIT","FQ3 2023","FQ3 2023","Currency=USD","Period=FQ","BEST_FPERIOD_OVERRIDE=FQ","FILING_STATUS=MR","SCALING_FORMAT=MLN","Sort=A","Dates=H","DateFormat=P","Fill=—","Direction=H","UseDPDF=Y")</f>
        <v>213.86699999999999</v>
      </c>
      <c r="U22" s="13">
        <f>_xll.BDH("ALNY US Equity","IS_COMPARABLE_EBIT","FQ4 2023","FQ4 2023","Currency=USD","Period=FQ","BEST_FPERIOD_OVERRIDE=FQ","FILING_STATUS=MR","SCALING_FORMAT=MLN","Sort=A","Dates=H","DateFormat=P","Fill=—","Direction=H","UseDPDF=Y")</f>
        <v>-74.41</v>
      </c>
      <c r="V22" s="13">
        <f>_xll.BDH("ALNY US Equity","IS_COMPARABLE_EBIT","FQ1 2024","FQ1 2024","Currency=USD","Period=FQ","BEST_FPERIOD_OVERRIDE=FQ","FILING_STATUS=MR","SCALING_FORMAT=MLN","Sort=A","Dates=H","DateFormat=P","Fill=—","Direction=H","UseDPDF=Y")</f>
        <v>-43.435000000000002</v>
      </c>
      <c r="W22" s="13">
        <f>_xll.BDH("ALNY US Equity","IS_COMPARABLE_EBIT","FQ2 2024","FQ2 2024","Currency=USD","Period=FQ","BEST_FPERIOD_OVERRIDE=FQ","FILING_STATUS=MR","SCALING_FORMAT=MLN","Sort=A","Dates=H","DateFormat=P","Fill=—","Direction=H","UseDPDF=Y")</f>
        <v>48.613999999999997</v>
      </c>
      <c r="X22" s="13">
        <f>_xll.BDH("ALNY US Equity","IS_COMPARABLE_EBIT","FQ3 2024","FQ3 2024","Currency=USD","Period=FQ","BEST_FPERIOD_OVERRIDE=FQ","FILING_STATUS=MR","SCALING_FORMAT=MLN","Sort=A","Dates=H","DateFormat=P","Fill=—","Direction=H","UseDPDF=Y")</f>
        <v>-31.100999999999999</v>
      </c>
      <c r="Y22" s="13">
        <f>_xll.BDH("ALNY US Equity","IS_COMPARABLE_EBIT","FQ4 2024","FQ4 2024","Currency=USD","Period=FQ","BEST_FPERIOD_OVERRIDE=FQ","FILING_STATUS=MR","SCALING_FORMAT=MLN","Sort=A","Dates=H","DateFormat=P","Fill=—","Direction=H","UseDPDF=Y")</f>
        <v>-13.513999999999999</v>
      </c>
      <c r="Z22" s="13"/>
      <c r="AA22" s="13"/>
    </row>
    <row r="23" spans="1:27" x14ac:dyDescent="0.25">
      <c r="A23" s="11" t="s">
        <v>145</v>
      </c>
      <c r="B23" s="11"/>
      <c r="C23" s="25">
        <v>2.0784463251079699</v>
      </c>
      <c r="D23" s="25">
        <v>9.5928944618599807</v>
      </c>
      <c r="E23" s="25">
        <v>-22.866034624896901</v>
      </c>
      <c r="F23" s="25">
        <v>4.5699339757154203</v>
      </c>
      <c r="G23" s="25">
        <v>5.4551591999353404</v>
      </c>
      <c r="H23" s="25">
        <v>-19.152910052910102</v>
      </c>
      <c r="I23" s="25">
        <v>-0.95485614782858197</v>
      </c>
      <c r="J23" s="25">
        <v>2.2288713910761202</v>
      </c>
      <c r="K23" s="25">
        <v>17.6029540265524</v>
      </c>
      <c r="L23" s="25">
        <v>-14.985443037974701</v>
      </c>
      <c r="M23" s="25">
        <v>-24.595591531436899</v>
      </c>
      <c r="N23" s="25">
        <v>22.364021164021199</v>
      </c>
      <c r="O23" s="25">
        <v>-19.103273870548801</v>
      </c>
      <c r="P23" s="25">
        <v>-39.528596224660298</v>
      </c>
      <c r="Q23" s="25">
        <v>1.94942920712815</v>
      </c>
      <c r="R23" s="25">
        <v>12.2981722809606</v>
      </c>
      <c r="S23" s="25">
        <v>-51.321082675480497</v>
      </c>
      <c r="T23" s="25" t="s">
        <v>141</v>
      </c>
      <c r="U23" s="25">
        <v>24.587007195702899</v>
      </c>
      <c r="V23" s="25">
        <v>63.061392841045297</v>
      </c>
      <c r="W23" s="25" t="s">
        <v>141</v>
      </c>
      <c r="X23" s="25">
        <v>65.128325877089694</v>
      </c>
      <c r="Y23" s="25">
        <v>76.626251794454902</v>
      </c>
      <c r="Z23" s="25"/>
      <c r="AA23" s="25"/>
    </row>
    <row r="24" spans="1:27" x14ac:dyDescent="0.25">
      <c r="A24" s="10" t="s">
        <v>135</v>
      </c>
      <c r="B24" s="10" t="s">
        <v>142</v>
      </c>
      <c r="C24" s="13">
        <f>_xll.BDH("ALNY US Equity","EBIT","FQ2 2019","FQ2 2019","Currency=USD","Period=FQ","BEST_FPERIOD_OVERRIDE=FQ","FILING_STATUS=MR","SCALING_FORMAT=MLN","FA_ADJUSTED=GAAP","Sort=A","Dates=H","DateFormat=P","Fill=—","Direction=H","UseDPDF=Y")</f>
        <v>-236.27099999999999</v>
      </c>
      <c r="D24" s="13">
        <f>_xll.BDH("ALNY US Equity","EBIT","FQ3 2019","FQ3 2019","Currency=USD","Period=FQ","BEST_FPERIOD_OVERRIDE=FQ","FILING_STATUS=MR","SCALING_FORMAT=MLN","FA_ADJUSTED=GAAP","Sort=A","Dates=H","DateFormat=P","Fill=—","Direction=H","UseDPDF=Y")</f>
        <v>-216.29900000000001</v>
      </c>
      <c r="E24" s="13">
        <f>_xll.BDH("ALNY US Equity","EBIT","FQ4 2019","FQ4 2019","Currency=USD","Period=FQ","BEST_FPERIOD_OVERRIDE=FQ","FILING_STATUS=MR","SCALING_FORMAT=MLN","FA_ADJUSTED=GAAP","Sort=A","Dates=H","DateFormat=P","Fill=—","Direction=H","UseDPDF=Y")</f>
        <v>-298.07299999999998</v>
      </c>
      <c r="F24" s="13">
        <f>_xll.BDH("ALNY US Equity","EBIT","FQ1 2020","FQ1 2020","Currency=USD","Period=FQ","BEST_FPERIOD_OVERRIDE=FQ","FILING_STATUS=MR","SCALING_FORMAT=MLN","FA_ADJUSTED=GAAP","Sort=A","Dates=H","DateFormat=P","Fill=—","Direction=H","UseDPDF=Y")</f>
        <v>-210.15799999999999</v>
      </c>
      <c r="G24" s="13">
        <f>_xll.BDH("ALNY US Equity","EBIT","FQ2 2020","FQ2 2020","Currency=USD","Period=FQ","BEST_FPERIOD_OVERRIDE=FQ","FILING_STATUS=MR","SCALING_FORMAT=MLN","FA_ADJUSTED=GAAP","Sort=A","Dates=H","DateFormat=P","Fill=—","Direction=H","UseDPDF=Y")</f>
        <v>-198.85900000000001</v>
      </c>
      <c r="H24" s="13">
        <f>_xll.BDH("ALNY US Equity","EBIT","FQ3 2020","FQ3 2020","Currency=USD","Period=FQ","BEST_FPERIOD_OVERRIDE=FQ","FILING_STATUS=MR","SCALING_FORMAT=MLN","FA_ADJUSTED=GAAP","Sort=A","Dates=H","DateFormat=P","Fill=—","Direction=H","UseDPDF=Y")</f>
        <v>-225.19900000000001</v>
      </c>
      <c r="I24" s="13">
        <f>_xll.BDH("ALNY US Equity","EBIT","FQ4 2020","FQ4 2020","Currency=USD","Period=FQ","BEST_FPERIOD_OVERRIDE=FQ","FILING_STATUS=MR","SCALING_FORMAT=MLN","FA_ADJUSTED=GAAP","Sort=A","Dates=H","DateFormat=P","Fill=—","Direction=H","UseDPDF=Y")</f>
        <v>-194.22200000000001</v>
      </c>
      <c r="J24" s="13">
        <f>_xll.BDH("ALNY US Equity","EBIT","FQ1 2021","FQ1 2021","Currency=USD","Period=FQ","BEST_FPERIOD_OVERRIDE=FQ","FILING_STATUS=MR","SCALING_FORMAT=MLN","FA_ADJUSTED=GAAP","Sort=A","Dates=H","DateFormat=P","Fill=—","Direction=H","UseDPDF=Y")</f>
        <v>-186.25399999999999</v>
      </c>
      <c r="K24" s="13">
        <f>_xll.BDH("ALNY US Equity","EBIT","FQ2 2021","FQ2 2021","Currency=USD","Period=FQ","BEST_FPERIOD_OVERRIDE=FQ","FILING_STATUS=MR","SCALING_FORMAT=MLN","FA_ADJUSTED=GAAP","Sort=A","Dates=H","DateFormat=P","Fill=—","Direction=H","UseDPDF=Y")</f>
        <v>-146.16</v>
      </c>
      <c r="L24" s="13">
        <f>_xll.BDH("ALNY US Equity","EBIT","FQ3 2021","FQ3 2021","Currency=USD","Period=FQ","BEST_FPERIOD_OVERRIDE=FQ","FILING_STATUS=MR","SCALING_FORMAT=MLN","FA_ADJUSTED=GAAP","Sort=A","Dates=H","DateFormat=P","Fill=—","Direction=H","UseDPDF=Y")</f>
        <v>-181.67699999999999</v>
      </c>
      <c r="M24" s="13">
        <f>_xll.BDH("ALNY US Equity","EBIT","FQ4 2021","FQ4 2021","Currency=USD","Period=FQ","BEST_FPERIOD_OVERRIDE=FQ","FILING_STATUS=MR","SCALING_FORMAT=MLN","FA_ADJUSTED=GAAP","Sort=A","Dates=H","DateFormat=P","Fill=—","Direction=H","UseDPDF=Y")</f>
        <v>-194.56100000000001</v>
      </c>
      <c r="N24" s="13">
        <f>_xll.BDH("ALNY US Equity","EBIT","FQ1 2022","FQ1 2022","Currency=USD","Period=FQ","BEST_FPERIOD_OVERRIDE=FQ","FILING_STATUS=MR","SCALING_FORMAT=MLN","FA_ADJUSTED=GAAP","Sort=A","Dates=H","DateFormat=P","Fill=—","Direction=H","UseDPDF=Y")</f>
        <v>-146.732</v>
      </c>
      <c r="O24" s="13">
        <f>_xll.BDH("ALNY US Equity","EBIT","FQ2 2022","FQ2 2022","Currency=USD","Period=FQ","BEST_FPERIOD_OVERRIDE=FQ","FILING_STATUS=MR","SCALING_FORMAT=MLN","FA_ADJUSTED=GAAP","Sort=A","Dates=H","DateFormat=P","Fill=—","Direction=H","UseDPDF=Y")</f>
        <v>-191.68600000000001</v>
      </c>
      <c r="P24" s="13">
        <f>_xll.BDH("ALNY US Equity","EBIT","FQ3 2022","FQ3 2022","Currency=USD","Period=FQ","BEST_FPERIOD_OVERRIDE=FQ","FILING_STATUS=MR","SCALING_FORMAT=MLN","FA_ADJUSTED=GAAP","Sort=A","Dates=H","DateFormat=P","Fill=—","Direction=H","UseDPDF=Y")</f>
        <v>-258.04000000000002</v>
      </c>
      <c r="Q24" s="13">
        <f>_xll.BDH("ALNY US Equity","EBIT","FQ4 2022","FQ4 2022","Currency=USD","Period=FQ","BEST_FPERIOD_OVERRIDE=FQ","FILING_STATUS=MR","SCALING_FORMAT=MLN","FA_ADJUSTED=GAAP","Sort=A","Dates=H","DateFormat=P","Fill=—","Direction=H","UseDPDF=Y")</f>
        <v>-188.614</v>
      </c>
      <c r="R24" s="13">
        <f>_xll.BDH("ALNY US Equity","EBIT","FQ1 2023","FQ1 2023","Currency=USD","Period=FQ","BEST_FPERIOD_OVERRIDE=FQ","FILING_STATUS=MR","SCALING_FORMAT=MLN","FA_ADJUSTED=GAAP","Sort=A","Dates=H","DateFormat=P","Fill=—","Direction=H","UseDPDF=Y")</f>
        <v>-149.80699999999999</v>
      </c>
      <c r="S24" s="13">
        <f>_xll.BDH("ALNY US Equity","EBIT","FQ2 2023","FQ2 2023","Currency=USD","Period=FQ","BEST_FPERIOD_OVERRIDE=FQ","FILING_STATUS=MR","SCALING_FORMAT=MLN","FA_ADJUSTED=GAAP","Sort=A","Dates=H","DateFormat=P","Fill=—","Direction=H","UseDPDF=Y")</f>
        <v>-229.83099999999999</v>
      </c>
      <c r="T24" s="13">
        <f>_xll.BDH("ALNY US Equity","EBIT","FQ3 2023","FQ3 2023","Currency=USD","Period=FQ","BEST_FPERIOD_OVERRIDE=FQ","FILING_STATUS=MR","SCALING_FORMAT=MLN","FA_ADJUSTED=GAAP","Sort=A","Dates=H","DateFormat=P","Fill=—","Direction=H","UseDPDF=Y")</f>
        <v>213.86699999999999</v>
      </c>
      <c r="U24" s="13">
        <f>_xll.BDH("ALNY US Equity","EBIT","FQ4 2023","FQ4 2023","Currency=USD","Period=FQ","BEST_FPERIOD_OVERRIDE=FQ","FILING_STATUS=MR","SCALING_FORMAT=MLN","FA_ADJUSTED=GAAP","Sort=A","Dates=H","DateFormat=P","Fill=—","Direction=H","UseDPDF=Y")</f>
        <v>-116.404</v>
      </c>
      <c r="V24" s="13">
        <f>_xll.BDH("ALNY US Equity","EBIT","FQ1 2024","FQ1 2024","Currency=USD","Period=FQ","BEST_FPERIOD_OVERRIDE=FQ","FILING_STATUS=MR","SCALING_FORMAT=MLN","FA_ADJUSTED=GAAP","Sort=A","Dates=H","DateFormat=P","Fill=—","Direction=H","UseDPDF=Y")</f>
        <v>-43.435000000000002</v>
      </c>
      <c r="W24" s="13">
        <f>_xll.BDH("ALNY US Equity","EBIT","FQ2 2024","FQ2 2024","Currency=USD","Period=FQ","BEST_FPERIOD_OVERRIDE=FQ","FILING_STATUS=MR","SCALING_FORMAT=MLN","FA_ADJUSTED=GAAP","Sort=A","Dates=H","DateFormat=P","Fill=—","Direction=H","UseDPDF=Y")</f>
        <v>48.613999999999997</v>
      </c>
      <c r="X24" s="13">
        <f>_xll.BDH("ALNY US Equity","EBIT","FQ3 2024","FQ3 2024","Currency=USD","Period=FQ","BEST_FPERIOD_OVERRIDE=FQ","FILING_STATUS=MR","SCALING_FORMAT=MLN","FA_ADJUSTED=GAAP","Sort=A","Dates=H","DateFormat=P","Fill=—","Direction=H","UseDPDF=Y")</f>
        <v>-76.905000000000001</v>
      </c>
      <c r="Y24" s="13">
        <f>_xll.BDH("ALNY US Equity","EBIT","FQ4 2024","FQ4 2024","Currency=USD","Period=FQ","BEST_FPERIOD_OVERRIDE=FQ","FILING_STATUS=MR","SCALING_FORMAT=MLN","FA_ADJUSTED=GAAP","Sort=A","Dates=H","DateFormat=P","Fill=—","Direction=H","UseDPDF=Y")</f>
        <v>-105.15900000000001</v>
      </c>
      <c r="Z24" s="13"/>
      <c r="AA24" s="13"/>
    </row>
    <row r="25" spans="1:27" x14ac:dyDescent="0.25">
      <c r="A25" s="10" t="s">
        <v>136</v>
      </c>
      <c r="B25" s="10" t="s">
        <v>142</v>
      </c>
      <c r="C25" s="13">
        <f>_xll.BDH("ALNY US Equity","EBIT","FQ2 2019","FQ2 2019","Currency=USD","Period=FQ","BEST_FPERIOD_OVERRIDE=FQ","FILING_STATUS=MR","SCALING_FORMAT=MLN","FA_ADJUSTED=Adjusted","Sort=A","Dates=H","DateFormat=P","Fill=—","Direction=H","UseDPDF=Y")</f>
        <v>-236.27099999999999</v>
      </c>
      <c r="D25" s="13">
        <f>_xll.BDH("ALNY US Equity","EBIT","FQ3 2019","FQ3 2019","Currency=USD","Period=FQ","BEST_FPERIOD_OVERRIDE=FQ","FILING_STATUS=MR","SCALING_FORMAT=MLN","FA_ADJUSTED=Adjusted","Sort=A","Dates=H","DateFormat=P","Fill=—","Direction=H","UseDPDF=Y")</f>
        <v>-216.29900000000001</v>
      </c>
      <c r="E25" s="13">
        <f>_xll.BDH("ALNY US Equity","EBIT","FQ4 2019","FQ4 2019","Currency=USD","Period=FQ","BEST_FPERIOD_OVERRIDE=FQ","FILING_STATUS=MR","SCALING_FORMAT=MLN","FA_ADJUSTED=Adjusted","Sort=A","Dates=H","DateFormat=P","Fill=—","Direction=H","UseDPDF=Y")</f>
        <v>-298.07299999999998</v>
      </c>
      <c r="F25" s="13">
        <f>_xll.BDH("ALNY US Equity","EBIT","FQ1 2020","FQ1 2020","Currency=USD","Period=FQ","BEST_FPERIOD_OVERRIDE=FQ","FILING_STATUS=MR","SCALING_FORMAT=MLN","FA_ADJUSTED=Adjusted","Sort=A","Dates=H","DateFormat=P","Fill=—","Direction=H","UseDPDF=Y")</f>
        <v>-210.15799999999999</v>
      </c>
      <c r="G25" s="13">
        <f>_xll.BDH("ALNY US Equity","EBIT","FQ2 2020","FQ2 2020","Currency=USD","Period=FQ","BEST_FPERIOD_OVERRIDE=FQ","FILING_STATUS=MR","SCALING_FORMAT=MLN","FA_ADJUSTED=Adjusted","Sort=A","Dates=H","DateFormat=P","Fill=—","Direction=H","UseDPDF=Y")</f>
        <v>-199.67169999999999</v>
      </c>
      <c r="H25" s="13">
        <f>_xll.BDH("ALNY US Equity","EBIT","FQ3 2020","FQ3 2020","Currency=USD","Period=FQ","BEST_FPERIOD_OVERRIDE=FQ","FILING_STATUS=MR","SCALING_FORMAT=MLN","FA_ADJUSTED=Adjusted","Sort=A","Dates=H","DateFormat=P","Fill=—","Direction=H","UseDPDF=Y")</f>
        <v>-195.786</v>
      </c>
      <c r="I25" s="13">
        <f>_xll.BDH("ALNY US Equity","EBIT","FQ4 2020","FQ4 2020","Currency=USD","Period=FQ","BEST_FPERIOD_OVERRIDE=FQ","FILING_STATUS=MR","SCALING_FORMAT=MLN","FA_ADJUSTED=Adjusted","Sort=A","Dates=H","DateFormat=P","Fill=—","Direction=H","UseDPDF=Y")</f>
        <v>-184.006</v>
      </c>
      <c r="J25" s="13">
        <f>_xll.BDH("ALNY US Equity","EBIT","FQ1 2021","FQ1 2021","Currency=USD","Period=FQ","BEST_FPERIOD_OVERRIDE=FQ","FILING_STATUS=MR","SCALING_FORMAT=MLN","FA_ADJUSTED=Adjusted","Sort=A","Dates=H","DateFormat=P","Fill=—","Direction=H","UseDPDF=Y")</f>
        <v>-186.25399999999999</v>
      </c>
      <c r="K25" s="13">
        <f>_xll.BDH("ALNY US Equity","EBIT","FQ2 2021","FQ2 2021","Currency=USD","Period=FQ","BEST_FPERIOD_OVERRIDE=FQ","FILING_STATUS=MR","SCALING_FORMAT=MLN","FA_ADJUSTED=Adjusted","Sort=A","Dates=H","DateFormat=P","Fill=—","Direction=H","UseDPDF=Y")</f>
        <v>-146.16</v>
      </c>
      <c r="L25" s="13">
        <f>_xll.BDH("ALNY US Equity","EBIT","FQ3 2021","FQ3 2021","Currency=USD","Period=FQ","BEST_FPERIOD_OVERRIDE=FQ","FILING_STATUS=MR","SCALING_FORMAT=MLN","FA_ADJUSTED=Adjusted","Sort=A","Dates=H","DateFormat=P","Fill=—","Direction=H","UseDPDF=Y")</f>
        <v>-171.67699999999999</v>
      </c>
      <c r="M25" s="13">
        <f>_xll.BDH("ALNY US Equity","EBIT","FQ4 2021","FQ4 2021","Currency=USD","Period=FQ","BEST_FPERIOD_OVERRIDE=FQ","FILING_STATUS=MR","SCALING_FORMAT=MLN","FA_ADJUSTED=Adjusted","Sort=A","Dates=H","DateFormat=P","Fill=—","Direction=H","UseDPDF=Y")</f>
        <v>-194.56100000000001</v>
      </c>
      <c r="N25" s="13">
        <f>_xll.BDH("ALNY US Equity","EBIT","FQ1 2022","FQ1 2022","Currency=USD","Period=FQ","BEST_FPERIOD_OVERRIDE=FQ","FILING_STATUS=MR","SCALING_FORMAT=MLN","FA_ADJUSTED=Adjusted","Sort=A","Dates=H","DateFormat=P","Fill=—","Direction=H","UseDPDF=Y")</f>
        <v>-146.732</v>
      </c>
      <c r="O25" s="13">
        <f>_xll.BDH("ALNY US Equity","EBIT","FQ2 2022","FQ2 2022","Currency=USD","Period=FQ","BEST_FPERIOD_OVERRIDE=FQ","FILING_STATUS=MR","SCALING_FORMAT=MLN","FA_ADJUSTED=Adjusted","Sort=A","Dates=H","DateFormat=P","Fill=—","Direction=H","UseDPDF=Y")</f>
        <v>-191.68600000000001</v>
      </c>
      <c r="P25" s="13">
        <f>_xll.BDH("ALNY US Equity","EBIT","FQ3 2022","FQ3 2022","Currency=USD","Period=FQ","BEST_FPERIOD_OVERRIDE=FQ","FILING_STATUS=MR","SCALING_FORMAT=MLN","FA_ADJUSTED=Adjusted","Sort=A","Dates=H","DateFormat=P","Fill=—","Direction=H","UseDPDF=Y")</f>
        <v>-258.04000000000002</v>
      </c>
      <c r="Q25" s="13">
        <f>_xll.BDH("ALNY US Equity","EBIT","FQ4 2022","FQ4 2022","Currency=USD","Period=FQ","BEST_FPERIOD_OVERRIDE=FQ","FILING_STATUS=MR","SCALING_FORMAT=MLN","FA_ADJUSTED=Adjusted","Sort=A","Dates=H","DateFormat=P","Fill=—","Direction=H","UseDPDF=Y")</f>
        <v>-188.614</v>
      </c>
      <c r="R25" s="13">
        <f>_xll.BDH("ALNY US Equity","EBIT","FQ1 2023","FQ1 2023","Currency=USD","Period=FQ","BEST_FPERIOD_OVERRIDE=FQ","FILING_STATUS=MR","SCALING_FORMAT=MLN","FA_ADJUSTED=Adjusted","Sort=A","Dates=H","DateFormat=P","Fill=—","Direction=H","UseDPDF=Y")</f>
        <v>-149.80699999999999</v>
      </c>
      <c r="S25" s="13">
        <f>_xll.BDH("ALNY US Equity","EBIT","FQ2 2023","FQ2 2023","Currency=USD","Period=FQ","BEST_FPERIOD_OVERRIDE=FQ","FILING_STATUS=MR","SCALING_FORMAT=MLN","FA_ADJUSTED=Adjusted","Sort=A","Dates=H","DateFormat=P","Fill=—","Direction=H","UseDPDF=Y")</f>
        <v>-229.83099999999999</v>
      </c>
      <c r="T25" s="13">
        <f>_xll.BDH("ALNY US Equity","EBIT","FQ3 2023","FQ3 2023","Currency=USD","Period=FQ","BEST_FPERIOD_OVERRIDE=FQ","FILING_STATUS=MR","SCALING_FORMAT=MLN","FA_ADJUSTED=Adjusted","Sort=A","Dates=H","DateFormat=P","Fill=—","Direction=H","UseDPDF=Y")</f>
        <v>213.86699999999999</v>
      </c>
      <c r="U25" s="13">
        <f>_xll.BDH("ALNY US Equity","EBIT","FQ4 2023","FQ4 2023","Currency=USD","Period=FQ","BEST_FPERIOD_OVERRIDE=FQ","FILING_STATUS=MR","SCALING_FORMAT=MLN","FA_ADJUSTED=Adjusted","Sort=A","Dates=H","DateFormat=P","Fill=—","Direction=H","UseDPDF=Y")</f>
        <v>-116.404</v>
      </c>
      <c r="V25" s="13">
        <f>_xll.BDH("ALNY US Equity","EBIT","FQ1 2024","FQ1 2024","Currency=USD","Period=FQ","BEST_FPERIOD_OVERRIDE=FQ","FILING_STATUS=MR","SCALING_FORMAT=MLN","FA_ADJUSTED=Adjusted","Sort=A","Dates=H","DateFormat=P","Fill=—","Direction=H","UseDPDF=Y")</f>
        <v>-43.435000000000002</v>
      </c>
      <c r="W25" s="13">
        <f>_xll.BDH("ALNY US Equity","EBIT","FQ2 2024","FQ2 2024","Currency=USD","Period=FQ","BEST_FPERIOD_OVERRIDE=FQ","FILING_STATUS=MR","SCALING_FORMAT=MLN","FA_ADJUSTED=Adjusted","Sort=A","Dates=H","DateFormat=P","Fill=—","Direction=H","UseDPDF=Y")</f>
        <v>48.613999999999997</v>
      </c>
      <c r="X25" s="13">
        <f>_xll.BDH("ALNY US Equity","EBIT","FQ3 2024","FQ3 2024","Currency=USD","Period=FQ","BEST_FPERIOD_OVERRIDE=FQ","FILING_STATUS=MR","SCALING_FORMAT=MLN","FA_ADJUSTED=Adjusted","Sort=A","Dates=H","DateFormat=P","Fill=—","Direction=H","UseDPDF=Y")</f>
        <v>-76.905000000000001</v>
      </c>
      <c r="Y25" s="13">
        <f>_xll.BDH("ALNY US Equity","EBIT","FQ4 2024","FQ4 2024","Currency=USD","Period=FQ","BEST_FPERIOD_OVERRIDE=FQ","FILING_STATUS=MR","SCALING_FORMAT=MLN","FA_ADJUSTED=Adjusted","Sort=A","Dates=H","DateFormat=P","Fill=—","Direction=H","UseDPDF=Y")</f>
        <v>-105.15900000000001</v>
      </c>
      <c r="Z25" s="13"/>
      <c r="AA25" s="13"/>
    </row>
    <row r="26" spans="1:27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6" t="s">
        <v>78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5">
      <c r="A28" s="10" t="s">
        <v>130</v>
      </c>
      <c r="B28" s="10" t="s">
        <v>146</v>
      </c>
      <c r="C28" s="13">
        <f>_xll.BDH("ALNY US Equity","BEST_EBITDA","FQ2 2019","FQ2 2019","Currency=USD","Period=FQ","BEST_FPERIOD_OVERRIDE=FQ","FILING_STATUS=MR","Sort=A","Dates=H","DateFormat=P","Fill=—","Direction=H","UseDPDF=Y")</f>
        <v>-181</v>
      </c>
      <c r="D28" s="13" t="str">
        <f>_xll.BDH("ALNY US Equity","BEST_EBITDA","FQ3 2019","FQ3 2019","Currency=USD","Period=FQ","BEST_FPERIOD_OVERRIDE=FQ","FILING_STATUS=MR","Sort=A","Dates=H","DateFormat=P","Fill=—","Direction=H","UseDPDF=Y")</f>
        <v>—</v>
      </c>
      <c r="E28" s="13">
        <f>_xll.BDH("ALNY US Equity","BEST_EBITDA","FQ4 2019","FQ4 2019","Currency=USD","Period=FQ","BEST_FPERIOD_OVERRIDE=FQ","FILING_STATUS=MR","Sort=A","Dates=H","DateFormat=P","Fill=—","Direction=H","UseDPDF=Y")</f>
        <v>-238.5</v>
      </c>
      <c r="F28" s="13">
        <f>_xll.BDH("ALNY US Equity","BEST_EBITDA","FQ1 2020","FQ1 2020","Currency=USD","Period=FQ","BEST_FPERIOD_OVERRIDE=FQ","FILING_STATUS=MR","Sort=A","Dates=H","DateFormat=P","Fill=—","Direction=H","UseDPDF=Y")</f>
        <v>-196</v>
      </c>
      <c r="G28" s="13">
        <f>_xll.BDH("ALNY US Equity","BEST_EBITDA","FQ2 2020","FQ2 2020","Currency=USD","Period=FQ","BEST_FPERIOD_OVERRIDE=FQ","FILING_STATUS=MR","Sort=A","Dates=H","DateFormat=P","Fill=—","Direction=H","UseDPDF=Y")</f>
        <v>-155</v>
      </c>
      <c r="H28" s="13">
        <f>_xll.BDH("ALNY US Equity","BEST_EBITDA","FQ3 2020","FQ3 2020","Currency=USD","Period=FQ","BEST_FPERIOD_OVERRIDE=FQ","FILING_STATUS=MR","Sort=A","Dates=H","DateFormat=P","Fill=—","Direction=H","UseDPDF=Y")</f>
        <v>-148.333</v>
      </c>
      <c r="I28" s="13">
        <f>_xll.BDH("ALNY US Equity","BEST_EBITDA","FQ4 2020","FQ4 2020","Currency=USD","Period=FQ","BEST_FPERIOD_OVERRIDE=FQ","FILING_STATUS=MR","Sort=A","Dates=H","DateFormat=P","Fill=—","Direction=H","UseDPDF=Y")</f>
        <v>-156</v>
      </c>
      <c r="J28" s="13">
        <f>_xll.BDH("ALNY US Equity","BEST_EBITDA","FQ1 2021","FQ1 2021","Currency=USD","Period=FQ","BEST_FPERIOD_OVERRIDE=FQ","FILING_STATUS=MR","Sort=A","Dates=H","DateFormat=P","Fill=—","Direction=H","UseDPDF=Y")</f>
        <v>-163.667</v>
      </c>
      <c r="K28" s="13">
        <f>_xll.BDH("ALNY US Equity","BEST_EBITDA","FQ2 2021","FQ2 2021","Currency=USD","Period=FQ","BEST_FPERIOD_OVERRIDE=FQ","FILING_STATUS=MR","Sort=A","Dates=H","DateFormat=P","Fill=—","Direction=H","UseDPDF=Y")</f>
        <v>-144.333</v>
      </c>
      <c r="L28" s="13">
        <f>_xll.BDH("ALNY US Equity","BEST_EBITDA","FQ3 2021","FQ3 2021","Currency=USD","Period=FQ","BEST_FPERIOD_OVERRIDE=FQ","FILING_STATUS=MR","Sort=A","Dates=H","DateFormat=P","Fill=—","Direction=H","UseDPDF=Y")</f>
        <v>-132</v>
      </c>
      <c r="M28" s="13">
        <f>_xll.BDH("ALNY US Equity","BEST_EBITDA","FQ4 2021","FQ4 2021","Currency=USD","Period=FQ","BEST_FPERIOD_OVERRIDE=FQ","FILING_STATUS=MR","Sort=A","Dates=H","DateFormat=P","Fill=—","Direction=H","UseDPDF=Y")</f>
        <v>-119.75</v>
      </c>
      <c r="N28" s="13">
        <f>_xll.BDH("ALNY US Equity","BEST_EBITDA","FQ1 2022","FQ1 2022","Currency=USD","Period=FQ","BEST_FPERIOD_OVERRIDE=FQ","FILING_STATUS=MR","Sort=A","Dates=H","DateFormat=P","Fill=—","Direction=H","UseDPDF=Y")</f>
        <v>-148.38</v>
      </c>
      <c r="O28" s="13">
        <f>_xll.BDH("ALNY US Equity","BEST_EBITDA","FQ2 2022","FQ2 2022","Currency=USD","Period=FQ","BEST_FPERIOD_OVERRIDE=FQ","FILING_STATUS=MR","Sort=A","Dates=H","DateFormat=P","Fill=—","Direction=H","UseDPDF=Y")</f>
        <v>-161</v>
      </c>
      <c r="P28" s="13">
        <f>_xll.BDH("ALNY US Equity","BEST_EBITDA","FQ3 2022","FQ3 2022","Currency=USD","Period=FQ","BEST_FPERIOD_OVERRIDE=FQ","FILING_STATUS=MR","Sort=A","Dates=H","DateFormat=P","Fill=—","Direction=H","UseDPDF=Y")</f>
        <v>-178.667</v>
      </c>
      <c r="Q28" s="13">
        <f>_xll.BDH("ALNY US Equity","BEST_EBITDA","FQ4 2022","FQ4 2022","Currency=USD","Period=FQ","BEST_FPERIOD_OVERRIDE=FQ","FILING_STATUS=MR","Sort=A","Dates=H","DateFormat=P","Fill=—","Direction=H","UseDPDF=Y")</f>
        <v>-184.4</v>
      </c>
      <c r="R28" s="13">
        <f>_xll.BDH("ALNY US Equity","BEST_EBITDA","FQ1 2023","FQ1 2023","Currency=USD","Period=FQ","BEST_FPERIOD_OVERRIDE=FQ","FILING_STATUS=MR","Sort=A","Dates=H","DateFormat=P","Fill=—","Direction=H","UseDPDF=Y")</f>
        <v>-174</v>
      </c>
      <c r="S28" s="13">
        <f>_xll.BDH("ALNY US Equity","BEST_EBITDA","FQ2 2023","FQ2 2023","Currency=USD","Period=FQ","BEST_FPERIOD_OVERRIDE=FQ","FILING_STATUS=MR","Sort=A","Dates=H","DateFormat=P","Fill=—","Direction=H","UseDPDF=Y")</f>
        <v>-138</v>
      </c>
      <c r="T28" s="13">
        <f>_xll.BDH("ALNY US Equity","BEST_EBITDA","FQ3 2023","FQ3 2023","Currency=USD","Period=FQ","BEST_FPERIOD_OVERRIDE=FQ","FILING_STATUS=MR","Sort=A","Dates=H","DateFormat=P","Fill=—","Direction=H","UseDPDF=Y")</f>
        <v>-151.333</v>
      </c>
      <c r="U28" s="13">
        <f>_xll.BDH("ALNY US Equity","BEST_EBITDA","FQ4 2023","FQ4 2023","Currency=USD","Period=FQ","BEST_FPERIOD_OVERRIDE=FQ","FILING_STATUS=MR","Sort=A","Dates=H","DateFormat=P","Fill=—","Direction=H","UseDPDF=Y")</f>
        <v>-150</v>
      </c>
      <c r="V28" s="13">
        <f>_xll.BDH("ALNY US Equity","BEST_EBITDA","FQ1 2024","FQ1 2024","Currency=USD","Period=FQ","BEST_FPERIOD_OVERRIDE=FQ","FILING_STATUS=MR","Sort=A","Dates=H","DateFormat=P","Fill=—","Direction=H","UseDPDF=Y")</f>
        <v>-112.8</v>
      </c>
      <c r="W28" s="13">
        <f>_xll.BDH("ALNY US Equity","BEST_EBITDA","FQ2 2024","FQ2 2024","Currency=USD","Period=FQ","BEST_FPERIOD_OVERRIDE=FQ","FILING_STATUS=MR","Sort=A","Dates=H","DateFormat=P","Fill=—","Direction=H","UseDPDF=Y")</f>
        <v>-109.4</v>
      </c>
      <c r="X28" s="13">
        <f>_xll.BDH("ALNY US Equity","BEST_EBITDA","FQ3 2024","FQ3 2024","Currency=USD","Period=FQ","BEST_FPERIOD_OVERRIDE=FQ","FILING_STATUS=MR","Sort=A","Dates=H","DateFormat=P","Fill=—","Direction=H","UseDPDF=Y")</f>
        <v>-75.14</v>
      </c>
      <c r="Y28" s="13">
        <f>_xll.BDH("ALNY US Equity","BEST_EBITDA","FQ4 2024","FQ4 2024","Currency=USD","Period=FQ","BEST_FPERIOD_OVERRIDE=FQ","FILING_STATUS=MR","Sort=A","Dates=H","DateFormat=P","Fill=—","Direction=H","UseDPDF=Y")</f>
        <v>-67.099999999999994</v>
      </c>
      <c r="Z28" s="13">
        <v>-89.875</v>
      </c>
      <c r="AA28" s="13">
        <v>-68.125</v>
      </c>
    </row>
    <row r="29" spans="1:27" x14ac:dyDescent="0.25">
      <c r="A29" s="10" t="s">
        <v>132</v>
      </c>
      <c r="B29" s="10" t="s">
        <v>147</v>
      </c>
      <c r="C29" s="13">
        <f>_xll.BDH("ALNY US Equity","IS_COMPARABLE_EBITDA","FQ2 2019","FQ2 2019","Currency=USD","Period=FQ","BEST_FPERIOD_OVERRIDE=FQ","FILING_STATUS=MR","SCALING_FORMAT=MLN","Sort=A","Dates=H","DateFormat=P","Fill=—","Direction=H","UseDPDF=Y")</f>
        <v>-226.571</v>
      </c>
      <c r="D29" s="13">
        <f>_xll.BDH("ALNY US Equity","IS_COMPARABLE_EBITDA","FQ3 2019","FQ3 2019","Currency=USD","Period=FQ","BEST_FPERIOD_OVERRIDE=FQ","FILING_STATUS=MR","SCALING_FORMAT=MLN","Sort=A","Dates=H","DateFormat=P","Fill=—","Direction=H","UseDPDF=Y")</f>
        <v>-198.59899999999999</v>
      </c>
      <c r="E29" s="13">
        <f>_xll.BDH("ALNY US Equity","IS_COMPARABLE_EBITDA","FQ4 2019","FQ4 2019","Currency=USD","Period=FQ","BEST_FPERIOD_OVERRIDE=FQ","FILING_STATUS=MR","SCALING_FORMAT=MLN","Sort=A","Dates=H","DateFormat=P","Fill=—","Direction=H","UseDPDF=Y")</f>
        <v>-283.27300000000002</v>
      </c>
      <c r="F29" s="13">
        <f>_xll.BDH("ALNY US Equity","IS_COMPARABLE_EBITDA","FQ1 2020","FQ1 2020","Currency=USD","Period=FQ","BEST_FPERIOD_OVERRIDE=FQ","FILING_STATUS=MR","SCALING_FORMAT=MLN","Sort=A","Dates=H","DateFormat=P","Fill=—","Direction=H","UseDPDF=Y")</f>
        <v>-193.15799999999999</v>
      </c>
      <c r="G29" s="13">
        <f>_xll.BDH("ALNY US Equity","IS_COMPARABLE_EBITDA","FQ2 2020","FQ2 2020","Currency=USD","Period=FQ","BEST_FPERIOD_OVERRIDE=FQ","FILING_STATUS=MR","SCALING_FORMAT=MLN","Sort=A","Dates=H","DateFormat=P","Fill=—","Direction=H","UseDPDF=Y")</f>
        <v>-181.059</v>
      </c>
      <c r="H29" s="13">
        <f>_xll.BDH("ALNY US Equity","IS_COMPARABLE_EBITDA","FQ3 2020","FQ3 2020","Currency=USD","Period=FQ","BEST_FPERIOD_OVERRIDE=FQ","FILING_STATUS=MR","SCALING_FORMAT=MLN","Sort=A","Dates=H","DateFormat=P","Fill=—","Direction=H","UseDPDF=Y")</f>
        <v>-206.399</v>
      </c>
      <c r="I29" s="13">
        <f>_xll.BDH("ALNY US Equity","IS_COMPARABLE_EBITDA","FQ4 2020","FQ4 2020","Currency=USD","Period=FQ","BEST_FPERIOD_OVERRIDE=FQ","FILING_STATUS=MR","SCALING_FORMAT=MLN","Sort=A","Dates=H","DateFormat=P","Fill=—","Direction=H","UseDPDF=Y")</f>
        <v>-173.322</v>
      </c>
      <c r="J29" s="13">
        <f>_xll.BDH("ALNY US Equity","IS_COMPARABLE_EBITDA","FQ1 2021","FQ1 2021","Currency=USD","Period=FQ","BEST_FPERIOD_OVERRIDE=FQ","FILING_STATUS=MR","SCALING_FORMAT=MLN","Sort=A","Dates=H","DateFormat=P","Fill=—","Direction=H","UseDPDF=Y")</f>
        <v>-163.35400000000001</v>
      </c>
      <c r="K29" s="13">
        <f>_xll.BDH("ALNY US Equity","IS_COMPARABLE_EBITDA","FQ2 2021","FQ2 2021","Currency=USD","Period=FQ","BEST_FPERIOD_OVERRIDE=FQ","FILING_STATUS=MR","SCALING_FORMAT=MLN","Sort=A","Dates=H","DateFormat=P","Fill=—","Direction=H","UseDPDF=Y")</f>
        <v>-123.96</v>
      </c>
      <c r="L29" s="13">
        <f>_xll.BDH("ALNY US Equity","IS_COMPARABLE_EBITDA","FQ3 2021","FQ3 2021","Currency=USD","Period=FQ","BEST_FPERIOD_OVERRIDE=FQ","FILING_STATUS=MR","SCALING_FORMAT=MLN","Sort=A","Dates=H","DateFormat=P","Fill=—","Direction=H","UseDPDF=Y")</f>
        <v>-158.477</v>
      </c>
      <c r="M29" s="13">
        <f>_xll.BDH("ALNY US Equity","IS_COMPARABLE_EBITDA","FQ4 2021","FQ4 2021","Currency=USD","Period=FQ","BEST_FPERIOD_OVERRIDE=FQ","FILING_STATUS=MR","SCALING_FORMAT=MLN","Sort=A","Dates=H","DateFormat=P","Fill=—","Direction=H","UseDPDF=Y")</f>
        <v>-173.06</v>
      </c>
      <c r="N29" s="13">
        <f>_xll.BDH("ALNY US Equity","IS_COMPARABLE_EBITDA","FQ1 2022","FQ1 2022","Currency=USD","Period=FQ","BEST_FPERIOD_OVERRIDE=FQ","FILING_STATUS=MR","SCALING_FORMAT=MLN","Sort=A","Dates=H","DateFormat=P","Fill=—","Direction=H","UseDPDF=Y")</f>
        <v>-137.27199999999999</v>
      </c>
      <c r="O29" s="13">
        <f>_xll.BDH("ALNY US Equity","IS_COMPARABLE_EBITDA","FQ2 2022","FQ2 2022","Currency=USD","Period=FQ","BEST_FPERIOD_OVERRIDE=FQ","FILING_STATUS=MR","SCALING_FORMAT=MLN","Sort=A","Dates=H","DateFormat=P","Fill=—","Direction=H","UseDPDF=Y")</f>
        <v>-172.12899999999999</v>
      </c>
      <c r="P29" s="13">
        <f>_xll.BDH("ALNY US Equity","IS_COMPARABLE_EBITDA","FQ3 2022","FQ3 2022","Currency=USD","Period=FQ","BEST_FPERIOD_OVERRIDE=FQ","FILING_STATUS=MR","SCALING_FORMAT=MLN","Sort=A","Dates=H","DateFormat=P","Fill=—","Direction=H","UseDPDF=Y")</f>
        <v>-258.04000000000002</v>
      </c>
      <c r="Q29" s="13">
        <f>_xll.BDH("ALNY US Equity","IS_COMPARABLE_EBITDA","FQ4 2022","FQ4 2022","Currency=USD","Period=FQ","BEST_FPERIOD_OVERRIDE=FQ","FILING_STATUS=MR","SCALING_FORMAT=MLN","Sort=A","Dates=H","DateFormat=P","Fill=—","Direction=H","UseDPDF=Y")</f>
        <v>-131.536</v>
      </c>
      <c r="R29" s="13">
        <f>_xll.BDH("ALNY US Equity","IS_COMPARABLE_EBITDA","FQ1 2023","FQ1 2023","Currency=USD","Period=FQ","BEST_FPERIOD_OVERRIDE=FQ","FILING_STATUS=MR","SCALING_FORMAT=MLN","Sort=A","Dates=H","DateFormat=P","Fill=—","Direction=H","UseDPDF=Y")</f>
        <v>-135.74199999999999</v>
      </c>
      <c r="S29" s="13">
        <f>_xll.BDH("ALNY US Equity","IS_COMPARABLE_EBITDA","FQ2 2023","FQ2 2023","Currency=USD","Period=FQ","BEST_FPERIOD_OVERRIDE=FQ","FILING_STATUS=MR","SCALING_FORMAT=MLN","Sort=A","Dates=H","DateFormat=P","Fill=—","Direction=H","UseDPDF=Y")</f>
        <v>-216.65199999999999</v>
      </c>
      <c r="T29" s="13">
        <f>_xll.BDH("ALNY US Equity","IS_COMPARABLE_EBITDA","FQ3 2023","FQ3 2023","Currency=USD","Period=FQ","BEST_FPERIOD_OVERRIDE=FQ","FILING_STATUS=MR","SCALING_FORMAT=MLN","Sort=A","Dates=H","DateFormat=P","Fill=—","Direction=H","UseDPDF=Y")</f>
        <v>227.19499999999999</v>
      </c>
      <c r="U29" s="13">
        <f>_xll.BDH("ALNY US Equity","IS_COMPARABLE_EBITDA","FQ4 2023","FQ4 2023","Currency=USD","Period=FQ","BEST_FPERIOD_OVERRIDE=FQ","FILING_STATUS=MR","SCALING_FORMAT=MLN","Sort=A","Dates=H","DateFormat=P","Fill=—","Direction=H","UseDPDF=Y")</f>
        <v>-50.436999999999998</v>
      </c>
      <c r="V29" s="13">
        <f>_xll.BDH("ALNY US Equity","IS_COMPARABLE_EBITDA","FQ1 2024","FQ1 2024","Currency=USD","Period=FQ","BEST_FPERIOD_OVERRIDE=FQ","FILING_STATUS=MR","SCALING_FORMAT=MLN","Sort=A","Dates=H","DateFormat=P","Fill=—","Direction=H","UseDPDF=Y")</f>
        <v>-29.917999999999999</v>
      </c>
      <c r="W29" s="13">
        <f>_xll.BDH("ALNY US Equity","IS_COMPARABLE_EBITDA","FQ2 2024","FQ2 2024","Currency=USD","Period=FQ","BEST_FPERIOD_OVERRIDE=FQ","FILING_STATUS=MR","SCALING_FORMAT=MLN","Sort=A","Dates=H","DateFormat=P","Fill=—","Direction=H","UseDPDF=Y")</f>
        <v>117.523</v>
      </c>
      <c r="X29" s="13">
        <f>_xll.BDH("ALNY US Equity","IS_COMPARABLE_EBITDA","FQ3 2024","FQ3 2024","Currency=USD","Period=FQ","BEST_FPERIOD_OVERRIDE=FQ","FILING_STATUS=MR","SCALING_FORMAT=MLN","Sort=A","Dates=H","DateFormat=P","Fill=—","Direction=H","UseDPDF=Y")</f>
        <v>-71.025000000000006</v>
      </c>
      <c r="Y29" s="13">
        <f>_xll.BDH("ALNY US Equity","IS_COMPARABLE_EBITDA","FQ4 2024","FQ4 2024","Currency=USD","Period=FQ","BEST_FPERIOD_OVERRIDE=FQ","FILING_STATUS=MR","SCALING_FORMAT=MLN","Sort=A","Dates=H","DateFormat=P","Fill=—","Direction=H","UseDPDF=Y")</f>
        <v>105.289</v>
      </c>
      <c r="Z29" s="13"/>
      <c r="AA29" s="13"/>
    </row>
    <row r="30" spans="1:27" x14ac:dyDescent="0.25">
      <c r="A30" s="11" t="s">
        <v>148</v>
      </c>
      <c r="B30" s="11"/>
      <c r="C30" s="25">
        <v>-25.1773480662983</v>
      </c>
      <c r="D30" s="25" t="s">
        <v>141</v>
      </c>
      <c r="E30" s="25">
        <v>-18.772746331236899</v>
      </c>
      <c r="F30" s="25">
        <v>1.4500000000000099</v>
      </c>
      <c r="G30" s="25">
        <v>-16.812258064516101</v>
      </c>
      <c r="H30" s="25">
        <v>-39.145705945406597</v>
      </c>
      <c r="I30" s="25">
        <v>-11.103846153846201</v>
      </c>
      <c r="J30" s="25">
        <v>0.19124197303059801</v>
      </c>
      <c r="K30" s="25">
        <v>14.1152750930141</v>
      </c>
      <c r="L30" s="25">
        <v>-20.058333333333302</v>
      </c>
      <c r="M30" s="25">
        <v>-44.517745302713998</v>
      </c>
      <c r="N30" s="25">
        <v>7.4861841218493099</v>
      </c>
      <c r="O30" s="25">
        <v>-6.9124223602484403</v>
      </c>
      <c r="P30" s="25">
        <v>-44.425103684508102</v>
      </c>
      <c r="Q30" s="25">
        <v>28.668112798264598</v>
      </c>
      <c r="R30" s="25">
        <v>21.987356321839101</v>
      </c>
      <c r="S30" s="25">
        <v>-56.994202898550697</v>
      </c>
      <c r="T30" s="25" t="s">
        <v>141</v>
      </c>
      <c r="U30" s="25">
        <v>66.375333333333302</v>
      </c>
      <c r="V30" s="25">
        <v>73.476950354609897</v>
      </c>
      <c r="W30" s="25" t="s">
        <v>141</v>
      </c>
      <c r="X30" s="25">
        <v>5.4764439712536497</v>
      </c>
      <c r="Y30" s="25" t="s">
        <v>141</v>
      </c>
      <c r="Z30" s="25"/>
      <c r="AA30" s="25"/>
    </row>
    <row r="31" spans="1:27" x14ac:dyDescent="0.25">
      <c r="A31" s="10" t="s">
        <v>135</v>
      </c>
      <c r="B31" s="10" t="s">
        <v>78</v>
      </c>
      <c r="C31" s="13">
        <f>_xll.BDH("ALNY US Equity","EBITDA","FQ2 2019","FQ2 2019","Currency=USD","Period=FQ","BEST_FPERIOD_OVERRIDE=FQ","FILING_STATUS=MR","SCALING_FORMAT=MLN","FA_ADJUSTED=GAAP","Sort=A","Dates=H","DateFormat=P","Fill=—","Direction=H","UseDPDF=Y")</f>
        <v>-217.23500000000001</v>
      </c>
      <c r="D31" s="13">
        <f>_xll.BDH("ALNY US Equity","EBITDA","FQ3 2019","FQ3 2019","Currency=USD","Period=FQ","BEST_FPERIOD_OVERRIDE=FQ","FILING_STATUS=MR","SCALING_FORMAT=MLN","FA_ADJUSTED=GAAP","Sort=A","Dates=H","DateFormat=P","Fill=—","Direction=H","UseDPDF=Y")</f>
        <v>-189.36600000000001</v>
      </c>
      <c r="E31" s="13">
        <f>_xll.BDH("ALNY US Equity","EBITDA","FQ4 2019","FQ4 2019","Currency=USD","Period=FQ","BEST_FPERIOD_OVERRIDE=FQ","FILING_STATUS=MR","SCALING_FORMAT=MLN","FA_ADJUSTED=GAAP","Sort=A","Dates=H","DateFormat=P","Fill=—","Direction=H","UseDPDF=Y")</f>
        <v>-272.56099999999998</v>
      </c>
      <c r="F31" s="13">
        <f>_xll.BDH("ALNY US Equity","EBITDA","FQ1 2020","FQ1 2020","Currency=USD","Period=FQ","BEST_FPERIOD_OVERRIDE=FQ","FILING_STATUS=MR","SCALING_FORMAT=MLN","FA_ADJUSTED=GAAP","Sort=A","Dates=H","DateFormat=P","Fill=—","Direction=H","UseDPDF=Y")</f>
        <v>-193.15199999999999</v>
      </c>
      <c r="G31" s="13">
        <f>_xll.BDH("ALNY US Equity","EBITDA","FQ2 2020","FQ2 2020","Currency=USD","Period=FQ","BEST_FPERIOD_OVERRIDE=FQ","FILING_STATUS=MR","SCALING_FORMAT=MLN","FA_ADJUSTED=GAAP","Sort=A","Dates=H","DateFormat=P","Fill=—","Direction=H","UseDPDF=Y")</f>
        <v>-181.08099999999999</v>
      </c>
      <c r="H31" s="13">
        <f>_xll.BDH("ALNY US Equity","EBITDA","FQ3 2020","FQ3 2020","Currency=USD","Period=FQ","BEST_FPERIOD_OVERRIDE=FQ","FILING_STATUS=MR","SCALING_FORMAT=MLN","FA_ADJUSTED=GAAP","Sort=A","Dates=H","DateFormat=P","Fill=—","Direction=H","UseDPDF=Y")</f>
        <v>-206.428</v>
      </c>
      <c r="I31" s="13">
        <f>_xll.BDH("ALNY US Equity","EBITDA","FQ4 2020","FQ4 2020","Currency=USD","Period=FQ","BEST_FPERIOD_OVERRIDE=FQ","FILING_STATUS=MR","SCALING_FORMAT=MLN","FA_ADJUSTED=GAAP","Sort=A","Dates=H","DateFormat=P","Fill=—","Direction=H","UseDPDF=Y")</f>
        <v>-173.34200000000001</v>
      </c>
      <c r="J31" s="13">
        <f>_xll.BDH("ALNY US Equity","EBITDA","FQ1 2021","FQ1 2021","Currency=USD","Period=FQ","BEST_FPERIOD_OVERRIDE=FQ","FILING_STATUS=MR","SCALING_FORMAT=MLN","FA_ADJUSTED=GAAP","Sort=A","Dates=H","DateFormat=P","Fill=—","Direction=H","UseDPDF=Y")</f>
        <v>-163.392</v>
      </c>
      <c r="K31" s="13">
        <f>_xll.BDH("ALNY US Equity","EBITDA","FQ2 2021","FQ2 2021","Currency=USD","Period=FQ","BEST_FPERIOD_OVERRIDE=FQ","FILING_STATUS=MR","SCALING_FORMAT=MLN","FA_ADJUSTED=GAAP","Sort=A","Dates=H","DateFormat=P","Fill=—","Direction=H","UseDPDF=Y")</f>
        <v>-123.999</v>
      </c>
      <c r="L31" s="13">
        <f>_xll.BDH("ALNY US Equity","EBITDA","FQ3 2021","FQ3 2021","Currency=USD","Period=FQ","BEST_FPERIOD_OVERRIDE=FQ","FILING_STATUS=MR","SCALING_FORMAT=MLN","FA_ADJUSTED=GAAP","Sort=A","Dates=H","DateFormat=P","Fill=—","Direction=H","UseDPDF=Y")</f>
        <v>-158.45699999999999</v>
      </c>
      <c r="M31" s="13">
        <f>_xll.BDH("ALNY US Equity","EBITDA","FQ4 2021","FQ4 2021","Currency=USD","Period=FQ","BEST_FPERIOD_OVERRIDE=FQ","FILING_STATUS=MR","SCALING_FORMAT=MLN","FA_ADJUSTED=GAAP","Sort=A","Dates=H","DateFormat=P","Fill=—","Direction=H","UseDPDF=Y")</f>
        <v>-173.11</v>
      </c>
      <c r="N31" s="13">
        <f>_xll.BDH("ALNY US Equity","EBITDA","FQ1 2022","FQ1 2022","Currency=USD","Period=FQ","BEST_FPERIOD_OVERRIDE=FQ","FILING_STATUS=MR","SCALING_FORMAT=MLN","FA_ADJUSTED=GAAP","Sort=A","Dates=H","DateFormat=P","Fill=—","Direction=H","UseDPDF=Y")</f>
        <v>-126.95399999999999</v>
      </c>
      <c r="O31" s="13">
        <f>_xll.BDH("ALNY US Equity","EBITDA","FQ2 2022","FQ2 2022","Currency=USD","Period=FQ","BEST_FPERIOD_OVERRIDE=FQ","FILING_STATUS=MR","SCALING_FORMAT=MLN","FA_ADJUSTED=GAAP","Sort=A","Dates=H","DateFormat=P","Fill=—","Direction=H","UseDPDF=Y")</f>
        <v>-171.44900000000001</v>
      </c>
      <c r="P31" s="13">
        <f>_xll.BDH("ALNY US Equity","EBITDA","FQ3 2022","FQ3 2022","Currency=USD","Period=FQ","BEST_FPERIOD_OVERRIDE=FQ","FILING_STATUS=MR","SCALING_FORMAT=MLN","FA_ADJUSTED=GAAP","Sort=A","Dates=H","DateFormat=P","Fill=—","Direction=H","UseDPDF=Y")</f>
        <v>-237.39</v>
      </c>
      <c r="Q31" s="13">
        <f>_xll.BDH("ALNY US Equity","EBITDA","FQ4 2022","FQ4 2022","Currency=USD","Period=FQ","BEST_FPERIOD_OVERRIDE=FQ","FILING_STATUS=MR","SCALING_FORMAT=MLN","FA_ADJUSTED=GAAP","Sort=A","Dates=H","DateFormat=P","Fill=—","Direction=H","UseDPDF=Y")</f>
        <v>-163.72900000000001</v>
      </c>
      <c r="R31" s="13">
        <f>_xll.BDH("ALNY US Equity","EBITDA","FQ1 2023","FQ1 2023","Currency=USD","Period=FQ","BEST_FPERIOD_OVERRIDE=FQ","FILING_STATUS=MR","SCALING_FORMAT=MLN","FA_ADJUSTED=GAAP","Sort=A","Dates=H","DateFormat=P","Fill=—","Direction=H","UseDPDF=Y")</f>
        <v>-123.72799999999999</v>
      </c>
      <c r="S31" s="13">
        <f>_xll.BDH("ALNY US Equity","EBITDA","FQ2 2023","FQ2 2023","Currency=USD","Period=FQ","BEST_FPERIOD_OVERRIDE=FQ","FILING_STATUS=MR","SCALING_FORMAT=MLN","FA_ADJUSTED=GAAP","Sort=A","Dates=H","DateFormat=P","Fill=—","Direction=H","UseDPDF=Y")</f>
        <v>-206.38399999999999</v>
      </c>
      <c r="T31" s="13">
        <f>_xll.BDH("ALNY US Equity","EBITDA","FQ3 2023","FQ3 2023","Currency=USD","Period=FQ","BEST_FPERIOD_OVERRIDE=FQ","FILING_STATUS=MR","SCALING_FORMAT=MLN","FA_ADJUSTED=GAAP","Sort=A","Dates=H","DateFormat=P","Fill=—","Direction=H","UseDPDF=Y")</f>
        <v>237.399</v>
      </c>
      <c r="U31" s="13">
        <f>_xll.BDH("ALNY US Equity","EBITDA","FQ4 2023","FQ4 2023","Currency=USD","Period=FQ","BEST_FPERIOD_OVERRIDE=FQ","FILING_STATUS=MR","SCALING_FORMAT=MLN","FA_ADJUSTED=GAAP","Sort=A","Dates=H","DateFormat=P","Fill=—","Direction=H","UseDPDF=Y")</f>
        <v>-92.430999999999997</v>
      </c>
      <c r="V31" s="13">
        <f>_xll.BDH("ALNY US Equity","EBITDA","FQ1 2024","FQ1 2024","Currency=USD","Period=FQ","BEST_FPERIOD_OVERRIDE=FQ","FILING_STATUS=MR","SCALING_FORMAT=MLN","FA_ADJUSTED=GAAP","Sort=A","Dates=H","DateFormat=P","Fill=—","Direction=H","UseDPDF=Y")</f>
        <v>-17.949000000000002</v>
      </c>
      <c r="W31" s="13">
        <f>_xll.BDH("ALNY US Equity","EBITDA","FQ2 2024","FQ2 2024","Currency=USD","Period=FQ","BEST_FPERIOD_OVERRIDE=FQ","FILING_STATUS=MR","SCALING_FORMAT=MLN","FA_ADJUSTED=GAAP","Sort=A","Dates=H","DateFormat=P","Fill=—","Direction=H","UseDPDF=Y")</f>
        <v>73.305999999999997</v>
      </c>
      <c r="X31" s="13">
        <f>_xll.BDH("ALNY US Equity","EBITDA","FQ3 2024","FQ3 2024","Currency=USD","Period=FQ","BEST_FPERIOD_OVERRIDE=FQ","FILING_STATUS=MR","SCALING_FORMAT=MLN","FA_ADJUSTED=GAAP","Sort=A","Dates=H","DateFormat=P","Fill=—","Direction=H","UseDPDF=Y")</f>
        <v>-49.866999999999997</v>
      </c>
      <c r="Y31" s="13">
        <f>_xll.BDH("ALNY US Equity","EBITDA","FQ4 2024","FQ4 2024","Currency=USD","Period=FQ","BEST_FPERIOD_OVERRIDE=FQ","FILING_STATUS=MR","SCALING_FORMAT=MLN","FA_ADJUSTED=GAAP","Sort=A","Dates=H","DateFormat=P","Fill=—","Direction=H","UseDPDF=Y")</f>
        <v>-90.991</v>
      </c>
      <c r="Z31" s="13"/>
      <c r="AA31" s="13"/>
    </row>
    <row r="32" spans="1:27" x14ac:dyDescent="0.25">
      <c r="A32" s="10" t="s">
        <v>136</v>
      </c>
      <c r="B32" s="10" t="s">
        <v>78</v>
      </c>
      <c r="C32" s="13">
        <f>_xll.BDH("ALNY US Equity","EBITDA","FQ2 2019","FQ2 2019","Currency=USD","Period=FQ","BEST_FPERIOD_OVERRIDE=FQ","FILING_STATUS=MR","SCALING_FORMAT=MLN","FA_ADJUSTED=Adjusted","Sort=A","Dates=H","DateFormat=P","Fill=—","Direction=H","UseDPDF=Y")</f>
        <v>-217.23500000000001</v>
      </c>
      <c r="D32" s="13">
        <f>_xll.BDH("ALNY US Equity","EBITDA","FQ3 2019","FQ3 2019","Currency=USD","Period=FQ","BEST_FPERIOD_OVERRIDE=FQ","FILING_STATUS=MR","SCALING_FORMAT=MLN","FA_ADJUSTED=Adjusted","Sort=A","Dates=H","DateFormat=P","Fill=—","Direction=H","UseDPDF=Y")</f>
        <v>-189.36600000000001</v>
      </c>
      <c r="E32" s="13">
        <f>_xll.BDH("ALNY US Equity","EBITDA","FQ4 2019","FQ4 2019","Currency=USD","Period=FQ","BEST_FPERIOD_OVERRIDE=FQ","FILING_STATUS=MR","SCALING_FORMAT=MLN","FA_ADJUSTED=Adjusted","Sort=A","Dates=H","DateFormat=P","Fill=—","Direction=H","UseDPDF=Y")</f>
        <v>-272.56099999999998</v>
      </c>
      <c r="F32" s="13">
        <f>_xll.BDH("ALNY US Equity","EBITDA","FQ1 2020","FQ1 2020","Currency=USD","Period=FQ","BEST_FPERIOD_OVERRIDE=FQ","FILING_STATUS=MR","SCALING_FORMAT=MLN","FA_ADJUSTED=Adjusted","Sort=A","Dates=H","DateFormat=P","Fill=—","Direction=H","UseDPDF=Y")</f>
        <v>-193.15199999999999</v>
      </c>
      <c r="G32" s="13">
        <f>_xll.BDH("ALNY US Equity","EBITDA","FQ2 2020","FQ2 2020","Currency=USD","Period=FQ","BEST_FPERIOD_OVERRIDE=FQ","FILING_STATUS=MR","SCALING_FORMAT=MLN","FA_ADJUSTED=Adjusted","Sort=A","Dates=H","DateFormat=P","Fill=—","Direction=H","UseDPDF=Y")</f>
        <v>-181.8937</v>
      </c>
      <c r="H32" s="13">
        <f>_xll.BDH("ALNY US Equity","EBITDA","FQ3 2020","FQ3 2020","Currency=USD","Period=FQ","BEST_FPERIOD_OVERRIDE=FQ","FILING_STATUS=MR","SCALING_FORMAT=MLN","FA_ADJUSTED=Adjusted","Sort=A","Dates=H","DateFormat=P","Fill=—","Direction=H","UseDPDF=Y")</f>
        <v>-177.01499999999999</v>
      </c>
      <c r="I32" s="13">
        <f>_xll.BDH("ALNY US Equity","EBITDA","FQ4 2020","FQ4 2020","Currency=USD","Period=FQ","BEST_FPERIOD_OVERRIDE=FQ","FILING_STATUS=MR","SCALING_FORMAT=MLN","FA_ADJUSTED=Adjusted","Sort=A","Dates=H","DateFormat=P","Fill=—","Direction=H","UseDPDF=Y")</f>
        <v>-163.126</v>
      </c>
      <c r="J32" s="13">
        <f>_xll.BDH("ALNY US Equity","EBITDA","FQ1 2021","FQ1 2021","Currency=USD","Period=FQ","BEST_FPERIOD_OVERRIDE=FQ","FILING_STATUS=MR","SCALING_FORMAT=MLN","FA_ADJUSTED=Adjusted","Sort=A","Dates=H","DateFormat=P","Fill=—","Direction=H","UseDPDF=Y")</f>
        <v>-163.392</v>
      </c>
      <c r="K32" s="13">
        <f>_xll.BDH("ALNY US Equity","EBITDA","FQ2 2021","FQ2 2021","Currency=USD","Period=FQ","BEST_FPERIOD_OVERRIDE=FQ","FILING_STATUS=MR","SCALING_FORMAT=MLN","FA_ADJUSTED=Adjusted","Sort=A","Dates=H","DateFormat=P","Fill=—","Direction=H","UseDPDF=Y")</f>
        <v>-123.999</v>
      </c>
      <c r="L32" s="13">
        <f>_xll.BDH("ALNY US Equity","EBITDA","FQ3 2021","FQ3 2021","Currency=USD","Period=FQ","BEST_FPERIOD_OVERRIDE=FQ","FILING_STATUS=MR","SCALING_FORMAT=MLN","FA_ADJUSTED=Adjusted","Sort=A","Dates=H","DateFormat=P","Fill=—","Direction=H","UseDPDF=Y")</f>
        <v>-148.45699999999999</v>
      </c>
      <c r="M32" s="13">
        <f>_xll.BDH("ALNY US Equity","EBITDA","FQ4 2021","FQ4 2021","Currency=USD","Period=FQ","BEST_FPERIOD_OVERRIDE=FQ","FILING_STATUS=MR","SCALING_FORMAT=MLN","FA_ADJUSTED=Adjusted","Sort=A","Dates=H","DateFormat=P","Fill=—","Direction=H","UseDPDF=Y")</f>
        <v>-173.11</v>
      </c>
      <c r="N32" s="13">
        <f>_xll.BDH("ALNY US Equity","EBITDA","FQ1 2022","FQ1 2022","Currency=USD","Period=FQ","BEST_FPERIOD_OVERRIDE=FQ","FILING_STATUS=MR","SCALING_FORMAT=MLN","FA_ADJUSTED=Adjusted","Sort=A","Dates=H","DateFormat=P","Fill=—","Direction=H","UseDPDF=Y")</f>
        <v>-126.95399999999999</v>
      </c>
      <c r="O32" s="13">
        <f>_xll.BDH("ALNY US Equity","EBITDA","FQ2 2022","FQ2 2022","Currency=USD","Period=FQ","BEST_FPERIOD_OVERRIDE=FQ","FILING_STATUS=MR","SCALING_FORMAT=MLN","FA_ADJUSTED=Adjusted","Sort=A","Dates=H","DateFormat=P","Fill=—","Direction=H","UseDPDF=Y")</f>
        <v>-171.44900000000001</v>
      </c>
      <c r="P32" s="13">
        <f>_xll.BDH("ALNY US Equity","EBITDA","FQ3 2022","FQ3 2022","Currency=USD","Period=FQ","BEST_FPERIOD_OVERRIDE=FQ","FILING_STATUS=MR","SCALING_FORMAT=MLN","FA_ADJUSTED=Adjusted","Sort=A","Dates=H","DateFormat=P","Fill=—","Direction=H","UseDPDF=Y")</f>
        <v>-237.39</v>
      </c>
      <c r="Q32" s="13">
        <f>_xll.BDH("ALNY US Equity","EBITDA","FQ4 2022","FQ4 2022","Currency=USD","Period=FQ","BEST_FPERIOD_OVERRIDE=FQ","FILING_STATUS=MR","SCALING_FORMAT=MLN","FA_ADJUSTED=Adjusted","Sort=A","Dates=H","DateFormat=P","Fill=—","Direction=H","UseDPDF=Y")</f>
        <v>-163.72900000000001</v>
      </c>
      <c r="R32" s="13">
        <f>_xll.BDH("ALNY US Equity","EBITDA","FQ1 2023","FQ1 2023","Currency=USD","Period=FQ","BEST_FPERIOD_OVERRIDE=FQ","FILING_STATUS=MR","SCALING_FORMAT=MLN","FA_ADJUSTED=Adjusted","Sort=A","Dates=H","DateFormat=P","Fill=—","Direction=H","UseDPDF=Y")</f>
        <v>-123.72799999999999</v>
      </c>
      <c r="S32" s="13">
        <f>_xll.BDH("ALNY US Equity","EBITDA","FQ2 2023","FQ2 2023","Currency=USD","Period=FQ","BEST_FPERIOD_OVERRIDE=FQ","FILING_STATUS=MR","SCALING_FORMAT=MLN","FA_ADJUSTED=Adjusted","Sort=A","Dates=H","DateFormat=P","Fill=—","Direction=H","UseDPDF=Y")</f>
        <v>-206.38399999999999</v>
      </c>
      <c r="T32" s="13">
        <f>_xll.BDH("ALNY US Equity","EBITDA","FQ3 2023","FQ3 2023","Currency=USD","Period=FQ","BEST_FPERIOD_OVERRIDE=FQ","FILING_STATUS=MR","SCALING_FORMAT=MLN","FA_ADJUSTED=Adjusted","Sort=A","Dates=H","DateFormat=P","Fill=—","Direction=H","UseDPDF=Y")</f>
        <v>237.399</v>
      </c>
      <c r="U32" s="13">
        <f>_xll.BDH("ALNY US Equity","EBITDA","FQ4 2023","FQ4 2023","Currency=USD","Period=FQ","BEST_FPERIOD_OVERRIDE=FQ","FILING_STATUS=MR","SCALING_FORMAT=MLN","FA_ADJUSTED=Adjusted","Sort=A","Dates=H","DateFormat=P","Fill=—","Direction=H","UseDPDF=Y")</f>
        <v>-92.430999999999997</v>
      </c>
      <c r="V32" s="13">
        <f>_xll.BDH("ALNY US Equity","EBITDA","FQ1 2024","FQ1 2024","Currency=USD","Period=FQ","BEST_FPERIOD_OVERRIDE=FQ","FILING_STATUS=MR","SCALING_FORMAT=MLN","FA_ADJUSTED=Adjusted","Sort=A","Dates=H","DateFormat=P","Fill=—","Direction=H","UseDPDF=Y")</f>
        <v>-17.949000000000002</v>
      </c>
      <c r="W32" s="13">
        <f>_xll.BDH("ALNY US Equity","EBITDA","FQ2 2024","FQ2 2024","Currency=USD","Period=FQ","BEST_FPERIOD_OVERRIDE=FQ","FILING_STATUS=MR","SCALING_FORMAT=MLN","FA_ADJUSTED=Adjusted","Sort=A","Dates=H","DateFormat=P","Fill=—","Direction=H","UseDPDF=Y")</f>
        <v>73.305999999999997</v>
      </c>
      <c r="X32" s="13">
        <f>_xll.BDH("ALNY US Equity","EBITDA","FQ3 2024","FQ3 2024","Currency=USD","Period=FQ","BEST_FPERIOD_OVERRIDE=FQ","FILING_STATUS=MR","SCALING_FORMAT=MLN","FA_ADJUSTED=Adjusted","Sort=A","Dates=H","DateFormat=P","Fill=—","Direction=H","UseDPDF=Y")</f>
        <v>-49.866999999999997</v>
      </c>
      <c r="Y32" s="13">
        <f>_xll.BDH("ALNY US Equity","EBITDA","FQ4 2024","FQ4 2024","Currency=USD","Period=FQ","BEST_FPERIOD_OVERRIDE=FQ","FILING_STATUS=MR","SCALING_FORMAT=MLN","FA_ADJUSTED=Adjusted","Sort=A","Dates=H","DateFormat=P","Fill=—","Direction=H","UseDPDF=Y")</f>
        <v>-90.991</v>
      </c>
      <c r="Z32" s="13"/>
      <c r="AA32" s="13"/>
    </row>
    <row r="33" spans="1:27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6" t="s">
        <v>149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5">
      <c r="A35" s="10" t="s">
        <v>130</v>
      </c>
      <c r="B35" s="10" t="s">
        <v>150</v>
      </c>
      <c r="C35" s="14">
        <f>_xll.BDH("ALNY US Equity","BEST_GROSS_MARGIN","FQ2 2019","FQ2 2019","Currency=USD","Period=FQ","BEST_FPERIOD_OVERRIDE=FQ","FILING_STATUS=MR","Sort=A","Dates=H","DateFormat=P","Fill=—","Direction=H","UseDPDF=Y")</f>
        <v>87.040999999999997</v>
      </c>
      <c r="D35" s="14">
        <f>_xll.BDH("ALNY US Equity","BEST_GROSS_MARGIN","FQ3 2019","FQ3 2019","Currency=USD","Period=FQ","BEST_FPERIOD_OVERRIDE=FQ","FILING_STATUS=MR","Sort=A","Dates=H","DateFormat=P","Fill=—","Direction=H","UseDPDF=Y")</f>
        <v>89.18</v>
      </c>
      <c r="E35" s="14">
        <f>_xll.BDH("ALNY US Equity","BEST_GROSS_MARGIN","FQ4 2019","FQ4 2019","Currency=USD","Period=FQ","BEST_FPERIOD_OVERRIDE=FQ","FILING_STATUS=MR","Sort=A","Dates=H","DateFormat=P","Fill=—","Direction=H","UseDPDF=Y")</f>
        <v>90.04</v>
      </c>
      <c r="F35" s="14">
        <f>_xll.BDH("ALNY US Equity","BEST_GROSS_MARGIN","FQ1 2020","FQ1 2020","Currency=USD","Period=FQ","BEST_FPERIOD_OVERRIDE=FQ","FILING_STATUS=MR","Sort=A","Dates=H","DateFormat=P","Fill=—","Direction=H","UseDPDF=Y")</f>
        <v>88.12</v>
      </c>
      <c r="G35" s="14">
        <f>_xll.BDH("ALNY US Equity","BEST_GROSS_MARGIN","FQ2 2020","FQ2 2020","Currency=USD","Period=FQ","BEST_FPERIOD_OVERRIDE=FQ","FILING_STATUS=MR","Sort=A","Dates=H","DateFormat=P","Fill=—","Direction=H","UseDPDF=Y")</f>
        <v>87.373999999999995</v>
      </c>
      <c r="H35" s="14">
        <f>_xll.BDH("ALNY US Equity","BEST_GROSS_MARGIN","FQ3 2020","FQ3 2020","Currency=USD","Period=FQ","BEST_FPERIOD_OVERRIDE=FQ","FILING_STATUS=MR","Sort=A","Dates=H","DateFormat=P","Fill=—","Direction=H","UseDPDF=Y")</f>
        <v>85.769000000000005</v>
      </c>
      <c r="I35" s="14">
        <f>_xll.BDH("ALNY US Equity","BEST_GROSS_MARGIN","FQ4 2020","FQ4 2020","Currency=USD","Period=FQ","BEST_FPERIOD_OVERRIDE=FQ","FILING_STATUS=MR","Sort=A","Dates=H","DateFormat=P","Fill=—","Direction=H","UseDPDF=Y")</f>
        <v>85.73</v>
      </c>
      <c r="J35" s="14">
        <f>_xll.BDH("ALNY US Equity","BEST_GROSS_MARGIN","FQ1 2021","FQ1 2021","Currency=USD","Period=FQ","BEST_FPERIOD_OVERRIDE=FQ","FILING_STATUS=MR","Sort=A","Dates=H","DateFormat=P","Fill=—","Direction=H","UseDPDF=Y")</f>
        <v>84.584999999999994</v>
      </c>
      <c r="K35" s="14">
        <f>_xll.BDH("ALNY US Equity","BEST_GROSS_MARGIN","FQ2 2021","FQ2 2021","Currency=USD","Period=FQ","BEST_FPERIOD_OVERRIDE=FQ","FILING_STATUS=MR","Sort=A","Dates=H","DateFormat=P","Fill=—","Direction=H","UseDPDF=Y")</f>
        <v>83.584000000000003</v>
      </c>
      <c r="L35" s="14">
        <f>_xll.BDH("ALNY US Equity","BEST_GROSS_MARGIN","FQ3 2021","FQ3 2021","Currency=USD","Period=FQ","BEST_FPERIOD_OVERRIDE=FQ","FILING_STATUS=MR","Sort=A","Dates=H","DateFormat=P","Fill=—","Direction=H","UseDPDF=Y")</f>
        <v>83.406000000000006</v>
      </c>
      <c r="M35" s="14">
        <f>_xll.BDH("ALNY US Equity","BEST_GROSS_MARGIN","FQ4 2021","FQ4 2021","Currency=USD","Period=FQ","BEST_FPERIOD_OVERRIDE=FQ","FILING_STATUS=MR","Sort=A","Dates=H","DateFormat=P","Fill=—","Direction=H","UseDPDF=Y")</f>
        <v>82.977000000000004</v>
      </c>
      <c r="N35" s="14">
        <f>_xll.BDH("ALNY US Equity","BEST_GROSS_MARGIN","FQ1 2022","FQ1 2022","Currency=USD","Period=FQ","BEST_FPERIOD_OVERRIDE=FQ","FILING_STATUS=MR","Sort=A","Dates=H","DateFormat=P","Fill=—","Direction=H","UseDPDF=Y")</f>
        <v>83.744</v>
      </c>
      <c r="O35" s="14">
        <f>_xll.BDH("ALNY US Equity","BEST_GROSS_MARGIN","FQ2 2022","FQ2 2022","Currency=USD","Period=FQ","BEST_FPERIOD_OVERRIDE=FQ","FILING_STATUS=MR","Sort=A","Dates=H","DateFormat=P","Fill=—","Direction=H","UseDPDF=Y")</f>
        <v>84.641000000000005</v>
      </c>
      <c r="P35" s="14">
        <f>_xll.BDH("ALNY US Equity","BEST_GROSS_MARGIN","FQ3 2022","FQ3 2022","Currency=USD","Period=FQ","BEST_FPERIOD_OVERRIDE=FQ","FILING_STATUS=MR","Sort=A","Dates=H","DateFormat=P","Fill=—","Direction=H","UseDPDF=Y")</f>
        <v>85.174000000000007</v>
      </c>
      <c r="Q35" s="14">
        <f>_xll.BDH("ALNY US Equity","BEST_GROSS_MARGIN","FQ4 2022","FQ4 2022","Currency=USD","Period=FQ","BEST_FPERIOD_OVERRIDE=FQ","FILING_STATUS=MR","Sort=A","Dates=H","DateFormat=P","Fill=—","Direction=H","UseDPDF=Y")</f>
        <v>84.929000000000002</v>
      </c>
      <c r="R35" s="14">
        <f>_xll.BDH("ALNY US Equity","BEST_GROSS_MARGIN","FQ1 2023","FQ1 2023","Currency=USD","Period=FQ","BEST_FPERIOD_OVERRIDE=FQ","FILING_STATUS=MR","Sort=A","Dates=H","DateFormat=P","Fill=—","Direction=H","UseDPDF=Y")</f>
        <v>84.128</v>
      </c>
      <c r="S35" s="14">
        <f>_xll.BDH("ALNY US Equity","BEST_GROSS_MARGIN","FQ2 2023","FQ2 2023","Currency=USD","Period=FQ","BEST_FPERIOD_OVERRIDE=FQ","FILING_STATUS=MR","Sort=A","Dates=H","DateFormat=P","Fill=—","Direction=H","UseDPDF=Y")</f>
        <v>84.402000000000001</v>
      </c>
      <c r="T35" s="14">
        <f>_xll.BDH("ALNY US Equity","BEST_GROSS_MARGIN","FQ3 2023","FQ3 2023","Currency=USD","Period=FQ","BEST_FPERIOD_OVERRIDE=FQ","FILING_STATUS=MR","Sort=A","Dates=H","DateFormat=P","Fill=—","Direction=H","UseDPDF=Y")</f>
        <v>84.069000000000003</v>
      </c>
      <c r="U35" s="14">
        <f>_xll.BDH("ALNY US Equity","BEST_GROSS_MARGIN","FQ4 2023","FQ4 2023","Currency=USD","Period=FQ","BEST_FPERIOD_OVERRIDE=FQ","FILING_STATUS=MR","Sort=A","Dates=H","DateFormat=P","Fill=—","Direction=H","UseDPDF=Y")</f>
        <v>83.85</v>
      </c>
      <c r="V35" s="14">
        <f>_xll.BDH("ALNY US Equity","BEST_GROSS_MARGIN","FQ1 2024","FQ1 2024","Currency=USD","Period=FQ","BEST_FPERIOD_OVERRIDE=FQ","FILING_STATUS=MR","Sort=A","Dates=H","DateFormat=P","Fill=—","Direction=H","UseDPDF=Y")</f>
        <v>82.156000000000006</v>
      </c>
      <c r="W35" s="14">
        <f>_xll.BDH("ALNY US Equity","BEST_GROSS_MARGIN","FQ2 2024","FQ2 2024","Currency=USD","Period=FQ","BEST_FPERIOD_OVERRIDE=FQ","FILING_STATUS=MR","Sort=A","Dates=H","DateFormat=P","Fill=—","Direction=H","UseDPDF=Y")</f>
        <v>82.600999999999999</v>
      </c>
      <c r="X35" s="14">
        <f>_xll.BDH("ALNY US Equity","BEST_GROSS_MARGIN","FQ3 2024","FQ3 2024","Currency=USD","Period=FQ","BEST_FPERIOD_OVERRIDE=FQ","FILING_STATUS=MR","Sort=A","Dates=H","DateFormat=P","Fill=—","Direction=H","UseDPDF=Y")</f>
        <v>83.997</v>
      </c>
      <c r="Y35" s="14">
        <f>_xll.BDH("ALNY US Equity","BEST_GROSS_MARGIN","FQ4 2024","FQ4 2024","Currency=USD","Period=FQ","BEST_FPERIOD_OVERRIDE=FQ","FILING_STATUS=MR","Sort=A","Dates=H","DateFormat=P","Fill=—","Direction=H","UseDPDF=Y")</f>
        <v>83.126999999999995</v>
      </c>
      <c r="Z35" s="14">
        <v>81.519000000000005</v>
      </c>
      <c r="AA35" s="14">
        <v>81.162000000000006</v>
      </c>
    </row>
    <row r="36" spans="1:27" x14ac:dyDescent="0.25">
      <c r="A36" s="10" t="s">
        <v>132</v>
      </c>
      <c r="B36" s="10" t="s">
        <v>151</v>
      </c>
      <c r="C36" s="13">
        <f>_xll.BDH("ALNY US Equity","IS_COMP_GROSS_MARGIN_PERCENTAGE","FQ2 2019","FQ2 2019","Currency=USD","Period=FQ","BEST_FPERIOD_OVERRIDE=FQ","FILING_STATUS=MR","Sort=A","Dates=H","DateFormat=P","Fill=—","Direction=H","UseDPDF=Y")</f>
        <v>90.325199999999995</v>
      </c>
      <c r="D36" s="13">
        <f>_xll.BDH("ALNY US Equity","IS_COMP_GROSS_MARGIN_PERCENTAGE","FQ3 2019","FQ3 2019","Currency=USD","Period=FQ","BEST_FPERIOD_OVERRIDE=FQ","FILING_STATUS=MR","Sort=A","Dates=H","DateFormat=P","Fill=—","Direction=H","UseDPDF=Y")</f>
        <v>92.559299999999993</v>
      </c>
      <c r="E36" s="13">
        <f>_xll.BDH("ALNY US Equity","IS_COMP_GROSS_MARGIN_PERCENTAGE","FQ4 2019","FQ4 2019","Currency=USD","Period=FQ","BEST_FPERIOD_OVERRIDE=FQ","FILING_STATUS=MR","Sort=A","Dates=H","DateFormat=P","Fill=—","Direction=H","UseDPDF=Y")</f>
        <v>83.013599999999997</v>
      </c>
      <c r="F36" s="13">
        <f>_xll.BDH("ALNY US Equity","IS_COMP_GROSS_MARGIN_PERCENTAGE","FQ1 2020","FQ1 2020","Currency=USD","Period=FQ","BEST_FPERIOD_OVERRIDE=FQ","FILING_STATUS=MR","Sort=A","Dates=H","DateFormat=P","Fill=—","Direction=H","UseDPDF=Y")</f>
        <v>86.627899999999997</v>
      </c>
      <c r="G36" s="13">
        <f>_xll.BDH("ALNY US Equity","IS_COMP_GROSS_MARGIN_PERCENTAGE","FQ2 2020","FQ2 2020","Currency=USD","Period=FQ","BEST_FPERIOD_OVERRIDE=FQ","FILING_STATUS=MR","Sort=A","Dates=H","DateFormat=P","Fill=—","Direction=H","UseDPDF=Y")</f>
        <v>80.830500000000001</v>
      </c>
      <c r="H36" s="13">
        <f>_xll.BDH("ALNY US Equity","IS_COMP_GROSS_MARGIN_PERCENTAGE","FQ3 2020","FQ3 2020","Currency=USD","Period=FQ","BEST_FPERIOD_OVERRIDE=FQ","FILING_STATUS=MR","Sort=A","Dates=H","DateFormat=P","Fill=—","Direction=H","UseDPDF=Y")</f>
        <v>82.680599999999998</v>
      </c>
      <c r="I36" s="13">
        <f>_xll.BDH("ALNY US Equity","IS_COMP_GROSS_MARGIN_PERCENTAGE","FQ4 2020","FQ4 2020","Currency=USD","Period=FQ","BEST_FPERIOD_OVERRIDE=FQ","FILING_STATUS=MR","Sort=A","Dates=H","DateFormat=P","Fill=—","Direction=H","UseDPDF=Y")</f>
        <v>85.923400000000001</v>
      </c>
      <c r="J36" s="13">
        <f>_xll.BDH("ALNY US Equity","IS_COMP_GROSS_MARGIN_PERCENTAGE","FQ1 2021","FQ1 2021","Currency=USD","Period=FQ","BEST_FPERIOD_OVERRIDE=FQ","FILING_STATUS=MR","Sort=A","Dates=H","DateFormat=P","Fill=—","Direction=H","UseDPDF=Y")</f>
        <v>87.034099999999995</v>
      </c>
      <c r="K36" s="13">
        <f>_xll.BDH("ALNY US Equity","IS_COMP_GROSS_MARGIN_PERCENTAGE","FQ2 2021","FQ2 2021","Currency=USD","Period=FQ","BEST_FPERIOD_OVERRIDE=FQ","FILING_STATUS=MR","Sort=A","Dates=H","DateFormat=P","Fill=—","Direction=H","UseDPDF=Y")</f>
        <v>82.428299999999993</v>
      </c>
      <c r="L36" s="13">
        <f>_xll.BDH("ALNY US Equity","IS_COMP_GROSS_MARGIN_PERCENTAGE","FQ3 2021","FQ3 2021","Currency=USD","Period=FQ","BEST_FPERIOD_OVERRIDE=FQ","FILING_STATUS=MR","Sort=A","Dates=H","DateFormat=P","Fill=—","Direction=H","UseDPDF=Y")</f>
        <v>82.592100000000002</v>
      </c>
      <c r="M36" s="13">
        <f>_xll.BDH("ALNY US Equity","IS_COMP_GROSS_MARGIN_PERCENTAGE","FQ4 2021","FQ4 2021","Currency=USD","Period=FQ","BEST_FPERIOD_OVERRIDE=FQ","FILING_STATUS=MR","Sort=A","Dates=H","DateFormat=P","Fill=—","Direction=H","UseDPDF=Y")</f>
        <v>86.990200000000002</v>
      </c>
      <c r="N36" s="13">
        <f>_xll.BDH("ALNY US Equity","IS_COMP_GROSS_MARGIN_PERCENTAGE","FQ1 2022","FQ1 2022","Currency=USD","Period=FQ","BEST_FPERIOD_OVERRIDE=FQ","FILING_STATUS=MR","Sort=A","Dates=H","DateFormat=P","Fill=—","Direction=H","UseDPDF=Y")</f>
        <v>89.000699999999995</v>
      </c>
      <c r="O36" s="13">
        <f>_xll.BDH("ALNY US Equity","IS_COMP_GROSS_MARGIN_PERCENTAGE","FQ2 2022","FQ2 2022","Currency=USD","Period=FQ","BEST_FPERIOD_OVERRIDE=FQ","FILING_STATUS=MR","Sort=A","Dates=H","DateFormat=P","Fill=—","Direction=H","UseDPDF=Y")</f>
        <v>84.85</v>
      </c>
      <c r="P36" s="13">
        <f>_xll.BDH("ALNY US Equity","IS_COMP_GROSS_MARGIN_PERCENTAGE","FQ3 2022","FQ3 2022","Currency=USD","Period=FQ","BEST_FPERIOD_OVERRIDE=FQ","FILING_STATUS=MR","Sort=A","Dates=H","DateFormat=P","Fill=—","Direction=H","UseDPDF=Y")</f>
        <v>86.187600000000003</v>
      </c>
      <c r="Q36" s="13">
        <f>_xll.BDH("ALNY US Equity","IS_COMP_GROSS_MARGIN_PERCENTAGE","FQ4 2022","FQ4 2022","Currency=USD","Period=FQ","BEST_FPERIOD_OVERRIDE=FQ","FILING_STATUS=MR","Sort=A","Dates=H","DateFormat=P","Fill=—","Direction=H","UseDPDF=Y")</f>
        <v>86.218800000000002</v>
      </c>
      <c r="R36" s="13">
        <f>_xll.BDH("ALNY US Equity","IS_COMP_GROSS_MARGIN_PERCENTAGE","FQ1 2023","FQ1 2023","Currency=USD","Period=FQ","BEST_FPERIOD_OVERRIDE=FQ","FILING_STATUS=MR","Sort=A","Dates=H","DateFormat=P","Fill=—","Direction=H","UseDPDF=Y")</f>
        <v>87.023700000000005</v>
      </c>
      <c r="S36" s="13">
        <f>_xll.BDH("ALNY US Equity","IS_COMP_GROSS_MARGIN_PERCENTAGE","FQ2 2023","FQ2 2023","Currency=USD","Period=FQ","BEST_FPERIOD_OVERRIDE=FQ","FILING_STATUS=MR","Sort=A","Dates=H","DateFormat=P","Fill=—","Direction=H","UseDPDF=Y")</f>
        <v>76.36</v>
      </c>
      <c r="T36" s="13">
        <f>_xll.BDH("ALNY US Equity","IS_COMP_GROSS_MARGIN_PERCENTAGE","FQ3 2023","FQ3 2023","Currency=USD","Period=FQ","BEST_FPERIOD_OVERRIDE=FQ","FILING_STATUS=MR","Sort=A","Dates=H","DateFormat=P","Fill=—","Direction=H","UseDPDF=Y")</f>
        <v>89.411100000000005</v>
      </c>
      <c r="U36" s="13">
        <f>_xll.BDH("ALNY US Equity","IS_COMP_GROSS_MARGIN_PERCENTAGE","FQ4 2023","FQ4 2023","Currency=USD","Period=FQ","BEST_FPERIOD_OVERRIDE=FQ","FILING_STATUS=MR","Sort=A","Dates=H","DateFormat=P","Fill=—","Direction=H","UseDPDF=Y")</f>
        <v>83.631600000000006</v>
      </c>
      <c r="V36" s="13">
        <f>_xll.BDH("ALNY US Equity","IS_COMP_GROSS_MARGIN_PERCENTAGE","FQ1 2024","FQ1 2024","Currency=USD","Period=FQ","BEST_FPERIOD_OVERRIDE=FQ","FILING_STATUS=MR","Sort=A","Dates=H","DateFormat=P","Fill=—","Direction=H","UseDPDF=Y")</f>
        <v>86.653499999999994</v>
      </c>
      <c r="W36" s="13">
        <f>_xll.BDH("ALNY US Equity","IS_COMP_GROSS_MARGIN_PERCENTAGE","FQ2 2024","FQ2 2024","Currency=USD","Period=FQ","BEST_FPERIOD_OVERRIDE=FQ","FILING_STATUS=MR","Sort=A","Dates=H","DateFormat=P","Fill=—","Direction=H","UseDPDF=Y")</f>
        <v>89.592399999999998</v>
      </c>
      <c r="X36" s="13">
        <f>_xll.BDH("ALNY US Equity","IS_COMP_GROSS_MARGIN_PERCENTAGE","FQ3 2024","FQ3 2024","Currency=USD","Period=FQ","BEST_FPERIOD_OVERRIDE=FQ","FILING_STATUS=MR","Sort=A","Dates=H","DateFormat=P","Fill=—","Direction=H","UseDPDF=Y")</f>
        <v>82.850499999999997</v>
      </c>
      <c r="Y36" s="13">
        <f>_xll.BDH("ALNY US Equity","IS_COMP_GROSS_MARGIN_PERCENTAGE","FQ4 2024","FQ4 2024","Currency=USD","Period=FQ","BEST_FPERIOD_OVERRIDE=FQ","FILING_STATUS=MR","Sort=A","Dates=H","DateFormat=P","Fill=—","Direction=H","UseDPDF=Y")</f>
        <v>82.694699999999997</v>
      </c>
      <c r="Z36" s="13"/>
      <c r="AA36" s="13"/>
    </row>
    <row r="37" spans="1:27" x14ac:dyDescent="0.25">
      <c r="A37" s="11" t="s">
        <v>152</v>
      </c>
      <c r="B37" s="11"/>
      <c r="C37" s="25">
        <v>3.7731390953688502</v>
      </c>
      <c r="D37" s="25">
        <v>3.78934850863422</v>
      </c>
      <c r="E37" s="25">
        <v>-7.80360950688583</v>
      </c>
      <c r="F37" s="25">
        <v>-1.6932251475261</v>
      </c>
      <c r="G37" s="25">
        <v>-7.4890745530707097</v>
      </c>
      <c r="H37" s="25">
        <v>-3.60084879152142</v>
      </c>
      <c r="I37" s="25">
        <v>0.22556981220109901</v>
      </c>
      <c r="J37" s="25">
        <v>2.89545073003488</v>
      </c>
      <c r="K37" s="25">
        <v>-1.3827287519142499</v>
      </c>
      <c r="L37" s="25">
        <v>-0.97585185718055401</v>
      </c>
      <c r="M37" s="25">
        <v>4.8364679368981696</v>
      </c>
      <c r="N37" s="25">
        <v>6.2771052254489801</v>
      </c>
      <c r="O37" s="25">
        <v>0.246925248992792</v>
      </c>
      <c r="P37" s="25">
        <v>1.19003569164298</v>
      </c>
      <c r="Q37" s="25">
        <v>1.5186249690918401</v>
      </c>
      <c r="R37" s="25">
        <v>3.4420276245720798</v>
      </c>
      <c r="S37" s="25">
        <v>-9.5282102319850299</v>
      </c>
      <c r="T37" s="25">
        <v>6.3544029309257901</v>
      </c>
      <c r="U37" s="25">
        <v>-0.26051878354202601</v>
      </c>
      <c r="V37" s="25">
        <v>5.4743792297580196</v>
      </c>
      <c r="W37" s="25">
        <v>8.4640524933112307</v>
      </c>
      <c r="X37" s="25">
        <v>-1.3649046989773399</v>
      </c>
      <c r="Y37" s="25">
        <v>-0.52001636050861</v>
      </c>
      <c r="Z37" s="25"/>
      <c r="AA37" s="25"/>
    </row>
    <row r="38" spans="1:27" x14ac:dyDescent="0.25">
      <c r="A38" s="10" t="s">
        <v>135</v>
      </c>
      <c r="B38" s="10" t="s">
        <v>153</v>
      </c>
      <c r="C38" s="13">
        <f>_xll.BDH("ALNY US Equity","GROSS_MARGIN","FQ2 2019","FQ2 2019","Currency=USD","Period=FQ","BEST_FPERIOD_OVERRIDE=FQ","FILING_STATUS=MR","FA_ADJUSTED=GAAP","Sort=A","Dates=H","DateFormat=P","Fill=—","Direction=H","UseDPDF=Y")</f>
        <v>90.325199999999995</v>
      </c>
      <c r="D38" s="13">
        <f>_xll.BDH("ALNY US Equity","GROSS_MARGIN","FQ3 2019","FQ3 2019","Currency=USD","Period=FQ","BEST_FPERIOD_OVERRIDE=FQ","FILING_STATUS=MR","FA_ADJUSTED=GAAP","Sort=A","Dates=H","DateFormat=P","Fill=—","Direction=H","UseDPDF=Y")</f>
        <v>92.559299999999993</v>
      </c>
      <c r="E38" s="13">
        <f>_xll.BDH("ALNY US Equity","GROSS_MARGIN","FQ4 2019","FQ4 2019","Currency=USD","Period=FQ","BEST_FPERIOD_OVERRIDE=FQ","FILING_STATUS=MR","FA_ADJUSTED=GAAP","Sort=A","Dates=H","DateFormat=P","Fill=—","Direction=H","UseDPDF=Y")</f>
        <v>83.013599999999997</v>
      </c>
      <c r="F38" s="13">
        <f>_xll.BDH("ALNY US Equity","GROSS_MARGIN","FQ1 2020","FQ1 2020","Currency=USD","Period=FQ","BEST_FPERIOD_OVERRIDE=FQ","FILING_STATUS=MR","FA_ADJUSTED=GAAP","Sort=A","Dates=H","DateFormat=P","Fill=—","Direction=H","UseDPDF=Y")</f>
        <v>86.627899999999997</v>
      </c>
      <c r="G38" s="13">
        <f>_xll.BDH("ALNY US Equity","GROSS_MARGIN","FQ2 2020","FQ2 2020","Currency=USD","Period=FQ","BEST_FPERIOD_OVERRIDE=FQ","FILING_STATUS=MR","FA_ADJUSTED=GAAP","Sort=A","Dates=H","DateFormat=P","Fill=—","Direction=H","UseDPDF=Y")</f>
        <v>80.830500000000001</v>
      </c>
      <c r="H38" s="13">
        <f>_xll.BDH("ALNY US Equity","GROSS_MARGIN","FQ3 2020","FQ3 2020","Currency=USD","Period=FQ","BEST_FPERIOD_OVERRIDE=FQ","FILING_STATUS=MR","FA_ADJUSTED=GAAP","Sort=A","Dates=H","DateFormat=P","Fill=—","Direction=H","UseDPDF=Y")</f>
        <v>82.680599999999998</v>
      </c>
      <c r="I38" s="13">
        <f>_xll.BDH("ALNY US Equity","GROSS_MARGIN","FQ4 2020","FQ4 2020","Currency=USD","Period=FQ","BEST_FPERIOD_OVERRIDE=FQ","FILING_STATUS=MR","FA_ADJUSTED=GAAP","Sort=A","Dates=H","DateFormat=P","Fill=—","Direction=H","UseDPDF=Y")</f>
        <v>85.923400000000001</v>
      </c>
      <c r="J38" s="13">
        <f>_xll.BDH("ALNY US Equity","GROSS_MARGIN","FQ1 2021","FQ1 2021","Currency=USD","Period=FQ","BEST_FPERIOD_OVERRIDE=FQ","FILING_STATUS=MR","FA_ADJUSTED=GAAP","Sort=A","Dates=H","DateFormat=P","Fill=—","Direction=H","UseDPDF=Y")</f>
        <v>82.506799999999998</v>
      </c>
      <c r="K38" s="13">
        <f>_xll.BDH("ALNY US Equity","GROSS_MARGIN","FQ2 2021","FQ2 2021","Currency=USD","Period=FQ","BEST_FPERIOD_OVERRIDE=FQ","FILING_STATUS=MR","FA_ADJUSTED=GAAP","Sort=A","Dates=H","DateFormat=P","Fill=—","Direction=H","UseDPDF=Y")</f>
        <v>82.428299999999993</v>
      </c>
      <c r="L38" s="13">
        <f>_xll.BDH("ALNY US Equity","GROSS_MARGIN","FQ3 2021","FQ3 2021","Currency=USD","Period=FQ","BEST_FPERIOD_OVERRIDE=FQ","FILING_STATUS=MR","FA_ADJUSTED=GAAP","Sort=A","Dates=H","DateFormat=P","Fill=—","Direction=H","UseDPDF=Y")</f>
        <v>82.592100000000002</v>
      </c>
      <c r="M38" s="13">
        <f>_xll.BDH("ALNY US Equity","GROSS_MARGIN","FQ4 2021","FQ4 2021","Currency=USD","Period=FQ","BEST_FPERIOD_OVERRIDE=FQ","FILING_STATUS=MR","FA_ADJUSTED=GAAP","Sort=A","Dates=H","DateFormat=P","Fill=—","Direction=H","UseDPDF=Y")</f>
        <v>85.431799999999996</v>
      </c>
      <c r="N38" s="13">
        <f>_xll.BDH("ALNY US Equity","GROSS_MARGIN","FQ1 2022","FQ1 2022","Currency=USD","Period=FQ","BEST_FPERIOD_OVERRIDE=FQ","FILING_STATUS=MR","FA_ADJUSTED=GAAP","Sort=A","Dates=H","DateFormat=P","Fill=—","Direction=H","UseDPDF=Y")</f>
        <v>83.293999999999997</v>
      </c>
      <c r="O38" s="13">
        <f>_xll.BDH("ALNY US Equity","GROSS_MARGIN","FQ2 2022","FQ2 2022","Currency=USD","Period=FQ","BEST_FPERIOD_OVERRIDE=FQ","FILING_STATUS=MR","FA_ADJUSTED=GAAP","Sort=A","Dates=H","DateFormat=P","Fill=—","Direction=H","UseDPDF=Y")</f>
        <v>81.848399999999998</v>
      </c>
      <c r="P38" s="13">
        <f>_xll.BDH("ALNY US Equity","GROSS_MARGIN","FQ3 2022","FQ3 2022","Currency=USD","Period=FQ","BEST_FPERIOD_OVERRIDE=FQ","FILING_STATUS=MR","FA_ADJUSTED=GAAP","Sort=A","Dates=H","DateFormat=P","Fill=—","Direction=H","UseDPDF=Y")</f>
        <v>84.443799999999996</v>
      </c>
      <c r="Q38" s="13">
        <f>_xll.BDH("ALNY US Equity","GROSS_MARGIN","FQ4 2022","FQ4 2022","Currency=USD","Period=FQ","BEST_FPERIOD_OVERRIDE=FQ","FILING_STATUS=MR","FA_ADJUSTED=GAAP","Sort=A","Dates=H","DateFormat=P","Fill=—","Direction=H","UseDPDF=Y")</f>
        <v>84.698300000000003</v>
      </c>
      <c r="R38" s="13">
        <f>_xll.BDH("ALNY US Equity","GROSS_MARGIN","FQ1 2023","FQ1 2023","Currency=USD","Period=FQ","BEST_FPERIOD_OVERRIDE=FQ","FILING_STATUS=MR","FA_ADJUSTED=GAAP","Sort=A","Dates=H","DateFormat=P","Fill=—","Direction=H","UseDPDF=Y")</f>
        <v>82.815299999999993</v>
      </c>
      <c r="S38" s="13">
        <f>_xll.BDH("ALNY US Equity","GROSS_MARGIN","FQ2 2023","FQ2 2023","Currency=USD","Period=FQ","BEST_FPERIOD_OVERRIDE=FQ","FILING_STATUS=MR","FA_ADJUSTED=GAAP","Sort=A","Dates=H","DateFormat=P","Fill=—","Direction=H","UseDPDF=Y")</f>
        <v>73.217600000000004</v>
      </c>
      <c r="T38" s="13">
        <f>_xll.BDH("ALNY US Equity","GROSS_MARGIN","FQ3 2023","FQ3 2023","Currency=USD","Period=FQ","BEST_FPERIOD_OVERRIDE=FQ","FILING_STATUS=MR","FA_ADJUSTED=GAAP","Sort=A","Dates=H","DateFormat=P","Fill=—","Direction=H","UseDPDF=Y")</f>
        <v>88.7667</v>
      </c>
      <c r="U38" s="13">
        <f>_xll.BDH("ALNY US Equity","GROSS_MARGIN","FQ4 2023","FQ4 2023","Currency=USD","Period=FQ","BEST_FPERIOD_OVERRIDE=FQ","FILING_STATUS=MR","FA_ADJUSTED=GAAP","Sort=A","Dates=H","DateFormat=P","Fill=—","Direction=H","UseDPDF=Y")</f>
        <v>80.474299999999999</v>
      </c>
      <c r="V38" s="13">
        <f>_xll.BDH("ALNY US Equity","GROSS_MARGIN","FQ1 2024","FQ1 2024","Currency=USD","Period=FQ","BEST_FPERIOD_OVERRIDE=FQ","FILING_STATUS=MR","FA_ADJUSTED=GAAP","Sort=A","Dates=H","DateFormat=P","Fill=—","Direction=H","UseDPDF=Y")</f>
        <v>86.653499999999994</v>
      </c>
      <c r="W38" s="13">
        <f>_xll.BDH("ALNY US Equity","GROSS_MARGIN","FQ2 2024","FQ2 2024","Currency=USD","Period=FQ","BEST_FPERIOD_OVERRIDE=FQ","FILING_STATUS=MR","FA_ADJUSTED=GAAP","Sort=A","Dates=H","DateFormat=P","Fill=—","Direction=H","UseDPDF=Y")</f>
        <v>89.592399999999998</v>
      </c>
      <c r="X38" s="13">
        <f>_xll.BDH("ALNY US Equity","GROSS_MARGIN","FQ3 2024","FQ3 2024","Currency=USD","Period=FQ","BEST_FPERIOD_OVERRIDE=FQ","FILING_STATUS=MR","FA_ADJUSTED=GAAP","Sort=A","Dates=H","DateFormat=P","Fill=—","Direction=H","UseDPDF=Y")</f>
        <v>82.850499999999997</v>
      </c>
      <c r="Y38" s="13">
        <f>_xll.BDH("ALNY US Equity","GROSS_MARGIN","FQ4 2024","FQ4 2024","Currency=USD","Period=FQ","BEST_FPERIOD_OVERRIDE=FQ","FILING_STATUS=MR","FA_ADJUSTED=GAAP","Sort=A","Dates=H","DateFormat=P","Fill=—","Direction=H","UseDPDF=Y")</f>
        <v>82.666399999999996</v>
      </c>
      <c r="Z38" s="13"/>
      <c r="AA38" s="13"/>
    </row>
    <row r="39" spans="1:27" x14ac:dyDescent="0.25">
      <c r="A39" s="10" t="s">
        <v>136</v>
      </c>
      <c r="B39" s="10" t="s">
        <v>153</v>
      </c>
      <c r="C39" s="13">
        <f>_xll.BDH("ALNY US Equity","GROSS_MARGIN","FQ2 2019","FQ2 2019","Currency=USD","Period=FQ","BEST_FPERIOD_OVERRIDE=FQ","FILING_STATUS=MR","FA_ADJUSTED=Adjusted","Sort=A","Dates=H","DateFormat=P","Fill=—","Direction=H","UseDPDF=Y")</f>
        <v>90.325199999999995</v>
      </c>
      <c r="D39" s="13">
        <f>_xll.BDH("ALNY US Equity","GROSS_MARGIN","FQ3 2019","FQ3 2019","Currency=USD","Period=FQ","BEST_FPERIOD_OVERRIDE=FQ","FILING_STATUS=MR","FA_ADJUSTED=Adjusted","Sort=A","Dates=H","DateFormat=P","Fill=—","Direction=H","UseDPDF=Y")</f>
        <v>92.559299999999993</v>
      </c>
      <c r="E39" s="13">
        <f>_xll.BDH("ALNY US Equity","GROSS_MARGIN","FQ4 2019","FQ4 2019","Currency=USD","Period=FQ","BEST_FPERIOD_OVERRIDE=FQ","FILING_STATUS=MR","FA_ADJUSTED=Adjusted","Sort=A","Dates=H","DateFormat=P","Fill=—","Direction=H","UseDPDF=Y")</f>
        <v>83.013599999999997</v>
      </c>
      <c r="F39" s="13">
        <f>_xll.BDH("ALNY US Equity","GROSS_MARGIN","FQ1 2020","FQ1 2020","Currency=USD","Period=FQ","BEST_FPERIOD_OVERRIDE=FQ","FILING_STATUS=MR","FA_ADJUSTED=Adjusted","Sort=A","Dates=H","DateFormat=P","Fill=—","Direction=H","UseDPDF=Y")</f>
        <v>86.627899999999997</v>
      </c>
      <c r="G39" s="13">
        <f>_xll.BDH("ALNY US Equity","GROSS_MARGIN","FQ2 2020","FQ2 2020","Currency=USD","Period=FQ","BEST_FPERIOD_OVERRIDE=FQ","FILING_STATUS=MR","FA_ADJUSTED=Adjusted","Sort=A","Dates=H","DateFormat=P","Fill=—","Direction=H","UseDPDF=Y")</f>
        <v>80.830500000000001</v>
      </c>
      <c r="H39" s="13">
        <f>_xll.BDH("ALNY US Equity","GROSS_MARGIN","FQ3 2020","FQ3 2020","Currency=USD","Period=FQ","BEST_FPERIOD_OVERRIDE=FQ","FILING_STATUS=MR","FA_ADJUSTED=Adjusted","Sort=A","Dates=H","DateFormat=P","Fill=—","Direction=H","UseDPDF=Y")</f>
        <v>82.680599999999998</v>
      </c>
      <c r="I39" s="13">
        <f>_xll.BDH("ALNY US Equity","GROSS_MARGIN","FQ4 2020","FQ4 2020","Currency=USD","Period=FQ","BEST_FPERIOD_OVERRIDE=FQ","FILING_STATUS=MR","FA_ADJUSTED=Adjusted","Sort=A","Dates=H","DateFormat=P","Fill=—","Direction=H","UseDPDF=Y")</f>
        <v>85.923400000000001</v>
      </c>
      <c r="J39" s="13">
        <f>_xll.BDH("ALNY US Equity","GROSS_MARGIN","FQ1 2021","FQ1 2021","Currency=USD","Period=FQ","BEST_FPERIOD_OVERRIDE=FQ","FILING_STATUS=MR","FA_ADJUSTED=Adjusted","Sort=A","Dates=H","DateFormat=P","Fill=—","Direction=H","UseDPDF=Y")</f>
        <v>82.506799999999998</v>
      </c>
      <c r="K39" s="13">
        <f>_xll.BDH("ALNY US Equity","GROSS_MARGIN","FQ2 2021","FQ2 2021","Currency=USD","Period=FQ","BEST_FPERIOD_OVERRIDE=FQ","FILING_STATUS=MR","FA_ADJUSTED=Adjusted","Sort=A","Dates=H","DateFormat=P","Fill=—","Direction=H","UseDPDF=Y")</f>
        <v>82.428299999999993</v>
      </c>
      <c r="L39" s="13">
        <f>_xll.BDH("ALNY US Equity","GROSS_MARGIN","FQ3 2021","FQ3 2021","Currency=USD","Period=FQ","BEST_FPERIOD_OVERRIDE=FQ","FILING_STATUS=MR","FA_ADJUSTED=Adjusted","Sort=A","Dates=H","DateFormat=P","Fill=—","Direction=H","UseDPDF=Y")</f>
        <v>82.592100000000002</v>
      </c>
      <c r="M39" s="13">
        <f>_xll.BDH("ALNY US Equity","GROSS_MARGIN","FQ4 2021","FQ4 2021","Currency=USD","Period=FQ","BEST_FPERIOD_OVERRIDE=FQ","FILING_STATUS=MR","FA_ADJUSTED=Adjusted","Sort=A","Dates=H","DateFormat=P","Fill=—","Direction=H","UseDPDF=Y")</f>
        <v>85.431799999999996</v>
      </c>
      <c r="N39" s="13">
        <f>_xll.BDH("ALNY US Equity","GROSS_MARGIN","FQ1 2022","FQ1 2022","Currency=USD","Period=FQ","BEST_FPERIOD_OVERRIDE=FQ","FILING_STATUS=MR","FA_ADJUSTED=Adjusted","Sort=A","Dates=H","DateFormat=P","Fill=—","Direction=H","UseDPDF=Y")</f>
        <v>83.293999999999997</v>
      </c>
      <c r="O39" s="13">
        <f>_xll.BDH("ALNY US Equity","GROSS_MARGIN","FQ2 2022","FQ2 2022","Currency=USD","Period=FQ","BEST_FPERIOD_OVERRIDE=FQ","FILING_STATUS=MR","FA_ADJUSTED=Adjusted","Sort=A","Dates=H","DateFormat=P","Fill=—","Direction=H","UseDPDF=Y")</f>
        <v>81.848399999999998</v>
      </c>
      <c r="P39" s="13">
        <f>_xll.BDH("ALNY US Equity","GROSS_MARGIN","FQ3 2022","FQ3 2022","Currency=USD","Period=FQ","BEST_FPERIOD_OVERRIDE=FQ","FILING_STATUS=MR","FA_ADJUSTED=Adjusted","Sort=A","Dates=H","DateFormat=P","Fill=—","Direction=H","UseDPDF=Y")</f>
        <v>84.443799999999996</v>
      </c>
      <c r="Q39" s="13">
        <f>_xll.BDH("ALNY US Equity","GROSS_MARGIN","FQ4 2022","FQ4 2022","Currency=USD","Period=FQ","BEST_FPERIOD_OVERRIDE=FQ","FILING_STATUS=MR","FA_ADJUSTED=Adjusted","Sort=A","Dates=H","DateFormat=P","Fill=—","Direction=H","UseDPDF=Y")</f>
        <v>84.698300000000003</v>
      </c>
      <c r="R39" s="13">
        <f>_xll.BDH("ALNY US Equity","GROSS_MARGIN","FQ1 2023","FQ1 2023","Currency=USD","Period=FQ","BEST_FPERIOD_OVERRIDE=FQ","FILING_STATUS=MR","FA_ADJUSTED=Adjusted","Sort=A","Dates=H","DateFormat=P","Fill=—","Direction=H","UseDPDF=Y")</f>
        <v>82.815299999999993</v>
      </c>
      <c r="S39" s="13">
        <f>_xll.BDH("ALNY US Equity","GROSS_MARGIN","FQ2 2023","FQ2 2023","Currency=USD","Period=FQ","BEST_FPERIOD_OVERRIDE=FQ","FILING_STATUS=MR","FA_ADJUSTED=Adjusted","Sort=A","Dates=H","DateFormat=P","Fill=—","Direction=H","UseDPDF=Y")</f>
        <v>73.217600000000004</v>
      </c>
      <c r="T39" s="13">
        <f>_xll.BDH("ALNY US Equity","GROSS_MARGIN","FQ3 2023","FQ3 2023","Currency=USD","Period=FQ","BEST_FPERIOD_OVERRIDE=FQ","FILING_STATUS=MR","FA_ADJUSTED=Adjusted","Sort=A","Dates=H","DateFormat=P","Fill=—","Direction=H","UseDPDF=Y")</f>
        <v>88.7667</v>
      </c>
      <c r="U39" s="13">
        <f>_xll.BDH("ALNY US Equity","GROSS_MARGIN","FQ4 2023","FQ4 2023","Currency=USD","Period=FQ","BEST_FPERIOD_OVERRIDE=FQ","FILING_STATUS=MR","FA_ADJUSTED=Adjusted","Sort=A","Dates=H","DateFormat=P","Fill=—","Direction=H","UseDPDF=Y")</f>
        <v>80.474299999999999</v>
      </c>
      <c r="V39" s="13">
        <f>_xll.BDH("ALNY US Equity","GROSS_MARGIN","FQ1 2024","FQ1 2024","Currency=USD","Period=FQ","BEST_FPERIOD_OVERRIDE=FQ","FILING_STATUS=MR","FA_ADJUSTED=Adjusted","Sort=A","Dates=H","DateFormat=P","Fill=—","Direction=H","UseDPDF=Y")</f>
        <v>86.653499999999994</v>
      </c>
      <c r="W39" s="13">
        <f>_xll.BDH("ALNY US Equity","GROSS_MARGIN","FQ2 2024","FQ2 2024","Currency=USD","Period=FQ","BEST_FPERIOD_OVERRIDE=FQ","FILING_STATUS=MR","FA_ADJUSTED=Adjusted","Sort=A","Dates=H","DateFormat=P","Fill=—","Direction=H","UseDPDF=Y")</f>
        <v>89.592399999999998</v>
      </c>
      <c r="X39" s="13">
        <f>_xll.BDH("ALNY US Equity","GROSS_MARGIN","FQ3 2024","FQ3 2024","Currency=USD","Period=FQ","BEST_FPERIOD_OVERRIDE=FQ","FILING_STATUS=MR","FA_ADJUSTED=Adjusted","Sort=A","Dates=H","DateFormat=P","Fill=—","Direction=H","UseDPDF=Y")</f>
        <v>82.850499999999997</v>
      </c>
      <c r="Y39" s="13">
        <f>_xll.BDH("ALNY US Equity","GROSS_MARGIN","FQ4 2024","FQ4 2024","Currency=USD","Period=FQ","BEST_FPERIOD_OVERRIDE=FQ","FILING_STATUS=MR","FA_ADJUSTED=Adjusted","Sort=A","Dates=H","DateFormat=P","Fill=—","Direction=H","UseDPDF=Y")</f>
        <v>82.666399999999996</v>
      </c>
      <c r="Z39" s="13"/>
      <c r="AA39" s="13"/>
    </row>
    <row r="40" spans="1:27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6" t="s">
        <v>154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5">
      <c r="A42" s="10" t="s">
        <v>130</v>
      </c>
      <c r="B42" s="10" t="s">
        <v>155</v>
      </c>
      <c r="C42" s="13">
        <f>_xll.BDH("ALNY US Equity","BEST_PTP","FQ2 2019","FQ2 2019","Currency=USD","Period=FQ","BEST_FPERIOD_OVERRIDE=FQ","FILING_STATUS=MR","Sort=A","Dates=H","DateFormat=P","Fill=—","Direction=H","UseDPDF=Y")</f>
        <v>-213.833</v>
      </c>
      <c r="D42" s="13">
        <f>_xll.BDH("ALNY US Equity","BEST_PTP","FQ3 2019","FQ3 2019","Currency=USD","Period=FQ","BEST_FPERIOD_OVERRIDE=FQ","FILING_STATUS=MR","Sort=A","Dates=H","DateFormat=P","Fill=—","Direction=H","UseDPDF=Y")</f>
        <v>-206.75</v>
      </c>
      <c r="E42" s="13">
        <f>_xll.BDH("ALNY US Equity","BEST_PTP","FQ4 2019","FQ4 2019","Currency=USD","Period=FQ","BEST_FPERIOD_OVERRIDE=FQ","FILING_STATUS=MR","Sort=A","Dates=H","DateFormat=P","Fill=—","Direction=H","UseDPDF=Y")</f>
        <v>-228.333</v>
      </c>
      <c r="F42" s="13">
        <f>_xll.BDH("ALNY US Equity","BEST_PTP","FQ1 2020","FQ1 2020","Currency=USD","Period=FQ","BEST_FPERIOD_OVERRIDE=FQ","FILING_STATUS=MR","Sort=A","Dates=H","DateFormat=P","Fill=—","Direction=H","UseDPDF=Y")</f>
        <v>-195.429</v>
      </c>
      <c r="G42" s="13">
        <f>_xll.BDH("ALNY US Equity","BEST_PTP","FQ2 2020","FQ2 2020","Currency=USD","Period=FQ","BEST_FPERIOD_OVERRIDE=FQ","FILING_STATUS=MR","Sort=A","Dates=H","DateFormat=P","Fill=—","Direction=H","UseDPDF=Y")</f>
        <v>-177.857</v>
      </c>
      <c r="H42" s="13">
        <f>_xll.BDH("ALNY US Equity","BEST_PTP","FQ3 2020","FQ3 2020","Currency=USD","Period=FQ","BEST_FPERIOD_OVERRIDE=FQ","FILING_STATUS=MR","Sort=A","Dates=H","DateFormat=P","Fill=—","Direction=H","UseDPDF=Y")</f>
        <v>-169.5</v>
      </c>
      <c r="I42" s="13">
        <f>_xll.BDH("ALNY US Equity","BEST_PTP","FQ4 2020","FQ4 2020","Currency=USD","Period=FQ","BEST_FPERIOD_OVERRIDE=FQ","FILING_STATUS=MR","Sort=A","Dates=H","DateFormat=P","Fill=—","Direction=H","UseDPDF=Y")</f>
        <v>-182</v>
      </c>
      <c r="J42" s="13">
        <f>_xll.BDH("ALNY US Equity","BEST_PTP","FQ1 2021","FQ1 2021","Currency=USD","Period=FQ","BEST_FPERIOD_OVERRIDE=FQ","FILING_STATUS=MR","Sort=A","Dates=H","DateFormat=P","Fill=—","Direction=H","UseDPDF=Y")</f>
        <v>-185.286</v>
      </c>
      <c r="K42" s="13">
        <f>_xll.BDH("ALNY US Equity","BEST_PTP","FQ2 2021","FQ2 2021","Currency=USD","Period=FQ","BEST_FPERIOD_OVERRIDE=FQ","FILING_STATUS=MR","Sort=A","Dates=H","DateFormat=P","Fill=—","Direction=H","UseDPDF=Y")</f>
        <v>-169.571</v>
      </c>
      <c r="L42" s="13">
        <f>_xll.BDH("ALNY US Equity","BEST_PTP","FQ3 2021","FQ3 2021","Currency=USD","Period=FQ","BEST_FPERIOD_OVERRIDE=FQ","FILING_STATUS=MR","Sort=A","Dates=H","DateFormat=P","Fill=—","Direction=H","UseDPDF=Y")</f>
        <v>-164</v>
      </c>
      <c r="M42" s="13">
        <f>_xll.BDH("ALNY US Equity","BEST_PTP","FQ4 2021","FQ4 2021","Currency=USD","Period=FQ","BEST_FPERIOD_OVERRIDE=FQ","FILING_STATUS=MR","Sort=A","Dates=H","DateFormat=P","Fill=—","Direction=H","UseDPDF=Y")</f>
        <v>-168.45500000000001</v>
      </c>
      <c r="N42" s="13">
        <f>_xll.BDH("ALNY US Equity","BEST_PTP","FQ1 2022","FQ1 2022","Currency=USD","Period=FQ","BEST_FPERIOD_OVERRIDE=FQ","FILING_STATUS=MR","Sort=A","Dates=H","DateFormat=P","Fill=—","Direction=H","UseDPDF=Y")</f>
        <v>-191.22200000000001</v>
      </c>
      <c r="O42" s="13">
        <f>_xll.BDH("ALNY US Equity","BEST_PTP","FQ2 2022","FQ2 2022","Currency=USD","Period=FQ","BEST_FPERIOD_OVERRIDE=FQ","FILING_STATUS=MR","Sort=A","Dates=H","DateFormat=P","Fill=—","Direction=H","UseDPDF=Y")</f>
        <v>-183.923</v>
      </c>
      <c r="P42" s="13">
        <f>_xll.BDH("ALNY US Equity","BEST_PTP","FQ3 2022","FQ3 2022","Currency=USD","Period=FQ","BEST_FPERIOD_OVERRIDE=FQ","FILING_STATUS=MR","Sort=A","Dates=H","DateFormat=P","Fill=—","Direction=H","UseDPDF=Y")</f>
        <v>-234.875</v>
      </c>
      <c r="Q42" s="13">
        <f>_xll.BDH("ALNY US Equity","BEST_PTP","FQ4 2022","FQ4 2022","Currency=USD","Period=FQ","BEST_FPERIOD_OVERRIDE=FQ","FILING_STATUS=MR","Sort=A","Dates=H","DateFormat=P","Fill=—","Direction=H","UseDPDF=Y")</f>
        <v>-243.333</v>
      </c>
      <c r="R42" s="13">
        <f>_xll.BDH("ALNY US Equity","BEST_PTP","FQ1 2023","FQ1 2023","Currency=USD","Period=FQ","BEST_FPERIOD_OVERRIDE=FQ","FILING_STATUS=MR","Sort=A","Dates=H","DateFormat=P","Fill=—","Direction=H","UseDPDF=Y")</f>
        <v>-174.5</v>
      </c>
      <c r="S42" s="13">
        <f>_xll.BDH("ALNY US Equity","BEST_PTP","FQ2 2023","FQ2 2023","Currency=USD","Period=FQ","BEST_FPERIOD_OVERRIDE=FQ","FILING_STATUS=MR","Sort=A","Dates=H","DateFormat=P","Fill=—","Direction=H","UseDPDF=Y")</f>
        <v>-129.53700000000001</v>
      </c>
      <c r="T42" s="13">
        <f>_xll.BDH("ALNY US Equity","BEST_PTP","FQ3 2023","FQ3 2023","Currency=USD","Period=FQ","BEST_FPERIOD_OVERRIDE=FQ","FILING_STATUS=MR","Sort=A","Dates=H","DateFormat=P","Fill=—","Direction=H","UseDPDF=Y")</f>
        <v>-195</v>
      </c>
      <c r="U42" s="13">
        <f>_xll.BDH("ALNY US Equity","BEST_PTP","FQ4 2023","FQ4 2023","Currency=USD","Period=FQ","BEST_FPERIOD_OVERRIDE=FQ","FILING_STATUS=MR","Sort=A","Dates=H","DateFormat=P","Fill=—","Direction=H","UseDPDF=Y")</f>
        <v>-135.53100000000001</v>
      </c>
      <c r="V42" s="13">
        <f>_xll.BDH("ALNY US Equity","BEST_PTP","FQ1 2024","FQ1 2024","Currency=USD","Period=FQ","BEST_FPERIOD_OVERRIDE=FQ","FILING_STATUS=MR","Sort=A","Dates=H","DateFormat=P","Fill=—","Direction=H","UseDPDF=Y")</f>
        <v>-139.97</v>
      </c>
      <c r="W42" s="13">
        <f>_xll.BDH("ALNY US Equity","BEST_PTP","FQ2 2024","FQ2 2024","Currency=USD","Period=FQ","BEST_FPERIOD_OVERRIDE=FQ","FILING_STATUS=MR","Sort=A","Dates=H","DateFormat=P","Fill=—","Direction=H","UseDPDF=Y")</f>
        <v>-123.652</v>
      </c>
      <c r="X42" s="13">
        <f>_xll.BDH("ALNY US Equity","BEST_PTP","FQ3 2024","FQ3 2024","Currency=USD","Period=FQ","BEST_FPERIOD_OVERRIDE=FQ","FILING_STATUS=MR","Sort=A","Dates=H","DateFormat=P","Fill=—","Direction=H","UseDPDF=Y")</f>
        <v>-113.15300000000001</v>
      </c>
      <c r="Y42" s="13">
        <f>_xll.BDH("ALNY US Equity","BEST_PTP","FQ4 2024","FQ4 2024","Currency=USD","Period=FQ","BEST_FPERIOD_OVERRIDE=FQ","FILING_STATUS=MR","Sort=A","Dates=H","DateFormat=P","Fill=—","Direction=H","UseDPDF=Y")</f>
        <v>-72.89</v>
      </c>
      <c r="Z42" s="13">
        <v>-99.003</v>
      </c>
      <c r="AA42" s="13">
        <v>-108.08499999999999</v>
      </c>
    </row>
    <row r="43" spans="1:27" x14ac:dyDescent="0.25">
      <c r="A43" s="10" t="s">
        <v>132</v>
      </c>
      <c r="B43" s="10" t="s">
        <v>156</v>
      </c>
      <c r="C43" s="13">
        <f>_xll.BDH("ALNY US Equity","IS_COMP_PTP_EX_STK_BASED_COMP","FQ2 2019","FQ2 2019","Currency=USD","Period=FQ","BEST_FPERIOD_OVERRIDE=FQ","FILING_STATUS=MR","SCALING_FORMAT=MLN","Sort=A","Dates=H","DateFormat=P","Fill=—","Direction=H","UseDPDF=Y")</f>
        <v>-218.52099999999999</v>
      </c>
      <c r="D43" s="13">
        <f>_xll.BDH("ALNY US Equity","IS_COMP_PTP_EX_STK_BASED_COMP","FQ3 2019","FQ3 2019","Currency=USD","Period=FQ","BEST_FPERIOD_OVERRIDE=FQ","FILING_STATUS=MR","SCALING_FORMAT=MLN","Sort=A","Dates=H","DateFormat=P","Fill=—","Direction=H","UseDPDF=Y")</f>
        <v>-208.929</v>
      </c>
      <c r="E43" s="13">
        <f>_xll.BDH("ALNY US Equity","IS_COMP_PTP_EX_STK_BASED_COMP","FQ4 2019","FQ4 2019","Currency=USD","Period=FQ","BEST_FPERIOD_OVERRIDE=FQ","FILING_STATUS=MR","SCALING_FORMAT=MLN","Sort=A","Dates=H","DateFormat=P","Fill=—","Direction=H","UseDPDF=Y")</f>
        <v>-276.58300000000003</v>
      </c>
      <c r="F43" s="13">
        <f>_xll.BDH("ALNY US Equity","IS_COMP_PTP_EX_STK_BASED_COMP","FQ1 2020","FQ1 2020","Currency=USD","Period=FQ","BEST_FPERIOD_OVERRIDE=FQ","FILING_STATUS=MR","SCALING_FORMAT=MLN","Sort=A","Dates=H","DateFormat=P","Fill=—","Direction=H","UseDPDF=Y")</f>
        <v>-181.64599999999999</v>
      </c>
      <c r="G43" s="13">
        <f>_xll.BDH("ALNY US Equity","IS_COMP_PTP_EX_STK_BASED_COMP","FQ2 2020","FQ2 2020","Currency=USD","Period=FQ","BEST_FPERIOD_OVERRIDE=FQ","FILING_STATUS=MR","SCALING_FORMAT=MLN","Sort=A","Dates=H","DateFormat=P","Fill=—","Direction=H","UseDPDF=Y")</f>
        <v>-177.90299999999999</v>
      </c>
      <c r="H43" s="13">
        <f>_xll.BDH("ALNY US Equity","IS_COMP_PTP_EX_STK_BASED_COMP","FQ3 2020","FQ3 2020","Currency=USD","Period=FQ","BEST_FPERIOD_OVERRIDE=FQ","FILING_STATUS=MR","SCALING_FORMAT=MLN","Sort=A","Dates=H","DateFormat=P","Fill=—","Direction=H","UseDPDF=Y")</f>
        <v>-252.452</v>
      </c>
      <c r="I43" s="13">
        <f>_xll.BDH("ALNY US Equity","IS_COMP_PTP_EX_STK_BASED_COMP","FQ4 2020","FQ4 2020","Currency=USD","Period=FQ","BEST_FPERIOD_OVERRIDE=FQ","FILING_STATUS=MR","SCALING_FORMAT=MLN","Sort=A","Dates=H","DateFormat=P","Fill=—","Direction=H","UseDPDF=Y")</f>
        <v>-243.59899999999999</v>
      </c>
      <c r="J43" s="13">
        <f>_xll.BDH("ALNY US Equity","IS_COMP_PTP_EX_STK_BASED_COMP","FQ1 2021","FQ1 2021","Currency=USD","Period=FQ","BEST_FPERIOD_OVERRIDE=FQ","FILING_STATUS=MR","SCALING_FORMAT=MLN","Sort=A","Dates=H","DateFormat=P","Fill=—","Direction=H","UseDPDF=Y")</f>
        <v>-199.27500000000001</v>
      </c>
      <c r="K43" s="13">
        <f>_xll.BDH("ALNY US Equity","IS_COMP_PTP_EX_STK_BASED_COMP","FQ2 2021","FQ2 2021","Currency=USD","Period=FQ","BEST_FPERIOD_OVERRIDE=FQ","FILING_STATUS=MR","SCALING_FORMAT=MLN","Sort=A","Dates=H","DateFormat=P","Fill=—","Direction=H","UseDPDF=Y")</f>
        <v>-188.33099999999999</v>
      </c>
      <c r="L43" s="13">
        <f>_xll.BDH("ALNY US Equity","IS_COMP_PTP_EX_STK_BASED_COMP","FQ3 2021","FQ3 2021","Currency=USD","Period=FQ","BEST_FPERIOD_OVERRIDE=FQ","FILING_STATUS=MR","SCALING_FORMAT=MLN","Sort=A","Dates=H","DateFormat=P","Fill=—","Direction=H","UseDPDF=Y")</f>
        <v>-204.23599999999999</v>
      </c>
      <c r="M43" s="13">
        <f>_xll.BDH("ALNY US Equity","IS_COMP_PTP_EX_STK_BASED_COMP","FQ4 2021","FQ4 2021","Currency=USD","Period=FQ","BEST_FPERIOD_OVERRIDE=FQ","FILING_STATUS=MR","SCALING_FORMAT=MLN","Sort=A","Dates=H","DateFormat=P","Fill=—","Direction=H","UseDPDF=Y")</f>
        <v>-260.30200000000002</v>
      </c>
      <c r="N43" s="13">
        <f>_xll.BDH("ALNY US Equity","IS_COMP_PTP_EX_STK_BASED_COMP","FQ1 2022","FQ1 2022","Currency=USD","Period=FQ","BEST_FPERIOD_OVERRIDE=FQ","FILING_STATUS=MR","SCALING_FORMAT=MLN","Sort=A","Dates=H","DateFormat=P","Fill=—","Direction=H","UseDPDF=Y")</f>
        <v>-239.35599999999999</v>
      </c>
      <c r="O43" s="13">
        <f>_xll.BDH("ALNY US Equity","IS_COMP_PTP_EX_STK_BASED_COMP","FQ2 2022","FQ2 2022","Currency=USD","Period=FQ","BEST_FPERIOD_OVERRIDE=FQ","FILING_STATUS=MR","SCALING_FORMAT=MLN","Sort=A","Dates=H","DateFormat=P","Fill=—","Direction=H","UseDPDF=Y")</f>
        <v>-274.673</v>
      </c>
      <c r="P43" s="13">
        <f>_xll.BDH("ALNY US Equity","IS_COMP_PTP_EX_STK_BASED_COMP","FQ3 2022","FQ3 2022","Currency=USD","Period=FQ","BEST_FPERIOD_OVERRIDE=FQ","FILING_STATUS=MR","SCALING_FORMAT=MLN","Sort=A","Dates=H","DateFormat=P","Fill=—","Direction=H","UseDPDF=Y")</f>
        <v>-405.94299999999998</v>
      </c>
      <c r="Q43" s="13">
        <f>_xll.BDH("ALNY US Equity","IS_COMP_PTP_EX_STK_BASED_COMP","FQ4 2022","FQ4 2022","Currency=USD","Period=FQ","BEST_FPERIOD_OVERRIDE=FQ","FILING_STATUS=MR","SCALING_FORMAT=MLN","Sort=A","Dates=H","DateFormat=P","Fill=—","Direction=H","UseDPDF=Y")</f>
        <v>-207.02099999999999</v>
      </c>
      <c r="R43" s="13">
        <f>_xll.BDH("ALNY US Equity","IS_COMP_PTP_EX_STK_BASED_COMP","FQ1 2023","FQ1 2023","Currency=USD","Period=FQ","BEST_FPERIOD_OVERRIDE=FQ","FILING_STATUS=MR","SCALING_FORMAT=MLN","Sort=A","Dates=H","DateFormat=P","Fill=—","Direction=H","UseDPDF=Y")</f>
        <v>-172.36199999999999</v>
      </c>
      <c r="S43" s="13">
        <f>_xll.BDH("ALNY US Equity","IS_COMP_PTP_EX_STK_BASED_COMP","FQ2 2023","FQ2 2023","Currency=USD","Period=FQ","BEST_FPERIOD_OVERRIDE=FQ","FILING_STATUS=MR","SCALING_FORMAT=MLN","Sort=A","Dates=H","DateFormat=P","Fill=—","Direction=H","UseDPDF=Y")</f>
        <v>-274.209</v>
      </c>
      <c r="T43" s="13">
        <f>_xll.BDH("ALNY US Equity","IS_COMP_PTP_EX_STK_BASED_COMP","FQ3 2023","FQ3 2023","Currency=USD","Period=FQ","BEST_FPERIOD_OVERRIDE=FQ","FILING_STATUS=MR","SCALING_FORMAT=MLN","Sort=A","Dates=H","DateFormat=P","Fill=—","Direction=H","UseDPDF=Y")</f>
        <v>150.74100000000001</v>
      </c>
      <c r="U43" s="13">
        <f>_xll.BDH("ALNY US Equity","IS_COMP_PTP_EX_STK_BASED_COMP","FQ4 2023","FQ4 2023","Currency=USD","Period=FQ","BEST_FPERIOD_OVERRIDE=FQ","FILING_STATUS=MR","SCALING_FORMAT=MLN","Sort=A","Dates=H","DateFormat=P","Fill=—","Direction=H","UseDPDF=Y")</f>
        <v>-137.68700000000001</v>
      </c>
      <c r="V43" s="13">
        <f>_xll.BDH("ALNY US Equity","IS_COMP_PTP_EX_STK_BASED_COMP","FQ1 2024","FQ1 2024","Currency=USD","Period=FQ","BEST_FPERIOD_OVERRIDE=FQ","FILING_STATUS=MR","SCALING_FORMAT=MLN","Sort=A","Dates=H","DateFormat=P","Fill=—","Direction=H","UseDPDF=Y")</f>
        <v>-63.587000000000003</v>
      </c>
      <c r="W43" s="13">
        <f>_xll.BDH("ALNY US Equity","IS_COMP_PTP_EX_STK_BASED_COMP","FQ2 2024","FQ2 2024","Currency=USD","Period=FQ","BEST_FPERIOD_OVERRIDE=FQ","FILING_STATUS=MR","SCALING_FORMAT=MLN","Sort=A","Dates=H","DateFormat=P","Fill=—","Direction=H","UseDPDF=Y")</f>
        <v>-11.167</v>
      </c>
      <c r="X43" s="13">
        <f>_xll.BDH("ALNY US Equity","IS_COMP_PTP_EX_STK_BASED_COMP","FQ3 2024","FQ3 2024","Currency=USD","Period=FQ","BEST_FPERIOD_OVERRIDE=FQ","FILING_STATUS=MR","SCALING_FORMAT=MLN","Sort=A","Dates=H","DateFormat=P","Fill=—","Direction=H","UseDPDF=Y")</f>
        <v>-108.663</v>
      </c>
      <c r="Y43" s="13">
        <f>_xll.BDH("ALNY US Equity","IS_COMP_PTP_EX_STK_BASED_COMP","FQ4 2024","FQ4 2024","Currency=USD","Period=FQ","BEST_FPERIOD_OVERRIDE=FQ","FILING_STATUS=MR","SCALING_FORMAT=MLN","Sort=A","Dates=H","DateFormat=P","Fill=—","Direction=H","UseDPDF=Y")</f>
        <v>-193.958</v>
      </c>
      <c r="Z43" s="13"/>
      <c r="AA43" s="13"/>
    </row>
    <row r="44" spans="1:27" x14ac:dyDescent="0.25">
      <c r="A44" s="11" t="s">
        <v>157</v>
      </c>
      <c r="B44" s="11"/>
      <c r="C44" s="25">
        <v>-2.1923650699377499</v>
      </c>
      <c r="D44" s="25">
        <v>-1.0539298669891199</v>
      </c>
      <c r="E44" s="25">
        <v>-21.131417710098901</v>
      </c>
      <c r="F44" s="25">
        <v>7.05268921193887</v>
      </c>
      <c r="G44" s="25">
        <v>-2.58634745891319E-2</v>
      </c>
      <c r="H44" s="25">
        <v>-48.9392330383481</v>
      </c>
      <c r="I44" s="25">
        <v>-33.845604395604397</v>
      </c>
      <c r="J44" s="25">
        <v>-7.5499498073248903</v>
      </c>
      <c r="K44" s="25">
        <v>-11.0632124596777</v>
      </c>
      <c r="L44" s="25">
        <v>-24.534146341463401</v>
      </c>
      <c r="M44" s="25">
        <v>-54.5231664242676</v>
      </c>
      <c r="N44" s="25">
        <v>-25.1717898568156</v>
      </c>
      <c r="O44" s="25">
        <v>-49.341300435508302</v>
      </c>
      <c r="P44" s="25">
        <v>-72.833634912187307</v>
      </c>
      <c r="Q44" s="25">
        <v>14.922760168164601</v>
      </c>
      <c r="R44" s="25">
        <v>1.22521489971347</v>
      </c>
      <c r="S44" s="25">
        <v>-111.68392042428</v>
      </c>
      <c r="T44" s="25" t="s">
        <v>141</v>
      </c>
      <c r="U44" s="25">
        <v>-1.59077996915835</v>
      </c>
      <c r="V44" s="25">
        <v>54.570979495606203</v>
      </c>
      <c r="W44" s="25">
        <v>90.969009801701503</v>
      </c>
      <c r="X44" s="25">
        <v>3.9680786192147002</v>
      </c>
      <c r="Y44" s="25">
        <v>-166.09685827959899</v>
      </c>
      <c r="Z44" s="25"/>
      <c r="AA44" s="25"/>
    </row>
    <row r="45" spans="1:27" x14ac:dyDescent="0.25">
      <c r="A45" s="10" t="s">
        <v>135</v>
      </c>
      <c r="B45" s="10" t="s">
        <v>158</v>
      </c>
      <c r="C45" s="13">
        <f>_xll.BDH("ALNY US Equity","PRETAX_INC","FQ2 2019","FQ2 2019","Currency=USD","Period=FQ","BEST_FPERIOD_OVERRIDE=FQ","FILING_STATUS=MR","SCALING_FORMAT=MLN","FA_ADJUSTED=GAAP","Sort=A","Dates=H","DateFormat=P","Fill=—","Direction=H","UseDPDF=Y")</f>
        <v>-218.52099999999999</v>
      </c>
      <c r="D45" s="13">
        <f>_xll.BDH("ALNY US Equity","PRETAX_INC","FQ3 2019","FQ3 2019","Currency=USD","Period=FQ","BEST_FPERIOD_OVERRIDE=FQ","FILING_STATUS=MR","SCALING_FORMAT=MLN","FA_ADJUSTED=GAAP","Sort=A","Dates=H","DateFormat=P","Fill=—","Direction=H","UseDPDF=Y")</f>
        <v>-208.929</v>
      </c>
      <c r="E45" s="13">
        <f>_xll.BDH("ALNY US Equity","PRETAX_INC","FQ4 2019","FQ4 2019","Currency=USD","Period=FQ","BEST_FPERIOD_OVERRIDE=FQ","FILING_STATUS=MR","SCALING_FORMAT=MLN","FA_ADJUSTED=GAAP","Sort=A","Dates=H","DateFormat=P","Fill=—","Direction=H","UseDPDF=Y")</f>
        <v>-276.58300000000003</v>
      </c>
      <c r="F45" s="13">
        <f>_xll.BDH("ALNY US Equity","PRETAX_INC","FQ1 2020","FQ1 2020","Currency=USD","Period=FQ","BEST_FPERIOD_OVERRIDE=FQ","FILING_STATUS=MR","SCALING_FORMAT=MLN","FA_ADJUSTED=GAAP","Sort=A","Dates=H","DateFormat=P","Fill=—","Direction=H","UseDPDF=Y")</f>
        <v>-181.64599999999999</v>
      </c>
      <c r="G45" s="13">
        <f>_xll.BDH("ALNY US Equity","PRETAX_INC","FQ2 2020","FQ2 2020","Currency=USD","Period=FQ","BEST_FPERIOD_OVERRIDE=FQ","FILING_STATUS=MR","SCALING_FORMAT=MLN","FA_ADJUSTED=GAAP","Sort=A","Dates=H","DateFormat=P","Fill=—","Direction=H","UseDPDF=Y")</f>
        <v>-177.90299999999999</v>
      </c>
      <c r="H45" s="13">
        <f>_xll.BDH("ALNY US Equity","PRETAX_INC","FQ3 2020","FQ3 2020","Currency=USD","Period=FQ","BEST_FPERIOD_OVERRIDE=FQ","FILING_STATUS=MR","SCALING_FORMAT=MLN","FA_ADJUSTED=GAAP","Sort=A","Dates=H","DateFormat=P","Fill=—","Direction=H","UseDPDF=Y")</f>
        <v>-252.452</v>
      </c>
      <c r="I45" s="13">
        <f>_xll.BDH("ALNY US Equity","PRETAX_INC","FQ4 2020","FQ4 2020","Currency=USD","Period=FQ","BEST_FPERIOD_OVERRIDE=FQ","FILING_STATUS=MR","SCALING_FORMAT=MLN","FA_ADJUSTED=GAAP","Sort=A","Dates=H","DateFormat=P","Fill=—","Direction=H","UseDPDF=Y")</f>
        <v>-243.59899999999999</v>
      </c>
      <c r="J45" s="13">
        <f>_xll.BDH("ALNY US Equity","PRETAX_INC","FQ1 2021","FQ1 2021","Currency=USD","Period=FQ","BEST_FPERIOD_OVERRIDE=FQ","FILING_STATUS=MR","SCALING_FORMAT=MLN","FA_ADJUSTED=GAAP","Sort=A","Dates=H","DateFormat=P","Fill=—","Direction=H","UseDPDF=Y")</f>
        <v>-199.27500000000001</v>
      </c>
      <c r="K45" s="13">
        <f>_xll.BDH("ALNY US Equity","PRETAX_INC","FQ2 2021","FQ2 2021","Currency=USD","Period=FQ","BEST_FPERIOD_OVERRIDE=FQ","FILING_STATUS=MR","SCALING_FORMAT=MLN","FA_ADJUSTED=GAAP","Sort=A","Dates=H","DateFormat=P","Fill=—","Direction=H","UseDPDF=Y")</f>
        <v>-188.33099999999999</v>
      </c>
      <c r="L45" s="13">
        <f>_xll.BDH("ALNY US Equity","PRETAX_INC","FQ3 2021","FQ3 2021","Currency=USD","Period=FQ","BEST_FPERIOD_OVERRIDE=FQ","FILING_STATUS=MR","SCALING_FORMAT=MLN","FA_ADJUSTED=GAAP","Sort=A","Dates=H","DateFormat=P","Fill=—","Direction=H","UseDPDF=Y")</f>
        <v>-204.23599999999999</v>
      </c>
      <c r="M45" s="13">
        <f>_xll.BDH("ALNY US Equity","PRETAX_INC","FQ4 2021","FQ4 2021","Currency=USD","Period=FQ","BEST_FPERIOD_OVERRIDE=FQ","FILING_STATUS=MR","SCALING_FORMAT=MLN","FA_ADJUSTED=GAAP","Sort=A","Dates=H","DateFormat=P","Fill=—","Direction=H","UseDPDF=Y")</f>
        <v>-260.30200000000002</v>
      </c>
      <c r="N45" s="13">
        <f>_xll.BDH("ALNY US Equity","PRETAX_INC","FQ1 2022","FQ1 2022","Currency=USD","Period=FQ","BEST_FPERIOD_OVERRIDE=FQ","FILING_STATUS=MR","SCALING_FORMAT=MLN","FA_ADJUSTED=GAAP","Sort=A","Dates=H","DateFormat=P","Fill=—","Direction=H","UseDPDF=Y")</f>
        <v>-239.35599999999999</v>
      </c>
      <c r="O45" s="13">
        <f>_xll.BDH("ALNY US Equity","PRETAX_INC","FQ2 2022","FQ2 2022","Currency=USD","Period=FQ","BEST_FPERIOD_OVERRIDE=FQ","FILING_STATUS=MR","SCALING_FORMAT=MLN","FA_ADJUSTED=GAAP","Sort=A","Dates=H","DateFormat=P","Fill=—","Direction=H","UseDPDF=Y")</f>
        <v>-274.673</v>
      </c>
      <c r="P45" s="13">
        <f>_xll.BDH("ALNY US Equity","PRETAX_INC","FQ3 2022","FQ3 2022","Currency=USD","Period=FQ","BEST_FPERIOD_OVERRIDE=FQ","FILING_STATUS=MR","SCALING_FORMAT=MLN","FA_ADJUSTED=GAAP","Sort=A","Dates=H","DateFormat=P","Fill=—","Direction=H","UseDPDF=Y")</f>
        <v>-405.94299999999998</v>
      </c>
      <c r="Q45" s="13">
        <f>_xll.BDH("ALNY US Equity","PRETAX_INC","FQ4 2022","FQ4 2022","Currency=USD","Period=FQ","BEST_FPERIOD_OVERRIDE=FQ","FILING_STATUS=MR","SCALING_FORMAT=MLN","FA_ADJUSTED=GAAP","Sort=A","Dates=H","DateFormat=P","Fill=—","Direction=H","UseDPDF=Y")</f>
        <v>-207.02099999999999</v>
      </c>
      <c r="R45" s="13">
        <f>_xll.BDH("ALNY US Equity","PRETAX_INC","FQ1 2023","FQ1 2023","Currency=USD","Period=FQ","BEST_FPERIOD_OVERRIDE=FQ","FILING_STATUS=MR","SCALING_FORMAT=MLN","FA_ADJUSTED=GAAP","Sort=A","Dates=H","DateFormat=P","Fill=—","Direction=H","UseDPDF=Y")</f>
        <v>-172.36199999999999</v>
      </c>
      <c r="S45" s="13">
        <f>_xll.BDH("ALNY US Equity","PRETAX_INC","FQ2 2023","FQ2 2023","Currency=USD","Period=FQ","BEST_FPERIOD_OVERRIDE=FQ","FILING_STATUS=MR","SCALING_FORMAT=MLN","FA_ADJUSTED=GAAP","Sort=A","Dates=H","DateFormat=P","Fill=—","Direction=H","UseDPDF=Y")</f>
        <v>-274.209</v>
      </c>
      <c r="T45" s="13">
        <f>_xll.BDH("ALNY US Equity","PRETAX_INC","FQ3 2023","FQ3 2023","Currency=USD","Period=FQ","BEST_FPERIOD_OVERRIDE=FQ","FILING_STATUS=MR","SCALING_FORMAT=MLN","FA_ADJUSTED=GAAP","Sort=A","Dates=H","DateFormat=P","Fill=—","Direction=H","UseDPDF=Y")</f>
        <v>150.74100000000001</v>
      </c>
      <c r="U45" s="13">
        <f>_xll.BDH("ALNY US Equity","PRETAX_INC","FQ4 2023","FQ4 2023","Currency=USD","Period=FQ","BEST_FPERIOD_OVERRIDE=FQ","FILING_STATUS=MR","SCALING_FORMAT=MLN","FA_ADJUSTED=GAAP","Sort=A","Dates=H","DateFormat=P","Fill=—","Direction=H","UseDPDF=Y")</f>
        <v>-137.68700000000001</v>
      </c>
      <c r="V45" s="13">
        <f>_xll.BDH("ALNY US Equity","PRETAX_INC","FQ1 2024","FQ1 2024","Currency=USD","Period=FQ","BEST_FPERIOD_OVERRIDE=FQ","FILING_STATUS=MR","SCALING_FORMAT=MLN","FA_ADJUSTED=GAAP","Sort=A","Dates=H","DateFormat=P","Fill=—","Direction=H","UseDPDF=Y")</f>
        <v>-63.587000000000003</v>
      </c>
      <c r="W45" s="13">
        <f>_xll.BDH("ALNY US Equity","PRETAX_INC","FQ2 2024","FQ2 2024","Currency=USD","Period=FQ","BEST_FPERIOD_OVERRIDE=FQ","FILING_STATUS=MR","SCALING_FORMAT=MLN","FA_ADJUSTED=GAAP","Sort=A","Dates=H","DateFormat=P","Fill=—","Direction=H","UseDPDF=Y")</f>
        <v>-11.167</v>
      </c>
      <c r="X45" s="13">
        <f>_xll.BDH("ALNY US Equity","PRETAX_INC","FQ3 2024","FQ3 2024","Currency=USD","Period=FQ","BEST_FPERIOD_OVERRIDE=FQ","FILING_STATUS=MR","SCALING_FORMAT=MLN","FA_ADJUSTED=GAAP","Sort=A","Dates=H","DateFormat=P","Fill=—","Direction=H","UseDPDF=Y")</f>
        <v>-108.663</v>
      </c>
      <c r="Y45" s="13">
        <f>_xll.BDH("ALNY US Equity","PRETAX_INC","FQ4 2024","FQ4 2024","Currency=USD","Period=FQ","BEST_FPERIOD_OVERRIDE=FQ","FILING_STATUS=MR","SCALING_FORMAT=MLN","FA_ADJUSTED=GAAP","Sort=A","Dates=H","DateFormat=P","Fill=—","Direction=H","UseDPDF=Y")</f>
        <v>-193.958</v>
      </c>
      <c r="Z45" s="13"/>
      <c r="AA45" s="13"/>
    </row>
    <row r="46" spans="1:27" x14ac:dyDescent="0.25">
      <c r="A46" s="10" t="s">
        <v>136</v>
      </c>
      <c r="B46" s="10" t="s">
        <v>158</v>
      </c>
      <c r="C46" s="13">
        <f>_xll.BDH("ALNY US Equity","PRETAX_INC","FQ2 2019","FQ2 2019","Currency=USD","Period=FQ","BEST_FPERIOD_OVERRIDE=FQ","FILING_STATUS=MR","SCALING_FORMAT=MLN","FA_ADJUSTED=Adjusted","Sort=A","Dates=H","DateFormat=P","Fill=—","Direction=H","UseDPDF=Y")</f>
        <v>-227.94300000000001</v>
      </c>
      <c r="D46" s="13">
        <f>_xll.BDH("ALNY US Equity","PRETAX_INC","FQ3 2019","FQ3 2019","Currency=USD","Period=FQ","BEST_FPERIOD_OVERRIDE=FQ","FILING_STATUS=MR","SCALING_FORMAT=MLN","FA_ADJUSTED=Adjusted","Sort=A","Dates=H","DateFormat=P","Fill=—","Direction=H","UseDPDF=Y")</f>
        <v>-208.929</v>
      </c>
      <c r="E46" s="13">
        <f>_xll.BDH("ALNY US Equity","PRETAX_INC","FQ4 2019","FQ4 2019","Currency=USD","Period=FQ","BEST_FPERIOD_OVERRIDE=FQ","FILING_STATUS=MR","SCALING_FORMAT=MLN","FA_ADJUSTED=Adjusted","Sort=A","Dates=H","DateFormat=P","Fill=—","Direction=H","UseDPDF=Y")</f>
        <v>-290.84500000000003</v>
      </c>
      <c r="F46" s="13">
        <f>_xll.BDH("ALNY US Equity","PRETAX_INC","FQ1 2020","FQ1 2020","Currency=USD","Period=FQ","BEST_FPERIOD_OVERRIDE=FQ","FILING_STATUS=MR","SCALING_FORMAT=MLN","FA_ADJUSTED=Adjusted","Sort=A","Dates=H","DateFormat=P","Fill=—","Direction=H","UseDPDF=Y")</f>
        <v>-205.75700000000001</v>
      </c>
      <c r="G46" s="13">
        <f>_xll.BDH("ALNY US Equity","PRETAX_INC","FQ2 2020","FQ2 2020","Currency=USD","Period=FQ","BEST_FPERIOD_OVERRIDE=FQ","FILING_STATUS=MR","SCALING_FORMAT=MLN","FA_ADJUSTED=Adjusted","Sort=A","Dates=H","DateFormat=P","Fill=—","Direction=H","UseDPDF=Y")</f>
        <v>-236.03110000000001</v>
      </c>
      <c r="H46" s="13">
        <f>_xll.BDH("ALNY US Equity","PRETAX_INC","FQ3 2020","FQ3 2020","Currency=USD","Period=FQ","BEST_FPERIOD_OVERRIDE=FQ","FILING_STATUS=MR","SCALING_FORMAT=MLN","FA_ADJUSTED=Adjusted","Sort=A","Dates=H","DateFormat=P","Fill=—","Direction=H","UseDPDF=Y")</f>
        <v>-220.02199999999999</v>
      </c>
      <c r="I46" s="13">
        <f>_xll.BDH("ALNY US Equity","PRETAX_INC","FQ4 2020","FQ4 2020","Currency=USD","Period=FQ","BEST_FPERIOD_OVERRIDE=FQ","FILING_STATUS=MR","SCALING_FORMAT=MLN","FA_ADJUSTED=Adjusted","Sort=A","Dates=H","DateFormat=P","Fill=—","Direction=H","UseDPDF=Y")</f>
        <v>-217.4539</v>
      </c>
      <c r="J46" s="13">
        <f>_xll.BDH("ALNY US Equity","PRETAX_INC","FQ1 2021","FQ1 2021","Currency=USD","Period=FQ","BEST_FPERIOD_OVERRIDE=FQ","FILING_STATUS=MR","SCALING_FORMAT=MLN","FA_ADJUSTED=Adjusted","Sort=A","Dates=H","DateFormat=P","Fill=—","Direction=H","UseDPDF=Y")</f>
        <v>-246.291</v>
      </c>
      <c r="K46" s="13">
        <f>_xll.BDH("ALNY US Equity","PRETAX_INC","FQ2 2021","FQ2 2021","Currency=USD","Period=FQ","BEST_FPERIOD_OVERRIDE=FQ","FILING_STATUS=MR","SCALING_FORMAT=MLN","FA_ADJUSTED=Adjusted","Sort=A","Dates=H","DateFormat=P","Fill=—","Direction=H","UseDPDF=Y")</f>
        <v>-182.7183</v>
      </c>
      <c r="L46" s="13">
        <f>_xll.BDH("ALNY US Equity","PRETAX_INC","FQ3 2021","FQ3 2021","Currency=USD","Period=FQ","BEST_FPERIOD_OVERRIDE=FQ","FILING_STATUS=MR","SCALING_FORMAT=MLN","FA_ADJUSTED=Adjusted","Sort=A","Dates=H","DateFormat=P","Fill=—","Direction=H","UseDPDF=Y")</f>
        <v>-212.92699999999999</v>
      </c>
      <c r="M46" s="13">
        <f>_xll.BDH("ALNY US Equity","PRETAX_INC","FQ4 2021","FQ4 2021","Currency=USD","Period=FQ","BEST_FPERIOD_OVERRIDE=FQ","FILING_STATUS=MR","SCALING_FORMAT=MLN","FA_ADJUSTED=Adjusted","Sort=A","Dates=H","DateFormat=P","Fill=—","Direction=H","UseDPDF=Y")</f>
        <v>-254.72399999999999</v>
      </c>
      <c r="N46" s="13">
        <f>_xll.BDH("ALNY US Equity","PRETAX_INC","FQ1 2022","FQ1 2022","Currency=USD","Period=FQ","BEST_FPERIOD_OVERRIDE=FQ","FILING_STATUS=MR","SCALING_FORMAT=MLN","FA_ADJUSTED=Adjusted","Sort=A","Dates=H","DateFormat=P","Fill=—","Direction=H","UseDPDF=Y")</f>
        <v>-208.19499999999999</v>
      </c>
      <c r="O46" s="13">
        <f>_xll.BDH("ALNY US Equity","PRETAX_INC","FQ2 2022","FQ2 2022","Currency=USD","Period=FQ","BEST_FPERIOD_OVERRIDE=FQ","FILING_STATUS=MR","SCALING_FORMAT=MLN","FA_ADJUSTED=Adjusted","Sort=A","Dates=H","DateFormat=P","Fill=—","Direction=H","UseDPDF=Y")</f>
        <v>-273.57600000000002</v>
      </c>
      <c r="P46" s="13">
        <f>_xll.BDH("ALNY US Equity","PRETAX_INC","FQ3 2022","FQ3 2022","Currency=USD","Period=FQ","BEST_FPERIOD_OVERRIDE=FQ","FILING_STATUS=MR","SCALING_FORMAT=MLN","FA_ADJUSTED=Adjusted","Sort=A","Dates=H","DateFormat=P","Fill=—","Direction=H","UseDPDF=Y")</f>
        <v>-321.50700000000001</v>
      </c>
      <c r="Q46" s="13">
        <f>_xll.BDH("ALNY US Equity","PRETAX_INC","FQ4 2022","FQ4 2022","Currency=USD","Period=FQ","BEST_FPERIOD_OVERRIDE=FQ","FILING_STATUS=MR","SCALING_FORMAT=MLN","FA_ADJUSTED=Adjusted","Sort=A","Dates=H","DateFormat=P","Fill=—","Direction=H","UseDPDF=Y")</f>
        <v>-213.81700000000001</v>
      </c>
      <c r="R46" s="13">
        <f>_xll.BDH("ALNY US Equity","PRETAX_INC","FQ1 2023","FQ1 2023","Currency=USD","Period=FQ","BEST_FPERIOD_OVERRIDE=FQ","FILING_STATUS=MR","SCALING_FORMAT=MLN","FA_ADJUSTED=Adjusted","Sort=A","Dates=H","DateFormat=P","Fill=—","Direction=H","UseDPDF=Y")</f>
        <v>-170.095</v>
      </c>
      <c r="S46" s="13">
        <f>_xll.BDH("ALNY US Equity","PRETAX_INC","FQ2 2023","FQ2 2023","Currency=USD","Period=FQ","BEST_FPERIOD_OVERRIDE=FQ","FILING_STATUS=MR","SCALING_FORMAT=MLN","FA_ADJUSTED=Adjusted","Sort=A","Dates=H","DateFormat=P","Fill=—","Direction=H","UseDPDF=Y")</f>
        <v>-275.60899999999998</v>
      </c>
      <c r="T46" s="13">
        <f>_xll.BDH("ALNY US Equity","PRETAX_INC","FQ3 2023","FQ3 2023","Currency=USD","Period=FQ","BEST_FPERIOD_OVERRIDE=FQ","FILING_STATUS=MR","SCALING_FORMAT=MLN","FA_ADJUSTED=Adjusted","Sort=A","Dates=H","DateFormat=P","Fill=—","Direction=H","UseDPDF=Y")</f>
        <v>167.58500000000001</v>
      </c>
      <c r="U46" s="13">
        <f>_xll.BDH("ALNY US Equity","PRETAX_INC","FQ4 2023","FQ4 2023","Currency=USD","Period=FQ","BEST_FPERIOD_OVERRIDE=FQ","FILING_STATUS=MR","SCALING_FORMAT=MLN","FA_ADJUSTED=Adjusted","Sort=A","Dates=H","DateFormat=P","Fill=—","Direction=H","UseDPDF=Y")</f>
        <v>-138.45400000000001</v>
      </c>
      <c r="V46" s="13">
        <f>_xll.BDH("ALNY US Equity","PRETAX_INC","FQ1 2024","FQ1 2024","Currency=USD","Period=FQ","BEST_FPERIOD_OVERRIDE=FQ","FILING_STATUS=MR","SCALING_FORMAT=MLN","FA_ADJUSTED=Adjusted","Sort=A","Dates=H","DateFormat=P","Fill=—","Direction=H","UseDPDF=Y")</f>
        <v>-63.664999999999999</v>
      </c>
      <c r="W46" s="13">
        <f>_xll.BDH("ALNY US Equity","PRETAX_INC","FQ2 2024","FQ2 2024","Currency=USD","Period=FQ","BEST_FPERIOD_OVERRIDE=FQ","FILING_STATUS=MR","SCALING_FORMAT=MLN","FA_ADJUSTED=Adjusted","Sort=A","Dates=H","DateFormat=P","Fill=—","Direction=H","UseDPDF=Y")</f>
        <v>-9.8000000000000007</v>
      </c>
      <c r="X46" s="13">
        <f>_xll.BDH("ALNY US Equity","PRETAX_INC","FQ3 2024","FQ3 2024","Currency=USD","Period=FQ","BEST_FPERIOD_OVERRIDE=FQ","FILING_STATUS=MR","SCALING_FORMAT=MLN","FA_ADJUSTED=Adjusted","Sort=A","Dates=H","DateFormat=P","Fill=—","Direction=H","UseDPDF=Y")</f>
        <v>-107.096</v>
      </c>
      <c r="Y46" s="13">
        <f>_xll.BDH("ALNY US Equity","PRETAX_INC","FQ4 2024","FQ4 2024","Currency=USD","Period=FQ","BEST_FPERIOD_OVERRIDE=FQ","FILING_STATUS=MR","SCALING_FORMAT=MLN","FA_ADJUSTED=Adjusted","Sort=A","Dates=H","DateFormat=P","Fill=—","Direction=H","UseDPDF=Y")</f>
        <v>-193.792</v>
      </c>
      <c r="Z46" s="13"/>
      <c r="AA46" s="13"/>
    </row>
    <row r="47" spans="1:27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6" t="s">
        <v>159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x14ac:dyDescent="0.25">
      <c r="A49" s="10" t="s">
        <v>130</v>
      </c>
      <c r="B49" s="10" t="s">
        <v>160</v>
      </c>
      <c r="C49" s="13">
        <f>_xll.BDH("ALNY US Equity","BEST_NET_GAAP","FQ2 2019","FQ2 2019","Currency=USD","Period=FQ","BEST_FPERIOD_OVERRIDE=FQ","FILING_STATUS=MR","Sort=A","Dates=H","DateFormat=P","Fill=—","Direction=H","UseDPDF=Y")</f>
        <v>-237</v>
      </c>
      <c r="D49" s="13">
        <f>_xll.BDH("ALNY US Equity","BEST_NET_GAAP","FQ3 2019","FQ3 2019","Currency=USD","Period=FQ","BEST_FPERIOD_OVERRIDE=FQ","FILING_STATUS=MR","Sort=A","Dates=H","DateFormat=P","Fill=—","Direction=H","UseDPDF=Y")</f>
        <v>-234</v>
      </c>
      <c r="E49" s="13">
        <f>_xll.BDH("ALNY US Equity","BEST_NET_GAAP","FQ4 2019","FQ4 2019","Currency=USD","Period=FQ","BEST_FPERIOD_OVERRIDE=FQ","FILING_STATUS=MR","Sort=A","Dates=H","DateFormat=P","Fill=—","Direction=H","UseDPDF=Y")</f>
        <v>-250.09100000000001</v>
      </c>
      <c r="F49" s="13">
        <f>_xll.BDH("ALNY US Equity","BEST_NET_GAAP","FQ1 2020","FQ1 2020","Currency=USD","Period=FQ","BEST_FPERIOD_OVERRIDE=FQ","FILING_STATUS=MR","Sort=A","Dates=H","DateFormat=P","Fill=—","Direction=H","UseDPDF=Y")</f>
        <v>-210.88900000000001</v>
      </c>
      <c r="G49" s="13">
        <f>_xll.BDH("ALNY US Equity","BEST_NET_GAAP","FQ2 2020","FQ2 2020","Currency=USD","Period=FQ","BEST_FPERIOD_OVERRIDE=FQ","FILING_STATUS=MR","Sort=A","Dates=H","DateFormat=P","Fill=—","Direction=H","UseDPDF=Y")</f>
        <v>-203.875</v>
      </c>
      <c r="H49" s="13">
        <f>_xll.BDH("ALNY US Equity","BEST_NET_GAAP","FQ3 2020","FQ3 2020","Currency=USD","Period=FQ","BEST_FPERIOD_OVERRIDE=FQ","FILING_STATUS=MR","Sort=A","Dates=H","DateFormat=P","Fill=—","Direction=H","UseDPDF=Y")</f>
        <v>-183.143</v>
      </c>
      <c r="I49" s="13">
        <f>_xll.BDH("ALNY US Equity","BEST_NET_GAAP","FQ4 2020","FQ4 2020","Currency=USD","Period=FQ","BEST_FPERIOD_OVERRIDE=FQ","FILING_STATUS=MR","Sort=A","Dates=H","DateFormat=P","Fill=—","Direction=H","UseDPDF=Y")</f>
        <v>-198.93299999999999</v>
      </c>
      <c r="J49" s="13">
        <f>_xll.BDH("ALNY US Equity","BEST_NET_GAAP","FQ1 2021","FQ1 2021","Currency=USD","Period=FQ","BEST_FPERIOD_OVERRIDE=FQ","FILING_STATUS=MR","Sort=A","Dates=H","DateFormat=P","Fill=—","Direction=H","UseDPDF=Y")</f>
        <v>-204.61500000000001</v>
      </c>
      <c r="K49" s="13">
        <f>_xll.BDH("ALNY US Equity","BEST_NET_GAAP","FQ2 2021","FQ2 2021","Currency=USD","Period=FQ","BEST_FPERIOD_OVERRIDE=FQ","FILING_STATUS=MR","Sort=A","Dates=H","DateFormat=P","Fill=—","Direction=H","UseDPDF=Y")</f>
        <v>-192.571</v>
      </c>
      <c r="L49" s="13">
        <f>_xll.BDH("ALNY US Equity","BEST_NET_GAAP","FQ3 2021","FQ3 2021","Currency=USD","Period=FQ","BEST_FPERIOD_OVERRIDE=FQ","FILING_STATUS=MR","Sort=A","Dates=H","DateFormat=P","Fill=—","Direction=H","UseDPDF=Y")</f>
        <v>-182.154</v>
      </c>
      <c r="M49" s="13">
        <f>_xll.BDH("ALNY US Equity","BEST_NET_GAAP","FQ4 2021","FQ4 2021","Currency=USD","Period=FQ","BEST_FPERIOD_OVERRIDE=FQ","FILING_STATUS=MR","Sort=A","Dates=H","DateFormat=P","Fill=—","Direction=H","UseDPDF=Y")</f>
        <v>-176.846</v>
      </c>
      <c r="N49" s="13">
        <f>_xll.BDH("ALNY US Equity","BEST_NET_GAAP","FQ1 2022","FQ1 2022","Currency=USD","Period=FQ","BEST_FPERIOD_OVERRIDE=FQ","FILING_STATUS=MR","Sort=A","Dates=H","DateFormat=P","Fill=—","Direction=H","UseDPDF=Y")</f>
        <v>-229.083</v>
      </c>
      <c r="O49" s="13">
        <f>_xll.BDH("ALNY US Equity","BEST_NET_GAAP","FQ2 2022","FQ2 2022","Currency=USD","Period=FQ","BEST_FPERIOD_OVERRIDE=FQ","FILING_STATUS=MR","Sort=A","Dates=H","DateFormat=P","Fill=—","Direction=H","UseDPDF=Y")</f>
        <v>-202.93700000000001</v>
      </c>
      <c r="P49" s="13">
        <f>_xll.BDH("ALNY US Equity","BEST_NET_GAAP","FQ3 2022","FQ3 2022","Currency=USD","Period=FQ","BEST_FPERIOD_OVERRIDE=FQ","FILING_STATUS=MR","Sort=A","Dates=H","DateFormat=P","Fill=—","Direction=H","UseDPDF=Y")</f>
        <v>-220.6</v>
      </c>
      <c r="Q49" s="13">
        <f>_xll.BDH("ALNY US Equity","BEST_NET_GAAP","FQ4 2022","FQ4 2022","Currency=USD","Period=FQ","BEST_FPERIOD_OVERRIDE=FQ","FILING_STATUS=MR","Sort=A","Dates=H","DateFormat=P","Fill=—","Direction=H","UseDPDF=Y")</f>
        <v>-235.905</v>
      </c>
      <c r="R49" s="13">
        <f>_xll.BDH("ALNY US Equity","BEST_NET_GAAP","FQ1 2023","FQ1 2023","Currency=USD","Period=FQ","BEST_FPERIOD_OVERRIDE=FQ","FILING_STATUS=MR","Sort=A","Dates=H","DateFormat=P","Fill=—","Direction=H","UseDPDF=Y")</f>
        <v>-216.92500000000001</v>
      </c>
      <c r="S49" s="13">
        <f>_xll.BDH("ALNY US Equity","BEST_NET_GAAP","FQ2 2023","FQ2 2023","Currency=USD","Period=FQ","BEST_FPERIOD_OVERRIDE=FQ","FILING_STATUS=MR","Sort=A","Dates=H","DateFormat=P","Fill=—","Direction=H","UseDPDF=Y")</f>
        <v>-192.43199999999999</v>
      </c>
      <c r="T49" s="13">
        <f>_xll.BDH("ALNY US Equity","BEST_NET_GAAP","FQ3 2023","FQ3 2023","Currency=USD","Period=FQ","BEST_FPERIOD_OVERRIDE=FQ","FILING_STATUS=MR","Sort=A","Dates=H","DateFormat=P","Fill=—","Direction=H","UseDPDF=Y")</f>
        <v>-186.52600000000001</v>
      </c>
      <c r="U49" s="13">
        <f>_xll.BDH("ALNY US Equity","BEST_NET_GAAP","FQ4 2023","FQ4 2023","Currency=USD","Period=FQ","BEST_FPERIOD_OVERRIDE=FQ","FILING_STATUS=MR","Sort=A","Dates=H","DateFormat=P","Fill=—","Direction=H","UseDPDF=Y")</f>
        <v>-168.28899999999999</v>
      </c>
      <c r="V49" s="13">
        <f>_xll.BDH("ALNY US Equity","BEST_NET_GAAP","FQ1 2024","FQ1 2024","Currency=USD","Period=FQ","BEST_FPERIOD_OVERRIDE=FQ","FILING_STATUS=MR","Sort=A","Dates=H","DateFormat=P","Fill=—","Direction=H","UseDPDF=Y")</f>
        <v>-146.815</v>
      </c>
      <c r="W49" s="13">
        <f>_xll.BDH("ALNY US Equity","BEST_NET_GAAP","FQ2 2024","FQ2 2024","Currency=USD","Period=FQ","BEST_FPERIOD_OVERRIDE=FQ","FILING_STATUS=MR","Sort=A","Dates=H","DateFormat=P","Fill=—","Direction=H","UseDPDF=Y")</f>
        <v>-130.48599999999999</v>
      </c>
      <c r="X49" s="13">
        <f>_xll.BDH("ALNY US Equity","BEST_NET_GAAP","FQ3 2024","FQ3 2024","Currency=USD","Period=FQ","BEST_FPERIOD_OVERRIDE=FQ","FILING_STATUS=MR","Sort=A","Dates=H","DateFormat=P","Fill=—","Direction=H","UseDPDF=Y")</f>
        <v>-115.322</v>
      </c>
      <c r="Y49" s="13">
        <f>_xll.BDH("ALNY US Equity","BEST_NET_GAAP","FQ4 2024","FQ4 2024","Currency=USD","Period=FQ","BEST_FPERIOD_OVERRIDE=FQ","FILING_STATUS=MR","Sort=A","Dates=H","DateFormat=P","Fill=—","Direction=H","UseDPDF=Y")</f>
        <v>-74.340999999999994</v>
      </c>
      <c r="Z49" s="13">
        <v>-123.455</v>
      </c>
      <c r="AA49" s="13">
        <v>-122.946</v>
      </c>
    </row>
    <row r="50" spans="1:27" x14ac:dyDescent="0.25">
      <c r="A50" s="10" t="s">
        <v>132</v>
      </c>
      <c r="B50" s="10" t="s">
        <v>161</v>
      </c>
      <c r="C50" s="13">
        <f>_xll.BDH("ALNY US Equity","IS_COMP_NET_INCOME_GAAP","FQ2 2019","FQ2 2019","Currency=USD","Period=FQ","BEST_FPERIOD_OVERRIDE=FQ","FILING_STATUS=MR","SCALING_FORMAT=MLN","Sort=A","Dates=H","DateFormat=P","Fill=—","Direction=H","UseDPDF=Y")</f>
        <v>-219.48099999999999</v>
      </c>
      <c r="D50" s="13">
        <f>_xll.BDH("ALNY US Equity","IS_COMP_NET_INCOME_GAAP","FQ3 2019","FQ3 2019","Currency=USD","Period=FQ","BEST_FPERIOD_OVERRIDE=FQ","FILING_STATUS=MR","SCALING_FORMAT=MLN","Sort=A","Dates=H","DateFormat=P","Fill=—","Direction=H","UseDPDF=Y")</f>
        <v>-208.535</v>
      </c>
      <c r="E50" s="13">
        <f>_xll.BDH("ALNY US Equity","IS_COMP_NET_INCOME_GAAP","FQ4 2019","FQ4 2019","Currency=USD","Period=FQ","BEST_FPERIOD_OVERRIDE=FQ","FILING_STATUS=MR","SCALING_FORMAT=MLN","Sort=A","Dates=H","DateFormat=P","Fill=—","Direction=H","UseDPDF=Y")</f>
        <v>-276.185</v>
      </c>
      <c r="F50" s="13">
        <f>_xll.BDH("ALNY US Equity","IS_COMP_NET_INCOME_GAAP","FQ1 2020","FQ1 2020","Currency=USD","Period=FQ","BEST_FPERIOD_OVERRIDE=FQ","FILING_STATUS=MR","SCALING_FORMAT=MLN","Sort=A","Dates=H","DateFormat=P","Fill=—","Direction=H","UseDPDF=Y")</f>
        <v>-182.221</v>
      </c>
      <c r="G50" s="13">
        <f>_xll.BDH("ALNY US Equity","IS_COMP_NET_INCOME_GAAP","FQ2 2020","FQ2 2020","Currency=USD","Period=FQ","BEST_FPERIOD_OVERRIDE=FQ","FILING_STATUS=MR","SCALING_FORMAT=MLN","Sort=A","Dates=H","DateFormat=P","Fill=—","Direction=H","UseDPDF=Y")</f>
        <v>-179.22900000000001</v>
      </c>
      <c r="H50" s="13">
        <f>_xll.BDH("ALNY US Equity","IS_COMP_NET_INCOME_GAAP","FQ3 2020","FQ3 2020","Currency=USD","Period=FQ","BEST_FPERIOD_OVERRIDE=FQ","FILING_STATUS=MR","SCALING_FORMAT=MLN","Sort=A","Dates=H","DateFormat=P","Fill=—","Direction=H","UseDPDF=Y")</f>
        <v>-253.291</v>
      </c>
      <c r="I50" s="13">
        <f>_xll.BDH("ALNY US Equity","IS_COMP_NET_INCOME_GAAP","FQ4 2020","FQ4 2020","Currency=USD","Period=FQ","BEST_FPERIOD_OVERRIDE=FQ","FILING_STATUS=MR","SCALING_FORMAT=MLN","Sort=A","Dates=H","DateFormat=P","Fill=—","Direction=H","UseDPDF=Y")</f>
        <v>-243.54</v>
      </c>
      <c r="J50" s="13">
        <f>_xll.BDH("ALNY US Equity","IS_COMP_NET_INCOME_GAAP","FQ1 2021","FQ1 2021","Currency=USD","Period=FQ","BEST_FPERIOD_OVERRIDE=FQ","FILING_STATUS=MR","SCALING_FORMAT=MLN","Sort=A","Dates=H","DateFormat=P","Fill=—","Direction=H","UseDPDF=Y")</f>
        <v>-200.291</v>
      </c>
      <c r="K50" s="13">
        <f>_xll.BDH("ALNY US Equity","IS_COMP_NET_INCOME_GAAP","FQ2 2021","FQ2 2021","Currency=USD","Period=FQ","BEST_FPERIOD_OVERRIDE=FQ","FILING_STATUS=MR","SCALING_FORMAT=MLN","Sort=A","Dates=H","DateFormat=P","Fill=—","Direction=H","UseDPDF=Y")</f>
        <v>-189.559</v>
      </c>
      <c r="L50" s="13">
        <f>_xll.BDH("ALNY US Equity","IS_COMP_NET_INCOME_GAAP","FQ3 2021","FQ3 2021","Currency=USD","Period=FQ","BEST_FPERIOD_OVERRIDE=FQ","FILING_STATUS=MR","SCALING_FORMAT=MLN","Sort=A","Dates=H","DateFormat=P","Fill=—","Direction=H","UseDPDF=Y")</f>
        <v>-204.51400000000001</v>
      </c>
      <c r="M50" s="13">
        <f>_xll.BDH("ALNY US Equity","IS_COMP_NET_INCOME_GAAP","FQ4 2021","FQ4 2021","Currency=USD","Period=FQ","BEST_FPERIOD_OVERRIDE=FQ","FILING_STATUS=MR","SCALING_FORMAT=MLN","Sort=A","Dates=H","DateFormat=P","Fill=—","Direction=H","UseDPDF=Y")</f>
        <v>-258.45999999999998</v>
      </c>
      <c r="N50" s="13">
        <f>_xll.BDH("ALNY US Equity","IS_COMP_NET_INCOME_GAAP","FQ1 2022","FQ1 2022","Currency=USD","Period=FQ","BEST_FPERIOD_OVERRIDE=FQ","FILING_STATUS=MR","SCALING_FORMAT=MLN","Sort=A","Dates=H","DateFormat=P","Fill=—","Direction=H","UseDPDF=Y")</f>
        <v>-240.34100000000001</v>
      </c>
      <c r="O50" s="13">
        <f>_xll.BDH("ALNY US Equity","IS_COMP_NET_INCOME_GAAP","FQ2 2022","FQ2 2022","Currency=USD","Period=FQ","BEST_FPERIOD_OVERRIDE=FQ","FILING_STATUS=MR","SCALING_FORMAT=MLN","Sort=A","Dates=H","DateFormat=P","Fill=—","Direction=H","UseDPDF=Y")</f>
        <v>-277.40199999999999</v>
      </c>
      <c r="P50" s="13">
        <f>_xll.BDH("ALNY US Equity","IS_COMP_NET_INCOME_GAAP","FQ3 2022","FQ3 2022","Currency=USD","Period=FQ","BEST_FPERIOD_OVERRIDE=FQ","FILING_STATUS=MR","SCALING_FORMAT=MLN","Sort=A","Dates=H","DateFormat=P","Fill=—","Direction=H","UseDPDF=Y")</f>
        <v>-405.92</v>
      </c>
      <c r="Q50" s="13">
        <f>_xll.BDH("ALNY US Equity","IS_COMP_NET_INCOME_GAAP","FQ4 2022","FQ4 2022","Currency=USD","Period=FQ","BEST_FPERIOD_OVERRIDE=FQ","FILING_STATUS=MR","SCALING_FORMAT=MLN","Sort=A","Dates=H","DateFormat=P","Fill=—","Direction=H","UseDPDF=Y")</f>
        <v>-207.49299999999999</v>
      </c>
      <c r="R50" s="13">
        <f>_xll.BDH("ALNY US Equity","IS_COMP_NET_INCOME_GAAP","FQ1 2023","FQ1 2023","Currency=USD","Period=FQ","BEST_FPERIOD_OVERRIDE=FQ","FILING_STATUS=MR","SCALING_FORMAT=MLN","Sort=A","Dates=H","DateFormat=P","Fill=—","Direction=H","UseDPDF=Y")</f>
        <v>-174.101</v>
      </c>
      <c r="S50" s="13">
        <f>_xll.BDH("ALNY US Equity","IS_COMP_NET_INCOME_GAAP","FQ2 2023","FQ2 2023","Currency=USD","Period=FQ","BEST_FPERIOD_OVERRIDE=FQ","FILING_STATUS=MR","SCALING_FORMAT=MLN","Sort=A","Dates=H","DateFormat=P","Fill=—","Direction=H","UseDPDF=Y")</f>
        <v>-276.024</v>
      </c>
      <c r="T50" s="13">
        <f>_xll.BDH("ALNY US Equity","IS_COMP_NET_INCOME_GAAP","FQ3 2023","FQ3 2023","Currency=USD","Period=FQ","BEST_FPERIOD_OVERRIDE=FQ","FILING_STATUS=MR","SCALING_FORMAT=MLN","Sort=A","Dates=H","DateFormat=P","Fill=—","Direction=H","UseDPDF=Y")</f>
        <v>147.75299999999999</v>
      </c>
      <c r="U50" s="13">
        <f>_xll.BDH("ALNY US Equity","IS_COMP_NET_INCOME_GAAP","FQ4 2023","FQ4 2023","Currency=USD","Period=FQ","BEST_FPERIOD_OVERRIDE=FQ","FILING_STATUS=MR","SCALING_FORMAT=MLN","Sort=A","Dates=H","DateFormat=P","Fill=—","Direction=H","UseDPDF=Y")</f>
        <v>-137.87</v>
      </c>
      <c r="V50" s="13">
        <f>_xll.BDH("ALNY US Equity","IS_COMP_NET_INCOME_GAAP","FQ1 2024","FQ1 2024","Currency=USD","Period=FQ","BEST_FPERIOD_OVERRIDE=FQ","FILING_STATUS=MR","SCALING_FORMAT=MLN","Sort=A","Dates=H","DateFormat=P","Fill=—","Direction=H","UseDPDF=Y")</f>
        <v>-65.935000000000002</v>
      </c>
      <c r="W50" s="13">
        <f>_xll.BDH("ALNY US Equity","IS_COMP_NET_INCOME_GAAP","FQ2 2024","FQ2 2024","Currency=USD","Period=FQ","BEST_FPERIOD_OVERRIDE=FQ","FILING_STATUS=MR","SCALING_FORMAT=MLN","Sort=A","Dates=H","DateFormat=P","Fill=—","Direction=H","UseDPDF=Y")</f>
        <v>-16.888999999999999</v>
      </c>
      <c r="X50" s="13">
        <f>_xll.BDH("ALNY US Equity","IS_COMP_NET_INCOME_GAAP","FQ3 2024","FQ3 2024","Currency=USD","Period=FQ","BEST_FPERIOD_OVERRIDE=FQ","FILING_STATUS=MR","SCALING_FORMAT=MLN","Sort=A","Dates=H","DateFormat=P","Fill=—","Direction=H","UseDPDF=Y")</f>
        <v>-111.57</v>
      </c>
      <c r="Y50" s="13">
        <f>_xll.BDH("ALNY US Equity","IS_COMP_NET_INCOME_GAAP","FQ4 2024","FQ4 2024","Currency=USD","Period=FQ","BEST_FPERIOD_OVERRIDE=FQ","FILING_STATUS=MR","SCALING_FORMAT=MLN","Sort=A","Dates=H","DateFormat=P","Fill=—","Direction=H","UseDPDF=Y")</f>
        <v>-83.763000000000005</v>
      </c>
      <c r="Z50" s="13"/>
      <c r="AA50" s="13"/>
    </row>
    <row r="51" spans="1:27" x14ac:dyDescent="0.25">
      <c r="A51" s="11" t="s">
        <v>162</v>
      </c>
      <c r="B51" s="11"/>
      <c r="C51" s="25">
        <v>7.3919831223628698</v>
      </c>
      <c r="D51" s="25">
        <v>10.8824786324786</v>
      </c>
      <c r="E51" s="25">
        <v>-10.433802096037001</v>
      </c>
      <c r="F51" s="25">
        <v>13.5938811412639</v>
      </c>
      <c r="G51" s="25">
        <v>12.0887798896383</v>
      </c>
      <c r="H51" s="25">
        <v>-38.302310216606699</v>
      </c>
      <c r="I51" s="25">
        <v>-22.4231273845968</v>
      </c>
      <c r="J51" s="25">
        <v>2.1132370549568802</v>
      </c>
      <c r="K51" s="25">
        <v>1.5640984364208499</v>
      </c>
      <c r="L51" s="25">
        <v>-12.275327470162599</v>
      </c>
      <c r="M51" s="25">
        <v>-46.1497574160569</v>
      </c>
      <c r="N51" s="25">
        <v>-4.9143760121877298</v>
      </c>
      <c r="O51" s="25">
        <v>-36.6936536954818</v>
      </c>
      <c r="P51" s="25">
        <v>-84.007252946509496</v>
      </c>
      <c r="Q51" s="25">
        <v>12.0438312032386</v>
      </c>
      <c r="R51" s="25">
        <v>19.7413852714072</v>
      </c>
      <c r="S51" s="25">
        <v>-43.439760538787702</v>
      </c>
      <c r="T51" s="25" t="s">
        <v>141</v>
      </c>
      <c r="U51" s="25">
        <v>18.075453535287501</v>
      </c>
      <c r="V51" s="25">
        <v>55.089738786908697</v>
      </c>
      <c r="W51" s="25">
        <v>87.056849010621804</v>
      </c>
      <c r="X51" s="25">
        <v>3.2534988987357201</v>
      </c>
      <c r="Y51" s="25">
        <v>-12.6740291360084</v>
      </c>
      <c r="Z51" s="25"/>
      <c r="AA51" s="25"/>
    </row>
    <row r="52" spans="1:27" x14ac:dyDescent="0.25">
      <c r="A52" s="10" t="s">
        <v>135</v>
      </c>
      <c r="B52" s="10" t="s">
        <v>80</v>
      </c>
      <c r="C52" s="13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D52" s="13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E52" s="13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F52" s="13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G52" s="13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H52" s="13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I52" s="13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J52" s="13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K52" s="13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L52" s="13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M52" s="13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N52" s="13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O52" s="13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P52" s="13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Q52" s="13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R52" s="13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S52" s="13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T52" s="13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U52" s="13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V52" s="13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W52" s="13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X52" s="13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Y52" s="13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  <c r="Z52" s="13"/>
      <c r="AA52" s="13"/>
    </row>
    <row r="53" spans="1:27" x14ac:dyDescent="0.25">
      <c r="A53" s="10" t="s">
        <v>136</v>
      </c>
      <c r="B53" s="10" t="s">
        <v>80</v>
      </c>
      <c r="C53" s="13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D53" s="13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E53" s="13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F53" s="13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G53" s="13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H53" s="13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I53" s="13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J53" s="13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K53" s="13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L53" s="13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M53" s="13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N53" s="13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O53" s="13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P53" s="13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Q53" s="13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R53" s="13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S53" s="13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T53" s="13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U53" s="13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V53" s="13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W53" s="13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X53" s="13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Y53" s="13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  <c r="Z53" s="13"/>
      <c r="AA53" s="13"/>
    </row>
    <row r="54" spans="1:27" x14ac:dyDescent="0.25">
      <c r="A54" s="7" t="s">
        <v>90</v>
      </c>
      <c r="B54" s="7"/>
      <c r="C54" s="7" t="s">
        <v>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164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165</v>
      </c>
      <c r="Z5" s="5" t="s">
        <v>58</v>
      </c>
      <c r="AA5" s="5" t="s">
        <v>59</v>
      </c>
    </row>
    <row r="6" spans="1:27" x14ac:dyDescent="0.25">
      <c r="A6" s="6" t="s">
        <v>60</v>
      </c>
      <c r="B6" s="6" t="s">
        <v>61</v>
      </c>
      <c r="C6" s="19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D6" s="19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E6" s="19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F6" s="19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G6" s="19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H6" s="19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I6" s="19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J6" s="19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K6" s="19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L6" s="19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M6" s="19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N6" s="19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O6" s="19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P6" s="19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Q6" s="19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R6" s="19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S6" s="19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T6" s="19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U6" s="19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V6" s="19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W6" s="19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X6" s="19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Y6" s="22">
        <v>34914.775887199998</v>
      </c>
      <c r="Z6" s="19"/>
      <c r="AA6" s="19"/>
    </row>
    <row r="7" spans="1:27" x14ac:dyDescent="0.25">
      <c r="A7" s="10" t="s">
        <v>166</v>
      </c>
      <c r="B7" s="10" t="s">
        <v>63</v>
      </c>
      <c r="C7" s="13">
        <f>_xll.BDH("ALNY US Equity","CASH_AND_MARKETABLE_SECURITIES","FQ3 2019","FQ3 2019","Currency=USD","Period=FQ","BEST_FPERIOD_OVERRIDE=FQ","FILING_STATUS=MR","SCALING_FORMAT=MLN","Sort=A","Dates=H","DateFormat=P","Fill=—","Direction=H","UseDPDF=Y")</f>
        <v>1721.058</v>
      </c>
      <c r="D7" s="13">
        <f>_xll.BDH("ALNY US Equity","CASH_AND_MARKETABLE_SECURITIES","FQ4 2019","FQ4 2019","Currency=USD","Period=FQ","BEST_FPERIOD_OVERRIDE=FQ","FILING_STATUS=MR","SCALING_FORMAT=MLN","Sort=A","Dates=H","DateFormat=P","Fill=—","Direction=H","UseDPDF=Y")</f>
        <v>1536.162</v>
      </c>
      <c r="E7" s="13">
        <f>_xll.BDH("ALNY US Equity","CASH_AND_MARKETABLE_SECURITIES","FQ1 2020","FQ1 2020","Currency=USD","Period=FQ","BEST_FPERIOD_OVERRIDE=FQ","FILING_STATUS=MR","SCALING_FORMAT=MLN","Sort=A","Dates=H","DateFormat=P","Fill=—","Direction=H","UseDPDF=Y")</f>
        <v>1342.203</v>
      </c>
      <c r="F7" s="13">
        <f>_xll.BDH("ALNY US Equity","CASH_AND_MARKETABLE_SECURITIES","FQ2 2020","FQ2 2020","Currency=USD","Period=FQ","BEST_FPERIOD_OVERRIDE=FQ","FILING_STATUS=MR","SCALING_FORMAT=MLN","Sort=A","Dates=H","DateFormat=P","Fill=—","Direction=H","UseDPDF=Y")</f>
        <v>1925.5640000000001</v>
      </c>
      <c r="G7" s="13">
        <f>_xll.BDH("ALNY US Equity","CASH_AND_MARKETABLE_SECURITIES","FQ3 2020","FQ3 2020","Currency=USD","Period=FQ","BEST_FPERIOD_OVERRIDE=FQ","FILING_STATUS=MR","SCALING_FORMAT=MLN","Sort=A","Dates=H","DateFormat=P","Fill=—","Direction=H","UseDPDF=Y")</f>
        <v>1833.876</v>
      </c>
      <c r="H7" s="13">
        <f>_xll.BDH("ALNY US Equity","CASH_AND_MARKETABLE_SECURITIES","FQ4 2020","FQ4 2020","Currency=USD","Period=FQ","BEST_FPERIOD_OVERRIDE=FQ","FILING_STATUS=MR","SCALING_FORMAT=MLN","Sort=A","Dates=H","DateFormat=P","Fill=—","Direction=H","UseDPDF=Y")</f>
        <v>1874.395</v>
      </c>
      <c r="I7" s="13">
        <f>_xll.BDH("ALNY US Equity","CASH_AND_MARKETABLE_SECURITIES","FQ1 2021","FQ1 2021","Currency=USD","Period=FQ","BEST_FPERIOD_OVERRIDE=FQ","FILING_STATUS=MR","SCALING_FORMAT=MLN","Sort=A","Dates=H","DateFormat=P","Fill=—","Direction=H","UseDPDF=Y")</f>
        <v>1709.537</v>
      </c>
      <c r="J7" s="13">
        <f>_xll.BDH("ALNY US Equity","CASH_AND_MARKETABLE_SECURITIES","FQ2 2021","FQ2 2021","Currency=USD","Period=FQ","BEST_FPERIOD_OVERRIDE=FQ","FILING_STATUS=MR","SCALING_FORMAT=MLN","Sort=A","Dates=H","DateFormat=P","Fill=—","Direction=H","UseDPDF=Y")</f>
        <v>1900.0820000000001</v>
      </c>
      <c r="K7" s="13">
        <f>_xll.BDH("ALNY US Equity","CASH_AND_MARKETABLE_SECURITIES","FQ3 2021","FQ3 2021","Currency=USD","Period=FQ","BEST_FPERIOD_OVERRIDE=FQ","FILING_STATUS=MR","SCALING_FORMAT=MLN","Sort=A","Dates=H","DateFormat=P","Fill=—","Direction=H","UseDPDF=Y")</f>
        <v>2327.8649999999998</v>
      </c>
      <c r="L7" s="13">
        <f>_xll.BDH("ALNY US Equity","CASH_AND_MARKETABLE_SECURITIES","FQ4 2021","FQ4 2021","Currency=USD","Period=FQ","BEST_FPERIOD_OVERRIDE=FQ","FILING_STATUS=MR","SCALING_FORMAT=MLN","Sort=A","Dates=H","DateFormat=P","Fill=—","Direction=H","UseDPDF=Y")</f>
        <v>2435.5639999999999</v>
      </c>
      <c r="M7" s="13">
        <f>_xll.BDH("ALNY US Equity","CASH_AND_MARKETABLE_SECURITIES","FQ1 2022","FQ1 2022","Currency=USD","Period=FQ","BEST_FPERIOD_OVERRIDE=FQ","FILING_STATUS=MR","SCALING_FORMAT=MLN","Sort=A","Dates=H","DateFormat=P","Fill=—","Direction=H","UseDPDF=Y")</f>
        <v>2239.5630000000001</v>
      </c>
      <c r="N7" s="13">
        <f>_xll.BDH("ALNY US Equity","CASH_AND_MARKETABLE_SECURITIES","FQ2 2022","FQ2 2022","Currency=USD","Period=FQ","BEST_FPERIOD_OVERRIDE=FQ","FILING_STATUS=MR","SCALING_FORMAT=MLN","Sort=A","Dates=H","DateFormat=P","Fill=—","Direction=H","UseDPDF=Y")</f>
        <v>2110.6129999999998</v>
      </c>
      <c r="O7" s="13">
        <f>_xll.BDH("ALNY US Equity","CASH_AND_MARKETABLE_SECURITIES","FQ3 2022","FQ3 2022","Currency=USD","Period=FQ","BEST_FPERIOD_OVERRIDE=FQ","FILING_STATUS=MR","SCALING_FORMAT=MLN","Sort=A","Dates=H","DateFormat=P","Fill=—","Direction=H","UseDPDF=Y")</f>
        <v>2265.3290000000002</v>
      </c>
      <c r="P7" s="13">
        <f>_xll.BDH("ALNY US Equity","CASH_AND_MARKETABLE_SECURITIES","FQ4 2022","FQ4 2022","Currency=USD","Period=FQ","BEST_FPERIOD_OVERRIDE=FQ","FILING_STATUS=MR","SCALING_FORMAT=MLN","Sort=A","Dates=H","DateFormat=P","Fill=—","Direction=H","UseDPDF=Y")</f>
        <v>2192.4059999999999</v>
      </c>
      <c r="Q7" s="13">
        <f>_xll.BDH("ALNY US Equity","CASH_AND_MARKETABLE_SECURITIES","FQ1 2023","FQ1 2023","Currency=USD","Period=FQ","BEST_FPERIOD_OVERRIDE=FQ","FILING_STATUS=MR","SCALING_FORMAT=MLN","Sort=A","Dates=H","DateFormat=P","Fill=—","Direction=H","UseDPDF=Y")</f>
        <v>2070.6750000000002</v>
      </c>
      <c r="R7" s="13">
        <f>_xll.BDH("ALNY US Equity","CASH_AND_MARKETABLE_SECURITIES","FQ2 2023","FQ2 2023","Currency=USD","Period=FQ","BEST_FPERIOD_OVERRIDE=FQ","FILING_STATUS=MR","SCALING_FORMAT=MLN","Sort=A","Dates=H","DateFormat=P","Fill=—","Direction=H","UseDPDF=Y")</f>
        <v>2057.5070000000001</v>
      </c>
      <c r="S7" s="13">
        <f>_xll.BDH("ALNY US Equity","CASH_AND_MARKETABLE_SECURITIES","FQ3 2023","FQ3 2023","Currency=USD","Period=FQ","BEST_FPERIOD_OVERRIDE=FQ","FILING_STATUS=MR","SCALING_FORMAT=MLN","Sort=A","Dates=H","DateFormat=P","Fill=—","Direction=H","UseDPDF=Y")</f>
        <v>2406.2779999999998</v>
      </c>
      <c r="T7" s="13">
        <f>_xll.BDH("ALNY US Equity","CASH_AND_MARKETABLE_SECURITIES","FQ4 2023","FQ4 2023","Currency=USD","Period=FQ","BEST_FPERIOD_OVERRIDE=FQ","FILING_STATUS=MR","SCALING_FORMAT=MLN","Sort=A","Dates=H","DateFormat=P","Fill=—","Direction=H","UseDPDF=Y")</f>
        <v>2439.3820000000001</v>
      </c>
      <c r="U7" s="13">
        <f>_xll.BDH("ALNY US Equity","CASH_AND_MARKETABLE_SECURITIES","FQ1 2024","FQ1 2024","Currency=USD","Period=FQ","BEST_FPERIOD_OVERRIDE=FQ","FILING_STATUS=MR","SCALING_FORMAT=MLN","Sort=A","Dates=H","DateFormat=P","Fill=—","Direction=H","UseDPDF=Y")</f>
        <v>2371.2820000000002</v>
      </c>
      <c r="V7" s="13">
        <f>_xll.BDH("ALNY US Equity","CASH_AND_MARKETABLE_SECURITIES","FQ2 2024","FQ2 2024","Currency=USD","Period=FQ","BEST_FPERIOD_OVERRIDE=FQ","FILING_STATUS=MR","SCALING_FORMAT=MLN","Sort=A","Dates=H","DateFormat=P","Fill=—","Direction=H","UseDPDF=Y")</f>
        <v>2624.6489999999999</v>
      </c>
      <c r="W7" s="13">
        <f>_xll.BDH("ALNY US Equity","CASH_AND_MARKETABLE_SECURITIES","FQ3 2024","FQ3 2024","Currency=USD","Period=FQ","BEST_FPERIOD_OVERRIDE=FQ","FILING_STATUS=MR","SCALING_FORMAT=MLN","Sort=A","Dates=H","DateFormat=P","Fill=—","Direction=H","UseDPDF=Y")</f>
        <v>2780.2350000000001</v>
      </c>
      <c r="X7" s="13">
        <f>_xll.BDH("ALNY US Equity","CASH_AND_MARKETABLE_SECURITIES","FQ4 2024","FQ4 2024","Currency=USD","Period=FQ","BEST_FPERIOD_OVERRIDE=FQ","FILING_STATUS=MR","SCALING_FORMAT=MLN","Sort=A","Dates=H","DateFormat=P","Fill=—","Direction=H","UseDPDF=Y")</f>
        <v>2694.5039999999999</v>
      </c>
      <c r="Y7" s="16">
        <v>2694.5039999999999</v>
      </c>
      <c r="Z7" s="13"/>
      <c r="AA7" s="13"/>
    </row>
    <row r="8" spans="1:27" x14ac:dyDescent="0.25">
      <c r="A8" s="10" t="s">
        <v>167</v>
      </c>
      <c r="B8" s="10" t="s">
        <v>168</v>
      </c>
      <c r="C8" s="13">
        <f>_xll.BDH("ALNY US Equity","PFD_EQTY_HYBRID_CAPITAL","FQ3 2019","FQ3 2019","Currency=USD","Period=FQ","BEST_FPERIOD_OVERRIDE=FQ","FILING_STATUS=MR","SCALING_FORMAT=MLN","Sort=A","Dates=H","DateFormat=P","Fill=—","Direction=H","UseDPDF=Y")</f>
        <v>0</v>
      </c>
      <c r="D8" s="13">
        <f>_xll.BDH("ALNY US Equity","PFD_EQTY_HYBRID_CAPITAL","FQ4 2019","FQ4 2019","Currency=USD","Period=FQ","BEST_FPERIOD_OVERRIDE=FQ","FILING_STATUS=MR","SCALING_FORMAT=MLN","Sort=A","Dates=H","DateFormat=P","Fill=—","Direction=H","UseDPDF=Y")</f>
        <v>0</v>
      </c>
      <c r="E8" s="13">
        <f>_xll.BDH("ALNY US Equity","PFD_EQTY_HYBRID_CAPITAL","FQ1 2020","FQ1 2020","Currency=USD","Period=FQ","BEST_FPERIOD_OVERRIDE=FQ","FILING_STATUS=MR","SCALING_FORMAT=MLN","Sort=A","Dates=H","DateFormat=P","Fill=—","Direction=H","UseDPDF=Y")</f>
        <v>0</v>
      </c>
      <c r="F8" s="13">
        <f>_xll.BDH("ALNY US Equity","PFD_EQTY_HYBRID_CAPITAL","FQ2 2020","FQ2 2020","Currency=USD","Period=FQ","BEST_FPERIOD_OVERRIDE=FQ","FILING_STATUS=MR","SCALING_FORMAT=MLN","Sort=A","Dates=H","DateFormat=P","Fill=—","Direction=H","UseDPDF=Y")</f>
        <v>0</v>
      </c>
      <c r="G8" s="13">
        <f>_xll.BDH("ALNY US Equity","PFD_EQTY_HYBRID_CAPITAL","FQ3 2020","FQ3 2020","Currency=USD","Period=FQ","BEST_FPERIOD_OVERRIDE=FQ","FILING_STATUS=MR","SCALING_FORMAT=MLN","Sort=A","Dates=H","DateFormat=P","Fill=—","Direction=H","UseDPDF=Y")</f>
        <v>0</v>
      </c>
      <c r="H8" s="13">
        <f>_xll.BDH("ALNY US Equity","PFD_EQTY_HYBRID_CAPITAL","FQ4 2020","FQ4 2020","Currency=USD","Period=FQ","BEST_FPERIOD_OVERRIDE=FQ","FILING_STATUS=MR","SCALING_FORMAT=MLN","Sort=A","Dates=H","DateFormat=P","Fill=—","Direction=H","UseDPDF=Y")</f>
        <v>0</v>
      </c>
      <c r="I8" s="13">
        <f>_xll.BDH("ALNY US Equity","PFD_EQTY_HYBRID_CAPITAL","FQ1 2021","FQ1 2021","Currency=USD","Period=FQ","BEST_FPERIOD_OVERRIDE=FQ","FILING_STATUS=MR","SCALING_FORMAT=MLN","Sort=A","Dates=H","DateFormat=P","Fill=—","Direction=H","UseDPDF=Y")</f>
        <v>0</v>
      </c>
      <c r="J8" s="13">
        <f>_xll.BDH("ALNY US Equity","PFD_EQTY_HYBRID_CAPITAL","FQ2 2021","FQ2 2021","Currency=USD","Period=FQ","BEST_FPERIOD_OVERRIDE=FQ","FILING_STATUS=MR","SCALING_FORMAT=MLN","Sort=A","Dates=H","DateFormat=P","Fill=—","Direction=H","UseDPDF=Y")</f>
        <v>0</v>
      </c>
      <c r="K8" s="13">
        <f>_xll.BDH("ALNY US Equity","PFD_EQTY_HYBRID_CAPITAL","FQ3 2021","FQ3 2021","Currency=USD","Period=FQ","BEST_FPERIOD_OVERRIDE=FQ","FILING_STATUS=MR","SCALING_FORMAT=MLN","Sort=A","Dates=H","DateFormat=P","Fill=—","Direction=H","UseDPDF=Y")</f>
        <v>0</v>
      </c>
      <c r="L8" s="13">
        <f>_xll.BDH("ALNY US Equity","PFD_EQTY_HYBRID_CAPITAL","FQ4 2021","FQ4 2021","Currency=USD","Period=FQ","BEST_FPERIOD_OVERRIDE=FQ","FILING_STATUS=MR","SCALING_FORMAT=MLN","Sort=A","Dates=H","DateFormat=P","Fill=—","Direction=H","UseDPDF=Y")</f>
        <v>0</v>
      </c>
      <c r="M8" s="13">
        <f>_xll.BDH("ALNY US Equity","PFD_EQTY_HYBRID_CAPITAL","FQ1 2022","FQ1 2022","Currency=USD","Period=FQ","BEST_FPERIOD_OVERRIDE=FQ","FILING_STATUS=MR","SCALING_FORMAT=MLN","Sort=A","Dates=H","DateFormat=P","Fill=—","Direction=H","UseDPDF=Y")</f>
        <v>0</v>
      </c>
      <c r="N8" s="13">
        <f>_xll.BDH("ALNY US Equity","PFD_EQTY_HYBRID_CAPITAL","FQ2 2022","FQ2 2022","Currency=USD","Period=FQ","BEST_FPERIOD_OVERRIDE=FQ","FILING_STATUS=MR","SCALING_FORMAT=MLN","Sort=A","Dates=H","DateFormat=P","Fill=—","Direction=H","UseDPDF=Y")</f>
        <v>0</v>
      </c>
      <c r="O8" s="13">
        <f>_xll.BDH("ALNY US Equity","PFD_EQTY_HYBRID_CAPITAL","FQ3 2022","FQ3 2022","Currency=USD","Period=FQ","BEST_FPERIOD_OVERRIDE=FQ","FILING_STATUS=MR","SCALING_FORMAT=MLN","Sort=A","Dates=H","DateFormat=P","Fill=—","Direction=H","UseDPDF=Y")</f>
        <v>0</v>
      </c>
      <c r="P8" s="13">
        <f>_xll.BDH("ALNY US Equity","PFD_EQTY_HYBRID_CAPITAL","FQ4 2022","FQ4 2022","Currency=USD","Period=FQ","BEST_FPERIOD_OVERRIDE=FQ","FILING_STATUS=MR","SCALING_FORMAT=MLN","Sort=A","Dates=H","DateFormat=P","Fill=—","Direction=H","UseDPDF=Y")</f>
        <v>0</v>
      </c>
      <c r="Q8" s="13">
        <f>_xll.BDH("ALNY US Equity","PFD_EQTY_HYBRID_CAPITAL","FQ1 2023","FQ1 2023","Currency=USD","Period=FQ","BEST_FPERIOD_OVERRIDE=FQ","FILING_STATUS=MR","SCALING_FORMAT=MLN","Sort=A","Dates=H","DateFormat=P","Fill=—","Direction=H","UseDPDF=Y")</f>
        <v>0</v>
      </c>
      <c r="R8" s="13">
        <f>_xll.BDH("ALNY US Equity","PFD_EQTY_HYBRID_CAPITAL","FQ2 2023","FQ2 2023","Currency=USD","Period=FQ","BEST_FPERIOD_OVERRIDE=FQ","FILING_STATUS=MR","SCALING_FORMAT=MLN","Sort=A","Dates=H","DateFormat=P","Fill=—","Direction=H","UseDPDF=Y")</f>
        <v>0</v>
      </c>
      <c r="S8" s="13">
        <f>_xll.BDH("ALNY US Equity","PFD_EQTY_HYBRID_CAPITAL","FQ3 2023","FQ3 2023","Currency=USD","Period=FQ","BEST_FPERIOD_OVERRIDE=FQ","FILING_STATUS=MR","SCALING_FORMAT=MLN","Sort=A","Dates=H","DateFormat=P","Fill=—","Direction=H","UseDPDF=Y")</f>
        <v>0</v>
      </c>
      <c r="T8" s="13">
        <f>_xll.BDH("ALNY US Equity","PFD_EQTY_HYBRID_CAPITAL","FQ4 2023","FQ4 2023","Currency=USD","Period=FQ","BEST_FPERIOD_OVERRIDE=FQ","FILING_STATUS=MR","SCALING_FORMAT=MLN","Sort=A","Dates=H","DateFormat=P","Fill=—","Direction=H","UseDPDF=Y")</f>
        <v>0</v>
      </c>
      <c r="U8" s="13">
        <f>_xll.BDH("ALNY US Equity","PFD_EQTY_HYBRID_CAPITAL","FQ1 2024","FQ1 2024","Currency=USD","Period=FQ","BEST_FPERIOD_OVERRIDE=FQ","FILING_STATUS=MR","SCALING_FORMAT=MLN","Sort=A","Dates=H","DateFormat=P","Fill=—","Direction=H","UseDPDF=Y")</f>
        <v>0</v>
      </c>
      <c r="V8" s="13">
        <f>_xll.BDH("ALNY US Equity","PFD_EQTY_HYBRID_CAPITAL","FQ2 2024","FQ2 2024","Currency=USD","Period=FQ","BEST_FPERIOD_OVERRIDE=FQ","FILING_STATUS=MR","SCALING_FORMAT=MLN","Sort=A","Dates=H","DateFormat=P","Fill=—","Direction=H","UseDPDF=Y")</f>
        <v>0</v>
      </c>
      <c r="W8" s="13">
        <f>_xll.BDH("ALNY US Equity","PFD_EQTY_HYBRID_CAPITAL","FQ3 2024","FQ3 2024","Currency=USD","Period=FQ","BEST_FPERIOD_OVERRIDE=FQ","FILING_STATUS=MR","SCALING_FORMAT=MLN","Sort=A","Dates=H","DateFormat=P","Fill=—","Direction=H","UseDPDF=Y")</f>
        <v>0</v>
      </c>
      <c r="X8" s="13">
        <f>_xll.BDH("ALNY US Equity","PFD_EQTY_HYBRID_CAPITAL","FQ4 2024","FQ4 2024","Currency=USD","Period=FQ","BEST_FPERIOD_OVERRIDE=FQ","FILING_STATUS=MR","SCALING_FORMAT=MLN","Sort=A","Dates=H","DateFormat=P","Fill=—","Direction=H","UseDPDF=Y")</f>
        <v>0</v>
      </c>
      <c r="Y8" s="16">
        <v>0</v>
      </c>
      <c r="Z8" s="13"/>
      <c r="AA8" s="13"/>
    </row>
    <row r="9" spans="1:27" x14ac:dyDescent="0.25">
      <c r="A9" s="10" t="s">
        <v>169</v>
      </c>
      <c r="B9" s="10" t="s">
        <v>170</v>
      </c>
      <c r="C9" s="13">
        <f>_xll.BDH("ALNY US Equity","MINORITY_NONCONTROLLING_INTEREST","FQ3 2019","FQ3 2019","Currency=USD","Period=FQ","BEST_FPERIOD_OVERRIDE=FQ","FILING_STATUS=MR","SCALING_FORMAT=MLN","Sort=A","Dates=H","DateFormat=P","Fill=—","Direction=H","UseDPDF=Y")</f>
        <v>0</v>
      </c>
      <c r="D9" s="13">
        <f>_xll.BDH("ALNY US Equity","MINORITY_NONCONTROLLING_INTEREST","FQ4 2019","FQ4 2019","Currency=USD","Period=FQ","BEST_FPERIOD_OVERRIDE=FQ","FILING_STATUS=MR","SCALING_FORMAT=MLN","Sort=A","Dates=H","DateFormat=P","Fill=—","Direction=H","UseDPDF=Y")</f>
        <v>0</v>
      </c>
      <c r="E9" s="13">
        <f>_xll.BDH("ALNY US Equity","MINORITY_NONCONTROLLING_INTEREST","FQ1 2020","FQ1 2020","Currency=USD","Period=FQ","BEST_FPERIOD_OVERRIDE=FQ","FILING_STATUS=MR","SCALING_FORMAT=MLN","Sort=A","Dates=H","DateFormat=P","Fill=—","Direction=H","UseDPDF=Y")</f>
        <v>0</v>
      </c>
      <c r="F9" s="13">
        <f>_xll.BDH("ALNY US Equity","MINORITY_NONCONTROLLING_INTEREST","FQ2 2020","FQ2 2020","Currency=USD","Period=FQ","BEST_FPERIOD_OVERRIDE=FQ","FILING_STATUS=MR","SCALING_FORMAT=MLN","Sort=A","Dates=H","DateFormat=P","Fill=—","Direction=H","UseDPDF=Y")</f>
        <v>0</v>
      </c>
      <c r="G9" s="13">
        <f>_xll.BDH("ALNY US Equity","MINORITY_NONCONTROLLING_INTEREST","FQ3 2020","FQ3 2020","Currency=USD","Period=FQ","BEST_FPERIOD_OVERRIDE=FQ","FILING_STATUS=MR","SCALING_FORMAT=MLN","Sort=A","Dates=H","DateFormat=P","Fill=—","Direction=H","UseDPDF=Y")</f>
        <v>0</v>
      </c>
      <c r="H9" s="13">
        <f>_xll.BDH("ALNY US Equity","MINORITY_NONCONTROLLING_INTEREST","FQ4 2020","FQ4 2020","Currency=USD","Period=FQ","BEST_FPERIOD_OVERRIDE=FQ","FILING_STATUS=MR","SCALING_FORMAT=MLN","Sort=A","Dates=H","DateFormat=P","Fill=—","Direction=H","UseDPDF=Y")</f>
        <v>0</v>
      </c>
      <c r="I9" s="13">
        <f>_xll.BDH("ALNY US Equity","MINORITY_NONCONTROLLING_INTEREST","FQ1 2021","FQ1 2021","Currency=USD","Period=FQ","BEST_FPERIOD_OVERRIDE=FQ","FILING_STATUS=MR","SCALING_FORMAT=MLN","Sort=A","Dates=H","DateFormat=P","Fill=—","Direction=H","UseDPDF=Y")</f>
        <v>0</v>
      </c>
      <c r="J9" s="13">
        <f>_xll.BDH("ALNY US Equity","MINORITY_NONCONTROLLING_INTEREST","FQ2 2021","FQ2 2021","Currency=USD","Period=FQ","BEST_FPERIOD_OVERRIDE=FQ","FILING_STATUS=MR","SCALING_FORMAT=MLN","Sort=A","Dates=H","DateFormat=P","Fill=—","Direction=H","UseDPDF=Y")</f>
        <v>0</v>
      </c>
      <c r="K9" s="13">
        <f>_xll.BDH("ALNY US Equity","MINORITY_NONCONTROLLING_INTEREST","FQ3 2021","FQ3 2021","Currency=USD","Period=FQ","BEST_FPERIOD_OVERRIDE=FQ","FILING_STATUS=MR","SCALING_FORMAT=MLN","Sort=A","Dates=H","DateFormat=P","Fill=—","Direction=H","UseDPDF=Y")</f>
        <v>0</v>
      </c>
      <c r="L9" s="13">
        <f>_xll.BDH("ALNY US Equity","MINORITY_NONCONTROLLING_INTEREST","FQ4 2021","FQ4 2021","Currency=USD","Period=FQ","BEST_FPERIOD_OVERRIDE=FQ","FILING_STATUS=MR","SCALING_FORMAT=MLN","Sort=A","Dates=H","DateFormat=P","Fill=—","Direction=H","UseDPDF=Y")</f>
        <v>0</v>
      </c>
      <c r="M9" s="13">
        <f>_xll.BDH("ALNY US Equity","MINORITY_NONCONTROLLING_INTEREST","FQ1 2022","FQ1 2022","Currency=USD","Period=FQ","BEST_FPERIOD_OVERRIDE=FQ","FILING_STATUS=MR","SCALING_FORMAT=MLN","Sort=A","Dates=H","DateFormat=P","Fill=—","Direction=H","UseDPDF=Y")</f>
        <v>0</v>
      </c>
      <c r="N9" s="13">
        <f>_xll.BDH("ALNY US Equity","MINORITY_NONCONTROLLING_INTEREST","FQ2 2022","FQ2 2022","Currency=USD","Period=FQ","BEST_FPERIOD_OVERRIDE=FQ","FILING_STATUS=MR","SCALING_FORMAT=MLN","Sort=A","Dates=H","DateFormat=P","Fill=—","Direction=H","UseDPDF=Y")</f>
        <v>0</v>
      </c>
      <c r="O9" s="13">
        <f>_xll.BDH("ALNY US Equity","MINORITY_NONCONTROLLING_INTEREST","FQ3 2022","FQ3 2022","Currency=USD","Period=FQ","BEST_FPERIOD_OVERRIDE=FQ","FILING_STATUS=MR","SCALING_FORMAT=MLN","Sort=A","Dates=H","DateFormat=P","Fill=—","Direction=H","UseDPDF=Y")</f>
        <v>0</v>
      </c>
      <c r="P9" s="13">
        <f>_xll.BDH("ALNY US Equity","MINORITY_NONCONTROLLING_INTEREST","FQ4 2022","FQ4 2022","Currency=USD","Period=FQ","BEST_FPERIOD_OVERRIDE=FQ","FILING_STATUS=MR","SCALING_FORMAT=MLN","Sort=A","Dates=H","DateFormat=P","Fill=—","Direction=H","UseDPDF=Y")</f>
        <v>0</v>
      </c>
      <c r="Q9" s="13">
        <f>_xll.BDH("ALNY US Equity","MINORITY_NONCONTROLLING_INTEREST","FQ1 2023","FQ1 2023","Currency=USD","Period=FQ","BEST_FPERIOD_OVERRIDE=FQ","FILING_STATUS=MR","SCALING_FORMAT=MLN","Sort=A","Dates=H","DateFormat=P","Fill=—","Direction=H","UseDPDF=Y")</f>
        <v>0</v>
      </c>
      <c r="R9" s="13">
        <f>_xll.BDH("ALNY US Equity","MINORITY_NONCONTROLLING_INTEREST","FQ2 2023","FQ2 2023","Currency=USD","Period=FQ","BEST_FPERIOD_OVERRIDE=FQ","FILING_STATUS=MR","SCALING_FORMAT=MLN","Sort=A","Dates=H","DateFormat=P","Fill=—","Direction=H","UseDPDF=Y")</f>
        <v>0</v>
      </c>
      <c r="S9" s="13">
        <f>_xll.BDH("ALNY US Equity","MINORITY_NONCONTROLLING_INTEREST","FQ3 2023","FQ3 2023","Currency=USD","Period=FQ","BEST_FPERIOD_OVERRIDE=FQ","FILING_STATUS=MR","SCALING_FORMAT=MLN","Sort=A","Dates=H","DateFormat=P","Fill=—","Direction=H","UseDPDF=Y")</f>
        <v>0</v>
      </c>
      <c r="T9" s="13">
        <f>_xll.BDH("ALNY US Equity","MINORITY_NONCONTROLLING_INTEREST","FQ4 2023","FQ4 2023","Currency=USD","Period=FQ","BEST_FPERIOD_OVERRIDE=FQ","FILING_STATUS=MR","SCALING_FORMAT=MLN","Sort=A","Dates=H","DateFormat=P","Fill=—","Direction=H","UseDPDF=Y")</f>
        <v>0</v>
      </c>
      <c r="U9" s="13">
        <f>_xll.BDH("ALNY US Equity","MINORITY_NONCONTROLLING_INTEREST","FQ1 2024","FQ1 2024","Currency=USD","Period=FQ","BEST_FPERIOD_OVERRIDE=FQ","FILING_STATUS=MR","SCALING_FORMAT=MLN","Sort=A","Dates=H","DateFormat=P","Fill=—","Direction=H","UseDPDF=Y")</f>
        <v>0</v>
      </c>
      <c r="V9" s="13">
        <f>_xll.BDH("ALNY US Equity","MINORITY_NONCONTROLLING_INTEREST","FQ2 2024","FQ2 2024","Currency=USD","Period=FQ","BEST_FPERIOD_OVERRIDE=FQ","FILING_STATUS=MR","SCALING_FORMAT=MLN","Sort=A","Dates=H","DateFormat=P","Fill=—","Direction=H","UseDPDF=Y")</f>
        <v>0</v>
      </c>
      <c r="W9" s="13">
        <f>_xll.BDH("ALNY US Equity","MINORITY_NONCONTROLLING_INTEREST","FQ3 2024","FQ3 2024","Currency=USD","Period=FQ","BEST_FPERIOD_OVERRIDE=FQ","FILING_STATUS=MR","SCALING_FORMAT=MLN","Sort=A","Dates=H","DateFormat=P","Fill=—","Direction=H","UseDPDF=Y")</f>
        <v>0</v>
      </c>
      <c r="X9" s="13">
        <f>_xll.BDH("ALNY US Equity","MINORITY_NONCONTROLLING_INTEREST","FQ4 2024","FQ4 2024","Currency=USD","Period=FQ","BEST_FPERIOD_OVERRIDE=FQ","FILING_STATUS=MR","SCALING_FORMAT=MLN","Sort=A","Dates=H","DateFormat=P","Fill=—","Direction=H","UseDPDF=Y")</f>
        <v>0</v>
      </c>
      <c r="Y9" s="16">
        <v>0</v>
      </c>
      <c r="Z9" s="13"/>
      <c r="AA9" s="13"/>
    </row>
    <row r="10" spans="1:27" x14ac:dyDescent="0.25">
      <c r="A10" s="10" t="s">
        <v>171</v>
      </c>
      <c r="B10" s="10" t="s">
        <v>67</v>
      </c>
      <c r="C10" s="13">
        <f>_xll.BDH("ALNY US Equity","SHORT_AND_LONG_TERM_DEBT","FQ3 2019","FQ3 2019","Currency=USD","Period=FQ","BEST_FPERIOD_OVERRIDE=FQ","FILING_STATUS=MR","SCALING_FORMAT=MLN","Sort=A","Dates=H","DateFormat=P","Fill=—","Direction=H","UseDPDF=Y")</f>
        <v>304.62099999999998</v>
      </c>
      <c r="D10" s="13">
        <f>_xll.BDH("ALNY US Equity","SHORT_AND_LONG_TERM_DEBT","FQ4 2019","FQ4 2019","Currency=USD","Period=FQ","BEST_FPERIOD_OVERRIDE=FQ","FILING_STATUS=MR","SCALING_FORMAT=MLN","Sort=A","Dates=H","DateFormat=P","Fill=—","Direction=H","UseDPDF=Y")</f>
        <v>303.82299999999998</v>
      </c>
      <c r="E10" s="13">
        <f>_xll.BDH("ALNY US Equity","SHORT_AND_LONG_TERM_DEBT","FQ1 2020","FQ1 2020","Currency=USD","Period=FQ","BEST_FPERIOD_OVERRIDE=FQ","FILING_STATUS=MR","SCALING_FORMAT=MLN","Sort=A","Dates=H","DateFormat=P","Fill=—","Direction=H","UseDPDF=Y")</f>
        <v>304.82499999999999</v>
      </c>
      <c r="F10" s="13">
        <f>_xll.BDH("ALNY US Equity","SHORT_AND_LONG_TERM_DEBT","FQ2 2020","FQ2 2020","Currency=USD","Period=FQ","BEST_FPERIOD_OVERRIDE=FQ","FILING_STATUS=MR","SCALING_FORMAT=MLN","Sort=A","Dates=H","DateFormat=P","Fill=—","Direction=H","UseDPDF=Y")</f>
        <v>315.065</v>
      </c>
      <c r="G10" s="13">
        <f>_xll.BDH("ALNY US Equity","SHORT_AND_LONG_TERM_DEBT","FQ3 2020","FQ3 2020","Currency=USD","Period=FQ","BEST_FPERIOD_OVERRIDE=FQ","FILING_STATUS=MR","SCALING_FORMAT=MLN","Sort=A","Dates=H","DateFormat=P","Fill=—","Direction=H","UseDPDF=Y")</f>
        <v>329.45400000000001</v>
      </c>
      <c r="H10" s="13">
        <f>_xll.BDH("ALNY US Equity","SHORT_AND_LONG_TERM_DEBT","FQ4 2020","FQ4 2020","Currency=USD","Period=FQ","BEST_FPERIOD_OVERRIDE=FQ","FILING_STATUS=MR","SCALING_FORMAT=MLN","Sort=A","Dates=H","DateFormat=P","Fill=—","Direction=H","UseDPDF=Y")</f>
        <v>521.18899999999996</v>
      </c>
      <c r="I10" s="13">
        <f>_xll.BDH("ALNY US Equity","SHORT_AND_LONG_TERM_DEBT","FQ1 2021","FQ1 2021","Currency=USD","Period=FQ","BEST_FPERIOD_OVERRIDE=FQ","FILING_STATUS=MR","SCALING_FORMAT=MLN","Sort=A","Dates=H","DateFormat=P","Fill=—","Direction=H","UseDPDF=Y")</f>
        <v>518.52200000000005</v>
      </c>
      <c r="J10" s="13">
        <f>_xll.BDH("ALNY US Equity","SHORT_AND_LONG_TERM_DEBT","FQ2 2021","FQ2 2021","Currency=USD","Period=FQ","BEST_FPERIOD_OVERRIDE=FQ","FILING_STATUS=MR","SCALING_FORMAT=MLN","Sort=A","Dates=H","DateFormat=P","Fill=—","Direction=H","UseDPDF=Y")</f>
        <v>761.072</v>
      </c>
      <c r="K10" s="13">
        <f>_xll.BDH("ALNY US Equity","SHORT_AND_LONG_TERM_DEBT","FQ3 2021","FQ3 2021","Currency=USD","Period=FQ","BEST_FPERIOD_OVERRIDE=FQ","FILING_STATUS=MR","SCALING_FORMAT=MLN","Sort=A","Dates=H","DateFormat=P","Fill=—","Direction=H","UseDPDF=Y")</f>
        <v>760.44100000000003</v>
      </c>
      <c r="L10" s="13">
        <f>_xll.BDH("ALNY US Equity","SHORT_AND_LONG_TERM_DEBT","FQ4 2021","FQ4 2021","Currency=USD","Period=FQ","BEST_FPERIOD_OVERRIDE=FQ","FILING_STATUS=MR","SCALING_FORMAT=MLN","Sort=A","Dates=H","DateFormat=P","Fill=—","Direction=H","UseDPDF=Y")</f>
        <v>997.59199999999998</v>
      </c>
      <c r="M10" s="13">
        <f>_xll.BDH("ALNY US Equity","SHORT_AND_LONG_TERM_DEBT","FQ1 2022","FQ1 2022","Currency=USD","Period=FQ","BEST_FPERIOD_OVERRIDE=FQ","FILING_STATUS=MR","SCALING_FORMAT=MLN","Sort=A","Dates=H","DateFormat=P","Fill=—","Direction=H","UseDPDF=Y")</f>
        <v>995.38800000000003</v>
      </c>
      <c r="N10" s="13">
        <f>_xll.BDH("ALNY US Equity","SHORT_AND_LONG_TERM_DEBT","FQ2 2022","FQ2 2022","Currency=USD","Period=FQ","BEST_FPERIOD_OVERRIDE=FQ","FILING_STATUS=MR","SCALING_FORMAT=MLN","Sort=A","Dates=H","DateFormat=P","Fill=—","Direction=H","UseDPDF=Y")</f>
        <v>990.97500000000002</v>
      </c>
      <c r="O10" s="13">
        <f>_xll.BDH("ALNY US Equity","SHORT_AND_LONG_TERM_DEBT","FQ3 2022","FQ3 2022","Currency=USD","Period=FQ","BEST_FPERIOD_OVERRIDE=FQ","FILING_STATUS=MR","SCALING_FORMAT=MLN","Sort=A","Dates=H","DateFormat=P","Fill=—","Direction=H","UseDPDF=Y")</f>
        <v>1539.777</v>
      </c>
      <c r="P10" s="13">
        <f>_xll.BDH("ALNY US Equity","SHORT_AND_LONG_TERM_DEBT","FQ4 2022","FQ4 2022","Currency=USD","Period=FQ","BEST_FPERIOD_OVERRIDE=FQ","FILING_STATUS=MR","SCALING_FORMAT=MLN","Sort=A","Dates=H","DateFormat=P","Fill=—","Direction=H","UseDPDF=Y")</f>
        <v>1320.248</v>
      </c>
      <c r="Q10" s="13">
        <f>_xll.BDH("ALNY US Equity","SHORT_AND_LONG_TERM_DEBT","FQ1 2023","FQ1 2023","Currency=USD","Period=FQ","BEST_FPERIOD_OVERRIDE=FQ","FILING_STATUS=MR","SCALING_FORMAT=MLN","Sort=A","Dates=H","DateFormat=P","Fill=—","Direction=H","UseDPDF=Y")</f>
        <v>1320.3409999999999</v>
      </c>
      <c r="R10" s="13">
        <f>_xll.BDH("ALNY US Equity","SHORT_AND_LONG_TERM_DEBT","FQ2 2023","FQ2 2023","Currency=USD","Period=FQ","BEST_FPERIOD_OVERRIDE=FQ","FILING_STATUS=MR","SCALING_FORMAT=MLN","Sort=A","Dates=H","DateFormat=P","Fill=—","Direction=H","UseDPDF=Y")</f>
        <v>1314.3330000000001</v>
      </c>
      <c r="S10" s="13">
        <f>_xll.BDH("ALNY US Equity","SHORT_AND_LONG_TERM_DEBT","FQ3 2023","FQ3 2023","Currency=USD","Period=FQ","BEST_FPERIOD_OVERRIDE=FQ","FILING_STATUS=MR","SCALING_FORMAT=MLN","Sort=A","Dates=H","DateFormat=P","Fill=—","Direction=H","UseDPDF=Y")</f>
        <v>1309.0360000000001</v>
      </c>
      <c r="T10" s="13">
        <f>_xll.BDH("ALNY US Equity","SHORT_AND_LONG_TERM_DEBT","FQ4 2023","FQ4 2023","Currency=USD","Period=FQ","BEST_FPERIOD_OVERRIDE=FQ","FILING_STATUS=MR","SCALING_FORMAT=MLN","Sort=A","Dates=H","DateFormat=P","Fill=—","Direction=H","UseDPDF=Y")</f>
        <v>1305.3869999999999</v>
      </c>
      <c r="U10" s="13">
        <f>_xll.BDH("ALNY US Equity","SHORT_AND_LONG_TERM_DEBT","FQ1 2024","FQ1 2024","Currency=USD","Period=FQ","BEST_FPERIOD_OVERRIDE=FQ","FILING_STATUS=MR","SCALING_FORMAT=MLN","Sort=A","Dates=H","DateFormat=P","Fill=—","Direction=H","UseDPDF=Y")</f>
        <v>1301.2329999999999</v>
      </c>
      <c r="V10" s="13">
        <f>_xll.BDH("ALNY US Equity","SHORT_AND_LONG_TERM_DEBT","FQ2 2024","FQ2 2024","Currency=USD","Period=FQ","BEST_FPERIOD_OVERRIDE=FQ","FILING_STATUS=MR","SCALING_FORMAT=MLN","Sort=A","Dates=H","DateFormat=P","Fill=—","Direction=H","UseDPDF=Y")</f>
        <v>2646.2759999999998</v>
      </c>
      <c r="W10" s="13">
        <f>_xll.BDH("ALNY US Equity","SHORT_AND_LONG_TERM_DEBT","FQ3 2024","FQ3 2024","Currency=USD","Period=FQ","BEST_FPERIOD_OVERRIDE=FQ","FILING_STATUS=MR","SCALING_FORMAT=MLN","Sort=A","Dates=H","DateFormat=P","Fill=—","Direction=H","UseDPDF=Y")</f>
        <v>1301.828</v>
      </c>
      <c r="X10" s="13">
        <f>_xll.BDH("ALNY US Equity","SHORT_AND_LONG_TERM_DEBT","FQ4 2024","FQ4 2024","Currency=USD","Period=FQ","BEST_FPERIOD_OVERRIDE=FQ","FILING_STATUS=MR","SCALING_FORMAT=MLN","Sort=A","Dates=H","DateFormat=P","Fill=—","Direction=H","UseDPDF=Y")</f>
        <v>1296.048</v>
      </c>
      <c r="Y10" s="16">
        <v>1296.048</v>
      </c>
      <c r="Z10" s="13"/>
      <c r="AA10" s="13"/>
    </row>
    <row r="11" spans="1:27" x14ac:dyDescent="0.25">
      <c r="A11" s="6" t="s">
        <v>68</v>
      </c>
      <c r="B11" s="6" t="s">
        <v>69</v>
      </c>
      <c r="C11" s="19">
        <f>_xll.BDH("ALNY US Equity","ENTERPRISE_VALUE","FQ3 2019","FQ3 2019","Currency=USD","Period=FQ","BEST_FPERIOD_OVERRIDE=FQ","FILING_STATUS=MR","SCALING_FORMAT=MLN","Sort=A","Dates=H","DateFormat=P","Fill=—","Direction=H","UseDPDF=Y")</f>
        <v>7536.3194999999996</v>
      </c>
      <c r="D11" s="19">
        <f>_xll.BDH("ALNY US Equity","ENTERPRISE_VALUE","FQ4 2019","FQ4 2019","Currency=USD","Period=FQ","BEST_FPERIOD_OVERRIDE=FQ","FILING_STATUS=MR","SCALING_FORMAT=MLN","Sort=A","Dates=H","DateFormat=P","Fill=—","Direction=H","UseDPDF=Y")</f>
        <v>11688.352999999999</v>
      </c>
      <c r="E11" s="19">
        <f>_xll.BDH("ALNY US Equity","ENTERPRISE_VALUE","FQ1 2020","FQ1 2020","Currency=USD","Period=FQ","BEST_FPERIOD_OVERRIDE=FQ","FILING_STATUS=MR","SCALING_FORMAT=MLN","Sort=A","Dates=H","DateFormat=P","Fill=—","Direction=H","UseDPDF=Y")</f>
        <v>11280.9588</v>
      </c>
      <c r="F11" s="19">
        <f>_xll.BDH("ALNY US Equity","ENTERPRISE_VALUE","FQ2 2020","FQ2 2020","Currency=USD","Period=FQ","BEST_FPERIOD_OVERRIDE=FQ","FILING_STATUS=MR","SCALING_FORMAT=MLN","Sort=A","Dates=H","DateFormat=P","Fill=—","Direction=H","UseDPDF=Y")</f>
        <v>15517.9782</v>
      </c>
      <c r="G11" s="19">
        <f>_xll.BDH("ALNY US Equity","ENTERPRISE_VALUE","FQ3 2020","FQ3 2020","Currency=USD","Period=FQ","BEST_FPERIOD_OVERRIDE=FQ","FILING_STATUS=MR","SCALING_FORMAT=MLN","Sort=A","Dates=H","DateFormat=P","Fill=—","Direction=H","UseDPDF=Y")</f>
        <v>15405.998799999999</v>
      </c>
      <c r="H11" s="19">
        <f>_xll.BDH("ALNY US Equity","ENTERPRISE_VALUE","FQ4 2020","FQ4 2020","Currency=USD","Period=FQ","BEST_FPERIOD_OVERRIDE=FQ","FILING_STATUS=MR","SCALING_FORMAT=MLN","Sort=A","Dates=H","DateFormat=P","Fill=—","Direction=H","UseDPDF=Y")</f>
        <v>13778.8112</v>
      </c>
      <c r="I11" s="19">
        <f>_xll.BDH("ALNY US Equity","ENTERPRISE_VALUE","FQ1 2021","FQ1 2021","Currency=USD","Period=FQ","BEST_FPERIOD_OVERRIDE=FQ","FILING_STATUS=MR","SCALING_FORMAT=MLN","Sort=A","Dates=H","DateFormat=P","Fill=—","Direction=H","UseDPDF=Y")</f>
        <v>15373.537</v>
      </c>
      <c r="J11" s="19">
        <f>_xll.BDH("ALNY US Equity","ENTERPRISE_VALUE","FQ2 2021","FQ2 2021","Currency=USD","Period=FQ","BEST_FPERIOD_OVERRIDE=FQ","FILING_STATUS=MR","SCALING_FORMAT=MLN","Sort=A","Dates=H","DateFormat=P","Fill=—","Direction=H","UseDPDF=Y")</f>
        <v>18965.383900000001</v>
      </c>
      <c r="K11" s="19">
        <f>_xll.BDH("ALNY US Equity","ENTERPRISE_VALUE","FQ3 2021","FQ3 2021","Currency=USD","Period=FQ","BEST_FPERIOD_OVERRIDE=FQ","FILING_STATUS=MR","SCALING_FORMAT=MLN","Sort=A","Dates=H","DateFormat=P","Fill=—","Direction=H","UseDPDF=Y")</f>
        <v>20991.594799999999</v>
      </c>
      <c r="L11" s="19">
        <f>_xll.BDH("ALNY US Equity","ENTERPRISE_VALUE","FQ4 2021","FQ4 2021","Currency=USD","Period=FQ","BEST_FPERIOD_OVERRIDE=FQ","FILING_STATUS=MR","SCALING_FORMAT=MLN","Sort=A","Dates=H","DateFormat=P","Fill=—","Direction=H","UseDPDF=Y")</f>
        <v>18942.491600000001</v>
      </c>
      <c r="M11" s="19">
        <f>_xll.BDH("ALNY US Equity","ENTERPRISE_VALUE","FQ1 2022","FQ1 2022","Currency=USD","Period=FQ","BEST_FPERIOD_OVERRIDE=FQ","FILING_STATUS=MR","SCALING_FORMAT=MLN","Sort=A","Dates=H","DateFormat=P","Fill=—","Direction=H","UseDPDF=Y")</f>
        <v>18469.663400000001</v>
      </c>
      <c r="N11" s="19">
        <f>_xll.BDH("ALNY US Equity","ENTERPRISE_VALUE","FQ2 2022","FQ2 2022","Currency=USD","Period=FQ","BEST_FPERIOD_OVERRIDE=FQ","FILING_STATUS=MR","SCALING_FORMAT=MLN","Sort=A","Dates=H","DateFormat=P","Fill=—","Direction=H","UseDPDF=Y")</f>
        <v>16527.0452</v>
      </c>
      <c r="O11" s="19">
        <f>_xll.BDH("ALNY US Equity","ENTERPRISE_VALUE","FQ3 2022","FQ3 2022","Currency=USD","Period=FQ","BEST_FPERIOD_OVERRIDE=FQ","FILING_STATUS=MR","SCALING_FORMAT=MLN","Sort=A","Dates=H","DateFormat=P","Fill=—","Direction=H","UseDPDF=Y")</f>
        <v>23892.3266</v>
      </c>
      <c r="P11" s="19">
        <f>_xll.BDH("ALNY US Equity","ENTERPRISE_VALUE","FQ4 2022","FQ4 2022","Currency=USD","Period=FQ","BEST_FPERIOD_OVERRIDE=FQ","FILING_STATUS=MR","SCALING_FORMAT=MLN","Sort=A","Dates=H","DateFormat=P","Fill=—","Direction=H","UseDPDF=Y")</f>
        <v>28578.618299999998</v>
      </c>
      <c r="Q11" s="19">
        <f>_xll.BDH("ALNY US Equity","ENTERPRISE_VALUE","FQ1 2023","FQ1 2023","Currency=USD","Period=FQ","BEST_FPERIOD_OVERRIDE=FQ","FILING_STATUS=MR","SCALING_FORMAT=MLN","Sort=A","Dates=H","DateFormat=P","Fill=—","Direction=H","UseDPDF=Y")</f>
        <v>24137.623100000001</v>
      </c>
      <c r="R11" s="19">
        <f>_xll.BDH("ALNY US Equity","ENTERPRISE_VALUE","FQ2 2023","FQ2 2023","Currency=USD","Period=FQ","BEST_FPERIOD_OVERRIDE=FQ","FILING_STATUS=MR","SCALING_FORMAT=MLN","Sort=A","Dates=H","DateFormat=P","Fill=—","Direction=H","UseDPDF=Y")</f>
        <v>22855.161499999998</v>
      </c>
      <c r="S11" s="19">
        <f>_xll.BDH("ALNY US Equity","ENTERPRISE_VALUE","FQ3 2023","FQ3 2023","Currency=USD","Period=FQ","BEST_FPERIOD_OVERRIDE=FQ","FILING_STATUS=MR","SCALING_FORMAT=MLN","Sort=A","Dates=H","DateFormat=P","Fill=—","Direction=H","UseDPDF=Y")</f>
        <v>21120.661400000001</v>
      </c>
      <c r="T11" s="19">
        <f>_xll.BDH("ALNY US Equity","ENTERPRISE_VALUE","FQ4 2023","FQ4 2023","Currency=USD","Period=FQ","BEST_FPERIOD_OVERRIDE=FQ","FILING_STATUS=MR","SCALING_FORMAT=MLN","Sort=A","Dates=H","DateFormat=P","Fill=—","Direction=H","UseDPDF=Y")</f>
        <v>22944.234499999999</v>
      </c>
      <c r="U11" s="19">
        <f>_xll.BDH("ALNY US Equity","ENTERPRISE_VALUE","FQ1 2024","FQ1 2024","Currency=USD","Period=FQ","BEST_FPERIOD_OVERRIDE=FQ","FILING_STATUS=MR","SCALING_FORMAT=MLN","Sort=A","Dates=H","DateFormat=P","Fill=—","Direction=H","UseDPDF=Y")</f>
        <v>17829.846399999999</v>
      </c>
      <c r="V11" s="19">
        <f>_xll.BDH("ALNY US Equity","ENTERPRISE_VALUE","FQ2 2024","FQ2 2024","Currency=USD","Period=FQ","BEST_FPERIOD_OVERRIDE=FQ","FILING_STATUS=MR","SCALING_FORMAT=MLN","Sort=A","Dates=H","DateFormat=P","Fill=—","Direction=H","UseDPDF=Y")</f>
        <v>31130.73</v>
      </c>
      <c r="W11" s="19">
        <f>_xll.BDH("ALNY US Equity","ENTERPRISE_VALUE","FQ3 2024","FQ3 2024","Currency=USD","Period=FQ","BEST_FPERIOD_OVERRIDE=FQ","FILING_STATUS=MR","SCALING_FORMAT=MLN","Sort=A","Dates=H","DateFormat=P","Fill=—","Direction=H","UseDPDF=Y")</f>
        <v>33956.733200000002</v>
      </c>
      <c r="X11" s="19">
        <f>_xll.BDH("ALNY US Equity","ENTERPRISE_VALUE","FQ4 2024","FQ4 2024","Currency=USD","Period=FQ","BEST_FPERIOD_OVERRIDE=FQ","FILING_STATUS=MR","SCALING_FORMAT=MLN","Sort=A","Dates=H","DateFormat=P","Fill=—","Direction=H","UseDPDF=Y")</f>
        <v>29025.715100000001</v>
      </c>
      <c r="Y11" s="22">
        <v>33516.319887199999</v>
      </c>
      <c r="Z11" s="19"/>
      <c r="AA11" s="19"/>
    </row>
    <row r="12" spans="1:27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1"/>
      <c r="Z12" s="18"/>
      <c r="AA12" s="18"/>
    </row>
    <row r="13" spans="1:27" x14ac:dyDescent="0.25">
      <c r="A13" s="6" t="s">
        <v>172</v>
      </c>
      <c r="B13" s="6" t="s">
        <v>173</v>
      </c>
      <c r="C13" s="19">
        <f>_xll.BDH("ALNY US Equity","BS_TOT_CAP","FQ3 2019","FQ3 2019","Currency=USD","Period=FQ","BEST_FPERIOD_OVERRIDE=FQ","FILING_STATUS=MR","SCALING_FORMAT=MLN","Sort=A","Dates=H","DateFormat=P","Fill=—","Direction=H","UseDPDF=Y")</f>
        <v>1911.7080000000001</v>
      </c>
      <c r="D13" s="19">
        <f>_xll.BDH("ALNY US Equity","BS_TOT_CAP","FQ4 2019","FQ4 2019","Currency=USD","Period=FQ","BEST_FPERIOD_OVERRIDE=FQ","FILING_STATUS=MR","SCALING_FORMAT=MLN","Sort=A","Dates=H","DateFormat=P","Fill=—","Direction=H","UseDPDF=Y")</f>
        <v>1742.5150000000001</v>
      </c>
      <c r="E13" s="19">
        <f>_xll.BDH("ALNY US Equity","BS_TOT_CAP","FQ1 2020","FQ1 2020","Currency=USD","Period=FQ","BEST_FPERIOD_OVERRIDE=FQ","FILING_STATUS=MR","SCALING_FORMAT=MLN","Sort=A","Dates=H","DateFormat=P","Fill=—","Direction=H","UseDPDF=Y")</f>
        <v>1654.5540000000001</v>
      </c>
      <c r="F13" s="19">
        <f>_xll.BDH("ALNY US Equity","BS_TOT_CAP","FQ2 2020","FQ2 2020","Currency=USD","Period=FQ","BEST_FPERIOD_OVERRIDE=FQ","FILING_STATUS=MR","SCALING_FORMAT=MLN","Sort=A","Dates=H","DateFormat=P","Fill=—","Direction=H","UseDPDF=Y")</f>
        <v>1714.7909999999999</v>
      </c>
      <c r="G13" s="19">
        <f>_xll.BDH("ALNY US Equity","BS_TOT_CAP","FQ3 2020","FQ3 2020","Currency=USD","Period=FQ","BEST_FPERIOD_OVERRIDE=FQ","FILING_STATUS=MR","SCALING_FORMAT=MLN","Sort=A","Dates=H","DateFormat=P","Fill=—","Direction=H","UseDPDF=Y")</f>
        <v>1544.4770000000001</v>
      </c>
      <c r="H13" s="19">
        <f>_xll.BDH("ALNY US Equity","BS_TOT_CAP","FQ4 2020","FQ4 2020","Currency=USD","Period=FQ","BEST_FPERIOD_OVERRIDE=FQ","FILING_STATUS=MR","SCALING_FORMAT=MLN","Sort=A","Dates=H","DateFormat=P","Fill=—","Direction=H","UseDPDF=Y")</f>
        <v>1537.4359999999999</v>
      </c>
      <c r="I13" s="19">
        <f>_xll.BDH("ALNY US Equity","BS_TOT_CAP","FQ1 2021","FQ1 2021","Currency=USD","Period=FQ","BEST_FPERIOD_OVERRIDE=FQ","FILING_STATUS=MR","SCALING_FORMAT=MLN","Sort=A","Dates=H","DateFormat=P","Fill=—","Direction=H","UseDPDF=Y")</f>
        <v>1444.712</v>
      </c>
      <c r="J13" s="19">
        <f>_xll.BDH("ALNY US Equity","BS_TOT_CAP","FQ2 2021","FQ2 2021","Currency=USD","Period=FQ","BEST_FPERIOD_OVERRIDE=FQ","FILING_STATUS=MR","SCALING_FORMAT=MLN","Sort=A","Dates=H","DateFormat=P","Fill=—","Direction=H","UseDPDF=Y")</f>
        <v>1614.434</v>
      </c>
      <c r="K13" s="19">
        <f>_xll.BDH("ALNY US Equity","BS_TOT_CAP","FQ3 2021","FQ3 2021","Currency=USD","Period=FQ","BEST_FPERIOD_OVERRIDE=FQ","FILING_STATUS=MR","SCALING_FORMAT=MLN","Sort=A","Dates=H","DateFormat=P","Fill=—","Direction=H","UseDPDF=Y")</f>
        <v>1516.3340000000001</v>
      </c>
      <c r="L13" s="19">
        <f>_xll.BDH("ALNY US Equity","BS_TOT_CAP","FQ4 2021","FQ4 2021","Currency=USD","Period=FQ","BEST_FPERIOD_OVERRIDE=FQ","FILING_STATUS=MR","SCALING_FORMAT=MLN","Sort=A","Dates=H","DateFormat=P","Fill=—","Direction=H","UseDPDF=Y")</f>
        <v>1585.7950000000001</v>
      </c>
      <c r="M13" s="19">
        <f>_xll.BDH("ALNY US Equity","BS_TOT_CAP","FQ1 2022","FQ1 2022","Currency=USD","Period=FQ","BEST_FPERIOD_OVERRIDE=FQ","FILING_STATUS=MR","SCALING_FORMAT=MLN","Sort=A","Dates=H","DateFormat=P","Fill=—","Direction=H","UseDPDF=Y")</f>
        <v>1396.5540000000001</v>
      </c>
      <c r="N13" s="19">
        <f>_xll.BDH("ALNY US Equity","BS_TOT_CAP","FQ2 2022","FQ2 2022","Currency=USD","Period=FQ","BEST_FPERIOD_OVERRIDE=FQ","FILING_STATUS=MR","SCALING_FORMAT=MLN","Sort=A","Dates=H","DateFormat=P","Fill=—","Direction=H","UseDPDF=Y")</f>
        <v>1167.0150000000001</v>
      </c>
      <c r="O13" s="19">
        <f>_xll.BDH("ALNY US Equity","BS_TOT_CAP","FQ3 2022","FQ3 2022","Currency=USD","Period=FQ","BEST_FPERIOD_OVERRIDE=FQ","FILING_STATUS=MR","SCALING_FORMAT=MLN","Sort=A","Dates=H","DateFormat=P","Fill=—","Direction=H","UseDPDF=Y")</f>
        <v>1472.1389999999999</v>
      </c>
      <c r="P13" s="19">
        <f>_xll.BDH("ALNY US Equity","BS_TOT_CAP","FQ4 2022","FQ4 2022","Currency=USD","Period=FQ","BEST_FPERIOD_OVERRIDE=FQ","FILING_STATUS=MR","SCALING_FORMAT=MLN","Sort=A","Dates=H","DateFormat=P","Fill=—","Direction=H","UseDPDF=Y")</f>
        <v>1162.0250000000001</v>
      </c>
      <c r="Q13" s="19">
        <f>_xll.BDH("ALNY US Equity","BS_TOT_CAP","FQ1 2023","FQ1 2023","Currency=USD","Period=FQ","BEST_FPERIOD_OVERRIDE=FQ","FILING_STATUS=MR","SCALING_FORMAT=MLN","Sort=A","Dates=H","DateFormat=P","Fill=—","Direction=H","UseDPDF=Y")</f>
        <v>1061.1010000000001</v>
      </c>
      <c r="R13" s="19">
        <f>_xll.BDH("ALNY US Equity","BS_TOT_CAP","FQ2 2023","FQ2 2023","Currency=USD","Period=FQ","BEST_FPERIOD_OVERRIDE=FQ","FILING_STATUS=MR","SCALING_FORMAT=MLN","Sort=A","Dates=H","DateFormat=P","Fill=—","Direction=H","UseDPDF=Y")</f>
        <v>906.202</v>
      </c>
      <c r="S13" s="19">
        <f>_xll.BDH("ALNY US Equity","BS_TOT_CAP","FQ3 2023","FQ3 2023","Currency=USD","Period=FQ","BEST_FPERIOD_OVERRIDE=FQ","FILING_STATUS=MR","SCALING_FORMAT=MLN","Sort=A","Dates=H","DateFormat=P","Fill=—","Direction=H","UseDPDF=Y")</f>
        <v>1143.17</v>
      </c>
      <c r="T13" s="19">
        <f>_xll.BDH("ALNY US Equity","BS_TOT_CAP","FQ4 2023","FQ4 2023","Currency=USD","Period=FQ","BEST_FPERIOD_OVERRIDE=FQ","FILING_STATUS=MR","SCALING_FORMAT=MLN","Sort=A","Dates=H","DateFormat=P","Fill=—","Direction=H","UseDPDF=Y")</f>
        <v>1084.7429999999999</v>
      </c>
      <c r="U13" s="19">
        <f>_xll.BDH("ALNY US Equity","BS_TOT_CAP","FQ1 2024","FQ1 2024","Currency=USD","Period=FQ","BEST_FPERIOD_OVERRIDE=FQ","FILING_STATUS=MR","SCALING_FORMAT=MLN","Sort=A","Dates=H","DateFormat=P","Fill=—","Direction=H","UseDPDF=Y")</f>
        <v>1081.961</v>
      </c>
      <c r="V13" s="19">
        <f>_xll.BDH("ALNY US Equity","BS_TOT_CAP","FQ2 2024","FQ2 2024","Currency=USD","Period=FQ","BEST_FPERIOD_OVERRIDE=FQ","FILING_STATUS=MR","SCALING_FORMAT=MLN","Sort=A","Dates=H","DateFormat=P","Fill=—","Direction=H","UseDPDF=Y")</f>
        <v>2643.2089999999998</v>
      </c>
      <c r="W13" s="19">
        <f>_xll.BDH("ALNY US Equity","BS_TOT_CAP","FQ3 2024","FQ3 2024","Currency=USD","Period=FQ","BEST_FPERIOD_OVERRIDE=FQ","FILING_STATUS=MR","SCALING_FORMAT=MLN","Sort=A","Dates=H","DateFormat=P","Fill=—","Direction=H","UseDPDF=Y")</f>
        <v>1334.182</v>
      </c>
      <c r="X13" s="19">
        <f>_xll.BDH("ALNY US Equity","BS_TOT_CAP","FQ4 2024","FQ4 2024","Currency=USD","Period=FQ","BEST_FPERIOD_OVERRIDE=FQ","FILING_STATUS=MR","SCALING_FORMAT=MLN","Sort=A","Dates=H","DateFormat=P","Fill=—","Direction=H","UseDPDF=Y")</f>
        <v>1363.136</v>
      </c>
      <c r="Y13" s="22">
        <v>1363.136</v>
      </c>
      <c r="Z13" s="19"/>
      <c r="AA13" s="19"/>
    </row>
    <row r="14" spans="1:27" x14ac:dyDescent="0.25">
      <c r="A14" s="10" t="s">
        <v>174</v>
      </c>
      <c r="B14" s="10" t="s">
        <v>175</v>
      </c>
      <c r="C14" s="14">
        <f>_xll.BDH("ALNY US Equity","TOT_DEBT_TO_TOT_CAP","FQ3 2019","FQ3 2019","Currency=USD","Period=FQ","BEST_FPERIOD_OVERRIDE=FQ","FILING_STATUS=MR","Sort=A","Dates=H","DateFormat=P","Fill=—","Direction=H","UseDPDF=Y")</f>
        <v>15.9345</v>
      </c>
      <c r="D14" s="14">
        <f>_xll.BDH("ALNY US Equity","TOT_DEBT_TO_TOT_CAP","FQ4 2019","FQ4 2019","Currency=USD","Period=FQ","BEST_FPERIOD_OVERRIDE=FQ","FILING_STATUS=MR","Sort=A","Dates=H","DateFormat=P","Fill=—","Direction=H","UseDPDF=Y")</f>
        <v>17.4359</v>
      </c>
      <c r="E14" s="14">
        <f>_xll.BDH("ALNY US Equity","TOT_DEBT_TO_TOT_CAP","FQ1 2020","FQ1 2020","Currency=USD","Period=FQ","BEST_FPERIOD_OVERRIDE=FQ","FILING_STATUS=MR","Sort=A","Dates=H","DateFormat=P","Fill=—","Direction=H","UseDPDF=Y")</f>
        <v>18.423400000000001</v>
      </c>
      <c r="F14" s="14">
        <f>_xll.BDH("ALNY US Equity","TOT_DEBT_TO_TOT_CAP","FQ2 2020","FQ2 2020","Currency=USD","Period=FQ","BEST_FPERIOD_OVERRIDE=FQ","FILING_STATUS=MR","Sort=A","Dates=H","DateFormat=P","Fill=—","Direction=H","UseDPDF=Y")</f>
        <v>18.3734</v>
      </c>
      <c r="G14" s="14">
        <f>_xll.BDH("ALNY US Equity","TOT_DEBT_TO_TOT_CAP","FQ3 2020","FQ3 2020","Currency=USD","Period=FQ","BEST_FPERIOD_OVERRIDE=FQ","FILING_STATUS=MR","Sort=A","Dates=H","DateFormat=P","Fill=—","Direction=H","UseDPDF=Y")</f>
        <v>21.331099999999999</v>
      </c>
      <c r="H14" s="14">
        <f>_xll.BDH("ALNY US Equity","TOT_DEBT_TO_TOT_CAP","FQ4 2020","FQ4 2020","Currency=USD","Period=FQ","BEST_FPERIOD_OVERRIDE=FQ","FILING_STATUS=MR","Sort=A","Dates=H","DateFormat=P","Fill=—","Direction=H","UseDPDF=Y")</f>
        <v>33.899900000000002</v>
      </c>
      <c r="I14" s="14">
        <f>_xll.BDH("ALNY US Equity","TOT_DEBT_TO_TOT_CAP","FQ1 2021","FQ1 2021","Currency=USD","Period=FQ","BEST_FPERIOD_OVERRIDE=FQ","FILING_STATUS=MR","Sort=A","Dates=H","DateFormat=P","Fill=—","Direction=H","UseDPDF=Y")</f>
        <v>35.890999999999998</v>
      </c>
      <c r="J14" s="14">
        <f>_xll.BDH("ALNY US Equity","TOT_DEBT_TO_TOT_CAP","FQ2 2021","FQ2 2021","Currency=USD","Period=FQ","BEST_FPERIOD_OVERRIDE=FQ","FILING_STATUS=MR","Sort=A","Dates=H","DateFormat=P","Fill=—","Direction=H","UseDPDF=Y")</f>
        <v>47.1417</v>
      </c>
      <c r="K14" s="14">
        <f>_xll.BDH("ALNY US Equity","TOT_DEBT_TO_TOT_CAP","FQ3 2021","FQ3 2021","Currency=USD","Period=FQ","BEST_FPERIOD_OVERRIDE=FQ","FILING_STATUS=MR","Sort=A","Dates=H","DateFormat=P","Fill=—","Direction=H","UseDPDF=Y")</f>
        <v>50.15</v>
      </c>
      <c r="L14" s="14">
        <f>_xll.BDH("ALNY US Equity","TOT_DEBT_TO_TOT_CAP","FQ4 2021","FQ4 2021","Currency=USD","Period=FQ","BEST_FPERIOD_OVERRIDE=FQ","FILING_STATUS=MR","Sort=A","Dates=H","DateFormat=P","Fill=—","Direction=H","UseDPDF=Y")</f>
        <v>62.908000000000001</v>
      </c>
      <c r="M14" s="14">
        <f>_xll.BDH("ALNY US Equity","TOT_DEBT_TO_TOT_CAP","FQ1 2022","FQ1 2022","Currency=USD","Period=FQ","BEST_FPERIOD_OVERRIDE=FQ","FILING_STATUS=MR","Sort=A","Dates=H","DateFormat=P","Fill=—","Direction=H","UseDPDF=Y")</f>
        <v>71.274600000000007</v>
      </c>
      <c r="N14" s="14">
        <f>_xll.BDH("ALNY US Equity","TOT_DEBT_TO_TOT_CAP","FQ2 2022","FQ2 2022","Currency=USD","Period=FQ","BEST_FPERIOD_OVERRIDE=FQ","FILING_STATUS=MR","Sort=A","Dates=H","DateFormat=P","Fill=—","Direction=H","UseDPDF=Y")</f>
        <v>84.915400000000005</v>
      </c>
      <c r="O14" s="14">
        <f>_xll.BDH("ALNY US Equity","TOT_DEBT_TO_TOT_CAP","FQ3 2022","FQ3 2022","Currency=USD","Period=FQ","BEST_FPERIOD_OVERRIDE=FQ","FILING_STATUS=MR","Sort=A","Dates=H","DateFormat=P","Fill=—","Direction=H","UseDPDF=Y")</f>
        <v>104.5945</v>
      </c>
      <c r="P14" s="14">
        <f>_xll.BDH("ALNY US Equity","TOT_DEBT_TO_TOT_CAP","FQ4 2022","FQ4 2022","Currency=USD","Period=FQ","BEST_FPERIOD_OVERRIDE=FQ","FILING_STATUS=MR","Sort=A","Dates=H","DateFormat=P","Fill=—","Direction=H","UseDPDF=Y")</f>
        <v>113.6161</v>
      </c>
      <c r="Q14" s="14">
        <f>_xll.BDH("ALNY US Equity","TOT_DEBT_TO_TOT_CAP","FQ1 2023","FQ1 2023","Currency=USD","Period=FQ","BEST_FPERIOD_OVERRIDE=FQ","FILING_STATUS=MR","Sort=A","Dates=H","DateFormat=P","Fill=—","Direction=H","UseDPDF=Y")</f>
        <v>124.4312</v>
      </c>
      <c r="R14" s="14">
        <f>_xll.BDH("ALNY US Equity","TOT_DEBT_TO_TOT_CAP","FQ2 2023","FQ2 2023","Currency=USD","Period=FQ","BEST_FPERIOD_OVERRIDE=FQ","FILING_STATUS=MR","Sort=A","Dates=H","DateFormat=P","Fill=—","Direction=H","UseDPDF=Y")</f>
        <v>145.03749999999999</v>
      </c>
      <c r="S14" s="14">
        <f>_xll.BDH("ALNY US Equity","TOT_DEBT_TO_TOT_CAP","FQ3 2023","FQ3 2023","Currency=USD","Period=FQ","BEST_FPERIOD_OVERRIDE=FQ","FILING_STATUS=MR","Sort=A","Dates=H","DateFormat=P","Fill=—","Direction=H","UseDPDF=Y")</f>
        <v>114.5093</v>
      </c>
      <c r="T14" s="14">
        <f>_xll.BDH("ALNY US Equity","TOT_DEBT_TO_TOT_CAP","FQ4 2023","FQ4 2023","Currency=USD","Period=FQ","BEST_FPERIOD_OVERRIDE=FQ","FILING_STATUS=MR","Sort=A","Dates=H","DateFormat=P","Fill=—","Direction=H","UseDPDF=Y")</f>
        <v>120.3407</v>
      </c>
      <c r="U14" s="14">
        <f>_xll.BDH("ALNY US Equity","TOT_DEBT_TO_TOT_CAP","FQ1 2024","FQ1 2024","Currency=USD","Period=FQ","BEST_FPERIOD_OVERRIDE=FQ","FILING_STATUS=MR","Sort=A","Dates=H","DateFormat=P","Fill=—","Direction=H","UseDPDF=Y")</f>
        <v>120.2662</v>
      </c>
      <c r="V14" s="14">
        <f>_xll.BDH("ALNY US Equity","TOT_DEBT_TO_TOT_CAP","FQ2 2024","FQ2 2024","Currency=USD","Period=FQ","BEST_FPERIOD_OVERRIDE=FQ","FILING_STATUS=MR","Sort=A","Dates=H","DateFormat=P","Fill=—","Direction=H","UseDPDF=Y")</f>
        <v>100.116</v>
      </c>
      <c r="W14" s="14">
        <f>_xll.BDH("ALNY US Equity","TOT_DEBT_TO_TOT_CAP","FQ3 2024","FQ3 2024","Currency=USD","Period=FQ","BEST_FPERIOD_OVERRIDE=FQ","FILING_STATUS=MR","Sort=A","Dates=H","DateFormat=P","Fill=—","Direction=H","UseDPDF=Y")</f>
        <v>97.575000000000003</v>
      </c>
      <c r="X14" s="14">
        <f>_xll.BDH("ALNY US Equity","TOT_DEBT_TO_TOT_CAP","FQ4 2024","FQ4 2024","Currency=USD","Period=FQ","BEST_FPERIOD_OVERRIDE=FQ","FILING_STATUS=MR","Sort=A","Dates=H","DateFormat=P","Fill=—","Direction=H","UseDPDF=Y")</f>
        <v>95.078400000000002</v>
      </c>
      <c r="Y14" s="17">
        <v>95.078407436968803</v>
      </c>
      <c r="Z14" s="14"/>
      <c r="AA14" s="14"/>
    </row>
    <row r="15" spans="1:27" x14ac:dyDescent="0.25">
      <c r="A15" s="10" t="s">
        <v>176</v>
      </c>
      <c r="B15" s="10" t="s">
        <v>177</v>
      </c>
      <c r="C15" s="14">
        <f>_xll.BDH("ALNY US Equity","TOTAL_DEBT_TO_EV","FQ3 2019","FQ3 2019","Currency=USD","Period=FQ","BEST_FPERIOD_OVERRIDE=FQ","FILING_STATUS=MR","Sort=A","Dates=H","DateFormat=P","Fill=—","Direction=H","UseDPDF=Y")</f>
        <v>4.0399999999999998E-2</v>
      </c>
      <c r="D15" s="14">
        <f>_xll.BDH("ALNY US Equity","TOTAL_DEBT_TO_EV","FQ4 2019","FQ4 2019","Currency=USD","Period=FQ","BEST_FPERIOD_OVERRIDE=FQ","FILING_STATUS=MR","Sort=A","Dates=H","DateFormat=P","Fill=—","Direction=H","UseDPDF=Y")</f>
        <v>2.5999999999999999E-2</v>
      </c>
      <c r="E15" s="14">
        <f>_xll.BDH("ALNY US Equity","TOTAL_DEBT_TO_EV","FQ1 2020","FQ1 2020","Currency=USD","Period=FQ","BEST_FPERIOD_OVERRIDE=FQ","FILING_STATUS=MR","Sort=A","Dates=H","DateFormat=P","Fill=—","Direction=H","UseDPDF=Y")</f>
        <v>2.7E-2</v>
      </c>
      <c r="F15" s="14">
        <f>_xll.BDH("ALNY US Equity","TOTAL_DEBT_TO_EV","FQ2 2020","FQ2 2020","Currency=USD","Period=FQ","BEST_FPERIOD_OVERRIDE=FQ","FILING_STATUS=MR","Sort=A","Dates=H","DateFormat=P","Fill=—","Direction=H","UseDPDF=Y")</f>
        <v>2.0299999999999999E-2</v>
      </c>
      <c r="G15" s="14">
        <f>_xll.BDH("ALNY US Equity","TOTAL_DEBT_TO_EV","FQ3 2020","FQ3 2020","Currency=USD","Period=FQ","BEST_FPERIOD_OVERRIDE=FQ","FILING_STATUS=MR","Sort=A","Dates=H","DateFormat=P","Fill=—","Direction=H","UseDPDF=Y")</f>
        <v>2.1399999999999999E-2</v>
      </c>
      <c r="H15" s="14">
        <f>_xll.BDH("ALNY US Equity","TOTAL_DEBT_TO_EV","FQ4 2020","FQ4 2020","Currency=USD","Period=FQ","BEST_FPERIOD_OVERRIDE=FQ","FILING_STATUS=MR","Sort=A","Dates=H","DateFormat=P","Fill=—","Direction=H","UseDPDF=Y")</f>
        <v>3.78E-2</v>
      </c>
      <c r="I15" s="14">
        <f>_xll.BDH("ALNY US Equity","TOTAL_DEBT_TO_EV","FQ1 2021","FQ1 2021","Currency=USD","Period=FQ","BEST_FPERIOD_OVERRIDE=FQ","FILING_STATUS=MR","Sort=A","Dates=H","DateFormat=P","Fill=—","Direction=H","UseDPDF=Y")</f>
        <v>3.3700000000000001E-2</v>
      </c>
      <c r="J15" s="14">
        <f>_xll.BDH("ALNY US Equity","TOTAL_DEBT_TO_EV","FQ2 2021","FQ2 2021","Currency=USD","Period=FQ","BEST_FPERIOD_OVERRIDE=FQ","FILING_STATUS=MR","Sort=A","Dates=H","DateFormat=P","Fill=—","Direction=H","UseDPDF=Y")</f>
        <v>4.0099999999999997E-2</v>
      </c>
      <c r="K15" s="14">
        <f>_xll.BDH("ALNY US Equity","TOTAL_DEBT_TO_EV","FQ3 2021","FQ3 2021","Currency=USD","Period=FQ","BEST_FPERIOD_OVERRIDE=FQ","FILING_STATUS=MR","Sort=A","Dates=H","DateFormat=P","Fill=—","Direction=H","UseDPDF=Y")</f>
        <v>3.6200000000000003E-2</v>
      </c>
      <c r="L15" s="14">
        <f>_xll.BDH("ALNY US Equity","TOTAL_DEBT_TO_EV","FQ4 2021","FQ4 2021","Currency=USD","Period=FQ","BEST_FPERIOD_OVERRIDE=FQ","FILING_STATUS=MR","Sort=A","Dates=H","DateFormat=P","Fill=—","Direction=H","UseDPDF=Y")</f>
        <v>5.2699999999999997E-2</v>
      </c>
      <c r="M15" s="14">
        <f>_xll.BDH("ALNY US Equity","TOTAL_DEBT_TO_EV","FQ1 2022","FQ1 2022","Currency=USD","Period=FQ","BEST_FPERIOD_OVERRIDE=FQ","FILING_STATUS=MR","Sort=A","Dates=H","DateFormat=P","Fill=—","Direction=H","UseDPDF=Y")</f>
        <v>5.3900000000000003E-2</v>
      </c>
      <c r="N15" s="14">
        <f>_xll.BDH("ALNY US Equity","TOTAL_DEBT_TO_EV","FQ2 2022","FQ2 2022","Currency=USD","Period=FQ","BEST_FPERIOD_OVERRIDE=FQ","FILING_STATUS=MR","Sort=A","Dates=H","DateFormat=P","Fill=—","Direction=H","UseDPDF=Y")</f>
        <v>0.06</v>
      </c>
      <c r="O15" s="14">
        <f>_xll.BDH("ALNY US Equity","TOTAL_DEBT_TO_EV","FQ3 2022","FQ3 2022","Currency=USD","Period=FQ","BEST_FPERIOD_OVERRIDE=FQ","FILING_STATUS=MR","Sort=A","Dates=H","DateFormat=P","Fill=—","Direction=H","UseDPDF=Y")</f>
        <v>6.4399999999999999E-2</v>
      </c>
      <c r="P15" s="14">
        <f>_xll.BDH("ALNY US Equity","TOTAL_DEBT_TO_EV","FQ4 2022","FQ4 2022","Currency=USD","Period=FQ","BEST_FPERIOD_OVERRIDE=FQ","FILING_STATUS=MR","Sort=A","Dates=H","DateFormat=P","Fill=—","Direction=H","UseDPDF=Y")</f>
        <v>4.6199999999999998E-2</v>
      </c>
      <c r="Q15" s="14">
        <f>_xll.BDH("ALNY US Equity","TOTAL_DEBT_TO_EV","FQ1 2023","FQ1 2023","Currency=USD","Period=FQ","BEST_FPERIOD_OVERRIDE=FQ","FILING_STATUS=MR","Sort=A","Dates=H","DateFormat=P","Fill=—","Direction=H","UseDPDF=Y")</f>
        <v>5.4699999999999999E-2</v>
      </c>
      <c r="R15" s="14">
        <f>_xll.BDH("ALNY US Equity","TOTAL_DEBT_TO_EV","FQ2 2023","FQ2 2023","Currency=USD","Period=FQ","BEST_FPERIOD_OVERRIDE=FQ","FILING_STATUS=MR","Sort=A","Dates=H","DateFormat=P","Fill=—","Direction=H","UseDPDF=Y")</f>
        <v>5.7500000000000002E-2</v>
      </c>
      <c r="S15" s="14">
        <f>_xll.BDH("ALNY US Equity","TOTAL_DEBT_TO_EV","FQ3 2023","FQ3 2023","Currency=USD","Period=FQ","BEST_FPERIOD_OVERRIDE=FQ","FILING_STATUS=MR","Sort=A","Dates=H","DateFormat=P","Fill=—","Direction=H","UseDPDF=Y")</f>
        <v>6.2E-2</v>
      </c>
      <c r="T15" s="14">
        <f>_xll.BDH("ALNY US Equity","TOTAL_DEBT_TO_EV","FQ4 2023","FQ4 2023","Currency=USD","Period=FQ","BEST_FPERIOD_OVERRIDE=FQ","FILING_STATUS=MR","Sort=A","Dates=H","DateFormat=P","Fill=—","Direction=H","UseDPDF=Y")</f>
        <v>5.6899999999999999E-2</v>
      </c>
      <c r="U15" s="14">
        <f>_xll.BDH("ALNY US Equity","TOTAL_DEBT_TO_EV","FQ1 2024","FQ1 2024","Currency=USD","Period=FQ","BEST_FPERIOD_OVERRIDE=FQ","FILING_STATUS=MR","Sort=A","Dates=H","DateFormat=P","Fill=—","Direction=H","UseDPDF=Y")</f>
        <v>7.2999999999999995E-2</v>
      </c>
      <c r="V15" s="14">
        <f>_xll.BDH("ALNY US Equity","TOTAL_DEBT_TO_EV","FQ2 2024","FQ2 2024","Currency=USD","Period=FQ","BEST_FPERIOD_OVERRIDE=FQ","FILING_STATUS=MR","Sort=A","Dates=H","DateFormat=P","Fill=—","Direction=H","UseDPDF=Y")</f>
        <v>8.5000000000000006E-2</v>
      </c>
      <c r="W15" s="14">
        <f>_xll.BDH("ALNY US Equity","TOTAL_DEBT_TO_EV","FQ3 2024","FQ3 2024","Currency=USD","Period=FQ","BEST_FPERIOD_OVERRIDE=FQ","FILING_STATUS=MR","Sort=A","Dates=H","DateFormat=P","Fill=—","Direction=H","UseDPDF=Y")</f>
        <v>3.8300000000000001E-2</v>
      </c>
      <c r="X15" s="14">
        <f>_xll.BDH("ALNY US Equity","TOTAL_DEBT_TO_EV","FQ4 2024","FQ4 2024","Currency=USD","Period=FQ","BEST_FPERIOD_OVERRIDE=FQ","FILING_STATUS=MR","Sort=A","Dates=H","DateFormat=P","Fill=—","Direction=H","UseDPDF=Y")</f>
        <v>4.4699999999999997E-2</v>
      </c>
      <c r="Y15" s="17">
        <v>3.8669161899691898E-2</v>
      </c>
      <c r="Z15" s="14"/>
      <c r="AA15" s="14"/>
    </row>
    <row r="16" spans="1:27" x14ac:dyDescent="0.25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1"/>
      <c r="Z16" s="18"/>
      <c r="AA16" s="18"/>
    </row>
    <row r="17" spans="1:27" x14ac:dyDescent="0.25">
      <c r="A17" s="6" t="s">
        <v>178</v>
      </c>
      <c r="B17" s="6" t="s">
        <v>179</v>
      </c>
      <c r="C17" s="20">
        <f>_xll.BDH("ALNY US Equity","EV_TO_T12M_SALES","FQ3 2019","FQ3 2019","Currency=USD","Period=FQ","BEST_FPERIOD_OVERRIDE=FQ","FILING_STATUS=MR","FA_ADJUSTED=GAAP","Sort=A","Dates=H","DateFormat=P","Fill=—","Direction=H","UseDPDF=Y")</f>
        <v>44.566699999999997</v>
      </c>
      <c r="D17" s="20">
        <f>_xll.BDH("ALNY US Equity","EV_TO_T12M_SALES","FQ4 2019","FQ4 2019","Currency=USD","Period=FQ","BEST_FPERIOD_OVERRIDE=FQ","FILING_STATUS=MR","FA_ADJUSTED=GAAP","Sort=A","Dates=H","DateFormat=P","Fill=—","Direction=H","UseDPDF=Y")</f>
        <v>53.189300000000003</v>
      </c>
      <c r="E17" s="20">
        <f>_xll.BDH("ALNY US Equity","EV_TO_T12M_SALES","FQ1 2020","FQ1 2020","Currency=USD","Period=FQ","BEST_FPERIOD_OVERRIDE=FQ","FILING_STATUS=MR","FA_ADJUSTED=GAAP","Sort=A","Dates=H","DateFormat=P","Fill=—","Direction=H","UseDPDF=Y")</f>
        <v>39.453299999999999</v>
      </c>
      <c r="F17" s="20">
        <f>_xll.BDH("ALNY US Equity","EV_TO_T12M_SALES","FQ2 2020","FQ2 2020","Currency=USD","Period=FQ","BEST_FPERIOD_OVERRIDE=FQ","FILING_STATUS=MR","FA_ADJUSTED=GAAP","Sort=A","Dates=H","DateFormat=P","Fill=—","Direction=H","UseDPDF=Y")</f>
        <v>44.956200000000003</v>
      </c>
      <c r="G17" s="20">
        <f>_xll.BDH("ALNY US Equity","EV_TO_T12M_SALES","FQ3 2020","FQ3 2020","Currency=USD","Period=FQ","BEST_FPERIOD_OVERRIDE=FQ","FILING_STATUS=MR","FA_ADJUSTED=GAAP","Sort=A","Dates=H","DateFormat=P","Fill=—","Direction=H","UseDPDF=Y")</f>
        <v>38.421599999999998</v>
      </c>
      <c r="H17" s="20">
        <f>_xll.BDH("ALNY US Equity","EV_TO_T12M_SALES","FQ4 2020","FQ4 2020","Currency=USD","Period=FQ","BEST_FPERIOD_OVERRIDE=FQ","FILING_STATUS=MR","FA_ADJUSTED=GAAP","Sort=A","Dates=H","DateFormat=P","Fill=—","Direction=H","UseDPDF=Y")</f>
        <v>27.9572</v>
      </c>
      <c r="I17" s="20">
        <f>_xll.BDH("ALNY US Equity","EV_TO_T12M_SALES","FQ1 2021","FQ1 2021","Currency=USD","Period=FQ","BEST_FPERIOD_OVERRIDE=FQ","FILING_STATUS=MR","FA_ADJUSTED=GAAP","Sort=A","Dates=H","DateFormat=P","Fill=—","Direction=H","UseDPDF=Y")</f>
        <v>26.926600000000001</v>
      </c>
      <c r="J17" s="20">
        <f>_xll.BDH("ALNY US Equity","EV_TO_T12M_SALES","FQ2 2021","FQ2 2021","Currency=USD","Period=FQ","BEST_FPERIOD_OVERRIDE=FQ","FILING_STATUS=MR","FA_ADJUSTED=GAAP","Sort=A","Dates=H","DateFormat=P","Fill=—","Direction=H","UseDPDF=Y")</f>
        <v>27.584599999999998</v>
      </c>
      <c r="K17" s="20">
        <f>_xll.BDH("ALNY US Equity","EV_TO_T12M_SALES","FQ3 2021","FQ3 2021","Currency=USD","Period=FQ","BEST_FPERIOD_OVERRIDE=FQ","FILING_STATUS=MR","FA_ADJUSTED=GAAP","Sort=A","Dates=H","DateFormat=P","Fill=—","Direction=H","UseDPDF=Y")</f>
        <v>28.014399999999998</v>
      </c>
      <c r="L17" s="20">
        <f>_xll.BDH("ALNY US Equity","EV_TO_T12M_SALES","FQ4 2021","FQ4 2021","Currency=USD","Period=FQ","BEST_FPERIOD_OVERRIDE=FQ","FILING_STATUS=MR","FA_ADJUSTED=GAAP","Sort=A","Dates=H","DateFormat=P","Fill=—","Direction=H","UseDPDF=Y")</f>
        <v>22.4361</v>
      </c>
      <c r="M17" s="20">
        <f>_xll.BDH("ALNY US Equity","EV_TO_T12M_SALES","FQ1 2022","FQ1 2022","Currency=USD","Period=FQ","BEST_FPERIOD_OVERRIDE=FQ","FILING_STATUS=MR","FA_ADJUSTED=GAAP","Sort=A","Dates=H","DateFormat=P","Fill=—","Direction=H","UseDPDF=Y")</f>
        <v>20.988700000000001</v>
      </c>
      <c r="N17" s="20">
        <f>_xll.BDH("ALNY US Equity","EV_TO_T12M_SALES","FQ2 2022","FQ2 2022","Currency=USD","Period=FQ","BEST_FPERIOD_OVERRIDE=FQ","FILING_STATUS=MR","FA_ADJUSTED=GAAP","Sort=A","Dates=H","DateFormat=P","Fill=—","Direction=H","UseDPDF=Y")</f>
        <v>18.6906</v>
      </c>
      <c r="O17" s="20">
        <f>_xll.BDH("ALNY US Equity","EV_TO_T12M_SALES","FQ3 2022","FQ3 2022","Currency=USD","Period=FQ","BEST_FPERIOD_OVERRIDE=FQ","FILING_STATUS=MR","FA_ADJUSTED=GAAP","Sort=A","Dates=H","DateFormat=P","Fill=—","Direction=H","UseDPDF=Y")</f>
        <v>24.864100000000001</v>
      </c>
      <c r="P17" s="20">
        <f>_xll.BDH("ALNY US Equity","EV_TO_T12M_SALES","FQ4 2022","FQ4 2022","Currency=USD","Period=FQ","BEST_FPERIOD_OVERRIDE=FQ","FILING_STATUS=MR","FA_ADJUSTED=GAAP","Sort=A","Dates=H","DateFormat=P","Fill=—","Direction=H","UseDPDF=Y")</f>
        <v>27.547799999999999</v>
      </c>
      <c r="Q17" s="20">
        <f>_xll.BDH("ALNY US Equity","EV_TO_T12M_SALES","FQ1 2023","FQ1 2023","Currency=USD","Period=FQ","BEST_FPERIOD_OVERRIDE=FQ","FILING_STATUS=MR","FA_ADJUSTED=GAAP","Sort=A","Dates=H","DateFormat=P","Fill=—","Direction=H","UseDPDF=Y")</f>
        <v>21.109500000000001</v>
      </c>
      <c r="R17" s="20">
        <f>_xll.BDH("ALNY US Equity","EV_TO_T12M_SALES","FQ2 2023","FQ2 2023","Currency=USD","Period=FQ","BEST_FPERIOD_OVERRIDE=FQ","FILING_STATUS=MR","FA_ADJUSTED=GAAP","Sort=A","Dates=H","DateFormat=P","Fill=—","Direction=H","UseDPDF=Y")</f>
        <v>18.470500000000001</v>
      </c>
      <c r="S17" s="20">
        <f>_xll.BDH("ALNY US Equity","EV_TO_T12M_SALES","FQ3 2023","FQ3 2023","Currency=USD","Period=FQ","BEST_FPERIOD_OVERRIDE=FQ","FILING_STATUS=MR","FA_ADJUSTED=GAAP","Sort=A","Dates=H","DateFormat=P","Fill=—","Direction=H","UseDPDF=Y")</f>
        <v>12.2537</v>
      </c>
      <c r="T17" s="20">
        <f>_xll.BDH("ALNY US Equity","EV_TO_T12M_SALES","FQ4 2023","FQ4 2023","Currency=USD","Period=FQ","BEST_FPERIOD_OVERRIDE=FQ","FILING_STATUS=MR","FA_ADJUSTED=GAAP","Sort=A","Dates=H","DateFormat=P","Fill=—","Direction=H","UseDPDF=Y")</f>
        <v>12.5495</v>
      </c>
      <c r="U17" s="20">
        <f>_xll.BDH("ALNY US Equity","EV_TO_T12M_SALES","FQ1 2024","FQ1 2024","Currency=USD","Period=FQ","BEST_FPERIOD_OVERRIDE=FQ","FILING_STATUS=MR","FA_ADJUSTED=GAAP","Sort=A","Dates=H","DateFormat=P","Fill=—","Direction=H","UseDPDF=Y")</f>
        <v>8.9001000000000001</v>
      </c>
      <c r="V17" s="20">
        <f>_xll.BDH("ALNY US Equity","EV_TO_T12M_SALES","FQ2 2024","FQ2 2024","Currency=USD","Period=FQ","BEST_FPERIOD_OVERRIDE=FQ","FILING_STATUS=MR","FA_ADJUSTED=GAAP","Sort=A","Dates=H","DateFormat=P","Fill=—","Direction=H","UseDPDF=Y")</f>
        <v>13.278700000000001</v>
      </c>
      <c r="W17" s="20">
        <f>_xll.BDH("ALNY US Equity","EV_TO_T12M_SALES","FQ3 2024","FQ3 2024","Currency=USD","Period=FQ","BEST_FPERIOD_OVERRIDE=FQ","FILING_STATUS=MR","FA_ADJUSTED=GAAP","Sort=A","Dates=H","DateFormat=P","Fill=—","Direction=H","UseDPDF=Y")</f>
        <v>16.210100000000001</v>
      </c>
      <c r="X17" s="20">
        <f>_xll.BDH("ALNY US Equity","EV_TO_T12M_SALES","FQ4 2024","FQ4 2024","Currency=USD","Period=FQ","BEST_FPERIOD_OVERRIDE=FQ","FILING_STATUS=MR","FA_ADJUSTED=GAAP","Sort=A","Dates=H","DateFormat=P","Fill=—","Direction=H","UseDPDF=Y")</f>
        <v>12.910399999999999</v>
      </c>
      <c r="Y17" s="23">
        <v>14.907783494577799</v>
      </c>
      <c r="Z17" s="20">
        <v>11.7046241090745</v>
      </c>
      <c r="AA17" s="20">
        <v>10.741828371219601</v>
      </c>
    </row>
    <row r="18" spans="1:27" x14ac:dyDescent="0.25">
      <c r="A18" s="6" t="s">
        <v>180</v>
      </c>
      <c r="B18" s="6" t="s">
        <v>181</v>
      </c>
      <c r="C18" s="20" t="str">
        <f>_xll.BDH("ALNY US Equity","EV_TO_T12M_EBITDA","FQ3 2019","FQ3 2019","Currency=USD","Period=FQ","BEST_FPERIOD_OVERRIDE=FQ","FILING_STATUS=MR","FA_ADJUSTED=GAAP","Sort=A","Dates=H","DateFormat=P","Fill=—","Direction=H","UseDPDF=Y")</f>
        <v>—</v>
      </c>
      <c r="D18" s="20" t="str">
        <f>_xll.BDH("ALNY US Equity","EV_TO_T12M_EBITDA","FQ4 2019","FQ4 2019","Currency=USD","Period=FQ","BEST_FPERIOD_OVERRIDE=FQ","FILING_STATUS=MR","FA_ADJUSTED=GAAP","Sort=A","Dates=H","DateFormat=P","Fill=—","Direction=H","UseDPDF=Y")</f>
        <v>—</v>
      </c>
      <c r="E18" s="20" t="str">
        <f>_xll.BDH("ALNY US Equity","EV_TO_T12M_EBITDA","FQ1 2020","FQ1 2020","Currency=USD","Period=FQ","BEST_FPERIOD_OVERRIDE=FQ","FILING_STATUS=MR","FA_ADJUSTED=GAAP","Sort=A","Dates=H","DateFormat=P","Fill=—","Direction=H","UseDPDF=Y")</f>
        <v>—</v>
      </c>
      <c r="F18" s="20" t="str">
        <f>_xll.BDH("ALNY US Equity","EV_TO_T12M_EBITDA","FQ2 2020","FQ2 2020","Currency=USD","Period=FQ","BEST_FPERIOD_OVERRIDE=FQ","FILING_STATUS=MR","FA_ADJUSTED=GAAP","Sort=A","Dates=H","DateFormat=P","Fill=—","Direction=H","UseDPDF=Y")</f>
        <v>—</v>
      </c>
      <c r="G18" s="20" t="str">
        <f>_xll.BDH("ALNY US Equity","EV_TO_T12M_EBITDA","FQ3 2020","FQ3 2020","Currency=USD","Period=FQ","BEST_FPERIOD_OVERRIDE=FQ","FILING_STATUS=MR","FA_ADJUSTED=GAAP","Sort=A","Dates=H","DateFormat=P","Fill=—","Direction=H","UseDPDF=Y")</f>
        <v>—</v>
      </c>
      <c r="H18" s="20" t="str">
        <f>_xll.BDH("ALNY US Equity","EV_TO_T12M_EBITDA","FQ4 2020","FQ4 2020","Currency=USD","Period=FQ","BEST_FPERIOD_OVERRIDE=FQ","FILING_STATUS=MR","FA_ADJUSTED=GAAP","Sort=A","Dates=H","DateFormat=P","Fill=—","Direction=H","UseDPDF=Y")</f>
        <v>—</v>
      </c>
      <c r="I18" s="20" t="str">
        <f>_xll.BDH("ALNY US Equity","EV_TO_T12M_EBITDA","FQ1 2021","FQ1 2021","Currency=USD","Period=FQ","BEST_FPERIOD_OVERRIDE=FQ","FILING_STATUS=MR","FA_ADJUSTED=GAAP","Sort=A","Dates=H","DateFormat=P","Fill=—","Direction=H","UseDPDF=Y")</f>
        <v>—</v>
      </c>
      <c r="J18" s="20" t="str">
        <f>_xll.BDH("ALNY US Equity","EV_TO_T12M_EBITDA","FQ2 2021","FQ2 2021","Currency=USD","Period=FQ","BEST_FPERIOD_OVERRIDE=FQ","FILING_STATUS=MR","FA_ADJUSTED=GAAP","Sort=A","Dates=H","DateFormat=P","Fill=—","Direction=H","UseDPDF=Y")</f>
        <v>—</v>
      </c>
      <c r="K18" s="20" t="str">
        <f>_xll.BDH("ALNY US Equity","EV_TO_T12M_EBITDA","FQ3 2021","FQ3 2021","Currency=USD","Period=FQ","BEST_FPERIOD_OVERRIDE=FQ","FILING_STATUS=MR","FA_ADJUSTED=GAAP","Sort=A","Dates=H","DateFormat=P","Fill=—","Direction=H","UseDPDF=Y")</f>
        <v>—</v>
      </c>
      <c r="L18" s="20" t="str">
        <f>_xll.BDH("ALNY US Equity","EV_TO_T12M_EBITDA","FQ4 2021","FQ4 2021","Currency=USD","Period=FQ","BEST_FPERIOD_OVERRIDE=FQ","FILING_STATUS=MR","FA_ADJUSTED=GAAP","Sort=A","Dates=H","DateFormat=P","Fill=—","Direction=H","UseDPDF=Y")</f>
        <v>—</v>
      </c>
      <c r="M18" s="20" t="str">
        <f>_xll.BDH("ALNY US Equity","EV_TO_T12M_EBITDA","FQ1 2022","FQ1 2022","Currency=USD","Period=FQ","BEST_FPERIOD_OVERRIDE=FQ","FILING_STATUS=MR","FA_ADJUSTED=GAAP","Sort=A","Dates=H","DateFormat=P","Fill=—","Direction=H","UseDPDF=Y")</f>
        <v>—</v>
      </c>
      <c r="N18" s="20" t="str">
        <f>_xll.BDH("ALNY US Equity","EV_TO_T12M_EBITDA","FQ2 2022","FQ2 2022","Currency=USD","Period=FQ","BEST_FPERIOD_OVERRIDE=FQ","FILING_STATUS=MR","FA_ADJUSTED=GAAP","Sort=A","Dates=H","DateFormat=P","Fill=—","Direction=H","UseDPDF=Y")</f>
        <v>—</v>
      </c>
      <c r="O18" s="20" t="str">
        <f>_xll.BDH("ALNY US Equity","EV_TO_T12M_EBITDA","FQ3 2022","FQ3 2022","Currency=USD","Period=FQ","BEST_FPERIOD_OVERRIDE=FQ","FILING_STATUS=MR","FA_ADJUSTED=GAAP","Sort=A","Dates=H","DateFormat=P","Fill=—","Direction=H","UseDPDF=Y")</f>
        <v>—</v>
      </c>
      <c r="P18" s="20" t="str">
        <f>_xll.BDH("ALNY US Equity","EV_TO_T12M_EBITDA","FQ4 2022","FQ4 2022","Currency=USD","Period=FQ","BEST_FPERIOD_OVERRIDE=FQ","FILING_STATUS=MR","FA_ADJUSTED=GAAP","Sort=A","Dates=H","DateFormat=P","Fill=—","Direction=H","UseDPDF=Y")</f>
        <v>—</v>
      </c>
      <c r="Q18" s="20" t="str">
        <f>_xll.BDH("ALNY US Equity","EV_TO_T12M_EBITDA","FQ1 2023","FQ1 2023","Currency=USD","Period=FQ","BEST_FPERIOD_OVERRIDE=FQ","FILING_STATUS=MR","FA_ADJUSTED=GAAP","Sort=A","Dates=H","DateFormat=P","Fill=—","Direction=H","UseDPDF=Y")</f>
        <v>—</v>
      </c>
      <c r="R18" s="20" t="str">
        <f>_xll.BDH("ALNY US Equity","EV_TO_T12M_EBITDA","FQ2 2023","FQ2 2023","Currency=USD","Period=FQ","BEST_FPERIOD_OVERRIDE=FQ","FILING_STATUS=MR","FA_ADJUSTED=GAAP","Sort=A","Dates=H","DateFormat=P","Fill=—","Direction=H","UseDPDF=Y")</f>
        <v>—</v>
      </c>
      <c r="S18" s="20" t="str">
        <f>_xll.BDH("ALNY US Equity","EV_TO_T12M_EBITDA","FQ3 2023","FQ3 2023","Currency=USD","Period=FQ","BEST_FPERIOD_OVERRIDE=FQ","FILING_STATUS=MR","FA_ADJUSTED=GAAP","Sort=A","Dates=H","DateFormat=P","Fill=—","Direction=H","UseDPDF=Y")</f>
        <v>—</v>
      </c>
      <c r="T18" s="20" t="str">
        <f>_xll.BDH("ALNY US Equity","EV_TO_T12M_EBITDA","FQ4 2023","FQ4 2023","Currency=USD","Period=FQ","BEST_FPERIOD_OVERRIDE=FQ","FILING_STATUS=MR","FA_ADJUSTED=GAAP","Sort=A","Dates=H","DateFormat=P","Fill=—","Direction=H","UseDPDF=Y")</f>
        <v>—</v>
      </c>
      <c r="U18" s="20" t="str">
        <f>_xll.BDH("ALNY US Equity","EV_TO_T12M_EBITDA","FQ1 2024","FQ1 2024","Currency=USD","Period=FQ","BEST_FPERIOD_OVERRIDE=FQ","FILING_STATUS=MR","FA_ADJUSTED=GAAP","Sort=A","Dates=H","DateFormat=P","Fill=—","Direction=H","UseDPDF=Y")</f>
        <v>—</v>
      </c>
      <c r="V18" s="20">
        <f>_xll.BDH("ALNY US Equity","EV_TO_T12M_EBITDA","FQ2 2024","FQ2 2024","Currency=USD","Period=FQ","BEST_FPERIOD_OVERRIDE=FQ","FILING_STATUS=MR","FA_ADJUSTED=GAAP","Sort=A","Dates=H","DateFormat=P","Fill=—","Direction=H","UseDPDF=Y")</f>
        <v>155.40110000000001</v>
      </c>
      <c r="W18" s="20" t="str">
        <f>_xll.BDH("ALNY US Equity","EV_TO_T12M_EBITDA","FQ3 2024","FQ3 2024","Currency=USD","Period=FQ","BEST_FPERIOD_OVERRIDE=FQ","FILING_STATUS=MR","FA_ADJUSTED=GAAP","Sort=A","Dates=H","DateFormat=P","Fill=—","Direction=H","UseDPDF=Y")</f>
        <v>—</v>
      </c>
      <c r="X18" s="20" t="str">
        <f>_xll.BDH("ALNY US Equity","EV_TO_T12M_EBITDA","FQ4 2024","FQ4 2024","Currency=USD","Period=FQ","BEST_FPERIOD_OVERRIDE=FQ","FILING_STATUS=MR","FA_ADJUSTED=GAAP","Sort=A","Dates=H","DateFormat=P","Fill=—","Direction=H","UseDPDF=Y")</f>
        <v>—</v>
      </c>
      <c r="Y18" s="23"/>
      <c r="Z18" s="20">
        <v>713.027195710456</v>
      </c>
      <c r="AA18" s="20">
        <v>67.0936286579213</v>
      </c>
    </row>
    <row r="19" spans="1:27" x14ac:dyDescent="0.25">
      <c r="A19" s="6" t="s">
        <v>182</v>
      </c>
      <c r="B19" s="6" t="s">
        <v>183</v>
      </c>
      <c r="C19" s="20" t="str">
        <f>_xll.BDH("ALNY US Equity","EV_TO_T12M_EBIT","FQ3 2019","FQ3 2019","Currency=USD","Period=FQ","BEST_FPERIOD_OVERRIDE=FQ","FILING_STATUS=MR","FA_ADJUSTED=GAAP","Sort=A","Dates=H","DateFormat=P","Fill=—","Direction=H","UseDPDF=Y")</f>
        <v>—</v>
      </c>
      <c r="D19" s="20" t="str">
        <f>_xll.BDH("ALNY US Equity","EV_TO_T12M_EBIT","FQ4 2019","FQ4 2019","Currency=USD","Period=FQ","BEST_FPERIOD_OVERRIDE=FQ","FILING_STATUS=MR","FA_ADJUSTED=GAAP","Sort=A","Dates=H","DateFormat=P","Fill=—","Direction=H","UseDPDF=Y")</f>
        <v>—</v>
      </c>
      <c r="E19" s="20" t="str">
        <f>_xll.BDH("ALNY US Equity","EV_TO_T12M_EBIT","FQ1 2020","FQ1 2020","Currency=USD","Period=FQ","BEST_FPERIOD_OVERRIDE=FQ","FILING_STATUS=MR","FA_ADJUSTED=GAAP","Sort=A","Dates=H","DateFormat=P","Fill=—","Direction=H","UseDPDF=Y")</f>
        <v>—</v>
      </c>
      <c r="F19" s="20" t="str">
        <f>_xll.BDH("ALNY US Equity","EV_TO_T12M_EBIT","FQ2 2020","FQ2 2020","Currency=USD","Period=FQ","BEST_FPERIOD_OVERRIDE=FQ","FILING_STATUS=MR","FA_ADJUSTED=GAAP","Sort=A","Dates=H","DateFormat=P","Fill=—","Direction=H","UseDPDF=Y")</f>
        <v>—</v>
      </c>
      <c r="G19" s="20" t="str">
        <f>_xll.BDH("ALNY US Equity","EV_TO_T12M_EBIT","FQ3 2020","FQ3 2020","Currency=USD","Period=FQ","BEST_FPERIOD_OVERRIDE=FQ","FILING_STATUS=MR","FA_ADJUSTED=GAAP","Sort=A","Dates=H","DateFormat=P","Fill=—","Direction=H","UseDPDF=Y")</f>
        <v>—</v>
      </c>
      <c r="H19" s="20" t="str">
        <f>_xll.BDH("ALNY US Equity","EV_TO_T12M_EBIT","FQ4 2020","FQ4 2020","Currency=USD","Period=FQ","BEST_FPERIOD_OVERRIDE=FQ","FILING_STATUS=MR","FA_ADJUSTED=GAAP","Sort=A","Dates=H","DateFormat=P","Fill=—","Direction=H","UseDPDF=Y")</f>
        <v>—</v>
      </c>
      <c r="I19" s="20" t="str">
        <f>_xll.BDH("ALNY US Equity","EV_TO_T12M_EBIT","FQ1 2021","FQ1 2021","Currency=USD","Period=FQ","BEST_FPERIOD_OVERRIDE=FQ","FILING_STATUS=MR","FA_ADJUSTED=GAAP","Sort=A","Dates=H","DateFormat=P","Fill=—","Direction=H","UseDPDF=Y")</f>
        <v>—</v>
      </c>
      <c r="J19" s="20" t="str">
        <f>_xll.BDH("ALNY US Equity","EV_TO_T12M_EBIT","FQ2 2021","FQ2 2021","Currency=USD","Period=FQ","BEST_FPERIOD_OVERRIDE=FQ","FILING_STATUS=MR","FA_ADJUSTED=GAAP","Sort=A","Dates=H","DateFormat=P","Fill=—","Direction=H","UseDPDF=Y")</f>
        <v>—</v>
      </c>
      <c r="K19" s="20" t="str">
        <f>_xll.BDH("ALNY US Equity","EV_TO_T12M_EBIT","FQ3 2021","FQ3 2021","Currency=USD","Period=FQ","BEST_FPERIOD_OVERRIDE=FQ","FILING_STATUS=MR","FA_ADJUSTED=GAAP","Sort=A","Dates=H","DateFormat=P","Fill=—","Direction=H","UseDPDF=Y")</f>
        <v>—</v>
      </c>
      <c r="L19" s="20" t="str">
        <f>_xll.BDH("ALNY US Equity","EV_TO_T12M_EBIT","FQ4 2021","FQ4 2021","Currency=USD","Period=FQ","BEST_FPERIOD_OVERRIDE=FQ","FILING_STATUS=MR","FA_ADJUSTED=GAAP","Sort=A","Dates=H","DateFormat=P","Fill=—","Direction=H","UseDPDF=Y")</f>
        <v>—</v>
      </c>
      <c r="M19" s="20" t="str">
        <f>_xll.BDH("ALNY US Equity","EV_TO_T12M_EBIT","FQ1 2022","FQ1 2022","Currency=USD","Period=FQ","BEST_FPERIOD_OVERRIDE=FQ","FILING_STATUS=MR","FA_ADJUSTED=GAAP","Sort=A","Dates=H","DateFormat=P","Fill=—","Direction=H","UseDPDF=Y")</f>
        <v>—</v>
      </c>
      <c r="N19" s="20" t="str">
        <f>_xll.BDH("ALNY US Equity","EV_TO_T12M_EBIT","FQ2 2022","FQ2 2022","Currency=USD","Period=FQ","BEST_FPERIOD_OVERRIDE=FQ","FILING_STATUS=MR","FA_ADJUSTED=GAAP","Sort=A","Dates=H","DateFormat=P","Fill=—","Direction=H","UseDPDF=Y")</f>
        <v>—</v>
      </c>
      <c r="O19" s="20" t="str">
        <f>_xll.BDH("ALNY US Equity","EV_TO_T12M_EBIT","FQ3 2022","FQ3 2022","Currency=USD","Period=FQ","BEST_FPERIOD_OVERRIDE=FQ","FILING_STATUS=MR","FA_ADJUSTED=GAAP","Sort=A","Dates=H","DateFormat=P","Fill=—","Direction=H","UseDPDF=Y")</f>
        <v>—</v>
      </c>
      <c r="P19" s="20" t="str">
        <f>_xll.BDH("ALNY US Equity","EV_TO_T12M_EBIT","FQ4 2022","FQ4 2022","Currency=USD","Period=FQ","BEST_FPERIOD_OVERRIDE=FQ","FILING_STATUS=MR","FA_ADJUSTED=GAAP","Sort=A","Dates=H","DateFormat=P","Fill=—","Direction=H","UseDPDF=Y")</f>
        <v>—</v>
      </c>
      <c r="Q19" s="20" t="str">
        <f>_xll.BDH("ALNY US Equity","EV_TO_T12M_EBIT","FQ1 2023","FQ1 2023","Currency=USD","Period=FQ","BEST_FPERIOD_OVERRIDE=FQ","FILING_STATUS=MR","FA_ADJUSTED=GAAP","Sort=A","Dates=H","DateFormat=P","Fill=—","Direction=H","UseDPDF=Y")</f>
        <v>—</v>
      </c>
      <c r="R19" s="20" t="str">
        <f>_xll.BDH("ALNY US Equity","EV_TO_T12M_EBIT","FQ2 2023","FQ2 2023","Currency=USD","Period=FQ","BEST_FPERIOD_OVERRIDE=FQ","FILING_STATUS=MR","FA_ADJUSTED=GAAP","Sort=A","Dates=H","DateFormat=P","Fill=—","Direction=H","UseDPDF=Y")</f>
        <v>—</v>
      </c>
      <c r="S19" s="20" t="str">
        <f>_xll.BDH("ALNY US Equity","EV_TO_T12M_EBIT","FQ3 2023","FQ3 2023","Currency=USD","Period=FQ","BEST_FPERIOD_OVERRIDE=FQ","FILING_STATUS=MR","FA_ADJUSTED=GAAP","Sort=A","Dates=H","DateFormat=P","Fill=—","Direction=H","UseDPDF=Y")</f>
        <v>—</v>
      </c>
      <c r="T19" s="20" t="str">
        <f>_xll.BDH("ALNY US Equity","EV_TO_T12M_EBIT","FQ4 2023","FQ4 2023","Currency=USD","Period=FQ","BEST_FPERIOD_OVERRIDE=FQ","FILING_STATUS=MR","FA_ADJUSTED=GAAP","Sort=A","Dates=H","DateFormat=P","Fill=—","Direction=H","UseDPDF=Y")</f>
        <v>—</v>
      </c>
      <c r="U19" s="20" t="str">
        <f>_xll.BDH("ALNY US Equity","EV_TO_T12M_EBIT","FQ1 2024","FQ1 2024","Currency=USD","Period=FQ","BEST_FPERIOD_OVERRIDE=FQ","FILING_STATUS=MR","FA_ADJUSTED=GAAP","Sort=A","Dates=H","DateFormat=P","Fill=—","Direction=H","UseDPDF=Y")</f>
        <v>—</v>
      </c>
      <c r="V19" s="20">
        <f>_xll.BDH("ALNY US Equity","EV_TO_T12M_EBIT","FQ2 2024","FQ2 2024","Currency=USD","Period=FQ","BEST_FPERIOD_OVERRIDE=FQ","FILING_STATUS=MR","FA_ADJUSTED=GAAP","Sort=A","Dates=H","DateFormat=P","Fill=—","Direction=H","UseDPDF=Y")</f>
        <v>303.29430000000002</v>
      </c>
      <c r="W19" s="20" t="str">
        <f>_xll.BDH("ALNY US Equity","EV_TO_T12M_EBIT","FQ3 2024","FQ3 2024","Currency=USD","Period=FQ","BEST_FPERIOD_OVERRIDE=FQ","FILING_STATUS=MR","FA_ADJUSTED=GAAP","Sort=A","Dates=H","DateFormat=P","Fill=—","Direction=H","UseDPDF=Y")</f>
        <v>—</v>
      </c>
      <c r="X19" s="20" t="str">
        <f>_xll.BDH("ALNY US Equity","EV_TO_T12M_EBIT","FQ4 2024","FQ4 2024","Currency=USD","Period=FQ","BEST_FPERIOD_OVERRIDE=FQ","FILING_STATUS=MR","FA_ADJUSTED=GAAP","Sort=A","Dates=H","DateFormat=P","Fill=—","Direction=H","UseDPDF=Y")</f>
        <v>—</v>
      </c>
      <c r="Y19" s="23"/>
      <c r="Z19" s="20">
        <v>-401.49883666594798</v>
      </c>
      <c r="AA19" s="20">
        <v>-11772.504350965901</v>
      </c>
    </row>
    <row r="20" spans="1:27" x14ac:dyDescent="0.25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1"/>
      <c r="Z20" s="18"/>
      <c r="AA20" s="18"/>
    </row>
    <row r="21" spans="1:27" x14ac:dyDescent="0.25">
      <c r="A21" s="6" t="s">
        <v>184</v>
      </c>
      <c r="B21" s="6" t="s">
        <v>185</v>
      </c>
      <c r="C21" s="19">
        <f>_xll.BDH("ALNY US Equity","DILUTED_MKT_CAP","FQ3 2019","FQ3 2019","Currency=USD","Period=FQ","BEST_FPERIOD_OVERRIDE=FQ","FILING_STATUS=MR","SCALING_FORMAT=MLN","Sort=A","Dates=H","DateFormat=P","Fill=—","Direction=H","UseDPDF=Y")</f>
        <v>8741.7343999999994</v>
      </c>
      <c r="D21" s="19">
        <f>_xll.BDH("ALNY US Equity","DILUTED_MKT_CAP","FQ4 2019","FQ4 2019","Currency=USD","Period=FQ","BEST_FPERIOD_OVERRIDE=FQ","FILING_STATUS=MR","SCALING_FORMAT=MLN","Sort=A","Dates=H","DateFormat=P","Fill=—","Direction=H","UseDPDF=Y")</f>
        <v>12870.247499999999</v>
      </c>
      <c r="E21" s="19">
        <f>_xll.BDH("ALNY US Equity","DILUTED_MKT_CAP","FQ1 2020","FQ1 2020","Currency=USD","Period=FQ","BEST_FPERIOD_OVERRIDE=FQ","FILING_STATUS=MR","SCALING_FORMAT=MLN","Sort=A","Dates=H","DateFormat=P","Fill=—","Direction=H","UseDPDF=Y")</f>
        <v>12272.6198</v>
      </c>
      <c r="F21" s="19">
        <f>_xll.BDH("ALNY US Equity","DILUTED_MKT_CAP","FQ2 2020","FQ2 2020","Currency=USD","Period=FQ","BEST_FPERIOD_OVERRIDE=FQ","FILING_STATUS=MR","SCALING_FORMAT=MLN","Sort=A","Dates=H","DateFormat=P","Fill=—","Direction=H","UseDPDF=Y")</f>
        <v>17019.468199999999</v>
      </c>
      <c r="G21" s="19">
        <f>_xll.BDH("ALNY US Equity","DILUTED_MKT_CAP","FQ3 2020","FQ3 2020","Currency=USD","Period=FQ","BEST_FPERIOD_OVERRIDE=FQ","FILING_STATUS=MR","SCALING_FORMAT=MLN","Sort=A","Dates=H","DateFormat=P","Fill=—","Direction=H","UseDPDF=Y")</f>
        <v>16887.561600000001</v>
      </c>
      <c r="H21" s="19">
        <f>_xll.BDH("ALNY US Equity","DILUTED_MKT_CAP","FQ4 2020","FQ4 2020","Currency=USD","Period=FQ","BEST_FPERIOD_OVERRIDE=FQ","FILING_STATUS=MR","SCALING_FORMAT=MLN","Sort=A","Dates=H","DateFormat=P","Fill=—","Direction=H","UseDPDF=Y")</f>
        <v>15112.131799999999</v>
      </c>
      <c r="I21" s="19">
        <f>_xll.BDH("ALNY US Equity","DILUTED_MKT_CAP","FQ1 2021","FQ1 2021","Currency=USD","Period=FQ","BEST_FPERIOD_OVERRIDE=FQ","FILING_STATUS=MR","SCALING_FORMAT=MLN","Sort=A","Dates=H","DateFormat=P","Fill=—","Direction=H","UseDPDF=Y")</f>
        <v>16530.5252</v>
      </c>
      <c r="J21" s="19">
        <f>_xll.BDH("ALNY US Equity","DILUTED_MKT_CAP","FQ2 2021","FQ2 2021","Currency=USD","Period=FQ","BEST_FPERIOD_OVERRIDE=FQ","FILING_STATUS=MR","SCALING_FORMAT=MLN","Sort=A","Dates=H","DateFormat=P","Fill=—","Direction=H","UseDPDF=Y")</f>
        <v>19964.7094</v>
      </c>
      <c r="K21" s="19">
        <f>_xll.BDH("ALNY US Equity","DILUTED_MKT_CAP","FQ3 2021","FQ3 2021","Currency=USD","Period=FQ","BEST_FPERIOD_OVERRIDE=FQ","FILING_STATUS=MR","SCALING_FORMAT=MLN","Sort=A","Dates=H","DateFormat=P","Fill=—","Direction=H","UseDPDF=Y")</f>
        <v>22495.012200000001</v>
      </c>
      <c r="L21" s="19">
        <f>_xll.BDH("ALNY US Equity","DILUTED_MKT_CAP","FQ4 2021","FQ4 2021","Currency=USD","Period=FQ","BEST_FPERIOD_OVERRIDE=FQ","FILING_STATUS=MR","SCALING_FORMAT=MLN","Sort=A","Dates=H","DateFormat=P","Fill=—","Direction=H","UseDPDF=Y")</f>
        <v>20311.105299999999</v>
      </c>
      <c r="M21" s="19">
        <f>_xll.BDH("ALNY US Equity","DILUTED_MKT_CAP","FQ1 2022","FQ1 2022","Currency=USD","Period=FQ","BEST_FPERIOD_OVERRIDE=FQ","FILING_STATUS=MR","SCALING_FORMAT=MLN","Sort=A","Dates=H","DateFormat=P","Fill=—","Direction=H","UseDPDF=Y")</f>
        <v>19658.973000000002</v>
      </c>
      <c r="N21" s="19">
        <f>_xll.BDH("ALNY US Equity","DILUTED_MKT_CAP","FQ2 2022","FQ2 2022","Currency=USD","Period=FQ","BEST_FPERIOD_OVERRIDE=FQ","FILING_STATUS=MR","SCALING_FORMAT=MLN","Sort=A","Dates=H","DateFormat=P","Fill=—","Direction=H","UseDPDF=Y")</f>
        <v>17632.6816</v>
      </c>
      <c r="O21" s="19">
        <f>_xll.BDH("ALNY US Equity","DILUTED_MKT_CAP","FQ3 2022","FQ3 2022","Currency=USD","Period=FQ","BEST_FPERIOD_OVERRIDE=FQ","FILING_STATUS=MR","SCALING_FORMAT=MLN","Sort=A","Dates=H","DateFormat=P","Fill=—","Direction=H","UseDPDF=Y")</f>
        <v>24452.746599999999</v>
      </c>
      <c r="P21" s="19">
        <f>_xll.BDH("ALNY US Equity","DILUTED_MKT_CAP","FQ4 2022","FQ4 2022","Currency=USD","Period=FQ","BEST_FPERIOD_OVERRIDE=FQ","FILING_STATUS=MR","SCALING_FORMAT=MLN","Sort=A","Dates=H","DateFormat=P","Fill=—","Direction=H","UseDPDF=Y")</f>
        <v>29294.1649</v>
      </c>
      <c r="Q21" s="19">
        <f>_xll.BDH("ALNY US Equity","DILUTED_MKT_CAP","FQ1 2023","FQ1 2023","Currency=USD","Period=FQ","BEST_FPERIOD_OVERRIDE=FQ","FILING_STATUS=MR","SCALING_FORMAT=MLN","Sort=A","Dates=H","DateFormat=P","Fill=—","Direction=H","UseDPDF=Y")</f>
        <v>24861.915499999999</v>
      </c>
      <c r="R21" s="19">
        <f>_xll.BDH("ALNY US Equity","DILUTED_MKT_CAP","FQ2 2023","FQ2 2023","Currency=USD","Period=FQ","BEST_FPERIOD_OVERRIDE=FQ","FILING_STATUS=MR","SCALING_FORMAT=MLN","Sort=A","Dates=H","DateFormat=P","Fill=—","Direction=H","UseDPDF=Y")</f>
        <v>23677.730500000001</v>
      </c>
      <c r="S21" s="19">
        <f>_xll.BDH("ALNY US Equity","DILUTED_MKT_CAP","FQ3 2023","FQ3 2023","Currency=USD","Period=FQ","BEST_FPERIOD_OVERRIDE=FQ","FILING_STATUS=MR","SCALING_FORMAT=MLN","Sort=A","Dates=H","DateFormat=P","Fill=—","Direction=H","UseDPDF=Y")</f>
        <v>23259.7827</v>
      </c>
      <c r="T21" s="19">
        <f>_xll.BDH("ALNY US Equity","DILUTED_MKT_CAP","FQ4 2023","FQ4 2023","Currency=USD","Period=FQ","BEST_FPERIOD_OVERRIDE=FQ","FILING_STATUS=MR","SCALING_FORMAT=MLN","Sort=A","Dates=H","DateFormat=P","Fill=—","Direction=H","UseDPDF=Y")</f>
        <v>24043.584299999999</v>
      </c>
      <c r="U21" s="19">
        <f>_xll.BDH("ALNY US Equity","DILUTED_MKT_CAP","FQ1 2024","FQ1 2024","Currency=USD","Period=FQ","BEST_FPERIOD_OVERRIDE=FQ","FILING_STATUS=MR","SCALING_FORMAT=MLN","Sort=A","Dates=H","DateFormat=P","Fill=—","Direction=H","UseDPDF=Y")</f>
        <v>18851.324100000002</v>
      </c>
      <c r="V21" s="19">
        <f>_xll.BDH("ALNY US Equity","DILUTED_MKT_CAP","FQ2 2024","FQ2 2024","Currency=USD","Period=FQ","BEST_FPERIOD_OVERRIDE=FQ","FILING_STATUS=MR","SCALING_FORMAT=MLN","Sort=A","Dates=H","DateFormat=P","Fill=—","Direction=H","UseDPDF=Y")</f>
        <v>30796.118999999999</v>
      </c>
      <c r="W21" s="19">
        <f>_xll.BDH("ALNY US Equity","DILUTED_MKT_CAP","FQ3 2024","FQ3 2024","Currency=USD","Period=FQ","BEST_FPERIOD_OVERRIDE=FQ","FILING_STATUS=MR","SCALING_FORMAT=MLN","Sort=A","Dates=H","DateFormat=P","Fill=—","Direction=H","UseDPDF=Y")</f>
        <v>35366.1077</v>
      </c>
      <c r="X21" s="19">
        <f>_xll.BDH("ALNY US Equity","DILUTED_MKT_CAP","FQ4 2024","FQ4 2024","Currency=USD","Period=FQ","BEST_FPERIOD_OVERRIDE=FQ","FILING_STATUS=MR","SCALING_FORMAT=MLN","Sort=A","Dates=H","DateFormat=P","Fill=—","Direction=H","UseDPDF=Y")</f>
        <v>30382.286</v>
      </c>
      <c r="Y21" s="22">
        <v>34654.7336119385</v>
      </c>
      <c r="Z21" s="19"/>
      <c r="AA21" s="19"/>
    </row>
    <row r="22" spans="1:27" x14ac:dyDescent="0.25">
      <c r="A22" s="6" t="s">
        <v>186</v>
      </c>
      <c r="B22" s="6" t="s">
        <v>187</v>
      </c>
      <c r="C22" s="19">
        <f>_xll.BDH("ALNY US Equity","DILUTED_EV","FQ3 2019","FQ3 2019","Currency=USD","Period=FQ","BEST_FPERIOD_OVERRIDE=FQ","FILING_STATUS=MR","SCALING_FORMAT=MLN","Sort=A","Dates=H","DateFormat=P","Fill=—","Direction=H","UseDPDF=Y")</f>
        <v>7325.2974000000004</v>
      </c>
      <c r="D22" s="19">
        <f>_xll.BDH("ALNY US Equity","DILUTED_EV","FQ4 2019","FQ4 2019","Currency=USD","Period=FQ","BEST_FPERIOD_OVERRIDE=FQ","FILING_STATUS=MR","SCALING_FORMAT=MLN","Sort=A","Dates=H","DateFormat=P","Fill=—","Direction=H","UseDPDF=Y")</f>
        <v>11637.9085</v>
      </c>
      <c r="E22" s="19">
        <f>_xll.BDH("ALNY US Equity","DILUTED_EV","FQ1 2020","FQ1 2020","Currency=USD","Period=FQ","BEST_FPERIOD_OVERRIDE=FQ","FILING_STATUS=MR","SCALING_FORMAT=MLN","Sort=A","Dates=H","DateFormat=P","Fill=—","Direction=H","UseDPDF=Y")</f>
        <v>11235.2418</v>
      </c>
      <c r="F22" s="19">
        <f>_xll.BDH("ALNY US Equity","DILUTED_EV","FQ2 2020","FQ2 2020","Currency=USD","Period=FQ","BEST_FPERIOD_OVERRIDE=FQ","FILING_STATUS=MR","SCALING_FORMAT=MLN","Sort=A","Dates=H","DateFormat=P","Fill=—","Direction=H","UseDPDF=Y")</f>
        <v>15408.9692</v>
      </c>
      <c r="G22" s="19">
        <f>_xll.BDH("ALNY US Equity","DILUTED_EV","FQ3 2020","FQ3 2020","Currency=USD","Period=FQ","BEST_FPERIOD_OVERRIDE=FQ","FILING_STATUS=MR","SCALING_FORMAT=MLN","Sort=A","Dates=H","DateFormat=P","Fill=—","Direction=H","UseDPDF=Y")</f>
        <v>15383.1396</v>
      </c>
      <c r="H22" s="19">
        <f>_xll.BDH("ALNY US Equity","DILUTED_EV","FQ4 2020","FQ4 2020","Currency=USD","Period=FQ","BEST_FPERIOD_OVERRIDE=FQ","FILING_STATUS=MR","SCALING_FORMAT=MLN","Sort=A","Dates=H","DateFormat=P","Fill=—","Direction=H","UseDPDF=Y")</f>
        <v>13758.925800000001</v>
      </c>
      <c r="I22" s="19">
        <f>_xll.BDH("ALNY US Equity","DILUTED_EV","FQ1 2021","FQ1 2021","Currency=USD","Period=FQ","BEST_FPERIOD_OVERRIDE=FQ","FILING_STATUS=MR","SCALING_FORMAT=MLN","Sort=A","Dates=H","DateFormat=P","Fill=—","Direction=H","UseDPDF=Y")</f>
        <v>15339.510200000001</v>
      </c>
      <c r="J22" s="19">
        <f>_xll.BDH("ALNY US Equity","DILUTED_EV","FQ2 2021","FQ2 2021","Currency=USD","Period=FQ","BEST_FPERIOD_OVERRIDE=FQ","FILING_STATUS=MR","SCALING_FORMAT=MLN","Sort=A","Dates=H","DateFormat=P","Fill=—","Direction=H","UseDPDF=Y")</f>
        <v>18825.699400000001</v>
      </c>
      <c r="K22" s="19">
        <f>_xll.BDH("ALNY US Equity","DILUTED_EV","FQ3 2021","FQ3 2021","Currency=USD","Period=FQ","BEST_FPERIOD_OVERRIDE=FQ","FILING_STATUS=MR","SCALING_FORMAT=MLN","Sort=A","Dates=H","DateFormat=P","Fill=—","Direction=H","UseDPDF=Y")</f>
        <v>20927.588199999998</v>
      </c>
      <c r="L22" s="19">
        <f>_xll.BDH("ALNY US Equity","DILUTED_EV","FQ4 2021","FQ4 2021","Currency=USD","Period=FQ","BEST_FPERIOD_OVERRIDE=FQ","FILING_STATUS=MR","SCALING_FORMAT=MLN","Sort=A","Dates=H","DateFormat=P","Fill=—","Direction=H","UseDPDF=Y")</f>
        <v>18873.133300000001</v>
      </c>
      <c r="M22" s="19">
        <f>_xll.BDH("ALNY US Equity","DILUTED_EV","FQ1 2022","FQ1 2022","Currency=USD","Period=FQ","BEST_FPERIOD_OVERRIDE=FQ","FILING_STATUS=MR","SCALING_FORMAT=MLN","Sort=A","Dates=H","DateFormat=P","Fill=—","Direction=H","UseDPDF=Y")</f>
        <v>18414.797999999999</v>
      </c>
      <c r="N22" s="19">
        <f>_xll.BDH("ALNY US Equity","DILUTED_EV","FQ2 2022","FQ2 2022","Currency=USD","Period=FQ","BEST_FPERIOD_OVERRIDE=FQ","FILING_STATUS=MR","SCALING_FORMAT=MLN","Sort=A","Dates=H","DateFormat=P","Fill=—","Direction=H","UseDPDF=Y")</f>
        <v>16513.043600000001</v>
      </c>
      <c r="O22" s="19">
        <f>_xll.BDH("ALNY US Equity","DILUTED_EV","FQ3 2022","FQ3 2022","Currency=USD","Period=FQ","BEST_FPERIOD_OVERRIDE=FQ","FILING_STATUS=MR","SCALING_FORMAT=MLN","Sort=A","Dates=H","DateFormat=P","Fill=—","Direction=H","UseDPDF=Y")</f>
        <v>23727.194599999999</v>
      </c>
      <c r="P22" s="19">
        <f>_xll.BDH("ALNY US Equity","DILUTED_EV","FQ4 2022","FQ4 2022","Currency=USD","Period=FQ","BEST_FPERIOD_OVERRIDE=FQ","FILING_STATUS=MR","SCALING_FORMAT=MLN","Sort=A","Dates=H","DateFormat=P","Fill=—","Direction=H","UseDPDF=Y")</f>
        <v>28422.0069</v>
      </c>
      <c r="Q22" s="19">
        <f>_xll.BDH("ALNY US Equity","DILUTED_EV","FQ1 2023","FQ1 2023","Currency=USD","Period=FQ","BEST_FPERIOD_OVERRIDE=FQ","FILING_STATUS=MR","SCALING_FORMAT=MLN","Sort=A","Dates=H","DateFormat=P","Fill=—","Direction=H","UseDPDF=Y")</f>
        <v>24111.5815</v>
      </c>
      <c r="R22" s="19">
        <f>_xll.BDH("ALNY US Equity","DILUTED_EV","FQ2 2023","FQ2 2023","Currency=USD","Period=FQ","BEST_FPERIOD_OVERRIDE=FQ","FILING_STATUS=MR","SCALING_FORMAT=MLN","Sort=A","Dates=H","DateFormat=P","Fill=—","Direction=H","UseDPDF=Y")</f>
        <v>22934.556499999999</v>
      </c>
      <c r="S22" s="19">
        <f>_xll.BDH("ALNY US Equity","DILUTED_EV","FQ3 2023","FQ3 2023","Currency=USD","Period=FQ","BEST_FPERIOD_OVERRIDE=FQ","FILING_STATUS=MR","SCALING_FORMAT=MLN","Sort=A","Dates=H","DateFormat=P","Fill=—","Direction=H","UseDPDF=Y")</f>
        <v>22206.0065</v>
      </c>
      <c r="T22" s="19">
        <f>_xll.BDH("ALNY US Equity","DILUTED_EV","FQ4 2023","FQ4 2023","Currency=USD","Period=FQ","BEST_FPERIOD_OVERRIDE=FQ","FILING_STATUS=MR","SCALING_FORMAT=MLN","Sort=A","Dates=H","DateFormat=P","Fill=—","Direction=H","UseDPDF=Y")</f>
        <v>22909.5893</v>
      </c>
      <c r="U22" s="19">
        <f>_xll.BDH("ALNY US Equity","DILUTED_EV","FQ1 2024","FQ1 2024","Currency=USD","Period=FQ","BEST_FPERIOD_OVERRIDE=FQ","FILING_STATUS=MR","SCALING_FORMAT=MLN","Sort=A","Dates=H","DateFormat=P","Fill=—","Direction=H","UseDPDF=Y")</f>
        <v>17781.275099999999</v>
      </c>
      <c r="V22" s="19">
        <f>_xll.BDH("ALNY US Equity","DILUTED_EV","FQ2 2024","FQ2 2024","Currency=USD","Period=FQ","BEST_FPERIOD_OVERRIDE=FQ","FILING_STATUS=MR","SCALING_FORMAT=MLN","Sort=A","Dates=H","DateFormat=P","Fill=—","Direction=H","UseDPDF=Y")</f>
        <v>30817.745999999999</v>
      </c>
      <c r="W22" s="19">
        <f>_xll.BDH("ALNY US Equity","DILUTED_EV","FQ3 2024","FQ3 2024","Currency=USD","Period=FQ","BEST_FPERIOD_OVERRIDE=FQ","FILING_STATUS=MR","SCALING_FORMAT=MLN","Sort=A","Dates=H","DateFormat=P","Fill=—","Direction=H","UseDPDF=Y")</f>
        <v>33887.700700000001</v>
      </c>
      <c r="X22" s="19">
        <f>_xll.BDH("ALNY US Equity","DILUTED_EV","FQ4 2024","FQ4 2024","Currency=USD","Period=FQ","BEST_FPERIOD_OVERRIDE=FQ","FILING_STATUS=MR","SCALING_FORMAT=MLN","Sort=A","Dates=H","DateFormat=P","Fill=—","Direction=H","UseDPDF=Y")</f>
        <v>28983.83</v>
      </c>
      <c r="Y22" s="22">
        <v>33256.277611938502</v>
      </c>
      <c r="Z22" s="19"/>
      <c r="AA22" s="19"/>
    </row>
    <row r="23" spans="1:27" x14ac:dyDescent="0.25">
      <c r="A23" s="6" t="s">
        <v>188</v>
      </c>
      <c r="B23" s="6" t="s">
        <v>189</v>
      </c>
      <c r="C23" s="20">
        <f>_xll.BDH("ALNY US Equity","EV_TO_SH_OUT","FQ3 2019","FQ3 2019","Currency=USD","Period=FQ","BEST_FPERIOD_OVERRIDE=FQ","FILING_STATUS=MR","Sort=A","Dates=H","DateFormat=P","Fill=—","Direction=H","UseDPDF=Y")</f>
        <v>67.696600000000004</v>
      </c>
      <c r="D23" s="20">
        <f>_xll.BDH("ALNY US Equity","EV_TO_SH_OUT","FQ4 2019","FQ4 2019","Currency=USD","Period=FQ","BEST_FPERIOD_OVERRIDE=FQ","FILING_STATUS=MR","Sort=A","Dates=H","DateFormat=P","Fill=—","Direction=H","UseDPDF=Y")</f>
        <v>104.1854</v>
      </c>
      <c r="E23" s="20">
        <f>_xll.BDH("ALNY US Equity","EV_TO_SH_OUT","FQ1 2020","FQ1 2020","Currency=USD","Period=FQ","BEST_FPERIOD_OVERRIDE=FQ","FILING_STATUS=MR","Sort=A","Dates=H","DateFormat=P","Fill=—","Direction=H","UseDPDF=Y")</f>
        <v>99.683300000000003</v>
      </c>
      <c r="F23" s="20">
        <f>_xll.BDH("ALNY US Equity","EV_TO_SH_OUT","FQ2 2020","FQ2 2020","Currency=USD","Period=FQ","BEST_FPERIOD_OVERRIDE=FQ","FILING_STATUS=MR","Sort=A","Dates=H","DateFormat=P","Fill=—","Direction=H","UseDPDF=Y")</f>
        <v>134.184</v>
      </c>
      <c r="G23" s="20">
        <f>_xll.BDH("ALNY US Equity","EV_TO_SH_OUT","FQ3 2020","FQ3 2020","Currency=USD","Period=FQ","BEST_FPERIOD_OVERRIDE=FQ","FILING_STATUS=MR","Sort=A","Dates=H","DateFormat=P","Fill=—","Direction=H","UseDPDF=Y")</f>
        <v>132.64680000000001</v>
      </c>
      <c r="H23" s="20">
        <f>_xll.BDH("ALNY US Equity","EV_TO_SH_OUT","FQ4 2020","FQ4 2020","Currency=USD","Period=FQ","BEST_FPERIOD_OVERRIDE=FQ","FILING_STATUS=MR","Sort=A","Dates=H","DateFormat=P","Fill=—","Direction=H","UseDPDF=Y")</f>
        <v>118.3472</v>
      </c>
      <c r="I23" s="20">
        <f>_xll.BDH("ALNY US Equity","EV_TO_SH_OUT","FQ1 2021","FQ1 2021","Currency=USD","Period=FQ","BEST_FPERIOD_OVERRIDE=FQ","FILING_STATUS=MR","Sort=A","Dates=H","DateFormat=P","Fill=—","Direction=H","UseDPDF=Y")</f>
        <v>131.03819999999999</v>
      </c>
      <c r="J23" s="20">
        <f>_xll.BDH("ALNY US Equity","EV_TO_SH_OUT","FQ2 2021","FQ2 2021","Currency=USD","Period=FQ","BEST_FPERIOD_OVERRIDE=FQ","FILING_STATUS=MR","Sort=A","Dates=H","DateFormat=P","Fill=—","Direction=H","UseDPDF=Y")</f>
        <v>159.91589999999999</v>
      </c>
      <c r="K23" s="20">
        <f>_xll.BDH("ALNY US Equity","EV_TO_SH_OUT","FQ3 2021","FQ3 2021","Currency=USD","Period=FQ","BEST_FPERIOD_OVERRIDE=FQ","FILING_STATUS=MR","Sort=A","Dates=H","DateFormat=P","Fill=—","Direction=H","UseDPDF=Y")</f>
        <v>175.69130000000001</v>
      </c>
      <c r="L23" s="20">
        <f>_xll.BDH("ALNY US Equity","EV_TO_SH_OUT","FQ4 2021","FQ4 2021","Currency=USD","Period=FQ","BEST_FPERIOD_OVERRIDE=FQ","FILING_STATUS=MR","Sort=A","Dates=H","DateFormat=P","Fill=—","Direction=H","UseDPDF=Y")</f>
        <v>157.61500000000001</v>
      </c>
      <c r="M23" s="20">
        <f>_xll.BDH("ALNY US Equity","EV_TO_SH_OUT","FQ1 2022","FQ1 2022","Currency=USD","Period=FQ","BEST_FPERIOD_OVERRIDE=FQ","FILING_STATUS=MR","Sort=A","Dates=H","DateFormat=P","Fill=—","Direction=H","UseDPDF=Y")</f>
        <v>152.9845</v>
      </c>
      <c r="N23" s="20">
        <f>_xll.BDH("ALNY US Equity","EV_TO_SH_OUT","FQ2 2022","FQ2 2022","Currency=USD","Period=FQ","BEST_FPERIOD_OVERRIDE=FQ","FILING_STATUS=MR","Sort=A","Dates=H","DateFormat=P","Fill=—","Direction=H","UseDPDF=Y")</f>
        <v>136.59620000000001</v>
      </c>
      <c r="O23" s="20">
        <f>_xll.BDH("ALNY US Equity","EV_TO_SH_OUT","FQ3 2022","FQ3 2022","Currency=USD","Period=FQ","BEST_FPERIOD_OVERRIDE=FQ","FILING_STATUS=MR","Sort=A","Dates=H","DateFormat=P","Fill=—","Direction=H","UseDPDF=Y")</f>
        <v>194.26079999999999</v>
      </c>
      <c r="P23" s="20">
        <f>_xll.BDH("ALNY US Equity","EV_TO_SH_OUT","FQ4 2022","FQ4 2022","Currency=USD","Period=FQ","BEST_FPERIOD_OVERRIDE=FQ","FILING_STATUS=MR","Sort=A","Dates=H","DateFormat=P","Fill=—","Direction=H","UseDPDF=Y")</f>
        <v>230.6122</v>
      </c>
      <c r="Q23" s="20">
        <f>_xll.BDH("ALNY US Equity","EV_TO_SH_OUT","FQ1 2023","FQ1 2023","Currency=USD","Period=FQ","BEST_FPERIOD_OVERRIDE=FQ","FILING_STATUS=MR","Sort=A","Dates=H","DateFormat=P","Fill=—","Direction=H","UseDPDF=Y")</f>
        <v>194.2807</v>
      </c>
      <c r="R23" s="20">
        <f>_xll.BDH("ALNY US Equity","EV_TO_SH_OUT","FQ2 2023","FQ2 2023","Currency=USD","Period=FQ","BEST_FPERIOD_OVERRIDE=FQ","FILING_STATUS=MR","Sort=A","Dates=H","DateFormat=P","Fill=—","Direction=H","UseDPDF=Y")</f>
        <v>183.95830000000001</v>
      </c>
      <c r="S23" s="20">
        <f>_xll.BDH("ALNY US Equity","EV_TO_SH_OUT","FQ3 2023","FQ3 2023","Currency=USD","Period=FQ","BEST_FPERIOD_OVERRIDE=FQ","FILING_STATUS=MR","Sort=A","Dates=H","DateFormat=P","Fill=—","Direction=H","UseDPDF=Y")</f>
        <v>168.35380000000001</v>
      </c>
      <c r="T23" s="20">
        <f>_xll.BDH("ALNY US Equity","EV_TO_SH_OUT","FQ4 2023","FQ4 2023","Currency=USD","Period=FQ","BEST_FPERIOD_OVERRIDE=FQ","FILING_STATUS=MR","Sort=A","Dates=H","DateFormat=P","Fill=—","Direction=H","UseDPDF=Y")</f>
        <v>182.39529999999999</v>
      </c>
      <c r="U23" s="20">
        <f>_xll.BDH("ALNY US Equity","EV_TO_SH_OUT","FQ1 2024","FQ1 2024","Currency=USD","Period=FQ","BEST_FPERIOD_OVERRIDE=FQ","FILING_STATUS=MR","Sort=A","Dates=H","DateFormat=P","Fill=—","Direction=H","UseDPDF=Y")</f>
        <v>140.98859999999999</v>
      </c>
      <c r="V23" s="20">
        <f>_xll.BDH("ALNY US Equity","EV_TO_SH_OUT","FQ2 2024","FQ2 2024","Currency=USD","Period=FQ","BEST_FPERIOD_OVERRIDE=FQ","FILING_STATUS=MR","Sort=A","Dates=H","DateFormat=P","Fill=—","Direction=H","UseDPDF=Y")</f>
        <v>243.16890000000001</v>
      </c>
      <c r="W23" s="20">
        <f>_xll.BDH("ALNY US Equity","EV_TO_SH_OUT","FQ3 2024","FQ3 2024","Currency=USD","Period=FQ","BEST_FPERIOD_OVERRIDE=FQ","FILING_STATUS=MR","Sort=A","Dates=H","DateFormat=P","Fill=—","Direction=H","UseDPDF=Y")</f>
        <v>263.55529999999999</v>
      </c>
      <c r="X23" s="20">
        <f>_xll.BDH("ALNY US Equity","EV_TO_SH_OUT","FQ4 2024","FQ4 2024","Currency=USD","Period=FQ","BEST_FPERIOD_OVERRIDE=FQ","FILING_STATUS=MR","Sort=A","Dates=H","DateFormat=P","Fill=—","Direction=H","UseDPDF=Y")</f>
        <v>224.4939</v>
      </c>
      <c r="Y23" s="23">
        <v>224.493906445775</v>
      </c>
      <c r="Z23" s="20"/>
      <c r="AA23" s="20"/>
    </row>
    <row r="24" spans="1:27" x14ac:dyDescent="0.25">
      <c r="A24" s="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21"/>
      <c r="Z24" s="18"/>
      <c r="AA24" s="18"/>
    </row>
    <row r="25" spans="1:27" x14ac:dyDescent="0.25">
      <c r="A25" s="6" t="s">
        <v>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1"/>
      <c r="Z25" s="18"/>
      <c r="AA25" s="18"/>
    </row>
    <row r="26" spans="1:27" x14ac:dyDescent="0.25">
      <c r="A26" s="11" t="s">
        <v>190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7"/>
      <c r="Z26" s="24"/>
      <c r="AA26" s="24"/>
    </row>
    <row r="27" spans="1:27" x14ac:dyDescent="0.25">
      <c r="A27" s="10" t="s">
        <v>191</v>
      </c>
      <c r="B27" s="10" t="s">
        <v>192</v>
      </c>
      <c r="C27" s="12" t="s">
        <v>193</v>
      </c>
      <c r="D27" s="12" t="s">
        <v>193</v>
      </c>
      <c r="E27" s="12" t="s">
        <v>193</v>
      </c>
      <c r="F27" s="12" t="s">
        <v>193</v>
      </c>
      <c r="G27" s="12" t="s">
        <v>193</v>
      </c>
      <c r="H27" s="12" t="s">
        <v>193</v>
      </c>
      <c r="I27" s="12" t="s">
        <v>193</v>
      </c>
      <c r="J27" s="12" t="s">
        <v>193</v>
      </c>
      <c r="K27" s="12" t="s">
        <v>193</v>
      </c>
      <c r="L27" s="12" t="s">
        <v>193</v>
      </c>
      <c r="M27" s="12" t="s">
        <v>193</v>
      </c>
      <c r="N27" s="12" t="s">
        <v>193</v>
      </c>
      <c r="O27" s="12" t="s">
        <v>193</v>
      </c>
      <c r="P27" s="12" t="s">
        <v>193</v>
      </c>
      <c r="Q27" s="12" t="s">
        <v>193</v>
      </c>
      <c r="R27" s="12" t="s">
        <v>193</v>
      </c>
      <c r="S27" s="12" t="s">
        <v>193</v>
      </c>
      <c r="T27" s="12" t="s">
        <v>193</v>
      </c>
      <c r="U27" s="12" t="s">
        <v>193</v>
      </c>
      <c r="V27" s="12" t="s">
        <v>193</v>
      </c>
      <c r="W27" s="12" t="s">
        <v>193</v>
      </c>
      <c r="X27" s="12" t="s">
        <v>193</v>
      </c>
      <c r="Y27" s="15" t="s">
        <v>193</v>
      </c>
      <c r="Z27" s="12"/>
      <c r="AA27" s="12"/>
    </row>
    <row r="28" spans="1:27" x14ac:dyDescent="0.25">
      <c r="A28" s="10" t="s">
        <v>194</v>
      </c>
      <c r="B28" s="10" t="s">
        <v>195</v>
      </c>
      <c r="C28" s="13">
        <f>_xll.BDH("ALNY US Equity","TRAIL_12M_NET_SALES","FQ3 2019","FQ3 2019","Currency=USD","Period=FQ","BEST_FPERIOD_OVERRIDE=FQ","FILING_STATUS=MR","SCALING_FORMAT=MLN","FA_ADJUSTED=GAAP","Sort=A","Dates=H","DateFormat=P","Fill=—","Direction=H","UseDPDF=Y")</f>
        <v>169.102</v>
      </c>
      <c r="D28" s="13">
        <f>_xll.BDH("ALNY US Equity","TRAIL_12M_NET_SALES","FQ4 2019","FQ4 2019","Currency=USD","Period=FQ","BEST_FPERIOD_OVERRIDE=FQ","FILING_STATUS=MR","SCALING_FORMAT=MLN","FA_ADJUSTED=GAAP","Sort=A","Dates=H","DateFormat=P","Fill=—","Direction=H","UseDPDF=Y")</f>
        <v>219.75</v>
      </c>
      <c r="E28" s="13">
        <f>_xll.BDH("ALNY US Equity","TRAIL_12M_NET_SALES","FQ1 2020","FQ1 2020","Currency=USD","Period=FQ","BEST_FPERIOD_OVERRIDE=FQ","FILING_STATUS=MR","SCALING_FORMAT=MLN","FA_ADJUSTED=GAAP","Sort=A","Dates=H","DateFormat=P","Fill=—","Direction=H","UseDPDF=Y")</f>
        <v>285.93200000000002</v>
      </c>
      <c r="F28" s="13">
        <f>_xll.BDH("ALNY US Equity","TRAIL_12M_NET_SALES","FQ2 2020","FQ2 2020","Currency=USD","Period=FQ","BEST_FPERIOD_OVERRIDE=FQ","FILING_STATUS=MR","SCALING_FORMAT=MLN","FA_ADJUSTED=GAAP","Sort=A","Dates=H","DateFormat=P","Fill=—","Direction=H","UseDPDF=Y")</f>
        <v>345.18</v>
      </c>
      <c r="G28" s="13">
        <f>_xll.BDH("ALNY US Equity","TRAIL_12M_NET_SALES","FQ3 2020","FQ3 2020","Currency=USD","Period=FQ","BEST_FPERIOD_OVERRIDE=FQ","FILING_STATUS=MR","SCALING_FORMAT=MLN","FA_ADJUSTED=GAAP","Sort=A","Dates=H","DateFormat=P","Fill=—","Direction=H","UseDPDF=Y")</f>
        <v>400.97199999999998</v>
      </c>
      <c r="H28" s="13">
        <f>_xll.BDH("ALNY US Equity","TRAIL_12M_NET_SALES","FQ4 2020","FQ4 2020","Currency=USD","Period=FQ","BEST_FPERIOD_OVERRIDE=FQ","FILING_STATUS=MR","SCALING_FORMAT=MLN","FA_ADJUSTED=GAAP","Sort=A","Dates=H","DateFormat=P","Fill=—","Direction=H","UseDPDF=Y")</f>
        <v>492.85300000000001</v>
      </c>
      <c r="I28" s="13">
        <f>_xll.BDH("ALNY US Equity","TRAIL_12M_NET_SALES","FQ1 2021","FQ1 2021","Currency=USD","Period=FQ","BEST_FPERIOD_OVERRIDE=FQ","FILING_STATUS=MR","SCALING_FORMAT=MLN","FA_ADJUSTED=GAAP","Sort=A","Dates=H","DateFormat=P","Fill=—","Direction=H","UseDPDF=Y")</f>
        <v>570.94299999999998</v>
      </c>
      <c r="J28" s="13">
        <f>_xll.BDH("ALNY US Equity","TRAIL_12M_NET_SALES","FQ2 2021","FQ2 2021","Currency=USD","Period=FQ","BEST_FPERIOD_OVERRIDE=FQ","FILING_STATUS=MR","SCALING_FORMAT=MLN","FA_ADJUSTED=GAAP","Sort=A","Dates=H","DateFormat=P","Fill=—","Direction=H","UseDPDF=Y")</f>
        <v>687.53399999999999</v>
      </c>
      <c r="K28" s="13">
        <f>_xll.BDH("ALNY US Equity","TRAIL_12M_NET_SALES","FQ3 2021","FQ3 2021","Currency=USD","Period=FQ","BEST_FPERIOD_OVERRIDE=FQ","FILING_STATUS=MR","SCALING_FORMAT=MLN","FA_ADJUSTED=GAAP","Sort=A","Dates=H","DateFormat=P","Fill=—","Direction=H","UseDPDF=Y")</f>
        <v>749.31399999999996</v>
      </c>
      <c r="L28" s="13">
        <f>_xll.BDH("ALNY US Equity","TRAIL_12M_NET_SALES","FQ4 2021","FQ4 2021","Currency=USD","Period=FQ","BEST_FPERIOD_OVERRIDE=FQ","FILING_STATUS=MR","SCALING_FORMAT=MLN","FA_ADJUSTED=GAAP","Sort=A","Dates=H","DateFormat=P","Fill=—","Direction=H","UseDPDF=Y")</f>
        <v>844.28700000000003</v>
      </c>
      <c r="M28" s="13">
        <f>_xll.BDH("ALNY US Equity","TRAIL_12M_NET_SALES","FQ1 2022","FQ1 2022","Currency=USD","Period=FQ","BEST_FPERIOD_OVERRIDE=FQ","FILING_STATUS=MR","SCALING_FORMAT=MLN","FA_ADJUSTED=GAAP","Sort=A","Dates=H","DateFormat=P","Fill=—","Direction=H","UseDPDF=Y")</f>
        <v>879.98</v>
      </c>
      <c r="N28" s="13">
        <f>_xll.BDH("ALNY US Equity","TRAIL_12M_NET_SALES","FQ2 2022","FQ2 2022","Currency=USD","Period=FQ","BEST_FPERIOD_OVERRIDE=FQ","FILING_STATUS=MR","SCALING_FORMAT=MLN","FA_ADJUSTED=GAAP","Sort=A","Dates=H","DateFormat=P","Fill=—","Direction=H","UseDPDF=Y")</f>
        <v>884.245</v>
      </c>
      <c r="O28" s="13">
        <f>_xll.BDH("ALNY US Equity","TRAIL_12M_NET_SALES","FQ3 2022","FQ3 2022","Currency=USD","Period=FQ","BEST_FPERIOD_OVERRIDE=FQ","FILING_STATUS=MR","SCALING_FORMAT=MLN","FA_ADJUSTED=GAAP","Sort=A","Dates=H","DateFormat=P","Fill=—","Direction=H","UseDPDF=Y")</f>
        <v>960.91800000000001</v>
      </c>
      <c r="P28" s="13">
        <f>_xll.BDH("ALNY US Equity","TRAIL_12M_NET_SALES","FQ4 2022","FQ4 2022","Currency=USD","Period=FQ","BEST_FPERIOD_OVERRIDE=FQ","FILING_STATUS=MR","SCALING_FORMAT=MLN","FA_ADJUSTED=GAAP","Sort=A","Dates=H","DateFormat=P","Fill=—","Direction=H","UseDPDF=Y")</f>
        <v>1037.4179999999999</v>
      </c>
      <c r="Q28" s="13">
        <f>_xll.BDH("ALNY US Equity","TRAIL_12M_NET_SALES","FQ1 2023","FQ1 2023","Currency=USD","Period=FQ","BEST_FPERIOD_OVERRIDE=FQ","FILING_STATUS=MR","SCALING_FORMAT=MLN","FA_ADJUSTED=GAAP","Sort=A","Dates=H","DateFormat=P","Fill=—","Direction=H","UseDPDF=Y")</f>
        <v>1143.4490000000001</v>
      </c>
      <c r="R28" s="13">
        <f>_xll.BDH("ALNY US Equity","TRAIL_12M_NET_SALES","FQ2 2023","FQ2 2023","Currency=USD","Period=FQ","BEST_FPERIOD_OVERRIDE=FQ","FILING_STATUS=MR","SCALING_FORMAT=MLN","FA_ADJUSTED=GAAP","Sort=A","Dates=H","DateFormat=P","Fill=—","Direction=H","UseDPDF=Y")</f>
        <v>1237.385</v>
      </c>
      <c r="S28" s="13">
        <f>_xll.BDH("ALNY US Equity","TRAIL_12M_NET_SALES","FQ3 2023","FQ3 2023","Currency=USD","Period=FQ","BEST_FPERIOD_OVERRIDE=FQ","FILING_STATUS=MR","SCALING_FORMAT=MLN","FA_ADJUSTED=GAAP","Sort=A","Dates=H","DateFormat=P","Fill=—","Direction=H","UseDPDF=Y")</f>
        <v>1723.6089999999999</v>
      </c>
      <c r="T28" s="13">
        <f>_xll.BDH("ALNY US Equity","TRAIL_12M_NET_SALES","FQ4 2023","FQ4 2023","Currency=USD","Period=FQ","BEST_FPERIOD_OVERRIDE=FQ","FILING_STATUS=MR","SCALING_FORMAT=MLN","FA_ADJUSTED=GAAP","Sort=A","Dates=H","DateFormat=P","Fill=—","Direction=H","UseDPDF=Y")</f>
        <v>1828.2919999999999</v>
      </c>
      <c r="U28" s="13">
        <f>_xll.BDH("ALNY US Equity","TRAIL_12M_NET_SALES","FQ1 2024","FQ1 2024","Currency=USD","Period=FQ","BEST_FPERIOD_OVERRIDE=FQ","FILING_STATUS=MR","SCALING_FORMAT=MLN","FA_ADJUSTED=GAAP","Sort=A","Dates=H","DateFormat=P","Fill=—","Direction=H","UseDPDF=Y")</f>
        <v>2003.335</v>
      </c>
      <c r="V28" s="13">
        <f>_xll.BDH("ALNY US Equity","TRAIL_12M_NET_SALES","FQ2 2024","FQ2 2024","Currency=USD","Period=FQ","BEST_FPERIOD_OVERRIDE=FQ","FILING_STATUS=MR","SCALING_FORMAT=MLN","FA_ADJUSTED=GAAP","Sort=A","Dates=H","DateFormat=P","Fill=—","Direction=H","UseDPDF=Y")</f>
        <v>2344.4059999999999</v>
      </c>
      <c r="W28" s="13">
        <f>_xll.BDH("ALNY US Equity","TRAIL_12M_NET_SALES","FQ3 2024","FQ3 2024","Currency=USD","Period=FQ","BEST_FPERIOD_OVERRIDE=FQ","FILING_STATUS=MR","SCALING_FORMAT=MLN","FA_ADJUSTED=GAAP","Sort=A","Dates=H","DateFormat=P","Fill=—","Direction=H","UseDPDF=Y")</f>
        <v>2094.7950000000001</v>
      </c>
      <c r="X28" s="13">
        <f>_xll.BDH("ALNY US Equity","TRAIL_12M_NET_SALES","FQ4 2024","FQ4 2024","Currency=USD","Period=FQ","BEST_FPERIOD_OVERRIDE=FQ","FILING_STATUS=MR","SCALING_FORMAT=MLN","FA_ADJUSTED=GAAP","Sort=A","Dates=H","DateFormat=P","Fill=—","Direction=H","UseDPDF=Y")</f>
        <v>2248.2429999999999</v>
      </c>
      <c r="Y28" s="16">
        <v>2248.2429999999999</v>
      </c>
      <c r="Z28" s="13">
        <v>2863.511</v>
      </c>
      <c r="AA28" s="13">
        <v>3120.1689999999999</v>
      </c>
    </row>
    <row r="29" spans="1:27" x14ac:dyDescent="0.25">
      <c r="A29" s="10" t="s">
        <v>78</v>
      </c>
      <c r="B29" s="10" t="s">
        <v>196</v>
      </c>
      <c r="C29" s="13">
        <f>_xll.BDH("ALNY US Equity","TRAIL_12M_EBITDA","FQ3 2019","FQ3 2019","Currency=USD","Period=FQ","BEST_FPERIOD_OVERRIDE=FQ","FILING_STATUS=MR","SCALING_FORMAT=MLN","FA_ADJUSTED=GAAP","Sort=A","Dates=H","DateFormat=P","Fill=—","Direction=H","UseDPDF=Y")</f>
        <v>-796.47299999999996</v>
      </c>
      <c r="D29" s="13">
        <f>_xll.BDH("ALNY US Equity","TRAIL_12M_EBITDA","FQ4 2019","FQ4 2019","Currency=USD","Period=FQ","BEST_FPERIOD_OVERRIDE=FQ","FILING_STATUS=MR","SCALING_FORMAT=MLN","FA_ADJUSTED=GAAP","Sort=A","Dates=H","DateFormat=P","Fill=—","Direction=H","UseDPDF=Y")</f>
        <v>-846.45</v>
      </c>
      <c r="E29" s="13">
        <f>_xll.BDH("ALNY US Equity","TRAIL_12M_EBITDA","FQ1 2020","FQ1 2020","Currency=USD","Period=FQ","BEST_FPERIOD_OVERRIDE=FQ","FILING_STATUS=MR","SCALING_FORMAT=MLN","FA_ADJUSTED=GAAP","Sort=A","Dates=H","DateFormat=P","Fill=—","Direction=H","UseDPDF=Y")</f>
        <v>-872.31399999999996</v>
      </c>
      <c r="F29" s="13">
        <f>_xll.BDH("ALNY US Equity","TRAIL_12M_EBITDA","FQ2 2020","FQ2 2020","Currency=USD","Period=FQ","BEST_FPERIOD_OVERRIDE=FQ","FILING_STATUS=MR","SCALING_FORMAT=MLN","FA_ADJUSTED=GAAP","Sort=A","Dates=H","DateFormat=P","Fill=—","Direction=H","UseDPDF=Y")</f>
        <v>-836.16</v>
      </c>
      <c r="G29" s="13">
        <f>_xll.BDH("ALNY US Equity","TRAIL_12M_EBITDA","FQ3 2020","FQ3 2020","Currency=USD","Period=FQ","BEST_FPERIOD_OVERRIDE=FQ","FILING_STATUS=MR","SCALING_FORMAT=MLN","FA_ADJUSTED=GAAP","Sort=A","Dates=H","DateFormat=P","Fill=—","Direction=H","UseDPDF=Y")</f>
        <v>-853.22199999999998</v>
      </c>
      <c r="H29" s="13">
        <f>_xll.BDH("ALNY US Equity","TRAIL_12M_EBITDA","FQ4 2020","FQ4 2020","Currency=USD","Period=FQ","BEST_FPERIOD_OVERRIDE=FQ","FILING_STATUS=MR","SCALING_FORMAT=MLN","FA_ADJUSTED=GAAP","Sort=A","Dates=H","DateFormat=P","Fill=—","Direction=H","UseDPDF=Y")</f>
        <v>-754.00300000000004</v>
      </c>
      <c r="I29" s="13">
        <f>_xll.BDH("ALNY US Equity","TRAIL_12M_EBITDA","FQ1 2021","FQ1 2021","Currency=USD","Period=FQ","BEST_FPERIOD_OVERRIDE=FQ","FILING_STATUS=MR","SCALING_FORMAT=MLN","FA_ADJUSTED=GAAP","Sort=A","Dates=H","DateFormat=P","Fill=—","Direction=H","UseDPDF=Y")</f>
        <v>-724.24300000000005</v>
      </c>
      <c r="J29" s="13">
        <f>_xll.BDH("ALNY US Equity","TRAIL_12M_EBITDA","FQ2 2021","FQ2 2021","Currency=USD","Period=FQ","BEST_FPERIOD_OVERRIDE=FQ","FILING_STATUS=MR","SCALING_FORMAT=MLN","FA_ADJUSTED=GAAP","Sort=A","Dates=H","DateFormat=P","Fill=—","Direction=H","UseDPDF=Y")</f>
        <v>-667.16099999999994</v>
      </c>
      <c r="K29" s="13">
        <f>_xll.BDH("ALNY US Equity","TRAIL_12M_EBITDA","FQ3 2021","FQ3 2021","Currency=USD","Period=FQ","BEST_FPERIOD_OVERRIDE=FQ","FILING_STATUS=MR","SCALING_FORMAT=MLN","FA_ADJUSTED=GAAP","Sort=A","Dates=H","DateFormat=P","Fill=—","Direction=H","UseDPDF=Y")</f>
        <v>-619.19000000000005</v>
      </c>
      <c r="L29" s="13">
        <f>_xll.BDH("ALNY US Equity","TRAIL_12M_EBITDA","FQ4 2021","FQ4 2021","Currency=USD","Period=FQ","BEST_FPERIOD_OVERRIDE=FQ","FILING_STATUS=MR","SCALING_FORMAT=MLN","FA_ADJUSTED=GAAP","Sort=A","Dates=H","DateFormat=P","Fill=—","Direction=H","UseDPDF=Y")</f>
        <v>-618.95799999999997</v>
      </c>
      <c r="M29" s="13">
        <f>_xll.BDH("ALNY US Equity","TRAIL_12M_EBITDA","FQ1 2022","FQ1 2022","Currency=USD","Period=FQ","BEST_FPERIOD_OVERRIDE=FQ","FILING_STATUS=MR","SCALING_FORMAT=MLN","FA_ADJUSTED=GAAP","Sort=A","Dates=H","DateFormat=P","Fill=—","Direction=H","UseDPDF=Y")</f>
        <v>-582.52</v>
      </c>
      <c r="N29" s="13">
        <f>_xll.BDH("ALNY US Equity","TRAIL_12M_EBITDA","FQ2 2022","FQ2 2022","Currency=USD","Period=FQ","BEST_FPERIOD_OVERRIDE=FQ","FILING_STATUS=MR","SCALING_FORMAT=MLN","FA_ADJUSTED=GAAP","Sort=A","Dates=H","DateFormat=P","Fill=—","Direction=H","UseDPDF=Y")</f>
        <v>-629.97</v>
      </c>
      <c r="O29" s="13">
        <f>_xll.BDH("ALNY US Equity","TRAIL_12M_EBITDA","FQ3 2022","FQ3 2022","Currency=USD","Period=FQ","BEST_FPERIOD_OVERRIDE=FQ","FILING_STATUS=MR","SCALING_FORMAT=MLN","FA_ADJUSTED=GAAP","Sort=A","Dates=H","DateFormat=P","Fill=—","Direction=H","UseDPDF=Y")</f>
        <v>-708.90300000000002</v>
      </c>
      <c r="P29" s="13">
        <f>_xll.BDH("ALNY US Equity","TRAIL_12M_EBITDA","FQ4 2022","FQ4 2022","Currency=USD","Period=FQ","BEST_FPERIOD_OVERRIDE=FQ","FILING_STATUS=MR","SCALING_FORMAT=MLN","FA_ADJUSTED=GAAP","Sort=A","Dates=H","DateFormat=P","Fill=—","Direction=H","UseDPDF=Y")</f>
        <v>-699.52200000000005</v>
      </c>
      <c r="Q29" s="13">
        <f>_xll.BDH("ALNY US Equity","TRAIL_12M_EBITDA","FQ1 2023","FQ1 2023","Currency=USD","Period=FQ","BEST_FPERIOD_OVERRIDE=FQ","FILING_STATUS=MR","SCALING_FORMAT=MLN","FA_ADJUSTED=GAAP","Sort=A","Dates=H","DateFormat=P","Fill=—","Direction=H","UseDPDF=Y")</f>
        <v>-696.29600000000005</v>
      </c>
      <c r="R29" s="13">
        <f>_xll.BDH("ALNY US Equity","TRAIL_12M_EBITDA","FQ2 2023","FQ2 2023","Currency=USD","Period=FQ","BEST_FPERIOD_OVERRIDE=FQ","FILING_STATUS=MR","SCALING_FORMAT=MLN","FA_ADJUSTED=GAAP","Sort=A","Dates=H","DateFormat=P","Fill=—","Direction=H","UseDPDF=Y")</f>
        <v>-731.23099999999999</v>
      </c>
      <c r="S29" s="13">
        <f>_xll.BDH("ALNY US Equity","TRAIL_12M_EBITDA","FQ3 2023","FQ3 2023","Currency=USD","Period=FQ","BEST_FPERIOD_OVERRIDE=FQ","FILING_STATUS=MR","SCALING_FORMAT=MLN","FA_ADJUSTED=GAAP","Sort=A","Dates=H","DateFormat=P","Fill=—","Direction=H","UseDPDF=Y")</f>
        <v>-256.44200000000001</v>
      </c>
      <c r="T29" s="13">
        <f>_xll.BDH("ALNY US Equity","TRAIL_12M_EBITDA","FQ4 2023","FQ4 2023","Currency=USD","Period=FQ","BEST_FPERIOD_OVERRIDE=FQ","FILING_STATUS=MR","SCALING_FORMAT=MLN","FA_ADJUSTED=GAAP","Sort=A","Dates=H","DateFormat=P","Fill=—","Direction=H","UseDPDF=Y")</f>
        <v>-185.14400000000001</v>
      </c>
      <c r="U29" s="13">
        <f>_xll.BDH("ALNY US Equity","TRAIL_12M_EBITDA","FQ1 2024","FQ1 2024","Currency=USD","Period=FQ","BEST_FPERIOD_OVERRIDE=FQ","FILING_STATUS=MR","SCALING_FORMAT=MLN","FA_ADJUSTED=GAAP","Sort=A","Dates=H","DateFormat=P","Fill=—","Direction=H","UseDPDF=Y")</f>
        <v>-79.364999999999995</v>
      </c>
      <c r="V29" s="13">
        <f>_xll.BDH("ALNY US Equity","TRAIL_12M_EBITDA","FQ2 2024","FQ2 2024","Currency=USD","Period=FQ","BEST_FPERIOD_OVERRIDE=FQ","FILING_STATUS=MR","SCALING_FORMAT=MLN","FA_ADJUSTED=GAAP","Sort=A","Dates=H","DateFormat=P","Fill=—","Direction=H","UseDPDF=Y")</f>
        <v>200.32499999999999</v>
      </c>
      <c r="W29" s="13">
        <f>_xll.BDH("ALNY US Equity","TRAIL_12M_EBITDA","FQ3 2024","FQ3 2024","Currency=USD","Period=FQ","BEST_FPERIOD_OVERRIDE=FQ","FILING_STATUS=MR","SCALING_FORMAT=MLN","FA_ADJUSTED=GAAP","Sort=A","Dates=H","DateFormat=P","Fill=—","Direction=H","UseDPDF=Y")</f>
        <v>-86.941000000000003</v>
      </c>
      <c r="X29" s="13">
        <f>_xll.BDH("ALNY US Equity","TRAIL_12M_EBITDA","FQ4 2024","FQ4 2024","Currency=USD","Period=FQ","BEST_FPERIOD_OVERRIDE=FQ","FILING_STATUS=MR","SCALING_FORMAT=MLN","FA_ADJUSTED=GAAP","Sort=A","Dates=H","DateFormat=P","Fill=—","Direction=H","UseDPDF=Y")</f>
        <v>-85.501000000000005</v>
      </c>
      <c r="Y29" s="16">
        <v>-85.501000000000005</v>
      </c>
      <c r="Z29" s="13">
        <v>46.625</v>
      </c>
      <c r="AA29" s="13">
        <v>495.5</v>
      </c>
    </row>
    <row r="30" spans="1:27" x14ac:dyDescent="0.25">
      <c r="A30" s="10" t="s">
        <v>142</v>
      </c>
      <c r="B30" s="10" t="s">
        <v>197</v>
      </c>
      <c r="C30" s="13">
        <f>_xll.BDH("ALNY US Equity","TRAIL_12M_OPER_INC","FQ3 2019","FQ3 2019","Currency=USD","Period=FQ","BEST_FPERIOD_OVERRIDE=FQ","FILING_STATUS=MR","SCALING_FORMAT=MLN","FA_ADJUSTED=GAAP","Sort=A","Dates=H","DateFormat=P","Fill=—","Direction=H","UseDPDF=Y")</f>
        <v>-861.71400000000006</v>
      </c>
      <c r="D30" s="13">
        <f>_xll.BDH("ALNY US Equity","TRAIL_12M_OPER_INC","FQ4 2019","FQ4 2019","Currency=USD","Period=FQ","BEST_FPERIOD_OVERRIDE=FQ","FILING_STATUS=MR","SCALING_FORMAT=MLN","FA_ADJUSTED=GAAP","Sort=A","Dates=H","DateFormat=P","Fill=—","Direction=H","UseDPDF=Y")</f>
        <v>-939.43100000000004</v>
      </c>
      <c r="E30" s="13">
        <f>_xll.BDH("ALNY US Equity","TRAIL_12M_OPER_INC","FQ1 2020","FQ1 2020","Currency=USD","Period=FQ","BEST_FPERIOD_OVERRIDE=FQ","FILING_STATUS=MR","SCALING_FORMAT=MLN","FA_ADJUSTED=GAAP","Sort=A","Dates=H","DateFormat=P","Fill=—","Direction=H","UseDPDF=Y")</f>
        <v>-960.80100000000004</v>
      </c>
      <c r="F30" s="13">
        <f>_xll.BDH("ALNY US Equity","TRAIL_12M_OPER_INC","FQ2 2020","FQ2 2020","Currency=USD","Period=FQ","BEST_FPERIOD_OVERRIDE=FQ","FILING_STATUS=MR","SCALING_FORMAT=MLN","FA_ADJUSTED=GAAP","Sort=A","Dates=H","DateFormat=P","Fill=—","Direction=H","UseDPDF=Y")</f>
        <v>-923.38900000000001</v>
      </c>
      <c r="G30" s="13">
        <f>_xll.BDH("ALNY US Equity","TRAIL_12M_OPER_INC","FQ3 2020","FQ3 2020","Currency=USD","Period=FQ","BEST_FPERIOD_OVERRIDE=FQ","FILING_STATUS=MR","SCALING_FORMAT=MLN","FA_ADJUSTED=GAAP","Sort=A","Dates=H","DateFormat=P","Fill=—","Direction=H","UseDPDF=Y")</f>
        <v>-932.28899999999999</v>
      </c>
      <c r="H30" s="13">
        <f>_xll.BDH("ALNY US Equity","TRAIL_12M_OPER_INC","FQ4 2020","FQ4 2020","Currency=USD","Period=FQ","BEST_FPERIOD_OVERRIDE=FQ","FILING_STATUS=MR","SCALING_FORMAT=MLN","FA_ADJUSTED=GAAP","Sort=A","Dates=H","DateFormat=P","Fill=—","Direction=H","UseDPDF=Y")</f>
        <v>-828.43799999999999</v>
      </c>
      <c r="I30" s="13">
        <f>_xll.BDH("ALNY US Equity","TRAIL_12M_OPER_INC","FQ1 2021","FQ1 2021","Currency=USD","Period=FQ","BEST_FPERIOD_OVERRIDE=FQ","FILING_STATUS=MR","SCALING_FORMAT=MLN","FA_ADJUSTED=GAAP","Sort=A","Dates=H","DateFormat=P","Fill=—","Direction=H","UseDPDF=Y")</f>
        <v>-804.53399999999999</v>
      </c>
      <c r="J30" s="13">
        <f>_xll.BDH("ALNY US Equity","TRAIL_12M_OPER_INC","FQ2 2021","FQ2 2021","Currency=USD","Period=FQ","BEST_FPERIOD_OVERRIDE=FQ","FILING_STATUS=MR","SCALING_FORMAT=MLN","FA_ADJUSTED=GAAP","Sort=A","Dates=H","DateFormat=P","Fill=—","Direction=H","UseDPDF=Y")</f>
        <v>-751.83500000000004</v>
      </c>
      <c r="K30" s="13">
        <f>_xll.BDH("ALNY US Equity","TRAIL_12M_OPER_INC","FQ3 2021","FQ3 2021","Currency=USD","Period=FQ","BEST_FPERIOD_OVERRIDE=FQ","FILING_STATUS=MR","SCALING_FORMAT=MLN","FA_ADJUSTED=GAAP","Sort=A","Dates=H","DateFormat=P","Fill=—","Direction=H","UseDPDF=Y")</f>
        <v>-708.31299999999999</v>
      </c>
      <c r="L30" s="13">
        <f>_xll.BDH("ALNY US Equity","TRAIL_12M_OPER_INC","FQ4 2021","FQ4 2021","Currency=USD","Period=FQ","BEST_FPERIOD_OVERRIDE=FQ","FILING_STATUS=MR","SCALING_FORMAT=MLN","FA_ADJUSTED=GAAP","Sort=A","Dates=H","DateFormat=P","Fill=—","Direction=H","UseDPDF=Y")</f>
        <v>-708.65200000000004</v>
      </c>
      <c r="M30" s="13">
        <f>_xll.BDH("ALNY US Equity","TRAIL_12M_OPER_INC","FQ1 2022","FQ1 2022","Currency=USD","Period=FQ","BEST_FPERIOD_OVERRIDE=FQ","FILING_STATUS=MR","SCALING_FORMAT=MLN","FA_ADJUSTED=GAAP","Sort=A","Dates=H","DateFormat=P","Fill=—","Direction=H","UseDPDF=Y")</f>
        <v>-669.13</v>
      </c>
      <c r="N30" s="13">
        <f>_xll.BDH("ALNY US Equity","TRAIL_12M_OPER_INC","FQ2 2022","FQ2 2022","Currency=USD","Period=FQ","BEST_FPERIOD_OVERRIDE=FQ","FILING_STATUS=MR","SCALING_FORMAT=MLN","FA_ADJUSTED=GAAP","Sort=A","Dates=H","DateFormat=P","Fill=—","Direction=H","UseDPDF=Y")</f>
        <v>-714.65599999999995</v>
      </c>
      <c r="O30" s="13">
        <f>_xll.BDH("ALNY US Equity","TRAIL_12M_OPER_INC","FQ3 2022","FQ3 2022","Currency=USD","Period=FQ","BEST_FPERIOD_OVERRIDE=FQ","FILING_STATUS=MR","SCALING_FORMAT=MLN","FA_ADJUSTED=GAAP","Sort=A","Dates=H","DateFormat=P","Fill=—","Direction=H","UseDPDF=Y")</f>
        <v>-791.01900000000001</v>
      </c>
      <c r="P30" s="13">
        <f>_xll.BDH("ALNY US Equity","TRAIL_12M_OPER_INC","FQ4 2022","FQ4 2022","Currency=USD","Period=FQ","BEST_FPERIOD_OVERRIDE=FQ","FILING_STATUS=MR","SCALING_FORMAT=MLN","FA_ADJUSTED=GAAP","Sort=A","Dates=H","DateFormat=P","Fill=—","Direction=H","UseDPDF=Y")</f>
        <v>-785.072</v>
      </c>
      <c r="Q30" s="13">
        <f>_xll.BDH("ALNY US Equity","TRAIL_12M_OPER_INC","FQ1 2023","FQ1 2023","Currency=USD","Period=FQ","BEST_FPERIOD_OVERRIDE=FQ","FILING_STATUS=MR","SCALING_FORMAT=MLN","FA_ADJUSTED=GAAP","Sort=A","Dates=H","DateFormat=P","Fill=—","Direction=H","UseDPDF=Y")</f>
        <v>-788.14700000000005</v>
      </c>
      <c r="R30" s="13">
        <f>_xll.BDH("ALNY US Equity","TRAIL_12M_OPER_INC","FQ2 2023","FQ2 2023","Currency=USD","Period=FQ","BEST_FPERIOD_OVERRIDE=FQ","FILING_STATUS=MR","SCALING_FORMAT=MLN","FA_ADJUSTED=GAAP","Sort=A","Dates=H","DateFormat=P","Fill=—","Direction=H","UseDPDF=Y")</f>
        <v>-826.29200000000003</v>
      </c>
      <c r="S30" s="13">
        <f>_xll.BDH("ALNY US Equity","TRAIL_12M_OPER_INC","FQ3 2023","FQ3 2023","Currency=USD","Period=FQ","BEST_FPERIOD_OVERRIDE=FQ","FILING_STATUS=MR","SCALING_FORMAT=MLN","FA_ADJUSTED=GAAP","Sort=A","Dates=H","DateFormat=P","Fill=—","Direction=H","UseDPDF=Y")</f>
        <v>-354.38499999999999</v>
      </c>
      <c r="T30" s="13">
        <f>_xll.BDH("ALNY US Equity","TRAIL_12M_OPER_INC","FQ4 2023","FQ4 2023","Currency=USD","Period=FQ","BEST_FPERIOD_OVERRIDE=FQ","FILING_STATUS=MR","SCALING_FORMAT=MLN","FA_ADJUSTED=GAAP","Sort=A","Dates=H","DateFormat=P","Fill=—","Direction=H","UseDPDF=Y")</f>
        <v>-282.17500000000001</v>
      </c>
      <c r="U30" s="13">
        <f>_xll.BDH("ALNY US Equity","TRAIL_12M_OPER_INC","FQ1 2024","FQ1 2024","Currency=USD","Period=FQ","BEST_FPERIOD_OVERRIDE=FQ","FILING_STATUS=MR","SCALING_FORMAT=MLN","FA_ADJUSTED=GAAP","Sort=A","Dates=H","DateFormat=P","Fill=—","Direction=H","UseDPDF=Y")</f>
        <v>-175.803</v>
      </c>
      <c r="V30" s="13">
        <f>_xll.BDH("ALNY US Equity","TRAIL_12M_OPER_INC","FQ2 2024","FQ2 2024","Currency=USD","Period=FQ","BEST_FPERIOD_OVERRIDE=FQ","FILING_STATUS=MR","SCALING_FORMAT=MLN","FA_ADJUSTED=GAAP","Sort=A","Dates=H","DateFormat=P","Fill=—","Direction=H","UseDPDF=Y")</f>
        <v>102.642</v>
      </c>
      <c r="W30" s="13">
        <f>_xll.BDH("ALNY US Equity","TRAIL_12M_OPER_INC","FQ3 2024","FQ3 2024","Currency=USD","Period=FQ","BEST_FPERIOD_OVERRIDE=FQ","FILING_STATUS=MR","SCALING_FORMAT=MLN","FA_ADJUSTED=GAAP","Sort=A","Dates=H","DateFormat=P","Fill=—","Direction=H","UseDPDF=Y")</f>
        <v>-188.13</v>
      </c>
      <c r="X30" s="13">
        <f>_xll.BDH("ALNY US Equity","TRAIL_12M_OPER_INC","FQ4 2024","FQ4 2024","Currency=USD","Period=FQ","BEST_FPERIOD_OVERRIDE=FQ","FILING_STATUS=MR","SCALING_FORMAT=MLN","FA_ADJUSTED=GAAP","Sort=A","Dates=H","DateFormat=P","Fill=—","Direction=H","UseDPDF=Y")</f>
        <v>-176.88499999999999</v>
      </c>
      <c r="Y30" s="16">
        <v>-176.88499999999999</v>
      </c>
      <c r="Z30" s="13">
        <v>-83.477999999999994</v>
      </c>
      <c r="AA30" s="13">
        <v>-2.847</v>
      </c>
    </row>
    <row r="31" spans="1:27" x14ac:dyDescent="0.25">
      <c r="A31" s="7" t="s">
        <v>90</v>
      </c>
      <c r="B31" s="7"/>
      <c r="C31" s="7" t="s">
        <v>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198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164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165</v>
      </c>
      <c r="Z5" s="5" t="s">
        <v>58</v>
      </c>
      <c r="AA5" s="5" t="s">
        <v>59</v>
      </c>
    </row>
    <row r="6" spans="1:27" x14ac:dyDescent="0.25">
      <c r="A6" s="6" t="s">
        <v>199</v>
      </c>
      <c r="B6" s="6" t="s">
        <v>200</v>
      </c>
      <c r="C6" s="20" t="str">
        <f>_xll.BDH("ALNY US Equity","PE_RATIO","FQ3 2019","FQ3 2019","Currency=USD","Period=FQ","BEST_FPERIOD_OVERRIDE=FQ","FILING_STATUS=MR","Sort=A","Dates=H","DateFormat=P","Fill=—","Direction=H","UseDPDF=Y")</f>
        <v>—</v>
      </c>
      <c r="D6" s="20" t="str">
        <f>_xll.BDH("ALNY US Equity","PE_RATIO","FQ4 2019","FQ4 2019","Currency=USD","Period=FQ","BEST_FPERIOD_OVERRIDE=FQ","FILING_STATUS=MR","Sort=A","Dates=H","DateFormat=P","Fill=—","Direction=H","UseDPDF=Y")</f>
        <v>—</v>
      </c>
      <c r="E6" s="20" t="str">
        <f>_xll.BDH("ALNY US Equity","PE_RATIO","FQ1 2020","FQ1 2020","Currency=USD","Period=FQ","BEST_FPERIOD_OVERRIDE=FQ","FILING_STATUS=MR","Sort=A","Dates=H","DateFormat=P","Fill=—","Direction=H","UseDPDF=Y")</f>
        <v>—</v>
      </c>
      <c r="F6" s="20" t="str">
        <f>_xll.BDH("ALNY US Equity","PE_RATIO","FQ2 2020","FQ2 2020","Currency=USD","Period=FQ","BEST_FPERIOD_OVERRIDE=FQ","FILING_STATUS=MR","Sort=A","Dates=H","DateFormat=P","Fill=—","Direction=H","UseDPDF=Y")</f>
        <v>—</v>
      </c>
      <c r="G6" s="20" t="str">
        <f>_xll.BDH("ALNY US Equity","PE_RATIO","FQ3 2020","FQ3 2020","Currency=USD","Period=FQ","BEST_FPERIOD_OVERRIDE=FQ","FILING_STATUS=MR","Sort=A","Dates=H","DateFormat=P","Fill=—","Direction=H","UseDPDF=Y")</f>
        <v>—</v>
      </c>
      <c r="H6" s="20" t="str">
        <f>_xll.BDH("ALNY US Equity","PE_RATIO","FQ4 2020","FQ4 2020","Currency=USD","Period=FQ","BEST_FPERIOD_OVERRIDE=FQ","FILING_STATUS=MR","Sort=A","Dates=H","DateFormat=P","Fill=—","Direction=H","UseDPDF=Y")</f>
        <v>—</v>
      </c>
      <c r="I6" s="20" t="str">
        <f>_xll.BDH("ALNY US Equity","PE_RATIO","FQ1 2021","FQ1 2021","Currency=USD","Period=FQ","BEST_FPERIOD_OVERRIDE=FQ","FILING_STATUS=MR","Sort=A","Dates=H","DateFormat=P","Fill=—","Direction=H","UseDPDF=Y")</f>
        <v>—</v>
      </c>
      <c r="J6" s="20" t="str">
        <f>_xll.BDH("ALNY US Equity","PE_RATIO","FQ2 2021","FQ2 2021","Currency=USD","Period=FQ","BEST_FPERIOD_OVERRIDE=FQ","FILING_STATUS=MR","Sort=A","Dates=H","DateFormat=P","Fill=—","Direction=H","UseDPDF=Y")</f>
        <v>—</v>
      </c>
      <c r="K6" s="20" t="str">
        <f>_xll.BDH("ALNY US Equity","PE_RATIO","FQ3 2021","FQ3 2021","Currency=USD","Period=FQ","BEST_FPERIOD_OVERRIDE=FQ","FILING_STATUS=MR","Sort=A","Dates=H","DateFormat=P","Fill=—","Direction=H","UseDPDF=Y")</f>
        <v>—</v>
      </c>
      <c r="L6" s="20" t="str">
        <f>_xll.BDH("ALNY US Equity","PE_RATIO","FQ4 2021","FQ4 2021","Currency=USD","Period=FQ","BEST_FPERIOD_OVERRIDE=FQ","FILING_STATUS=MR","Sort=A","Dates=H","DateFormat=P","Fill=—","Direction=H","UseDPDF=Y")</f>
        <v>—</v>
      </c>
      <c r="M6" s="20" t="str">
        <f>_xll.BDH("ALNY US Equity","PE_RATIO","FQ1 2022","FQ1 2022","Currency=USD","Period=FQ","BEST_FPERIOD_OVERRIDE=FQ","FILING_STATUS=MR","Sort=A","Dates=H","DateFormat=P","Fill=—","Direction=H","UseDPDF=Y")</f>
        <v>—</v>
      </c>
      <c r="N6" s="20" t="str">
        <f>_xll.BDH("ALNY US Equity","PE_RATIO","FQ2 2022","FQ2 2022","Currency=USD","Period=FQ","BEST_FPERIOD_OVERRIDE=FQ","FILING_STATUS=MR","Sort=A","Dates=H","DateFormat=P","Fill=—","Direction=H","UseDPDF=Y")</f>
        <v>—</v>
      </c>
      <c r="O6" s="20" t="str">
        <f>_xll.BDH("ALNY US Equity","PE_RATIO","FQ3 2022","FQ3 2022","Currency=USD","Period=FQ","BEST_FPERIOD_OVERRIDE=FQ","FILING_STATUS=MR","Sort=A","Dates=H","DateFormat=P","Fill=—","Direction=H","UseDPDF=Y")</f>
        <v>—</v>
      </c>
      <c r="P6" s="20" t="str">
        <f>_xll.BDH("ALNY US Equity","PE_RATIO","FQ4 2022","FQ4 2022","Currency=USD","Period=FQ","BEST_FPERIOD_OVERRIDE=FQ","FILING_STATUS=MR","Sort=A","Dates=H","DateFormat=P","Fill=—","Direction=H","UseDPDF=Y")</f>
        <v>—</v>
      </c>
      <c r="Q6" s="20" t="str">
        <f>_xll.BDH("ALNY US Equity","PE_RATIO","FQ1 2023","FQ1 2023","Currency=USD","Period=FQ","BEST_FPERIOD_OVERRIDE=FQ","FILING_STATUS=MR","Sort=A","Dates=H","DateFormat=P","Fill=—","Direction=H","UseDPDF=Y")</f>
        <v>—</v>
      </c>
      <c r="R6" s="20" t="str">
        <f>_xll.BDH("ALNY US Equity","PE_RATIO","FQ2 2023","FQ2 2023","Currency=USD","Period=FQ","BEST_FPERIOD_OVERRIDE=FQ","FILING_STATUS=MR","Sort=A","Dates=H","DateFormat=P","Fill=—","Direction=H","UseDPDF=Y")</f>
        <v>—</v>
      </c>
      <c r="S6" s="20" t="str">
        <f>_xll.BDH("ALNY US Equity","PE_RATIO","FQ3 2023","FQ3 2023","Currency=USD","Period=FQ","BEST_FPERIOD_OVERRIDE=FQ","FILING_STATUS=MR","Sort=A","Dates=H","DateFormat=P","Fill=—","Direction=H","UseDPDF=Y")</f>
        <v>—</v>
      </c>
      <c r="T6" s="20" t="str">
        <f>_xll.BDH("ALNY US Equity","PE_RATIO","FQ4 2023","FQ4 2023","Currency=USD","Period=FQ","BEST_FPERIOD_OVERRIDE=FQ","FILING_STATUS=MR","Sort=A","Dates=H","DateFormat=P","Fill=—","Direction=H","UseDPDF=Y")</f>
        <v>—</v>
      </c>
      <c r="U6" s="20" t="str">
        <f>_xll.BDH("ALNY US Equity","PE_RATIO","FQ1 2024","FQ1 2024","Currency=USD","Period=FQ","BEST_FPERIOD_OVERRIDE=FQ","FILING_STATUS=MR","Sort=A","Dates=H","DateFormat=P","Fill=—","Direction=H","UseDPDF=Y")</f>
        <v>—</v>
      </c>
      <c r="V6" s="20" t="str">
        <f>_xll.BDH("ALNY US Equity","PE_RATIO","FQ2 2024","FQ2 2024","Currency=USD","Period=FQ","BEST_FPERIOD_OVERRIDE=FQ","FILING_STATUS=MR","Sort=A","Dates=H","DateFormat=P","Fill=—","Direction=H","UseDPDF=Y")</f>
        <v>—</v>
      </c>
      <c r="W6" s="20" t="str">
        <f>_xll.BDH("ALNY US Equity","PE_RATIO","FQ3 2024","FQ3 2024","Currency=USD","Period=FQ","BEST_FPERIOD_OVERRIDE=FQ","FILING_STATUS=MR","Sort=A","Dates=H","DateFormat=P","Fill=—","Direction=H","UseDPDF=Y")</f>
        <v>—</v>
      </c>
      <c r="X6" s="20" t="str">
        <f>_xll.BDH("ALNY US Equity","PE_RATIO","FQ4 2024","FQ4 2024","Currency=USD","Period=FQ","BEST_FPERIOD_OVERRIDE=FQ","FILING_STATUS=MR","Sort=A","Dates=H","DateFormat=P","Fill=—","Direction=H","UseDPDF=Y")</f>
        <v>—</v>
      </c>
      <c r="Y6" s="23"/>
      <c r="Z6" s="20">
        <v>1082.2580645161299</v>
      </c>
      <c r="AA6" s="20">
        <v>217.857142857143</v>
      </c>
    </row>
    <row r="7" spans="1:27" x14ac:dyDescent="0.25">
      <c r="A7" s="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21"/>
      <c r="Z7" s="18"/>
      <c r="AA7" s="18"/>
    </row>
    <row r="8" spans="1:27" x14ac:dyDescent="0.25">
      <c r="A8" s="6" t="s">
        <v>201</v>
      </c>
      <c r="B8" s="6" t="s">
        <v>202</v>
      </c>
      <c r="C8" s="20">
        <f>_xll.BDH("ALNY US Equity","PX_TO_BOOK_RATIO","FQ3 2019","FQ3 2019","Currency=USD","Period=FQ","BEST_FPERIOD_OVERRIDE=FQ","FILING_STATUS=MR","Sort=A","Dates=H","DateFormat=P","Fill=—","Direction=H","UseDPDF=Y")</f>
        <v>5.5708000000000002</v>
      </c>
      <c r="D8" s="20">
        <f>_xll.BDH("ALNY US Equity","PX_TO_BOOK_RATIO","FQ4 2019","FQ4 2019","Currency=USD","Period=FQ","BEST_FPERIOD_OVERRIDE=FQ","FILING_STATUS=MR","Sort=A","Dates=H","DateFormat=P","Fill=—","Direction=H","UseDPDF=Y")</f>
        <v>8.9809000000000001</v>
      </c>
      <c r="E8" s="20">
        <f>_xll.BDH("ALNY US Equity","PX_TO_BOOK_RATIO","FQ1 2020","FQ1 2020","Currency=USD","Period=FQ","BEST_FPERIOD_OVERRIDE=FQ","FILING_STATUS=MR","Sort=A","Dates=H","DateFormat=P","Fill=—","Direction=H","UseDPDF=Y")</f>
        <v>9.1265000000000001</v>
      </c>
      <c r="F8" s="20">
        <f>_xll.BDH("ALNY US Equity","PX_TO_BOOK_RATIO","FQ2 2020","FQ2 2020","Currency=USD","Period=FQ","BEST_FPERIOD_OVERRIDE=FQ","FILING_STATUS=MR","Sort=A","Dates=H","DateFormat=P","Fill=—","Direction=H","UseDPDF=Y")</f>
        <v>12.237</v>
      </c>
      <c r="G8" s="20">
        <f>_xll.BDH("ALNY US Equity","PX_TO_BOOK_RATIO","FQ3 2020","FQ3 2020","Currency=USD","Period=FQ","BEST_FPERIOD_OVERRIDE=FQ","FILING_STATUS=MR","Sort=A","Dates=H","DateFormat=P","Fill=—","Direction=H","UseDPDF=Y")</f>
        <v>13.9178</v>
      </c>
      <c r="H8" s="20">
        <f>_xll.BDH("ALNY US Equity","PX_TO_BOOK_RATIO","FQ4 2020","FQ4 2020","Currency=USD","Period=FQ","BEST_FPERIOD_OVERRIDE=FQ","FILING_STATUS=MR","Sort=A","Dates=H","DateFormat=P","Fill=—","Direction=H","UseDPDF=Y")</f>
        <v>14.8901</v>
      </c>
      <c r="I8" s="20">
        <f>_xll.BDH("ALNY US Equity","PX_TO_BOOK_RATIO","FQ1 2021","FQ1 2021","Currency=USD","Period=FQ","BEST_FPERIOD_OVERRIDE=FQ","FILING_STATUS=MR","Sort=A","Dates=H","DateFormat=P","Fill=—","Direction=H","UseDPDF=Y")</f>
        <v>17.884599999999999</v>
      </c>
      <c r="J8" s="20">
        <f>_xll.BDH("ALNY US Equity","PX_TO_BOOK_RATIO","FQ2 2021","FQ2 2021","Currency=USD","Period=FQ","BEST_FPERIOD_OVERRIDE=FQ","FILING_STATUS=MR","Sort=A","Dates=H","DateFormat=P","Fill=—","Direction=H","UseDPDF=Y")</f>
        <v>23.559000000000001</v>
      </c>
      <c r="K8" s="20">
        <f>_xll.BDH("ALNY US Equity","PX_TO_BOOK_RATIO","FQ3 2021","FQ3 2021","Currency=USD","Period=FQ","BEST_FPERIOD_OVERRIDE=FQ","FILING_STATUS=MR","Sort=A","Dates=H","DateFormat=P","Fill=—","Direction=H","UseDPDF=Y")</f>
        <v>29.844200000000001</v>
      </c>
      <c r="L8" s="20">
        <f>_xll.BDH("ALNY US Equity","PX_TO_BOOK_RATIO","FQ4 2021","FQ4 2021","Currency=USD","Period=FQ","BEST_FPERIOD_OVERRIDE=FQ","FILING_STATUS=MR","Sort=A","Dates=H","DateFormat=P","Fill=—","Direction=H","UseDPDF=Y")</f>
        <v>34.648699999999998</v>
      </c>
      <c r="M8" s="20">
        <f>_xll.BDH("ALNY US Equity","PX_TO_BOOK_RATIO","FQ1 2022","FQ1 2022","Currency=USD","Period=FQ","BEST_FPERIOD_OVERRIDE=FQ","FILING_STATUS=MR","Sort=A","Dates=H","DateFormat=P","Fill=—","Direction=H","UseDPDF=Y")</f>
        <v>49.141300000000001</v>
      </c>
      <c r="N8" s="20">
        <f>_xll.BDH("ALNY US Equity","PX_TO_BOOK_RATIO","FQ2 2022","FQ2 2022","Currency=USD","Period=FQ","BEST_FPERIOD_OVERRIDE=FQ","FILING_STATUS=MR","Sort=A","Dates=H","DateFormat=P","Fill=—","Direction=H","UseDPDF=Y")</f>
        <v>100.24250000000001</v>
      </c>
      <c r="O8" s="20" t="str">
        <f>_xll.BDH("ALNY US Equity","PX_TO_BOOK_RATIO","FQ3 2022","FQ3 2022","Currency=USD","Period=FQ","BEST_FPERIOD_OVERRIDE=FQ","FILING_STATUS=MR","Sort=A","Dates=H","DateFormat=P","Fill=—","Direction=H","UseDPDF=Y")</f>
        <v>—</v>
      </c>
      <c r="P8" s="20" t="str">
        <f>_xll.BDH("ALNY US Equity","PX_TO_BOOK_RATIO","FQ4 2022","FQ4 2022","Currency=USD","Period=FQ","BEST_FPERIOD_OVERRIDE=FQ","FILING_STATUS=MR","Sort=A","Dates=H","DateFormat=P","Fill=—","Direction=H","UseDPDF=Y")</f>
        <v>—</v>
      </c>
      <c r="Q8" s="20" t="str">
        <f>_xll.BDH("ALNY US Equity","PX_TO_BOOK_RATIO","FQ1 2023","FQ1 2023","Currency=USD","Period=FQ","BEST_FPERIOD_OVERRIDE=FQ","FILING_STATUS=MR","Sort=A","Dates=H","DateFormat=P","Fill=—","Direction=H","UseDPDF=Y")</f>
        <v>—</v>
      </c>
      <c r="R8" s="20" t="str">
        <f>_xll.BDH("ALNY US Equity","PX_TO_BOOK_RATIO","FQ2 2023","FQ2 2023","Currency=USD","Period=FQ","BEST_FPERIOD_OVERRIDE=FQ","FILING_STATUS=MR","Sort=A","Dates=H","DateFormat=P","Fill=—","Direction=H","UseDPDF=Y")</f>
        <v>—</v>
      </c>
      <c r="S8" s="20" t="str">
        <f>_xll.BDH("ALNY US Equity","PX_TO_BOOK_RATIO","FQ3 2023","FQ3 2023","Currency=USD","Period=FQ","BEST_FPERIOD_OVERRIDE=FQ","FILING_STATUS=MR","Sort=A","Dates=H","DateFormat=P","Fill=—","Direction=H","UseDPDF=Y")</f>
        <v>—</v>
      </c>
      <c r="T8" s="20" t="str">
        <f>_xll.BDH("ALNY US Equity","PX_TO_BOOK_RATIO","FQ4 2023","FQ4 2023","Currency=USD","Period=FQ","BEST_FPERIOD_OVERRIDE=FQ","FILING_STATUS=MR","Sort=A","Dates=H","DateFormat=P","Fill=—","Direction=H","UseDPDF=Y")</f>
        <v>—</v>
      </c>
      <c r="U8" s="20" t="str">
        <f>_xll.BDH("ALNY US Equity","PX_TO_BOOK_RATIO","FQ1 2024","FQ1 2024","Currency=USD","Period=FQ","BEST_FPERIOD_OVERRIDE=FQ","FILING_STATUS=MR","Sort=A","Dates=H","DateFormat=P","Fill=—","Direction=H","UseDPDF=Y")</f>
        <v>—</v>
      </c>
      <c r="V8" s="20" t="str">
        <f>_xll.BDH("ALNY US Equity","PX_TO_BOOK_RATIO","FQ2 2024","FQ2 2024","Currency=USD","Period=FQ","BEST_FPERIOD_OVERRIDE=FQ","FILING_STATUS=MR","Sort=A","Dates=H","DateFormat=P","Fill=—","Direction=H","UseDPDF=Y")</f>
        <v>—</v>
      </c>
      <c r="W8" s="20">
        <f>_xll.BDH("ALNY US Equity","PX_TO_BOOK_RATIO","FQ3 2024","FQ3 2024","Currency=USD","Period=FQ","BEST_FPERIOD_OVERRIDE=FQ","FILING_STATUS=MR","Sort=A","Dates=H","DateFormat=P","Fill=—","Direction=H","UseDPDF=Y")</f>
        <v>1095.2320999999999</v>
      </c>
      <c r="X8" s="20">
        <f>_xll.BDH("ALNY US Equity","PX_TO_BOOK_RATIO","FQ4 2024","FQ4 2024","Currency=USD","Period=FQ","BEST_FPERIOD_OVERRIDE=FQ","FILING_STATUS=MR","Sort=A","Dates=H","DateFormat=P","Fill=—","Direction=H","UseDPDF=Y")</f>
        <v>453.49650000000003</v>
      </c>
      <c r="Y8" s="23">
        <v>517.26849527265301</v>
      </c>
      <c r="Z8" s="20"/>
      <c r="AA8" s="20"/>
    </row>
    <row r="9" spans="1:27" x14ac:dyDescent="0.25">
      <c r="A9" s="10" t="s">
        <v>203</v>
      </c>
      <c r="B9" s="10" t="s">
        <v>204</v>
      </c>
      <c r="C9" s="14">
        <f>_xll.BDH("ALNY US Equity","AVERAGE_PRICE_TO_BOOK_RATIO","FQ3 2019","FQ3 2019","Currency=USD","Period=FQ","BEST_FPERIOD_OVERRIDE=FQ","FILING_STATUS=MR","Sort=A","Dates=H","DateFormat=P","Fill=—","Direction=H","UseDPDF=Y")</f>
        <v>5.0101000000000004</v>
      </c>
      <c r="D9" s="14">
        <f>_xll.BDH("ALNY US Equity","AVERAGE_PRICE_TO_BOOK_RATIO","FQ4 2019","FQ4 2019","Currency=USD","Period=FQ","BEST_FPERIOD_OVERRIDE=FQ","FILING_STATUS=MR","Sort=A","Dates=H","DateFormat=P","Fill=—","Direction=H","UseDPDF=Y")</f>
        <v>6.9218000000000002</v>
      </c>
      <c r="E9" s="14">
        <f>_xll.BDH("ALNY US Equity","AVERAGE_PRICE_TO_BOOK_RATIO","FQ1 2020","FQ1 2020","Currency=USD","Period=FQ","BEST_FPERIOD_OVERRIDE=FQ","FILING_STATUS=MR","Sort=A","Dates=H","DateFormat=P","Fill=—","Direction=H","UseDPDF=Y")</f>
        <v>9.0114000000000001</v>
      </c>
      <c r="F9" s="14">
        <f>_xll.BDH("ALNY US Equity","AVERAGE_PRICE_TO_BOOK_RATIO","FQ2 2020","FQ2 2020","Currency=USD","Period=FQ","BEST_FPERIOD_OVERRIDE=FQ","FILING_STATUS=MR","Sort=A","Dates=H","DateFormat=P","Fill=—","Direction=H","UseDPDF=Y")</f>
        <v>11.3003</v>
      </c>
      <c r="G9" s="14">
        <f>_xll.BDH("ALNY US Equity","AVERAGE_PRICE_TO_BOOK_RATIO","FQ3 2020","FQ3 2020","Currency=USD","Period=FQ","BEST_FPERIOD_OVERRIDE=FQ","FILING_STATUS=MR","Sort=A","Dates=H","DateFormat=P","Fill=—","Direction=H","UseDPDF=Y")</f>
        <v>11.7707</v>
      </c>
      <c r="H9" s="14">
        <f>_xll.BDH("ALNY US Equity","AVERAGE_PRICE_TO_BOOK_RATIO","FQ4 2020","FQ4 2020","Currency=USD","Period=FQ","BEST_FPERIOD_OVERRIDE=FQ","FILING_STATUS=MR","Sort=A","Dates=H","DateFormat=P","Fill=—","Direction=H","UseDPDF=Y")</f>
        <v>12.802099999999999</v>
      </c>
      <c r="I9" s="14">
        <f>_xll.BDH("ALNY US Equity","AVERAGE_PRICE_TO_BOOK_RATIO","FQ1 2021","FQ1 2021","Currency=USD","Period=FQ","BEST_FPERIOD_OVERRIDE=FQ","FILING_STATUS=MR","Sort=A","Dates=H","DateFormat=P","Fill=—","Direction=H","UseDPDF=Y")</f>
        <v>17.2685</v>
      </c>
      <c r="J9" s="14">
        <f>_xll.BDH("ALNY US Equity","AVERAGE_PRICE_TO_BOOK_RATIO","FQ2 2021","FQ2 2021","Currency=USD","Period=FQ","BEST_FPERIOD_OVERRIDE=FQ","FILING_STATUS=MR","Sort=A","Dates=H","DateFormat=P","Fill=—","Direction=H","UseDPDF=Y")</f>
        <v>18.5854</v>
      </c>
      <c r="K9" s="14">
        <f>_xll.BDH("ALNY US Equity","AVERAGE_PRICE_TO_BOOK_RATIO","FQ3 2021","FQ3 2021","Currency=USD","Period=FQ","BEST_FPERIOD_OVERRIDE=FQ","FILING_STATUS=MR","Sort=A","Dates=H","DateFormat=P","Fill=—","Direction=H","UseDPDF=Y")</f>
        <v>26.125499999999999</v>
      </c>
      <c r="L9" s="14">
        <f>_xll.BDH("ALNY US Equity","AVERAGE_PRICE_TO_BOOK_RATIO","FQ4 2021","FQ4 2021","Currency=USD","Period=FQ","BEST_FPERIOD_OVERRIDE=FQ","FILING_STATUS=MR","Sort=A","Dates=H","DateFormat=P","Fill=—","Direction=H","UseDPDF=Y")</f>
        <v>29.5001</v>
      </c>
      <c r="M9" s="14">
        <f>_xll.BDH("ALNY US Equity","AVERAGE_PRICE_TO_BOOK_RATIO","FQ1 2022","FQ1 2022","Currency=USD","Period=FQ","BEST_FPERIOD_OVERRIDE=FQ","FILING_STATUS=MR","Sort=A","Dates=H","DateFormat=P","Fill=—","Direction=H","UseDPDF=Y")</f>
        <v>31.382899999999999</v>
      </c>
      <c r="N9" s="14">
        <f>_xll.BDH("ALNY US Equity","AVERAGE_PRICE_TO_BOOK_RATIO","FQ2 2022","FQ2 2022","Currency=USD","Period=FQ","BEST_FPERIOD_OVERRIDE=FQ","FILING_STATUS=MR","Sort=A","Dates=H","DateFormat=P","Fill=—","Direction=H","UseDPDF=Y")</f>
        <v>43.602699999999999</v>
      </c>
      <c r="O9" s="14">
        <f>_xll.BDH("ALNY US Equity","AVERAGE_PRICE_TO_BOOK_RATIO","FQ3 2022","FQ3 2022","Currency=USD","Period=FQ","BEST_FPERIOD_OVERRIDE=FQ","FILING_STATUS=MR","Sort=A","Dates=H","DateFormat=P","Fill=—","Direction=H","UseDPDF=Y")</f>
        <v>130.99109999999999</v>
      </c>
      <c r="P9" s="14" t="str">
        <f>_xll.BDH("ALNY US Equity","AVERAGE_PRICE_TO_BOOK_RATIO","FQ4 2022","FQ4 2022","Currency=USD","Period=FQ","BEST_FPERIOD_OVERRIDE=FQ","FILING_STATUS=MR","Sort=A","Dates=H","DateFormat=P","Fill=—","Direction=H","UseDPDF=Y")</f>
        <v>—</v>
      </c>
      <c r="Q9" s="14" t="str">
        <f>_xll.BDH("ALNY US Equity","AVERAGE_PRICE_TO_BOOK_RATIO","FQ1 2023","FQ1 2023","Currency=USD","Period=FQ","BEST_FPERIOD_OVERRIDE=FQ","FILING_STATUS=MR","Sort=A","Dates=H","DateFormat=P","Fill=—","Direction=H","UseDPDF=Y")</f>
        <v>—</v>
      </c>
      <c r="R9" s="14" t="str">
        <f>_xll.BDH("ALNY US Equity","AVERAGE_PRICE_TO_BOOK_RATIO","FQ2 2023","FQ2 2023","Currency=USD","Period=FQ","BEST_FPERIOD_OVERRIDE=FQ","FILING_STATUS=MR","Sort=A","Dates=H","DateFormat=P","Fill=—","Direction=H","UseDPDF=Y")</f>
        <v>—</v>
      </c>
      <c r="S9" s="14" t="str">
        <f>_xll.BDH("ALNY US Equity","AVERAGE_PRICE_TO_BOOK_RATIO","FQ3 2023","FQ3 2023","Currency=USD","Period=FQ","BEST_FPERIOD_OVERRIDE=FQ","FILING_STATUS=MR","Sort=A","Dates=H","DateFormat=P","Fill=—","Direction=H","UseDPDF=Y")</f>
        <v>—</v>
      </c>
      <c r="T9" s="14" t="str">
        <f>_xll.BDH("ALNY US Equity","AVERAGE_PRICE_TO_BOOK_RATIO","FQ4 2023","FQ4 2023","Currency=USD","Period=FQ","BEST_FPERIOD_OVERRIDE=FQ","FILING_STATUS=MR","Sort=A","Dates=H","DateFormat=P","Fill=—","Direction=H","UseDPDF=Y")</f>
        <v>—</v>
      </c>
      <c r="U9" s="14" t="str">
        <f>_xll.BDH("ALNY US Equity","AVERAGE_PRICE_TO_BOOK_RATIO","FQ1 2024","FQ1 2024","Currency=USD","Period=FQ","BEST_FPERIOD_OVERRIDE=FQ","FILING_STATUS=MR","Sort=A","Dates=H","DateFormat=P","Fill=—","Direction=H","UseDPDF=Y")</f>
        <v>—</v>
      </c>
      <c r="V9" s="14" t="str">
        <f>_xll.BDH("ALNY US Equity","AVERAGE_PRICE_TO_BOOK_RATIO","FQ2 2024","FQ2 2024","Currency=USD","Period=FQ","BEST_FPERIOD_OVERRIDE=FQ","FILING_STATUS=MR","Sort=A","Dates=H","DateFormat=P","Fill=—","Direction=H","UseDPDF=Y")</f>
        <v>—</v>
      </c>
      <c r="W9" s="14">
        <f>_xll.BDH("ALNY US Equity","AVERAGE_PRICE_TO_BOOK_RATIO","FQ3 2024","FQ3 2024","Currency=USD","Period=FQ","BEST_FPERIOD_OVERRIDE=FQ","FILING_STATUS=MR","Sort=A","Dates=H","DateFormat=P","Fill=—","Direction=H","UseDPDF=Y")</f>
        <v>1095.2320999999999</v>
      </c>
      <c r="X9" s="14">
        <f>_xll.BDH("ALNY US Equity","AVERAGE_PRICE_TO_BOOK_RATIO","FQ4 2024","FQ4 2024","Currency=USD","Period=FQ","BEST_FPERIOD_OVERRIDE=FQ","FILING_STATUS=MR","Sort=A","Dates=H","DateFormat=P","Fill=—","Direction=H","UseDPDF=Y")</f>
        <v>1039.7473</v>
      </c>
      <c r="Y9" s="17"/>
      <c r="Z9" s="14"/>
      <c r="AA9" s="14"/>
    </row>
    <row r="10" spans="1:27" x14ac:dyDescent="0.25">
      <c r="A10" s="10" t="s">
        <v>205</v>
      </c>
      <c r="B10" s="10" t="s">
        <v>206</v>
      </c>
      <c r="C10" s="14">
        <f>_xll.BDH("ALNY US Equity","HIGH_CLOSING_PRICE_TO_BOOK_RATIO","FQ3 2019","FQ3 2019","Currency=USD","Period=FQ","BEST_FPERIOD_OVERRIDE=FQ","FILING_STATUS=MR","Sort=A","Dates=H","DateFormat=P","Fill=—","Direction=H","UseDPDF=Y")</f>
        <v>5.5708000000000002</v>
      </c>
      <c r="D10" s="14">
        <f>_xll.BDH("ALNY US Equity","HIGH_CLOSING_PRICE_TO_BOOK_RATIO","FQ4 2019","FQ4 2019","Currency=USD","Period=FQ","BEST_FPERIOD_OVERRIDE=FQ","FILING_STATUS=MR","Sort=A","Dates=H","DateFormat=P","Fill=—","Direction=H","UseDPDF=Y")</f>
        <v>8.9809000000000001</v>
      </c>
      <c r="E10" s="14">
        <f>_xll.BDH("ALNY US Equity","HIGH_CLOSING_PRICE_TO_BOOK_RATIO","FQ1 2020","FQ1 2020","Currency=USD","Period=FQ","BEST_FPERIOD_OVERRIDE=FQ","FILING_STATUS=MR","Sort=A","Dates=H","DateFormat=P","Fill=—","Direction=H","UseDPDF=Y")</f>
        <v>10.448399999999999</v>
      </c>
      <c r="F10" s="14">
        <f>_xll.BDH("ALNY US Equity","HIGH_CLOSING_PRICE_TO_BOOK_RATIO","FQ2 2020","FQ2 2020","Currency=USD","Period=FQ","BEST_FPERIOD_OVERRIDE=FQ","FILING_STATUS=MR","Sort=A","Dates=H","DateFormat=P","Fill=—","Direction=H","UseDPDF=Y")</f>
        <v>13.1167</v>
      </c>
      <c r="G10" s="14">
        <f>_xll.BDH("ALNY US Equity","HIGH_CLOSING_PRICE_TO_BOOK_RATIO","FQ3 2020","FQ3 2020","Currency=USD","Period=FQ","BEST_FPERIOD_OVERRIDE=FQ","FILING_STATUS=MR","Sort=A","Dates=H","DateFormat=P","Fill=—","Direction=H","UseDPDF=Y")</f>
        <v>13.9178</v>
      </c>
      <c r="H10" s="14">
        <f>_xll.BDH("ALNY US Equity","HIGH_CLOSING_PRICE_TO_BOOK_RATIO","FQ4 2020","FQ4 2020","Currency=USD","Period=FQ","BEST_FPERIOD_OVERRIDE=FQ","FILING_STATUS=MR","Sort=A","Dates=H","DateFormat=P","Fill=—","Direction=H","UseDPDF=Y")</f>
        <v>14.8901</v>
      </c>
      <c r="I10" s="14">
        <f>_xll.BDH("ALNY US Equity","HIGH_CLOSING_PRICE_TO_BOOK_RATIO","FQ1 2021","FQ1 2021","Currency=USD","Period=FQ","BEST_FPERIOD_OVERRIDE=FQ","FILING_STATUS=MR","Sort=A","Dates=H","DateFormat=P","Fill=—","Direction=H","UseDPDF=Y")</f>
        <v>20.128</v>
      </c>
      <c r="J10" s="14">
        <f>_xll.BDH("ALNY US Equity","HIGH_CLOSING_PRICE_TO_BOOK_RATIO","FQ2 2021","FQ2 2021","Currency=USD","Period=FQ","BEST_FPERIOD_OVERRIDE=FQ","FILING_STATUS=MR","Sort=A","Dates=H","DateFormat=P","Fill=—","Direction=H","UseDPDF=Y")</f>
        <v>23.559000000000001</v>
      </c>
      <c r="K10" s="14">
        <f>_xll.BDH("ALNY US Equity","HIGH_CLOSING_PRICE_TO_BOOK_RATIO","FQ3 2021","FQ3 2021","Currency=USD","Period=FQ","BEST_FPERIOD_OVERRIDE=FQ","FILING_STATUS=MR","Sort=A","Dates=H","DateFormat=P","Fill=—","Direction=H","UseDPDF=Y")</f>
        <v>29.844200000000001</v>
      </c>
      <c r="L10" s="14">
        <f>_xll.BDH("ALNY US Equity","HIGH_CLOSING_PRICE_TO_BOOK_RATIO","FQ4 2021","FQ4 2021","Currency=USD","Period=FQ","BEST_FPERIOD_OVERRIDE=FQ","FILING_STATUS=MR","Sort=A","Dates=H","DateFormat=P","Fill=—","Direction=H","UseDPDF=Y")</f>
        <v>34.648699999999998</v>
      </c>
      <c r="M10" s="14">
        <f>_xll.BDH("ALNY US Equity","HIGH_CLOSING_PRICE_TO_BOOK_RATIO","FQ1 2022","FQ1 2022","Currency=USD","Period=FQ","BEST_FPERIOD_OVERRIDE=FQ","FILING_STATUS=MR","Sort=A","Dates=H","DateFormat=P","Fill=—","Direction=H","UseDPDF=Y")</f>
        <v>49.141300000000001</v>
      </c>
      <c r="N10" s="14">
        <f>_xll.BDH("ALNY US Equity","HIGH_CLOSING_PRICE_TO_BOOK_RATIO","FQ2 2022","FQ2 2022","Currency=USD","Period=FQ","BEST_FPERIOD_OVERRIDE=FQ","FILING_STATUS=MR","Sort=A","Dates=H","DateFormat=P","Fill=—","Direction=H","UseDPDF=Y")</f>
        <v>100.24250000000001</v>
      </c>
      <c r="O10" s="14">
        <f>_xll.BDH("ALNY US Equity","HIGH_CLOSING_PRICE_TO_BOOK_RATIO","FQ3 2022","FQ3 2022","Currency=USD","Period=FQ","BEST_FPERIOD_OVERRIDE=FQ","FILING_STATUS=MR","Sort=A","Dates=H","DateFormat=P","Fill=—","Direction=H","UseDPDF=Y")</f>
        <v>160.72470000000001</v>
      </c>
      <c r="P10" s="14" t="str">
        <f>_xll.BDH("ALNY US Equity","HIGH_CLOSING_PRICE_TO_BOOK_RATIO","FQ4 2022","FQ4 2022","Currency=USD","Period=FQ","BEST_FPERIOD_OVERRIDE=FQ","FILING_STATUS=MR","Sort=A","Dates=H","DateFormat=P","Fill=—","Direction=H","UseDPDF=Y")</f>
        <v>—</v>
      </c>
      <c r="Q10" s="14" t="str">
        <f>_xll.BDH("ALNY US Equity","HIGH_CLOSING_PRICE_TO_BOOK_RATIO","FQ1 2023","FQ1 2023","Currency=USD","Period=FQ","BEST_FPERIOD_OVERRIDE=FQ","FILING_STATUS=MR","Sort=A","Dates=H","DateFormat=P","Fill=—","Direction=H","UseDPDF=Y")</f>
        <v>—</v>
      </c>
      <c r="R10" s="14" t="str">
        <f>_xll.BDH("ALNY US Equity","HIGH_CLOSING_PRICE_TO_BOOK_RATIO","FQ2 2023","FQ2 2023","Currency=USD","Period=FQ","BEST_FPERIOD_OVERRIDE=FQ","FILING_STATUS=MR","Sort=A","Dates=H","DateFormat=P","Fill=—","Direction=H","UseDPDF=Y")</f>
        <v>—</v>
      </c>
      <c r="S10" s="14" t="str">
        <f>_xll.BDH("ALNY US Equity","HIGH_CLOSING_PRICE_TO_BOOK_RATIO","FQ3 2023","FQ3 2023","Currency=USD","Period=FQ","BEST_FPERIOD_OVERRIDE=FQ","FILING_STATUS=MR","Sort=A","Dates=H","DateFormat=P","Fill=—","Direction=H","UseDPDF=Y")</f>
        <v>—</v>
      </c>
      <c r="T10" s="14" t="str">
        <f>_xll.BDH("ALNY US Equity","HIGH_CLOSING_PRICE_TO_BOOK_RATIO","FQ4 2023","FQ4 2023","Currency=USD","Period=FQ","BEST_FPERIOD_OVERRIDE=FQ","FILING_STATUS=MR","Sort=A","Dates=H","DateFormat=P","Fill=—","Direction=H","UseDPDF=Y")</f>
        <v>—</v>
      </c>
      <c r="U10" s="14" t="str">
        <f>_xll.BDH("ALNY US Equity","HIGH_CLOSING_PRICE_TO_BOOK_RATIO","FQ1 2024","FQ1 2024","Currency=USD","Period=FQ","BEST_FPERIOD_OVERRIDE=FQ","FILING_STATUS=MR","Sort=A","Dates=H","DateFormat=P","Fill=—","Direction=H","UseDPDF=Y")</f>
        <v>—</v>
      </c>
      <c r="V10" s="14" t="str">
        <f>_xll.BDH("ALNY US Equity","HIGH_CLOSING_PRICE_TO_BOOK_RATIO","FQ2 2024","FQ2 2024","Currency=USD","Period=FQ","BEST_FPERIOD_OVERRIDE=FQ","FILING_STATUS=MR","Sort=A","Dates=H","DateFormat=P","Fill=—","Direction=H","UseDPDF=Y")</f>
        <v>—</v>
      </c>
      <c r="W10" s="14">
        <f>_xll.BDH("ALNY US Equity","HIGH_CLOSING_PRICE_TO_BOOK_RATIO","FQ3 2024","FQ3 2024","Currency=USD","Period=FQ","BEST_FPERIOD_OVERRIDE=FQ","FILING_STATUS=MR","Sort=A","Dates=H","DateFormat=P","Fill=—","Direction=H","UseDPDF=Y")</f>
        <v>1095.2320999999999</v>
      </c>
      <c r="X10" s="14">
        <f>_xll.BDH("ALNY US Equity","HIGH_CLOSING_PRICE_TO_BOOK_RATIO","FQ4 2024","FQ4 2024","Currency=USD","Period=FQ","BEST_FPERIOD_OVERRIDE=FQ","FILING_STATUS=MR","Sort=A","Dates=H","DateFormat=P","Fill=—","Direction=H","UseDPDF=Y")</f>
        <v>1196.8586</v>
      </c>
      <c r="Y10" s="17"/>
      <c r="Z10" s="14"/>
      <c r="AA10" s="14"/>
    </row>
    <row r="11" spans="1:27" x14ac:dyDescent="0.25">
      <c r="A11" s="10" t="s">
        <v>207</v>
      </c>
      <c r="B11" s="10" t="s">
        <v>208</v>
      </c>
      <c r="C11" s="14">
        <f>_xll.BDH("ALNY US Equity","LOW_CLOSING_PRICE_TO_BOOK_RATIO","FQ3 2019","FQ3 2019","Currency=USD","Period=FQ","BEST_FPERIOD_OVERRIDE=FQ","FILING_STATUS=MR","Sort=A","Dates=H","DateFormat=P","Fill=—","Direction=H","UseDPDF=Y")</f>
        <v>4.4832999999999998</v>
      </c>
      <c r="D11" s="14">
        <f>_xll.BDH("ALNY US Equity","LOW_CLOSING_PRICE_TO_BOOK_RATIO","FQ4 2019","FQ4 2019","Currency=USD","Period=FQ","BEST_FPERIOD_OVERRIDE=FQ","FILING_STATUS=MR","Sort=A","Dates=H","DateFormat=P","Fill=—","Direction=H","UseDPDF=Y")</f>
        <v>5.1614000000000004</v>
      </c>
      <c r="E11" s="14">
        <f>_xll.BDH("ALNY US Equity","LOW_CLOSING_PRICE_TO_BOOK_RATIO","FQ1 2020","FQ1 2020","Currency=USD","Period=FQ","BEST_FPERIOD_OVERRIDE=FQ","FILING_STATUS=MR","Sort=A","Dates=H","DateFormat=P","Fill=—","Direction=H","UseDPDF=Y")</f>
        <v>7.2614000000000001</v>
      </c>
      <c r="F11" s="14">
        <f>_xll.BDH("ALNY US Equity","LOW_CLOSING_PRICE_TO_BOOK_RATIO","FQ2 2020","FQ2 2020","Currency=USD","Period=FQ","BEST_FPERIOD_OVERRIDE=FQ","FILING_STATUS=MR","Sort=A","Dates=H","DateFormat=P","Fill=—","Direction=H","UseDPDF=Y")</f>
        <v>8.7375000000000007</v>
      </c>
      <c r="G11" s="14">
        <f>_xll.BDH("ALNY US Equity","LOW_CLOSING_PRICE_TO_BOOK_RATIO","FQ3 2020","FQ3 2020","Currency=USD","Period=FQ","BEST_FPERIOD_OVERRIDE=FQ","FILING_STATUS=MR","Sort=A","Dates=H","DateFormat=P","Fill=—","Direction=H","UseDPDF=Y")</f>
        <v>10.0129</v>
      </c>
      <c r="H11" s="14">
        <f>_xll.BDH("ALNY US Equity","LOW_CLOSING_PRICE_TO_BOOK_RATIO","FQ4 2020","FQ4 2020","Currency=USD","Period=FQ","BEST_FPERIOD_OVERRIDE=FQ","FILING_STATUS=MR","Sort=A","Dates=H","DateFormat=P","Fill=—","Direction=H","UseDPDF=Y")</f>
        <v>11.7546</v>
      </c>
      <c r="I11" s="14">
        <f>_xll.BDH("ALNY US Equity","LOW_CLOSING_PRICE_TO_BOOK_RATIO","FQ1 2021","FQ1 2021","Currency=USD","Period=FQ","BEST_FPERIOD_OVERRIDE=FQ","FILING_STATUS=MR","Sort=A","Dates=H","DateFormat=P","Fill=—","Direction=H","UseDPDF=Y")</f>
        <v>14.5304</v>
      </c>
      <c r="J11" s="14">
        <f>_xll.BDH("ALNY US Equity","LOW_CLOSING_PRICE_TO_BOOK_RATIO","FQ2 2021","FQ2 2021","Currency=USD","Period=FQ","BEST_FPERIOD_OVERRIDE=FQ","FILING_STATUS=MR","Sort=A","Dates=H","DateFormat=P","Fill=—","Direction=H","UseDPDF=Y")</f>
        <v>16.293600000000001</v>
      </c>
      <c r="K11" s="14">
        <f>_xll.BDH("ALNY US Equity","LOW_CLOSING_PRICE_TO_BOOK_RATIO","FQ3 2021","FQ3 2021","Currency=USD","Period=FQ","BEST_FPERIOD_OVERRIDE=FQ","FILING_STATUS=MR","Sort=A","Dates=H","DateFormat=P","Fill=—","Direction=H","UseDPDF=Y")</f>
        <v>23.591000000000001</v>
      </c>
      <c r="L11" s="14">
        <f>_xll.BDH("ALNY US Equity","LOW_CLOSING_PRICE_TO_BOOK_RATIO","FQ4 2021","FQ4 2021","Currency=USD","Period=FQ","BEST_FPERIOD_OVERRIDE=FQ","FILING_STATUS=MR","Sort=A","Dates=H","DateFormat=P","Fill=—","Direction=H","UseDPDF=Y")</f>
        <v>25.220800000000001</v>
      </c>
      <c r="M11" s="14">
        <f>_xll.BDH("ALNY US Equity","LOW_CLOSING_PRICE_TO_BOOK_RATIO","FQ1 2022","FQ1 2022","Currency=USD","Period=FQ","BEST_FPERIOD_OVERRIDE=FQ","FILING_STATUS=MR","Sort=A","Dates=H","DateFormat=P","Fill=—","Direction=H","UseDPDF=Y")</f>
        <v>25.985499999999998</v>
      </c>
      <c r="N11" s="14">
        <f>_xll.BDH("ALNY US Equity","LOW_CLOSING_PRICE_TO_BOOK_RATIO","FQ2 2022","FQ2 2022","Currency=USD","Period=FQ","BEST_FPERIOD_OVERRIDE=FQ","FILING_STATUS=MR","Sort=A","Dates=H","DateFormat=P","Fill=—","Direction=H","UseDPDF=Y")</f>
        <v>36.239800000000002</v>
      </c>
      <c r="O11" s="14">
        <f>_xll.BDH("ALNY US Equity","LOW_CLOSING_PRICE_TO_BOOK_RATIO","FQ3 2022","FQ3 2022","Currency=USD","Period=FQ","BEST_FPERIOD_OVERRIDE=FQ","FILING_STATUS=MR","Sort=A","Dates=H","DateFormat=P","Fill=—","Direction=H","UseDPDF=Y")</f>
        <v>95.218299999999999</v>
      </c>
      <c r="P11" s="14" t="str">
        <f>_xll.BDH("ALNY US Equity","LOW_CLOSING_PRICE_TO_BOOK_RATIO","FQ4 2022","FQ4 2022","Currency=USD","Period=FQ","BEST_FPERIOD_OVERRIDE=FQ","FILING_STATUS=MR","Sort=A","Dates=H","DateFormat=P","Fill=—","Direction=H","UseDPDF=Y")</f>
        <v>—</v>
      </c>
      <c r="Q11" s="14" t="str">
        <f>_xll.BDH("ALNY US Equity","LOW_CLOSING_PRICE_TO_BOOK_RATIO","FQ1 2023","FQ1 2023","Currency=USD","Period=FQ","BEST_FPERIOD_OVERRIDE=FQ","FILING_STATUS=MR","Sort=A","Dates=H","DateFormat=P","Fill=—","Direction=H","UseDPDF=Y")</f>
        <v>—</v>
      </c>
      <c r="R11" s="14" t="str">
        <f>_xll.BDH("ALNY US Equity","LOW_CLOSING_PRICE_TO_BOOK_RATIO","FQ2 2023","FQ2 2023","Currency=USD","Period=FQ","BEST_FPERIOD_OVERRIDE=FQ","FILING_STATUS=MR","Sort=A","Dates=H","DateFormat=P","Fill=—","Direction=H","UseDPDF=Y")</f>
        <v>—</v>
      </c>
      <c r="S11" s="14" t="str">
        <f>_xll.BDH("ALNY US Equity","LOW_CLOSING_PRICE_TO_BOOK_RATIO","FQ3 2023","FQ3 2023","Currency=USD","Period=FQ","BEST_FPERIOD_OVERRIDE=FQ","FILING_STATUS=MR","Sort=A","Dates=H","DateFormat=P","Fill=—","Direction=H","UseDPDF=Y")</f>
        <v>—</v>
      </c>
      <c r="T11" s="14" t="str">
        <f>_xll.BDH("ALNY US Equity","LOW_CLOSING_PRICE_TO_BOOK_RATIO","FQ4 2023","FQ4 2023","Currency=USD","Period=FQ","BEST_FPERIOD_OVERRIDE=FQ","FILING_STATUS=MR","Sort=A","Dates=H","DateFormat=P","Fill=—","Direction=H","UseDPDF=Y")</f>
        <v>—</v>
      </c>
      <c r="U11" s="14" t="str">
        <f>_xll.BDH("ALNY US Equity","LOW_CLOSING_PRICE_TO_BOOK_RATIO","FQ1 2024","FQ1 2024","Currency=USD","Period=FQ","BEST_FPERIOD_OVERRIDE=FQ","FILING_STATUS=MR","Sort=A","Dates=H","DateFormat=P","Fill=—","Direction=H","UseDPDF=Y")</f>
        <v>—</v>
      </c>
      <c r="V11" s="14" t="str">
        <f>_xll.BDH("ALNY US Equity","LOW_CLOSING_PRICE_TO_BOOK_RATIO","FQ2 2024","FQ2 2024","Currency=USD","Period=FQ","BEST_FPERIOD_OVERRIDE=FQ","FILING_STATUS=MR","Sort=A","Dates=H","DateFormat=P","Fill=—","Direction=H","UseDPDF=Y")</f>
        <v>—</v>
      </c>
      <c r="W11" s="14">
        <f>_xll.BDH("ALNY US Equity","LOW_CLOSING_PRICE_TO_BOOK_RATIO","FQ3 2024","FQ3 2024","Currency=USD","Period=FQ","BEST_FPERIOD_OVERRIDE=FQ","FILING_STATUS=MR","Sort=A","Dates=H","DateFormat=P","Fill=—","Direction=H","UseDPDF=Y")</f>
        <v>1095.2320999999999</v>
      </c>
      <c r="X11" s="14">
        <f>_xll.BDH("ALNY US Equity","LOW_CLOSING_PRICE_TO_BOOK_RATIO","FQ4 2024","FQ4 2024","Currency=USD","Period=FQ","BEST_FPERIOD_OVERRIDE=FQ","FILING_STATUS=MR","Sort=A","Dates=H","DateFormat=P","Fill=—","Direction=H","UseDPDF=Y")</f>
        <v>453.49650000000003</v>
      </c>
      <c r="Y11" s="17"/>
      <c r="Z11" s="14"/>
      <c r="AA11" s="14"/>
    </row>
    <row r="12" spans="1:27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1"/>
      <c r="Z12" s="18"/>
      <c r="AA12" s="18"/>
    </row>
    <row r="13" spans="1:27" x14ac:dyDescent="0.25">
      <c r="A13" s="6" t="s">
        <v>209</v>
      </c>
      <c r="B13" s="6" t="s">
        <v>210</v>
      </c>
      <c r="C13" s="20">
        <f>_xll.BDH("ALNY US Equity","PX_TO_TANG_BV_PER_SH","FQ3 2019","FQ3 2019","Currency=USD","Period=FQ","BEST_FPERIOD_OVERRIDE=FQ","FILING_STATUS=MR","Sort=A","Dates=H","DateFormat=P","Fill=—","Direction=H","UseDPDF=Y")</f>
        <v>5.5708000000000002</v>
      </c>
      <c r="D13" s="20">
        <f>_xll.BDH("ALNY US Equity","PX_TO_TANG_BV_PER_SH","FQ4 2019","FQ4 2019","Currency=USD","Period=FQ","BEST_FPERIOD_OVERRIDE=FQ","FILING_STATUS=MR","Sort=A","Dates=H","DateFormat=P","Fill=—","Direction=H","UseDPDF=Y")</f>
        <v>8.9809000000000001</v>
      </c>
      <c r="E13" s="20">
        <f>_xll.BDH("ALNY US Equity","PX_TO_TANG_BV_PER_SH","FQ1 2020","FQ1 2020","Currency=USD","Period=FQ","BEST_FPERIOD_OVERRIDE=FQ","FILING_STATUS=MR","Sort=A","Dates=H","DateFormat=P","Fill=—","Direction=H","UseDPDF=Y")</f>
        <v>9.1265000000000001</v>
      </c>
      <c r="F13" s="20">
        <f>_xll.BDH("ALNY US Equity","PX_TO_TANG_BV_PER_SH","FQ2 2020","FQ2 2020","Currency=USD","Period=FQ","BEST_FPERIOD_OVERRIDE=FQ","FILING_STATUS=MR","Sort=A","Dates=H","DateFormat=P","Fill=—","Direction=H","UseDPDF=Y")</f>
        <v>12.237</v>
      </c>
      <c r="G13" s="20">
        <f>_xll.BDH("ALNY US Equity","PX_TO_TANG_BV_PER_SH","FQ3 2020","FQ3 2020","Currency=USD","Period=FQ","BEST_FPERIOD_OVERRIDE=FQ","FILING_STATUS=MR","Sort=A","Dates=H","DateFormat=P","Fill=—","Direction=H","UseDPDF=Y")</f>
        <v>13.9178</v>
      </c>
      <c r="H13" s="20">
        <f>_xll.BDH("ALNY US Equity","PX_TO_TANG_BV_PER_SH","FQ4 2020","FQ4 2020","Currency=USD","Period=FQ","BEST_FPERIOD_OVERRIDE=FQ","FILING_STATUS=MR","Sort=A","Dates=H","DateFormat=P","Fill=—","Direction=H","UseDPDF=Y")</f>
        <v>14.8901</v>
      </c>
      <c r="I13" s="20">
        <f>_xll.BDH("ALNY US Equity","PX_TO_TANG_BV_PER_SH","FQ1 2021","FQ1 2021","Currency=USD","Period=FQ","BEST_FPERIOD_OVERRIDE=FQ","FILING_STATUS=MR","Sort=A","Dates=H","DateFormat=P","Fill=—","Direction=H","UseDPDF=Y")</f>
        <v>17.884599999999999</v>
      </c>
      <c r="J13" s="20">
        <f>_xll.BDH("ALNY US Equity","PX_TO_TANG_BV_PER_SH","FQ2 2021","FQ2 2021","Currency=USD","Period=FQ","BEST_FPERIOD_OVERRIDE=FQ","FILING_STATUS=MR","Sort=A","Dates=H","DateFormat=P","Fill=—","Direction=H","UseDPDF=Y")</f>
        <v>23.559000000000001</v>
      </c>
      <c r="K13" s="20">
        <f>_xll.BDH("ALNY US Equity","PX_TO_TANG_BV_PER_SH","FQ3 2021","FQ3 2021","Currency=USD","Period=FQ","BEST_FPERIOD_OVERRIDE=FQ","FILING_STATUS=MR","Sort=A","Dates=H","DateFormat=P","Fill=—","Direction=H","UseDPDF=Y")</f>
        <v>29.844200000000001</v>
      </c>
      <c r="L13" s="20">
        <f>_xll.BDH("ALNY US Equity","PX_TO_TANG_BV_PER_SH","FQ4 2021","FQ4 2021","Currency=USD","Period=FQ","BEST_FPERIOD_OVERRIDE=FQ","FILING_STATUS=MR","Sort=A","Dates=H","DateFormat=P","Fill=—","Direction=H","UseDPDF=Y")</f>
        <v>34.648699999999998</v>
      </c>
      <c r="M13" s="20">
        <f>_xll.BDH("ALNY US Equity","PX_TO_TANG_BV_PER_SH","FQ1 2022","FQ1 2022","Currency=USD","Period=FQ","BEST_FPERIOD_OVERRIDE=FQ","FILING_STATUS=MR","Sort=A","Dates=H","DateFormat=P","Fill=—","Direction=H","UseDPDF=Y")</f>
        <v>49.141300000000001</v>
      </c>
      <c r="N13" s="20">
        <f>_xll.BDH("ALNY US Equity","PX_TO_TANG_BV_PER_SH","FQ2 2022","FQ2 2022","Currency=USD","Period=FQ","BEST_FPERIOD_OVERRIDE=FQ","FILING_STATUS=MR","Sort=A","Dates=H","DateFormat=P","Fill=—","Direction=H","UseDPDF=Y")</f>
        <v>100.24250000000001</v>
      </c>
      <c r="O13" s="20" t="str">
        <f>_xll.BDH("ALNY US Equity","PX_TO_TANG_BV_PER_SH","FQ3 2022","FQ3 2022","Currency=USD","Period=FQ","BEST_FPERIOD_OVERRIDE=FQ","FILING_STATUS=MR","Sort=A","Dates=H","DateFormat=P","Fill=—","Direction=H","UseDPDF=Y")</f>
        <v>—</v>
      </c>
      <c r="P13" s="20" t="str">
        <f>_xll.BDH("ALNY US Equity","PX_TO_TANG_BV_PER_SH","FQ4 2022","FQ4 2022","Currency=USD","Period=FQ","BEST_FPERIOD_OVERRIDE=FQ","FILING_STATUS=MR","Sort=A","Dates=H","DateFormat=P","Fill=—","Direction=H","UseDPDF=Y")</f>
        <v>—</v>
      </c>
      <c r="Q13" s="20" t="str">
        <f>_xll.BDH("ALNY US Equity","PX_TO_TANG_BV_PER_SH","FQ1 2023","FQ1 2023","Currency=USD","Period=FQ","BEST_FPERIOD_OVERRIDE=FQ","FILING_STATUS=MR","Sort=A","Dates=H","DateFormat=P","Fill=—","Direction=H","UseDPDF=Y")</f>
        <v>—</v>
      </c>
      <c r="R13" s="20" t="str">
        <f>_xll.BDH("ALNY US Equity","PX_TO_TANG_BV_PER_SH","FQ2 2023","FQ2 2023","Currency=USD","Period=FQ","BEST_FPERIOD_OVERRIDE=FQ","FILING_STATUS=MR","Sort=A","Dates=H","DateFormat=P","Fill=—","Direction=H","UseDPDF=Y")</f>
        <v>—</v>
      </c>
      <c r="S13" s="20" t="str">
        <f>_xll.BDH("ALNY US Equity","PX_TO_TANG_BV_PER_SH","FQ3 2023","FQ3 2023","Currency=USD","Period=FQ","BEST_FPERIOD_OVERRIDE=FQ","FILING_STATUS=MR","Sort=A","Dates=H","DateFormat=P","Fill=—","Direction=H","UseDPDF=Y")</f>
        <v>—</v>
      </c>
      <c r="T13" s="20" t="str">
        <f>_xll.BDH("ALNY US Equity","PX_TO_TANG_BV_PER_SH","FQ4 2023","FQ4 2023","Currency=USD","Period=FQ","BEST_FPERIOD_OVERRIDE=FQ","FILING_STATUS=MR","Sort=A","Dates=H","DateFormat=P","Fill=—","Direction=H","UseDPDF=Y")</f>
        <v>—</v>
      </c>
      <c r="U13" s="20" t="str">
        <f>_xll.BDH("ALNY US Equity","PX_TO_TANG_BV_PER_SH","FQ1 2024","FQ1 2024","Currency=USD","Period=FQ","BEST_FPERIOD_OVERRIDE=FQ","FILING_STATUS=MR","Sort=A","Dates=H","DateFormat=P","Fill=—","Direction=H","UseDPDF=Y")</f>
        <v>—</v>
      </c>
      <c r="V13" s="20" t="str">
        <f>_xll.BDH("ALNY US Equity","PX_TO_TANG_BV_PER_SH","FQ2 2024","FQ2 2024","Currency=USD","Period=FQ","BEST_FPERIOD_OVERRIDE=FQ","FILING_STATUS=MR","Sort=A","Dates=H","DateFormat=P","Fill=—","Direction=H","UseDPDF=Y")</f>
        <v>—</v>
      </c>
      <c r="W13" s="20">
        <f>_xll.BDH("ALNY US Equity","PX_TO_TANG_BV_PER_SH","FQ3 2024","FQ3 2024","Currency=USD","Period=FQ","BEST_FPERIOD_OVERRIDE=FQ","FILING_STATUS=MR","Sort=A","Dates=H","DateFormat=P","Fill=—","Direction=H","UseDPDF=Y")</f>
        <v>1095.2320999999999</v>
      </c>
      <c r="X13" s="20">
        <f>_xll.BDH("ALNY US Equity","PX_TO_TANG_BV_PER_SH","FQ4 2024","FQ4 2024","Currency=USD","Period=FQ","BEST_FPERIOD_OVERRIDE=FQ","FILING_STATUS=MR","Sort=A","Dates=H","DateFormat=P","Fill=—","Direction=H","UseDPDF=Y")</f>
        <v>453.49650000000003</v>
      </c>
      <c r="Y13" s="23">
        <v>517.26849527265301</v>
      </c>
      <c r="Z13" s="20"/>
      <c r="AA13" s="20"/>
    </row>
    <row r="14" spans="1:27" x14ac:dyDescent="0.25">
      <c r="A14" s="10" t="s">
        <v>203</v>
      </c>
      <c r="B14" s="10" t="s">
        <v>211</v>
      </c>
      <c r="C14" s="14">
        <f>_xll.BDH("ALNY US Equity","AVERAGE_PRICE_TO_TANGIBLE_BPS","FQ3 2019","FQ3 2019","Currency=USD","Period=FQ","BEST_FPERIOD_OVERRIDE=FQ","FILING_STATUS=MR","Sort=A","Dates=H","DateFormat=P","Fill=—","Direction=H","UseDPDF=Y")</f>
        <v>5.0101000000000004</v>
      </c>
      <c r="D14" s="14">
        <f>_xll.BDH("ALNY US Equity","AVERAGE_PRICE_TO_TANGIBLE_BPS","FQ4 2019","FQ4 2019","Currency=USD","Period=FQ","BEST_FPERIOD_OVERRIDE=FQ","FILING_STATUS=MR","Sort=A","Dates=H","DateFormat=P","Fill=—","Direction=H","UseDPDF=Y")</f>
        <v>6.9218000000000002</v>
      </c>
      <c r="E14" s="14">
        <f>_xll.BDH("ALNY US Equity","AVERAGE_PRICE_TO_TANGIBLE_BPS","FQ1 2020","FQ1 2020","Currency=USD","Period=FQ","BEST_FPERIOD_OVERRIDE=FQ","FILING_STATUS=MR","Sort=A","Dates=H","DateFormat=P","Fill=—","Direction=H","UseDPDF=Y")</f>
        <v>9.0114000000000001</v>
      </c>
      <c r="F14" s="14">
        <f>_xll.BDH("ALNY US Equity","AVERAGE_PRICE_TO_TANGIBLE_BPS","FQ2 2020","FQ2 2020","Currency=USD","Period=FQ","BEST_FPERIOD_OVERRIDE=FQ","FILING_STATUS=MR","Sort=A","Dates=H","DateFormat=P","Fill=—","Direction=H","UseDPDF=Y")</f>
        <v>11.3003</v>
      </c>
      <c r="G14" s="14">
        <f>_xll.BDH("ALNY US Equity","AVERAGE_PRICE_TO_TANGIBLE_BPS","FQ3 2020","FQ3 2020","Currency=USD","Period=FQ","BEST_FPERIOD_OVERRIDE=FQ","FILING_STATUS=MR","Sort=A","Dates=H","DateFormat=P","Fill=—","Direction=H","UseDPDF=Y")</f>
        <v>11.7707</v>
      </c>
      <c r="H14" s="14">
        <f>_xll.BDH("ALNY US Equity","AVERAGE_PRICE_TO_TANGIBLE_BPS","FQ4 2020","FQ4 2020","Currency=USD","Period=FQ","BEST_FPERIOD_OVERRIDE=FQ","FILING_STATUS=MR","Sort=A","Dates=H","DateFormat=P","Fill=—","Direction=H","UseDPDF=Y")</f>
        <v>12.802099999999999</v>
      </c>
      <c r="I14" s="14">
        <f>_xll.BDH("ALNY US Equity","AVERAGE_PRICE_TO_TANGIBLE_BPS","FQ1 2021","FQ1 2021","Currency=USD","Period=FQ","BEST_FPERIOD_OVERRIDE=FQ","FILING_STATUS=MR","Sort=A","Dates=H","DateFormat=P","Fill=—","Direction=H","UseDPDF=Y")</f>
        <v>17.2685</v>
      </c>
      <c r="J14" s="14">
        <f>_xll.BDH("ALNY US Equity","AVERAGE_PRICE_TO_TANGIBLE_BPS","FQ2 2021","FQ2 2021","Currency=USD","Period=FQ","BEST_FPERIOD_OVERRIDE=FQ","FILING_STATUS=MR","Sort=A","Dates=H","DateFormat=P","Fill=—","Direction=H","UseDPDF=Y")</f>
        <v>18.5854</v>
      </c>
      <c r="K14" s="14">
        <f>_xll.BDH("ALNY US Equity","AVERAGE_PRICE_TO_TANGIBLE_BPS","FQ3 2021","FQ3 2021","Currency=USD","Period=FQ","BEST_FPERIOD_OVERRIDE=FQ","FILING_STATUS=MR","Sort=A","Dates=H","DateFormat=P","Fill=—","Direction=H","UseDPDF=Y")</f>
        <v>26.125499999999999</v>
      </c>
      <c r="L14" s="14">
        <f>_xll.BDH("ALNY US Equity","AVERAGE_PRICE_TO_TANGIBLE_BPS","FQ4 2021","FQ4 2021","Currency=USD","Period=FQ","BEST_FPERIOD_OVERRIDE=FQ","FILING_STATUS=MR","Sort=A","Dates=H","DateFormat=P","Fill=—","Direction=H","UseDPDF=Y")</f>
        <v>29.5001</v>
      </c>
      <c r="M14" s="14">
        <f>_xll.BDH("ALNY US Equity","AVERAGE_PRICE_TO_TANGIBLE_BPS","FQ1 2022","FQ1 2022","Currency=USD","Period=FQ","BEST_FPERIOD_OVERRIDE=FQ","FILING_STATUS=MR","Sort=A","Dates=H","DateFormat=P","Fill=—","Direction=H","UseDPDF=Y")</f>
        <v>31.382899999999999</v>
      </c>
      <c r="N14" s="14">
        <f>_xll.BDH("ALNY US Equity","AVERAGE_PRICE_TO_TANGIBLE_BPS","FQ2 2022","FQ2 2022","Currency=USD","Period=FQ","BEST_FPERIOD_OVERRIDE=FQ","FILING_STATUS=MR","Sort=A","Dates=H","DateFormat=P","Fill=—","Direction=H","UseDPDF=Y")</f>
        <v>43.602699999999999</v>
      </c>
      <c r="O14" s="14">
        <f>_xll.BDH("ALNY US Equity","AVERAGE_PRICE_TO_TANGIBLE_BPS","FQ3 2022","FQ3 2022","Currency=USD","Period=FQ","BEST_FPERIOD_OVERRIDE=FQ","FILING_STATUS=MR","Sort=A","Dates=H","DateFormat=P","Fill=—","Direction=H","UseDPDF=Y")</f>
        <v>130.99109999999999</v>
      </c>
      <c r="P14" s="14" t="str">
        <f>_xll.BDH("ALNY US Equity","AVERAGE_PRICE_TO_TANGIBLE_BPS","FQ4 2022","FQ4 2022","Currency=USD","Period=FQ","BEST_FPERIOD_OVERRIDE=FQ","FILING_STATUS=MR","Sort=A","Dates=H","DateFormat=P","Fill=—","Direction=H","UseDPDF=Y")</f>
        <v>—</v>
      </c>
      <c r="Q14" s="14" t="str">
        <f>_xll.BDH("ALNY US Equity","AVERAGE_PRICE_TO_TANGIBLE_BPS","FQ1 2023","FQ1 2023","Currency=USD","Period=FQ","BEST_FPERIOD_OVERRIDE=FQ","FILING_STATUS=MR","Sort=A","Dates=H","DateFormat=P","Fill=—","Direction=H","UseDPDF=Y")</f>
        <v>—</v>
      </c>
      <c r="R14" s="14" t="str">
        <f>_xll.BDH("ALNY US Equity","AVERAGE_PRICE_TO_TANGIBLE_BPS","FQ2 2023","FQ2 2023","Currency=USD","Period=FQ","BEST_FPERIOD_OVERRIDE=FQ","FILING_STATUS=MR","Sort=A","Dates=H","DateFormat=P","Fill=—","Direction=H","UseDPDF=Y")</f>
        <v>—</v>
      </c>
      <c r="S14" s="14" t="str">
        <f>_xll.BDH("ALNY US Equity","AVERAGE_PRICE_TO_TANGIBLE_BPS","FQ3 2023","FQ3 2023","Currency=USD","Period=FQ","BEST_FPERIOD_OVERRIDE=FQ","FILING_STATUS=MR","Sort=A","Dates=H","DateFormat=P","Fill=—","Direction=H","UseDPDF=Y")</f>
        <v>—</v>
      </c>
      <c r="T14" s="14" t="str">
        <f>_xll.BDH("ALNY US Equity","AVERAGE_PRICE_TO_TANGIBLE_BPS","FQ4 2023","FQ4 2023","Currency=USD","Period=FQ","BEST_FPERIOD_OVERRIDE=FQ","FILING_STATUS=MR","Sort=A","Dates=H","DateFormat=P","Fill=—","Direction=H","UseDPDF=Y")</f>
        <v>—</v>
      </c>
      <c r="U14" s="14" t="str">
        <f>_xll.BDH("ALNY US Equity","AVERAGE_PRICE_TO_TANGIBLE_BPS","FQ1 2024","FQ1 2024","Currency=USD","Period=FQ","BEST_FPERIOD_OVERRIDE=FQ","FILING_STATUS=MR","Sort=A","Dates=H","DateFormat=P","Fill=—","Direction=H","UseDPDF=Y")</f>
        <v>—</v>
      </c>
      <c r="V14" s="14" t="str">
        <f>_xll.BDH("ALNY US Equity","AVERAGE_PRICE_TO_TANGIBLE_BPS","FQ2 2024","FQ2 2024","Currency=USD","Period=FQ","BEST_FPERIOD_OVERRIDE=FQ","FILING_STATUS=MR","Sort=A","Dates=H","DateFormat=P","Fill=—","Direction=H","UseDPDF=Y")</f>
        <v>—</v>
      </c>
      <c r="W14" s="14">
        <f>_xll.BDH("ALNY US Equity","AVERAGE_PRICE_TO_TANGIBLE_BPS","FQ3 2024","FQ3 2024","Currency=USD","Period=FQ","BEST_FPERIOD_OVERRIDE=FQ","FILING_STATUS=MR","Sort=A","Dates=H","DateFormat=P","Fill=—","Direction=H","UseDPDF=Y")</f>
        <v>1095.2320999999999</v>
      </c>
      <c r="X14" s="14">
        <f>_xll.BDH("ALNY US Equity","AVERAGE_PRICE_TO_TANGIBLE_BPS","FQ4 2024","FQ4 2024","Currency=USD","Period=FQ","BEST_FPERIOD_OVERRIDE=FQ","FILING_STATUS=MR","Sort=A","Dates=H","DateFormat=P","Fill=—","Direction=H","UseDPDF=Y")</f>
        <v>1039.7473</v>
      </c>
      <c r="Y14" s="17"/>
      <c r="Z14" s="14"/>
      <c r="AA14" s="14"/>
    </row>
    <row r="15" spans="1:27" x14ac:dyDescent="0.25">
      <c r="A15" s="10" t="s">
        <v>205</v>
      </c>
      <c r="B15" s="10" t="s">
        <v>212</v>
      </c>
      <c r="C15" s="14">
        <f>_xll.BDH("ALNY US Equity","HIGH_PRICE_TO_TANGIBLE_BPS","FQ3 2019","FQ3 2019","Currency=USD","Period=FQ","BEST_FPERIOD_OVERRIDE=FQ","FILING_STATUS=MR","Sort=A","Dates=H","DateFormat=P","Fill=—","Direction=H","UseDPDF=Y")</f>
        <v>5.5708000000000002</v>
      </c>
      <c r="D15" s="14">
        <f>_xll.BDH("ALNY US Equity","HIGH_PRICE_TO_TANGIBLE_BPS","FQ4 2019","FQ4 2019","Currency=USD","Period=FQ","BEST_FPERIOD_OVERRIDE=FQ","FILING_STATUS=MR","Sort=A","Dates=H","DateFormat=P","Fill=—","Direction=H","UseDPDF=Y")</f>
        <v>8.9809000000000001</v>
      </c>
      <c r="E15" s="14">
        <f>_xll.BDH("ALNY US Equity","HIGH_PRICE_TO_TANGIBLE_BPS","FQ1 2020","FQ1 2020","Currency=USD","Period=FQ","BEST_FPERIOD_OVERRIDE=FQ","FILING_STATUS=MR","Sort=A","Dates=H","DateFormat=P","Fill=—","Direction=H","UseDPDF=Y")</f>
        <v>10.448399999999999</v>
      </c>
      <c r="F15" s="14">
        <f>_xll.BDH("ALNY US Equity","HIGH_PRICE_TO_TANGIBLE_BPS","FQ2 2020","FQ2 2020","Currency=USD","Period=FQ","BEST_FPERIOD_OVERRIDE=FQ","FILING_STATUS=MR","Sort=A","Dates=H","DateFormat=P","Fill=—","Direction=H","UseDPDF=Y")</f>
        <v>13.1167</v>
      </c>
      <c r="G15" s="14">
        <f>_xll.BDH("ALNY US Equity","HIGH_PRICE_TO_TANGIBLE_BPS","FQ3 2020","FQ3 2020","Currency=USD","Period=FQ","BEST_FPERIOD_OVERRIDE=FQ","FILING_STATUS=MR","Sort=A","Dates=H","DateFormat=P","Fill=—","Direction=H","UseDPDF=Y")</f>
        <v>13.9178</v>
      </c>
      <c r="H15" s="14">
        <f>_xll.BDH("ALNY US Equity","HIGH_PRICE_TO_TANGIBLE_BPS","FQ4 2020","FQ4 2020","Currency=USD","Period=FQ","BEST_FPERIOD_OVERRIDE=FQ","FILING_STATUS=MR","Sort=A","Dates=H","DateFormat=P","Fill=—","Direction=H","UseDPDF=Y")</f>
        <v>14.8901</v>
      </c>
      <c r="I15" s="14">
        <f>_xll.BDH("ALNY US Equity","HIGH_PRICE_TO_TANGIBLE_BPS","FQ1 2021","FQ1 2021","Currency=USD","Period=FQ","BEST_FPERIOD_OVERRIDE=FQ","FILING_STATUS=MR","Sort=A","Dates=H","DateFormat=P","Fill=—","Direction=H","UseDPDF=Y")</f>
        <v>20.128</v>
      </c>
      <c r="J15" s="14">
        <f>_xll.BDH("ALNY US Equity","HIGH_PRICE_TO_TANGIBLE_BPS","FQ2 2021","FQ2 2021","Currency=USD","Period=FQ","BEST_FPERIOD_OVERRIDE=FQ","FILING_STATUS=MR","Sort=A","Dates=H","DateFormat=P","Fill=—","Direction=H","UseDPDF=Y")</f>
        <v>23.559000000000001</v>
      </c>
      <c r="K15" s="14">
        <f>_xll.BDH("ALNY US Equity","HIGH_PRICE_TO_TANGIBLE_BPS","FQ3 2021","FQ3 2021","Currency=USD","Period=FQ","BEST_FPERIOD_OVERRIDE=FQ","FILING_STATUS=MR","Sort=A","Dates=H","DateFormat=P","Fill=—","Direction=H","UseDPDF=Y")</f>
        <v>29.844200000000001</v>
      </c>
      <c r="L15" s="14">
        <f>_xll.BDH("ALNY US Equity","HIGH_PRICE_TO_TANGIBLE_BPS","FQ4 2021","FQ4 2021","Currency=USD","Period=FQ","BEST_FPERIOD_OVERRIDE=FQ","FILING_STATUS=MR","Sort=A","Dates=H","DateFormat=P","Fill=—","Direction=H","UseDPDF=Y")</f>
        <v>34.648699999999998</v>
      </c>
      <c r="M15" s="14">
        <f>_xll.BDH("ALNY US Equity","HIGH_PRICE_TO_TANGIBLE_BPS","FQ1 2022","FQ1 2022","Currency=USD","Period=FQ","BEST_FPERIOD_OVERRIDE=FQ","FILING_STATUS=MR","Sort=A","Dates=H","DateFormat=P","Fill=—","Direction=H","UseDPDF=Y")</f>
        <v>49.141300000000001</v>
      </c>
      <c r="N15" s="14">
        <f>_xll.BDH("ALNY US Equity","HIGH_PRICE_TO_TANGIBLE_BPS","FQ2 2022","FQ2 2022","Currency=USD","Period=FQ","BEST_FPERIOD_OVERRIDE=FQ","FILING_STATUS=MR","Sort=A","Dates=H","DateFormat=P","Fill=—","Direction=H","UseDPDF=Y")</f>
        <v>100.24250000000001</v>
      </c>
      <c r="O15" s="14">
        <f>_xll.BDH("ALNY US Equity","HIGH_PRICE_TO_TANGIBLE_BPS","FQ3 2022","FQ3 2022","Currency=USD","Period=FQ","BEST_FPERIOD_OVERRIDE=FQ","FILING_STATUS=MR","Sort=A","Dates=H","DateFormat=P","Fill=—","Direction=H","UseDPDF=Y")</f>
        <v>160.72470000000001</v>
      </c>
      <c r="P15" s="14" t="str">
        <f>_xll.BDH("ALNY US Equity","HIGH_PRICE_TO_TANGIBLE_BPS","FQ4 2022","FQ4 2022","Currency=USD","Period=FQ","BEST_FPERIOD_OVERRIDE=FQ","FILING_STATUS=MR","Sort=A","Dates=H","DateFormat=P","Fill=—","Direction=H","UseDPDF=Y")</f>
        <v>—</v>
      </c>
      <c r="Q15" s="14" t="str">
        <f>_xll.BDH("ALNY US Equity","HIGH_PRICE_TO_TANGIBLE_BPS","FQ1 2023","FQ1 2023","Currency=USD","Period=FQ","BEST_FPERIOD_OVERRIDE=FQ","FILING_STATUS=MR","Sort=A","Dates=H","DateFormat=P","Fill=—","Direction=H","UseDPDF=Y")</f>
        <v>—</v>
      </c>
      <c r="R15" s="14" t="str">
        <f>_xll.BDH("ALNY US Equity","HIGH_PRICE_TO_TANGIBLE_BPS","FQ2 2023","FQ2 2023","Currency=USD","Period=FQ","BEST_FPERIOD_OVERRIDE=FQ","FILING_STATUS=MR","Sort=A","Dates=H","DateFormat=P","Fill=—","Direction=H","UseDPDF=Y")</f>
        <v>—</v>
      </c>
      <c r="S15" s="14" t="str">
        <f>_xll.BDH("ALNY US Equity","HIGH_PRICE_TO_TANGIBLE_BPS","FQ3 2023","FQ3 2023","Currency=USD","Period=FQ","BEST_FPERIOD_OVERRIDE=FQ","FILING_STATUS=MR","Sort=A","Dates=H","DateFormat=P","Fill=—","Direction=H","UseDPDF=Y")</f>
        <v>—</v>
      </c>
      <c r="T15" s="14" t="str">
        <f>_xll.BDH("ALNY US Equity","HIGH_PRICE_TO_TANGIBLE_BPS","FQ4 2023","FQ4 2023","Currency=USD","Period=FQ","BEST_FPERIOD_OVERRIDE=FQ","FILING_STATUS=MR","Sort=A","Dates=H","DateFormat=P","Fill=—","Direction=H","UseDPDF=Y")</f>
        <v>—</v>
      </c>
      <c r="U15" s="14" t="str">
        <f>_xll.BDH("ALNY US Equity","HIGH_PRICE_TO_TANGIBLE_BPS","FQ1 2024","FQ1 2024","Currency=USD","Period=FQ","BEST_FPERIOD_OVERRIDE=FQ","FILING_STATUS=MR","Sort=A","Dates=H","DateFormat=P","Fill=—","Direction=H","UseDPDF=Y")</f>
        <v>—</v>
      </c>
      <c r="V15" s="14" t="str">
        <f>_xll.BDH("ALNY US Equity","HIGH_PRICE_TO_TANGIBLE_BPS","FQ2 2024","FQ2 2024","Currency=USD","Period=FQ","BEST_FPERIOD_OVERRIDE=FQ","FILING_STATUS=MR","Sort=A","Dates=H","DateFormat=P","Fill=—","Direction=H","UseDPDF=Y")</f>
        <v>—</v>
      </c>
      <c r="W15" s="14">
        <f>_xll.BDH("ALNY US Equity","HIGH_PRICE_TO_TANGIBLE_BPS","FQ3 2024","FQ3 2024","Currency=USD","Period=FQ","BEST_FPERIOD_OVERRIDE=FQ","FILING_STATUS=MR","Sort=A","Dates=H","DateFormat=P","Fill=—","Direction=H","UseDPDF=Y")</f>
        <v>1095.2320999999999</v>
      </c>
      <c r="X15" s="14">
        <f>_xll.BDH("ALNY US Equity","HIGH_PRICE_TO_TANGIBLE_BPS","FQ4 2024","FQ4 2024","Currency=USD","Period=FQ","BEST_FPERIOD_OVERRIDE=FQ","FILING_STATUS=MR","Sort=A","Dates=H","DateFormat=P","Fill=—","Direction=H","UseDPDF=Y")</f>
        <v>1196.8586</v>
      </c>
      <c r="Y15" s="17"/>
      <c r="Z15" s="14"/>
      <c r="AA15" s="14"/>
    </row>
    <row r="16" spans="1:27" x14ac:dyDescent="0.25">
      <c r="A16" s="10" t="s">
        <v>207</v>
      </c>
      <c r="B16" s="10" t="s">
        <v>213</v>
      </c>
      <c r="C16" s="14">
        <f>_xll.BDH("ALNY US Equity","LOW_PRICE_TO_TANGIBLE_BPS","FQ3 2019","FQ3 2019","Currency=USD","Period=FQ","BEST_FPERIOD_OVERRIDE=FQ","FILING_STATUS=MR","Sort=A","Dates=H","DateFormat=P","Fill=—","Direction=H","UseDPDF=Y")</f>
        <v>4.4832999999999998</v>
      </c>
      <c r="D16" s="14">
        <f>_xll.BDH("ALNY US Equity","LOW_PRICE_TO_TANGIBLE_BPS","FQ4 2019","FQ4 2019","Currency=USD","Period=FQ","BEST_FPERIOD_OVERRIDE=FQ","FILING_STATUS=MR","Sort=A","Dates=H","DateFormat=P","Fill=—","Direction=H","UseDPDF=Y")</f>
        <v>5.1614000000000004</v>
      </c>
      <c r="E16" s="14">
        <f>_xll.BDH("ALNY US Equity","LOW_PRICE_TO_TANGIBLE_BPS","FQ1 2020","FQ1 2020","Currency=USD","Period=FQ","BEST_FPERIOD_OVERRIDE=FQ","FILING_STATUS=MR","Sort=A","Dates=H","DateFormat=P","Fill=—","Direction=H","UseDPDF=Y")</f>
        <v>7.2614000000000001</v>
      </c>
      <c r="F16" s="14">
        <f>_xll.BDH("ALNY US Equity","LOW_PRICE_TO_TANGIBLE_BPS","FQ2 2020","FQ2 2020","Currency=USD","Period=FQ","BEST_FPERIOD_OVERRIDE=FQ","FILING_STATUS=MR","Sort=A","Dates=H","DateFormat=P","Fill=—","Direction=H","UseDPDF=Y")</f>
        <v>8.7375000000000007</v>
      </c>
      <c r="G16" s="14">
        <f>_xll.BDH("ALNY US Equity","LOW_PRICE_TO_TANGIBLE_BPS","FQ3 2020","FQ3 2020","Currency=USD","Period=FQ","BEST_FPERIOD_OVERRIDE=FQ","FILING_STATUS=MR","Sort=A","Dates=H","DateFormat=P","Fill=—","Direction=H","UseDPDF=Y")</f>
        <v>10.0129</v>
      </c>
      <c r="H16" s="14">
        <f>_xll.BDH("ALNY US Equity","LOW_PRICE_TO_TANGIBLE_BPS","FQ4 2020","FQ4 2020","Currency=USD","Period=FQ","BEST_FPERIOD_OVERRIDE=FQ","FILING_STATUS=MR","Sort=A","Dates=H","DateFormat=P","Fill=—","Direction=H","UseDPDF=Y")</f>
        <v>11.7546</v>
      </c>
      <c r="I16" s="14">
        <f>_xll.BDH("ALNY US Equity","LOW_PRICE_TO_TANGIBLE_BPS","FQ1 2021","FQ1 2021","Currency=USD","Period=FQ","BEST_FPERIOD_OVERRIDE=FQ","FILING_STATUS=MR","Sort=A","Dates=H","DateFormat=P","Fill=—","Direction=H","UseDPDF=Y")</f>
        <v>14.5304</v>
      </c>
      <c r="J16" s="14">
        <f>_xll.BDH("ALNY US Equity","LOW_PRICE_TO_TANGIBLE_BPS","FQ2 2021","FQ2 2021","Currency=USD","Period=FQ","BEST_FPERIOD_OVERRIDE=FQ","FILING_STATUS=MR","Sort=A","Dates=H","DateFormat=P","Fill=—","Direction=H","UseDPDF=Y")</f>
        <v>16.293600000000001</v>
      </c>
      <c r="K16" s="14">
        <f>_xll.BDH("ALNY US Equity","LOW_PRICE_TO_TANGIBLE_BPS","FQ3 2021","FQ3 2021","Currency=USD","Period=FQ","BEST_FPERIOD_OVERRIDE=FQ","FILING_STATUS=MR","Sort=A","Dates=H","DateFormat=P","Fill=—","Direction=H","UseDPDF=Y")</f>
        <v>23.591000000000001</v>
      </c>
      <c r="L16" s="14">
        <f>_xll.BDH("ALNY US Equity","LOW_PRICE_TO_TANGIBLE_BPS","FQ4 2021","FQ4 2021","Currency=USD","Period=FQ","BEST_FPERIOD_OVERRIDE=FQ","FILING_STATUS=MR","Sort=A","Dates=H","DateFormat=P","Fill=—","Direction=H","UseDPDF=Y")</f>
        <v>25.220800000000001</v>
      </c>
      <c r="M16" s="14">
        <f>_xll.BDH("ALNY US Equity","LOW_PRICE_TO_TANGIBLE_BPS","FQ1 2022","FQ1 2022","Currency=USD","Period=FQ","BEST_FPERIOD_OVERRIDE=FQ","FILING_STATUS=MR","Sort=A","Dates=H","DateFormat=P","Fill=—","Direction=H","UseDPDF=Y")</f>
        <v>25.985499999999998</v>
      </c>
      <c r="N16" s="14">
        <f>_xll.BDH("ALNY US Equity","LOW_PRICE_TO_TANGIBLE_BPS","FQ2 2022","FQ2 2022","Currency=USD","Period=FQ","BEST_FPERIOD_OVERRIDE=FQ","FILING_STATUS=MR","Sort=A","Dates=H","DateFormat=P","Fill=—","Direction=H","UseDPDF=Y")</f>
        <v>36.239800000000002</v>
      </c>
      <c r="O16" s="14">
        <f>_xll.BDH("ALNY US Equity","LOW_PRICE_TO_TANGIBLE_BPS","FQ3 2022","FQ3 2022","Currency=USD","Period=FQ","BEST_FPERIOD_OVERRIDE=FQ","FILING_STATUS=MR","Sort=A","Dates=H","DateFormat=P","Fill=—","Direction=H","UseDPDF=Y")</f>
        <v>95.218299999999999</v>
      </c>
      <c r="P16" s="14" t="str">
        <f>_xll.BDH("ALNY US Equity","LOW_PRICE_TO_TANGIBLE_BPS","FQ4 2022","FQ4 2022","Currency=USD","Period=FQ","BEST_FPERIOD_OVERRIDE=FQ","FILING_STATUS=MR","Sort=A","Dates=H","DateFormat=P","Fill=—","Direction=H","UseDPDF=Y")</f>
        <v>—</v>
      </c>
      <c r="Q16" s="14" t="str">
        <f>_xll.BDH("ALNY US Equity","LOW_PRICE_TO_TANGIBLE_BPS","FQ1 2023","FQ1 2023","Currency=USD","Period=FQ","BEST_FPERIOD_OVERRIDE=FQ","FILING_STATUS=MR","Sort=A","Dates=H","DateFormat=P","Fill=—","Direction=H","UseDPDF=Y")</f>
        <v>—</v>
      </c>
      <c r="R16" s="14" t="str">
        <f>_xll.BDH("ALNY US Equity","LOW_PRICE_TO_TANGIBLE_BPS","FQ2 2023","FQ2 2023","Currency=USD","Period=FQ","BEST_FPERIOD_OVERRIDE=FQ","FILING_STATUS=MR","Sort=A","Dates=H","DateFormat=P","Fill=—","Direction=H","UseDPDF=Y")</f>
        <v>—</v>
      </c>
      <c r="S16" s="14" t="str">
        <f>_xll.BDH("ALNY US Equity","LOW_PRICE_TO_TANGIBLE_BPS","FQ3 2023","FQ3 2023","Currency=USD","Period=FQ","BEST_FPERIOD_OVERRIDE=FQ","FILING_STATUS=MR","Sort=A","Dates=H","DateFormat=P","Fill=—","Direction=H","UseDPDF=Y")</f>
        <v>—</v>
      </c>
      <c r="T16" s="14" t="str">
        <f>_xll.BDH("ALNY US Equity","LOW_PRICE_TO_TANGIBLE_BPS","FQ4 2023","FQ4 2023","Currency=USD","Period=FQ","BEST_FPERIOD_OVERRIDE=FQ","FILING_STATUS=MR","Sort=A","Dates=H","DateFormat=P","Fill=—","Direction=H","UseDPDF=Y")</f>
        <v>—</v>
      </c>
      <c r="U16" s="14" t="str">
        <f>_xll.BDH("ALNY US Equity","LOW_PRICE_TO_TANGIBLE_BPS","FQ1 2024","FQ1 2024","Currency=USD","Period=FQ","BEST_FPERIOD_OVERRIDE=FQ","FILING_STATUS=MR","Sort=A","Dates=H","DateFormat=P","Fill=—","Direction=H","UseDPDF=Y")</f>
        <v>—</v>
      </c>
      <c r="V16" s="14" t="str">
        <f>_xll.BDH("ALNY US Equity","LOW_PRICE_TO_TANGIBLE_BPS","FQ2 2024","FQ2 2024","Currency=USD","Period=FQ","BEST_FPERIOD_OVERRIDE=FQ","FILING_STATUS=MR","Sort=A","Dates=H","DateFormat=P","Fill=—","Direction=H","UseDPDF=Y")</f>
        <v>—</v>
      </c>
      <c r="W16" s="14">
        <f>_xll.BDH("ALNY US Equity","LOW_PRICE_TO_TANGIBLE_BPS","FQ3 2024","FQ3 2024","Currency=USD","Period=FQ","BEST_FPERIOD_OVERRIDE=FQ","FILING_STATUS=MR","Sort=A","Dates=H","DateFormat=P","Fill=—","Direction=H","UseDPDF=Y")</f>
        <v>1095.2320999999999</v>
      </c>
      <c r="X16" s="14">
        <f>_xll.BDH("ALNY US Equity","LOW_PRICE_TO_TANGIBLE_BPS","FQ4 2024","FQ4 2024","Currency=USD","Period=FQ","BEST_FPERIOD_OVERRIDE=FQ","FILING_STATUS=MR","Sort=A","Dates=H","DateFormat=P","Fill=—","Direction=H","UseDPDF=Y")</f>
        <v>453.49650000000003</v>
      </c>
      <c r="Y16" s="17"/>
      <c r="Z16" s="14"/>
      <c r="AA16" s="14"/>
    </row>
    <row r="17" spans="1:27" x14ac:dyDescent="0.25">
      <c r="A17" s="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1"/>
      <c r="Z17" s="18"/>
      <c r="AA17" s="18"/>
    </row>
    <row r="18" spans="1:27" x14ac:dyDescent="0.25">
      <c r="A18" s="6" t="s">
        <v>214</v>
      </c>
      <c r="B18" s="6" t="s">
        <v>215</v>
      </c>
      <c r="C18" s="20">
        <f>_xll.BDH("ALNY US Equity","PX_TO_SALES_RATIO","FQ3 2019","FQ3 2019","Currency=USD","Period=FQ","BEST_FPERIOD_OVERRIDE=FQ","FILING_STATUS=MR","FA_ADJUSTED=GAAP","Sort=A","Dates=H","DateFormat=P","Fill=—","Direction=H","UseDPDF=Y")</f>
        <v>50.887599999999999</v>
      </c>
      <c r="D18" s="20">
        <f>_xll.BDH("ALNY US Equity","PX_TO_SALES_RATIO","FQ4 2019","FQ4 2019","Currency=USD","Period=FQ","BEST_FPERIOD_OVERRIDE=FQ","FILING_STATUS=MR","FA_ADJUSTED=GAAP","Sort=A","Dates=H","DateFormat=P","Fill=—","Direction=H","UseDPDF=Y")</f>
        <v>57.193899999999999</v>
      </c>
      <c r="E18" s="20">
        <f>_xll.BDH("ALNY US Equity","PX_TO_SALES_RATIO","FQ1 2020","FQ1 2020","Currency=USD","Period=FQ","BEST_FPERIOD_OVERRIDE=FQ","FILING_STATUS=MR","FA_ADJUSTED=GAAP","Sort=A","Dates=H","DateFormat=P","Fill=—","Direction=H","UseDPDF=Y")</f>
        <v>42.188600000000001</v>
      </c>
      <c r="F18" s="20">
        <f>_xll.BDH("ALNY US Equity","PX_TO_SALES_RATIO","FQ2 2020","FQ2 2020","Currency=USD","Period=FQ","BEST_FPERIOD_OVERRIDE=FQ","FILING_STATUS=MR","FA_ADJUSTED=GAAP","Sort=A","Dates=H","DateFormat=P","Fill=—","Direction=H","UseDPDF=Y")</f>
        <v>48.197600000000001</v>
      </c>
      <c r="G18" s="20">
        <f>_xll.BDH("ALNY US Equity","PX_TO_SALES_RATIO","FQ3 2020","FQ3 2020","Currency=USD","Period=FQ","BEST_FPERIOD_OVERRIDE=FQ","FILING_STATUS=MR","FA_ADJUSTED=GAAP","Sort=A","Dates=H","DateFormat=P","Fill=—","Direction=H","UseDPDF=Y")</f>
        <v>41.44</v>
      </c>
      <c r="H18" s="20">
        <f>_xll.BDH("ALNY US Equity","PX_TO_SALES_RATIO","FQ4 2020","FQ4 2020","Currency=USD","Period=FQ","BEST_FPERIOD_OVERRIDE=FQ","FILING_STATUS=MR","FA_ADJUSTED=GAAP","Sort=A","Dates=H","DateFormat=P","Fill=—","Direction=H","UseDPDF=Y")</f>
        <v>30.375599999999999</v>
      </c>
      <c r="I18" s="20">
        <f>_xll.BDH("ALNY US Equity","PX_TO_SALES_RATIO","FQ1 2021","FQ1 2021","Currency=USD","Period=FQ","BEST_FPERIOD_OVERRIDE=FQ","FILING_STATUS=MR","FA_ADJUSTED=GAAP","Sort=A","Dates=H","DateFormat=P","Fill=—","Direction=H","UseDPDF=Y")</f>
        <v>28.737400000000001</v>
      </c>
      <c r="J18" s="20">
        <f>_xll.BDH("ALNY US Equity","PX_TO_SALES_RATIO","FQ2 2021","FQ2 2021","Currency=USD","Period=FQ","BEST_FPERIOD_OVERRIDE=FQ","FILING_STATUS=MR","FA_ADJUSTED=GAAP","Sort=A","Dates=H","DateFormat=P","Fill=—","Direction=H","UseDPDF=Y")</f>
        <v>28.8245</v>
      </c>
      <c r="K18" s="20">
        <f>_xll.BDH("ALNY US Equity","PX_TO_SALES_RATIO","FQ3 2021","FQ3 2021","Currency=USD","Period=FQ","BEST_FPERIOD_OVERRIDE=FQ","FILING_STATUS=MR","FA_ADJUSTED=GAAP","Sort=A","Dates=H","DateFormat=P","Fill=—","Direction=H","UseDPDF=Y")</f>
        <v>29.636299999999999</v>
      </c>
      <c r="L18" s="20">
        <f>_xll.BDH("ALNY US Equity","PX_TO_SALES_RATIO","FQ4 2021","FQ4 2021","Currency=USD","Period=FQ","BEST_FPERIOD_OVERRIDE=FQ","FILING_STATUS=MR","FA_ADJUSTED=GAAP","Sort=A","Dates=H","DateFormat=P","Fill=—","Direction=H","UseDPDF=Y")</f>
        <v>23.808199999999999</v>
      </c>
      <c r="M18" s="20">
        <f>_xll.BDH("ALNY US Equity","PX_TO_SALES_RATIO","FQ1 2022","FQ1 2022","Currency=USD","Period=FQ","BEST_FPERIOD_OVERRIDE=FQ","FILING_STATUS=MR","FA_ADJUSTED=GAAP","Sort=A","Dates=H","DateFormat=P","Fill=—","Direction=H","UseDPDF=Y")</f>
        <v>22.133500000000002</v>
      </c>
      <c r="N18" s="20">
        <f>_xll.BDH("ALNY US Equity","PX_TO_SALES_RATIO","FQ2 2022","FQ2 2022","Currency=USD","Period=FQ","BEST_FPERIOD_OVERRIDE=FQ","FILING_STATUS=MR","FA_ADJUSTED=GAAP","Sort=A","Dates=H","DateFormat=P","Fill=—","Direction=H","UseDPDF=Y")</f>
        <v>19.8048</v>
      </c>
      <c r="O18" s="20">
        <f>_xll.BDH("ALNY US Equity","PX_TO_SALES_RATIO","FQ3 2022","FQ3 2022","Currency=USD","Period=FQ","BEST_FPERIOD_OVERRIDE=FQ","FILING_STATUS=MR","FA_ADJUSTED=GAAP","Sort=A","Dates=H","DateFormat=P","Fill=—","Direction=H","UseDPDF=Y")</f>
        <v>25.167899999999999</v>
      </c>
      <c r="P18" s="20">
        <f>_xll.BDH("ALNY US Equity","PX_TO_SALES_RATIO","FQ4 2022","FQ4 2022","Currency=USD","Period=FQ","BEST_FPERIOD_OVERRIDE=FQ","FILING_STATUS=MR","FA_ADJUSTED=GAAP","Sort=A","Dates=H","DateFormat=P","Fill=—","Direction=H","UseDPDF=Y")</f>
        <v>27.917999999999999</v>
      </c>
      <c r="Q18" s="20">
        <f>_xll.BDH("ALNY US Equity","PX_TO_SALES_RATIO","FQ1 2023","FQ1 2023","Currency=USD","Period=FQ","BEST_FPERIOD_OVERRIDE=FQ","FILING_STATUS=MR","FA_ADJUSTED=GAAP","Sort=A","Dates=H","DateFormat=P","Fill=—","Direction=H","UseDPDF=Y")</f>
        <v>21.508099999999999</v>
      </c>
      <c r="R18" s="20">
        <f>_xll.BDH("ALNY US Equity","PX_TO_SALES_RATIO","FQ2 2023","FQ2 2023","Currency=USD","Period=FQ","BEST_FPERIOD_OVERRIDE=FQ","FILING_STATUS=MR","FA_ADJUSTED=GAAP","Sort=A","Dates=H","DateFormat=P","Fill=—","Direction=H","UseDPDF=Y")</f>
        <v>18.972899999999999</v>
      </c>
      <c r="S18" s="20">
        <f>_xll.BDH("ALNY US Equity","PX_TO_SALES_RATIO","FQ3 2023","FQ3 2023","Currency=USD","Period=FQ","BEST_FPERIOD_OVERRIDE=FQ","FILING_STATUS=MR","FA_ADJUSTED=GAAP","Sort=A","Dates=H","DateFormat=P","Fill=—","Direction=H","UseDPDF=Y")</f>
        <v>12.795</v>
      </c>
      <c r="T18" s="20">
        <f>_xll.BDH("ALNY US Equity","PX_TO_SALES_RATIO","FQ4 2023","FQ4 2023","Currency=USD","Period=FQ","BEST_FPERIOD_OVERRIDE=FQ","FILING_STATUS=MR","FA_ADJUSTED=GAAP","Sort=A","Dates=H","DateFormat=P","Fill=—","Direction=H","UseDPDF=Y")</f>
        <v>13.088900000000001</v>
      </c>
      <c r="U18" s="20">
        <f>_xll.BDH("ALNY US Equity","PX_TO_SALES_RATIO","FQ1 2024","FQ1 2024","Currency=USD","Period=FQ","BEST_FPERIOD_OVERRIDE=FQ","FILING_STATUS=MR","FA_ADJUSTED=GAAP","Sort=A","Dates=H","DateFormat=P","Fill=—","Direction=H","UseDPDF=Y")</f>
        <v>9.3580000000000005</v>
      </c>
      <c r="V18" s="20">
        <f>_xll.BDH("ALNY US Equity","PX_TO_SALES_RATIO","FQ2 2024","FQ2 2024","Currency=USD","Period=FQ","BEST_FPERIOD_OVERRIDE=FQ","FILING_STATUS=MR","FA_ADJUSTED=GAAP","Sort=A","Dates=H","DateFormat=P","Fill=—","Direction=H","UseDPDF=Y")</f>
        <v>13.050700000000001</v>
      </c>
      <c r="W18" s="20">
        <f>_xll.BDH("ALNY US Equity","PX_TO_SALES_RATIO","FQ3 2024","FQ3 2024","Currency=USD","Period=FQ","BEST_FPERIOD_OVERRIDE=FQ","FILING_STATUS=MR","FA_ADJUSTED=GAAP","Sort=A","Dates=H","DateFormat=P","Fill=—","Direction=H","UseDPDF=Y")</f>
        <v>16.646799999999999</v>
      </c>
      <c r="X18" s="20">
        <f>_xll.BDH("ALNY US Equity","PX_TO_SALES_RATIO","FQ4 2024","FQ4 2024","Currency=USD","Period=FQ","BEST_FPERIOD_OVERRIDE=FQ","FILING_STATUS=MR","FA_ADJUSTED=GAAP","Sort=A","Dates=H","DateFormat=P","Fill=—","Direction=H","UseDPDF=Y")</f>
        <v>13.358599999999999</v>
      </c>
      <c r="Y18" s="23">
        <v>15.2370717607531</v>
      </c>
      <c r="Z18" s="20">
        <v>12.1929952425536</v>
      </c>
      <c r="AA18" s="20">
        <v>11.1900272068596</v>
      </c>
    </row>
    <row r="19" spans="1:27" x14ac:dyDescent="0.25">
      <c r="A19" s="10" t="s">
        <v>203</v>
      </c>
      <c r="B19" s="10" t="s">
        <v>216</v>
      </c>
      <c r="C19" s="14">
        <f>_xll.BDH("ALNY US Equity","AVERAGE_PRICE_TO_SALES_RATIO","FQ3 2019","FQ3 2019","Currency=USD","Period=FQ","BEST_FPERIOD_OVERRIDE=FQ","FILING_STATUS=MR","FA_ADJUSTED=GAAP","Sort=A","Dates=H","DateFormat=P","Fill=—","Direction=H","UseDPDF=Y")</f>
        <v>82.203999999999994</v>
      </c>
      <c r="D19" s="14">
        <f>_xll.BDH("ALNY US Equity","AVERAGE_PRICE_TO_SALES_RATIO","FQ4 2019","FQ4 2019","Currency=USD","Period=FQ","BEST_FPERIOD_OVERRIDE=FQ","FILING_STATUS=MR","FA_ADJUSTED=GAAP","Sort=A","Dates=H","DateFormat=P","Fill=—","Direction=H","UseDPDF=Y")</f>
        <v>62.840600000000002</v>
      </c>
      <c r="E19" s="14">
        <f>_xll.BDH("ALNY US Equity","AVERAGE_PRICE_TO_SALES_RATIO","FQ1 2020","FQ1 2020","Currency=USD","Period=FQ","BEST_FPERIOD_OVERRIDE=FQ","FILING_STATUS=MR","FA_ADJUSTED=GAAP","Sort=A","Dates=H","DateFormat=P","Fill=—","Direction=H","UseDPDF=Y")</f>
        <v>57.131700000000002</v>
      </c>
      <c r="F19" s="14">
        <f>_xll.BDH("ALNY US Equity","AVERAGE_PRICE_TO_SALES_RATIO","FQ2 2020","FQ2 2020","Currency=USD","Period=FQ","BEST_FPERIOD_OVERRIDE=FQ","FILING_STATUS=MR","FA_ADJUSTED=GAAP","Sort=A","Dates=H","DateFormat=P","Fill=—","Direction=H","UseDPDF=Y")</f>
        <v>52.104399999999998</v>
      </c>
      <c r="G19" s="14">
        <f>_xll.BDH("ALNY US Equity","AVERAGE_PRICE_TO_SALES_RATIO","FQ3 2020","FQ3 2020","Currency=USD","Period=FQ","BEST_FPERIOD_OVERRIDE=FQ","FILING_STATUS=MR","FA_ADJUSTED=GAAP","Sort=A","Dates=H","DateFormat=P","Fill=—","Direction=H","UseDPDF=Y")</f>
        <v>46.152000000000001</v>
      </c>
      <c r="H19" s="14">
        <f>_xll.BDH("ALNY US Equity","AVERAGE_PRICE_TO_SALES_RATIO","FQ4 2020","FQ4 2020","Currency=USD","Period=FQ","BEST_FPERIOD_OVERRIDE=FQ","FILING_STATUS=MR","FA_ADJUSTED=GAAP","Sort=A","Dates=H","DateFormat=P","Fill=—","Direction=H","UseDPDF=Y")</f>
        <v>37.899900000000002</v>
      </c>
      <c r="I19" s="14">
        <f>_xll.BDH("ALNY US Equity","AVERAGE_PRICE_TO_SALES_RATIO","FQ1 2021","FQ1 2021","Currency=USD","Period=FQ","BEST_FPERIOD_OVERRIDE=FQ","FILING_STATUS=MR","FA_ADJUSTED=GAAP","Sort=A","Dates=H","DateFormat=P","Fill=—","Direction=H","UseDPDF=Y")</f>
        <v>35.100499999999997</v>
      </c>
      <c r="J19" s="14">
        <f>_xll.BDH("ALNY US Equity","AVERAGE_PRICE_TO_SALES_RATIO","FQ2 2021","FQ2 2021","Currency=USD","Period=FQ","BEST_FPERIOD_OVERRIDE=FQ","FILING_STATUS=MR","FA_ADJUSTED=GAAP","Sort=A","Dates=H","DateFormat=P","Fill=—","Direction=H","UseDPDF=Y")</f>
        <v>29.720099999999999</v>
      </c>
      <c r="K19" s="14">
        <f>_xll.BDH("ALNY US Equity","AVERAGE_PRICE_TO_SALES_RATIO","FQ3 2021","FQ3 2021","Currency=USD","Period=FQ","BEST_FPERIOD_OVERRIDE=FQ","FILING_STATUS=MR","FA_ADJUSTED=GAAP","Sort=A","Dates=H","DateFormat=P","Fill=—","Direction=H","UseDPDF=Y")</f>
        <v>31.857099999999999</v>
      </c>
      <c r="L19" s="14">
        <f>_xll.BDH("ALNY US Equity","AVERAGE_PRICE_TO_SALES_RATIO","FQ4 2021","FQ4 2021","Currency=USD","Period=FQ","BEST_FPERIOD_OVERRIDE=FQ","FILING_STATUS=MR","FA_ADJUSTED=GAAP","Sort=A","Dates=H","DateFormat=P","Fill=—","Direction=H","UseDPDF=Y")</f>
        <v>29.129000000000001</v>
      </c>
      <c r="M19" s="14">
        <f>_xll.BDH("ALNY US Equity","AVERAGE_PRICE_TO_SALES_RATIO","FQ1 2022","FQ1 2022","Currency=USD","Period=FQ","BEST_FPERIOD_OVERRIDE=FQ","FILING_STATUS=MR","FA_ADJUSTED=GAAP","Sort=A","Dates=H","DateFormat=P","Fill=—","Direction=H","UseDPDF=Y")</f>
        <v>21.3765</v>
      </c>
      <c r="N19" s="14">
        <f>_xll.BDH("ALNY US Equity","AVERAGE_PRICE_TO_SALES_RATIO","FQ2 2022","FQ2 2022","Currency=USD","Period=FQ","BEST_FPERIOD_OVERRIDE=FQ","FILING_STATUS=MR","FA_ADJUSTED=GAAP","Sort=A","Dates=H","DateFormat=P","Fill=—","Direction=H","UseDPDF=Y")</f>
        <v>19.2301</v>
      </c>
      <c r="O19" s="14">
        <f>_xll.BDH("ALNY US Equity","AVERAGE_PRICE_TO_SALES_RATIO","FQ3 2022","FQ3 2022","Currency=USD","Period=FQ","BEST_FPERIOD_OVERRIDE=FQ","FILING_STATUS=MR","FA_ADJUSTED=GAAP","Sort=A","Dates=H","DateFormat=P","Fill=—","Direction=H","UseDPDF=Y")</f>
        <v>25.868600000000001</v>
      </c>
      <c r="P19" s="14">
        <f>_xll.BDH("ALNY US Equity","AVERAGE_PRICE_TO_SALES_RATIO","FQ4 2022","FQ4 2022","Currency=USD","Period=FQ","BEST_FPERIOD_OVERRIDE=FQ","FILING_STATUS=MR","FA_ADJUSTED=GAAP","Sort=A","Dates=H","DateFormat=P","Fill=—","Direction=H","UseDPDF=Y")</f>
        <v>26.7882</v>
      </c>
      <c r="Q19" s="14">
        <f>_xll.BDH("ALNY US Equity","AVERAGE_PRICE_TO_SALES_RATIO","FQ1 2023","FQ1 2023","Currency=USD","Period=FQ","BEST_FPERIOD_OVERRIDE=FQ","FILING_STATUS=MR","FA_ADJUSTED=GAAP","Sort=A","Dates=H","DateFormat=P","Fill=—","Direction=H","UseDPDF=Y")</f>
        <v>24.6602</v>
      </c>
      <c r="R19" s="14">
        <f>_xll.BDH("ALNY US Equity","AVERAGE_PRICE_TO_SALES_RATIO","FQ2 2023","FQ2 2023","Currency=USD","Period=FQ","BEST_FPERIOD_OVERRIDE=FQ","FILING_STATUS=MR","FA_ADJUSTED=GAAP","Sort=A","Dates=H","DateFormat=P","Fill=—","Direction=H","UseDPDF=Y")</f>
        <v>21.2637</v>
      </c>
      <c r="S19" s="14">
        <f>_xll.BDH("ALNY US Equity","AVERAGE_PRICE_TO_SALES_RATIO","FQ3 2023","FQ3 2023","Currency=USD","Period=FQ","BEST_FPERIOD_OVERRIDE=FQ","FILING_STATUS=MR","FA_ADJUSTED=GAAP","Sort=A","Dates=H","DateFormat=P","Fill=—","Direction=H","UseDPDF=Y")</f>
        <v>18.979099999999999</v>
      </c>
      <c r="T19" s="14">
        <f>_xll.BDH("ALNY US Equity","AVERAGE_PRICE_TO_SALES_RATIO","FQ4 2023","FQ4 2023","Currency=USD","Period=FQ","BEST_FPERIOD_OVERRIDE=FQ","FILING_STATUS=MR","FA_ADJUSTED=GAAP","Sort=A","Dates=H","DateFormat=P","Fill=—","Direction=H","UseDPDF=Y")</f>
        <v>12.294600000000001</v>
      </c>
      <c r="U19" s="14">
        <f>_xll.BDH("ALNY US Equity","AVERAGE_PRICE_TO_SALES_RATIO","FQ1 2024","FQ1 2024","Currency=USD","Period=FQ","BEST_FPERIOD_OVERRIDE=FQ","FILING_STATUS=MR","FA_ADJUSTED=GAAP","Sort=A","Dates=H","DateFormat=P","Fill=—","Direction=H","UseDPDF=Y")</f>
        <v>11.392899999999999</v>
      </c>
      <c r="V19" s="14">
        <f>_xll.BDH("ALNY US Equity","AVERAGE_PRICE_TO_SALES_RATIO","FQ2 2024","FQ2 2024","Currency=USD","Period=FQ","BEST_FPERIOD_OVERRIDE=FQ","FILING_STATUS=MR","FA_ADJUSTED=GAAP","Sort=A","Dates=H","DateFormat=P","Fill=—","Direction=H","UseDPDF=Y")</f>
        <v>9.8512000000000004</v>
      </c>
      <c r="W19" s="14">
        <f>_xll.BDH("ALNY US Equity","AVERAGE_PRICE_TO_SALES_RATIO","FQ3 2024","FQ3 2024","Currency=USD","Period=FQ","BEST_FPERIOD_OVERRIDE=FQ","FILING_STATUS=MR","FA_ADJUSTED=GAAP","Sort=A","Dates=H","DateFormat=P","Fill=—","Direction=H","UseDPDF=Y")</f>
        <v>14.0122</v>
      </c>
      <c r="X19" s="14">
        <f>_xll.BDH("ALNY US Equity","AVERAGE_PRICE_TO_SALES_RATIO","FQ4 2024","FQ4 2024","Currency=USD","Period=FQ","BEST_FPERIOD_OVERRIDE=FQ","FILING_STATUS=MR","FA_ADJUSTED=GAAP","Sort=A","Dates=H","DateFormat=P","Fill=—","Direction=H","UseDPDF=Y")</f>
        <v>15.904500000000001</v>
      </c>
      <c r="Y19" s="17"/>
      <c r="Z19" s="14"/>
      <c r="AA19" s="14"/>
    </row>
    <row r="20" spans="1:27" x14ac:dyDescent="0.25">
      <c r="A20" s="10" t="s">
        <v>205</v>
      </c>
      <c r="B20" s="10" t="s">
        <v>217</v>
      </c>
      <c r="C20" s="14">
        <f>_xll.BDH("ALNY US Equity","HIGH_PX_TO_SALES_RATIO","FQ3 2019","FQ3 2019","Currency=USD","Period=FQ","BEST_FPERIOD_OVERRIDE=FQ","FILING_STATUS=MR","FA_ADJUSTED=GAAP","Sort=A","Dates=H","DateFormat=P","Fill=—","Direction=H","UseDPDF=Y")</f>
        <v>92.016999999999996</v>
      </c>
      <c r="D20" s="14">
        <f>_xll.BDH("ALNY US Equity","HIGH_PX_TO_SALES_RATIO","FQ4 2019","FQ4 2019","Currency=USD","Period=FQ","BEST_FPERIOD_OVERRIDE=FQ","FILING_STATUS=MR","FA_ADJUSTED=GAAP","Sort=A","Dates=H","DateFormat=P","Fill=—","Direction=H","UseDPDF=Y")</f>
        <v>79.552199999999999</v>
      </c>
      <c r="E20" s="14">
        <f>_xll.BDH("ALNY US Equity","HIGH_PX_TO_SALES_RATIO","FQ1 2020","FQ1 2020","Currency=USD","Period=FQ","BEST_FPERIOD_OVERRIDE=FQ","FILING_STATUS=MR","FA_ADJUSTED=GAAP","Sort=A","Dates=H","DateFormat=P","Fill=—","Direction=H","UseDPDF=Y")</f>
        <v>66.798299999999998</v>
      </c>
      <c r="F20" s="14">
        <f>_xll.BDH("ALNY US Equity","HIGH_PX_TO_SALES_RATIO","FQ2 2020","FQ2 2020","Currency=USD","Period=FQ","BEST_FPERIOD_OVERRIDE=FQ","FILING_STATUS=MR","FA_ADJUSTED=GAAP","Sort=A","Dates=H","DateFormat=P","Fill=—","Direction=H","UseDPDF=Y")</f>
        <v>61.381900000000002</v>
      </c>
      <c r="G20" s="14">
        <f>_xll.BDH("ALNY US Equity","HIGH_PX_TO_SALES_RATIO","FQ3 2020","FQ3 2020","Currency=USD","Period=FQ","BEST_FPERIOD_OVERRIDE=FQ","FILING_STATUS=MR","FA_ADJUSTED=GAAP","Sort=A","Dates=H","DateFormat=P","Fill=—","Direction=H","UseDPDF=Y")</f>
        <v>54.452100000000002</v>
      </c>
      <c r="H20" s="14">
        <f>_xll.BDH("ALNY US Equity","HIGH_PX_TO_SALES_RATIO","FQ4 2020","FQ4 2020","Currency=USD","Period=FQ","BEST_FPERIOD_OVERRIDE=FQ","FILING_STATUS=MR","FA_ADJUSTED=GAAP","Sort=A","Dates=H","DateFormat=P","Fill=—","Direction=H","UseDPDF=Y")</f>
        <v>42.339399999999998</v>
      </c>
      <c r="I20" s="14">
        <f>_xll.BDH("ALNY US Equity","HIGH_PX_TO_SALES_RATIO","FQ1 2021","FQ1 2021","Currency=USD","Period=FQ","BEST_FPERIOD_OVERRIDE=FQ","FILING_STATUS=MR","FA_ADJUSTED=GAAP","Sort=A","Dates=H","DateFormat=P","Fill=—","Direction=H","UseDPDF=Y")</f>
        <v>41.696599999999997</v>
      </c>
      <c r="J20" s="14">
        <f>_xll.BDH("ALNY US Equity","HIGH_PX_TO_SALES_RATIO","FQ2 2021","FQ2 2021","Currency=USD","Period=FQ","BEST_FPERIOD_OVERRIDE=FQ","FILING_STATUS=MR","FA_ADJUSTED=GAAP","Sort=A","Dates=H","DateFormat=P","Fill=—","Direction=H","UseDPDF=Y")</f>
        <v>36.134</v>
      </c>
      <c r="K20" s="14">
        <f>_xll.BDH("ALNY US Equity","HIGH_PX_TO_SALES_RATIO","FQ3 2021","FQ3 2021","Currency=USD","Period=FQ","BEST_FPERIOD_OVERRIDE=FQ","FILING_STATUS=MR","FA_ADJUSTED=GAAP","Sort=A","Dates=H","DateFormat=P","Fill=—","Direction=H","UseDPDF=Y")</f>
        <v>35.660899999999998</v>
      </c>
      <c r="L20" s="14">
        <f>_xll.BDH("ALNY US Equity","HIGH_PX_TO_SALES_RATIO","FQ4 2021","FQ4 2021","Currency=USD","Period=FQ","BEST_FPERIOD_OVERRIDE=FQ","FILING_STATUS=MR","FA_ADJUSTED=GAAP","Sort=A","Dates=H","DateFormat=P","Fill=—","Direction=H","UseDPDF=Y")</f>
        <v>33.276299999999999</v>
      </c>
      <c r="M20" s="14">
        <f>_xll.BDH("ALNY US Equity","HIGH_PX_TO_SALES_RATIO","FQ1 2022","FQ1 2022","Currency=USD","Period=FQ","BEST_FPERIOD_OVERRIDE=FQ","FILING_STATUS=MR","FA_ADJUSTED=GAAP","Sort=A","Dates=H","DateFormat=P","Fill=—","Direction=H","UseDPDF=Y")</f>
        <v>24.5214</v>
      </c>
      <c r="N20" s="14">
        <f>_xll.BDH("ALNY US Equity","HIGH_PX_TO_SALES_RATIO","FQ2 2022","FQ2 2022","Currency=USD","Period=FQ","BEST_FPERIOD_OVERRIDE=FQ","FILING_STATUS=MR","FA_ADJUSTED=GAAP","Sort=A","Dates=H","DateFormat=P","Fill=—","Direction=H","UseDPDF=Y")</f>
        <v>24.446000000000002</v>
      </c>
      <c r="O20" s="14">
        <f>_xll.BDH("ALNY US Equity","HIGH_PX_TO_SALES_RATIO","FQ3 2022","FQ3 2022","Currency=USD","Period=FQ","BEST_FPERIOD_OVERRIDE=FQ","FILING_STATUS=MR","FA_ADJUSTED=GAAP","Sort=A","Dates=H","DateFormat=P","Fill=—","Direction=H","UseDPDF=Y")</f>
        <v>32.154800000000002</v>
      </c>
      <c r="P20" s="14">
        <f>_xll.BDH("ALNY US Equity","HIGH_PX_TO_SALES_RATIO","FQ4 2022","FQ4 2022","Currency=USD","Period=FQ","BEST_FPERIOD_OVERRIDE=FQ","FILING_STATUS=MR","FA_ADJUSTED=GAAP","Sort=A","Dates=H","DateFormat=P","Fill=—","Direction=H","UseDPDF=Y")</f>
        <v>30.550799999999999</v>
      </c>
      <c r="Q20" s="14">
        <f>_xll.BDH("ALNY US Equity","HIGH_PX_TO_SALES_RATIO","FQ1 2023","FQ1 2023","Currency=USD","Period=FQ","BEST_FPERIOD_OVERRIDE=FQ","FILING_STATUS=MR","FA_ADJUSTED=GAAP","Sort=A","Dates=H","DateFormat=P","Fill=—","Direction=H","UseDPDF=Y")</f>
        <v>28.474799999999998</v>
      </c>
      <c r="R20" s="14">
        <f>_xll.BDH("ALNY US Equity","HIGH_PX_TO_SALES_RATIO","FQ2 2023","FQ2 2023","Currency=USD","Period=FQ","BEST_FPERIOD_OVERRIDE=FQ","FILING_STATUS=MR","FA_ADJUSTED=GAAP","Sort=A","Dates=H","DateFormat=P","Fill=—","Direction=H","UseDPDF=Y")</f>
        <v>22.8126</v>
      </c>
      <c r="S20" s="14">
        <f>_xll.BDH("ALNY US Equity","HIGH_PX_TO_SALES_RATIO","FQ3 2023","FQ3 2023","Currency=USD","Period=FQ","BEST_FPERIOD_OVERRIDE=FQ","FILING_STATUS=MR","FA_ADJUSTED=GAAP","Sort=A","Dates=H","DateFormat=P","Fill=—","Direction=H","UseDPDF=Y")</f>
        <v>21.863700000000001</v>
      </c>
      <c r="T20" s="14">
        <f>_xll.BDH("ALNY US Equity","HIGH_PX_TO_SALES_RATIO","FQ4 2023","FQ4 2023","Currency=USD","Period=FQ","BEST_FPERIOD_OVERRIDE=FQ","FILING_STATUS=MR","FA_ADJUSTED=GAAP","Sort=A","Dates=H","DateFormat=P","Fill=—","Direction=H","UseDPDF=Y")</f>
        <v>14.305</v>
      </c>
      <c r="U20" s="14">
        <f>_xll.BDH("ALNY US Equity","HIGH_PX_TO_SALES_RATIO","FQ1 2024","FQ1 2024","Currency=USD","Period=FQ","BEST_FPERIOD_OVERRIDE=FQ","FILING_STATUS=MR","FA_ADJUSTED=GAAP","Sort=A","Dates=H","DateFormat=P","Fill=—","Direction=H","UseDPDF=Y")</f>
        <v>13.633900000000001</v>
      </c>
      <c r="V20" s="14">
        <f>_xll.BDH("ALNY US Equity","HIGH_PX_TO_SALES_RATIO","FQ2 2024","FQ2 2024","Currency=USD","Period=FQ","BEST_FPERIOD_OVERRIDE=FQ","FILING_STATUS=MR","FA_ADJUSTED=GAAP","Sort=A","Dates=H","DateFormat=P","Fill=—","Direction=H","UseDPDF=Y")</f>
        <v>15.8338</v>
      </c>
      <c r="W20" s="14">
        <f>_xll.BDH("ALNY US Equity","HIGH_PX_TO_SALES_RATIO","FQ3 2024","FQ3 2024","Currency=USD","Period=FQ","BEST_FPERIOD_OVERRIDE=FQ","FILING_STATUS=MR","FA_ADJUSTED=GAAP","Sort=A","Dates=H","DateFormat=P","Fill=—","Direction=H","UseDPDF=Y")</f>
        <v>16.8169</v>
      </c>
      <c r="X20" s="14">
        <f>_xll.BDH("ALNY US Equity","HIGH_PX_TO_SALES_RATIO","FQ4 2024","FQ4 2024","Currency=USD","Period=FQ","BEST_FPERIOD_OVERRIDE=FQ","FILING_STATUS=MR","FA_ADJUSTED=GAAP","Sort=A","Dates=H","DateFormat=P","Fill=—","Direction=H","UseDPDF=Y")</f>
        <v>18.4239</v>
      </c>
      <c r="Y20" s="17"/>
      <c r="Z20" s="14"/>
      <c r="AA20" s="14"/>
    </row>
    <row r="21" spans="1:27" x14ac:dyDescent="0.25">
      <c r="A21" s="10" t="s">
        <v>207</v>
      </c>
      <c r="B21" s="10" t="s">
        <v>218</v>
      </c>
      <c r="C21" s="14">
        <f>_xll.BDH("ALNY US Equity","LOW_PX_TO_SALES_RATIO","FQ3 2019","FQ3 2019","Currency=USD","Period=FQ","BEST_FPERIOD_OVERRIDE=FQ","FILING_STATUS=MR","FA_ADJUSTED=GAAP","Sort=A","Dates=H","DateFormat=P","Fill=—","Direction=H","UseDPDF=Y")</f>
        <v>49.369</v>
      </c>
      <c r="D21" s="14">
        <f>_xll.BDH("ALNY US Equity","LOW_PX_TO_SALES_RATIO","FQ4 2019","FQ4 2019","Currency=USD","Period=FQ","BEST_FPERIOD_OVERRIDE=FQ","FILING_STATUS=MR","FA_ADJUSTED=GAAP","Sort=A","Dates=H","DateFormat=P","Fill=—","Direction=H","UseDPDF=Y")</f>
        <v>46.3949</v>
      </c>
      <c r="E21" s="14">
        <f>_xll.BDH("ALNY US Equity","LOW_PX_TO_SALES_RATIO","FQ1 2020","FQ1 2020","Currency=USD","Period=FQ","BEST_FPERIOD_OVERRIDE=FQ","FILING_STATUS=MR","FA_ADJUSTED=GAAP","Sort=A","Dates=H","DateFormat=P","Fill=—","Direction=H","UseDPDF=Y")</f>
        <v>41.045299999999997</v>
      </c>
      <c r="F21" s="14">
        <f>_xll.BDH("ALNY US Equity","LOW_PX_TO_SALES_RATIO","FQ2 2020","FQ2 2020","Currency=USD","Period=FQ","BEST_FPERIOD_OVERRIDE=FQ","FILING_STATUS=MR","FA_ADJUSTED=GAAP","Sort=A","Dates=H","DateFormat=P","Fill=—","Direction=H","UseDPDF=Y")</f>
        <v>37.987200000000001</v>
      </c>
      <c r="G21" s="14">
        <f>_xll.BDH("ALNY US Equity","LOW_PX_TO_SALES_RATIO","FQ3 2020","FQ3 2020","Currency=USD","Period=FQ","BEST_FPERIOD_OVERRIDE=FQ","FILING_STATUS=MR","FA_ADJUSTED=GAAP","Sort=A","Dates=H","DateFormat=P","Fill=—","Direction=H","UseDPDF=Y")</f>
        <v>38.942700000000002</v>
      </c>
      <c r="H21" s="14">
        <f>_xll.BDH("ALNY US Equity","LOW_PX_TO_SALES_RATIO","FQ4 2020","FQ4 2020","Currency=USD","Period=FQ","BEST_FPERIOD_OVERRIDE=FQ","FILING_STATUS=MR","FA_ADJUSTED=GAAP","Sort=A","Dates=H","DateFormat=P","Fill=—","Direction=H","UseDPDF=Y")</f>
        <v>29.842700000000001</v>
      </c>
      <c r="I21" s="14">
        <f>_xll.BDH("ALNY US Equity","LOW_PX_TO_SALES_RATIO","FQ1 2021","FQ1 2021","Currency=USD","Period=FQ","BEST_FPERIOD_OVERRIDE=FQ","FILING_STATUS=MR","FA_ADJUSTED=GAAP","Sort=A","Dates=H","DateFormat=P","Fill=—","Direction=H","UseDPDF=Y")</f>
        <v>27.795100000000001</v>
      </c>
      <c r="J21" s="14">
        <f>_xll.BDH("ALNY US Equity","LOW_PX_TO_SALES_RATIO","FQ2 2021","FQ2 2021","Currency=USD","Period=FQ","BEST_FPERIOD_OVERRIDE=FQ","FILING_STATUS=MR","FA_ADJUSTED=GAAP","Sort=A","Dates=H","DateFormat=P","Fill=—","Direction=H","UseDPDF=Y")</f>
        <v>25.458400000000001</v>
      </c>
      <c r="K21" s="14">
        <f>_xll.BDH("ALNY US Equity","LOW_PX_TO_SALES_RATIO","FQ3 2021","FQ3 2021","Currency=USD","Period=FQ","BEST_FPERIOD_OVERRIDE=FQ","FILING_STATUS=MR","FA_ADJUSTED=GAAP","Sort=A","Dates=H","DateFormat=P","Fill=—","Direction=H","UseDPDF=Y")</f>
        <v>27.914400000000001</v>
      </c>
      <c r="L21" s="14">
        <f>_xll.BDH("ALNY US Equity","LOW_PX_TO_SALES_RATIO","FQ4 2021","FQ4 2021","Currency=USD","Period=FQ","BEST_FPERIOD_OVERRIDE=FQ","FILING_STATUS=MR","FA_ADJUSTED=GAAP","Sort=A","Dates=H","DateFormat=P","Fill=—","Direction=H","UseDPDF=Y")</f>
        <v>23.808199999999999</v>
      </c>
      <c r="M21" s="14">
        <f>_xll.BDH("ALNY US Equity","LOW_PX_TO_SALES_RATIO","FQ1 2022","FQ1 2022","Currency=USD","Period=FQ","BEST_FPERIOD_OVERRIDE=FQ","FILING_STATUS=MR","FA_ADJUSTED=GAAP","Sort=A","Dates=H","DateFormat=P","Fill=—","Direction=H","UseDPDF=Y")</f>
        <v>17.549399999999999</v>
      </c>
      <c r="N21" s="14">
        <f>_xll.BDH("ALNY US Equity","LOW_PX_TO_SALES_RATIO","FQ2 2022","FQ2 2022","Currency=USD","Period=FQ","BEST_FPERIOD_OVERRIDE=FQ","FILING_STATUS=MR","FA_ADJUSTED=GAAP","Sort=A","Dates=H","DateFormat=P","Fill=—","Direction=H","UseDPDF=Y")</f>
        <v>15.9377</v>
      </c>
      <c r="O21" s="14">
        <f>_xll.BDH("ALNY US Equity","LOW_PX_TO_SALES_RATIO","FQ3 2022","FQ3 2022","Currency=USD","Period=FQ","BEST_FPERIOD_OVERRIDE=FQ","FILING_STATUS=MR","FA_ADJUSTED=GAAP","Sort=A","Dates=H","DateFormat=P","Fill=—","Direction=H","UseDPDF=Y")</f>
        <v>18.393899999999999</v>
      </c>
      <c r="P21" s="14">
        <f>_xll.BDH("ALNY US Equity","LOW_PX_TO_SALES_RATIO","FQ4 2022","FQ4 2022","Currency=USD","Period=FQ","BEST_FPERIOD_OVERRIDE=FQ","FILING_STATUS=MR","FA_ADJUSTED=GAAP","Sort=A","Dates=H","DateFormat=P","Fill=—","Direction=H","UseDPDF=Y")</f>
        <v>22.840399999999999</v>
      </c>
      <c r="Q21" s="14">
        <f>_xll.BDH("ALNY US Equity","LOW_PX_TO_SALES_RATIO","FQ1 2023","FQ1 2023","Currency=USD","Period=FQ","BEST_FPERIOD_OVERRIDE=FQ","FILING_STATUS=MR","FA_ADJUSTED=GAAP","Sort=A","Dates=H","DateFormat=P","Fill=—","Direction=H","UseDPDF=Y")</f>
        <v>20.990600000000001</v>
      </c>
      <c r="R21" s="14">
        <f>_xll.BDH("ALNY US Equity","LOW_PX_TO_SALES_RATIO","FQ2 2023","FQ2 2023","Currency=USD","Period=FQ","BEST_FPERIOD_OVERRIDE=FQ","FILING_STATUS=MR","FA_ADJUSTED=GAAP","Sort=A","Dates=H","DateFormat=P","Fill=—","Direction=H","UseDPDF=Y")</f>
        <v>18.880500000000001</v>
      </c>
      <c r="S21" s="14">
        <f>_xll.BDH("ALNY US Equity","LOW_PX_TO_SALES_RATIO","FQ3 2023","FQ3 2023","Currency=USD","Period=FQ","BEST_FPERIOD_OVERRIDE=FQ","FILING_STATUS=MR","FA_ADJUSTED=GAAP","Sort=A","Dates=H","DateFormat=P","Fill=—","Direction=H","UseDPDF=Y")</f>
        <v>12.5761</v>
      </c>
      <c r="T21" s="14">
        <f>_xll.BDH("ALNY US Equity","LOW_PX_TO_SALES_RATIO","FQ4 2023","FQ4 2023","Currency=USD","Period=FQ","BEST_FPERIOD_OVERRIDE=FQ","FILING_STATUS=MR","FA_ADJUSTED=GAAP","Sort=A","Dates=H","DateFormat=P","Fill=—","Direction=H","UseDPDF=Y")</f>
        <v>10.6999</v>
      </c>
      <c r="U21" s="14">
        <f>_xll.BDH("ALNY US Equity","LOW_PX_TO_SALES_RATIO","FQ1 2024","FQ1 2024","Currency=USD","Period=FQ","BEST_FPERIOD_OVERRIDE=FQ","FILING_STATUS=MR","FA_ADJUSTED=GAAP","Sort=A","Dates=H","DateFormat=P","Fill=—","Direction=H","UseDPDF=Y")</f>
        <v>9.3498999999999999</v>
      </c>
      <c r="V21" s="14">
        <f>_xll.BDH("ALNY US Equity","LOW_PX_TO_SALES_RATIO","FQ2 2024","FQ2 2024","Currency=USD","Period=FQ","BEST_FPERIOD_OVERRIDE=FQ","FILING_STATUS=MR","FA_ADJUSTED=GAAP","Sort=A","Dates=H","DateFormat=P","Fill=—","Direction=H","UseDPDF=Y")</f>
        <v>8.89</v>
      </c>
      <c r="W21" s="14">
        <f>_xll.BDH("ALNY US Equity","LOW_PX_TO_SALES_RATIO","FQ3 2024","FQ3 2024","Currency=USD","Period=FQ","BEST_FPERIOD_OVERRIDE=FQ","FILING_STATUS=MR","FA_ADJUSTED=GAAP","Sort=A","Dates=H","DateFormat=P","Fill=—","Direction=H","UseDPDF=Y")</f>
        <v>12.4068</v>
      </c>
      <c r="X21" s="14">
        <f>_xll.BDH("ALNY US Equity","LOW_PX_TO_SALES_RATIO","FQ4 2024","FQ4 2024","Currency=USD","Period=FQ","BEST_FPERIOD_OVERRIDE=FQ","FILING_STATUS=MR","FA_ADJUSTED=GAAP","Sort=A","Dates=H","DateFormat=P","Fill=—","Direction=H","UseDPDF=Y")</f>
        <v>13.35</v>
      </c>
      <c r="Y21" s="17"/>
      <c r="Z21" s="14"/>
      <c r="AA21" s="14"/>
    </row>
    <row r="22" spans="1:27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1"/>
      <c r="Z22" s="18"/>
      <c r="AA22" s="18"/>
    </row>
    <row r="23" spans="1:27" x14ac:dyDescent="0.25">
      <c r="A23" s="6" t="s">
        <v>219</v>
      </c>
      <c r="B23" s="6" t="s">
        <v>220</v>
      </c>
      <c r="C23" s="20" t="str">
        <f>_xll.BDH("ALNY US Equity","PX_TO_CASH_FLOW","FQ3 2019","FQ3 2019","Currency=USD","Period=FQ","BEST_FPERIOD_OVERRIDE=FQ","FILING_STATUS=MR","Sort=A","Dates=H","DateFormat=P","Fill=—","Direction=H","UseDPDF=Y")</f>
        <v>—</v>
      </c>
      <c r="D23" s="20" t="str">
        <f>_xll.BDH("ALNY US Equity","PX_TO_CASH_FLOW","FQ4 2019","FQ4 2019","Currency=USD","Period=FQ","BEST_FPERIOD_OVERRIDE=FQ","FILING_STATUS=MR","Sort=A","Dates=H","DateFormat=P","Fill=—","Direction=H","UseDPDF=Y")</f>
        <v>—</v>
      </c>
      <c r="E23" s="20" t="str">
        <f>_xll.BDH("ALNY US Equity","PX_TO_CASH_FLOW","FQ1 2020","FQ1 2020","Currency=USD","Period=FQ","BEST_FPERIOD_OVERRIDE=FQ","FILING_STATUS=MR","Sort=A","Dates=H","DateFormat=P","Fill=—","Direction=H","UseDPDF=Y")</f>
        <v>—</v>
      </c>
      <c r="F23" s="20" t="str">
        <f>_xll.BDH("ALNY US Equity","PX_TO_CASH_FLOW","FQ2 2020","FQ2 2020","Currency=USD","Period=FQ","BEST_FPERIOD_OVERRIDE=FQ","FILING_STATUS=MR","Sort=A","Dates=H","DateFormat=P","Fill=—","Direction=H","UseDPDF=Y")</f>
        <v>—</v>
      </c>
      <c r="G23" s="20" t="str">
        <f>_xll.BDH("ALNY US Equity","PX_TO_CASH_FLOW","FQ3 2020","FQ3 2020","Currency=USD","Period=FQ","BEST_FPERIOD_OVERRIDE=FQ","FILING_STATUS=MR","Sort=A","Dates=H","DateFormat=P","Fill=—","Direction=H","UseDPDF=Y")</f>
        <v>—</v>
      </c>
      <c r="H23" s="20" t="str">
        <f>_xll.BDH("ALNY US Equity","PX_TO_CASH_FLOW","FQ4 2020","FQ4 2020","Currency=USD","Period=FQ","BEST_FPERIOD_OVERRIDE=FQ","FILING_STATUS=MR","Sort=A","Dates=H","DateFormat=P","Fill=—","Direction=H","UseDPDF=Y")</f>
        <v>—</v>
      </c>
      <c r="I23" s="20" t="str">
        <f>_xll.BDH("ALNY US Equity","PX_TO_CASH_FLOW","FQ1 2021","FQ1 2021","Currency=USD","Period=FQ","BEST_FPERIOD_OVERRIDE=FQ","FILING_STATUS=MR","Sort=A","Dates=H","DateFormat=P","Fill=—","Direction=H","UseDPDF=Y")</f>
        <v>—</v>
      </c>
      <c r="J23" s="20" t="str">
        <f>_xll.BDH("ALNY US Equity","PX_TO_CASH_FLOW","FQ2 2021","FQ2 2021","Currency=USD","Period=FQ","BEST_FPERIOD_OVERRIDE=FQ","FILING_STATUS=MR","Sort=A","Dates=H","DateFormat=P","Fill=—","Direction=H","UseDPDF=Y")</f>
        <v>—</v>
      </c>
      <c r="K23" s="20" t="str">
        <f>_xll.BDH("ALNY US Equity","PX_TO_CASH_FLOW","FQ3 2021","FQ3 2021","Currency=USD","Period=FQ","BEST_FPERIOD_OVERRIDE=FQ","FILING_STATUS=MR","Sort=A","Dates=H","DateFormat=P","Fill=—","Direction=H","UseDPDF=Y")</f>
        <v>—</v>
      </c>
      <c r="L23" s="20" t="str">
        <f>_xll.BDH("ALNY US Equity","PX_TO_CASH_FLOW","FQ4 2021","FQ4 2021","Currency=USD","Period=FQ","BEST_FPERIOD_OVERRIDE=FQ","FILING_STATUS=MR","Sort=A","Dates=H","DateFormat=P","Fill=—","Direction=H","UseDPDF=Y")</f>
        <v>—</v>
      </c>
      <c r="M23" s="20" t="str">
        <f>_xll.BDH("ALNY US Equity","PX_TO_CASH_FLOW","FQ1 2022","FQ1 2022","Currency=USD","Period=FQ","BEST_FPERIOD_OVERRIDE=FQ","FILING_STATUS=MR","Sort=A","Dates=H","DateFormat=P","Fill=—","Direction=H","UseDPDF=Y")</f>
        <v>—</v>
      </c>
      <c r="N23" s="20" t="str">
        <f>_xll.BDH("ALNY US Equity","PX_TO_CASH_FLOW","FQ2 2022","FQ2 2022","Currency=USD","Period=FQ","BEST_FPERIOD_OVERRIDE=FQ","FILING_STATUS=MR","Sort=A","Dates=H","DateFormat=P","Fill=—","Direction=H","UseDPDF=Y")</f>
        <v>—</v>
      </c>
      <c r="O23" s="20" t="str">
        <f>_xll.BDH("ALNY US Equity","PX_TO_CASH_FLOW","FQ3 2022","FQ3 2022","Currency=USD","Period=FQ","BEST_FPERIOD_OVERRIDE=FQ","FILING_STATUS=MR","Sort=A","Dates=H","DateFormat=P","Fill=—","Direction=H","UseDPDF=Y")</f>
        <v>—</v>
      </c>
      <c r="P23" s="20" t="str">
        <f>_xll.BDH("ALNY US Equity","PX_TO_CASH_FLOW","FQ4 2022","FQ4 2022","Currency=USD","Period=FQ","BEST_FPERIOD_OVERRIDE=FQ","FILING_STATUS=MR","Sort=A","Dates=H","DateFormat=P","Fill=—","Direction=H","UseDPDF=Y")</f>
        <v>—</v>
      </c>
      <c r="Q23" s="20" t="str">
        <f>_xll.BDH("ALNY US Equity","PX_TO_CASH_FLOW","FQ1 2023","FQ1 2023","Currency=USD","Period=FQ","BEST_FPERIOD_OVERRIDE=FQ","FILING_STATUS=MR","Sort=A","Dates=H","DateFormat=P","Fill=—","Direction=H","UseDPDF=Y")</f>
        <v>—</v>
      </c>
      <c r="R23" s="20" t="str">
        <f>_xll.BDH("ALNY US Equity","PX_TO_CASH_FLOW","FQ2 2023","FQ2 2023","Currency=USD","Period=FQ","BEST_FPERIOD_OVERRIDE=FQ","FILING_STATUS=MR","Sort=A","Dates=H","DateFormat=P","Fill=—","Direction=H","UseDPDF=Y")</f>
        <v>—</v>
      </c>
      <c r="S23" s="20" t="str">
        <f>_xll.BDH("ALNY US Equity","PX_TO_CASH_FLOW","FQ3 2023","FQ3 2023","Currency=USD","Period=FQ","BEST_FPERIOD_OVERRIDE=FQ","FILING_STATUS=MR","Sort=A","Dates=H","DateFormat=P","Fill=—","Direction=H","UseDPDF=Y")</f>
        <v>—</v>
      </c>
      <c r="T23" s="20">
        <f>_xll.BDH("ALNY US Equity","PX_TO_CASH_FLOW","FQ4 2023","FQ4 2023","Currency=USD","Period=FQ","BEST_FPERIOD_OVERRIDE=FQ","FILING_STATUS=MR","Sort=A","Dates=H","DateFormat=P","Fill=—","Direction=H","UseDPDF=Y")</f>
        <v>233.84630000000001</v>
      </c>
      <c r="U23" s="20">
        <f>_xll.BDH("ALNY US Equity","PX_TO_CASH_FLOW","FQ1 2024","FQ1 2024","Currency=USD","Period=FQ","BEST_FPERIOD_OVERRIDE=FQ","FILING_STATUS=MR","Sort=A","Dates=H","DateFormat=P","Fill=—","Direction=H","UseDPDF=Y")</f>
        <v>98.736000000000004</v>
      </c>
      <c r="V23" s="20">
        <f>_xll.BDH("ALNY US Equity","PX_TO_CASH_FLOW","FQ2 2024","FQ2 2024","Currency=USD","Period=FQ","BEST_FPERIOD_OVERRIDE=FQ","FILING_STATUS=MR","Sort=A","Dates=H","DateFormat=P","Fill=—","Direction=H","UseDPDF=Y")</f>
        <v>81.914900000000003</v>
      </c>
      <c r="W23" s="20">
        <f>_xll.BDH("ALNY US Equity","PX_TO_CASH_FLOW","FQ3 2024","FQ3 2024","Currency=USD","Period=FQ","BEST_FPERIOD_OVERRIDE=FQ","FILING_STATUS=MR","Sort=A","Dates=H","DateFormat=P","Fill=—","Direction=H","UseDPDF=Y")</f>
        <v>630.59670000000006</v>
      </c>
      <c r="X23" s="20" t="str">
        <f>_xll.BDH("ALNY US Equity","PX_TO_CASH_FLOW","FQ4 2024","FQ4 2024","Currency=USD","Period=FQ","BEST_FPERIOD_OVERRIDE=FQ","FILING_STATUS=MR","Sort=A","Dates=H","DateFormat=P","Fill=—","Direction=H","UseDPDF=Y")</f>
        <v>—</v>
      </c>
      <c r="Y23" s="23"/>
      <c r="Z23" s="20">
        <v>3.8562664329535501</v>
      </c>
      <c r="AA23" s="20">
        <v>3.8905316866701498</v>
      </c>
    </row>
    <row r="24" spans="1:27" x14ac:dyDescent="0.25">
      <c r="A24" s="10" t="s">
        <v>203</v>
      </c>
      <c r="B24" s="10" t="s">
        <v>221</v>
      </c>
      <c r="C24" s="14" t="str">
        <f>_xll.BDH("ALNY US Equity","AVERAGE_PRICE_TO_CASH_FLOW","FQ3 2019","FQ3 2019","Currency=USD","Period=FQ","BEST_FPERIOD_OVERRIDE=FQ","FILING_STATUS=MR","Sort=A","Dates=H","DateFormat=P","Fill=—","Direction=H","UseDPDF=Y")</f>
        <v>—</v>
      </c>
      <c r="D24" s="14" t="str">
        <f>_xll.BDH("ALNY US Equity","AVERAGE_PRICE_TO_CASH_FLOW","FQ4 2019","FQ4 2019","Currency=USD","Period=FQ","BEST_FPERIOD_OVERRIDE=FQ","FILING_STATUS=MR","Sort=A","Dates=H","DateFormat=P","Fill=—","Direction=H","UseDPDF=Y")</f>
        <v>—</v>
      </c>
      <c r="E24" s="14" t="str">
        <f>_xll.BDH("ALNY US Equity","AVERAGE_PRICE_TO_CASH_FLOW","FQ1 2020","FQ1 2020","Currency=USD","Period=FQ","BEST_FPERIOD_OVERRIDE=FQ","FILING_STATUS=MR","Sort=A","Dates=H","DateFormat=P","Fill=—","Direction=H","UseDPDF=Y")</f>
        <v>—</v>
      </c>
      <c r="F24" s="14" t="str">
        <f>_xll.BDH("ALNY US Equity","AVERAGE_PRICE_TO_CASH_FLOW","FQ2 2020","FQ2 2020","Currency=USD","Period=FQ","BEST_FPERIOD_OVERRIDE=FQ","FILING_STATUS=MR","Sort=A","Dates=H","DateFormat=P","Fill=—","Direction=H","UseDPDF=Y")</f>
        <v>—</v>
      </c>
      <c r="G24" s="14" t="str">
        <f>_xll.BDH("ALNY US Equity","AVERAGE_PRICE_TO_CASH_FLOW","FQ3 2020","FQ3 2020","Currency=USD","Period=FQ","BEST_FPERIOD_OVERRIDE=FQ","FILING_STATUS=MR","Sort=A","Dates=H","DateFormat=P","Fill=—","Direction=H","UseDPDF=Y")</f>
        <v>—</v>
      </c>
      <c r="H24" s="14" t="str">
        <f>_xll.BDH("ALNY US Equity","AVERAGE_PRICE_TO_CASH_FLOW","FQ4 2020","FQ4 2020","Currency=USD","Period=FQ","BEST_FPERIOD_OVERRIDE=FQ","FILING_STATUS=MR","Sort=A","Dates=H","DateFormat=P","Fill=—","Direction=H","UseDPDF=Y")</f>
        <v>—</v>
      </c>
      <c r="I24" s="14" t="str">
        <f>_xll.BDH("ALNY US Equity","AVERAGE_PRICE_TO_CASH_FLOW","FQ1 2021","FQ1 2021","Currency=USD","Period=FQ","BEST_FPERIOD_OVERRIDE=FQ","FILING_STATUS=MR","Sort=A","Dates=H","DateFormat=P","Fill=—","Direction=H","UseDPDF=Y")</f>
        <v>—</v>
      </c>
      <c r="J24" s="14" t="str">
        <f>_xll.BDH("ALNY US Equity","AVERAGE_PRICE_TO_CASH_FLOW","FQ2 2021","FQ2 2021","Currency=USD","Period=FQ","BEST_FPERIOD_OVERRIDE=FQ","FILING_STATUS=MR","Sort=A","Dates=H","DateFormat=P","Fill=—","Direction=H","UseDPDF=Y")</f>
        <v>—</v>
      </c>
      <c r="K24" s="14" t="str">
        <f>_xll.BDH("ALNY US Equity","AVERAGE_PRICE_TO_CASH_FLOW","FQ3 2021","FQ3 2021","Currency=USD","Period=FQ","BEST_FPERIOD_OVERRIDE=FQ","FILING_STATUS=MR","Sort=A","Dates=H","DateFormat=P","Fill=—","Direction=H","UseDPDF=Y")</f>
        <v>—</v>
      </c>
      <c r="L24" s="14" t="str">
        <f>_xll.BDH("ALNY US Equity","AVERAGE_PRICE_TO_CASH_FLOW","FQ4 2021","FQ4 2021","Currency=USD","Period=FQ","BEST_FPERIOD_OVERRIDE=FQ","FILING_STATUS=MR","Sort=A","Dates=H","DateFormat=P","Fill=—","Direction=H","UseDPDF=Y")</f>
        <v>—</v>
      </c>
      <c r="M24" s="14" t="str">
        <f>_xll.BDH("ALNY US Equity","AVERAGE_PRICE_TO_CASH_FLOW","FQ1 2022","FQ1 2022","Currency=USD","Period=FQ","BEST_FPERIOD_OVERRIDE=FQ","FILING_STATUS=MR","Sort=A","Dates=H","DateFormat=P","Fill=—","Direction=H","UseDPDF=Y")</f>
        <v>—</v>
      </c>
      <c r="N24" s="14" t="str">
        <f>_xll.BDH("ALNY US Equity","AVERAGE_PRICE_TO_CASH_FLOW","FQ2 2022","FQ2 2022","Currency=USD","Period=FQ","BEST_FPERIOD_OVERRIDE=FQ","FILING_STATUS=MR","Sort=A","Dates=H","DateFormat=P","Fill=—","Direction=H","UseDPDF=Y")</f>
        <v>—</v>
      </c>
      <c r="O24" s="14" t="str">
        <f>_xll.BDH("ALNY US Equity","AVERAGE_PRICE_TO_CASH_FLOW","FQ3 2022","FQ3 2022","Currency=USD","Period=FQ","BEST_FPERIOD_OVERRIDE=FQ","FILING_STATUS=MR","Sort=A","Dates=H","DateFormat=P","Fill=—","Direction=H","UseDPDF=Y")</f>
        <v>—</v>
      </c>
      <c r="P24" s="14" t="str">
        <f>_xll.BDH("ALNY US Equity","AVERAGE_PRICE_TO_CASH_FLOW","FQ4 2022","FQ4 2022","Currency=USD","Period=FQ","BEST_FPERIOD_OVERRIDE=FQ","FILING_STATUS=MR","Sort=A","Dates=H","DateFormat=P","Fill=—","Direction=H","UseDPDF=Y")</f>
        <v>—</v>
      </c>
      <c r="Q24" s="14" t="str">
        <f>_xll.BDH("ALNY US Equity","AVERAGE_PRICE_TO_CASH_FLOW","FQ1 2023","FQ1 2023","Currency=USD","Period=FQ","BEST_FPERIOD_OVERRIDE=FQ","FILING_STATUS=MR","Sort=A","Dates=H","DateFormat=P","Fill=—","Direction=H","UseDPDF=Y")</f>
        <v>—</v>
      </c>
      <c r="R24" s="14" t="str">
        <f>_xll.BDH("ALNY US Equity","AVERAGE_PRICE_TO_CASH_FLOW","FQ2 2023","FQ2 2023","Currency=USD","Period=FQ","BEST_FPERIOD_OVERRIDE=FQ","FILING_STATUS=MR","Sort=A","Dates=H","DateFormat=P","Fill=—","Direction=H","UseDPDF=Y")</f>
        <v>—</v>
      </c>
      <c r="S24" s="14" t="str">
        <f>_xll.BDH("ALNY US Equity","AVERAGE_PRICE_TO_CASH_FLOW","FQ3 2023","FQ3 2023","Currency=USD","Period=FQ","BEST_FPERIOD_OVERRIDE=FQ","FILING_STATUS=MR","Sort=A","Dates=H","DateFormat=P","Fill=—","Direction=H","UseDPDF=Y")</f>
        <v>—</v>
      </c>
      <c r="T24" s="14">
        <f>_xll.BDH("ALNY US Equity","AVERAGE_PRICE_TO_CASH_FLOW","FQ4 2023","FQ4 2023","Currency=USD","Period=FQ","BEST_FPERIOD_OVERRIDE=FQ","FILING_STATUS=MR","Sort=A","Dates=H","DateFormat=P","Fill=—","Direction=H","UseDPDF=Y")</f>
        <v>233.84630000000001</v>
      </c>
      <c r="U24" s="14">
        <f>_xll.BDH("ALNY US Equity","AVERAGE_PRICE_TO_CASH_FLOW","FQ1 2024","FQ1 2024","Currency=USD","Period=FQ","BEST_FPERIOD_OVERRIDE=FQ","FILING_STATUS=MR","Sort=A","Dates=H","DateFormat=P","Fill=—","Direction=H","UseDPDF=Y")</f>
        <v>202.4247</v>
      </c>
      <c r="V24" s="14">
        <f>_xll.BDH("ALNY US Equity","AVERAGE_PRICE_TO_CASH_FLOW","FQ2 2024","FQ2 2024","Currency=USD","Period=FQ","BEST_FPERIOD_OVERRIDE=FQ","FILING_STATUS=MR","Sort=A","Dates=H","DateFormat=P","Fill=—","Direction=H","UseDPDF=Y")</f>
        <v>103.054</v>
      </c>
      <c r="W24" s="14">
        <f>_xll.BDH("ALNY US Equity","AVERAGE_PRICE_TO_CASH_FLOW","FQ3 2024","FQ3 2024","Currency=USD","Period=FQ","BEST_FPERIOD_OVERRIDE=FQ","FILING_STATUS=MR","Sort=A","Dates=H","DateFormat=P","Fill=—","Direction=H","UseDPDF=Y")</f>
        <v>96.170500000000004</v>
      </c>
      <c r="X24" s="14">
        <f>_xll.BDH("ALNY US Equity","AVERAGE_PRICE_TO_CASH_FLOW","FQ4 2024","FQ4 2024","Currency=USD","Period=FQ","BEST_FPERIOD_OVERRIDE=FQ","FILING_STATUS=MR","Sort=A","Dates=H","DateFormat=P","Fill=—","Direction=H","UseDPDF=Y")</f>
        <v>604.00819999999999</v>
      </c>
      <c r="Y24" s="17"/>
      <c r="Z24" s="14"/>
      <c r="AA24" s="14"/>
    </row>
    <row r="25" spans="1:27" x14ac:dyDescent="0.25">
      <c r="A25" s="10" t="s">
        <v>205</v>
      </c>
      <c r="B25" s="10" t="s">
        <v>222</v>
      </c>
      <c r="C25" s="14" t="str">
        <f>_xll.BDH("ALNY US Equity","HIGH_CLOSING_PRICE_TO_CASH_FLOW","FQ3 2019","FQ3 2019","Currency=USD","Period=FQ","BEST_FPERIOD_OVERRIDE=FQ","FILING_STATUS=MR","Sort=A","Dates=H","DateFormat=P","Fill=—","Direction=H","UseDPDF=Y")</f>
        <v>—</v>
      </c>
      <c r="D25" s="14" t="str">
        <f>_xll.BDH("ALNY US Equity","HIGH_CLOSING_PRICE_TO_CASH_FLOW","FQ4 2019","FQ4 2019","Currency=USD","Period=FQ","BEST_FPERIOD_OVERRIDE=FQ","FILING_STATUS=MR","Sort=A","Dates=H","DateFormat=P","Fill=—","Direction=H","UseDPDF=Y")</f>
        <v>—</v>
      </c>
      <c r="E25" s="14" t="str">
        <f>_xll.BDH("ALNY US Equity","HIGH_CLOSING_PRICE_TO_CASH_FLOW","FQ1 2020","FQ1 2020","Currency=USD","Period=FQ","BEST_FPERIOD_OVERRIDE=FQ","FILING_STATUS=MR","Sort=A","Dates=H","DateFormat=P","Fill=—","Direction=H","UseDPDF=Y")</f>
        <v>—</v>
      </c>
      <c r="F25" s="14" t="str">
        <f>_xll.BDH("ALNY US Equity","HIGH_CLOSING_PRICE_TO_CASH_FLOW","FQ2 2020","FQ2 2020","Currency=USD","Period=FQ","BEST_FPERIOD_OVERRIDE=FQ","FILING_STATUS=MR","Sort=A","Dates=H","DateFormat=P","Fill=—","Direction=H","UseDPDF=Y")</f>
        <v>—</v>
      </c>
      <c r="G25" s="14" t="str">
        <f>_xll.BDH("ALNY US Equity","HIGH_CLOSING_PRICE_TO_CASH_FLOW","FQ3 2020","FQ3 2020","Currency=USD","Period=FQ","BEST_FPERIOD_OVERRIDE=FQ","FILING_STATUS=MR","Sort=A","Dates=H","DateFormat=P","Fill=—","Direction=H","UseDPDF=Y")</f>
        <v>—</v>
      </c>
      <c r="H25" s="14" t="str">
        <f>_xll.BDH("ALNY US Equity","HIGH_CLOSING_PRICE_TO_CASH_FLOW","FQ4 2020","FQ4 2020","Currency=USD","Period=FQ","BEST_FPERIOD_OVERRIDE=FQ","FILING_STATUS=MR","Sort=A","Dates=H","DateFormat=P","Fill=—","Direction=H","UseDPDF=Y")</f>
        <v>—</v>
      </c>
      <c r="I25" s="14" t="str">
        <f>_xll.BDH("ALNY US Equity","HIGH_CLOSING_PRICE_TO_CASH_FLOW","FQ1 2021","FQ1 2021","Currency=USD","Period=FQ","BEST_FPERIOD_OVERRIDE=FQ","FILING_STATUS=MR","Sort=A","Dates=H","DateFormat=P","Fill=—","Direction=H","UseDPDF=Y")</f>
        <v>—</v>
      </c>
      <c r="J25" s="14" t="str">
        <f>_xll.BDH("ALNY US Equity","HIGH_CLOSING_PRICE_TO_CASH_FLOW","FQ2 2021","FQ2 2021","Currency=USD","Period=FQ","BEST_FPERIOD_OVERRIDE=FQ","FILING_STATUS=MR","Sort=A","Dates=H","DateFormat=P","Fill=—","Direction=H","UseDPDF=Y")</f>
        <v>—</v>
      </c>
      <c r="K25" s="14" t="str">
        <f>_xll.BDH("ALNY US Equity","HIGH_CLOSING_PRICE_TO_CASH_FLOW","FQ3 2021","FQ3 2021","Currency=USD","Period=FQ","BEST_FPERIOD_OVERRIDE=FQ","FILING_STATUS=MR","Sort=A","Dates=H","DateFormat=P","Fill=—","Direction=H","UseDPDF=Y")</f>
        <v>—</v>
      </c>
      <c r="L25" s="14" t="str">
        <f>_xll.BDH("ALNY US Equity","HIGH_CLOSING_PRICE_TO_CASH_FLOW","FQ4 2021","FQ4 2021","Currency=USD","Period=FQ","BEST_FPERIOD_OVERRIDE=FQ","FILING_STATUS=MR","Sort=A","Dates=H","DateFormat=P","Fill=—","Direction=H","UseDPDF=Y")</f>
        <v>—</v>
      </c>
      <c r="M25" s="14" t="str">
        <f>_xll.BDH("ALNY US Equity","HIGH_CLOSING_PRICE_TO_CASH_FLOW","FQ1 2022","FQ1 2022","Currency=USD","Period=FQ","BEST_FPERIOD_OVERRIDE=FQ","FILING_STATUS=MR","Sort=A","Dates=H","DateFormat=P","Fill=—","Direction=H","UseDPDF=Y")</f>
        <v>—</v>
      </c>
      <c r="N25" s="14" t="str">
        <f>_xll.BDH("ALNY US Equity","HIGH_CLOSING_PRICE_TO_CASH_FLOW","FQ2 2022","FQ2 2022","Currency=USD","Period=FQ","BEST_FPERIOD_OVERRIDE=FQ","FILING_STATUS=MR","Sort=A","Dates=H","DateFormat=P","Fill=—","Direction=H","UseDPDF=Y")</f>
        <v>—</v>
      </c>
      <c r="O25" s="14" t="str">
        <f>_xll.BDH("ALNY US Equity","HIGH_CLOSING_PRICE_TO_CASH_FLOW","FQ3 2022","FQ3 2022","Currency=USD","Period=FQ","BEST_FPERIOD_OVERRIDE=FQ","FILING_STATUS=MR","Sort=A","Dates=H","DateFormat=P","Fill=—","Direction=H","UseDPDF=Y")</f>
        <v>—</v>
      </c>
      <c r="P25" s="14" t="str">
        <f>_xll.BDH("ALNY US Equity","HIGH_CLOSING_PRICE_TO_CASH_FLOW","FQ4 2022","FQ4 2022","Currency=USD","Period=FQ","BEST_FPERIOD_OVERRIDE=FQ","FILING_STATUS=MR","Sort=A","Dates=H","DateFormat=P","Fill=—","Direction=H","UseDPDF=Y")</f>
        <v>—</v>
      </c>
      <c r="Q25" s="14" t="str">
        <f>_xll.BDH("ALNY US Equity","HIGH_CLOSING_PRICE_TO_CASH_FLOW","FQ1 2023","FQ1 2023","Currency=USD","Period=FQ","BEST_FPERIOD_OVERRIDE=FQ","FILING_STATUS=MR","Sort=A","Dates=H","DateFormat=P","Fill=—","Direction=H","UseDPDF=Y")</f>
        <v>—</v>
      </c>
      <c r="R25" s="14" t="str">
        <f>_xll.BDH("ALNY US Equity","HIGH_CLOSING_PRICE_TO_CASH_FLOW","FQ2 2023","FQ2 2023","Currency=USD","Period=FQ","BEST_FPERIOD_OVERRIDE=FQ","FILING_STATUS=MR","Sort=A","Dates=H","DateFormat=P","Fill=—","Direction=H","UseDPDF=Y")</f>
        <v>—</v>
      </c>
      <c r="S25" s="14" t="str">
        <f>_xll.BDH("ALNY US Equity","HIGH_CLOSING_PRICE_TO_CASH_FLOW","FQ3 2023","FQ3 2023","Currency=USD","Period=FQ","BEST_FPERIOD_OVERRIDE=FQ","FILING_STATUS=MR","Sort=A","Dates=H","DateFormat=P","Fill=—","Direction=H","UseDPDF=Y")</f>
        <v>—</v>
      </c>
      <c r="T25" s="14">
        <f>_xll.BDH("ALNY US Equity","HIGH_CLOSING_PRICE_TO_CASH_FLOW","FQ4 2023","FQ4 2023","Currency=USD","Period=FQ","BEST_FPERIOD_OVERRIDE=FQ","FILING_STATUS=MR","Sort=A","Dates=H","DateFormat=P","Fill=—","Direction=H","UseDPDF=Y")</f>
        <v>233.84630000000001</v>
      </c>
      <c r="U25" s="14">
        <f>_xll.BDH("ALNY US Equity","HIGH_CLOSING_PRICE_TO_CASH_FLOW","FQ1 2024","FQ1 2024","Currency=USD","Period=FQ","BEST_FPERIOD_OVERRIDE=FQ","FILING_STATUS=MR","Sort=A","Dates=H","DateFormat=P","Fill=—","Direction=H","UseDPDF=Y")</f>
        <v>242.14169999999999</v>
      </c>
      <c r="V25" s="14">
        <f>_xll.BDH("ALNY US Equity","HIGH_CLOSING_PRICE_TO_CASH_FLOW","FQ2 2024","FQ2 2024","Currency=USD","Period=FQ","BEST_FPERIOD_OVERRIDE=FQ","FILING_STATUS=MR","Sort=A","Dates=H","DateFormat=P","Fill=—","Direction=H","UseDPDF=Y")</f>
        <v>163.18360000000001</v>
      </c>
      <c r="W25" s="14">
        <f>_xll.BDH("ALNY US Equity","HIGH_CLOSING_PRICE_TO_CASH_FLOW","FQ3 2024","FQ3 2024","Currency=USD","Period=FQ","BEST_FPERIOD_OVERRIDE=FQ","FILING_STATUS=MR","Sort=A","Dates=H","DateFormat=P","Fill=—","Direction=H","UseDPDF=Y")</f>
        <v>630.59670000000006</v>
      </c>
      <c r="X25" s="14">
        <f>_xll.BDH("ALNY US Equity","HIGH_CLOSING_PRICE_TO_CASH_FLOW","FQ4 2024","FQ4 2024","Currency=USD","Period=FQ","BEST_FPERIOD_OVERRIDE=FQ","FILING_STATUS=MR","Sort=A","Dates=H","DateFormat=P","Fill=—","Direction=H","UseDPDF=Y")</f>
        <v>689.10969999999998</v>
      </c>
      <c r="Y25" s="17"/>
      <c r="Z25" s="14"/>
      <c r="AA25" s="14"/>
    </row>
    <row r="26" spans="1:27" x14ac:dyDescent="0.25">
      <c r="A26" s="10" t="s">
        <v>207</v>
      </c>
      <c r="B26" s="10" t="s">
        <v>223</v>
      </c>
      <c r="C26" s="14" t="str">
        <f>_xll.BDH("ALNY US Equity","LOW_CLOSING_PRICE_TO_CASH_FLOW","FQ3 2019","FQ3 2019","Currency=USD","Period=FQ","BEST_FPERIOD_OVERRIDE=FQ","FILING_STATUS=MR","Sort=A","Dates=H","DateFormat=P","Fill=—","Direction=H","UseDPDF=Y")</f>
        <v>—</v>
      </c>
      <c r="D26" s="14" t="str">
        <f>_xll.BDH("ALNY US Equity","LOW_CLOSING_PRICE_TO_CASH_FLOW","FQ4 2019","FQ4 2019","Currency=USD","Period=FQ","BEST_FPERIOD_OVERRIDE=FQ","FILING_STATUS=MR","Sort=A","Dates=H","DateFormat=P","Fill=—","Direction=H","UseDPDF=Y")</f>
        <v>—</v>
      </c>
      <c r="E26" s="14" t="str">
        <f>_xll.BDH("ALNY US Equity","LOW_CLOSING_PRICE_TO_CASH_FLOW","FQ1 2020","FQ1 2020","Currency=USD","Period=FQ","BEST_FPERIOD_OVERRIDE=FQ","FILING_STATUS=MR","Sort=A","Dates=H","DateFormat=P","Fill=—","Direction=H","UseDPDF=Y")</f>
        <v>—</v>
      </c>
      <c r="F26" s="14" t="str">
        <f>_xll.BDH("ALNY US Equity","LOW_CLOSING_PRICE_TO_CASH_FLOW","FQ2 2020","FQ2 2020","Currency=USD","Period=FQ","BEST_FPERIOD_OVERRIDE=FQ","FILING_STATUS=MR","Sort=A","Dates=H","DateFormat=P","Fill=—","Direction=H","UseDPDF=Y")</f>
        <v>—</v>
      </c>
      <c r="G26" s="14" t="str">
        <f>_xll.BDH("ALNY US Equity","LOW_CLOSING_PRICE_TO_CASH_FLOW","FQ3 2020","FQ3 2020","Currency=USD","Period=FQ","BEST_FPERIOD_OVERRIDE=FQ","FILING_STATUS=MR","Sort=A","Dates=H","DateFormat=P","Fill=—","Direction=H","UseDPDF=Y")</f>
        <v>—</v>
      </c>
      <c r="H26" s="14" t="str">
        <f>_xll.BDH("ALNY US Equity","LOW_CLOSING_PRICE_TO_CASH_FLOW","FQ4 2020","FQ4 2020","Currency=USD","Period=FQ","BEST_FPERIOD_OVERRIDE=FQ","FILING_STATUS=MR","Sort=A","Dates=H","DateFormat=P","Fill=—","Direction=H","UseDPDF=Y")</f>
        <v>—</v>
      </c>
      <c r="I26" s="14" t="str">
        <f>_xll.BDH("ALNY US Equity","LOW_CLOSING_PRICE_TO_CASH_FLOW","FQ1 2021","FQ1 2021","Currency=USD","Period=FQ","BEST_FPERIOD_OVERRIDE=FQ","FILING_STATUS=MR","Sort=A","Dates=H","DateFormat=P","Fill=—","Direction=H","UseDPDF=Y")</f>
        <v>—</v>
      </c>
      <c r="J26" s="14" t="str">
        <f>_xll.BDH("ALNY US Equity","LOW_CLOSING_PRICE_TO_CASH_FLOW","FQ2 2021","FQ2 2021","Currency=USD","Period=FQ","BEST_FPERIOD_OVERRIDE=FQ","FILING_STATUS=MR","Sort=A","Dates=H","DateFormat=P","Fill=—","Direction=H","UseDPDF=Y")</f>
        <v>—</v>
      </c>
      <c r="K26" s="14" t="str">
        <f>_xll.BDH("ALNY US Equity","LOW_CLOSING_PRICE_TO_CASH_FLOW","FQ3 2021","FQ3 2021","Currency=USD","Period=FQ","BEST_FPERIOD_OVERRIDE=FQ","FILING_STATUS=MR","Sort=A","Dates=H","DateFormat=P","Fill=—","Direction=H","UseDPDF=Y")</f>
        <v>—</v>
      </c>
      <c r="L26" s="14" t="str">
        <f>_xll.BDH("ALNY US Equity","LOW_CLOSING_PRICE_TO_CASH_FLOW","FQ4 2021","FQ4 2021","Currency=USD","Period=FQ","BEST_FPERIOD_OVERRIDE=FQ","FILING_STATUS=MR","Sort=A","Dates=H","DateFormat=P","Fill=—","Direction=H","UseDPDF=Y")</f>
        <v>—</v>
      </c>
      <c r="M26" s="14" t="str">
        <f>_xll.BDH("ALNY US Equity","LOW_CLOSING_PRICE_TO_CASH_FLOW","FQ1 2022","FQ1 2022","Currency=USD","Period=FQ","BEST_FPERIOD_OVERRIDE=FQ","FILING_STATUS=MR","Sort=A","Dates=H","DateFormat=P","Fill=—","Direction=H","UseDPDF=Y")</f>
        <v>—</v>
      </c>
      <c r="N26" s="14" t="str">
        <f>_xll.BDH("ALNY US Equity","LOW_CLOSING_PRICE_TO_CASH_FLOW","FQ2 2022","FQ2 2022","Currency=USD","Period=FQ","BEST_FPERIOD_OVERRIDE=FQ","FILING_STATUS=MR","Sort=A","Dates=H","DateFormat=P","Fill=—","Direction=H","UseDPDF=Y")</f>
        <v>—</v>
      </c>
      <c r="O26" s="14" t="str">
        <f>_xll.BDH("ALNY US Equity","LOW_CLOSING_PRICE_TO_CASH_FLOW","FQ3 2022","FQ3 2022","Currency=USD","Period=FQ","BEST_FPERIOD_OVERRIDE=FQ","FILING_STATUS=MR","Sort=A","Dates=H","DateFormat=P","Fill=—","Direction=H","UseDPDF=Y")</f>
        <v>—</v>
      </c>
      <c r="P26" s="14" t="str">
        <f>_xll.BDH("ALNY US Equity","LOW_CLOSING_PRICE_TO_CASH_FLOW","FQ4 2022","FQ4 2022","Currency=USD","Period=FQ","BEST_FPERIOD_OVERRIDE=FQ","FILING_STATUS=MR","Sort=A","Dates=H","DateFormat=P","Fill=—","Direction=H","UseDPDF=Y")</f>
        <v>—</v>
      </c>
      <c r="Q26" s="14" t="str">
        <f>_xll.BDH("ALNY US Equity","LOW_CLOSING_PRICE_TO_CASH_FLOW","FQ1 2023","FQ1 2023","Currency=USD","Period=FQ","BEST_FPERIOD_OVERRIDE=FQ","FILING_STATUS=MR","Sort=A","Dates=H","DateFormat=P","Fill=—","Direction=H","UseDPDF=Y")</f>
        <v>—</v>
      </c>
      <c r="R26" s="14" t="str">
        <f>_xll.BDH("ALNY US Equity","LOW_CLOSING_PRICE_TO_CASH_FLOW","FQ2 2023","FQ2 2023","Currency=USD","Period=FQ","BEST_FPERIOD_OVERRIDE=FQ","FILING_STATUS=MR","Sort=A","Dates=H","DateFormat=P","Fill=—","Direction=H","UseDPDF=Y")</f>
        <v>—</v>
      </c>
      <c r="S26" s="14" t="str">
        <f>_xll.BDH("ALNY US Equity","LOW_CLOSING_PRICE_TO_CASH_FLOW","FQ3 2023","FQ3 2023","Currency=USD","Period=FQ","BEST_FPERIOD_OVERRIDE=FQ","FILING_STATUS=MR","Sort=A","Dates=H","DateFormat=P","Fill=—","Direction=H","UseDPDF=Y")</f>
        <v>—</v>
      </c>
      <c r="T26" s="14">
        <f>_xll.BDH("ALNY US Equity","LOW_CLOSING_PRICE_TO_CASH_FLOW","FQ4 2023","FQ4 2023","Currency=USD","Period=FQ","BEST_FPERIOD_OVERRIDE=FQ","FILING_STATUS=MR","Sort=A","Dates=H","DateFormat=P","Fill=—","Direction=H","UseDPDF=Y")</f>
        <v>233.84630000000001</v>
      </c>
      <c r="U26" s="14">
        <f>_xll.BDH("ALNY US Equity","LOW_CLOSING_PRICE_TO_CASH_FLOW","FQ1 2024","FQ1 2024","Currency=USD","Period=FQ","BEST_FPERIOD_OVERRIDE=FQ","FILING_STATUS=MR","Sort=A","Dates=H","DateFormat=P","Fill=—","Direction=H","UseDPDF=Y")</f>
        <v>98.736000000000004</v>
      </c>
      <c r="V26" s="14">
        <f>_xll.BDH("ALNY US Equity","LOW_CLOSING_PRICE_TO_CASH_FLOW","FQ2 2024","FQ2 2024","Currency=USD","Period=FQ","BEST_FPERIOD_OVERRIDE=FQ","FILING_STATUS=MR","Sort=A","Dates=H","DateFormat=P","Fill=—","Direction=H","UseDPDF=Y")</f>
        <v>81.914900000000003</v>
      </c>
      <c r="W26" s="14">
        <f>_xll.BDH("ALNY US Equity","LOW_CLOSING_PRICE_TO_CASH_FLOW","FQ3 2024","FQ3 2024","Currency=USD","Period=FQ","BEST_FPERIOD_OVERRIDE=FQ","FILING_STATUS=MR","Sort=A","Dates=H","DateFormat=P","Fill=—","Direction=H","UseDPDF=Y")</f>
        <v>78.816999999999993</v>
      </c>
      <c r="X26" s="14">
        <f>_xll.BDH("ALNY US Equity","LOW_CLOSING_PRICE_TO_CASH_FLOW","FQ4 2024","FQ4 2024","Currency=USD","Period=FQ","BEST_FPERIOD_OVERRIDE=FQ","FILING_STATUS=MR","Sort=A","Dates=H","DateFormat=P","Fill=—","Direction=H","UseDPDF=Y")</f>
        <v>532.55529999999999</v>
      </c>
      <c r="Y26" s="17"/>
      <c r="Z26" s="14"/>
      <c r="AA26" s="14"/>
    </row>
    <row r="27" spans="1:27" x14ac:dyDescent="0.25">
      <c r="A27" s="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21"/>
      <c r="Z27" s="18"/>
      <c r="AA27" s="18"/>
    </row>
    <row r="28" spans="1:27" x14ac:dyDescent="0.25">
      <c r="A28" s="6" t="s">
        <v>224</v>
      </c>
      <c r="B28" s="6" t="s">
        <v>225</v>
      </c>
      <c r="C28" s="20" t="str">
        <f>_xll.BDH("ALNY US Equity","PX_TO_FREE_CASH_FLOW","FQ3 2019","FQ3 2019","Currency=USD","Period=FQ","BEST_FPERIOD_OVERRIDE=FQ","FILING_STATUS=MR","Sort=A","Dates=H","DateFormat=P","Fill=—","Direction=H","UseDPDF=Y")</f>
        <v>—</v>
      </c>
      <c r="D28" s="20" t="str">
        <f>_xll.BDH("ALNY US Equity","PX_TO_FREE_CASH_FLOW","FQ4 2019","FQ4 2019","Currency=USD","Period=FQ","BEST_FPERIOD_OVERRIDE=FQ","FILING_STATUS=MR","Sort=A","Dates=H","DateFormat=P","Fill=—","Direction=H","UseDPDF=Y")</f>
        <v>—</v>
      </c>
      <c r="E28" s="20" t="str">
        <f>_xll.BDH("ALNY US Equity","PX_TO_FREE_CASH_FLOW","FQ1 2020","FQ1 2020","Currency=USD","Period=FQ","BEST_FPERIOD_OVERRIDE=FQ","FILING_STATUS=MR","Sort=A","Dates=H","DateFormat=P","Fill=—","Direction=H","UseDPDF=Y")</f>
        <v>—</v>
      </c>
      <c r="F28" s="20" t="str">
        <f>_xll.BDH("ALNY US Equity","PX_TO_FREE_CASH_FLOW","FQ2 2020","FQ2 2020","Currency=USD","Period=FQ","BEST_FPERIOD_OVERRIDE=FQ","FILING_STATUS=MR","Sort=A","Dates=H","DateFormat=P","Fill=—","Direction=H","UseDPDF=Y")</f>
        <v>—</v>
      </c>
      <c r="G28" s="20" t="str">
        <f>_xll.BDH("ALNY US Equity","PX_TO_FREE_CASH_FLOW","FQ3 2020","FQ3 2020","Currency=USD","Period=FQ","BEST_FPERIOD_OVERRIDE=FQ","FILING_STATUS=MR","Sort=A","Dates=H","DateFormat=P","Fill=—","Direction=H","UseDPDF=Y")</f>
        <v>—</v>
      </c>
      <c r="H28" s="20" t="str">
        <f>_xll.BDH("ALNY US Equity","PX_TO_FREE_CASH_FLOW","FQ4 2020","FQ4 2020","Currency=USD","Period=FQ","BEST_FPERIOD_OVERRIDE=FQ","FILING_STATUS=MR","Sort=A","Dates=H","DateFormat=P","Fill=—","Direction=H","UseDPDF=Y")</f>
        <v>—</v>
      </c>
      <c r="I28" s="20" t="str">
        <f>_xll.BDH("ALNY US Equity","PX_TO_FREE_CASH_FLOW","FQ1 2021","FQ1 2021","Currency=USD","Period=FQ","BEST_FPERIOD_OVERRIDE=FQ","FILING_STATUS=MR","Sort=A","Dates=H","DateFormat=P","Fill=—","Direction=H","UseDPDF=Y")</f>
        <v>—</v>
      </c>
      <c r="J28" s="20" t="str">
        <f>_xll.BDH("ALNY US Equity","PX_TO_FREE_CASH_FLOW","FQ2 2021","FQ2 2021","Currency=USD","Period=FQ","BEST_FPERIOD_OVERRIDE=FQ","FILING_STATUS=MR","Sort=A","Dates=H","DateFormat=P","Fill=—","Direction=H","UseDPDF=Y")</f>
        <v>—</v>
      </c>
      <c r="K28" s="20" t="str">
        <f>_xll.BDH("ALNY US Equity","PX_TO_FREE_CASH_FLOW","FQ3 2021","FQ3 2021","Currency=USD","Period=FQ","BEST_FPERIOD_OVERRIDE=FQ","FILING_STATUS=MR","Sort=A","Dates=H","DateFormat=P","Fill=—","Direction=H","UseDPDF=Y")</f>
        <v>—</v>
      </c>
      <c r="L28" s="20" t="str">
        <f>_xll.BDH("ALNY US Equity","PX_TO_FREE_CASH_FLOW","FQ4 2021","FQ4 2021","Currency=USD","Period=FQ","BEST_FPERIOD_OVERRIDE=FQ","FILING_STATUS=MR","Sort=A","Dates=H","DateFormat=P","Fill=—","Direction=H","UseDPDF=Y")</f>
        <v>—</v>
      </c>
      <c r="M28" s="20" t="str">
        <f>_xll.BDH("ALNY US Equity","PX_TO_FREE_CASH_FLOW","FQ1 2022","FQ1 2022","Currency=USD","Period=FQ","BEST_FPERIOD_OVERRIDE=FQ","FILING_STATUS=MR","Sort=A","Dates=H","DateFormat=P","Fill=—","Direction=H","UseDPDF=Y")</f>
        <v>—</v>
      </c>
      <c r="N28" s="20" t="str">
        <f>_xll.BDH("ALNY US Equity","PX_TO_FREE_CASH_FLOW","FQ2 2022","FQ2 2022","Currency=USD","Period=FQ","BEST_FPERIOD_OVERRIDE=FQ","FILING_STATUS=MR","Sort=A","Dates=H","DateFormat=P","Fill=—","Direction=H","UseDPDF=Y")</f>
        <v>—</v>
      </c>
      <c r="O28" s="20" t="str">
        <f>_xll.BDH("ALNY US Equity","PX_TO_FREE_CASH_FLOW","FQ3 2022","FQ3 2022","Currency=USD","Period=FQ","BEST_FPERIOD_OVERRIDE=FQ","FILING_STATUS=MR","Sort=A","Dates=H","DateFormat=P","Fill=—","Direction=H","UseDPDF=Y")</f>
        <v>—</v>
      </c>
      <c r="P28" s="20" t="str">
        <f>_xll.BDH("ALNY US Equity","PX_TO_FREE_CASH_FLOW","FQ4 2022","FQ4 2022","Currency=USD","Period=FQ","BEST_FPERIOD_OVERRIDE=FQ","FILING_STATUS=MR","Sort=A","Dates=H","DateFormat=P","Fill=—","Direction=H","UseDPDF=Y")</f>
        <v>—</v>
      </c>
      <c r="Q28" s="20" t="str">
        <f>_xll.BDH("ALNY US Equity","PX_TO_FREE_CASH_FLOW","FQ1 2023","FQ1 2023","Currency=USD","Period=FQ","BEST_FPERIOD_OVERRIDE=FQ","FILING_STATUS=MR","Sort=A","Dates=H","DateFormat=P","Fill=—","Direction=H","UseDPDF=Y")</f>
        <v>—</v>
      </c>
      <c r="R28" s="20" t="str">
        <f>_xll.BDH("ALNY US Equity","PX_TO_FREE_CASH_FLOW","FQ2 2023","FQ2 2023","Currency=USD","Period=FQ","BEST_FPERIOD_OVERRIDE=FQ","FILING_STATUS=MR","Sort=A","Dates=H","DateFormat=P","Fill=—","Direction=H","UseDPDF=Y")</f>
        <v>—</v>
      </c>
      <c r="S28" s="20" t="str">
        <f>_xll.BDH("ALNY US Equity","PX_TO_FREE_CASH_FLOW","FQ3 2023","FQ3 2023","Currency=USD","Period=FQ","BEST_FPERIOD_OVERRIDE=FQ","FILING_STATUS=MR","Sort=A","Dates=H","DateFormat=P","Fill=—","Direction=H","UseDPDF=Y")</f>
        <v>—</v>
      </c>
      <c r="T28" s="20">
        <f>_xll.BDH("ALNY US Equity","PX_TO_FREE_CASH_FLOW","FQ4 2023","FQ4 2023","Currency=USD","Period=FQ","BEST_FPERIOD_OVERRIDE=FQ","FILING_STATUS=MR","Sort=A","Dates=H","DateFormat=P","Fill=—","Direction=H","UseDPDF=Y")</f>
        <v>597.1585</v>
      </c>
      <c r="U28" s="20">
        <f>_xll.BDH("ALNY US Equity","PX_TO_FREE_CASH_FLOW","FQ1 2024","FQ1 2024","Currency=USD","Period=FQ","BEST_FPERIOD_OVERRIDE=FQ","FILING_STATUS=MR","Sort=A","Dates=H","DateFormat=P","Fill=—","Direction=H","UseDPDF=Y")</f>
        <v>145.84559999999999</v>
      </c>
      <c r="V28" s="20">
        <f>_xll.BDH("ALNY US Equity","PX_TO_FREE_CASH_FLOW","FQ2 2024","FQ2 2024","Currency=USD","Period=FQ","BEST_FPERIOD_OVERRIDE=FQ","FILING_STATUS=MR","Sort=A","Dates=H","DateFormat=P","Fill=—","Direction=H","UseDPDF=Y")</f>
        <v>95.593699999999998</v>
      </c>
      <c r="W28" s="20">
        <f>_xll.BDH("ALNY US Equity","PX_TO_FREE_CASH_FLOW","FQ3 2024","FQ3 2024","Currency=USD","Period=FQ","BEST_FPERIOD_OVERRIDE=FQ","FILING_STATUS=MR","Sort=A","Dates=H","DateFormat=P","Fill=—","Direction=H","UseDPDF=Y")</f>
        <v>2380.1019000000001</v>
      </c>
      <c r="X28" s="20" t="str">
        <f>_xll.BDH("ALNY US Equity","PX_TO_FREE_CASH_FLOW","FQ4 2024","FQ4 2024","Currency=USD","Period=FQ","BEST_FPERIOD_OVERRIDE=FQ","FILING_STATUS=MR","Sort=A","Dates=H","DateFormat=P","Fill=—","Direction=H","UseDPDF=Y")</f>
        <v>—</v>
      </c>
      <c r="Y28" s="23"/>
      <c r="Z28" s="20"/>
      <c r="AA28" s="20"/>
    </row>
    <row r="29" spans="1:27" x14ac:dyDescent="0.25">
      <c r="A29" s="10" t="s">
        <v>203</v>
      </c>
      <c r="B29" s="10" t="s">
        <v>226</v>
      </c>
      <c r="C29" s="14" t="str">
        <f>_xll.BDH("ALNY US Equity","AVERAGE_PRICE_TO_FREE_CASH_FLOW","FQ3 2019","FQ3 2019","Currency=USD","Period=FQ","BEST_FPERIOD_OVERRIDE=FQ","FILING_STATUS=MR","Sort=A","Dates=H","DateFormat=P","Fill=—","Direction=H","UseDPDF=Y")</f>
        <v>—</v>
      </c>
      <c r="D29" s="14" t="str">
        <f>_xll.BDH("ALNY US Equity","AVERAGE_PRICE_TO_FREE_CASH_FLOW","FQ4 2019","FQ4 2019","Currency=USD","Period=FQ","BEST_FPERIOD_OVERRIDE=FQ","FILING_STATUS=MR","Sort=A","Dates=H","DateFormat=P","Fill=—","Direction=H","UseDPDF=Y")</f>
        <v>—</v>
      </c>
      <c r="E29" s="14" t="str">
        <f>_xll.BDH("ALNY US Equity","AVERAGE_PRICE_TO_FREE_CASH_FLOW","FQ1 2020","FQ1 2020","Currency=USD","Period=FQ","BEST_FPERIOD_OVERRIDE=FQ","FILING_STATUS=MR","Sort=A","Dates=H","DateFormat=P","Fill=—","Direction=H","UseDPDF=Y")</f>
        <v>—</v>
      </c>
      <c r="F29" s="14" t="str">
        <f>_xll.BDH("ALNY US Equity","AVERAGE_PRICE_TO_FREE_CASH_FLOW","FQ2 2020","FQ2 2020","Currency=USD","Period=FQ","BEST_FPERIOD_OVERRIDE=FQ","FILING_STATUS=MR","Sort=A","Dates=H","DateFormat=P","Fill=—","Direction=H","UseDPDF=Y")</f>
        <v>—</v>
      </c>
      <c r="G29" s="14" t="str">
        <f>_xll.BDH("ALNY US Equity","AVERAGE_PRICE_TO_FREE_CASH_FLOW","FQ3 2020","FQ3 2020","Currency=USD","Period=FQ","BEST_FPERIOD_OVERRIDE=FQ","FILING_STATUS=MR","Sort=A","Dates=H","DateFormat=P","Fill=—","Direction=H","UseDPDF=Y")</f>
        <v>—</v>
      </c>
      <c r="H29" s="14" t="str">
        <f>_xll.BDH("ALNY US Equity","AVERAGE_PRICE_TO_FREE_CASH_FLOW","FQ4 2020","FQ4 2020","Currency=USD","Period=FQ","BEST_FPERIOD_OVERRIDE=FQ","FILING_STATUS=MR","Sort=A","Dates=H","DateFormat=P","Fill=—","Direction=H","UseDPDF=Y")</f>
        <v>—</v>
      </c>
      <c r="I29" s="14" t="str">
        <f>_xll.BDH("ALNY US Equity","AVERAGE_PRICE_TO_FREE_CASH_FLOW","FQ1 2021","FQ1 2021","Currency=USD","Period=FQ","BEST_FPERIOD_OVERRIDE=FQ","FILING_STATUS=MR","Sort=A","Dates=H","DateFormat=P","Fill=—","Direction=H","UseDPDF=Y")</f>
        <v>—</v>
      </c>
      <c r="J29" s="14" t="str">
        <f>_xll.BDH("ALNY US Equity","AVERAGE_PRICE_TO_FREE_CASH_FLOW","FQ2 2021","FQ2 2021","Currency=USD","Period=FQ","BEST_FPERIOD_OVERRIDE=FQ","FILING_STATUS=MR","Sort=A","Dates=H","DateFormat=P","Fill=—","Direction=H","UseDPDF=Y")</f>
        <v>—</v>
      </c>
      <c r="K29" s="14" t="str">
        <f>_xll.BDH("ALNY US Equity","AVERAGE_PRICE_TO_FREE_CASH_FLOW","FQ3 2021","FQ3 2021","Currency=USD","Period=FQ","BEST_FPERIOD_OVERRIDE=FQ","FILING_STATUS=MR","Sort=A","Dates=H","DateFormat=P","Fill=—","Direction=H","UseDPDF=Y")</f>
        <v>—</v>
      </c>
      <c r="L29" s="14" t="str">
        <f>_xll.BDH("ALNY US Equity","AVERAGE_PRICE_TO_FREE_CASH_FLOW","FQ4 2021","FQ4 2021","Currency=USD","Period=FQ","BEST_FPERIOD_OVERRIDE=FQ","FILING_STATUS=MR","Sort=A","Dates=H","DateFormat=P","Fill=—","Direction=H","UseDPDF=Y")</f>
        <v>—</v>
      </c>
      <c r="M29" s="14" t="str">
        <f>_xll.BDH("ALNY US Equity","AVERAGE_PRICE_TO_FREE_CASH_FLOW","FQ1 2022","FQ1 2022","Currency=USD","Period=FQ","BEST_FPERIOD_OVERRIDE=FQ","FILING_STATUS=MR","Sort=A","Dates=H","DateFormat=P","Fill=—","Direction=H","UseDPDF=Y")</f>
        <v>—</v>
      </c>
      <c r="N29" s="14" t="str">
        <f>_xll.BDH("ALNY US Equity","AVERAGE_PRICE_TO_FREE_CASH_FLOW","FQ2 2022","FQ2 2022","Currency=USD","Period=FQ","BEST_FPERIOD_OVERRIDE=FQ","FILING_STATUS=MR","Sort=A","Dates=H","DateFormat=P","Fill=—","Direction=H","UseDPDF=Y")</f>
        <v>—</v>
      </c>
      <c r="O29" s="14" t="str">
        <f>_xll.BDH("ALNY US Equity","AVERAGE_PRICE_TO_FREE_CASH_FLOW","FQ3 2022","FQ3 2022","Currency=USD","Period=FQ","BEST_FPERIOD_OVERRIDE=FQ","FILING_STATUS=MR","Sort=A","Dates=H","DateFormat=P","Fill=—","Direction=H","UseDPDF=Y")</f>
        <v>—</v>
      </c>
      <c r="P29" s="14" t="str">
        <f>_xll.BDH("ALNY US Equity","AVERAGE_PRICE_TO_FREE_CASH_FLOW","FQ4 2022","FQ4 2022","Currency=USD","Period=FQ","BEST_FPERIOD_OVERRIDE=FQ","FILING_STATUS=MR","Sort=A","Dates=H","DateFormat=P","Fill=—","Direction=H","UseDPDF=Y")</f>
        <v>—</v>
      </c>
      <c r="Q29" s="14" t="str">
        <f>_xll.BDH("ALNY US Equity","AVERAGE_PRICE_TO_FREE_CASH_FLOW","FQ1 2023","FQ1 2023","Currency=USD","Period=FQ","BEST_FPERIOD_OVERRIDE=FQ","FILING_STATUS=MR","Sort=A","Dates=H","DateFormat=P","Fill=—","Direction=H","UseDPDF=Y")</f>
        <v>—</v>
      </c>
      <c r="R29" s="14" t="str">
        <f>_xll.BDH("ALNY US Equity","AVERAGE_PRICE_TO_FREE_CASH_FLOW","FQ2 2023","FQ2 2023","Currency=USD","Period=FQ","BEST_FPERIOD_OVERRIDE=FQ","FILING_STATUS=MR","Sort=A","Dates=H","DateFormat=P","Fill=—","Direction=H","UseDPDF=Y")</f>
        <v>—</v>
      </c>
      <c r="S29" s="14" t="str">
        <f>_xll.BDH("ALNY US Equity","AVERAGE_PRICE_TO_FREE_CASH_FLOW","FQ3 2023","FQ3 2023","Currency=USD","Period=FQ","BEST_FPERIOD_OVERRIDE=FQ","FILING_STATUS=MR","Sort=A","Dates=H","DateFormat=P","Fill=—","Direction=H","UseDPDF=Y")</f>
        <v>—</v>
      </c>
      <c r="T29" s="14">
        <f>_xll.BDH("ALNY US Equity","AVERAGE_PRICE_TO_FREE_CASH_FLOW","FQ4 2023","FQ4 2023","Currency=USD","Period=FQ","BEST_FPERIOD_OVERRIDE=FQ","FILING_STATUS=MR","Sort=A","Dates=H","DateFormat=P","Fill=—","Direction=H","UseDPDF=Y")</f>
        <v>597.1585</v>
      </c>
      <c r="U29" s="14">
        <f>_xll.BDH("ALNY US Equity","AVERAGE_PRICE_TO_FREE_CASH_FLOW","FQ1 2024","FQ1 2024","Currency=USD","Period=FQ","BEST_FPERIOD_OVERRIDE=FQ","FILING_STATUS=MR","Sort=A","Dates=H","DateFormat=P","Fill=—","Direction=H","UseDPDF=Y")</f>
        <v>515.17679999999996</v>
      </c>
      <c r="V29" s="14">
        <f>_xll.BDH("ALNY US Equity","AVERAGE_PRICE_TO_FREE_CASH_FLOW","FQ2 2024","FQ2 2024","Currency=USD","Period=FQ","BEST_FPERIOD_OVERRIDE=FQ","FILING_STATUS=MR","Sort=A","Dates=H","DateFormat=P","Fill=—","Direction=H","UseDPDF=Y")</f>
        <v>151.82060000000001</v>
      </c>
      <c r="W29" s="14">
        <f>_xll.BDH("ALNY US Equity","AVERAGE_PRICE_TO_FREE_CASH_FLOW","FQ3 2024","FQ3 2024","Currency=USD","Period=FQ","BEST_FPERIOD_OVERRIDE=FQ","FILING_STATUS=MR","Sort=A","Dates=H","DateFormat=P","Fill=—","Direction=H","UseDPDF=Y")</f>
        <v>137.9205</v>
      </c>
      <c r="X29" s="14">
        <f>_xll.BDH("ALNY US Equity","AVERAGE_PRICE_TO_FREE_CASH_FLOW","FQ4 2024","FQ4 2024","Currency=USD","Period=FQ","BEST_FPERIOD_OVERRIDE=FQ","FILING_STATUS=MR","Sort=A","Dates=H","DateFormat=P","Fill=—","Direction=H","UseDPDF=Y")</f>
        <v>2279.7474000000002</v>
      </c>
      <c r="Y29" s="17"/>
      <c r="Z29" s="14"/>
      <c r="AA29" s="14"/>
    </row>
    <row r="30" spans="1:27" x14ac:dyDescent="0.25">
      <c r="A30" s="10" t="s">
        <v>205</v>
      </c>
      <c r="B30" s="10" t="s">
        <v>227</v>
      </c>
      <c r="C30" s="14" t="str">
        <f>_xll.BDH("ALNY US Equity","HIGH_PRICE_TO_FREE_CASH_FLOW","FQ3 2019","FQ3 2019","Currency=USD","Period=FQ","BEST_FPERIOD_OVERRIDE=FQ","FILING_STATUS=MR","Sort=A","Dates=H","DateFormat=P","Fill=—","Direction=H","UseDPDF=Y")</f>
        <v>—</v>
      </c>
      <c r="D30" s="14" t="str">
        <f>_xll.BDH("ALNY US Equity","HIGH_PRICE_TO_FREE_CASH_FLOW","FQ4 2019","FQ4 2019","Currency=USD","Period=FQ","BEST_FPERIOD_OVERRIDE=FQ","FILING_STATUS=MR","Sort=A","Dates=H","DateFormat=P","Fill=—","Direction=H","UseDPDF=Y")</f>
        <v>—</v>
      </c>
      <c r="E30" s="14" t="str">
        <f>_xll.BDH("ALNY US Equity","HIGH_PRICE_TO_FREE_CASH_FLOW","FQ1 2020","FQ1 2020","Currency=USD","Period=FQ","BEST_FPERIOD_OVERRIDE=FQ","FILING_STATUS=MR","Sort=A","Dates=H","DateFormat=P","Fill=—","Direction=H","UseDPDF=Y")</f>
        <v>—</v>
      </c>
      <c r="F30" s="14" t="str">
        <f>_xll.BDH("ALNY US Equity","HIGH_PRICE_TO_FREE_CASH_FLOW","FQ2 2020","FQ2 2020","Currency=USD","Period=FQ","BEST_FPERIOD_OVERRIDE=FQ","FILING_STATUS=MR","Sort=A","Dates=H","DateFormat=P","Fill=—","Direction=H","UseDPDF=Y")</f>
        <v>—</v>
      </c>
      <c r="G30" s="14" t="str">
        <f>_xll.BDH("ALNY US Equity","HIGH_PRICE_TO_FREE_CASH_FLOW","FQ3 2020","FQ3 2020","Currency=USD","Period=FQ","BEST_FPERIOD_OVERRIDE=FQ","FILING_STATUS=MR","Sort=A","Dates=H","DateFormat=P","Fill=—","Direction=H","UseDPDF=Y")</f>
        <v>—</v>
      </c>
      <c r="H30" s="14" t="str">
        <f>_xll.BDH("ALNY US Equity","HIGH_PRICE_TO_FREE_CASH_FLOW","FQ4 2020","FQ4 2020","Currency=USD","Period=FQ","BEST_FPERIOD_OVERRIDE=FQ","FILING_STATUS=MR","Sort=A","Dates=H","DateFormat=P","Fill=—","Direction=H","UseDPDF=Y")</f>
        <v>—</v>
      </c>
      <c r="I30" s="14" t="str">
        <f>_xll.BDH("ALNY US Equity","HIGH_PRICE_TO_FREE_CASH_FLOW","FQ1 2021","FQ1 2021","Currency=USD","Period=FQ","BEST_FPERIOD_OVERRIDE=FQ","FILING_STATUS=MR","Sort=A","Dates=H","DateFormat=P","Fill=—","Direction=H","UseDPDF=Y")</f>
        <v>—</v>
      </c>
      <c r="J30" s="14" t="str">
        <f>_xll.BDH("ALNY US Equity","HIGH_PRICE_TO_FREE_CASH_FLOW","FQ2 2021","FQ2 2021","Currency=USD","Period=FQ","BEST_FPERIOD_OVERRIDE=FQ","FILING_STATUS=MR","Sort=A","Dates=H","DateFormat=P","Fill=—","Direction=H","UseDPDF=Y")</f>
        <v>—</v>
      </c>
      <c r="K30" s="14" t="str">
        <f>_xll.BDH("ALNY US Equity","HIGH_PRICE_TO_FREE_CASH_FLOW","FQ3 2021","FQ3 2021","Currency=USD","Period=FQ","BEST_FPERIOD_OVERRIDE=FQ","FILING_STATUS=MR","Sort=A","Dates=H","DateFormat=P","Fill=—","Direction=H","UseDPDF=Y")</f>
        <v>—</v>
      </c>
      <c r="L30" s="14" t="str">
        <f>_xll.BDH("ALNY US Equity","HIGH_PRICE_TO_FREE_CASH_FLOW","FQ4 2021","FQ4 2021","Currency=USD","Period=FQ","BEST_FPERIOD_OVERRIDE=FQ","FILING_STATUS=MR","Sort=A","Dates=H","DateFormat=P","Fill=—","Direction=H","UseDPDF=Y")</f>
        <v>—</v>
      </c>
      <c r="M30" s="14" t="str">
        <f>_xll.BDH("ALNY US Equity","HIGH_PRICE_TO_FREE_CASH_FLOW","FQ1 2022","FQ1 2022","Currency=USD","Period=FQ","BEST_FPERIOD_OVERRIDE=FQ","FILING_STATUS=MR","Sort=A","Dates=H","DateFormat=P","Fill=—","Direction=H","UseDPDF=Y")</f>
        <v>—</v>
      </c>
      <c r="N30" s="14" t="str">
        <f>_xll.BDH("ALNY US Equity","HIGH_PRICE_TO_FREE_CASH_FLOW","FQ2 2022","FQ2 2022","Currency=USD","Period=FQ","BEST_FPERIOD_OVERRIDE=FQ","FILING_STATUS=MR","Sort=A","Dates=H","DateFormat=P","Fill=—","Direction=H","UseDPDF=Y")</f>
        <v>—</v>
      </c>
      <c r="O30" s="14" t="str">
        <f>_xll.BDH("ALNY US Equity","HIGH_PRICE_TO_FREE_CASH_FLOW","FQ3 2022","FQ3 2022","Currency=USD","Period=FQ","BEST_FPERIOD_OVERRIDE=FQ","FILING_STATUS=MR","Sort=A","Dates=H","DateFormat=P","Fill=—","Direction=H","UseDPDF=Y")</f>
        <v>—</v>
      </c>
      <c r="P30" s="14" t="str">
        <f>_xll.BDH("ALNY US Equity","HIGH_PRICE_TO_FREE_CASH_FLOW","FQ4 2022","FQ4 2022","Currency=USD","Period=FQ","BEST_FPERIOD_OVERRIDE=FQ","FILING_STATUS=MR","Sort=A","Dates=H","DateFormat=P","Fill=—","Direction=H","UseDPDF=Y")</f>
        <v>—</v>
      </c>
      <c r="Q30" s="14" t="str">
        <f>_xll.BDH("ALNY US Equity","HIGH_PRICE_TO_FREE_CASH_FLOW","FQ1 2023","FQ1 2023","Currency=USD","Period=FQ","BEST_FPERIOD_OVERRIDE=FQ","FILING_STATUS=MR","Sort=A","Dates=H","DateFormat=P","Fill=—","Direction=H","UseDPDF=Y")</f>
        <v>—</v>
      </c>
      <c r="R30" s="14" t="str">
        <f>_xll.BDH("ALNY US Equity","HIGH_PRICE_TO_FREE_CASH_FLOW","FQ2 2023","FQ2 2023","Currency=USD","Period=FQ","BEST_FPERIOD_OVERRIDE=FQ","FILING_STATUS=MR","Sort=A","Dates=H","DateFormat=P","Fill=—","Direction=H","UseDPDF=Y")</f>
        <v>—</v>
      </c>
      <c r="S30" s="14" t="str">
        <f>_xll.BDH("ALNY US Equity","HIGH_PRICE_TO_FREE_CASH_FLOW","FQ3 2023","FQ3 2023","Currency=USD","Period=FQ","BEST_FPERIOD_OVERRIDE=FQ","FILING_STATUS=MR","Sort=A","Dates=H","DateFormat=P","Fill=—","Direction=H","UseDPDF=Y")</f>
        <v>—</v>
      </c>
      <c r="T30" s="14">
        <f>_xll.BDH("ALNY US Equity","HIGH_PRICE_TO_FREE_CASH_FLOW","FQ4 2023","FQ4 2023","Currency=USD","Period=FQ","BEST_FPERIOD_OVERRIDE=FQ","FILING_STATUS=MR","Sort=A","Dates=H","DateFormat=P","Fill=—","Direction=H","UseDPDF=Y")</f>
        <v>597.1585</v>
      </c>
      <c r="U30" s="14">
        <f>_xll.BDH("ALNY US Equity","HIGH_PRICE_TO_FREE_CASH_FLOW","FQ1 2024","FQ1 2024","Currency=USD","Period=FQ","BEST_FPERIOD_OVERRIDE=FQ","FILING_STATUS=MR","Sort=A","Dates=H","DateFormat=P","Fill=—","Direction=H","UseDPDF=Y")</f>
        <v>618.34180000000003</v>
      </c>
      <c r="V30" s="14">
        <f>_xll.BDH("ALNY US Equity","HIGH_PRICE_TO_FREE_CASH_FLOW","FQ2 2024","FQ2 2024","Currency=USD","Period=FQ","BEST_FPERIOD_OVERRIDE=FQ","FILING_STATUS=MR","Sort=A","Dates=H","DateFormat=P","Fill=—","Direction=H","UseDPDF=Y")</f>
        <v>241.0429</v>
      </c>
      <c r="W30" s="14">
        <f>_xll.BDH("ALNY US Equity","HIGH_PRICE_TO_FREE_CASH_FLOW","FQ3 2024","FQ3 2024","Currency=USD","Period=FQ","BEST_FPERIOD_OVERRIDE=FQ","FILING_STATUS=MR","Sort=A","Dates=H","DateFormat=P","Fill=—","Direction=H","UseDPDF=Y")</f>
        <v>2380.1019000000001</v>
      </c>
      <c r="X30" s="14">
        <f>_xll.BDH("ALNY US Equity","HIGH_PRICE_TO_FREE_CASH_FLOW","FQ4 2024","FQ4 2024","Currency=USD","Period=FQ","BEST_FPERIOD_OVERRIDE=FQ","FILING_STATUS=MR","Sort=A","Dates=H","DateFormat=P","Fill=—","Direction=H","UseDPDF=Y")</f>
        <v>2600.9513000000002</v>
      </c>
      <c r="Y30" s="17"/>
      <c r="Z30" s="14"/>
      <c r="AA30" s="14"/>
    </row>
    <row r="31" spans="1:27" x14ac:dyDescent="0.25">
      <c r="A31" s="10" t="s">
        <v>207</v>
      </c>
      <c r="B31" s="10" t="s">
        <v>228</v>
      </c>
      <c r="C31" s="14" t="str">
        <f>_xll.BDH("ALNY US Equity","LOW_PRICE_TO_FREE_CASH_FLOW","FQ3 2019","FQ3 2019","Currency=USD","Period=FQ","BEST_FPERIOD_OVERRIDE=FQ","FILING_STATUS=MR","Sort=A","Dates=H","DateFormat=P","Fill=—","Direction=H","UseDPDF=Y")</f>
        <v>—</v>
      </c>
      <c r="D31" s="14" t="str">
        <f>_xll.BDH("ALNY US Equity","LOW_PRICE_TO_FREE_CASH_FLOW","FQ4 2019","FQ4 2019","Currency=USD","Period=FQ","BEST_FPERIOD_OVERRIDE=FQ","FILING_STATUS=MR","Sort=A","Dates=H","DateFormat=P","Fill=—","Direction=H","UseDPDF=Y")</f>
        <v>—</v>
      </c>
      <c r="E31" s="14" t="str">
        <f>_xll.BDH("ALNY US Equity","LOW_PRICE_TO_FREE_CASH_FLOW","FQ1 2020","FQ1 2020","Currency=USD","Period=FQ","BEST_FPERIOD_OVERRIDE=FQ","FILING_STATUS=MR","Sort=A","Dates=H","DateFormat=P","Fill=—","Direction=H","UseDPDF=Y")</f>
        <v>—</v>
      </c>
      <c r="F31" s="14" t="str">
        <f>_xll.BDH("ALNY US Equity","LOW_PRICE_TO_FREE_CASH_FLOW","FQ2 2020","FQ2 2020","Currency=USD","Period=FQ","BEST_FPERIOD_OVERRIDE=FQ","FILING_STATUS=MR","Sort=A","Dates=H","DateFormat=P","Fill=—","Direction=H","UseDPDF=Y")</f>
        <v>—</v>
      </c>
      <c r="G31" s="14" t="str">
        <f>_xll.BDH("ALNY US Equity","LOW_PRICE_TO_FREE_CASH_FLOW","FQ3 2020","FQ3 2020","Currency=USD","Period=FQ","BEST_FPERIOD_OVERRIDE=FQ","FILING_STATUS=MR","Sort=A","Dates=H","DateFormat=P","Fill=—","Direction=H","UseDPDF=Y")</f>
        <v>—</v>
      </c>
      <c r="H31" s="14" t="str">
        <f>_xll.BDH("ALNY US Equity","LOW_PRICE_TO_FREE_CASH_FLOW","FQ4 2020","FQ4 2020","Currency=USD","Period=FQ","BEST_FPERIOD_OVERRIDE=FQ","FILING_STATUS=MR","Sort=A","Dates=H","DateFormat=P","Fill=—","Direction=H","UseDPDF=Y")</f>
        <v>—</v>
      </c>
      <c r="I31" s="14" t="str">
        <f>_xll.BDH("ALNY US Equity","LOW_PRICE_TO_FREE_CASH_FLOW","FQ1 2021","FQ1 2021","Currency=USD","Period=FQ","BEST_FPERIOD_OVERRIDE=FQ","FILING_STATUS=MR","Sort=A","Dates=H","DateFormat=P","Fill=—","Direction=H","UseDPDF=Y")</f>
        <v>—</v>
      </c>
      <c r="J31" s="14" t="str">
        <f>_xll.BDH("ALNY US Equity","LOW_PRICE_TO_FREE_CASH_FLOW","FQ2 2021","FQ2 2021","Currency=USD","Period=FQ","BEST_FPERIOD_OVERRIDE=FQ","FILING_STATUS=MR","Sort=A","Dates=H","DateFormat=P","Fill=—","Direction=H","UseDPDF=Y")</f>
        <v>—</v>
      </c>
      <c r="K31" s="14" t="str">
        <f>_xll.BDH("ALNY US Equity","LOW_PRICE_TO_FREE_CASH_FLOW","FQ3 2021","FQ3 2021","Currency=USD","Period=FQ","BEST_FPERIOD_OVERRIDE=FQ","FILING_STATUS=MR","Sort=A","Dates=H","DateFormat=P","Fill=—","Direction=H","UseDPDF=Y")</f>
        <v>—</v>
      </c>
      <c r="L31" s="14" t="str">
        <f>_xll.BDH("ALNY US Equity","LOW_PRICE_TO_FREE_CASH_FLOW","FQ4 2021","FQ4 2021","Currency=USD","Period=FQ","BEST_FPERIOD_OVERRIDE=FQ","FILING_STATUS=MR","Sort=A","Dates=H","DateFormat=P","Fill=—","Direction=H","UseDPDF=Y")</f>
        <v>—</v>
      </c>
      <c r="M31" s="14" t="str">
        <f>_xll.BDH("ALNY US Equity","LOW_PRICE_TO_FREE_CASH_FLOW","FQ1 2022","FQ1 2022","Currency=USD","Period=FQ","BEST_FPERIOD_OVERRIDE=FQ","FILING_STATUS=MR","Sort=A","Dates=H","DateFormat=P","Fill=—","Direction=H","UseDPDF=Y")</f>
        <v>—</v>
      </c>
      <c r="N31" s="14" t="str">
        <f>_xll.BDH("ALNY US Equity","LOW_PRICE_TO_FREE_CASH_FLOW","FQ2 2022","FQ2 2022","Currency=USD","Period=FQ","BEST_FPERIOD_OVERRIDE=FQ","FILING_STATUS=MR","Sort=A","Dates=H","DateFormat=P","Fill=—","Direction=H","UseDPDF=Y")</f>
        <v>—</v>
      </c>
      <c r="O31" s="14" t="str">
        <f>_xll.BDH("ALNY US Equity","LOW_PRICE_TO_FREE_CASH_FLOW","FQ3 2022","FQ3 2022","Currency=USD","Period=FQ","BEST_FPERIOD_OVERRIDE=FQ","FILING_STATUS=MR","Sort=A","Dates=H","DateFormat=P","Fill=—","Direction=H","UseDPDF=Y")</f>
        <v>—</v>
      </c>
      <c r="P31" s="14" t="str">
        <f>_xll.BDH("ALNY US Equity","LOW_PRICE_TO_FREE_CASH_FLOW","FQ4 2022","FQ4 2022","Currency=USD","Period=FQ","BEST_FPERIOD_OVERRIDE=FQ","FILING_STATUS=MR","Sort=A","Dates=H","DateFormat=P","Fill=—","Direction=H","UseDPDF=Y")</f>
        <v>—</v>
      </c>
      <c r="Q31" s="14" t="str">
        <f>_xll.BDH("ALNY US Equity","LOW_PRICE_TO_FREE_CASH_FLOW","FQ1 2023","FQ1 2023","Currency=USD","Period=FQ","BEST_FPERIOD_OVERRIDE=FQ","FILING_STATUS=MR","Sort=A","Dates=H","DateFormat=P","Fill=—","Direction=H","UseDPDF=Y")</f>
        <v>—</v>
      </c>
      <c r="R31" s="14" t="str">
        <f>_xll.BDH("ALNY US Equity","LOW_PRICE_TO_FREE_CASH_FLOW","FQ2 2023","FQ2 2023","Currency=USD","Period=FQ","BEST_FPERIOD_OVERRIDE=FQ","FILING_STATUS=MR","Sort=A","Dates=H","DateFormat=P","Fill=—","Direction=H","UseDPDF=Y")</f>
        <v>—</v>
      </c>
      <c r="S31" s="14" t="str">
        <f>_xll.BDH("ALNY US Equity","LOW_PRICE_TO_FREE_CASH_FLOW","FQ3 2023","FQ3 2023","Currency=USD","Period=FQ","BEST_FPERIOD_OVERRIDE=FQ","FILING_STATUS=MR","Sort=A","Dates=H","DateFormat=P","Fill=—","Direction=H","UseDPDF=Y")</f>
        <v>—</v>
      </c>
      <c r="T31" s="14">
        <f>_xll.BDH("ALNY US Equity","LOW_PRICE_TO_FREE_CASH_FLOW","FQ4 2023","FQ4 2023","Currency=USD","Period=FQ","BEST_FPERIOD_OVERRIDE=FQ","FILING_STATUS=MR","Sort=A","Dates=H","DateFormat=P","Fill=—","Direction=H","UseDPDF=Y")</f>
        <v>597.1585</v>
      </c>
      <c r="U31" s="14">
        <f>_xll.BDH("ALNY US Equity","LOW_PRICE_TO_FREE_CASH_FLOW","FQ1 2024","FQ1 2024","Currency=USD","Period=FQ","BEST_FPERIOD_OVERRIDE=FQ","FILING_STATUS=MR","Sort=A","Dates=H","DateFormat=P","Fill=—","Direction=H","UseDPDF=Y")</f>
        <v>145.84559999999999</v>
      </c>
      <c r="V31" s="14">
        <f>_xll.BDH("ALNY US Equity","LOW_PRICE_TO_FREE_CASH_FLOW","FQ2 2024","FQ2 2024","Currency=USD","Period=FQ","BEST_FPERIOD_OVERRIDE=FQ","FILING_STATUS=MR","Sort=A","Dates=H","DateFormat=P","Fill=—","Direction=H","UseDPDF=Y")</f>
        <v>95.593699999999998</v>
      </c>
      <c r="W31" s="14">
        <f>_xll.BDH("ALNY US Equity","LOW_PRICE_TO_FREE_CASH_FLOW","FQ3 2024","FQ3 2024","Currency=USD","Period=FQ","BEST_FPERIOD_OVERRIDE=FQ","FILING_STATUS=MR","Sort=A","Dates=H","DateFormat=P","Fill=—","Direction=H","UseDPDF=Y")</f>
        <v>91.978499999999997</v>
      </c>
      <c r="X31" s="14">
        <f>_xll.BDH("ALNY US Equity","LOW_PRICE_TO_FREE_CASH_FLOW","FQ4 2024","FQ4 2024","Currency=USD","Period=FQ","BEST_FPERIOD_OVERRIDE=FQ","FILING_STATUS=MR","Sort=A","Dates=H","DateFormat=P","Fill=—","Direction=H","UseDPDF=Y")</f>
        <v>2010.0581</v>
      </c>
      <c r="Y31" s="17"/>
      <c r="Z31" s="14"/>
      <c r="AA31" s="14"/>
    </row>
    <row r="32" spans="1:27" x14ac:dyDescent="0.25">
      <c r="A32" s="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21"/>
      <c r="Z32" s="18"/>
      <c r="AA32" s="18"/>
    </row>
    <row r="33" spans="1:27" x14ac:dyDescent="0.25">
      <c r="A33" s="6" t="s">
        <v>178</v>
      </c>
      <c r="B33" s="6" t="s">
        <v>179</v>
      </c>
      <c r="C33" s="20">
        <f>_xll.BDH("ALNY US Equity","EV_TO_T12M_SALES","FQ3 2019","FQ3 2019","Currency=USD","Period=FQ","BEST_FPERIOD_OVERRIDE=FQ","FILING_STATUS=MR","FA_ADJUSTED=GAAP","Sort=A","Dates=H","DateFormat=P","Fill=—","Direction=H","UseDPDF=Y")</f>
        <v>44.566699999999997</v>
      </c>
      <c r="D33" s="20">
        <f>_xll.BDH("ALNY US Equity","EV_TO_T12M_SALES","FQ4 2019","FQ4 2019","Currency=USD","Period=FQ","BEST_FPERIOD_OVERRIDE=FQ","FILING_STATUS=MR","FA_ADJUSTED=GAAP","Sort=A","Dates=H","DateFormat=P","Fill=—","Direction=H","UseDPDF=Y")</f>
        <v>53.189300000000003</v>
      </c>
      <c r="E33" s="20">
        <f>_xll.BDH("ALNY US Equity","EV_TO_T12M_SALES","FQ1 2020","FQ1 2020","Currency=USD","Period=FQ","BEST_FPERIOD_OVERRIDE=FQ","FILING_STATUS=MR","FA_ADJUSTED=GAAP","Sort=A","Dates=H","DateFormat=P","Fill=—","Direction=H","UseDPDF=Y")</f>
        <v>39.453299999999999</v>
      </c>
      <c r="F33" s="20">
        <f>_xll.BDH("ALNY US Equity","EV_TO_T12M_SALES","FQ2 2020","FQ2 2020","Currency=USD","Period=FQ","BEST_FPERIOD_OVERRIDE=FQ","FILING_STATUS=MR","FA_ADJUSTED=GAAP","Sort=A","Dates=H","DateFormat=P","Fill=—","Direction=H","UseDPDF=Y")</f>
        <v>44.956200000000003</v>
      </c>
      <c r="G33" s="20">
        <f>_xll.BDH("ALNY US Equity","EV_TO_T12M_SALES","FQ3 2020","FQ3 2020","Currency=USD","Period=FQ","BEST_FPERIOD_OVERRIDE=FQ","FILING_STATUS=MR","FA_ADJUSTED=GAAP","Sort=A","Dates=H","DateFormat=P","Fill=—","Direction=H","UseDPDF=Y")</f>
        <v>38.421599999999998</v>
      </c>
      <c r="H33" s="20">
        <f>_xll.BDH("ALNY US Equity","EV_TO_T12M_SALES","FQ4 2020","FQ4 2020","Currency=USD","Period=FQ","BEST_FPERIOD_OVERRIDE=FQ","FILING_STATUS=MR","FA_ADJUSTED=GAAP","Sort=A","Dates=H","DateFormat=P","Fill=—","Direction=H","UseDPDF=Y")</f>
        <v>27.9572</v>
      </c>
      <c r="I33" s="20">
        <f>_xll.BDH("ALNY US Equity","EV_TO_T12M_SALES","FQ1 2021","FQ1 2021","Currency=USD","Period=FQ","BEST_FPERIOD_OVERRIDE=FQ","FILING_STATUS=MR","FA_ADJUSTED=GAAP","Sort=A","Dates=H","DateFormat=P","Fill=—","Direction=H","UseDPDF=Y")</f>
        <v>26.926600000000001</v>
      </c>
      <c r="J33" s="20">
        <f>_xll.BDH("ALNY US Equity","EV_TO_T12M_SALES","FQ2 2021","FQ2 2021","Currency=USD","Period=FQ","BEST_FPERIOD_OVERRIDE=FQ","FILING_STATUS=MR","FA_ADJUSTED=GAAP","Sort=A","Dates=H","DateFormat=P","Fill=—","Direction=H","UseDPDF=Y")</f>
        <v>27.584599999999998</v>
      </c>
      <c r="K33" s="20">
        <f>_xll.BDH("ALNY US Equity","EV_TO_T12M_SALES","FQ3 2021","FQ3 2021","Currency=USD","Period=FQ","BEST_FPERIOD_OVERRIDE=FQ","FILING_STATUS=MR","FA_ADJUSTED=GAAP","Sort=A","Dates=H","DateFormat=P","Fill=—","Direction=H","UseDPDF=Y")</f>
        <v>28.014399999999998</v>
      </c>
      <c r="L33" s="20">
        <f>_xll.BDH("ALNY US Equity","EV_TO_T12M_SALES","FQ4 2021","FQ4 2021","Currency=USD","Period=FQ","BEST_FPERIOD_OVERRIDE=FQ","FILING_STATUS=MR","FA_ADJUSTED=GAAP","Sort=A","Dates=H","DateFormat=P","Fill=—","Direction=H","UseDPDF=Y")</f>
        <v>22.4361</v>
      </c>
      <c r="M33" s="20">
        <f>_xll.BDH("ALNY US Equity","EV_TO_T12M_SALES","FQ1 2022","FQ1 2022","Currency=USD","Period=FQ","BEST_FPERIOD_OVERRIDE=FQ","FILING_STATUS=MR","FA_ADJUSTED=GAAP","Sort=A","Dates=H","DateFormat=P","Fill=—","Direction=H","UseDPDF=Y")</f>
        <v>20.988700000000001</v>
      </c>
      <c r="N33" s="20">
        <f>_xll.BDH("ALNY US Equity","EV_TO_T12M_SALES","FQ2 2022","FQ2 2022","Currency=USD","Period=FQ","BEST_FPERIOD_OVERRIDE=FQ","FILING_STATUS=MR","FA_ADJUSTED=GAAP","Sort=A","Dates=H","DateFormat=P","Fill=—","Direction=H","UseDPDF=Y")</f>
        <v>18.6906</v>
      </c>
      <c r="O33" s="20">
        <f>_xll.BDH("ALNY US Equity","EV_TO_T12M_SALES","FQ3 2022","FQ3 2022","Currency=USD","Period=FQ","BEST_FPERIOD_OVERRIDE=FQ","FILING_STATUS=MR","FA_ADJUSTED=GAAP","Sort=A","Dates=H","DateFormat=P","Fill=—","Direction=H","UseDPDF=Y")</f>
        <v>24.864100000000001</v>
      </c>
      <c r="P33" s="20">
        <f>_xll.BDH("ALNY US Equity","EV_TO_T12M_SALES","FQ4 2022","FQ4 2022","Currency=USD","Period=FQ","BEST_FPERIOD_OVERRIDE=FQ","FILING_STATUS=MR","FA_ADJUSTED=GAAP","Sort=A","Dates=H","DateFormat=P","Fill=—","Direction=H","UseDPDF=Y")</f>
        <v>27.547799999999999</v>
      </c>
      <c r="Q33" s="20">
        <f>_xll.BDH("ALNY US Equity","EV_TO_T12M_SALES","FQ1 2023","FQ1 2023","Currency=USD","Period=FQ","BEST_FPERIOD_OVERRIDE=FQ","FILING_STATUS=MR","FA_ADJUSTED=GAAP","Sort=A","Dates=H","DateFormat=P","Fill=—","Direction=H","UseDPDF=Y")</f>
        <v>21.109500000000001</v>
      </c>
      <c r="R33" s="20">
        <f>_xll.BDH("ALNY US Equity","EV_TO_T12M_SALES","FQ2 2023","FQ2 2023","Currency=USD","Period=FQ","BEST_FPERIOD_OVERRIDE=FQ","FILING_STATUS=MR","FA_ADJUSTED=GAAP","Sort=A","Dates=H","DateFormat=P","Fill=—","Direction=H","UseDPDF=Y")</f>
        <v>18.470500000000001</v>
      </c>
      <c r="S33" s="20">
        <f>_xll.BDH("ALNY US Equity","EV_TO_T12M_SALES","FQ3 2023","FQ3 2023","Currency=USD","Period=FQ","BEST_FPERIOD_OVERRIDE=FQ","FILING_STATUS=MR","FA_ADJUSTED=GAAP","Sort=A","Dates=H","DateFormat=P","Fill=—","Direction=H","UseDPDF=Y")</f>
        <v>12.2537</v>
      </c>
      <c r="T33" s="20">
        <f>_xll.BDH("ALNY US Equity","EV_TO_T12M_SALES","FQ4 2023","FQ4 2023","Currency=USD","Period=FQ","BEST_FPERIOD_OVERRIDE=FQ","FILING_STATUS=MR","FA_ADJUSTED=GAAP","Sort=A","Dates=H","DateFormat=P","Fill=—","Direction=H","UseDPDF=Y")</f>
        <v>12.5495</v>
      </c>
      <c r="U33" s="20">
        <f>_xll.BDH("ALNY US Equity","EV_TO_T12M_SALES","FQ1 2024","FQ1 2024","Currency=USD","Period=FQ","BEST_FPERIOD_OVERRIDE=FQ","FILING_STATUS=MR","FA_ADJUSTED=GAAP","Sort=A","Dates=H","DateFormat=P","Fill=—","Direction=H","UseDPDF=Y")</f>
        <v>8.9001000000000001</v>
      </c>
      <c r="V33" s="20">
        <f>_xll.BDH("ALNY US Equity","EV_TO_T12M_SALES","FQ2 2024","FQ2 2024","Currency=USD","Period=FQ","BEST_FPERIOD_OVERRIDE=FQ","FILING_STATUS=MR","FA_ADJUSTED=GAAP","Sort=A","Dates=H","DateFormat=P","Fill=—","Direction=H","UseDPDF=Y")</f>
        <v>13.278700000000001</v>
      </c>
      <c r="W33" s="20">
        <f>_xll.BDH("ALNY US Equity","EV_TO_T12M_SALES","FQ3 2024","FQ3 2024","Currency=USD","Period=FQ","BEST_FPERIOD_OVERRIDE=FQ","FILING_STATUS=MR","FA_ADJUSTED=GAAP","Sort=A","Dates=H","DateFormat=P","Fill=—","Direction=H","UseDPDF=Y")</f>
        <v>16.210100000000001</v>
      </c>
      <c r="X33" s="20">
        <f>_xll.BDH("ALNY US Equity","EV_TO_T12M_SALES","FQ4 2024","FQ4 2024","Currency=USD","Period=FQ","BEST_FPERIOD_OVERRIDE=FQ","FILING_STATUS=MR","FA_ADJUSTED=GAAP","Sort=A","Dates=H","DateFormat=P","Fill=—","Direction=H","UseDPDF=Y")</f>
        <v>12.910399999999999</v>
      </c>
      <c r="Y33" s="23">
        <v>14.907783494577799</v>
      </c>
      <c r="Z33" s="20">
        <v>11.7046241090745</v>
      </c>
      <c r="AA33" s="20">
        <v>10.741828371219601</v>
      </c>
    </row>
    <row r="34" spans="1:27" x14ac:dyDescent="0.25">
      <c r="A34" s="10" t="s">
        <v>203</v>
      </c>
      <c r="B34" s="10" t="s">
        <v>229</v>
      </c>
      <c r="C34" s="14">
        <f>_xll.BDH("ALNY US Equity","AVERAGE_EV_TO_T12M_SALES","FQ3 2019","FQ3 2019","Currency=USD","Period=FQ","BEST_FPERIOD_OVERRIDE=FQ","FILING_STATUS=MR","FA_ADJUSTED=GAAP","Sort=A","Dates=H","DateFormat=P","Fill=—","Direction=H","UseDPDF=Y")</f>
        <v>69.503500000000003</v>
      </c>
      <c r="D34" s="14">
        <f>_xll.BDH("ALNY US Equity","AVERAGE_EV_TO_T12M_SALES","FQ4 2019","FQ4 2019","Currency=USD","Period=FQ","BEST_FPERIOD_OVERRIDE=FQ","FILING_STATUS=MR","FA_ADJUSTED=GAAP","Sort=A","Dates=H","DateFormat=P","Fill=—","Direction=H","UseDPDF=Y")</f>
        <v>57.077199999999998</v>
      </c>
      <c r="E34" s="14">
        <f>_xll.BDH("ALNY US Equity","AVERAGE_EV_TO_T12M_SALES","FQ1 2020","FQ1 2020","Currency=USD","Period=FQ","BEST_FPERIOD_OVERRIDE=FQ","FILING_STATUS=MR","FA_ADJUSTED=GAAP","Sort=A","Dates=H","DateFormat=P","Fill=—","Direction=H","UseDPDF=Y")</f>
        <v>53.134999999999998</v>
      </c>
      <c r="F34" s="14">
        <f>_xll.BDH("ALNY US Equity","AVERAGE_EV_TO_T12M_SALES","FQ2 2020","FQ2 2020","Currency=USD","Period=FQ","BEST_FPERIOD_OVERRIDE=FQ","FILING_STATUS=MR","FA_ADJUSTED=GAAP","Sort=A","Dates=H","DateFormat=P","Fill=—","Direction=H","UseDPDF=Y")</f>
        <v>50.031799999999997</v>
      </c>
      <c r="G34" s="14">
        <f>_xll.BDH("ALNY US Equity","AVERAGE_EV_TO_T12M_SALES","FQ3 2020","FQ3 2020","Currency=USD","Period=FQ","BEST_FPERIOD_OVERRIDE=FQ","FILING_STATUS=MR","FA_ADJUSTED=GAAP","Sort=A","Dates=H","DateFormat=P","Fill=—","Direction=H","UseDPDF=Y")</f>
        <v>42.784399999999998</v>
      </c>
      <c r="H34" s="14">
        <f>_xll.BDH("ALNY US Equity","AVERAGE_EV_TO_T12M_SALES","FQ4 2020","FQ4 2020","Currency=USD","Period=FQ","BEST_FPERIOD_OVERRIDE=FQ","FILING_STATUS=MR","FA_ADJUSTED=GAAP","Sort=A","Dates=H","DateFormat=P","Fill=—","Direction=H","UseDPDF=Y")</f>
        <v>34.814500000000002</v>
      </c>
      <c r="I34" s="14">
        <f>_xll.BDH("ALNY US Equity","AVERAGE_EV_TO_T12M_SALES","FQ1 2021","FQ1 2021","Currency=USD","Period=FQ","BEST_FPERIOD_OVERRIDE=FQ","FILING_STATUS=MR","FA_ADJUSTED=GAAP","Sort=A","Dates=H","DateFormat=P","Fill=—","Direction=H","UseDPDF=Y")</f>
        <v>32.794199999999996</v>
      </c>
      <c r="J34" s="14">
        <f>_xll.BDH("ALNY US Equity","AVERAGE_EV_TO_T12M_SALES","FQ2 2021","FQ2 2021","Currency=USD","Period=FQ","BEST_FPERIOD_OVERRIDE=FQ","FILING_STATUS=MR","FA_ADJUSTED=GAAP","Sort=A","Dates=H","DateFormat=P","Fill=—","Direction=H","UseDPDF=Y")</f>
        <v>27.962199999999999</v>
      </c>
      <c r="K34" s="14">
        <f>_xll.BDH("ALNY US Equity","AVERAGE_EV_TO_T12M_SALES","FQ3 2021","FQ3 2021","Currency=USD","Period=FQ","BEST_FPERIOD_OVERRIDE=FQ","FILING_STATUS=MR","FA_ADJUSTED=GAAP","Sort=A","Dates=H","DateFormat=P","Fill=—","Direction=H","UseDPDF=Y")</f>
        <v>30.604900000000001</v>
      </c>
      <c r="L34" s="14">
        <f>_xll.BDH("ALNY US Equity","AVERAGE_EV_TO_T12M_SALES","FQ4 2021","FQ4 2021","Currency=USD","Period=FQ","BEST_FPERIOD_OVERRIDE=FQ","FILING_STATUS=MR","FA_ADJUSTED=GAAP","Sort=A","Dates=H","DateFormat=P","Fill=—","Direction=H","UseDPDF=Y")</f>
        <v>27.472100000000001</v>
      </c>
      <c r="M34" s="14">
        <f>_xll.BDH("ALNY US Equity","AVERAGE_EV_TO_T12M_SALES","FQ1 2022","FQ1 2022","Currency=USD","Period=FQ","BEST_FPERIOD_OVERRIDE=FQ","FILING_STATUS=MR","FA_ADJUSTED=GAAP","Sort=A","Dates=H","DateFormat=P","Fill=—","Direction=H","UseDPDF=Y")</f>
        <v>19.932700000000001</v>
      </c>
      <c r="N34" s="14">
        <f>_xll.BDH("ALNY US Equity","AVERAGE_EV_TO_T12M_SALES","FQ2 2022","FQ2 2022","Currency=USD","Period=FQ","BEST_FPERIOD_OVERRIDE=FQ","FILING_STATUS=MR","FA_ADJUSTED=GAAP","Sort=A","Dates=H","DateFormat=P","Fill=—","Direction=H","UseDPDF=Y")</f>
        <v>18.054200000000002</v>
      </c>
      <c r="O34" s="14">
        <f>_xll.BDH("ALNY US Equity","AVERAGE_EV_TO_T12M_SALES","FQ3 2022","FQ3 2022","Currency=USD","Period=FQ","BEST_FPERIOD_OVERRIDE=FQ","FILING_STATUS=MR","FA_ADJUSTED=GAAP","Sort=A","Dates=H","DateFormat=P","Fill=—","Direction=H","UseDPDF=Y")</f>
        <v>24.635000000000002</v>
      </c>
      <c r="P34" s="14">
        <f>_xll.BDH("ALNY US Equity","AVERAGE_EV_TO_T12M_SALES","FQ4 2022","FQ4 2022","Currency=USD","Period=FQ","BEST_FPERIOD_OVERRIDE=FQ","FILING_STATUS=MR","FA_ADJUSTED=GAAP","Sort=A","Dates=H","DateFormat=P","Fill=—","Direction=H","UseDPDF=Y")</f>
        <v>26.3429</v>
      </c>
      <c r="Q34" s="14">
        <f>_xll.BDH("ALNY US Equity","AVERAGE_EV_TO_T12M_SALES","FQ1 2023","FQ1 2023","Currency=USD","Period=FQ","BEST_FPERIOD_OVERRIDE=FQ","FILING_STATUS=MR","FA_ADJUSTED=GAAP","Sort=A","Dates=H","DateFormat=P","Fill=—","Direction=H","UseDPDF=Y")</f>
        <v>24.142299999999999</v>
      </c>
      <c r="R34" s="14">
        <f>_xll.BDH("ALNY US Equity","AVERAGE_EV_TO_T12M_SALES","FQ2 2023","FQ2 2023","Currency=USD","Period=FQ","BEST_FPERIOD_OVERRIDE=FQ","FILING_STATUS=MR","FA_ADJUSTED=GAAP","Sort=A","Dates=H","DateFormat=P","Fill=—","Direction=H","UseDPDF=Y")</f>
        <v>20.8855</v>
      </c>
      <c r="S34" s="14">
        <f>_xll.BDH("ALNY US Equity","AVERAGE_EV_TO_T12M_SALES","FQ3 2023","FQ3 2023","Currency=USD","Period=FQ","BEST_FPERIOD_OVERRIDE=FQ","FILING_STATUS=MR","FA_ADJUSTED=GAAP","Sort=A","Dates=H","DateFormat=P","Fill=—","Direction=H","UseDPDF=Y")</f>
        <v>18.599499999999999</v>
      </c>
      <c r="T34" s="14">
        <f>_xll.BDH("ALNY US Equity","AVERAGE_EV_TO_T12M_SALES","FQ4 2023","FQ4 2023","Currency=USD","Period=FQ","BEST_FPERIOD_OVERRIDE=FQ","FILING_STATUS=MR","FA_ADJUSTED=GAAP","Sort=A","Dates=H","DateFormat=P","Fill=—","Direction=H","UseDPDF=Y")</f>
        <v>11.7357</v>
      </c>
      <c r="U34" s="14">
        <f>_xll.BDH("ALNY US Equity","AVERAGE_EV_TO_T12M_SALES","FQ1 2024","FQ1 2024","Currency=USD","Period=FQ","BEST_FPERIOD_OVERRIDE=FQ","FILING_STATUS=MR","FA_ADJUSTED=GAAP","Sort=A","Dates=H","DateFormat=P","Fill=—","Direction=H","UseDPDF=Y")</f>
        <v>10.834899999999999</v>
      </c>
      <c r="V34" s="14">
        <f>_xll.BDH("ALNY US Equity","AVERAGE_EV_TO_T12M_SALES","FQ2 2024","FQ2 2024","Currency=USD","Period=FQ","BEST_FPERIOD_OVERRIDE=FQ","FILING_STATUS=MR","FA_ADJUSTED=GAAP","Sort=A","Dates=H","DateFormat=P","Fill=—","Direction=H","UseDPDF=Y")</f>
        <v>9.3925999999999998</v>
      </c>
      <c r="W34" s="14">
        <f>_xll.BDH("ALNY US Equity","AVERAGE_EV_TO_T12M_SALES","FQ3 2024","FQ3 2024","Currency=USD","Period=FQ","BEST_FPERIOD_OVERRIDE=FQ","FILING_STATUS=MR","FA_ADJUSTED=GAAP","Sort=A","Dates=H","DateFormat=P","Fill=—","Direction=H","UseDPDF=Y")</f>
        <v>14.2156</v>
      </c>
      <c r="X34" s="14">
        <f>_xll.BDH("ALNY US Equity","AVERAGE_EV_TO_T12M_SALES","FQ4 2024","FQ4 2024","Currency=USD","Period=FQ","BEST_FPERIOD_OVERRIDE=FQ","FILING_STATUS=MR","FA_ADJUSTED=GAAP","Sort=A","Dates=H","DateFormat=P","Fill=—","Direction=H","UseDPDF=Y")</f>
        <v>15.4453</v>
      </c>
      <c r="Y34" s="17"/>
      <c r="Z34" s="14"/>
      <c r="AA34" s="14"/>
    </row>
    <row r="35" spans="1:27" x14ac:dyDescent="0.25">
      <c r="A35" s="10" t="s">
        <v>205</v>
      </c>
      <c r="B35" s="10" t="s">
        <v>230</v>
      </c>
      <c r="C35" s="14">
        <f>_xll.BDH("ALNY US Equity","HIGH_EV_TO_T12M_SALES","FQ3 2019","FQ3 2019","Currency=USD","Period=FQ","BEST_FPERIOD_OVERRIDE=FQ","FILING_STATUS=MR","FA_ADJUSTED=GAAP","Sort=A","Dates=H","DateFormat=P","Fill=—","Direction=H","UseDPDF=Y")</f>
        <v>80.862300000000005</v>
      </c>
      <c r="D35" s="14">
        <f>_xll.BDH("ALNY US Equity","HIGH_EV_TO_T12M_SALES","FQ4 2019","FQ4 2019","Currency=USD","Period=FQ","BEST_FPERIOD_OVERRIDE=FQ","FILING_STATUS=MR","FA_ADJUSTED=GAAP","Sort=A","Dates=H","DateFormat=P","Fill=—","Direction=H","UseDPDF=Y")</f>
        <v>73.529200000000003</v>
      </c>
      <c r="E35" s="14">
        <f>_xll.BDH("ALNY US Equity","HIGH_EV_TO_T12M_SALES","FQ1 2020","FQ1 2020","Currency=USD","Period=FQ","BEST_FPERIOD_OVERRIDE=FQ","FILING_STATUS=MR","FA_ADJUSTED=GAAP","Sort=A","Dates=H","DateFormat=P","Fill=—","Direction=H","UseDPDF=Y")</f>
        <v>62.804699999999997</v>
      </c>
      <c r="F35" s="14">
        <f>_xll.BDH("ALNY US Equity","HIGH_EV_TO_T12M_SALES","FQ2 2020","FQ2 2020","Currency=USD","Period=FQ","BEST_FPERIOD_OVERRIDE=FQ","FILING_STATUS=MR","FA_ADJUSTED=GAAP","Sort=A","Dates=H","DateFormat=P","Fill=—","Direction=H","UseDPDF=Y")</f>
        <v>59.1922</v>
      </c>
      <c r="G35" s="14">
        <f>_xll.BDH("ALNY US Equity","HIGH_EV_TO_T12M_SALES","FQ3 2020","FQ3 2020","Currency=USD","Period=FQ","BEST_FPERIOD_OVERRIDE=FQ","FILING_STATUS=MR","FA_ADJUSTED=GAAP","Sort=A","Dates=H","DateFormat=P","Fill=—","Direction=H","UseDPDF=Y")</f>
        <v>50.382199999999997</v>
      </c>
      <c r="H35" s="14">
        <f>_xll.BDH("ALNY US Equity","HIGH_EV_TO_T12M_SALES","FQ4 2020","FQ4 2020","Currency=USD","Period=FQ","BEST_FPERIOD_OVERRIDE=FQ","FILING_STATUS=MR","FA_ADJUSTED=GAAP","Sort=A","Dates=H","DateFormat=P","Fill=—","Direction=H","UseDPDF=Y")</f>
        <v>38.763599999999997</v>
      </c>
      <c r="I35" s="14">
        <f>_xll.BDH("ALNY US Equity","HIGH_EV_TO_T12M_SALES","FQ1 2021","FQ1 2021","Currency=USD","Period=FQ","BEST_FPERIOD_OVERRIDE=FQ","FILING_STATUS=MR","FA_ADJUSTED=GAAP","Sort=A","Dates=H","DateFormat=P","Fill=—","Direction=H","UseDPDF=Y")</f>
        <v>38.669899999999998</v>
      </c>
      <c r="J35" s="14">
        <f>_xll.BDH("ALNY US Equity","HIGH_EV_TO_T12M_SALES","FQ2 2021","FQ2 2021","Currency=USD","Period=FQ","BEST_FPERIOD_OVERRIDE=FQ","FILING_STATUS=MR","FA_ADJUSTED=GAAP","Sort=A","Dates=H","DateFormat=P","Fill=—","Direction=H","UseDPDF=Y")</f>
        <v>34.331800000000001</v>
      </c>
      <c r="K35" s="14">
        <f>_xll.BDH("ALNY US Equity","HIGH_EV_TO_T12M_SALES","FQ3 2021","FQ3 2021","Currency=USD","Period=FQ","BEST_FPERIOD_OVERRIDE=FQ","FILING_STATUS=MR","FA_ADJUSTED=GAAP","Sort=A","Dates=H","DateFormat=P","Fill=—","Direction=H","UseDPDF=Y")</f>
        <v>34.2517</v>
      </c>
      <c r="L35" s="14">
        <f>_xll.BDH("ALNY US Equity","HIGH_EV_TO_T12M_SALES","FQ4 2021","FQ4 2021","Currency=USD","Period=FQ","BEST_FPERIOD_OVERRIDE=FQ","FILING_STATUS=MR","FA_ADJUSTED=GAAP","Sort=A","Dates=H","DateFormat=P","Fill=—","Direction=H","UseDPDF=Y")</f>
        <v>31.103400000000001</v>
      </c>
      <c r="M35" s="14">
        <f>_xll.BDH("ALNY US Equity","HIGH_EV_TO_T12M_SALES","FQ1 2022","FQ1 2022","Currency=USD","Period=FQ","BEST_FPERIOD_OVERRIDE=FQ","FILING_STATUS=MR","FA_ADJUSTED=GAAP","Sort=A","Dates=H","DateFormat=P","Fill=—","Direction=H","UseDPDF=Y")</f>
        <v>22.9328</v>
      </c>
      <c r="N35" s="14">
        <f>_xll.BDH("ALNY US Equity","HIGH_EV_TO_T12M_SALES","FQ2 2022","FQ2 2022","Currency=USD","Period=FQ","BEST_FPERIOD_OVERRIDE=FQ","FILING_STATUS=MR","FA_ADJUSTED=GAAP","Sort=A","Dates=H","DateFormat=P","Fill=—","Direction=H","UseDPDF=Y")</f>
        <v>21.735800000000001</v>
      </c>
      <c r="O35" s="14">
        <f>_xll.BDH("ALNY US Equity","HIGH_EV_TO_T12M_SALES","FQ3 2022","FQ3 2022","Currency=USD","Period=FQ","BEST_FPERIOD_OVERRIDE=FQ","FILING_STATUS=MR","FA_ADJUSTED=GAAP","Sort=A","Dates=H","DateFormat=P","Fill=—","Direction=H","UseDPDF=Y")</f>
        <v>30.476400000000002</v>
      </c>
      <c r="P35" s="14">
        <f>_xll.BDH("ALNY US Equity","HIGH_EV_TO_T12M_SALES","FQ4 2022","FQ4 2022","Currency=USD","Period=FQ","BEST_FPERIOD_OVERRIDE=FQ","FILING_STATUS=MR","FA_ADJUSTED=GAAP","Sort=A","Dates=H","DateFormat=P","Fill=—","Direction=H","UseDPDF=Y")</f>
        <v>30.1403</v>
      </c>
      <c r="Q35" s="14">
        <f>_xll.BDH("ALNY US Equity","HIGH_EV_TO_T12M_SALES","FQ1 2023","FQ1 2023","Currency=USD","Period=FQ","BEST_FPERIOD_OVERRIDE=FQ","FILING_STATUS=MR","FA_ADJUSTED=GAAP","Sort=A","Dates=H","DateFormat=P","Fill=—","Direction=H","UseDPDF=Y")</f>
        <v>27.091000000000001</v>
      </c>
      <c r="R35" s="14">
        <f>_xll.BDH("ALNY US Equity","HIGH_EV_TO_T12M_SALES","FQ2 2023","FQ2 2023","Currency=USD","Period=FQ","BEST_FPERIOD_OVERRIDE=FQ","FILING_STATUS=MR","FA_ADJUSTED=GAAP","Sort=A","Dates=H","DateFormat=P","Fill=—","Direction=H","UseDPDF=Y")</f>
        <v>22.436800000000002</v>
      </c>
      <c r="S35" s="14">
        <f>_xll.BDH("ALNY US Equity","HIGH_EV_TO_T12M_SALES","FQ3 2023","FQ3 2023","Currency=USD","Period=FQ","BEST_FPERIOD_OVERRIDE=FQ","FILING_STATUS=MR","FA_ADJUSTED=GAAP","Sort=A","Dates=H","DateFormat=P","Fill=—","Direction=H","UseDPDF=Y")</f>
        <v>20.7803</v>
      </c>
      <c r="T35" s="14">
        <f>_xll.BDH("ALNY US Equity","HIGH_EV_TO_T12M_SALES","FQ4 2023","FQ4 2023","Currency=USD","Period=FQ","BEST_FPERIOD_OVERRIDE=FQ","FILING_STATUS=MR","FA_ADJUSTED=GAAP","Sort=A","Dates=H","DateFormat=P","Fill=—","Direction=H","UseDPDF=Y")</f>
        <v>13.6753</v>
      </c>
      <c r="U35" s="14">
        <f>_xll.BDH("ALNY US Equity","HIGH_EV_TO_T12M_SALES","FQ1 2024","FQ1 2024","Currency=USD","Period=FQ","BEST_FPERIOD_OVERRIDE=FQ","FILING_STATUS=MR","FA_ADJUSTED=GAAP","Sort=A","Dates=H","DateFormat=P","Fill=—","Direction=H","UseDPDF=Y")</f>
        <v>12.9841</v>
      </c>
      <c r="V35" s="14">
        <f>_xll.BDH("ALNY US Equity","HIGH_EV_TO_T12M_SALES","FQ2 2024","FQ2 2024","Currency=USD","Period=FQ","BEST_FPERIOD_OVERRIDE=FQ","FILING_STATUS=MR","FA_ADJUSTED=GAAP","Sort=A","Dates=H","DateFormat=P","Fill=—","Direction=H","UseDPDF=Y")</f>
        <v>15.0616</v>
      </c>
      <c r="W35" s="14">
        <f>_xll.BDH("ALNY US Equity","HIGH_EV_TO_T12M_SALES","FQ3 2024","FQ3 2024","Currency=USD","Period=FQ","BEST_FPERIOD_OVERRIDE=FQ","FILING_STATUS=MR","FA_ADJUSTED=GAAP","Sort=A","Dates=H","DateFormat=P","Fill=—","Direction=H","UseDPDF=Y")</f>
        <v>16.1496</v>
      </c>
      <c r="X35" s="14">
        <f>_xll.BDH("ALNY US Equity","HIGH_EV_TO_T12M_SALES","FQ4 2024","FQ4 2024","Currency=USD","Period=FQ","BEST_FPERIOD_OVERRIDE=FQ","FILING_STATUS=MR","FA_ADJUSTED=GAAP","Sort=A","Dates=H","DateFormat=P","Fill=—","Direction=H","UseDPDF=Y")</f>
        <v>17.7136</v>
      </c>
      <c r="Y35" s="17"/>
      <c r="Z35" s="14"/>
      <c r="AA35" s="14"/>
    </row>
    <row r="36" spans="1:27" x14ac:dyDescent="0.25">
      <c r="A36" s="10" t="s">
        <v>207</v>
      </c>
      <c r="B36" s="10" t="s">
        <v>231</v>
      </c>
      <c r="C36" s="14">
        <f>_xll.BDH("ALNY US Equity","LOW_EV_TO_T12M_SALES","FQ3 2019","FQ3 2019","Currency=USD","Period=FQ","BEST_FPERIOD_OVERRIDE=FQ","FILING_STATUS=MR","FA_ADJUSTED=GAAP","Sort=A","Dates=H","DateFormat=P","Fill=—","Direction=H","UseDPDF=Y")</f>
        <v>44.510899999999999</v>
      </c>
      <c r="D36" s="14">
        <f>_xll.BDH("ALNY US Equity","LOW_EV_TO_T12M_SALES","FQ4 2019","FQ4 2019","Currency=USD","Period=FQ","BEST_FPERIOD_OVERRIDE=FQ","FILING_STATUS=MR","FA_ADJUSTED=GAAP","Sort=A","Dates=H","DateFormat=P","Fill=—","Direction=H","UseDPDF=Y")</f>
        <v>40.624299999999998</v>
      </c>
      <c r="E36" s="14">
        <f>_xll.BDH("ALNY US Equity","LOW_EV_TO_T12M_SALES","FQ1 2020","FQ1 2020","Currency=USD","Period=FQ","BEST_FPERIOD_OVERRIDE=FQ","FILING_STATUS=MR","FA_ADJUSTED=GAAP","Sort=A","Dates=H","DateFormat=P","Fill=—","Direction=H","UseDPDF=Y")</f>
        <v>39.416899999999998</v>
      </c>
      <c r="F36" s="14">
        <f>_xll.BDH("ALNY US Equity","LOW_EV_TO_T12M_SALES","FQ2 2020","FQ2 2020","Currency=USD","Period=FQ","BEST_FPERIOD_OVERRIDE=FQ","FILING_STATUS=MR","FA_ADJUSTED=GAAP","Sort=A","Dates=H","DateFormat=P","Fill=—","Direction=H","UseDPDF=Y")</f>
        <v>37.582000000000001</v>
      </c>
      <c r="G36" s="14">
        <f>_xll.BDH("ALNY US Equity","LOW_EV_TO_T12M_SALES","FQ3 2020","FQ3 2020","Currency=USD","Period=FQ","BEST_FPERIOD_OVERRIDE=FQ","FILING_STATUS=MR","FA_ADJUSTED=GAAP","Sort=A","Dates=H","DateFormat=P","Fill=—","Direction=H","UseDPDF=Y")</f>
        <v>36.050400000000003</v>
      </c>
      <c r="H36" s="14">
        <f>_xll.BDH("ALNY US Equity","LOW_EV_TO_T12M_SALES","FQ4 2020","FQ4 2020","Currency=USD","Period=FQ","BEST_FPERIOD_OVERRIDE=FQ","FILING_STATUS=MR","FA_ADJUSTED=GAAP","Sort=A","Dates=H","DateFormat=P","Fill=—","Direction=H","UseDPDF=Y")</f>
        <v>27.892299999999999</v>
      </c>
      <c r="I36" s="14">
        <f>_xll.BDH("ALNY US Equity","LOW_EV_TO_T12M_SALES","FQ1 2021","FQ1 2021","Currency=USD","Period=FQ","BEST_FPERIOD_OVERRIDE=FQ","FILING_STATUS=MR","FA_ADJUSTED=GAAP","Sort=A","Dates=H","DateFormat=P","Fill=—","Direction=H","UseDPDF=Y")</f>
        <v>26.8477</v>
      </c>
      <c r="J36" s="14">
        <f>_xll.BDH("ALNY US Equity","LOW_EV_TO_T12M_SALES","FQ2 2021","FQ2 2021","Currency=USD","Period=FQ","BEST_FPERIOD_OVERRIDE=FQ","FILING_STATUS=MR","FA_ADJUSTED=GAAP","Sort=A","Dates=H","DateFormat=P","Fill=—","Direction=H","UseDPDF=Y")</f>
        <v>24.396100000000001</v>
      </c>
      <c r="K36" s="14">
        <f>_xll.BDH("ALNY US Equity","LOW_EV_TO_T12M_SALES","FQ3 2021","FQ3 2021","Currency=USD","Period=FQ","BEST_FPERIOD_OVERRIDE=FQ","FILING_STATUS=MR","FA_ADJUSTED=GAAP","Sort=A","Dates=H","DateFormat=P","Fill=—","Direction=H","UseDPDF=Y")</f>
        <v>27.364799999999999</v>
      </c>
      <c r="L36" s="14">
        <f>_xll.BDH("ALNY US Equity","LOW_EV_TO_T12M_SALES","FQ4 2021","FQ4 2021","Currency=USD","Period=FQ","BEST_FPERIOD_OVERRIDE=FQ","FILING_STATUS=MR","FA_ADJUSTED=GAAP","Sort=A","Dates=H","DateFormat=P","Fill=—","Direction=H","UseDPDF=Y")</f>
        <v>22.319400000000002</v>
      </c>
      <c r="M36" s="14">
        <f>_xll.BDH("ALNY US Equity","LOW_EV_TO_T12M_SALES","FQ1 2022","FQ1 2022","Currency=USD","Period=FQ","BEST_FPERIOD_OVERRIDE=FQ","FILING_STATUS=MR","FA_ADJUSTED=GAAP","Sort=A","Dates=H","DateFormat=P","Fill=—","Direction=H","UseDPDF=Y")</f>
        <v>16.313099999999999</v>
      </c>
      <c r="N36" s="14">
        <f>_xll.BDH("ALNY US Equity","LOW_EV_TO_T12M_SALES","FQ2 2022","FQ2 2022","Currency=USD","Period=FQ","BEST_FPERIOD_OVERRIDE=FQ","FILING_STATUS=MR","FA_ADJUSTED=GAAP","Sort=A","Dates=H","DateFormat=P","Fill=—","Direction=H","UseDPDF=Y")</f>
        <v>15.1187</v>
      </c>
      <c r="O36" s="14">
        <f>_xll.BDH("ALNY US Equity","LOW_EV_TO_T12M_SALES","FQ3 2022","FQ3 2022","Currency=USD","Period=FQ","BEST_FPERIOD_OVERRIDE=FQ","FILING_STATUS=MR","FA_ADJUSTED=GAAP","Sort=A","Dates=H","DateFormat=P","Fill=—","Direction=H","UseDPDF=Y")</f>
        <v>17.662400000000002</v>
      </c>
      <c r="P36" s="14">
        <f>_xll.BDH("ALNY US Equity","LOW_EV_TO_T12M_SALES","FQ4 2022","FQ4 2022","Currency=USD","Period=FQ","BEST_FPERIOD_OVERRIDE=FQ","FILING_STATUS=MR","FA_ADJUSTED=GAAP","Sort=A","Dates=H","DateFormat=P","Fill=—","Direction=H","UseDPDF=Y")</f>
        <v>22.366700000000002</v>
      </c>
      <c r="Q36" s="14">
        <f>_xll.BDH("ALNY US Equity","LOW_EV_TO_T12M_SALES","FQ1 2023","FQ1 2023","Currency=USD","Period=FQ","BEST_FPERIOD_OVERRIDE=FQ","FILING_STATUS=MR","FA_ADJUSTED=GAAP","Sort=A","Dates=H","DateFormat=P","Fill=—","Direction=H","UseDPDF=Y")</f>
        <v>21.0153</v>
      </c>
      <c r="R36" s="14">
        <f>_xll.BDH("ALNY US Equity","LOW_EV_TO_T12M_SALES","FQ2 2023","FQ2 2023","Currency=USD","Period=FQ","BEST_FPERIOD_OVERRIDE=FQ","FILING_STATUS=MR","FA_ADJUSTED=GAAP","Sort=A","Dates=H","DateFormat=P","Fill=—","Direction=H","UseDPDF=Y")</f>
        <v>18.514199999999999</v>
      </c>
      <c r="S36" s="14">
        <f>_xll.BDH("ALNY US Equity","LOW_EV_TO_T12M_SALES","FQ3 2023","FQ3 2023","Currency=USD","Period=FQ","BEST_FPERIOD_OVERRIDE=FQ","FILING_STATUS=MR","FA_ADJUSTED=GAAP","Sort=A","Dates=H","DateFormat=P","Fill=—","Direction=H","UseDPDF=Y")</f>
        <v>12.2072</v>
      </c>
      <c r="T36" s="14">
        <f>_xll.BDH("ALNY US Equity","LOW_EV_TO_T12M_SALES","FQ4 2023","FQ4 2023","Currency=USD","Period=FQ","BEST_FPERIOD_OVERRIDE=FQ","FILING_STATUS=MR","FA_ADJUSTED=GAAP","Sort=A","Dates=H","DateFormat=P","Fill=—","Direction=H","UseDPDF=Y")</f>
        <v>10.344099999999999</v>
      </c>
      <c r="U36" s="14">
        <f>_xll.BDH("ALNY US Equity","LOW_EV_TO_T12M_SALES","FQ1 2024","FQ1 2024","Currency=USD","Period=FQ","BEST_FPERIOD_OVERRIDE=FQ","FILING_STATUS=MR","FA_ADJUSTED=GAAP","Sort=A","Dates=H","DateFormat=P","Fill=—","Direction=H","UseDPDF=Y")</f>
        <v>8.8614999999999995</v>
      </c>
      <c r="V36" s="14">
        <f>_xll.BDH("ALNY US Equity","LOW_EV_TO_T12M_SALES","FQ2 2024","FQ2 2024","Currency=USD","Period=FQ","BEST_FPERIOD_OVERRIDE=FQ","FILING_STATUS=MR","FA_ADJUSTED=GAAP","Sort=A","Dates=H","DateFormat=P","Fill=—","Direction=H","UseDPDF=Y")</f>
        <v>8.4755000000000003</v>
      </c>
      <c r="W36" s="14">
        <f>_xll.BDH("ALNY US Equity","LOW_EV_TO_T12M_SALES","FQ3 2024","FQ3 2024","Currency=USD","Period=FQ","BEST_FPERIOD_OVERRIDE=FQ","FILING_STATUS=MR","FA_ADJUSTED=GAAP","Sort=A","Dates=H","DateFormat=P","Fill=—","Direction=H","UseDPDF=Y")</f>
        <v>12.6244</v>
      </c>
      <c r="X36" s="14">
        <f>_xll.BDH("ALNY US Equity","LOW_EV_TO_T12M_SALES","FQ4 2024","FQ4 2024","Currency=USD","Period=FQ","BEST_FPERIOD_OVERRIDE=FQ","FILING_STATUS=MR","FA_ADJUSTED=GAAP","Sort=A","Dates=H","DateFormat=P","Fill=—","Direction=H","UseDPDF=Y")</f>
        <v>12.877599999999999</v>
      </c>
      <c r="Y36" s="17"/>
      <c r="Z36" s="14"/>
      <c r="AA36" s="14"/>
    </row>
    <row r="37" spans="1:27" x14ac:dyDescent="0.25">
      <c r="A37" s="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21"/>
      <c r="Z37" s="18"/>
      <c r="AA37" s="18"/>
    </row>
    <row r="38" spans="1:27" x14ac:dyDescent="0.25">
      <c r="A38" s="6" t="s">
        <v>180</v>
      </c>
      <c r="B38" s="6" t="s">
        <v>181</v>
      </c>
      <c r="C38" s="20" t="str">
        <f>_xll.BDH("ALNY US Equity","EV_TO_T12M_EBITDA","FQ3 2019","FQ3 2019","Currency=USD","Period=FQ","BEST_FPERIOD_OVERRIDE=FQ","FILING_STATUS=MR","FA_ADJUSTED=GAAP","Sort=A","Dates=H","DateFormat=P","Fill=—","Direction=H","UseDPDF=Y")</f>
        <v>—</v>
      </c>
      <c r="D38" s="20" t="str">
        <f>_xll.BDH("ALNY US Equity","EV_TO_T12M_EBITDA","FQ4 2019","FQ4 2019","Currency=USD","Period=FQ","BEST_FPERIOD_OVERRIDE=FQ","FILING_STATUS=MR","FA_ADJUSTED=GAAP","Sort=A","Dates=H","DateFormat=P","Fill=—","Direction=H","UseDPDF=Y")</f>
        <v>—</v>
      </c>
      <c r="E38" s="20" t="str">
        <f>_xll.BDH("ALNY US Equity","EV_TO_T12M_EBITDA","FQ1 2020","FQ1 2020","Currency=USD","Period=FQ","BEST_FPERIOD_OVERRIDE=FQ","FILING_STATUS=MR","FA_ADJUSTED=GAAP","Sort=A","Dates=H","DateFormat=P","Fill=—","Direction=H","UseDPDF=Y")</f>
        <v>—</v>
      </c>
      <c r="F38" s="20" t="str">
        <f>_xll.BDH("ALNY US Equity","EV_TO_T12M_EBITDA","FQ2 2020","FQ2 2020","Currency=USD","Period=FQ","BEST_FPERIOD_OVERRIDE=FQ","FILING_STATUS=MR","FA_ADJUSTED=GAAP","Sort=A","Dates=H","DateFormat=P","Fill=—","Direction=H","UseDPDF=Y")</f>
        <v>—</v>
      </c>
      <c r="G38" s="20" t="str">
        <f>_xll.BDH("ALNY US Equity","EV_TO_T12M_EBITDA","FQ3 2020","FQ3 2020","Currency=USD","Period=FQ","BEST_FPERIOD_OVERRIDE=FQ","FILING_STATUS=MR","FA_ADJUSTED=GAAP","Sort=A","Dates=H","DateFormat=P","Fill=—","Direction=H","UseDPDF=Y")</f>
        <v>—</v>
      </c>
      <c r="H38" s="20" t="str">
        <f>_xll.BDH("ALNY US Equity","EV_TO_T12M_EBITDA","FQ4 2020","FQ4 2020","Currency=USD","Period=FQ","BEST_FPERIOD_OVERRIDE=FQ","FILING_STATUS=MR","FA_ADJUSTED=GAAP","Sort=A","Dates=H","DateFormat=P","Fill=—","Direction=H","UseDPDF=Y")</f>
        <v>—</v>
      </c>
      <c r="I38" s="20" t="str">
        <f>_xll.BDH("ALNY US Equity","EV_TO_T12M_EBITDA","FQ1 2021","FQ1 2021","Currency=USD","Period=FQ","BEST_FPERIOD_OVERRIDE=FQ","FILING_STATUS=MR","FA_ADJUSTED=GAAP","Sort=A","Dates=H","DateFormat=P","Fill=—","Direction=H","UseDPDF=Y")</f>
        <v>—</v>
      </c>
      <c r="J38" s="20" t="str">
        <f>_xll.BDH("ALNY US Equity","EV_TO_T12M_EBITDA","FQ2 2021","FQ2 2021","Currency=USD","Period=FQ","BEST_FPERIOD_OVERRIDE=FQ","FILING_STATUS=MR","FA_ADJUSTED=GAAP","Sort=A","Dates=H","DateFormat=P","Fill=—","Direction=H","UseDPDF=Y")</f>
        <v>—</v>
      </c>
      <c r="K38" s="20" t="str">
        <f>_xll.BDH("ALNY US Equity","EV_TO_T12M_EBITDA","FQ3 2021","FQ3 2021","Currency=USD","Period=FQ","BEST_FPERIOD_OVERRIDE=FQ","FILING_STATUS=MR","FA_ADJUSTED=GAAP","Sort=A","Dates=H","DateFormat=P","Fill=—","Direction=H","UseDPDF=Y")</f>
        <v>—</v>
      </c>
      <c r="L38" s="20" t="str">
        <f>_xll.BDH("ALNY US Equity","EV_TO_T12M_EBITDA","FQ4 2021","FQ4 2021","Currency=USD","Period=FQ","BEST_FPERIOD_OVERRIDE=FQ","FILING_STATUS=MR","FA_ADJUSTED=GAAP","Sort=A","Dates=H","DateFormat=P","Fill=—","Direction=H","UseDPDF=Y")</f>
        <v>—</v>
      </c>
      <c r="M38" s="20" t="str">
        <f>_xll.BDH("ALNY US Equity","EV_TO_T12M_EBITDA","FQ1 2022","FQ1 2022","Currency=USD","Period=FQ","BEST_FPERIOD_OVERRIDE=FQ","FILING_STATUS=MR","FA_ADJUSTED=GAAP","Sort=A","Dates=H","DateFormat=P","Fill=—","Direction=H","UseDPDF=Y")</f>
        <v>—</v>
      </c>
      <c r="N38" s="20" t="str">
        <f>_xll.BDH("ALNY US Equity","EV_TO_T12M_EBITDA","FQ2 2022","FQ2 2022","Currency=USD","Period=FQ","BEST_FPERIOD_OVERRIDE=FQ","FILING_STATUS=MR","FA_ADJUSTED=GAAP","Sort=A","Dates=H","DateFormat=P","Fill=—","Direction=H","UseDPDF=Y")</f>
        <v>—</v>
      </c>
      <c r="O38" s="20" t="str">
        <f>_xll.BDH("ALNY US Equity","EV_TO_T12M_EBITDA","FQ3 2022","FQ3 2022","Currency=USD","Period=FQ","BEST_FPERIOD_OVERRIDE=FQ","FILING_STATUS=MR","FA_ADJUSTED=GAAP","Sort=A","Dates=H","DateFormat=P","Fill=—","Direction=H","UseDPDF=Y")</f>
        <v>—</v>
      </c>
      <c r="P38" s="20" t="str">
        <f>_xll.BDH("ALNY US Equity","EV_TO_T12M_EBITDA","FQ4 2022","FQ4 2022","Currency=USD","Period=FQ","BEST_FPERIOD_OVERRIDE=FQ","FILING_STATUS=MR","FA_ADJUSTED=GAAP","Sort=A","Dates=H","DateFormat=P","Fill=—","Direction=H","UseDPDF=Y")</f>
        <v>—</v>
      </c>
      <c r="Q38" s="20" t="str">
        <f>_xll.BDH("ALNY US Equity","EV_TO_T12M_EBITDA","FQ1 2023","FQ1 2023","Currency=USD","Period=FQ","BEST_FPERIOD_OVERRIDE=FQ","FILING_STATUS=MR","FA_ADJUSTED=GAAP","Sort=A","Dates=H","DateFormat=P","Fill=—","Direction=H","UseDPDF=Y")</f>
        <v>—</v>
      </c>
      <c r="R38" s="20" t="str">
        <f>_xll.BDH("ALNY US Equity","EV_TO_T12M_EBITDA","FQ2 2023","FQ2 2023","Currency=USD","Period=FQ","BEST_FPERIOD_OVERRIDE=FQ","FILING_STATUS=MR","FA_ADJUSTED=GAAP","Sort=A","Dates=H","DateFormat=P","Fill=—","Direction=H","UseDPDF=Y")</f>
        <v>—</v>
      </c>
      <c r="S38" s="20" t="str">
        <f>_xll.BDH("ALNY US Equity","EV_TO_T12M_EBITDA","FQ3 2023","FQ3 2023","Currency=USD","Period=FQ","BEST_FPERIOD_OVERRIDE=FQ","FILING_STATUS=MR","FA_ADJUSTED=GAAP","Sort=A","Dates=H","DateFormat=P","Fill=—","Direction=H","UseDPDF=Y")</f>
        <v>—</v>
      </c>
      <c r="T38" s="20" t="str">
        <f>_xll.BDH("ALNY US Equity","EV_TO_T12M_EBITDA","FQ4 2023","FQ4 2023","Currency=USD","Period=FQ","BEST_FPERIOD_OVERRIDE=FQ","FILING_STATUS=MR","FA_ADJUSTED=GAAP","Sort=A","Dates=H","DateFormat=P","Fill=—","Direction=H","UseDPDF=Y")</f>
        <v>—</v>
      </c>
      <c r="U38" s="20" t="str">
        <f>_xll.BDH("ALNY US Equity","EV_TO_T12M_EBITDA","FQ1 2024","FQ1 2024","Currency=USD","Period=FQ","BEST_FPERIOD_OVERRIDE=FQ","FILING_STATUS=MR","FA_ADJUSTED=GAAP","Sort=A","Dates=H","DateFormat=P","Fill=—","Direction=H","UseDPDF=Y")</f>
        <v>—</v>
      </c>
      <c r="V38" s="20">
        <f>_xll.BDH("ALNY US Equity","EV_TO_T12M_EBITDA","FQ2 2024","FQ2 2024","Currency=USD","Period=FQ","BEST_FPERIOD_OVERRIDE=FQ","FILING_STATUS=MR","FA_ADJUSTED=GAAP","Sort=A","Dates=H","DateFormat=P","Fill=—","Direction=H","UseDPDF=Y")</f>
        <v>155.40110000000001</v>
      </c>
      <c r="W38" s="20" t="str">
        <f>_xll.BDH("ALNY US Equity","EV_TO_T12M_EBITDA","FQ3 2024","FQ3 2024","Currency=USD","Period=FQ","BEST_FPERIOD_OVERRIDE=FQ","FILING_STATUS=MR","FA_ADJUSTED=GAAP","Sort=A","Dates=H","DateFormat=P","Fill=—","Direction=H","UseDPDF=Y")</f>
        <v>—</v>
      </c>
      <c r="X38" s="20" t="str">
        <f>_xll.BDH("ALNY US Equity","EV_TO_T12M_EBITDA","FQ4 2024","FQ4 2024","Currency=USD","Period=FQ","BEST_FPERIOD_OVERRIDE=FQ","FILING_STATUS=MR","FA_ADJUSTED=GAAP","Sort=A","Dates=H","DateFormat=P","Fill=—","Direction=H","UseDPDF=Y")</f>
        <v>—</v>
      </c>
      <c r="Y38" s="23"/>
      <c r="Z38" s="20">
        <v>713.027195710456</v>
      </c>
      <c r="AA38" s="20">
        <v>67.0936286579213</v>
      </c>
    </row>
    <row r="39" spans="1:27" x14ac:dyDescent="0.25">
      <c r="A39" s="10" t="s">
        <v>203</v>
      </c>
      <c r="B39" s="10" t="s">
        <v>232</v>
      </c>
      <c r="C39" s="14" t="str">
        <f>_xll.BDH("ALNY US Equity","AVG_EV_TO_T12M_EBITDA","FQ3 2019","FQ3 2019","Currency=USD","Period=FQ","BEST_FPERIOD_OVERRIDE=FQ","FILING_STATUS=MR","FA_ADJUSTED=GAAP","Sort=A","Dates=H","DateFormat=P","Fill=—","Direction=H","UseDPDF=Y")</f>
        <v>—</v>
      </c>
      <c r="D39" s="14" t="str">
        <f>_xll.BDH("ALNY US Equity","AVG_EV_TO_T12M_EBITDA","FQ4 2019","FQ4 2019","Currency=USD","Period=FQ","BEST_FPERIOD_OVERRIDE=FQ","FILING_STATUS=MR","FA_ADJUSTED=GAAP","Sort=A","Dates=H","DateFormat=P","Fill=—","Direction=H","UseDPDF=Y")</f>
        <v>—</v>
      </c>
      <c r="E39" s="14" t="str">
        <f>_xll.BDH("ALNY US Equity","AVG_EV_TO_T12M_EBITDA","FQ1 2020","FQ1 2020","Currency=USD","Period=FQ","BEST_FPERIOD_OVERRIDE=FQ","FILING_STATUS=MR","FA_ADJUSTED=GAAP","Sort=A","Dates=H","DateFormat=P","Fill=—","Direction=H","UseDPDF=Y")</f>
        <v>—</v>
      </c>
      <c r="F39" s="14" t="str">
        <f>_xll.BDH("ALNY US Equity","AVG_EV_TO_T12M_EBITDA","FQ2 2020","FQ2 2020","Currency=USD","Period=FQ","BEST_FPERIOD_OVERRIDE=FQ","FILING_STATUS=MR","FA_ADJUSTED=GAAP","Sort=A","Dates=H","DateFormat=P","Fill=—","Direction=H","UseDPDF=Y")</f>
        <v>—</v>
      </c>
      <c r="G39" s="14" t="str">
        <f>_xll.BDH("ALNY US Equity","AVG_EV_TO_T12M_EBITDA","FQ3 2020","FQ3 2020","Currency=USD","Period=FQ","BEST_FPERIOD_OVERRIDE=FQ","FILING_STATUS=MR","FA_ADJUSTED=GAAP","Sort=A","Dates=H","DateFormat=P","Fill=—","Direction=H","UseDPDF=Y")</f>
        <v>—</v>
      </c>
      <c r="H39" s="14" t="str">
        <f>_xll.BDH("ALNY US Equity","AVG_EV_TO_T12M_EBITDA","FQ4 2020","FQ4 2020","Currency=USD","Period=FQ","BEST_FPERIOD_OVERRIDE=FQ","FILING_STATUS=MR","FA_ADJUSTED=GAAP","Sort=A","Dates=H","DateFormat=P","Fill=—","Direction=H","UseDPDF=Y")</f>
        <v>—</v>
      </c>
      <c r="I39" s="14" t="str">
        <f>_xll.BDH("ALNY US Equity","AVG_EV_TO_T12M_EBITDA","FQ1 2021","FQ1 2021","Currency=USD","Period=FQ","BEST_FPERIOD_OVERRIDE=FQ","FILING_STATUS=MR","FA_ADJUSTED=GAAP","Sort=A","Dates=H","DateFormat=P","Fill=—","Direction=H","UseDPDF=Y")</f>
        <v>—</v>
      </c>
      <c r="J39" s="14" t="str">
        <f>_xll.BDH("ALNY US Equity","AVG_EV_TO_T12M_EBITDA","FQ2 2021","FQ2 2021","Currency=USD","Period=FQ","BEST_FPERIOD_OVERRIDE=FQ","FILING_STATUS=MR","FA_ADJUSTED=GAAP","Sort=A","Dates=H","DateFormat=P","Fill=—","Direction=H","UseDPDF=Y")</f>
        <v>—</v>
      </c>
      <c r="K39" s="14" t="str">
        <f>_xll.BDH("ALNY US Equity","AVG_EV_TO_T12M_EBITDA","FQ3 2021","FQ3 2021","Currency=USD","Period=FQ","BEST_FPERIOD_OVERRIDE=FQ","FILING_STATUS=MR","FA_ADJUSTED=GAAP","Sort=A","Dates=H","DateFormat=P","Fill=—","Direction=H","UseDPDF=Y")</f>
        <v>—</v>
      </c>
      <c r="L39" s="14" t="str">
        <f>_xll.BDH("ALNY US Equity","AVG_EV_TO_T12M_EBITDA","FQ4 2021","FQ4 2021","Currency=USD","Period=FQ","BEST_FPERIOD_OVERRIDE=FQ","FILING_STATUS=MR","FA_ADJUSTED=GAAP","Sort=A","Dates=H","DateFormat=P","Fill=—","Direction=H","UseDPDF=Y")</f>
        <v>—</v>
      </c>
      <c r="M39" s="14" t="str">
        <f>_xll.BDH("ALNY US Equity","AVG_EV_TO_T12M_EBITDA","FQ1 2022","FQ1 2022","Currency=USD","Period=FQ","BEST_FPERIOD_OVERRIDE=FQ","FILING_STATUS=MR","FA_ADJUSTED=GAAP","Sort=A","Dates=H","DateFormat=P","Fill=—","Direction=H","UseDPDF=Y")</f>
        <v>—</v>
      </c>
      <c r="N39" s="14" t="str">
        <f>_xll.BDH("ALNY US Equity","AVG_EV_TO_T12M_EBITDA","FQ2 2022","FQ2 2022","Currency=USD","Period=FQ","BEST_FPERIOD_OVERRIDE=FQ","FILING_STATUS=MR","FA_ADJUSTED=GAAP","Sort=A","Dates=H","DateFormat=P","Fill=—","Direction=H","UseDPDF=Y")</f>
        <v>—</v>
      </c>
      <c r="O39" s="14" t="str">
        <f>_xll.BDH("ALNY US Equity","AVG_EV_TO_T12M_EBITDA","FQ3 2022","FQ3 2022","Currency=USD","Period=FQ","BEST_FPERIOD_OVERRIDE=FQ","FILING_STATUS=MR","FA_ADJUSTED=GAAP","Sort=A","Dates=H","DateFormat=P","Fill=—","Direction=H","UseDPDF=Y")</f>
        <v>—</v>
      </c>
      <c r="P39" s="14" t="str">
        <f>_xll.BDH("ALNY US Equity","AVG_EV_TO_T12M_EBITDA","FQ4 2022","FQ4 2022","Currency=USD","Period=FQ","BEST_FPERIOD_OVERRIDE=FQ","FILING_STATUS=MR","FA_ADJUSTED=GAAP","Sort=A","Dates=H","DateFormat=P","Fill=—","Direction=H","UseDPDF=Y")</f>
        <v>—</v>
      </c>
      <c r="Q39" s="14" t="str">
        <f>_xll.BDH("ALNY US Equity","AVG_EV_TO_T12M_EBITDA","FQ1 2023","FQ1 2023","Currency=USD","Period=FQ","BEST_FPERIOD_OVERRIDE=FQ","FILING_STATUS=MR","FA_ADJUSTED=GAAP","Sort=A","Dates=H","DateFormat=P","Fill=—","Direction=H","UseDPDF=Y")</f>
        <v>—</v>
      </c>
      <c r="R39" s="14" t="str">
        <f>_xll.BDH("ALNY US Equity","AVG_EV_TO_T12M_EBITDA","FQ2 2023","FQ2 2023","Currency=USD","Period=FQ","BEST_FPERIOD_OVERRIDE=FQ","FILING_STATUS=MR","FA_ADJUSTED=GAAP","Sort=A","Dates=H","DateFormat=P","Fill=—","Direction=H","UseDPDF=Y")</f>
        <v>—</v>
      </c>
      <c r="S39" s="14" t="str">
        <f>_xll.BDH("ALNY US Equity","AVG_EV_TO_T12M_EBITDA","FQ3 2023","FQ3 2023","Currency=USD","Period=FQ","BEST_FPERIOD_OVERRIDE=FQ","FILING_STATUS=MR","FA_ADJUSTED=GAAP","Sort=A","Dates=H","DateFormat=P","Fill=—","Direction=H","UseDPDF=Y")</f>
        <v>—</v>
      </c>
      <c r="T39" s="14" t="str">
        <f>_xll.BDH("ALNY US Equity","AVG_EV_TO_T12M_EBITDA","FQ4 2023","FQ4 2023","Currency=USD","Period=FQ","BEST_FPERIOD_OVERRIDE=FQ","FILING_STATUS=MR","FA_ADJUSTED=GAAP","Sort=A","Dates=H","DateFormat=P","Fill=—","Direction=H","UseDPDF=Y")</f>
        <v>—</v>
      </c>
      <c r="U39" s="14" t="str">
        <f>_xll.BDH("ALNY US Equity","AVG_EV_TO_T12M_EBITDA","FQ1 2024","FQ1 2024","Currency=USD","Period=FQ","BEST_FPERIOD_OVERRIDE=FQ","FILING_STATUS=MR","FA_ADJUSTED=GAAP","Sort=A","Dates=H","DateFormat=P","Fill=—","Direction=H","UseDPDF=Y")</f>
        <v>—</v>
      </c>
      <c r="V39" s="14">
        <f>_xll.BDH("ALNY US Equity","AVG_EV_TO_T12M_EBITDA","FQ2 2024","FQ2 2024","Currency=USD","Period=FQ","BEST_FPERIOD_OVERRIDE=FQ","FILING_STATUS=MR","FA_ADJUSTED=GAAP","Sort=A","Dates=H","DateFormat=P","Fill=—","Direction=H","UseDPDF=Y")</f>
        <v>153.5461</v>
      </c>
      <c r="W39" s="14">
        <f>_xll.BDH("ALNY US Equity","AVG_EV_TO_T12M_EBITDA","FQ3 2024","FQ3 2024","Currency=USD","Period=FQ","BEST_FPERIOD_OVERRIDE=FQ","FILING_STATUS=MR","FA_ADJUSTED=GAAP","Sort=A","Dates=H","DateFormat=P","Fill=—","Direction=H","UseDPDF=Y")</f>
        <v>166.00550000000001</v>
      </c>
      <c r="X39" s="14" t="str">
        <f>_xll.BDH("ALNY US Equity","AVG_EV_TO_T12M_EBITDA","FQ4 2024","FQ4 2024","Currency=USD","Period=FQ","BEST_FPERIOD_OVERRIDE=FQ","FILING_STATUS=MR","FA_ADJUSTED=GAAP","Sort=A","Dates=H","DateFormat=P","Fill=—","Direction=H","UseDPDF=Y")</f>
        <v>—</v>
      </c>
      <c r="Y39" s="17"/>
      <c r="Z39" s="14"/>
      <c r="AA39" s="14"/>
    </row>
    <row r="40" spans="1:27" x14ac:dyDescent="0.25">
      <c r="A40" s="10" t="s">
        <v>205</v>
      </c>
      <c r="B40" s="10" t="s">
        <v>233</v>
      </c>
      <c r="C40" s="14" t="str">
        <f>_xll.BDH("ALNY US Equity","HIGH_EV_TO_T12M_EBITDA","FQ3 2019","FQ3 2019","Currency=USD","Period=FQ","BEST_FPERIOD_OVERRIDE=FQ","FILING_STATUS=MR","FA_ADJUSTED=GAAP","Sort=A","Dates=H","DateFormat=P","Fill=—","Direction=H","UseDPDF=Y")</f>
        <v>—</v>
      </c>
      <c r="D40" s="14" t="str">
        <f>_xll.BDH("ALNY US Equity","HIGH_EV_TO_T12M_EBITDA","FQ4 2019","FQ4 2019","Currency=USD","Period=FQ","BEST_FPERIOD_OVERRIDE=FQ","FILING_STATUS=MR","FA_ADJUSTED=GAAP","Sort=A","Dates=H","DateFormat=P","Fill=—","Direction=H","UseDPDF=Y")</f>
        <v>—</v>
      </c>
      <c r="E40" s="14" t="str">
        <f>_xll.BDH("ALNY US Equity","HIGH_EV_TO_T12M_EBITDA","FQ1 2020","FQ1 2020","Currency=USD","Period=FQ","BEST_FPERIOD_OVERRIDE=FQ","FILING_STATUS=MR","FA_ADJUSTED=GAAP","Sort=A","Dates=H","DateFormat=P","Fill=—","Direction=H","UseDPDF=Y")</f>
        <v>—</v>
      </c>
      <c r="F40" s="14" t="str">
        <f>_xll.BDH("ALNY US Equity","HIGH_EV_TO_T12M_EBITDA","FQ2 2020","FQ2 2020","Currency=USD","Period=FQ","BEST_FPERIOD_OVERRIDE=FQ","FILING_STATUS=MR","FA_ADJUSTED=GAAP","Sort=A","Dates=H","DateFormat=P","Fill=—","Direction=H","UseDPDF=Y")</f>
        <v>—</v>
      </c>
      <c r="G40" s="14" t="str">
        <f>_xll.BDH("ALNY US Equity","HIGH_EV_TO_T12M_EBITDA","FQ3 2020","FQ3 2020","Currency=USD","Period=FQ","BEST_FPERIOD_OVERRIDE=FQ","FILING_STATUS=MR","FA_ADJUSTED=GAAP","Sort=A","Dates=H","DateFormat=P","Fill=—","Direction=H","UseDPDF=Y")</f>
        <v>—</v>
      </c>
      <c r="H40" s="14" t="str">
        <f>_xll.BDH("ALNY US Equity","HIGH_EV_TO_T12M_EBITDA","FQ4 2020","FQ4 2020","Currency=USD","Period=FQ","BEST_FPERIOD_OVERRIDE=FQ","FILING_STATUS=MR","FA_ADJUSTED=GAAP","Sort=A","Dates=H","DateFormat=P","Fill=—","Direction=H","UseDPDF=Y")</f>
        <v>—</v>
      </c>
      <c r="I40" s="14" t="str">
        <f>_xll.BDH("ALNY US Equity","HIGH_EV_TO_T12M_EBITDA","FQ1 2021","FQ1 2021","Currency=USD","Period=FQ","BEST_FPERIOD_OVERRIDE=FQ","FILING_STATUS=MR","FA_ADJUSTED=GAAP","Sort=A","Dates=H","DateFormat=P","Fill=—","Direction=H","UseDPDF=Y")</f>
        <v>—</v>
      </c>
      <c r="J40" s="14" t="str">
        <f>_xll.BDH("ALNY US Equity","HIGH_EV_TO_T12M_EBITDA","FQ2 2021","FQ2 2021","Currency=USD","Period=FQ","BEST_FPERIOD_OVERRIDE=FQ","FILING_STATUS=MR","FA_ADJUSTED=GAAP","Sort=A","Dates=H","DateFormat=P","Fill=—","Direction=H","UseDPDF=Y")</f>
        <v>—</v>
      </c>
      <c r="K40" s="14" t="str">
        <f>_xll.BDH("ALNY US Equity","HIGH_EV_TO_T12M_EBITDA","FQ3 2021","FQ3 2021","Currency=USD","Period=FQ","BEST_FPERIOD_OVERRIDE=FQ","FILING_STATUS=MR","FA_ADJUSTED=GAAP","Sort=A","Dates=H","DateFormat=P","Fill=—","Direction=H","UseDPDF=Y")</f>
        <v>—</v>
      </c>
      <c r="L40" s="14" t="str">
        <f>_xll.BDH("ALNY US Equity","HIGH_EV_TO_T12M_EBITDA","FQ4 2021","FQ4 2021","Currency=USD","Period=FQ","BEST_FPERIOD_OVERRIDE=FQ","FILING_STATUS=MR","FA_ADJUSTED=GAAP","Sort=A","Dates=H","DateFormat=P","Fill=—","Direction=H","UseDPDF=Y")</f>
        <v>—</v>
      </c>
      <c r="M40" s="14" t="str">
        <f>_xll.BDH("ALNY US Equity","HIGH_EV_TO_T12M_EBITDA","FQ1 2022","FQ1 2022","Currency=USD","Period=FQ","BEST_FPERIOD_OVERRIDE=FQ","FILING_STATUS=MR","FA_ADJUSTED=GAAP","Sort=A","Dates=H","DateFormat=P","Fill=—","Direction=H","UseDPDF=Y")</f>
        <v>—</v>
      </c>
      <c r="N40" s="14" t="str">
        <f>_xll.BDH("ALNY US Equity","HIGH_EV_TO_T12M_EBITDA","FQ2 2022","FQ2 2022","Currency=USD","Period=FQ","BEST_FPERIOD_OVERRIDE=FQ","FILING_STATUS=MR","FA_ADJUSTED=GAAP","Sort=A","Dates=H","DateFormat=P","Fill=—","Direction=H","UseDPDF=Y")</f>
        <v>—</v>
      </c>
      <c r="O40" s="14" t="str">
        <f>_xll.BDH("ALNY US Equity","HIGH_EV_TO_T12M_EBITDA","FQ3 2022","FQ3 2022","Currency=USD","Period=FQ","BEST_FPERIOD_OVERRIDE=FQ","FILING_STATUS=MR","FA_ADJUSTED=GAAP","Sort=A","Dates=H","DateFormat=P","Fill=—","Direction=H","UseDPDF=Y")</f>
        <v>—</v>
      </c>
      <c r="P40" s="14" t="str">
        <f>_xll.BDH("ALNY US Equity","HIGH_EV_TO_T12M_EBITDA","FQ4 2022","FQ4 2022","Currency=USD","Period=FQ","BEST_FPERIOD_OVERRIDE=FQ","FILING_STATUS=MR","FA_ADJUSTED=GAAP","Sort=A","Dates=H","DateFormat=P","Fill=—","Direction=H","UseDPDF=Y")</f>
        <v>—</v>
      </c>
      <c r="Q40" s="14" t="str">
        <f>_xll.BDH("ALNY US Equity","HIGH_EV_TO_T12M_EBITDA","FQ1 2023","FQ1 2023","Currency=USD","Period=FQ","BEST_FPERIOD_OVERRIDE=FQ","FILING_STATUS=MR","FA_ADJUSTED=GAAP","Sort=A","Dates=H","DateFormat=P","Fill=—","Direction=H","UseDPDF=Y")</f>
        <v>—</v>
      </c>
      <c r="R40" s="14" t="str">
        <f>_xll.BDH("ALNY US Equity","HIGH_EV_TO_T12M_EBITDA","FQ2 2023","FQ2 2023","Currency=USD","Period=FQ","BEST_FPERIOD_OVERRIDE=FQ","FILING_STATUS=MR","FA_ADJUSTED=GAAP","Sort=A","Dates=H","DateFormat=P","Fill=—","Direction=H","UseDPDF=Y")</f>
        <v>—</v>
      </c>
      <c r="S40" s="14" t="str">
        <f>_xll.BDH("ALNY US Equity","HIGH_EV_TO_T12M_EBITDA","FQ3 2023","FQ3 2023","Currency=USD","Period=FQ","BEST_FPERIOD_OVERRIDE=FQ","FILING_STATUS=MR","FA_ADJUSTED=GAAP","Sort=A","Dates=H","DateFormat=P","Fill=—","Direction=H","UseDPDF=Y")</f>
        <v>—</v>
      </c>
      <c r="T40" s="14" t="str">
        <f>_xll.BDH("ALNY US Equity","HIGH_EV_TO_T12M_EBITDA","FQ4 2023","FQ4 2023","Currency=USD","Period=FQ","BEST_FPERIOD_OVERRIDE=FQ","FILING_STATUS=MR","FA_ADJUSTED=GAAP","Sort=A","Dates=H","DateFormat=P","Fill=—","Direction=H","UseDPDF=Y")</f>
        <v>—</v>
      </c>
      <c r="U40" s="14" t="str">
        <f>_xll.BDH("ALNY US Equity","HIGH_EV_TO_T12M_EBITDA","FQ1 2024","FQ1 2024","Currency=USD","Period=FQ","BEST_FPERIOD_OVERRIDE=FQ","FILING_STATUS=MR","FA_ADJUSTED=GAAP","Sort=A","Dates=H","DateFormat=P","Fill=—","Direction=H","UseDPDF=Y")</f>
        <v>—</v>
      </c>
      <c r="V40" s="14">
        <f>_xll.BDH("ALNY US Equity","HIGH_EV_TO_T12M_EBITDA","FQ2 2024","FQ2 2024","Currency=USD","Period=FQ","BEST_FPERIOD_OVERRIDE=FQ","FILING_STATUS=MR","FA_ADJUSTED=GAAP","Sort=A","Dates=H","DateFormat=P","Fill=—","Direction=H","UseDPDF=Y")</f>
        <v>153.5461</v>
      </c>
      <c r="W40" s="14">
        <f>_xll.BDH("ALNY US Equity","HIGH_EV_TO_T12M_EBITDA","FQ3 2024","FQ3 2024","Currency=USD","Period=FQ","BEST_FPERIOD_OVERRIDE=FQ","FILING_STATUS=MR","FA_ADJUSTED=GAAP","Sort=A","Dates=H","DateFormat=P","Fill=—","Direction=H","UseDPDF=Y")</f>
        <v>184.04150000000001</v>
      </c>
      <c r="X40" s="14" t="str">
        <f>_xll.BDH("ALNY US Equity","HIGH_EV_TO_T12M_EBITDA","FQ4 2024","FQ4 2024","Currency=USD","Period=FQ","BEST_FPERIOD_OVERRIDE=FQ","FILING_STATUS=MR","FA_ADJUSTED=GAAP","Sort=A","Dates=H","DateFormat=P","Fill=—","Direction=H","UseDPDF=Y")</f>
        <v>—</v>
      </c>
      <c r="Y40" s="17"/>
      <c r="Z40" s="14"/>
      <c r="AA40" s="14"/>
    </row>
    <row r="41" spans="1:27" x14ac:dyDescent="0.25">
      <c r="A41" s="10" t="s">
        <v>207</v>
      </c>
      <c r="B41" s="10" t="s">
        <v>234</v>
      </c>
      <c r="C41" s="14" t="str">
        <f>_xll.BDH("ALNY US Equity","LOW_EV_TO_T12M_EBITDA","FQ3 2019","FQ3 2019","Currency=USD","Period=FQ","BEST_FPERIOD_OVERRIDE=FQ","FILING_STATUS=MR","FA_ADJUSTED=GAAP","Sort=A","Dates=H","DateFormat=P","Fill=—","Direction=H","UseDPDF=Y")</f>
        <v>—</v>
      </c>
      <c r="D41" s="14" t="str">
        <f>_xll.BDH("ALNY US Equity","LOW_EV_TO_T12M_EBITDA","FQ4 2019","FQ4 2019","Currency=USD","Period=FQ","BEST_FPERIOD_OVERRIDE=FQ","FILING_STATUS=MR","FA_ADJUSTED=GAAP","Sort=A","Dates=H","DateFormat=P","Fill=—","Direction=H","UseDPDF=Y")</f>
        <v>—</v>
      </c>
      <c r="E41" s="14" t="str">
        <f>_xll.BDH("ALNY US Equity","LOW_EV_TO_T12M_EBITDA","FQ1 2020","FQ1 2020","Currency=USD","Period=FQ","BEST_FPERIOD_OVERRIDE=FQ","FILING_STATUS=MR","FA_ADJUSTED=GAAP","Sort=A","Dates=H","DateFormat=P","Fill=—","Direction=H","UseDPDF=Y")</f>
        <v>—</v>
      </c>
      <c r="F41" s="14" t="str">
        <f>_xll.BDH("ALNY US Equity","LOW_EV_TO_T12M_EBITDA","FQ2 2020","FQ2 2020","Currency=USD","Period=FQ","BEST_FPERIOD_OVERRIDE=FQ","FILING_STATUS=MR","FA_ADJUSTED=GAAP","Sort=A","Dates=H","DateFormat=P","Fill=—","Direction=H","UseDPDF=Y")</f>
        <v>—</v>
      </c>
      <c r="G41" s="14" t="str">
        <f>_xll.BDH("ALNY US Equity","LOW_EV_TO_T12M_EBITDA","FQ3 2020","FQ3 2020","Currency=USD","Period=FQ","BEST_FPERIOD_OVERRIDE=FQ","FILING_STATUS=MR","FA_ADJUSTED=GAAP","Sort=A","Dates=H","DateFormat=P","Fill=—","Direction=H","UseDPDF=Y")</f>
        <v>—</v>
      </c>
      <c r="H41" s="14" t="str">
        <f>_xll.BDH("ALNY US Equity","LOW_EV_TO_T12M_EBITDA","FQ4 2020","FQ4 2020","Currency=USD","Period=FQ","BEST_FPERIOD_OVERRIDE=FQ","FILING_STATUS=MR","FA_ADJUSTED=GAAP","Sort=A","Dates=H","DateFormat=P","Fill=—","Direction=H","UseDPDF=Y")</f>
        <v>—</v>
      </c>
      <c r="I41" s="14" t="str">
        <f>_xll.BDH("ALNY US Equity","LOW_EV_TO_T12M_EBITDA","FQ1 2021","FQ1 2021","Currency=USD","Period=FQ","BEST_FPERIOD_OVERRIDE=FQ","FILING_STATUS=MR","FA_ADJUSTED=GAAP","Sort=A","Dates=H","DateFormat=P","Fill=—","Direction=H","UseDPDF=Y")</f>
        <v>—</v>
      </c>
      <c r="J41" s="14" t="str">
        <f>_xll.BDH("ALNY US Equity","LOW_EV_TO_T12M_EBITDA","FQ2 2021","FQ2 2021","Currency=USD","Period=FQ","BEST_FPERIOD_OVERRIDE=FQ","FILING_STATUS=MR","FA_ADJUSTED=GAAP","Sort=A","Dates=H","DateFormat=P","Fill=—","Direction=H","UseDPDF=Y")</f>
        <v>—</v>
      </c>
      <c r="K41" s="14" t="str">
        <f>_xll.BDH("ALNY US Equity","LOW_EV_TO_T12M_EBITDA","FQ3 2021","FQ3 2021","Currency=USD","Period=FQ","BEST_FPERIOD_OVERRIDE=FQ","FILING_STATUS=MR","FA_ADJUSTED=GAAP","Sort=A","Dates=H","DateFormat=P","Fill=—","Direction=H","UseDPDF=Y")</f>
        <v>—</v>
      </c>
      <c r="L41" s="14" t="str">
        <f>_xll.BDH("ALNY US Equity","LOW_EV_TO_T12M_EBITDA","FQ4 2021","FQ4 2021","Currency=USD","Period=FQ","BEST_FPERIOD_OVERRIDE=FQ","FILING_STATUS=MR","FA_ADJUSTED=GAAP","Sort=A","Dates=H","DateFormat=P","Fill=—","Direction=H","UseDPDF=Y")</f>
        <v>—</v>
      </c>
      <c r="M41" s="14" t="str">
        <f>_xll.BDH("ALNY US Equity","LOW_EV_TO_T12M_EBITDA","FQ1 2022","FQ1 2022","Currency=USD","Period=FQ","BEST_FPERIOD_OVERRIDE=FQ","FILING_STATUS=MR","FA_ADJUSTED=GAAP","Sort=A","Dates=H","DateFormat=P","Fill=—","Direction=H","UseDPDF=Y")</f>
        <v>—</v>
      </c>
      <c r="N41" s="14" t="str">
        <f>_xll.BDH("ALNY US Equity","LOW_EV_TO_T12M_EBITDA","FQ2 2022","FQ2 2022","Currency=USD","Period=FQ","BEST_FPERIOD_OVERRIDE=FQ","FILING_STATUS=MR","FA_ADJUSTED=GAAP","Sort=A","Dates=H","DateFormat=P","Fill=—","Direction=H","UseDPDF=Y")</f>
        <v>—</v>
      </c>
      <c r="O41" s="14" t="str">
        <f>_xll.BDH("ALNY US Equity","LOW_EV_TO_T12M_EBITDA","FQ3 2022","FQ3 2022","Currency=USD","Period=FQ","BEST_FPERIOD_OVERRIDE=FQ","FILING_STATUS=MR","FA_ADJUSTED=GAAP","Sort=A","Dates=H","DateFormat=P","Fill=—","Direction=H","UseDPDF=Y")</f>
        <v>—</v>
      </c>
      <c r="P41" s="14" t="str">
        <f>_xll.BDH("ALNY US Equity","LOW_EV_TO_T12M_EBITDA","FQ4 2022","FQ4 2022","Currency=USD","Period=FQ","BEST_FPERIOD_OVERRIDE=FQ","FILING_STATUS=MR","FA_ADJUSTED=GAAP","Sort=A","Dates=H","DateFormat=P","Fill=—","Direction=H","UseDPDF=Y")</f>
        <v>—</v>
      </c>
      <c r="Q41" s="14" t="str">
        <f>_xll.BDH("ALNY US Equity","LOW_EV_TO_T12M_EBITDA","FQ1 2023","FQ1 2023","Currency=USD","Period=FQ","BEST_FPERIOD_OVERRIDE=FQ","FILING_STATUS=MR","FA_ADJUSTED=GAAP","Sort=A","Dates=H","DateFormat=P","Fill=—","Direction=H","UseDPDF=Y")</f>
        <v>—</v>
      </c>
      <c r="R41" s="14" t="str">
        <f>_xll.BDH("ALNY US Equity","LOW_EV_TO_T12M_EBITDA","FQ2 2023","FQ2 2023","Currency=USD","Period=FQ","BEST_FPERIOD_OVERRIDE=FQ","FILING_STATUS=MR","FA_ADJUSTED=GAAP","Sort=A","Dates=H","DateFormat=P","Fill=—","Direction=H","UseDPDF=Y")</f>
        <v>—</v>
      </c>
      <c r="S41" s="14" t="str">
        <f>_xll.BDH("ALNY US Equity","LOW_EV_TO_T12M_EBITDA","FQ3 2023","FQ3 2023","Currency=USD","Period=FQ","BEST_FPERIOD_OVERRIDE=FQ","FILING_STATUS=MR","FA_ADJUSTED=GAAP","Sort=A","Dates=H","DateFormat=P","Fill=—","Direction=H","UseDPDF=Y")</f>
        <v>—</v>
      </c>
      <c r="T41" s="14" t="str">
        <f>_xll.BDH("ALNY US Equity","LOW_EV_TO_T12M_EBITDA","FQ4 2023","FQ4 2023","Currency=USD","Period=FQ","BEST_FPERIOD_OVERRIDE=FQ","FILING_STATUS=MR","FA_ADJUSTED=GAAP","Sort=A","Dates=H","DateFormat=P","Fill=—","Direction=H","UseDPDF=Y")</f>
        <v>—</v>
      </c>
      <c r="U41" s="14" t="str">
        <f>_xll.BDH("ALNY US Equity","LOW_EV_TO_T12M_EBITDA","FQ1 2024","FQ1 2024","Currency=USD","Period=FQ","BEST_FPERIOD_OVERRIDE=FQ","FILING_STATUS=MR","FA_ADJUSTED=GAAP","Sort=A","Dates=H","DateFormat=P","Fill=—","Direction=H","UseDPDF=Y")</f>
        <v>—</v>
      </c>
      <c r="V41" s="14">
        <f>_xll.BDH("ALNY US Equity","LOW_EV_TO_T12M_EBITDA","FQ2 2024","FQ2 2024","Currency=USD","Period=FQ","BEST_FPERIOD_OVERRIDE=FQ","FILING_STATUS=MR","FA_ADJUSTED=GAAP","Sort=A","Dates=H","DateFormat=P","Fill=—","Direction=H","UseDPDF=Y")</f>
        <v>153.5461</v>
      </c>
      <c r="W41" s="14">
        <f>_xll.BDH("ALNY US Equity","LOW_EV_TO_T12M_EBITDA","FQ3 2024","FQ3 2024","Currency=USD","Period=FQ","BEST_FPERIOD_OVERRIDE=FQ","FILING_STATUS=MR","FA_ADJUSTED=GAAP","Sort=A","Dates=H","DateFormat=P","Fill=—","Direction=H","UseDPDF=Y")</f>
        <v>147.7433</v>
      </c>
      <c r="X41" s="14" t="str">
        <f>_xll.BDH("ALNY US Equity","LOW_EV_TO_T12M_EBITDA","FQ4 2024","FQ4 2024","Currency=USD","Period=FQ","BEST_FPERIOD_OVERRIDE=FQ","FILING_STATUS=MR","FA_ADJUSTED=GAAP","Sort=A","Dates=H","DateFormat=P","Fill=—","Direction=H","UseDPDF=Y")</f>
        <v>—</v>
      </c>
      <c r="Y41" s="17"/>
      <c r="Z41" s="14"/>
      <c r="AA41" s="14"/>
    </row>
    <row r="42" spans="1:27" x14ac:dyDescent="0.25">
      <c r="A42" s="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21"/>
      <c r="Z42" s="18"/>
      <c r="AA42" s="18"/>
    </row>
    <row r="43" spans="1:27" x14ac:dyDescent="0.25">
      <c r="A43" s="6" t="s">
        <v>182</v>
      </c>
      <c r="B43" s="6" t="s">
        <v>183</v>
      </c>
      <c r="C43" s="20" t="str">
        <f>_xll.BDH("ALNY US Equity","EV_TO_T12M_EBIT","FQ3 2019","FQ3 2019","Currency=USD","Period=FQ","BEST_FPERIOD_OVERRIDE=FQ","FILING_STATUS=MR","FA_ADJUSTED=GAAP","Sort=A","Dates=H","DateFormat=P","Fill=—","Direction=H","UseDPDF=Y")</f>
        <v>—</v>
      </c>
      <c r="D43" s="20" t="str">
        <f>_xll.BDH("ALNY US Equity","EV_TO_T12M_EBIT","FQ4 2019","FQ4 2019","Currency=USD","Period=FQ","BEST_FPERIOD_OVERRIDE=FQ","FILING_STATUS=MR","FA_ADJUSTED=GAAP","Sort=A","Dates=H","DateFormat=P","Fill=—","Direction=H","UseDPDF=Y")</f>
        <v>—</v>
      </c>
      <c r="E43" s="20" t="str">
        <f>_xll.BDH("ALNY US Equity","EV_TO_T12M_EBIT","FQ1 2020","FQ1 2020","Currency=USD","Period=FQ","BEST_FPERIOD_OVERRIDE=FQ","FILING_STATUS=MR","FA_ADJUSTED=GAAP","Sort=A","Dates=H","DateFormat=P","Fill=—","Direction=H","UseDPDF=Y")</f>
        <v>—</v>
      </c>
      <c r="F43" s="20" t="str">
        <f>_xll.BDH("ALNY US Equity","EV_TO_T12M_EBIT","FQ2 2020","FQ2 2020","Currency=USD","Period=FQ","BEST_FPERIOD_OVERRIDE=FQ","FILING_STATUS=MR","FA_ADJUSTED=GAAP","Sort=A","Dates=H","DateFormat=P","Fill=—","Direction=H","UseDPDF=Y")</f>
        <v>—</v>
      </c>
      <c r="G43" s="20" t="str">
        <f>_xll.BDH("ALNY US Equity","EV_TO_T12M_EBIT","FQ3 2020","FQ3 2020","Currency=USD","Period=FQ","BEST_FPERIOD_OVERRIDE=FQ","FILING_STATUS=MR","FA_ADJUSTED=GAAP","Sort=A","Dates=H","DateFormat=P","Fill=—","Direction=H","UseDPDF=Y")</f>
        <v>—</v>
      </c>
      <c r="H43" s="20" t="str">
        <f>_xll.BDH("ALNY US Equity","EV_TO_T12M_EBIT","FQ4 2020","FQ4 2020","Currency=USD","Period=FQ","BEST_FPERIOD_OVERRIDE=FQ","FILING_STATUS=MR","FA_ADJUSTED=GAAP","Sort=A","Dates=H","DateFormat=P","Fill=—","Direction=H","UseDPDF=Y")</f>
        <v>—</v>
      </c>
      <c r="I43" s="20" t="str">
        <f>_xll.BDH("ALNY US Equity","EV_TO_T12M_EBIT","FQ1 2021","FQ1 2021","Currency=USD","Period=FQ","BEST_FPERIOD_OVERRIDE=FQ","FILING_STATUS=MR","FA_ADJUSTED=GAAP","Sort=A","Dates=H","DateFormat=P","Fill=—","Direction=H","UseDPDF=Y")</f>
        <v>—</v>
      </c>
      <c r="J43" s="20" t="str">
        <f>_xll.BDH("ALNY US Equity","EV_TO_T12M_EBIT","FQ2 2021","FQ2 2021","Currency=USD","Period=FQ","BEST_FPERIOD_OVERRIDE=FQ","FILING_STATUS=MR","FA_ADJUSTED=GAAP","Sort=A","Dates=H","DateFormat=P","Fill=—","Direction=H","UseDPDF=Y")</f>
        <v>—</v>
      </c>
      <c r="K43" s="20" t="str">
        <f>_xll.BDH("ALNY US Equity","EV_TO_T12M_EBIT","FQ3 2021","FQ3 2021","Currency=USD","Period=FQ","BEST_FPERIOD_OVERRIDE=FQ","FILING_STATUS=MR","FA_ADJUSTED=GAAP","Sort=A","Dates=H","DateFormat=P","Fill=—","Direction=H","UseDPDF=Y")</f>
        <v>—</v>
      </c>
      <c r="L43" s="20" t="str">
        <f>_xll.BDH("ALNY US Equity","EV_TO_T12M_EBIT","FQ4 2021","FQ4 2021","Currency=USD","Period=FQ","BEST_FPERIOD_OVERRIDE=FQ","FILING_STATUS=MR","FA_ADJUSTED=GAAP","Sort=A","Dates=H","DateFormat=P","Fill=—","Direction=H","UseDPDF=Y")</f>
        <v>—</v>
      </c>
      <c r="M43" s="20" t="str">
        <f>_xll.BDH("ALNY US Equity","EV_TO_T12M_EBIT","FQ1 2022","FQ1 2022","Currency=USD","Period=FQ","BEST_FPERIOD_OVERRIDE=FQ","FILING_STATUS=MR","FA_ADJUSTED=GAAP","Sort=A","Dates=H","DateFormat=P","Fill=—","Direction=H","UseDPDF=Y")</f>
        <v>—</v>
      </c>
      <c r="N43" s="20" t="str">
        <f>_xll.BDH("ALNY US Equity","EV_TO_T12M_EBIT","FQ2 2022","FQ2 2022","Currency=USD","Period=FQ","BEST_FPERIOD_OVERRIDE=FQ","FILING_STATUS=MR","FA_ADJUSTED=GAAP","Sort=A","Dates=H","DateFormat=P","Fill=—","Direction=H","UseDPDF=Y")</f>
        <v>—</v>
      </c>
      <c r="O43" s="20" t="str">
        <f>_xll.BDH("ALNY US Equity","EV_TO_T12M_EBIT","FQ3 2022","FQ3 2022","Currency=USD","Period=FQ","BEST_FPERIOD_OVERRIDE=FQ","FILING_STATUS=MR","FA_ADJUSTED=GAAP","Sort=A","Dates=H","DateFormat=P","Fill=—","Direction=H","UseDPDF=Y")</f>
        <v>—</v>
      </c>
      <c r="P43" s="20" t="str">
        <f>_xll.BDH("ALNY US Equity","EV_TO_T12M_EBIT","FQ4 2022","FQ4 2022","Currency=USD","Period=FQ","BEST_FPERIOD_OVERRIDE=FQ","FILING_STATUS=MR","FA_ADJUSTED=GAAP","Sort=A","Dates=H","DateFormat=P","Fill=—","Direction=H","UseDPDF=Y")</f>
        <v>—</v>
      </c>
      <c r="Q43" s="20" t="str">
        <f>_xll.BDH("ALNY US Equity","EV_TO_T12M_EBIT","FQ1 2023","FQ1 2023","Currency=USD","Period=FQ","BEST_FPERIOD_OVERRIDE=FQ","FILING_STATUS=MR","FA_ADJUSTED=GAAP","Sort=A","Dates=H","DateFormat=P","Fill=—","Direction=H","UseDPDF=Y")</f>
        <v>—</v>
      </c>
      <c r="R43" s="20" t="str">
        <f>_xll.BDH("ALNY US Equity","EV_TO_T12M_EBIT","FQ2 2023","FQ2 2023","Currency=USD","Period=FQ","BEST_FPERIOD_OVERRIDE=FQ","FILING_STATUS=MR","FA_ADJUSTED=GAAP","Sort=A","Dates=H","DateFormat=P","Fill=—","Direction=H","UseDPDF=Y")</f>
        <v>—</v>
      </c>
      <c r="S43" s="20" t="str">
        <f>_xll.BDH("ALNY US Equity","EV_TO_T12M_EBIT","FQ3 2023","FQ3 2023","Currency=USD","Period=FQ","BEST_FPERIOD_OVERRIDE=FQ","FILING_STATUS=MR","FA_ADJUSTED=GAAP","Sort=A","Dates=H","DateFormat=P","Fill=—","Direction=H","UseDPDF=Y")</f>
        <v>—</v>
      </c>
      <c r="T43" s="20" t="str">
        <f>_xll.BDH("ALNY US Equity","EV_TO_T12M_EBIT","FQ4 2023","FQ4 2023","Currency=USD","Period=FQ","BEST_FPERIOD_OVERRIDE=FQ","FILING_STATUS=MR","FA_ADJUSTED=GAAP","Sort=A","Dates=H","DateFormat=P","Fill=—","Direction=H","UseDPDF=Y")</f>
        <v>—</v>
      </c>
      <c r="U43" s="20" t="str">
        <f>_xll.BDH("ALNY US Equity","EV_TO_T12M_EBIT","FQ1 2024","FQ1 2024","Currency=USD","Period=FQ","BEST_FPERIOD_OVERRIDE=FQ","FILING_STATUS=MR","FA_ADJUSTED=GAAP","Sort=A","Dates=H","DateFormat=P","Fill=—","Direction=H","UseDPDF=Y")</f>
        <v>—</v>
      </c>
      <c r="V43" s="20">
        <f>_xll.BDH("ALNY US Equity","EV_TO_T12M_EBIT","FQ2 2024","FQ2 2024","Currency=USD","Period=FQ","BEST_FPERIOD_OVERRIDE=FQ","FILING_STATUS=MR","FA_ADJUSTED=GAAP","Sort=A","Dates=H","DateFormat=P","Fill=—","Direction=H","UseDPDF=Y")</f>
        <v>303.29430000000002</v>
      </c>
      <c r="W43" s="20" t="str">
        <f>_xll.BDH("ALNY US Equity","EV_TO_T12M_EBIT","FQ3 2024","FQ3 2024","Currency=USD","Period=FQ","BEST_FPERIOD_OVERRIDE=FQ","FILING_STATUS=MR","FA_ADJUSTED=GAAP","Sort=A","Dates=H","DateFormat=P","Fill=—","Direction=H","UseDPDF=Y")</f>
        <v>—</v>
      </c>
      <c r="X43" s="20" t="str">
        <f>_xll.BDH("ALNY US Equity","EV_TO_T12M_EBIT","FQ4 2024","FQ4 2024","Currency=USD","Period=FQ","BEST_FPERIOD_OVERRIDE=FQ","FILING_STATUS=MR","FA_ADJUSTED=GAAP","Sort=A","Dates=H","DateFormat=P","Fill=—","Direction=H","UseDPDF=Y")</f>
        <v>—</v>
      </c>
      <c r="Y43" s="23"/>
      <c r="Z43" s="20">
        <v>-401.49883666594798</v>
      </c>
      <c r="AA43" s="20">
        <v>-11772.504350965901</v>
      </c>
    </row>
    <row r="44" spans="1:27" x14ac:dyDescent="0.25">
      <c r="A44" s="10" t="s">
        <v>203</v>
      </c>
      <c r="B44" s="10" t="s">
        <v>235</v>
      </c>
      <c r="C44" s="14" t="str">
        <f>_xll.BDH("ALNY US Equity","AVERAGE_EV_TO_T12M_EBIT","FQ3 2019","FQ3 2019","Currency=USD","Period=FQ","BEST_FPERIOD_OVERRIDE=FQ","FILING_STATUS=MR","FA_ADJUSTED=GAAP","Sort=A","Dates=H","DateFormat=P","Fill=—","Direction=H","UseDPDF=Y")</f>
        <v>—</v>
      </c>
      <c r="D44" s="14" t="str">
        <f>_xll.BDH("ALNY US Equity","AVERAGE_EV_TO_T12M_EBIT","FQ4 2019","FQ4 2019","Currency=USD","Period=FQ","BEST_FPERIOD_OVERRIDE=FQ","FILING_STATUS=MR","FA_ADJUSTED=GAAP","Sort=A","Dates=H","DateFormat=P","Fill=—","Direction=H","UseDPDF=Y")</f>
        <v>—</v>
      </c>
      <c r="E44" s="14" t="str">
        <f>_xll.BDH("ALNY US Equity","AVERAGE_EV_TO_T12M_EBIT","FQ1 2020","FQ1 2020","Currency=USD","Period=FQ","BEST_FPERIOD_OVERRIDE=FQ","FILING_STATUS=MR","FA_ADJUSTED=GAAP","Sort=A","Dates=H","DateFormat=P","Fill=—","Direction=H","UseDPDF=Y")</f>
        <v>—</v>
      </c>
      <c r="F44" s="14" t="str">
        <f>_xll.BDH("ALNY US Equity","AVERAGE_EV_TO_T12M_EBIT","FQ2 2020","FQ2 2020","Currency=USD","Period=FQ","BEST_FPERIOD_OVERRIDE=FQ","FILING_STATUS=MR","FA_ADJUSTED=GAAP","Sort=A","Dates=H","DateFormat=P","Fill=—","Direction=H","UseDPDF=Y")</f>
        <v>—</v>
      </c>
      <c r="G44" s="14" t="str">
        <f>_xll.BDH("ALNY US Equity","AVERAGE_EV_TO_T12M_EBIT","FQ3 2020","FQ3 2020","Currency=USD","Period=FQ","BEST_FPERIOD_OVERRIDE=FQ","FILING_STATUS=MR","FA_ADJUSTED=GAAP","Sort=A","Dates=H","DateFormat=P","Fill=—","Direction=H","UseDPDF=Y")</f>
        <v>—</v>
      </c>
      <c r="H44" s="14" t="str">
        <f>_xll.BDH("ALNY US Equity","AVERAGE_EV_TO_T12M_EBIT","FQ4 2020","FQ4 2020","Currency=USD","Period=FQ","BEST_FPERIOD_OVERRIDE=FQ","FILING_STATUS=MR","FA_ADJUSTED=GAAP","Sort=A","Dates=H","DateFormat=P","Fill=—","Direction=H","UseDPDF=Y")</f>
        <v>—</v>
      </c>
      <c r="I44" s="14" t="str">
        <f>_xll.BDH("ALNY US Equity","AVERAGE_EV_TO_T12M_EBIT","FQ1 2021","FQ1 2021","Currency=USD","Period=FQ","BEST_FPERIOD_OVERRIDE=FQ","FILING_STATUS=MR","FA_ADJUSTED=GAAP","Sort=A","Dates=H","DateFormat=P","Fill=—","Direction=H","UseDPDF=Y")</f>
        <v>—</v>
      </c>
      <c r="J44" s="14" t="str">
        <f>_xll.BDH("ALNY US Equity","AVERAGE_EV_TO_T12M_EBIT","FQ2 2021","FQ2 2021","Currency=USD","Period=FQ","BEST_FPERIOD_OVERRIDE=FQ","FILING_STATUS=MR","FA_ADJUSTED=GAAP","Sort=A","Dates=H","DateFormat=P","Fill=—","Direction=H","UseDPDF=Y")</f>
        <v>—</v>
      </c>
      <c r="K44" s="14" t="str">
        <f>_xll.BDH("ALNY US Equity","AVERAGE_EV_TO_T12M_EBIT","FQ3 2021","FQ3 2021","Currency=USD","Period=FQ","BEST_FPERIOD_OVERRIDE=FQ","FILING_STATUS=MR","FA_ADJUSTED=GAAP","Sort=A","Dates=H","DateFormat=P","Fill=—","Direction=H","UseDPDF=Y")</f>
        <v>—</v>
      </c>
      <c r="L44" s="14" t="str">
        <f>_xll.BDH("ALNY US Equity","AVERAGE_EV_TO_T12M_EBIT","FQ4 2021","FQ4 2021","Currency=USD","Period=FQ","BEST_FPERIOD_OVERRIDE=FQ","FILING_STATUS=MR","FA_ADJUSTED=GAAP","Sort=A","Dates=H","DateFormat=P","Fill=—","Direction=H","UseDPDF=Y")</f>
        <v>—</v>
      </c>
      <c r="M44" s="14" t="str">
        <f>_xll.BDH("ALNY US Equity","AVERAGE_EV_TO_T12M_EBIT","FQ1 2022","FQ1 2022","Currency=USD","Period=FQ","BEST_FPERIOD_OVERRIDE=FQ","FILING_STATUS=MR","FA_ADJUSTED=GAAP","Sort=A","Dates=H","DateFormat=P","Fill=—","Direction=H","UseDPDF=Y")</f>
        <v>—</v>
      </c>
      <c r="N44" s="14" t="str">
        <f>_xll.BDH("ALNY US Equity","AVERAGE_EV_TO_T12M_EBIT","FQ2 2022","FQ2 2022","Currency=USD","Period=FQ","BEST_FPERIOD_OVERRIDE=FQ","FILING_STATUS=MR","FA_ADJUSTED=GAAP","Sort=A","Dates=H","DateFormat=P","Fill=—","Direction=H","UseDPDF=Y")</f>
        <v>—</v>
      </c>
      <c r="O44" s="14" t="str">
        <f>_xll.BDH("ALNY US Equity","AVERAGE_EV_TO_T12M_EBIT","FQ3 2022","FQ3 2022","Currency=USD","Period=FQ","BEST_FPERIOD_OVERRIDE=FQ","FILING_STATUS=MR","FA_ADJUSTED=GAAP","Sort=A","Dates=H","DateFormat=P","Fill=—","Direction=H","UseDPDF=Y")</f>
        <v>—</v>
      </c>
      <c r="P44" s="14" t="str">
        <f>_xll.BDH("ALNY US Equity","AVERAGE_EV_TO_T12M_EBIT","FQ4 2022","FQ4 2022","Currency=USD","Period=FQ","BEST_FPERIOD_OVERRIDE=FQ","FILING_STATUS=MR","FA_ADJUSTED=GAAP","Sort=A","Dates=H","DateFormat=P","Fill=—","Direction=H","UseDPDF=Y")</f>
        <v>—</v>
      </c>
      <c r="Q44" s="14" t="str">
        <f>_xll.BDH("ALNY US Equity","AVERAGE_EV_TO_T12M_EBIT","FQ1 2023","FQ1 2023","Currency=USD","Period=FQ","BEST_FPERIOD_OVERRIDE=FQ","FILING_STATUS=MR","FA_ADJUSTED=GAAP","Sort=A","Dates=H","DateFormat=P","Fill=—","Direction=H","UseDPDF=Y")</f>
        <v>—</v>
      </c>
      <c r="R44" s="14" t="str">
        <f>_xll.BDH("ALNY US Equity","AVERAGE_EV_TO_T12M_EBIT","FQ2 2023","FQ2 2023","Currency=USD","Period=FQ","BEST_FPERIOD_OVERRIDE=FQ","FILING_STATUS=MR","FA_ADJUSTED=GAAP","Sort=A","Dates=H","DateFormat=P","Fill=—","Direction=H","UseDPDF=Y")</f>
        <v>—</v>
      </c>
      <c r="S44" s="14" t="str">
        <f>_xll.BDH("ALNY US Equity","AVERAGE_EV_TO_T12M_EBIT","FQ3 2023","FQ3 2023","Currency=USD","Period=FQ","BEST_FPERIOD_OVERRIDE=FQ","FILING_STATUS=MR","FA_ADJUSTED=GAAP","Sort=A","Dates=H","DateFormat=P","Fill=—","Direction=H","UseDPDF=Y")</f>
        <v>—</v>
      </c>
      <c r="T44" s="14" t="str">
        <f>_xll.BDH("ALNY US Equity","AVERAGE_EV_TO_T12M_EBIT","FQ4 2023","FQ4 2023","Currency=USD","Period=FQ","BEST_FPERIOD_OVERRIDE=FQ","FILING_STATUS=MR","FA_ADJUSTED=GAAP","Sort=A","Dates=H","DateFormat=P","Fill=—","Direction=H","UseDPDF=Y")</f>
        <v>—</v>
      </c>
      <c r="U44" s="14" t="str">
        <f>_xll.BDH("ALNY US Equity","AVERAGE_EV_TO_T12M_EBIT","FQ1 2024","FQ1 2024","Currency=USD","Period=FQ","BEST_FPERIOD_OVERRIDE=FQ","FILING_STATUS=MR","FA_ADJUSTED=GAAP","Sort=A","Dates=H","DateFormat=P","Fill=—","Direction=H","UseDPDF=Y")</f>
        <v>—</v>
      </c>
      <c r="V44" s="14">
        <f>_xll.BDH("ALNY US Equity","AVERAGE_EV_TO_T12M_EBIT","FQ2 2024","FQ2 2024","Currency=USD","Period=FQ","BEST_FPERIOD_OVERRIDE=FQ","FILING_STATUS=MR","FA_ADJUSTED=GAAP","Sort=A","Dates=H","DateFormat=P","Fill=—","Direction=H","UseDPDF=Y")</f>
        <v>299.6739</v>
      </c>
      <c r="W44" s="14">
        <f>_xll.BDH("ALNY US Equity","AVERAGE_EV_TO_T12M_EBIT","FQ3 2024","FQ3 2024","Currency=USD","Period=FQ","BEST_FPERIOD_OVERRIDE=FQ","FILING_STATUS=MR","FA_ADJUSTED=GAAP","Sort=A","Dates=H","DateFormat=P","Fill=—","Direction=H","UseDPDF=Y")</f>
        <v>323.9907</v>
      </c>
      <c r="X44" s="14" t="str">
        <f>_xll.BDH("ALNY US Equity","AVERAGE_EV_TO_T12M_EBIT","FQ4 2024","FQ4 2024","Currency=USD","Period=FQ","BEST_FPERIOD_OVERRIDE=FQ","FILING_STATUS=MR","FA_ADJUSTED=GAAP","Sort=A","Dates=H","DateFormat=P","Fill=—","Direction=H","UseDPDF=Y")</f>
        <v>—</v>
      </c>
      <c r="Y44" s="17"/>
      <c r="Z44" s="14"/>
      <c r="AA44" s="14"/>
    </row>
    <row r="45" spans="1:27" x14ac:dyDescent="0.25">
      <c r="A45" s="10" t="s">
        <v>205</v>
      </c>
      <c r="B45" s="10" t="s">
        <v>236</v>
      </c>
      <c r="C45" s="14" t="str">
        <f>_xll.BDH("ALNY US Equity","HIGH_EV_TO_T12M_EBIT","FQ3 2019","FQ3 2019","Currency=USD","Period=FQ","BEST_FPERIOD_OVERRIDE=FQ","FILING_STATUS=MR","FA_ADJUSTED=GAAP","Sort=A","Dates=H","DateFormat=P","Fill=—","Direction=H","UseDPDF=Y")</f>
        <v>—</v>
      </c>
      <c r="D45" s="14" t="str">
        <f>_xll.BDH("ALNY US Equity","HIGH_EV_TO_T12M_EBIT","FQ4 2019","FQ4 2019","Currency=USD","Period=FQ","BEST_FPERIOD_OVERRIDE=FQ","FILING_STATUS=MR","FA_ADJUSTED=GAAP","Sort=A","Dates=H","DateFormat=P","Fill=—","Direction=H","UseDPDF=Y")</f>
        <v>—</v>
      </c>
      <c r="E45" s="14" t="str">
        <f>_xll.BDH("ALNY US Equity","HIGH_EV_TO_T12M_EBIT","FQ1 2020","FQ1 2020","Currency=USD","Period=FQ","BEST_FPERIOD_OVERRIDE=FQ","FILING_STATUS=MR","FA_ADJUSTED=GAAP","Sort=A","Dates=H","DateFormat=P","Fill=—","Direction=H","UseDPDF=Y")</f>
        <v>—</v>
      </c>
      <c r="F45" s="14" t="str">
        <f>_xll.BDH("ALNY US Equity","HIGH_EV_TO_T12M_EBIT","FQ2 2020","FQ2 2020","Currency=USD","Period=FQ","BEST_FPERIOD_OVERRIDE=FQ","FILING_STATUS=MR","FA_ADJUSTED=GAAP","Sort=A","Dates=H","DateFormat=P","Fill=—","Direction=H","UseDPDF=Y")</f>
        <v>—</v>
      </c>
      <c r="G45" s="14" t="str">
        <f>_xll.BDH("ALNY US Equity","HIGH_EV_TO_T12M_EBIT","FQ3 2020","FQ3 2020","Currency=USD","Period=FQ","BEST_FPERIOD_OVERRIDE=FQ","FILING_STATUS=MR","FA_ADJUSTED=GAAP","Sort=A","Dates=H","DateFormat=P","Fill=—","Direction=H","UseDPDF=Y")</f>
        <v>—</v>
      </c>
      <c r="H45" s="14" t="str">
        <f>_xll.BDH("ALNY US Equity","HIGH_EV_TO_T12M_EBIT","FQ4 2020","FQ4 2020","Currency=USD","Period=FQ","BEST_FPERIOD_OVERRIDE=FQ","FILING_STATUS=MR","FA_ADJUSTED=GAAP","Sort=A","Dates=H","DateFormat=P","Fill=—","Direction=H","UseDPDF=Y")</f>
        <v>—</v>
      </c>
      <c r="I45" s="14" t="str">
        <f>_xll.BDH("ALNY US Equity","HIGH_EV_TO_T12M_EBIT","FQ1 2021","FQ1 2021","Currency=USD","Period=FQ","BEST_FPERIOD_OVERRIDE=FQ","FILING_STATUS=MR","FA_ADJUSTED=GAAP","Sort=A","Dates=H","DateFormat=P","Fill=—","Direction=H","UseDPDF=Y")</f>
        <v>—</v>
      </c>
      <c r="J45" s="14" t="str">
        <f>_xll.BDH("ALNY US Equity","HIGH_EV_TO_T12M_EBIT","FQ2 2021","FQ2 2021","Currency=USD","Period=FQ","BEST_FPERIOD_OVERRIDE=FQ","FILING_STATUS=MR","FA_ADJUSTED=GAAP","Sort=A","Dates=H","DateFormat=P","Fill=—","Direction=H","UseDPDF=Y")</f>
        <v>—</v>
      </c>
      <c r="K45" s="14" t="str">
        <f>_xll.BDH("ALNY US Equity","HIGH_EV_TO_T12M_EBIT","FQ3 2021","FQ3 2021","Currency=USD","Period=FQ","BEST_FPERIOD_OVERRIDE=FQ","FILING_STATUS=MR","FA_ADJUSTED=GAAP","Sort=A","Dates=H","DateFormat=P","Fill=—","Direction=H","UseDPDF=Y")</f>
        <v>—</v>
      </c>
      <c r="L45" s="14" t="str">
        <f>_xll.BDH("ALNY US Equity","HIGH_EV_TO_T12M_EBIT","FQ4 2021","FQ4 2021","Currency=USD","Period=FQ","BEST_FPERIOD_OVERRIDE=FQ","FILING_STATUS=MR","FA_ADJUSTED=GAAP","Sort=A","Dates=H","DateFormat=P","Fill=—","Direction=H","UseDPDF=Y")</f>
        <v>—</v>
      </c>
      <c r="M45" s="14" t="str">
        <f>_xll.BDH("ALNY US Equity","HIGH_EV_TO_T12M_EBIT","FQ1 2022","FQ1 2022","Currency=USD","Period=FQ","BEST_FPERIOD_OVERRIDE=FQ","FILING_STATUS=MR","FA_ADJUSTED=GAAP","Sort=A","Dates=H","DateFormat=P","Fill=—","Direction=H","UseDPDF=Y")</f>
        <v>—</v>
      </c>
      <c r="N45" s="14" t="str">
        <f>_xll.BDH("ALNY US Equity","HIGH_EV_TO_T12M_EBIT","FQ2 2022","FQ2 2022","Currency=USD","Period=FQ","BEST_FPERIOD_OVERRIDE=FQ","FILING_STATUS=MR","FA_ADJUSTED=GAAP","Sort=A","Dates=H","DateFormat=P","Fill=—","Direction=H","UseDPDF=Y")</f>
        <v>—</v>
      </c>
      <c r="O45" s="14" t="str">
        <f>_xll.BDH("ALNY US Equity","HIGH_EV_TO_T12M_EBIT","FQ3 2022","FQ3 2022","Currency=USD","Period=FQ","BEST_FPERIOD_OVERRIDE=FQ","FILING_STATUS=MR","FA_ADJUSTED=GAAP","Sort=A","Dates=H","DateFormat=P","Fill=—","Direction=H","UseDPDF=Y")</f>
        <v>—</v>
      </c>
      <c r="P45" s="14" t="str">
        <f>_xll.BDH("ALNY US Equity","HIGH_EV_TO_T12M_EBIT","FQ4 2022","FQ4 2022","Currency=USD","Period=FQ","BEST_FPERIOD_OVERRIDE=FQ","FILING_STATUS=MR","FA_ADJUSTED=GAAP","Sort=A","Dates=H","DateFormat=P","Fill=—","Direction=H","UseDPDF=Y")</f>
        <v>—</v>
      </c>
      <c r="Q45" s="14" t="str">
        <f>_xll.BDH("ALNY US Equity","HIGH_EV_TO_T12M_EBIT","FQ1 2023","FQ1 2023","Currency=USD","Period=FQ","BEST_FPERIOD_OVERRIDE=FQ","FILING_STATUS=MR","FA_ADJUSTED=GAAP","Sort=A","Dates=H","DateFormat=P","Fill=—","Direction=H","UseDPDF=Y")</f>
        <v>—</v>
      </c>
      <c r="R45" s="14" t="str">
        <f>_xll.BDH("ALNY US Equity","HIGH_EV_TO_T12M_EBIT","FQ2 2023","FQ2 2023","Currency=USD","Period=FQ","BEST_FPERIOD_OVERRIDE=FQ","FILING_STATUS=MR","FA_ADJUSTED=GAAP","Sort=A","Dates=H","DateFormat=P","Fill=—","Direction=H","UseDPDF=Y")</f>
        <v>—</v>
      </c>
      <c r="S45" s="14" t="str">
        <f>_xll.BDH("ALNY US Equity","HIGH_EV_TO_T12M_EBIT","FQ3 2023","FQ3 2023","Currency=USD","Period=FQ","BEST_FPERIOD_OVERRIDE=FQ","FILING_STATUS=MR","FA_ADJUSTED=GAAP","Sort=A","Dates=H","DateFormat=P","Fill=—","Direction=H","UseDPDF=Y")</f>
        <v>—</v>
      </c>
      <c r="T45" s="14" t="str">
        <f>_xll.BDH("ALNY US Equity","HIGH_EV_TO_T12M_EBIT","FQ4 2023","FQ4 2023","Currency=USD","Period=FQ","BEST_FPERIOD_OVERRIDE=FQ","FILING_STATUS=MR","FA_ADJUSTED=GAAP","Sort=A","Dates=H","DateFormat=P","Fill=—","Direction=H","UseDPDF=Y")</f>
        <v>—</v>
      </c>
      <c r="U45" s="14" t="str">
        <f>_xll.BDH("ALNY US Equity","HIGH_EV_TO_T12M_EBIT","FQ1 2024","FQ1 2024","Currency=USD","Period=FQ","BEST_FPERIOD_OVERRIDE=FQ","FILING_STATUS=MR","FA_ADJUSTED=GAAP","Sort=A","Dates=H","DateFormat=P","Fill=—","Direction=H","UseDPDF=Y")</f>
        <v>—</v>
      </c>
      <c r="V45" s="14">
        <f>_xll.BDH("ALNY US Equity","HIGH_EV_TO_T12M_EBIT","FQ2 2024","FQ2 2024","Currency=USD","Period=FQ","BEST_FPERIOD_OVERRIDE=FQ","FILING_STATUS=MR","FA_ADJUSTED=GAAP","Sort=A","Dates=H","DateFormat=P","Fill=—","Direction=H","UseDPDF=Y")</f>
        <v>299.6739</v>
      </c>
      <c r="W45" s="14">
        <f>_xll.BDH("ALNY US Equity","HIGH_EV_TO_T12M_EBIT","FQ3 2024","FQ3 2024","Currency=USD","Period=FQ","BEST_FPERIOD_OVERRIDE=FQ","FILING_STATUS=MR","FA_ADJUSTED=GAAP","Sort=A","Dates=H","DateFormat=P","Fill=—","Direction=H","UseDPDF=Y")</f>
        <v>359.19130000000001</v>
      </c>
      <c r="X45" s="14" t="str">
        <f>_xll.BDH("ALNY US Equity","HIGH_EV_TO_T12M_EBIT","FQ4 2024","FQ4 2024","Currency=USD","Period=FQ","BEST_FPERIOD_OVERRIDE=FQ","FILING_STATUS=MR","FA_ADJUSTED=GAAP","Sort=A","Dates=H","DateFormat=P","Fill=—","Direction=H","UseDPDF=Y")</f>
        <v>—</v>
      </c>
      <c r="Y45" s="17"/>
      <c r="Z45" s="14"/>
      <c r="AA45" s="14"/>
    </row>
    <row r="46" spans="1:27" x14ac:dyDescent="0.25">
      <c r="A46" s="10" t="s">
        <v>207</v>
      </c>
      <c r="B46" s="10" t="s">
        <v>237</v>
      </c>
      <c r="C46" s="14" t="str">
        <f>_xll.BDH("ALNY US Equity","LOW_EV_TO_T12M_EBIT","FQ3 2019","FQ3 2019","Currency=USD","Period=FQ","BEST_FPERIOD_OVERRIDE=FQ","FILING_STATUS=MR","FA_ADJUSTED=GAAP","Sort=A","Dates=H","DateFormat=P","Fill=—","Direction=H","UseDPDF=Y")</f>
        <v>—</v>
      </c>
      <c r="D46" s="14" t="str">
        <f>_xll.BDH("ALNY US Equity","LOW_EV_TO_T12M_EBIT","FQ4 2019","FQ4 2019","Currency=USD","Period=FQ","BEST_FPERIOD_OVERRIDE=FQ","FILING_STATUS=MR","FA_ADJUSTED=GAAP","Sort=A","Dates=H","DateFormat=P","Fill=—","Direction=H","UseDPDF=Y")</f>
        <v>—</v>
      </c>
      <c r="E46" s="14" t="str">
        <f>_xll.BDH("ALNY US Equity","LOW_EV_TO_T12M_EBIT","FQ1 2020","FQ1 2020","Currency=USD","Period=FQ","BEST_FPERIOD_OVERRIDE=FQ","FILING_STATUS=MR","FA_ADJUSTED=GAAP","Sort=A","Dates=H","DateFormat=P","Fill=—","Direction=H","UseDPDF=Y")</f>
        <v>—</v>
      </c>
      <c r="F46" s="14" t="str">
        <f>_xll.BDH("ALNY US Equity","LOW_EV_TO_T12M_EBIT","FQ2 2020","FQ2 2020","Currency=USD","Period=FQ","BEST_FPERIOD_OVERRIDE=FQ","FILING_STATUS=MR","FA_ADJUSTED=GAAP","Sort=A","Dates=H","DateFormat=P","Fill=—","Direction=H","UseDPDF=Y")</f>
        <v>—</v>
      </c>
      <c r="G46" s="14" t="str">
        <f>_xll.BDH("ALNY US Equity","LOW_EV_TO_T12M_EBIT","FQ3 2020","FQ3 2020","Currency=USD","Period=FQ","BEST_FPERIOD_OVERRIDE=FQ","FILING_STATUS=MR","FA_ADJUSTED=GAAP","Sort=A","Dates=H","DateFormat=P","Fill=—","Direction=H","UseDPDF=Y")</f>
        <v>—</v>
      </c>
      <c r="H46" s="14" t="str">
        <f>_xll.BDH("ALNY US Equity","LOW_EV_TO_T12M_EBIT","FQ4 2020","FQ4 2020","Currency=USD","Period=FQ","BEST_FPERIOD_OVERRIDE=FQ","FILING_STATUS=MR","FA_ADJUSTED=GAAP","Sort=A","Dates=H","DateFormat=P","Fill=—","Direction=H","UseDPDF=Y")</f>
        <v>—</v>
      </c>
      <c r="I46" s="14" t="str">
        <f>_xll.BDH("ALNY US Equity","LOW_EV_TO_T12M_EBIT","FQ1 2021","FQ1 2021","Currency=USD","Period=FQ","BEST_FPERIOD_OVERRIDE=FQ","FILING_STATUS=MR","FA_ADJUSTED=GAAP","Sort=A","Dates=H","DateFormat=P","Fill=—","Direction=H","UseDPDF=Y")</f>
        <v>—</v>
      </c>
      <c r="J46" s="14" t="str">
        <f>_xll.BDH("ALNY US Equity","LOW_EV_TO_T12M_EBIT","FQ2 2021","FQ2 2021","Currency=USD","Period=FQ","BEST_FPERIOD_OVERRIDE=FQ","FILING_STATUS=MR","FA_ADJUSTED=GAAP","Sort=A","Dates=H","DateFormat=P","Fill=—","Direction=H","UseDPDF=Y")</f>
        <v>—</v>
      </c>
      <c r="K46" s="14" t="str">
        <f>_xll.BDH("ALNY US Equity","LOW_EV_TO_T12M_EBIT","FQ3 2021","FQ3 2021","Currency=USD","Period=FQ","BEST_FPERIOD_OVERRIDE=FQ","FILING_STATUS=MR","FA_ADJUSTED=GAAP","Sort=A","Dates=H","DateFormat=P","Fill=—","Direction=H","UseDPDF=Y")</f>
        <v>—</v>
      </c>
      <c r="L46" s="14" t="str">
        <f>_xll.BDH("ALNY US Equity","LOW_EV_TO_T12M_EBIT","FQ4 2021","FQ4 2021","Currency=USD","Period=FQ","BEST_FPERIOD_OVERRIDE=FQ","FILING_STATUS=MR","FA_ADJUSTED=GAAP","Sort=A","Dates=H","DateFormat=P","Fill=—","Direction=H","UseDPDF=Y")</f>
        <v>—</v>
      </c>
      <c r="M46" s="14" t="str">
        <f>_xll.BDH("ALNY US Equity","LOW_EV_TO_T12M_EBIT","FQ1 2022","FQ1 2022","Currency=USD","Period=FQ","BEST_FPERIOD_OVERRIDE=FQ","FILING_STATUS=MR","FA_ADJUSTED=GAAP","Sort=A","Dates=H","DateFormat=P","Fill=—","Direction=H","UseDPDF=Y")</f>
        <v>—</v>
      </c>
      <c r="N46" s="14" t="str">
        <f>_xll.BDH("ALNY US Equity","LOW_EV_TO_T12M_EBIT","FQ2 2022","FQ2 2022","Currency=USD","Period=FQ","BEST_FPERIOD_OVERRIDE=FQ","FILING_STATUS=MR","FA_ADJUSTED=GAAP","Sort=A","Dates=H","DateFormat=P","Fill=—","Direction=H","UseDPDF=Y")</f>
        <v>—</v>
      </c>
      <c r="O46" s="14" t="str">
        <f>_xll.BDH("ALNY US Equity","LOW_EV_TO_T12M_EBIT","FQ3 2022","FQ3 2022","Currency=USD","Period=FQ","BEST_FPERIOD_OVERRIDE=FQ","FILING_STATUS=MR","FA_ADJUSTED=GAAP","Sort=A","Dates=H","DateFormat=P","Fill=—","Direction=H","UseDPDF=Y")</f>
        <v>—</v>
      </c>
      <c r="P46" s="14" t="str">
        <f>_xll.BDH("ALNY US Equity","LOW_EV_TO_T12M_EBIT","FQ4 2022","FQ4 2022","Currency=USD","Period=FQ","BEST_FPERIOD_OVERRIDE=FQ","FILING_STATUS=MR","FA_ADJUSTED=GAAP","Sort=A","Dates=H","DateFormat=P","Fill=—","Direction=H","UseDPDF=Y")</f>
        <v>—</v>
      </c>
      <c r="Q46" s="14" t="str">
        <f>_xll.BDH("ALNY US Equity","LOW_EV_TO_T12M_EBIT","FQ1 2023","FQ1 2023","Currency=USD","Period=FQ","BEST_FPERIOD_OVERRIDE=FQ","FILING_STATUS=MR","FA_ADJUSTED=GAAP","Sort=A","Dates=H","DateFormat=P","Fill=—","Direction=H","UseDPDF=Y")</f>
        <v>—</v>
      </c>
      <c r="R46" s="14" t="str">
        <f>_xll.BDH("ALNY US Equity","LOW_EV_TO_T12M_EBIT","FQ2 2023","FQ2 2023","Currency=USD","Period=FQ","BEST_FPERIOD_OVERRIDE=FQ","FILING_STATUS=MR","FA_ADJUSTED=GAAP","Sort=A","Dates=H","DateFormat=P","Fill=—","Direction=H","UseDPDF=Y")</f>
        <v>—</v>
      </c>
      <c r="S46" s="14" t="str">
        <f>_xll.BDH("ALNY US Equity","LOW_EV_TO_T12M_EBIT","FQ3 2023","FQ3 2023","Currency=USD","Period=FQ","BEST_FPERIOD_OVERRIDE=FQ","FILING_STATUS=MR","FA_ADJUSTED=GAAP","Sort=A","Dates=H","DateFormat=P","Fill=—","Direction=H","UseDPDF=Y")</f>
        <v>—</v>
      </c>
      <c r="T46" s="14" t="str">
        <f>_xll.BDH("ALNY US Equity","LOW_EV_TO_T12M_EBIT","FQ4 2023","FQ4 2023","Currency=USD","Period=FQ","BEST_FPERIOD_OVERRIDE=FQ","FILING_STATUS=MR","FA_ADJUSTED=GAAP","Sort=A","Dates=H","DateFormat=P","Fill=—","Direction=H","UseDPDF=Y")</f>
        <v>—</v>
      </c>
      <c r="U46" s="14" t="str">
        <f>_xll.BDH("ALNY US Equity","LOW_EV_TO_T12M_EBIT","FQ1 2024","FQ1 2024","Currency=USD","Period=FQ","BEST_FPERIOD_OVERRIDE=FQ","FILING_STATUS=MR","FA_ADJUSTED=GAAP","Sort=A","Dates=H","DateFormat=P","Fill=—","Direction=H","UseDPDF=Y")</f>
        <v>—</v>
      </c>
      <c r="V46" s="14">
        <f>_xll.BDH("ALNY US Equity","LOW_EV_TO_T12M_EBIT","FQ2 2024","FQ2 2024","Currency=USD","Period=FQ","BEST_FPERIOD_OVERRIDE=FQ","FILING_STATUS=MR","FA_ADJUSTED=GAAP","Sort=A","Dates=H","DateFormat=P","Fill=—","Direction=H","UseDPDF=Y")</f>
        <v>299.6739</v>
      </c>
      <c r="W46" s="14">
        <f>_xll.BDH("ALNY US Equity","LOW_EV_TO_T12M_EBIT","FQ3 2024","FQ3 2024","Currency=USD","Period=FQ","BEST_FPERIOD_OVERRIDE=FQ","FILING_STATUS=MR","FA_ADJUSTED=GAAP","Sort=A","Dates=H","DateFormat=P","Fill=—","Direction=H","UseDPDF=Y")</f>
        <v>288.3485</v>
      </c>
      <c r="X46" s="14" t="str">
        <f>_xll.BDH("ALNY US Equity","LOW_EV_TO_T12M_EBIT","FQ4 2024","FQ4 2024","Currency=USD","Period=FQ","BEST_FPERIOD_OVERRIDE=FQ","FILING_STATUS=MR","FA_ADJUSTED=GAAP","Sort=A","Dates=H","DateFormat=P","Fill=—","Direction=H","UseDPDF=Y")</f>
        <v>—</v>
      </c>
      <c r="Y46" s="17"/>
      <c r="Z46" s="14"/>
      <c r="AA46" s="14"/>
    </row>
    <row r="47" spans="1:27" x14ac:dyDescent="0.25">
      <c r="A47" s="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21"/>
      <c r="Z47" s="18"/>
      <c r="AA47" s="18"/>
    </row>
    <row r="48" spans="1:27" x14ac:dyDescent="0.25">
      <c r="A48" s="6" t="s">
        <v>238</v>
      </c>
      <c r="B48" s="6" t="s">
        <v>239</v>
      </c>
      <c r="C48" s="20">
        <f>_xll.BDH("ALNY US Equity","PX_LAST","FQ3 2019","FQ3 2019","Currency=USD","Period=FQ","BEST_FPERIOD_OVERRIDE=FQ","FILING_STATUS=MR","Sort=A","Dates=H","DateFormat=P","Fill=—","Direction=H","UseDPDF=Y")</f>
        <v>80.42</v>
      </c>
      <c r="D48" s="20">
        <f>_xll.BDH("ALNY US Equity","PX_LAST","FQ4 2019","FQ4 2019","Currency=USD","Period=FQ","BEST_FPERIOD_OVERRIDE=FQ","FILING_STATUS=MR","Sort=A","Dates=H","DateFormat=P","Fill=—","Direction=H","UseDPDF=Y")</f>
        <v>115.17</v>
      </c>
      <c r="E48" s="20">
        <f>_xll.BDH("ALNY US Equity","PX_LAST","FQ1 2020","FQ1 2020","Currency=USD","Period=FQ","BEST_FPERIOD_OVERRIDE=FQ","FILING_STATUS=MR","Sort=A","Dates=H","DateFormat=P","Fill=—","Direction=H","UseDPDF=Y")</f>
        <v>108.85</v>
      </c>
      <c r="F48" s="20">
        <f>_xll.BDH("ALNY US Equity","PX_LAST","FQ2 2020","FQ2 2020","Currency=USD","Period=FQ","BEST_FPERIOD_OVERRIDE=FQ","FILING_STATUS=MR","Sort=A","Dates=H","DateFormat=P","Fill=—","Direction=H","UseDPDF=Y")</f>
        <v>148.11000000000001</v>
      </c>
      <c r="G48" s="20">
        <f>_xll.BDH("ALNY US Equity","PX_LAST","FQ3 2020","FQ3 2020","Currency=USD","Period=FQ","BEST_FPERIOD_OVERRIDE=FQ","FILING_STATUS=MR","Sort=A","Dates=H","DateFormat=P","Fill=—","Direction=H","UseDPDF=Y")</f>
        <v>145.6</v>
      </c>
      <c r="H48" s="20">
        <f>_xll.BDH("ALNY US Equity","PX_LAST","FQ4 2020","FQ4 2020","Currency=USD","Period=FQ","BEST_FPERIOD_OVERRIDE=FQ","FILING_STATUS=MR","Sort=A","Dates=H","DateFormat=P","Fill=—","Direction=H","UseDPDF=Y")</f>
        <v>129.97</v>
      </c>
      <c r="I48" s="20">
        <f>_xll.BDH("ALNY US Equity","PX_LAST","FQ1 2021","FQ1 2021","Currency=USD","Period=FQ","BEST_FPERIOD_OVERRIDE=FQ","FILING_STATUS=MR","Sort=A","Dates=H","DateFormat=P","Fill=—","Direction=H","UseDPDF=Y")</f>
        <v>141.19</v>
      </c>
      <c r="J48" s="20">
        <f>_xll.BDH("ALNY US Equity","PX_LAST","FQ2 2021","FQ2 2021","Currency=USD","Period=FQ","BEST_FPERIOD_OVERRIDE=FQ","FILING_STATUS=MR","Sort=A","Dates=H","DateFormat=P","Fill=—","Direction=H","UseDPDF=Y")</f>
        <v>169.52</v>
      </c>
      <c r="K48" s="20">
        <f>_xll.BDH("ALNY US Equity","PX_LAST","FQ3 2021","FQ3 2021","Currency=USD","Period=FQ","BEST_FPERIOD_OVERRIDE=FQ","FILING_STATUS=MR","Sort=A","Dates=H","DateFormat=P","Fill=—","Direction=H","UseDPDF=Y")</f>
        <v>188.81</v>
      </c>
      <c r="L48" s="20">
        <f>_xll.BDH("ALNY US Equity","PX_LAST","FQ4 2021","FQ4 2021","Currency=USD","Period=FQ","BEST_FPERIOD_OVERRIDE=FQ","FILING_STATUS=MR","Sort=A","Dates=H","DateFormat=P","Fill=—","Direction=H","UseDPDF=Y")</f>
        <v>169.58</v>
      </c>
      <c r="M48" s="20">
        <f>_xll.BDH("ALNY US Equity","PX_LAST","FQ1 2022","FQ1 2022","Currency=USD","Period=FQ","BEST_FPERIOD_OVERRIDE=FQ","FILING_STATUS=MR","Sort=A","Dates=H","DateFormat=P","Fill=—","Direction=H","UseDPDF=Y")</f>
        <v>163.29</v>
      </c>
      <c r="N48" s="20">
        <f>_xll.BDH("ALNY US Equity","PX_LAST","FQ2 2022","FQ2 2022","Currency=USD","Period=FQ","BEST_FPERIOD_OVERRIDE=FQ","FILING_STATUS=MR","Sort=A","Dates=H","DateFormat=P","Fill=—","Direction=H","UseDPDF=Y")</f>
        <v>145.85</v>
      </c>
      <c r="O48" s="20">
        <f>_xll.BDH("ALNY US Equity","PX_LAST","FQ3 2022","FQ3 2022","Currency=USD","Period=FQ","BEST_FPERIOD_OVERRIDE=FQ","FILING_STATUS=MR","Sort=A","Dates=H","DateFormat=P","Fill=—","Direction=H","UseDPDF=Y")</f>
        <v>200.16</v>
      </c>
      <c r="P48" s="20">
        <f>_xll.BDH("ALNY US Equity","PX_LAST","FQ4 2022","FQ4 2022","Currency=USD","Period=FQ","BEST_FPERIOD_OVERRIDE=FQ","FILING_STATUS=MR","Sort=A","Dates=H","DateFormat=P","Fill=—","Direction=H","UseDPDF=Y")</f>
        <v>237.65</v>
      </c>
      <c r="Q48" s="20">
        <f>_xll.BDH("ALNY US Equity","PX_LAST","FQ1 2023","FQ1 2023","Currency=USD","Period=FQ","BEST_FPERIOD_OVERRIDE=FQ","FILING_STATUS=MR","Sort=A","Dates=H","DateFormat=P","Fill=—","Direction=H","UseDPDF=Y")</f>
        <v>200.32</v>
      </c>
      <c r="R48" s="20">
        <f>_xll.BDH("ALNY US Equity","PX_LAST","FQ2 2023","FQ2 2023","Currency=USD","Period=FQ","BEST_FPERIOD_OVERRIDE=FQ","FILING_STATUS=MR","Sort=A","Dates=H","DateFormat=P","Fill=—","Direction=H","UseDPDF=Y")</f>
        <v>189.94</v>
      </c>
      <c r="S48" s="20">
        <f>_xll.BDH("ALNY US Equity","PX_LAST","FQ3 2023","FQ3 2023","Currency=USD","Period=FQ","BEST_FPERIOD_OVERRIDE=FQ","FILING_STATUS=MR","Sort=A","Dates=H","DateFormat=P","Fill=—","Direction=H","UseDPDF=Y")</f>
        <v>177.1</v>
      </c>
      <c r="T48" s="20">
        <f>_xll.BDH("ALNY US Equity","PX_LAST","FQ4 2023","FQ4 2023","Currency=USD","Period=FQ","BEST_FPERIOD_OVERRIDE=FQ","FILING_STATUS=MR","Sort=A","Dates=H","DateFormat=P","Fill=—","Direction=H","UseDPDF=Y")</f>
        <v>191.41</v>
      </c>
      <c r="U48" s="20">
        <f>_xll.BDH("ALNY US Equity","PX_LAST","FQ1 2024","FQ1 2024","Currency=USD","Period=FQ","BEST_FPERIOD_OVERRIDE=FQ","FILING_STATUS=MR","Sort=A","Dates=H","DateFormat=P","Fill=—","Direction=H","UseDPDF=Y")</f>
        <v>149.44999999999999</v>
      </c>
      <c r="V48" s="20">
        <f>_xll.BDH("ALNY US Equity","PX_LAST","FQ2 2024","FQ2 2024","Currency=USD","Period=FQ","BEST_FPERIOD_OVERRIDE=FQ","FILING_STATUS=MR","Sort=A","Dates=H","DateFormat=P","Fill=—","Direction=H","UseDPDF=Y")</f>
        <v>243</v>
      </c>
      <c r="W48" s="20">
        <f>_xll.BDH("ALNY US Equity","PX_LAST","FQ3 2024","FQ3 2024","Currency=USD","Period=FQ","BEST_FPERIOD_OVERRIDE=FQ","FILING_STATUS=MR","Sort=A","Dates=H","DateFormat=P","Fill=—","Direction=H","UseDPDF=Y")</f>
        <v>275.02999999999997</v>
      </c>
      <c r="X48" s="20">
        <f>_xll.BDH("ALNY US Equity","PX_LAST","FQ4 2024","FQ4 2024","Currency=USD","Period=FQ","BEST_FPERIOD_OVERRIDE=FQ","FILING_STATUS=MR","Sort=A","Dates=H","DateFormat=P","Fill=—","Direction=H","UseDPDF=Y")</f>
        <v>235.31</v>
      </c>
      <c r="Y48" s="23">
        <v>268.39999389648398</v>
      </c>
      <c r="Z48" s="20"/>
      <c r="AA48" s="20"/>
    </row>
    <row r="49" spans="1:27" x14ac:dyDescent="0.25">
      <c r="A49" s="10" t="s">
        <v>205</v>
      </c>
      <c r="B49" s="10" t="s">
        <v>240</v>
      </c>
      <c r="C49" s="14">
        <f>_xll.BDH("ALNY US Equity","PX_HIGH","FQ3 2019","FQ3 2019","Currency=USD","Period=FQ","BEST_FPERIOD_OVERRIDE=FQ","FILING_STATUS=MR","Sort=A","Dates=H","DateFormat=P","Fill=—","Direction=H","UseDPDF=Y")</f>
        <v>88</v>
      </c>
      <c r="D49" s="14">
        <f>_xll.BDH("ALNY US Equity","PX_HIGH","FQ4 2019","FQ4 2019","Currency=USD","Period=FQ","BEST_FPERIOD_OVERRIDE=FQ","FILING_STATUS=MR","Sort=A","Dates=H","DateFormat=P","Fill=—","Direction=H","UseDPDF=Y")</f>
        <v>125.72</v>
      </c>
      <c r="E49" s="14">
        <f>_xll.BDH("ALNY US Equity","PX_HIGH","FQ1 2020","FQ1 2020","Currency=USD","Period=FQ","BEST_FPERIOD_OVERRIDE=FQ","FILING_STATUS=MR","Sort=A","Dates=H","DateFormat=P","Fill=—","Direction=H","UseDPDF=Y")</f>
        <v>134.51</v>
      </c>
      <c r="F49" s="14">
        <f>_xll.BDH("ALNY US Equity","PX_HIGH","FQ2 2020","FQ2 2020","Currency=USD","Period=FQ","BEST_FPERIOD_OVERRIDE=FQ","FILING_STATUS=MR","Sort=A","Dates=H","DateFormat=P","Fill=—","Direction=H","UseDPDF=Y")</f>
        <v>158.37</v>
      </c>
      <c r="G49" s="14">
        <f>_xll.BDH("ALNY US Equity","PX_HIGH","FQ3 2020","FQ3 2020","Currency=USD","Period=FQ","BEST_FPERIOD_OVERRIDE=FQ","FILING_STATUS=MR","Sort=A","Dates=H","DateFormat=P","Fill=—","Direction=H","UseDPDF=Y")</f>
        <v>167.33</v>
      </c>
      <c r="H49" s="14">
        <f>_xll.BDH("ALNY US Equity","PX_HIGH","FQ4 2020","FQ4 2020","Currency=USD","Period=FQ","BEST_FPERIOD_OVERRIDE=FQ","FILING_STATUS=MR","Sort=A","Dates=H","DateFormat=P","Fill=—","Direction=H","UseDPDF=Y")</f>
        <v>148.76</v>
      </c>
      <c r="I49" s="14">
        <f>_xll.BDH("ALNY US Equity","PX_HIGH","FQ1 2021","FQ1 2021","Currency=USD","Period=FQ","BEST_FPERIOD_OVERRIDE=FQ","FILING_STATUS=MR","Sort=A","Dates=H","DateFormat=P","Fill=—","Direction=H","UseDPDF=Y")</f>
        <v>178.41</v>
      </c>
      <c r="J49" s="14">
        <f>_xll.BDH("ALNY US Equity","PX_HIGH","FQ2 2021","FQ2 2021","Currency=USD","Period=FQ","BEST_FPERIOD_OVERRIDE=FQ","FILING_STATUS=MR","Sort=A","Dates=H","DateFormat=P","Fill=—","Direction=H","UseDPDF=Y")</f>
        <v>177.53</v>
      </c>
      <c r="K49" s="14">
        <f>_xll.BDH("ALNY US Equity","PX_HIGH","FQ3 2021","FQ3 2021","Currency=USD","Period=FQ","BEST_FPERIOD_OVERRIDE=FQ","FILING_STATUS=MR","Sort=A","Dates=H","DateFormat=P","Fill=—","Direction=H","UseDPDF=Y")</f>
        <v>209.72499999999999</v>
      </c>
      <c r="L49" s="14">
        <f>_xll.BDH("ALNY US Equity","PX_HIGH","FQ4 2021","FQ4 2021","Currency=USD","Period=FQ","BEST_FPERIOD_OVERRIDE=FQ","FILING_STATUS=MR","Sort=A","Dates=H","DateFormat=P","Fill=—","Direction=H","UseDPDF=Y")</f>
        <v>212</v>
      </c>
      <c r="M49" s="14">
        <f>_xll.BDH("ALNY US Equity","PX_HIGH","FQ1 2022","FQ1 2022","Currency=USD","Period=FQ","BEST_FPERIOD_OVERRIDE=FQ","FILING_STATUS=MR","Sort=A","Dates=H","DateFormat=P","Fill=—","Direction=H","UseDPDF=Y")</f>
        <v>174.66</v>
      </c>
      <c r="N49" s="14">
        <f>_xll.BDH("ALNY US Equity","PX_HIGH","FQ2 2022","FQ2 2022","Currency=USD","Period=FQ","BEST_FPERIOD_OVERRIDE=FQ","FILING_STATUS=MR","Sort=A","Dates=H","DateFormat=P","Fill=—","Direction=H","UseDPDF=Y")</f>
        <v>180.35</v>
      </c>
      <c r="O49" s="14">
        <f>_xll.BDH("ALNY US Equity","PX_HIGH","FQ3 2022","FQ3 2022","Currency=USD","Period=FQ","BEST_FPERIOD_OVERRIDE=FQ","FILING_STATUS=MR","Sort=A","Dates=H","DateFormat=P","Fill=—","Direction=H","UseDPDF=Y")</f>
        <v>236.8</v>
      </c>
      <c r="P49" s="14">
        <f>_xll.BDH("ALNY US Equity","PX_HIGH","FQ4 2022","FQ4 2022","Currency=USD","Period=FQ","BEST_FPERIOD_OVERRIDE=FQ","FILING_STATUS=MR","Sort=A","Dates=H","DateFormat=P","Fill=—","Direction=H","UseDPDF=Y")</f>
        <v>242.97</v>
      </c>
      <c r="Q49" s="14">
        <f>_xll.BDH("ALNY US Equity","PX_HIGH","FQ1 2023","FQ1 2023","Currency=USD","Period=FQ","BEST_FPERIOD_OVERRIDE=FQ","FILING_STATUS=MR","Sort=A","Dates=H","DateFormat=P","Fill=—","Direction=H","UseDPDF=Y")</f>
        <v>242.39</v>
      </c>
      <c r="R49" s="14">
        <f>_xll.BDH("ALNY US Equity","PX_HIGH","FQ2 2023","FQ2 2023","Currency=USD","Period=FQ","BEST_FPERIOD_OVERRIDE=FQ","FILING_STATUS=MR","Sort=A","Dates=H","DateFormat=P","Fill=—","Direction=H","UseDPDF=Y")</f>
        <v>212.47</v>
      </c>
      <c r="S49" s="14">
        <f>_xll.BDH("ALNY US Equity","PX_HIGH","FQ3 2023","FQ3 2023","Currency=USD","Period=FQ","BEST_FPERIOD_OVERRIDE=FQ","FILING_STATUS=MR","Sort=A","Dates=H","DateFormat=P","Fill=—","Direction=H","UseDPDF=Y")</f>
        <v>218.88</v>
      </c>
      <c r="T49" s="14">
        <f>_xll.BDH("ALNY US Equity","PX_HIGH","FQ4 2023","FQ4 2023","Currency=USD","Period=FQ","BEST_FPERIOD_OVERRIDE=FQ","FILING_STATUS=MR","Sort=A","Dates=H","DateFormat=P","Fill=—","Direction=H","UseDPDF=Y")</f>
        <v>198</v>
      </c>
      <c r="U49" s="14">
        <f>_xll.BDH("ALNY US Equity","PX_HIGH","FQ1 2024","FQ1 2024","Currency=USD","Period=FQ","BEST_FPERIOD_OVERRIDE=FQ","FILING_STATUS=MR","Sort=A","Dates=H","DateFormat=P","Fill=—","Direction=H","UseDPDF=Y")</f>
        <v>199.38</v>
      </c>
      <c r="V49" s="14">
        <f>_xll.BDH("ALNY US Equity","PX_HIGH","FQ2 2024","FQ2 2024","Currency=USD","Period=FQ","BEST_FPERIOD_OVERRIDE=FQ","FILING_STATUS=MR","Sort=A","Dates=H","DateFormat=P","Fill=—","Direction=H","UseDPDF=Y")</f>
        <v>252.87</v>
      </c>
      <c r="W49" s="14">
        <f>_xll.BDH("ALNY US Equity","PX_HIGH","FQ3 2024","FQ3 2024","Currency=USD","Period=FQ","BEST_FPERIOD_OVERRIDE=FQ","FILING_STATUS=MR","Sort=A","Dates=H","DateFormat=P","Fill=—","Direction=H","UseDPDF=Y")</f>
        <v>287.54989999999998</v>
      </c>
      <c r="X49" s="14">
        <f>_xll.BDH("ALNY US Equity","PX_HIGH","FQ4 2024","FQ4 2024","Currency=USD","Period=FQ","BEST_FPERIOD_OVERRIDE=FQ","FILING_STATUS=MR","Sort=A","Dates=H","DateFormat=P","Fill=—","Direction=H","UseDPDF=Y")</f>
        <v>304.39</v>
      </c>
      <c r="Y49" s="17">
        <v>271.29998779296898</v>
      </c>
      <c r="Z49" s="14"/>
      <c r="AA49" s="14"/>
    </row>
    <row r="50" spans="1:27" x14ac:dyDescent="0.25">
      <c r="A50" s="10" t="s">
        <v>207</v>
      </c>
      <c r="B50" s="10" t="s">
        <v>241</v>
      </c>
      <c r="C50" s="14">
        <f>_xll.BDH("ALNY US Equity","PX_LOW","FQ3 2019","FQ3 2019","Currency=USD","Period=FQ","BEST_FPERIOD_OVERRIDE=FQ","FILING_STATUS=MR","Sort=A","Dates=H","DateFormat=P","Fill=—","Direction=H","UseDPDF=Y")</f>
        <v>69.11</v>
      </c>
      <c r="D50" s="14">
        <f>_xll.BDH("ALNY US Equity","PX_LOW","FQ4 2019","FQ4 2019","Currency=USD","Period=FQ","BEST_FPERIOD_OVERRIDE=FQ","FILING_STATUS=MR","Sort=A","Dates=H","DateFormat=P","Fill=—","Direction=H","UseDPDF=Y")</f>
        <v>73.319999999999993</v>
      </c>
      <c r="E50" s="14">
        <f>_xll.BDH("ALNY US Equity","PX_LOW","FQ1 2020","FQ1 2020","Currency=USD","Period=FQ","BEST_FPERIOD_OVERRIDE=FQ","FILING_STATUS=MR","Sort=A","Dates=H","DateFormat=P","Fill=—","Direction=H","UseDPDF=Y")</f>
        <v>84.97</v>
      </c>
      <c r="F50" s="14">
        <f>_xll.BDH("ALNY US Equity","PX_LOW","FQ2 2020","FQ2 2020","Currency=USD","Period=FQ","BEST_FPERIOD_OVERRIDE=FQ","FILING_STATUS=MR","Sort=A","Dates=H","DateFormat=P","Fill=—","Direction=H","UseDPDF=Y")</f>
        <v>98.01</v>
      </c>
      <c r="G50" s="14">
        <f>_xll.BDH("ALNY US Equity","PX_LOW","FQ3 2020","FQ3 2020","Currency=USD","Period=FQ","BEST_FPERIOD_OVERRIDE=FQ","FILING_STATUS=MR","Sort=A","Dates=H","DateFormat=P","Fill=—","Direction=H","UseDPDF=Y")</f>
        <v>119.67</v>
      </c>
      <c r="H50" s="14">
        <f>_xll.BDH("ALNY US Equity","PX_LOW","FQ4 2020","FQ4 2020","Currency=USD","Period=FQ","BEST_FPERIOD_OVERRIDE=FQ","FILING_STATUS=MR","Sort=A","Dates=H","DateFormat=P","Fill=—","Direction=H","UseDPDF=Y")</f>
        <v>119.29</v>
      </c>
      <c r="I50" s="14">
        <f>_xll.BDH("ALNY US Equity","PX_LOW","FQ1 2021","FQ1 2021","Currency=USD","Period=FQ","BEST_FPERIOD_OVERRIDE=FQ","FILING_STATUS=MR","Sort=A","Dates=H","DateFormat=P","Fill=—","Direction=H","UseDPDF=Y")</f>
        <v>124</v>
      </c>
      <c r="J50" s="14">
        <f>_xll.BDH("ALNY US Equity","PX_LOW","FQ2 2021","FQ2 2021","Currency=USD","Period=FQ","BEST_FPERIOD_OVERRIDE=FQ","FILING_STATUS=MR","Sort=A","Dates=H","DateFormat=P","Fill=—","Direction=H","UseDPDF=Y")</f>
        <v>125.08</v>
      </c>
      <c r="K50" s="14">
        <f>_xll.BDH("ALNY US Equity","PX_LOW","FQ3 2021","FQ3 2021","Currency=USD","Period=FQ","BEST_FPERIOD_OVERRIDE=FQ","FILING_STATUS=MR","Sort=A","Dates=H","DateFormat=P","Fill=—","Direction=H","UseDPDF=Y")</f>
        <v>166.155</v>
      </c>
      <c r="L50" s="14">
        <f>_xll.BDH("ALNY US Equity","PX_LOW","FQ4 2021","FQ4 2021","Currency=USD","Period=FQ","BEST_FPERIOD_OVERRIDE=FQ","FILING_STATUS=MR","Sort=A","Dates=H","DateFormat=P","Fill=—","Direction=H","UseDPDF=Y")</f>
        <v>154.82040000000001</v>
      </c>
      <c r="M50" s="14">
        <f>_xll.BDH("ALNY US Equity","PX_LOW","FQ1 2022","FQ1 2022","Currency=USD","Period=FQ","BEST_FPERIOD_OVERRIDE=FQ","FILING_STATUS=MR","Sort=A","Dates=H","DateFormat=P","Fill=—","Direction=H","UseDPDF=Y")</f>
        <v>125</v>
      </c>
      <c r="N50" s="14">
        <f>_xll.BDH("ALNY US Equity","PX_LOW","FQ2 2022","FQ2 2022","Currency=USD","Period=FQ","BEST_FPERIOD_OVERRIDE=FQ","FILING_STATUS=MR","Sort=A","Dates=H","DateFormat=P","Fill=—","Direction=H","UseDPDF=Y")</f>
        <v>117.58</v>
      </c>
      <c r="O50" s="14">
        <f>_xll.BDH("ALNY US Equity","PX_LOW","FQ3 2022","FQ3 2022","Currency=USD","Period=FQ","BEST_FPERIOD_OVERRIDE=FQ","FILING_STATUS=MR","Sort=A","Dates=H","DateFormat=P","Fill=—","Direction=H","UseDPDF=Y")</f>
        <v>135.46</v>
      </c>
      <c r="P50" s="14">
        <f>_xll.BDH("ALNY US Equity","PX_LOW","FQ4 2022","FQ4 2022","Currency=USD","Period=FQ","BEST_FPERIOD_OVERRIDE=FQ","FILING_STATUS=MR","Sort=A","Dates=H","DateFormat=P","Fill=—","Direction=H","UseDPDF=Y")</f>
        <v>181.65</v>
      </c>
      <c r="Q50" s="14">
        <f>_xll.BDH("ALNY US Equity","PX_LOW","FQ1 2023","FQ1 2023","Currency=USD","Period=FQ","BEST_FPERIOD_OVERRIDE=FQ","FILING_STATUS=MR","Sort=A","Dates=H","DateFormat=P","Fill=—","Direction=H","UseDPDF=Y")</f>
        <v>179.19</v>
      </c>
      <c r="R50" s="14">
        <f>_xll.BDH("ALNY US Equity","PX_LOW","FQ2 2023","FQ2 2023","Currency=USD","Period=FQ","BEST_FPERIOD_OVERRIDE=FQ","FILING_STATUS=MR","Sort=A","Dates=H","DateFormat=P","Fill=—","Direction=H","UseDPDF=Y")</f>
        <v>183</v>
      </c>
      <c r="S50" s="14">
        <f>_xll.BDH("ALNY US Equity","PX_LOW","FQ3 2023","FQ3 2023","Currency=USD","Period=FQ","BEST_FPERIOD_OVERRIDE=FQ","FILING_STATUS=MR","Sort=A","Dates=H","DateFormat=P","Fill=—","Direction=H","UseDPDF=Y")</f>
        <v>168.65</v>
      </c>
      <c r="T50" s="14">
        <f>_xll.BDH("ALNY US Equity","PX_LOW","FQ4 2023","FQ4 2023","Currency=USD","Period=FQ","BEST_FPERIOD_OVERRIDE=FQ","FILING_STATUS=MR","Sort=A","Dates=H","DateFormat=P","Fill=—","Direction=H","UseDPDF=Y")</f>
        <v>148.1</v>
      </c>
      <c r="U50" s="14">
        <f>_xll.BDH("ALNY US Equity","PX_LOW","FQ1 2024","FQ1 2024","Currency=USD","Period=FQ","BEST_FPERIOD_OVERRIDE=FQ","FILING_STATUS=MR","Sort=A","Dates=H","DateFormat=P","Fill=—","Direction=H","UseDPDF=Y")</f>
        <v>143.52000000000001</v>
      </c>
      <c r="V50" s="14">
        <f>_xll.BDH("ALNY US Equity","PX_LOW","FQ2 2024","FQ2 2024","Currency=USD","Period=FQ","BEST_FPERIOD_OVERRIDE=FQ","FILING_STATUS=MR","Sort=A","Dates=H","DateFormat=P","Fill=—","Direction=H","UseDPDF=Y")</f>
        <v>141.97499999999999</v>
      </c>
      <c r="W50" s="14">
        <f>_xll.BDH("ALNY US Equity","PX_LOW","FQ3 2024","FQ3 2024","Currency=USD","Period=FQ","BEST_FPERIOD_OVERRIDE=FQ","FILING_STATUS=MR","Sort=A","Dates=H","DateFormat=P","Fill=—","Direction=H","UseDPDF=Y")</f>
        <v>231.01</v>
      </c>
      <c r="X50" s="14">
        <f>_xll.BDH("ALNY US Equity","PX_LOW","FQ4 2024","FQ4 2024","Currency=USD","Period=FQ","BEST_FPERIOD_OVERRIDE=FQ","FILING_STATUS=MR","Sort=A","Dates=H","DateFormat=P","Fill=—","Direction=H","UseDPDF=Y")</f>
        <v>229.85499999999999</v>
      </c>
      <c r="Y50" s="17">
        <v>264.88000488281199</v>
      </c>
      <c r="Z50" s="14"/>
      <c r="AA50" s="14"/>
    </row>
    <row r="51" spans="1:27" x14ac:dyDescent="0.25">
      <c r="A51" s="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21"/>
      <c r="Z51" s="18"/>
      <c r="AA51" s="18"/>
    </row>
    <row r="52" spans="1:27" x14ac:dyDescent="0.25">
      <c r="A52" s="6" t="s">
        <v>68</v>
      </c>
      <c r="B52" s="6" t="s">
        <v>69</v>
      </c>
      <c r="C52" s="19">
        <f>_xll.BDH("ALNY US Equity","ENTERPRISE_VALUE","FQ3 2019","FQ3 2019","Currency=USD","Period=FQ","BEST_FPERIOD_OVERRIDE=FQ","FILING_STATUS=MR","SCALING_FORMAT=MLN","Sort=A","Dates=H","DateFormat=P","Fill=—","Direction=H","UseDPDF=Y")</f>
        <v>7536.3194999999996</v>
      </c>
      <c r="D52" s="19">
        <f>_xll.BDH("ALNY US Equity","ENTERPRISE_VALUE","FQ4 2019","FQ4 2019","Currency=USD","Period=FQ","BEST_FPERIOD_OVERRIDE=FQ","FILING_STATUS=MR","SCALING_FORMAT=MLN","Sort=A","Dates=H","DateFormat=P","Fill=—","Direction=H","UseDPDF=Y")</f>
        <v>11688.352999999999</v>
      </c>
      <c r="E52" s="19">
        <f>_xll.BDH("ALNY US Equity","ENTERPRISE_VALUE","FQ1 2020","FQ1 2020","Currency=USD","Period=FQ","BEST_FPERIOD_OVERRIDE=FQ","FILING_STATUS=MR","SCALING_FORMAT=MLN","Sort=A","Dates=H","DateFormat=P","Fill=—","Direction=H","UseDPDF=Y")</f>
        <v>11280.9588</v>
      </c>
      <c r="F52" s="19">
        <f>_xll.BDH("ALNY US Equity","ENTERPRISE_VALUE","FQ2 2020","FQ2 2020","Currency=USD","Period=FQ","BEST_FPERIOD_OVERRIDE=FQ","FILING_STATUS=MR","SCALING_FORMAT=MLN","Sort=A","Dates=H","DateFormat=P","Fill=—","Direction=H","UseDPDF=Y")</f>
        <v>15517.9782</v>
      </c>
      <c r="G52" s="19">
        <f>_xll.BDH("ALNY US Equity","ENTERPRISE_VALUE","FQ3 2020","FQ3 2020","Currency=USD","Period=FQ","BEST_FPERIOD_OVERRIDE=FQ","FILING_STATUS=MR","SCALING_FORMAT=MLN","Sort=A","Dates=H","DateFormat=P","Fill=—","Direction=H","UseDPDF=Y")</f>
        <v>15405.998799999999</v>
      </c>
      <c r="H52" s="19">
        <f>_xll.BDH("ALNY US Equity","ENTERPRISE_VALUE","FQ4 2020","FQ4 2020","Currency=USD","Period=FQ","BEST_FPERIOD_OVERRIDE=FQ","FILING_STATUS=MR","SCALING_FORMAT=MLN","Sort=A","Dates=H","DateFormat=P","Fill=—","Direction=H","UseDPDF=Y")</f>
        <v>13778.8112</v>
      </c>
      <c r="I52" s="19">
        <f>_xll.BDH("ALNY US Equity","ENTERPRISE_VALUE","FQ1 2021","FQ1 2021","Currency=USD","Period=FQ","BEST_FPERIOD_OVERRIDE=FQ","FILING_STATUS=MR","SCALING_FORMAT=MLN","Sort=A","Dates=H","DateFormat=P","Fill=—","Direction=H","UseDPDF=Y")</f>
        <v>15373.537</v>
      </c>
      <c r="J52" s="19">
        <f>_xll.BDH("ALNY US Equity","ENTERPRISE_VALUE","FQ2 2021","FQ2 2021","Currency=USD","Period=FQ","BEST_FPERIOD_OVERRIDE=FQ","FILING_STATUS=MR","SCALING_FORMAT=MLN","Sort=A","Dates=H","DateFormat=P","Fill=—","Direction=H","UseDPDF=Y")</f>
        <v>18965.383900000001</v>
      </c>
      <c r="K52" s="19">
        <f>_xll.BDH("ALNY US Equity","ENTERPRISE_VALUE","FQ3 2021","FQ3 2021","Currency=USD","Period=FQ","BEST_FPERIOD_OVERRIDE=FQ","FILING_STATUS=MR","SCALING_FORMAT=MLN","Sort=A","Dates=H","DateFormat=P","Fill=—","Direction=H","UseDPDF=Y")</f>
        <v>20991.594799999999</v>
      </c>
      <c r="L52" s="19">
        <f>_xll.BDH("ALNY US Equity","ENTERPRISE_VALUE","FQ4 2021","FQ4 2021","Currency=USD","Period=FQ","BEST_FPERIOD_OVERRIDE=FQ","FILING_STATUS=MR","SCALING_FORMAT=MLN","Sort=A","Dates=H","DateFormat=P","Fill=—","Direction=H","UseDPDF=Y")</f>
        <v>18942.491600000001</v>
      </c>
      <c r="M52" s="19">
        <f>_xll.BDH("ALNY US Equity","ENTERPRISE_VALUE","FQ1 2022","FQ1 2022","Currency=USD","Period=FQ","BEST_FPERIOD_OVERRIDE=FQ","FILING_STATUS=MR","SCALING_FORMAT=MLN","Sort=A","Dates=H","DateFormat=P","Fill=—","Direction=H","UseDPDF=Y")</f>
        <v>18469.663400000001</v>
      </c>
      <c r="N52" s="19">
        <f>_xll.BDH("ALNY US Equity","ENTERPRISE_VALUE","FQ2 2022","FQ2 2022","Currency=USD","Period=FQ","BEST_FPERIOD_OVERRIDE=FQ","FILING_STATUS=MR","SCALING_FORMAT=MLN","Sort=A","Dates=H","DateFormat=P","Fill=—","Direction=H","UseDPDF=Y")</f>
        <v>16527.0452</v>
      </c>
      <c r="O52" s="19">
        <f>_xll.BDH("ALNY US Equity","ENTERPRISE_VALUE","FQ3 2022","FQ3 2022","Currency=USD","Period=FQ","BEST_FPERIOD_OVERRIDE=FQ","FILING_STATUS=MR","SCALING_FORMAT=MLN","Sort=A","Dates=H","DateFormat=P","Fill=—","Direction=H","UseDPDF=Y")</f>
        <v>23892.3266</v>
      </c>
      <c r="P52" s="19">
        <f>_xll.BDH("ALNY US Equity","ENTERPRISE_VALUE","FQ4 2022","FQ4 2022","Currency=USD","Period=FQ","BEST_FPERIOD_OVERRIDE=FQ","FILING_STATUS=MR","SCALING_FORMAT=MLN","Sort=A","Dates=H","DateFormat=P","Fill=—","Direction=H","UseDPDF=Y")</f>
        <v>28578.618299999998</v>
      </c>
      <c r="Q52" s="19">
        <f>_xll.BDH("ALNY US Equity","ENTERPRISE_VALUE","FQ1 2023","FQ1 2023","Currency=USD","Period=FQ","BEST_FPERIOD_OVERRIDE=FQ","FILING_STATUS=MR","SCALING_FORMAT=MLN","Sort=A","Dates=H","DateFormat=P","Fill=—","Direction=H","UseDPDF=Y")</f>
        <v>24137.623100000001</v>
      </c>
      <c r="R52" s="19">
        <f>_xll.BDH("ALNY US Equity","ENTERPRISE_VALUE","FQ2 2023","FQ2 2023","Currency=USD","Period=FQ","BEST_FPERIOD_OVERRIDE=FQ","FILING_STATUS=MR","SCALING_FORMAT=MLN","Sort=A","Dates=H","DateFormat=P","Fill=—","Direction=H","UseDPDF=Y")</f>
        <v>22855.161499999998</v>
      </c>
      <c r="S52" s="19">
        <f>_xll.BDH("ALNY US Equity","ENTERPRISE_VALUE","FQ3 2023","FQ3 2023","Currency=USD","Period=FQ","BEST_FPERIOD_OVERRIDE=FQ","FILING_STATUS=MR","SCALING_FORMAT=MLN","Sort=A","Dates=H","DateFormat=P","Fill=—","Direction=H","UseDPDF=Y")</f>
        <v>21120.661400000001</v>
      </c>
      <c r="T52" s="19">
        <f>_xll.BDH("ALNY US Equity","ENTERPRISE_VALUE","FQ4 2023","FQ4 2023","Currency=USD","Period=FQ","BEST_FPERIOD_OVERRIDE=FQ","FILING_STATUS=MR","SCALING_FORMAT=MLN","Sort=A","Dates=H","DateFormat=P","Fill=—","Direction=H","UseDPDF=Y")</f>
        <v>22944.234499999999</v>
      </c>
      <c r="U52" s="19">
        <f>_xll.BDH("ALNY US Equity","ENTERPRISE_VALUE","FQ1 2024","FQ1 2024","Currency=USD","Period=FQ","BEST_FPERIOD_OVERRIDE=FQ","FILING_STATUS=MR","SCALING_FORMAT=MLN","Sort=A","Dates=H","DateFormat=P","Fill=—","Direction=H","UseDPDF=Y")</f>
        <v>17829.846399999999</v>
      </c>
      <c r="V52" s="19">
        <f>_xll.BDH("ALNY US Equity","ENTERPRISE_VALUE","FQ2 2024","FQ2 2024","Currency=USD","Period=FQ","BEST_FPERIOD_OVERRIDE=FQ","FILING_STATUS=MR","SCALING_FORMAT=MLN","Sort=A","Dates=H","DateFormat=P","Fill=—","Direction=H","UseDPDF=Y")</f>
        <v>31130.73</v>
      </c>
      <c r="W52" s="19">
        <f>_xll.BDH("ALNY US Equity","ENTERPRISE_VALUE","FQ3 2024","FQ3 2024","Currency=USD","Period=FQ","BEST_FPERIOD_OVERRIDE=FQ","FILING_STATUS=MR","SCALING_FORMAT=MLN","Sort=A","Dates=H","DateFormat=P","Fill=—","Direction=H","UseDPDF=Y")</f>
        <v>33956.733200000002</v>
      </c>
      <c r="X52" s="19">
        <f>_xll.BDH("ALNY US Equity","ENTERPRISE_VALUE","FQ4 2024","FQ4 2024","Currency=USD","Period=FQ","BEST_FPERIOD_OVERRIDE=FQ","FILING_STATUS=MR","SCALING_FORMAT=MLN","Sort=A","Dates=H","DateFormat=P","Fill=—","Direction=H","UseDPDF=Y")</f>
        <v>29025.715100000001</v>
      </c>
      <c r="Y52" s="22">
        <v>33516.319887199999</v>
      </c>
      <c r="Z52" s="19"/>
      <c r="AA52" s="19"/>
    </row>
    <row r="53" spans="1:27" x14ac:dyDescent="0.25">
      <c r="A53" s="10" t="s">
        <v>203</v>
      </c>
      <c r="B53" s="10" t="s">
        <v>242</v>
      </c>
      <c r="C53" s="13">
        <f>_xll.BDH("ALNY US Equity","AVERAGE_ENTERPRISE_VALUE","FQ3 2019","FQ3 2019","Currency=USD","Period=FQ","BEST_FPERIOD_OVERRIDE=FQ","FILING_STATUS=MR","SCALING_FORMAT=MLN","Sort=A","Dates=H","DateFormat=P","Fill=—","Direction=H","UseDPDF=Y")</f>
        <v>7074.7843000000003</v>
      </c>
      <c r="D53" s="13">
        <f>_xll.BDH("ALNY US Equity","AVERAGE_ENTERPRISE_VALUE","FQ4 2019","FQ4 2019","Currency=USD","Period=FQ","BEST_FPERIOD_OVERRIDE=FQ","FILING_STATUS=MR","SCALING_FORMAT=MLN","Sort=A","Dates=H","DateFormat=P","Fill=—","Direction=H","UseDPDF=Y")</f>
        <v>9693.6676000000007</v>
      </c>
      <c r="E53" s="13">
        <f>_xll.BDH("ALNY US Equity","AVERAGE_ENTERPRISE_VALUE","FQ1 2020","FQ1 2020","Currency=USD","Period=FQ","BEST_FPERIOD_OVERRIDE=FQ","FILING_STATUS=MR","SCALING_FORMAT=MLN","Sort=A","Dates=H","DateFormat=P","Fill=—","Direction=H","UseDPDF=Y")</f>
        <v>11718.484899999999</v>
      </c>
      <c r="F53" s="13">
        <f>_xll.BDH("ALNY US Equity","AVERAGE_ENTERPRISE_VALUE","FQ2 2020","FQ2 2020","Currency=USD","Period=FQ","BEST_FPERIOD_OVERRIDE=FQ","FILING_STATUS=MR","SCALING_FORMAT=MLN","Sort=A","Dates=H","DateFormat=P","Fill=—","Direction=H","UseDPDF=Y")</f>
        <v>14347.6333</v>
      </c>
      <c r="G53" s="13">
        <f>_xll.BDH("ALNY US Equity","AVERAGE_ENTERPRISE_VALUE","FQ3 2020","FQ3 2020","Currency=USD","Period=FQ","BEST_FPERIOD_OVERRIDE=FQ","FILING_STATUS=MR","SCALING_FORMAT=MLN","Sort=A","Dates=H","DateFormat=P","Fill=—","Direction=H","UseDPDF=Y")</f>
        <v>14801.7742</v>
      </c>
      <c r="H53" s="13">
        <f>_xll.BDH("ALNY US Equity","AVERAGE_ENTERPRISE_VALUE","FQ4 2020","FQ4 2020","Currency=USD","Period=FQ","BEST_FPERIOD_OVERRIDE=FQ","FILING_STATUS=MR","SCALING_FORMAT=MLN","Sort=A","Dates=H","DateFormat=P","Fill=—","Direction=H","UseDPDF=Y")</f>
        <v>13999.672500000001</v>
      </c>
      <c r="I53" s="13">
        <f>_xll.BDH("ALNY US Equity","AVERAGE_ENTERPRISE_VALUE","FQ1 2021","FQ1 2021","Currency=USD","Period=FQ","BEST_FPERIOD_OVERRIDE=FQ","FILING_STATUS=MR","SCALING_FORMAT=MLN","Sort=A","Dates=H","DateFormat=P","Fill=—","Direction=H","UseDPDF=Y")</f>
        <v>16197.1103</v>
      </c>
      <c r="J53" s="13">
        <f>_xll.BDH("ALNY US Equity","AVERAGE_ENTERPRISE_VALUE","FQ2 2021","FQ2 2021","Currency=USD","Period=FQ","BEST_FPERIOD_OVERRIDE=FQ","FILING_STATUS=MR","SCALING_FORMAT=MLN","Sort=A","Dates=H","DateFormat=P","Fill=—","Direction=H","UseDPDF=Y")</f>
        <v>16015.3789</v>
      </c>
      <c r="K53" s="13">
        <f>_xll.BDH("ALNY US Equity","AVERAGE_ENTERPRISE_VALUE","FQ3 2021","FQ3 2021","Currency=USD","Period=FQ","BEST_FPERIOD_OVERRIDE=FQ","FILING_STATUS=MR","SCALING_FORMAT=MLN","Sort=A","Dates=H","DateFormat=P","Fill=—","Direction=H","UseDPDF=Y")</f>
        <v>21068.810300000001</v>
      </c>
      <c r="L53" s="13">
        <f>_xll.BDH("ALNY US Equity","AVERAGE_ENTERPRISE_VALUE","FQ4 2021","FQ4 2021","Currency=USD","Period=FQ","BEST_FPERIOD_OVERRIDE=FQ","FILING_STATUS=MR","SCALING_FORMAT=MLN","Sort=A","Dates=H","DateFormat=P","Fill=—","Direction=H","UseDPDF=Y")</f>
        <v>20618.3295</v>
      </c>
      <c r="M53" s="13">
        <f>_xll.BDH("ALNY US Equity","AVERAGE_ENTERPRISE_VALUE","FQ1 2022","FQ1 2022","Currency=USD","Period=FQ","BEST_FPERIOD_OVERRIDE=FQ","FILING_STATUS=MR","SCALING_FORMAT=MLN","Sort=A","Dates=H","DateFormat=P","Fill=—","Direction=H","UseDPDF=Y")</f>
        <v>16840.9094</v>
      </c>
      <c r="N53" s="13">
        <f>_xll.BDH("ALNY US Equity","AVERAGE_ENTERPRISE_VALUE","FQ2 2022","FQ2 2022","Currency=USD","Period=FQ","BEST_FPERIOD_OVERRIDE=FQ","FILING_STATUS=MR","SCALING_FORMAT=MLN","Sort=A","Dates=H","DateFormat=P","Fill=—","Direction=H","UseDPDF=Y")</f>
        <v>15888.643099999999</v>
      </c>
      <c r="O53" s="13">
        <f>_xll.BDH("ALNY US Equity","AVERAGE_ENTERPRISE_VALUE","FQ3 2022","FQ3 2022","Currency=USD","Period=FQ","BEST_FPERIOD_OVERRIDE=FQ","FILING_STATUS=MR","SCALING_FORMAT=MLN","Sort=A","Dates=H","DateFormat=P","Fill=—","Direction=H","UseDPDF=Y")</f>
        <v>21812.4182</v>
      </c>
      <c r="P53" s="13">
        <f>_xll.BDH("ALNY US Equity","AVERAGE_ENTERPRISE_VALUE","FQ4 2022","FQ4 2022","Currency=USD","Period=FQ","BEST_FPERIOD_OVERRIDE=FQ","FILING_STATUS=MR","SCALING_FORMAT=MLN","Sort=A","Dates=H","DateFormat=P","Fill=—","Direction=H","UseDPDF=Y")</f>
        <v>25346.525699999998</v>
      </c>
      <c r="Q53" s="13">
        <f>_xll.BDH("ALNY US Equity","AVERAGE_ENTERPRISE_VALUE","FQ1 2023","FQ1 2023","Currency=USD","Period=FQ","BEST_FPERIOD_OVERRIDE=FQ","FILING_STATUS=MR","SCALING_FORMAT=MLN","Sort=A","Dates=H","DateFormat=P","Fill=—","Direction=H","UseDPDF=Y")</f>
        <v>25081.7601</v>
      </c>
      <c r="R53" s="13">
        <f>_xll.BDH("ALNY US Equity","AVERAGE_ENTERPRISE_VALUE","FQ2 2023","FQ2 2023","Currency=USD","Period=FQ","BEST_FPERIOD_OVERRIDE=FQ","FILING_STATUS=MR","SCALING_FORMAT=MLN","Sort=A","Dates=H","DateFormat=P","Fill=—","Direction=H","UseDPDF=Y")</f>
        <v>23909.498</v>
      </c>
      <c r="S53" s="13">
        <f>_xll.BDH("ALNY US Equity","AVERAGE_ENTERPRISE_VALUE","FQ3 2023","FQ3 2023","Currency=USD","Period=FQ","BEST_FPERIOD_OVERRIDE=FQ","FILING_STATUS=MR","SCALING_FORMAT=MLN","Sort=A","Dates=H","DateFormat=P","Fill=—","Direction=H","UseDPDF=Y")</f>
        <v>23109.001700000001</v>
      </c>
      <c r="T53" s="13">
        <f>_xll.BDH("ALNY US Equity","AVERAGE_ENTERPRISE_VALUE","FQ4 2023","FQ4 2023","Currency=USD","Period=FQ","BEST_FPERIOD_OVERRIDE=FQ","FILING_STATUS=MR","SCALING_FORMAT=MLN","Sort=A","Dates=H","DateFormat=P","Fill=—","Direction=H","UseDPDF=Y")</f>
        <v>20248.495500000001</v>
      </c>
      <c r="U53" s="13">
        <f>_xll.BDH("ALNY US Equity","AVERAGE_ENTERPRISE_VALUE","FQ1 2024","FQ1 2024","Currency=USD","Period=FQ","BEST_FPERIOD_OVERRIDE=FQ","FILING_STATUS=MR","SCALING_FORMAT=MLN","Sort=A","Dates=H","DateFormat=P","Fill=—","Direction=H","UseDPDF=Y")</f>
        <v>19834.880399999998</v>
      </c>
      <c r="V53" s="13">
        <f>_xll.BDH("ALNY US Equity","AVERAGE_ENTERPRISE_VALUE","FQ2 2024","FQ2 2024","Currency=USD","Period=FQ","BEST_FPERIOD_OVERRIDE=FQ","FILING_STATUS=MR","SCALING_FORMAT=MLN","Sort=A","Dates=H","DateFormat=P","Fill=—","Direction=H","UseDPDF=Y")</f>
        <v>18887.532899999998</v>
      </c>
      <c r="W53" s="13">
        <f>_xll.BDH("ALNY US Equity","AVERAGE_ENTERPRISE_VALUE","FQ3 2024","FQ3 2024","Currency=USD","Period=FQ","BEST_FPERIOD_OVERRIDE=FQ","FILING_STATUS=MR","SCALING_FORMAT=MLN","Sort=A","Dates=H","DateFormat=P","Fill=—","Direction=H","UseDPDF=Y")</f>
        <v>33264.0409</v>
      </c>
      <c r="X53" s="13">
        <f>_xll.BDH("ALNY US Equity","AVERAGE_ENTERPRISE_VALUE","FQ4 2024","FQ4 2024","Currency=USD","Period=FQ","BEST_FPERIOD_OVERRIDE=FQ","FILING_STATUS=MR","SCALING_FORMAT=MLN","Sort=A","Dates=H","DateFormat=P","Fill=—","Direction=H","UseDPDF=Y")</f>
        <v>32385.577399999998</v>
      </c>
      <c r="Y53" s="16"/>
      <c r="Z53" s="13"/>
      <c r="AA53" s="13"/>
    </row>
    <row r="54" spans="1:27" x14ac:dyDescent="0.25">
      <c r="A54" s="10" t="s">
        <v>205</v>
      </c>
      <c r="B54" s="10" t="s">
        <v>243</v>
      </c>
      <c r="C54" s="13">
        <f>_xll.BDH("ALNY US Equity","HIGH_ENTERPRISE_VALUE","FQ3 2019","FQ3 2019","Currency=USD","Period=FQ","BEST_FPERIOD_OVERRIDE=FQ","FILING_STATUS=MR","SCALING_FORMAT=MLN","Sort=A","Dates=H","DateFormat=P","Fill=—","Direction=H","UseDPDF=Y")</f>
        <v>8175.9829</v>
      </c>
      <c r="D54" s="13">
        <f>_xll.BDH("ALNY US Equity","HIGH_ENTERPRISE_VALUE","FQ4 2019","FQ4 2019","Currency=USD","Period=FQ","BEST_FPERIOD_OVERRIDE=FQ","FILING_STATUS=MR","SCALING_FORMAT=MLN","Sort=A","Dates=H","DateFormat=P","Fill=—","Direction=H","UseDPDF=Y")</f>
        <v>12433.9339</v>
      </c>
      <c r="E54" s="13">
        <f>_xll.BDH("ALNY US Equity","HIGH_ENTERPRISE_VALUE","FQ1 2020","FQ1 2020","Currency=USD","Period=FQ","BEST_FPERIOD_OVERRIDE=FQ","FILING_STATUS=MR","SCALING_FORMAT=MLN","Sort=A","Dates=H","DateFormat=P","Fill=—","Direction=H","UseDPDF=Y")</f>
        <v>13801.339</v>
      </c>
      <c r="F54" s="13">
        <f>_xll.BDH("ALNY US Equity","HIGH_ENTERPRISE_VALUE","FQ2 2020","FQ2 2020","Currency=USD","Period=FQ","BEST_FPERIOD_OVERRIDE=FQ","FILING_STATUS=MR","SCALING_FORMAT=MLN","Sort=A","Dates=H","DateFormat=P","Fill=—","Direction=H","UseDPDF=Y")</f>
        <v>16924.93</v>
      </c>
      <c r="G54" s="13">
        <f>_xll.BDH("ALNY US Equity","HIGH_ENTERPRISE_VALUE","FQ3 2020","FQ3 2020","Currency=USD","Period=FQ","BEST_FPERIOD_OVERRIDE=FQ","FILING_STATUS=MR","SCALING_FORMAT=MLN","Sort=A","Dates=H","DateFormat=P","Fill=—","Direction=H","UseDPDF=Y")</f>
        <v>17390.922299999998</v>
      </c>
      <c r="H54" s="13">
        <f>_xll.BDH("ALNY US Equity","HIGH_ENTERPRISE_VALUE","FQ4 2020","FQ4 2020","Currency=USD","Period=FQ","BEST_FPERIOD_OVERRIDE=FQ","FILING_STATUS=MR","SCALING_FORMAT=MLN","Sort=A","Dates=H","DateFormat=P","Fill=—","Direction=H","UseDPDF=Y")</f>
        <v>15543.1361</v>
      </c>
      <c r="I54" s="13">
        <f>_xll.BDH("ALNY US Equity","HIGH_ENTERPRISE_VALUE","FQ1 2021","FQ1 2021","Currency=USD","Period=FQ","BEST_FPERIOD_OVERRIDE=FQ","FILING_STATUS=MR","SCALING_FORMAT=MLN","Sort=A","Dates=H","DateFormat=P","Fill=—","Direction=H","UseDPDF=Y")</f>
        <v>19058.593099999998</v>
      </c>
      <c r="J54" s="13">
        <f>_xll.BDH("ALNY US Equity","HIGH_ENTERPRISE_VALUE","FQ2 2021","FQ2 2021","Currency=USD","Period=FQ","BEST_FPERIOD_OVERRIDE=FQ","FILING_STATUS=MR","SCALING_FORMAT=MLN","Sort=A","Dates=H","DateFormat=P","Fill=—","Direction=H","UseDPDF=Y")</f>
        <v>19601.527099999999</v>
      </c>
      <c r="K54" s="13">
        <f>_xll.BDH("ALNY US Equity","HIGH_ENTERPRISE_VALUE","FQ3 2021","FQ3 2021","Currency=USD","Period=FQ","BEST_FPERIOD_OVERRIDE=FQ","FILING_STATUS=MR","SCALING_FORMAT=MLN","Sort=A","Dates=H","DateFormat=P","Fill=—","Direction=H","UseDPDF=Y")</f>
        <v>23549.221300000001</v>
      </c>
      <c r="L54" s="13">
        <f>_xll.BDH("ALNY US Equity","HIGH_ENTERPRISE_VALUE","FQ4 2021","FQ4 2021","Currency=USD","Period=FQ","BEST_FPERIOD_OVERRIDE=FQ","FILING_STATUS=MR","SCALING_FORMAT=MLN","Sort=A","Dates=H","DateFormat=P","Fill=—","Direction=H","UseDPDF=Y")</f>
        <v>23306.209699999999</v>
      </c>
      <c r="M54" s="13">
        <f>_xll.BDH("ALNY US Equity","HIGH_ENTERPRISE_VALUE","FQ1 2022","FQ1 2022","Currency=USD","Period=FQ","BEST_FPERIOD_OVERRIDE=FQ","FILING_STATUS=MR","SCALING_FORMAT=MLN","Sort=A","Dates=H","DateFormat=P","Fill=—","Direction=H","UseDPDF=Y")</f>
        <v>19361.868699999999</v>
      </c>
      <c r="N54" s="13">
        <f>_xll.BDH("ALNY US Equity","HIGH_ENTERPRISE_VALUE","FQ2 2022","FQ2 2022","Currency=USD","Period=FQ","BEST_FPERIOD_OVERRIDE=FQ","FILING_STATUS=MR","SCALING_FORMAT=MLN","Sort=A","Dates=H","DateFormat=P","Fill=—","Direction=H","UseDPDF=Y")</f>
        <v>19127.065500000001</v>
      </c>
      <c r="O54" s="13">
        <f>_xll.BDH("ALNY US Equity","HIGH_ENTERPRISE_VALUE","FQ3 2022","FQ3 2022","Currency=USD","Period=FQ","BEST_FPERIOD_OVERRIDE=FQ","FILING_STATUS=MR","SCALING_FORMAT=MLN","Sort=A","Dates=H","DateFormat=P","Fill=—","Direction=H","UseDPDF=Y")</f>
        <v>26948.572800000002</v>
      </c>
      <c r="P54" s="13">
        <f>_xll.BDH("ALNY US Equity","HIGH_ENTERPRISE_VALUE","FQ4 2022","FQ4 2022","Currency=USD","Period=FQ","BEST_FPERIOD_OVERRIDE=FQ","FILING_STATUS=MR","SCALING_FORMAT=MLN","Sort=A","Dates=H","DateFormat=P","Fill=—","Direction=H","UseDPDF=Y")</f>
        <v>28962.391100000001</v>
      </c>
      <c r="Q54" s="13">
        <f>_xll.BDH("ALNY US Equity","HIGH_ENTERPRISE_VALUE","FQ1 2023","FQ1 2023","Currency=USD","Period=FQ","BEST_FPERIOD_OVERRIDE=FQ","FILING_STATUS=MR","SCALING_FORMAT=MLN","Sort=A","Dates=H","DateFormat=P","Fill=—","Direction=H","UseDPDF=Y")</f>
        <v>28104.682000000001</v>
      </c>
      <c r="R54" s="13">
        <f>_xll.BDH("ALNY US Equity","HIGH_ENTERPRISE_VALUE","FQ2 2023","FQ2 2023","Currency=USD","Period=FQ","BEST_FPERIOD_OVERRIDE=FQ","FILING_STATUS=MR","SCALING_FORMAT=MLN","Sort=A","Dates=H","DateFormat=P","Fill=—","Direction=H","UseDPDF=Y")</f>
        <v>25655.3485</v>
      </c>
      <c r="S54" s="13">
        <f>_xll.BDH("ALNY US Equity","HIGH_ENTERPRISE_VALUE","FQ3 2023","FQ3 2023","Currency=USD","Period=FQ","BEST_FPERIOD_OVERRIDE=FQ","FILING_STATUS=MR","SCALING_FORMAT=MLN","Sort=A","Dates=H","DateFormat=P","Fill=—","Direction=H","UseDPDF=Y")</f>
        <v>25713.214</v>
      </c>
      <c r="T54" s="13">
        <f>_xll.BDH("ALNY US Equity","HIGH_ENTERPRISE_VALUE","FQ4 2023","FQ4 2023","Currency=USD","Period=FQ","BEST_FPERIOD_OVERRIDE=FQ","FILING_STATUS=MR","SCALING_FORMAT=MLN","Sort=A","Dates=H","DateFormat=P","Fill=—","Direction=H","UseDPDF=Y")</f>
        <v>23570.902699999999</v>
      </c>
      <c r="U54" s="13">
        <f>_xll.BDH("ALNY US Equity","HIGH_ENTERPRISE_VALUE","FQ1 2024","FQ1 2024","Currency=USD","Period=FQ","BEST_FPERIOD_OVERRIDE=FQ","FILING_STATUS=MR","SCALING_FORMAT=MLN","Sort=A","Dates=H","DateFormat=P","Fill=—","Direction=H","UseDPDF=Y")</f>
        <v>23738.703099999999</v>
      </c>
      <c r="V54" s="13">
        <f>_xll.BDH("ALNY US Equity","HIGH_ENTERPRISE_VALUE","FQ2 2024","FQ2 2024","Currency=USD","Period=FQ","BEST_FPERIOD_OVERRIDE=FQ","FILING_STATUS=MR","SCALING_FORMAT=MLN","Sort=A","Dates=H","DateFormat=P","Fill=—","Direction=H","UseDPDF=Y")</f>
        <v>30759.129099999998</v>
      </c>
      <c r="W54" s="13">
        <f>_xll.BDH("ALNY US Equity","HIGH_ENTERPRISE_VALUE","FQ3 2024","FQ3 2024","Currency=USD","Period=FQ","BEST_FPERIOD_OVERRIDE=FQ","FILING_STATUS=MR","SCALING_FORMAT=MLN","Sort=A","Dates=H","DateFormat=P","Fill=—","Direction=H","UseDPDF=Y")</f>
        <v>36868.118000000002</v>
      </c>
      <c r="X54" s="13">
        <f>_xll.BDH("ALNY US Equity","HIGH_ENTERPRISE_VALUE","FQ4 2024","FQ4 2024","Currency=USD","Period=FQ","BEST_FPERIOD_OVERRIDE=FQ","FILING_STATUS=MR","SCALING_FORMAT=MLN","Sort=A","Dates=H","DateFormat=P","Fill=—","Direction=H","UseDPDF=Y")</f>
        <v>37106.356200000002</v>
      </c>
      <c r="Y54" s="16"/>
      <c r="Z54" s="13"/>
      <c r="AA54" s="13"/>
    </row>
    <row r="55" spans="1:27" x14ac:dyDescent="0.25">
      <c r="A55" s="10" t="s">
        <v>207</v>
      </c>
      <c r="B55" s="10" t="s">
        <v>244</v>
      </c>
      <c r="C55" s="13">
        <f>_xll.BDH("ALNY US Equity","LOW_ENTERPRISE_VALUE","FQ3 2019","FQ3 2019","Currency=USD","Period=FQ","BEST_FPERIOD_OVERRIDE=FQ","FILING_STATUS=MR","SCALING_FORMAT=MLN","Sort=A","Dates=H","DateFormat=P","Fill=—","Direction=H","UseDPDF=Y")</f>
        <v>5963.1845999999996</v>
      </c>
      <c r="D55" s="13">
        <f>_xll.BDH("ALNY US Equity","LOW_ENTERPRISE_VALUE","FQ4 2019","FQ4 2019","Currency=USD","Period=FQ","BEST_FPERIOD_OVERRIDE=FQ","FILING_STATUS=MR","SCALING_FORMAT=MLN","Sort=A","Dates=H","DateFormat=P","Fill=—","Direction=H","UseDPDF=Y")</f>
        <v>6869.6450999999997</v>
      </c>
      <c r="E55" s="13">
        <f>_xll.BDH("ALNY US Equity","LOW_ENTERPRISE_VALUE","FQ1 2020","FQ1 2020","Currency=USD","Period=FQ","BEST_FPERIOD_OVERRIDE=FQ","FILING_STATUS=MR","SCALING_FORMAT=MLN","Sort=A","Dates=H","DateFormat=P","Fill=—","Direction=H","UseDPDF=Y")</f>
        <v>9251.4796999999999</v>
      </c>
      <c r="F55" s="13">
        <f>_xll.BDH("ALNY US Equity","LOW_ENTERPRISE_VALUE","FQ2 2020","FQ2 2020","Currency=USD","Period=FQ","BEST_FPERIOD_OVERRIDE=FQ","FILING_STATUS=MR","SCALING_FORMAT=MLN","Sort=A","Dates=H","DateFormat=P","Fill=—","Direction=H","UseDPDF=Y")</f>
        <v>10745.8948</v>
      </c>
      <c r="G55" s="13">
        <f>_xll.BDH("ALNY US Equity","LOW_ENTERPRISE_VALUE","FQ3 2020","FQ3 2020","Currency=USD","Period=FQ","BEST_FPERIOD_OVERRIDE=FQ","FILING_STATUS=MR","SCALING_FORMAT=MLN","Sort=A","Dates=H","DateFormat=P","Fill=—","Direction=H","UseDPDF=Y")</f>
        <v>12443.879000000001</v>
      </c>
      <c r="H55" s="13">
        <f>_xll.BDH("ALNY US Equity","LOW_ENTERPRISE_VALUE","FQ4 2020","FQ4 2020","Currency=USD","Period=FQ","BEST_FPERIOD_OVERRIDE=FQ","FILING_STATUS=MR","SCALING_FORMAT=MLN","Sort=A","Dates=H","DateFormat=P","Fill=—","Direction=H","UseDPDF=Y")</f>
        <v>12756.3822</v>
      </c>
      <c r="I55" s="13">
        <f>_xll.BDH("ALNY US Equity","LOW_ENTERPRISE_VALUE","FQ1 2021","FQ1 2021","Currency=USD","Period=FQ","BEST_FPERIOD_OVERRIDE=FQ","FILING_STATUS=MR","SCALING_FORMAT=MLN","Sort=A","Dates=H","DateFormat=P","Fill=—","Direction=H","UseDPDF=Y")</f>
        <v>13382.0008</v>
      </c>
      <c r="J55" s="13">
        <f>_xll.BDH("ALNY US Equity","LOW_ENTERPRISE_VALUE","FQ2 2021","FQ2 2021","Currency=USD","Period=FQ","BEST_FPERIOD_OVERRIDE=FQ","FILING_STATUS=MR","SCALING_FORMAT=MLN","Sort=A","Dates=H","DateFormat=P","Fill=—","Direction=H","UseDPDF=Y")</f>
        <v>13928.8035</v>
      </c>
      <c r="K55" s="13">
        <f>_xll.BDH("ALNY US Equity","LOW_ENTERPRISE_VALUE","FQ3 2021","FQ3 2021","Currency=USD","Period=FQ","BEST_FPERIOD_OVERRIDE=FQ","FILING_STATUS=MR","SCALING_FORMAT=MLN","Sort=A","Dates=H","DateFormat=P","Fill=—","Direction=H","UseDPDF=Y")</f>
        <v>18814.2605</v>
      </c>
      <c r="L55" s="13">
        <f>_xll.BDH("ALNY US Equity","LOW_ENTERPRISE_VALUE","FQ4 2021","FQ4 2021","Currency=USD","Period=FQ","BEST_FPERIOD_OVERRIDE=FQ","FILING_STATUS=MR","SCALING_FORMAT=MLN","Sort=A","Dates=H","DateFormat=P","Fill=—","Direction=H","UseDPDF=Y")</f>
        <v>17516.139800000001</v>
      </c>
      <c r="M55" s="13">
        <f>_xll.BDH("ALNY US Equity","LOW_ENTERPRISE_VALUE","FQ1 2022","FQ1 2022","Currency=USD","Period=FQ","BEST_FPERIOD_OVERRIDE=FQ","FILING_STATUS=MR","SCALING_FORMAT=MLN","Sort=A","Dates=H","DateFormat=P","Fill=—","Direction=H","UseDPDF=Y")</f>
        <v>13772.905699999999</v>
      </c>
      <c r="N55" s="13">
        <f>_xll.BDH("ALNY US Equity","LOW_ENTERPRISE_VALUE","FQ2 2022","FQ2 2022","Currency=USD","Period=FQ","BEST_FPERIOD_OVERRIDE=FQ","FILING_STATUS=MR","SCALING_FORMAT=MLN","Sort=A","Dates=H","DateFormat=P","Fill=—","Direction=H","UseDPDF=Y")</f>
        <v>13304.193799999999</v>
      </c>
      <c r="O55" s="13">
        <f>_xll.BDH("ALNY US Equity","LOW_ENTERPRISE_VALUE","FQ3 2022","FQ3 2022","Currency=USD","Period=FQ","BEST_FPERIOD_OVERRIDE=FQ","FILING_STATUS=MR","SCALING_FORMAT=MLN","Sort=A","Dates=H","DateFormat=P","Fill=—","Direction=H","UseDPDF=Y")</f>
        <v>15617.872499999999</v>
      </c>
      <c r="P55" s="13">
        <f>_xll.BDH("ALNY US Equity","LOW_ENTERPRISE_VALUE","FQ4 2022","FQ4 2022","Currency=USD","Period=FQ","BEST_FPERIOD_OVERRIDE=FQ","FILING_STATUS=MR","SCALING_FORMAT=MLN","Sort=A","Dates=H","DateFormat=P","Fill=—","Direction=H","UseDPDF=Y")</f>
        <v>21492.564299999998</v>
      </c>
      <c r="Q55" s="13">
        <f>_xll.BDH("ALNY US Equity","LOW_ENTERPRISE_VALUE","FQ1 2023","FQ1 2023","Currency=USD","Period=FQ","BEST_FPERIOD_OVERRIDE=FQ","FILING_STATUS=MR","SCALING_FORMAT=MLN","Sort=A","Dates=H","DateFormat=P","Fill=—","Direction=H","UseDPDF=Y")</f>
        <v>21801.6083</v>
      </c>
      <c r="R55" s="13">
        <f>_xll.BDH("ALNY US Equity","LOW_ENTERPRISE_VALUE","FQ2 2023","FQ2 2023","Currency=USD","Period=FQ","BEST_FPERIOD_OVERRIDE=FQ","FILING_STATUS=MR","SCALING_FORMAT=MLN","Sort=A","Dates=H","DateFormat=P","Fill=—","Direction=H","UseDPDF=Y")</f>
        <v>22288.172600000002</v>
      </c>
      <c r="S55" s="13">
        <f>_xll.BDH("ALNY US Equity","LOW_ENTERPRISE_VALUE","FQ3 2023","FQ3 2023","Currency=USD","Period=FQ","BEST_FPERIOD_OVERRIDE=FQ","FILING_STATUS=MR","SCALING_FORMAT=MLN","Sort=A","Dates=H","DateFormat=P","Fill=—","Direction=H","UseDPDF=Y")</f>
        <v>20603.187300000001</v>
      </c>
      <c r="T55" s="13">
        <f>_xll.BDH("ALNY US Equity","LOW_ENTERPRISE_VALUE","FQ4 2023","FQ4 2023","Currency=USD","Period=FQ","BEST_FPERIOD_OVERRIDE=FQ","FILING_STATUS=MR","SCALING_FORMAT=MLN","Sort=A","Dates=H","DateFormat=P","Fill=—","Direction=H","UseDPDF=Y")</f>
        <v>17829.1067</v>
      </c>
      <c r="U55" s="13">
        <f>_xll.BDH("ALNY US Equity","LOW_ENTERPRISE_VALUE","FQ1 2024","FQ1 2024","Currency=USD","Period=FQ","BEST_FPERIOD_OVERRIDE=FQ","FILING_STATUS=MR","SCALING_FORMAT=MLN","Sort=A","Dates=H","DateFormat=P","Fill=—","Direction=H","UseDPDF=Y")</f>
        <v>17318.323100000001</v>
      </c>
      <c r="V55" s="13">
        <f>_xll.BDH("ALNY US Equity","LOW_ENTERPRISE_VALUE","FQ2 2024","FQ2 2024","Currency=USD","Period=FQ","BEST_FPERIOD_OVERRIDE=FQ","FILING_STATUS=MR","SCALING_FORMAT=MLN","Sort=A","Dates=H","DateFormat=P","Fill=—","Direction=H","UseDPDF=Y")</f>
        <v>16979.242600000001</v>
      </c>
      <c r="W55" s="13">
        <f>_xll.BDH("ALNY US Equity","LOW_ENTERPRISE_VALUE","FQ3 2024","FQ3 2024","Currency=USD","Period=FQ","BEST_FPERIOD_OVERRIDE=FQ","FILING_STATUS=MR","SCALING_FORMAT=MLN","Sort=A","Dates=H","DateFormat=P","Fill=—","Direction=H","UseDPDF=Y")</f>
        <v>29596.669600000001</v>
      </c>
      <c r="X55" s="13">
        <f>_xll.BDH("ALNY US Equity","LOW_ENTERPRISE_VALUE","FQ4 2024","FQ4 2024","Currency=USD","Period=FQ","BEST_FPERIOD_OVERRIDE=FQ","FILING_STATUS=MR","SCALING_FORMAT=MLN","Sort=A","Dates=H","DateFormat=P","Fill=—","Direction=H","UseDPDF=Y")</f>
        <v>28479.990600000001</v>
      </c>
      <c r="Y55" s="16"/>
      <c r="Z55" s="13"/>
      <c r="AA55" s="13"/>
    </row>
    <row r="56" spans="1:27" x14ac:dyDescent="0.25">
      <c r="A56" s="7" t="s">
        <v>90</v>
      </c>
      <c r="B56" s="7"/>
      <c r="C56" s="7" t="s">
        <v>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245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10" t="s">
        <v>246</v>
      </c>
      <c r="B6" s="10" t="s">
        <v>121</v>
      </c>
      <c r="C6" s="13">
        <f>_xll.BDH("ALNY US Equity","BS_SH_OUT","FQ2 2019","FQ2 2019","Currency=USD","Period=FQ","BEST_FPERIOD_OVERRIDE=FQ","FILING_STATUS=MR","Sort=A","Dates=H","DateFormat=P","Fill=—","Direction=H","UseDPDF=Y")</f>
        <v>111.114</v>
      </c>
      <c r="D6" s="13">
        <f>_xll.BDH("ALNY US Equity","BS_SH_OUT","FQ3 2019","FQ3 2019","Currency=USD","Period=FQ","BEST_FPERIOD_OVERRIDE=FQ","FILING_STATUS=MR","Sort=A","Dates=H","DateFormat=P","Fill=—","Direction=H","UseDPDF=Y")</f>
        <v>111.325</v>
      </c>
      <c r="E6" s="13">
        <f>_xll.BDH("ALNY US Equity","BS_SH_OUT","FQ4 2019","FQ4 2019","Currency=USD","Period=FQ","BEST_FPERIOD_OVERRIDE=FQ","FILING_STATUS=MR","Sort=A","Dates=H","DateFormat=P","Fill=—","Direction=H","UseDPDF=Y")</f>
        <v>112.188</v>
      </c>
      <c r="F6" s="13">
        <f>_xll.BDH("ALNY US Equity","BS_SH_OUT","FQ1 2020","FQ1 2020","Currency=USD","Period=FQ","BEST_FPERIOD_OVERRIDE=FQ","FILING_STATUS=MR","Sort=A","Dates=H","DateFormat=P","Fill=—","Direction=H","UseDPDF=Y")</f>
        <v>113.16800000000001</v>
      </c>
      <c r="G6" s="13">
        <f>_xll.BDH("ALNY US Equity","BS_SH_OUT","FQ2 2020","FQ2 2020","Currency=USD","Period=FQ","BEST_FPERIOD_OVERRIDE=FQ","FILING_STATUS=MR","Sort=A","Dates=H","DateFormat=P","Fill=—","Direction=H","UseDPDF=Y")</f>
        <v>115.64700000000001</v>
      </c>
      <c r="H6" s="13">
        <f>_xll.BDH("ALNY US Equity","BS_SH_OUT","FQ3 2020","FQ3 2020","Currency=USD","Period=FQ","BEST_FPERIOD_OVERRIDE=FQ","FILING_STATUS=MR","Sort=A","Dates=H","DateFormat=P","Fill=—","Direction=H","UseDPDF=Y")</f>
        <v>116.143</v>
      </c>
      <c r="I6" s="13">
        <f>_xll.BDH("ALNY US Equity","BS_SH_OUT","FQ4 2020","FQ4 2020","Currency=USD","Period=FQ","BEST_FPERIOD_OVERRIDE=FQ","FILING_STATUS=MR","Sort=A","Dates=H","DateFormat=P","Fill=—","Direction=H","UseDPDF=Y")</f>
        <v>116.42700000000001</v>
      </c>
      <c r="J6" s="13">
        <f>_xll.BDH("ALNY US Equity","BS_SH_OUT","FQ1 2021","FQ1 2021","Currency=USD","Period=FQ","BEST_FPERIOD_OVERRIDE=FQ","FILING_STATUS=MR","Sort=A","Dates=H","DateFormat=P","Fill=—","Direction=H","UseDPDF=Y")</f>
        <v>117.321</v>
      </c>
      <c r="K6" s="13">
        <f>_xll.BDH("ALNY US Equity","BS_SH_OUT","FQ2 2021","FQ2 2021","Currency=USD","Period=FQ","BEST_FPERIOD_OVERRIDE=FQ","FILING_STATUS=MR","Sort=A","Dates=H","DateFormat=P","Fill=—","Direction=H","UseDPDF=Y")</f>
        <v>118.596</v>
      </c>
      <c r="L6" s="13">
        <f>_xll.BDH("ALNY US Equity","BS_SH_OUT","FQ3 2021","FQ3 2021","Currency=USD","Period=FQ","BEST_FPERIOD_OVERRIDE=FQ","FILING_STATUS=MR","Sort=A","Dates=H","DateFormat=P","Fill=—","Direction=H","UseDPDF=Y")</f>
        <v>119.48</v>
      </c>
      <c r="M6" s="13">
        <f>_xll.BDH("ALNY US Equity","BS_SH_OUT","FQ4 2021","FQ4 2021","Currency=USD","Period=FQ","BEST_FPERIOD_OVERRIDE=FQ","FILING_STATUS=MR","Sort=A","Dates=H","DateFormat=P","Fill=—","Direction=H","UseDPDF=Y")</f>
        <v>120.182</v>
      </c>
      <c r="N6" s="13">
        <f>_xll.BDH("ALNY US Equity","BS_SH_OUT","FQ1 2022","FQ1 2022","Currency=USD","Period=FQ","BEST_FPERIOD_OVERRIDE=FQ","FILING_STATUS=MR","Sort=A","Dates=H","DateFormat=P","Fill=—","Direction=H","UseDPDF=Y")</f>
        <v>120.729</v>
      </c>
      <c r="O6" s="13">
        <f>_xll.BDH("ALNY US Equity","BS_SH_OUT","FQ2 2022","FQ2 2022","Currency=USD","Period=FQ","BEST_FPERIOD_OVERRIDE=FQ","FILING_STATUS=MR","Sort=A","Dates=H","DateFormat=P","Fill=—","Direction=H","UseDPDF=Y")</f>
        <v>120.992</v>
      </c>
      <c r="P6" s="13">
        <f>_xll.BDH("ALNY US Equity","BS_SH_OUT","FQ3 2022","FQ3 2022","Currency=USD","Period=FQ","BEST_FPERIOD_OVERRIDE=FQ","FILING_STATUS=MR","Sort=A","Dates=H","DateFormat=P","Fill=—","Direction=H","UseDPDF=Y")</f>
        <v>122.991</v>
      </c>
      <c r="Q6" s="13">
        <f>_xll.BDH("ALNY US Equity","BS_SH_OUT","FQ4 2022","FQ4 2022","Currency=USD","Period=FQ","BEST_FPERIOD_OVERRIDE=FQ","FILING_STATUS=MR","Sort=A","Dates=H","DateFormat=P","Fill=—","Direction=H","UseDPDF=Y")</f>
        <v>123.925</v>
      </c>
      <c r="R6" s="13">
        <f>_xll.BDH("ALNY US Equity","BS_SH_OUT","FQ1 2023","FQ1 2023","Currency=USD","Period=FQ","BEST_FPERIOD_OVERRIDE=FQ","FILING_STATUS=MR","Sort=A","Dates=H","DateFormat=P","Fill=—","Direction=H","UseDPDF=Y")</f>
        <v>124.241</v>
      </c>
      <c r="S6" s="13">
        <f>_xll.BDH("ALNY US Equity","BS_SH_OUT","FQ2 2023","FQ2 2023","Currency=USD","Period=FQ","BEST_FPERIOD_OVERRIDE=FQ","FILING_STATUS=MR","Sort=A","Dates=H","DateFormat=P","Fill=—","Direction=H","UseDPDF=Y")</f>
        <v>124.241</v>
      </c>
      <c r="T6" s="13">
        <f>_xll.BDH("ALNY US Equity","BS_SH_OUT","FQ3 2023","FQ3 2023","Currency=USD","Period=FQ","BEST_FPERIOD_OVERRIDE=FQ","FILING_STATUS=MR","Sort=A","Dates=H","DateFormat=P","Fill=—","Direction=H","UseDPDF=Y")</f>
        <v>125.45399999999999</v>
      </c>
      <c r="U6" s="13">
        <f>_xll.BDH("ALNY US Equity","BS_SH_OUT","FQ4 2023","FQ4 2023","Currency=USD","Period=FQ","BEST_FPERIOD_OVERRIDE=FQ","FILING_STATUS=MR","Sort=A","Dates=H","DateFormat=P","Fill=—","Direction=H","UseDPDF=Y")</f>
        <v>125.794</v>
      </c>
      <c r="V6" s="13">
        <f>_xll.BDH("ALNY US Equity","BS_SH_OUT","FQ1 2024","FQ1 2024","Currency=USD","Period=FQ","BEST_FPERIOD_OVERRIDE=FQ","FILING_STATUS=MR","Sort=A","Dates=H","DateFormat=P","Fill=—","Direction=H","UseDPDF=Y")</f>
        <v>126.46299999999999</v>
      </c>
      <c r="W6" s="13">
        <f>_xll.BDH("ALNY US Equity","BS_SH_OUT","FQ2 2024","FQ2 2024","Currency=USD","Period=FQ","BEST_FPERIOD_OVERRIDE=FQ","FILING_STATUS=MR","Sort=A","Dates=H","DateFormat=P","Fill=—","Direction=H","UseDPDF=Y")</f>
        <v>128.02099999999999</v>
      </c>
      <c r="X6" s="13">
        <f>_xll.BDH("ALNY US Equity","BS_SH_OUT","FQ3 2024","FQ3 2024","Currency=USD","Period=FQ","BEST_FPERIOD_OVERRIDE=FQ","FILING_STATUS=MR","Sort=A","Dates=H","DateFormat=P","Fill=—","Direction=H","UseDPDF=Y")</f>
        <v>128.84100000000001</v>
      </c>
      <c r="Y6" s="13">
        <f>_xll.BDH("ALNY US Equity","BS_SH_OUT","FQ4 2024","FQ4 2024","Currency=USD","Period=FQ","BEST_FPERIOD_OVERRIDE=FQ","FILING_STATUS=MR","Sort=A","Dates=H","DateFormat=P","Fill=—","Direction=H","UseDPDF=Y")</f>
        <v>129.29400000000001</v>
      </c>
      <c r="Z6" s="13"/>
      <c r="AA6" s="13"/>
    </row>
    <row r="7" spans="1:27" x14ac:dyDescent="0.25">
      <c r="A7" s="10" t="s">
        <v>247</v>
      </c>
      <c r="B7" s="10" t="s">
        <v>108</v>
      </c>
      <c r="C7" s="13">
        <f>_xll.BDH("ALNY US Equity","IS_SH_FOR_DILUTED_EPS","FQ2 2019","FQ2 2019","Currency=USD","Period=FQ","BEST_FPERIOD_OVERRIDE=FQ","FILING_STATUS=MR","Sort=A","Dates=H","DateFormat=P","Fill=—","Direction=H","UseDPDF=Y")</f>
        <v>108.57599999999999</v>
      </c>
      <c r="D7" s="13">
        <f>_xll.BDH("ALNY US Equity","IS_SH_FOR_DILUTED_EPS","FQ3 2019","FQ3 2019","Currency=USD","Period=FQ","BEST_FPERIOD_OVERRIDE=FQ","FILING_STATUS=MR","Sort=A","Dates=H","DateFormat=P","Fill=—","Direction=H","UseDPDF=Y")</f>
        <v>108.70099999999999</v>
      </c>
      <c r="E7" s="13">
        <f>_xll.BDH("ALNY US Equity","IS_SH_FOR_DILUTED_EPS","FQ4 2019","FQ4 2019","Currency=USD","Period=FQ","BEST_FPERIOD_OVERRIDE=FQ","FILING_STATUS=MR","Sort=A","Dates=H","DateFormat=P","Fill=—","Direction=H","UseDPDF=Y")</f>
        <v>111.75</v>
      </c>
      <c r="F7" s="13">
        <f>_xll.BDH("ALNY US Equity","IS_SH_FOR_DILUTED_EPS","FQ1 2020","FQ1 2020","Currency=USD","Period=FQ","BEST_FPERIOD_OVERRIDE=FQ","FILING_STATUS=MR","Sort=A","Dates=H","DateFormat=P","Fill=—","Direction=H","UseDPDF=Y")</f>
        <v>112.748</v>
      </c>
      <c r="G7" s="13">
        <f>_xll.BDH("ALNY US Equity","IS_SH_FOR_DILUTED_EPS","FQ2 2020","FQ2 2020","Currency=USD","Period=FQ","BEST_FPERIOD_OVERRIDE=FQ","FILING_STATUS=MR","Sort=A","Dates=H","DateFormat=P","Fill=—","Direction=H","UseDPDF=Y")</f>
        <v>114.911</v>
      </c>
      <c r="H7" s="13">
        <f>_xll.BDH("ALNY US Equity","IS_SH_FOR_DILUTED_EPS","FQ3 2020","FQ3 2020","Currency=USD","Period=FQ","BEST_FPERIOD_OVERRIDE=FQ","FILING_STATUS=MR","Sort=A","Dates=H","DateFormat=P","Fill=—","Direction=H","UseDPDF=Y")</f>
        <v>115.986</v>
      </c>
      <c r="I7" s="13">
        <f>_xll.BDH("ALNY US Equity","IS_SH_FOR_DILUTED_EPS","FQ4 2020","FQ4 2020","Currency=USD","Period=FQ","BEST_FPERIOD_OVERRIDE=FQ","FILING_STATUS=MR","Sort=A","Dates=H","DateFormat=P","Fill=—","Direction=H","UseDPDF=Y")</f>
        <v>116.274</v>
      </c>
      <c r="J7" s="13">
        <f>_xll.BDH("ALNY US Equity","IS_SH_FOR_DILUTED_EPS","FQ1 2021","FQ1 2021","Currency=USD","Period=FQ","BEST_FPERIOD_OVERRIDE=FQ","FILING_STATUS=MR","Sort=A","Dates=H","DateFormat=P","Fill=—","Direction=H","UseDPDF=Y")</f>
        <v>117.08</v>
      </c>
      <c r="K7" s="13">
        <f>_xll.BDH("ALNY US Equity","IS_SH_FOR_DILUTED_EPS","FQ2 2021","FQ2 2021","Currency=USD","Period=FQ","BEST_FPERIOD_OVERRIDE=FQ","FILING_STATUS=MR","Sort=A","Dates=H","DateFormat=P","Fill=—","Direction=H","UseDPDF=Y")</f>
        <v>117.77200000000001</v>
      </c>
      <c r="L7" s="13">
        <f>_xll.BDH("ALNY US Equity","IS_SH_FOR_DILUTED_EPS","FQ3 2021","FQ3 2021","Currency=USD","Period=FQ","BEST_FPERIOD_OVERRIDE=FQ","FILING_STATUS=MR","Sort=A","Dates=H","DateFormat=P","Fill=—","Direction=H","UseDPDF=Y")</f>
        <v>119.14100000000001</v>
      </c>
      <c r="M7" s="13">
        <f>_xll.BDH("ALNY US Equity","IS_SH_FOR_DILUTED_EPS","FQ4 2021","FQ4 2021","Currency=USD","Period=FQ","BEST_FPERIOD_OVERRIDE=FQ","FILING_STATUS=MR","Sort=A","Dates=H","DateFormat=P","Fill=—","Direction=H","UseDPDF=Y")</f>
        <v>119.773</v>
      </c>
      <c r="N7" s="13">
        <f>_xll.BDH("ALNY US Equity","IS_SH_FOR_DILUTED_EPS","FQ1 2022","FQ1 2022","Currency=USD","Period=FQ","BEST_FPERIOD_OVERRIDE=FQ","FILING_STATUS=MR","Sort=A","Dates=H","DateFormat=P","Fill=—","Direction=H","UseDPDF=Y")</f>
        <v>120.393</v>
      </c>
      <c r="O7" s="13">
        <f>_xll.BDH("ALNY US Equity","IS_SH_FOR_DILUTED_EPS","FQ2 2022","FQ2 2022","Currency=USD","Period=FQ","BEST_FPERIOD_OVERRIDE=FQ","FILING_STATUS=MR","Sort=A","Dates=H","DateFormat=P","Fill=—","Direction=H","UseDPDF=Y")</f>
        <v>120.896</v>
      </c>
      <c r="P7" s="13">
        <f>_xll.BDH("ALNY US Equity","IS_SH_FOR_DILUTED_EPS","FQ3 2022","FQ3 2022","Currency=USD","Period=FQ","BEST_FPERIOD_OVERRIDE=FQ","FILING_STATUS=MR","Sort=A","Dates=H","DateFormat=P","Fill=—","Direction=H","UseDPDF=Y")</f>
        <v>122.166</v>
      </c>
      <c r="Q7" s="13">
        <f>_xll.BDH("ALNY US Equity","IS_SH_FOR_DILUTED_EPS","FQ4 2022","FQ4 2022","Currency=USD","Period=FQ","BEST_FPERIOD_OVERRIDE=FQ","FILING_STATUS=MR","Sort=A","Dates=H","DateFormat=P","Fill=—","Direction=H","UseDPDF=Y")</f>
        <v>123.26600000000001</v>
      </c>
      <c r="R7" s="13">
        <f>_xll.BDH("ALNY US Equity","IS_SH_FOR_DILUTED_EPS","FQ1 2023","FQ1 2023","Currency=USD","Period=FQ","BEST_FPERIOD_OVERRIDE=FQ","FILING_STATUS=MR","Sort=A","Dates=H","DateFormat=P","Fill=—","Direction=H","UseDPDF=Y")</f>
        <v>124.111</v>
      </c>
      <c r="S7" s="13">
        <f>_xll.BDH("ALNY US Equity","IS_SH_FOR_DILUTED_EPS","FQ2 2023","FQ2 2023","Currency=USD","Period=FQ","BEST_FPERIOD_OVERRIDE=FQ","FILING_STATUS=MR","Sort=A","Dates=H","DateFormat=P","Fill=—","Direction=H","UseDPDF=Y")</f>
        <v>124.65900000000001</v>
      </c>
      <c r="T7" s="13">
        <f>_xll.BDH("ALNY US Equity","IS_SH_FOR_DILUTED_EPS","FQ3 2023","FQ3 2023","Currency=USD","Period=FQ","BEST_FPERIOD_OVERRIDE=FQ","FILING_STATUS=MR","Sort=A","Dates=H","DateFormat=P","Fill=—","Direction=H","UseDPDF=Y")</f>
        <v>131.33699999999999</v>
      </c>
      <c r="U7" s="13">
        <f>_xll.BDH("ALNY US Equity","IS_SH_FOR_DILUTED_EPS","FQ4 2023","FQ4 2023","Currency=USD","Period=FQ","BEST_FPERIOD_OVERRIDE=FQ","FILING_STATUS=MR","Sort=A","Dates=H","DateFormat=P","Fill=—","Direction=H","UseDPDF=Y")</f>
        <v>125.613</v>
      </c>
      <c r="V7" s="13">
        <f>_xll.BDH("ALNY US Equity","IS_SH_FOR_DILUTED_EPS","FQ1 2024","FQ1 2024","Currency=USD","Period=FQ","BEST_FPERIOD_OVERRIDE=FQ","FILING_STATUS=MR","Sort=A","Dates=H","DateFormat=P","Fill=—","Direction=H","UseDPDF=Y")</f>
        <v>126.13800000000001</v>
      </c>
      <c r="W7" s="13">
        <f>_xll.BDH("ALNY US Equity","IS_SH_FOR_DILUTED_EPS","FQ2 2024","FQ2 2024","Currency=USD","Period=FQ","BEST_FPERIOD_OVERRIDE=FQ","FILING_STATUS=MR","Sort=A","Dates=H","DateFormat=P","Fill=—","Direction=H","UseDPDF=Y")</f>
        <v>126.733</v>
      </c>
      <c r="X7" s="13">
        <f>_xll.BDH("ALNY US Equity","IS_SH_FOR_DILUTED_EPS","FQ3 2024","FQ3 2024","Currency=USD","Period=FQ","BEST_FPERIOD_OVERRIDE=FQ","FILING_STATUS=MR","Sort=A","Dates=H","DateFormat=P","Fill=—","Direction=H","UseDPDF=Y")</f>
        <v>128.59</v>
      </c>
      <c r="Y7" s="13">
        <f>_xll.BDH("ALNY US Equity","IS_SH_FOR_DILUTED_EPS","FQ4 2024","FQ4 2024","Currency=USD","Period=FQ","BEST_FPERIOD_OVERRIDE=FQ","FILING_STATUS=MR","Sort=A","Dates=H","DateFormat=P","Fill=—","Direction=H","UseDPDF=Y")</f>
        <v>129.11600000000001</v>
      </c>
      <c r="Z7" s="13"/>
      <c r="AA7" s="13"/>
    </row>
    <row r="8" spans="1:27" x14ac:dyDescent="0.25">
      <c r="A8" s="10" t="s">
        <v>248</v>
      </c>
      <c r="B8" s="10" t="s">
        <v>106</v>
      </c>
      <c r="C8" s="13">
        <f>_xll.BDH("ALNY US Equity","IS_AVG_NUM_SH_FOR_EPS","FQ2 2019","FQ2 2019","Currency=USD","Period=FQ","BEST_FPERIOD_OVERRIDE=FQ","FILING_STATUS=MR","Sort=A","Dates=H","DateFormat=P","Fill=—","Direction=H","UseDPDF=Y")</f>
        <v>108.57599999999999</v>
      </c>
      <c r="D8" s="13">
        <f>_xll.BDH("ALNY US Equity","IS_AVG_NUM_SH_FOR_EPS","FQ3 2019","FQ3 2019","Currency=USD","Period=FQ","BEST_FPERIOD_OVERRIDE=FQ","FILING_STATUS=MR","Sort=A","Dates=H","DateFormat=P","Fill=—","Direction=H","UseDPDF=Y")</f>
        <v>108.70099999999999</v>
      </c>
      <c r="E8" s="13">
        <f>_xll.BDH("ALNY US Equity","IS_AVG_NUM_SH_FOR_EPS","FQ4 2019","FQ4 2019","Currency=USD","Period=FQ","BEST_FPERIOD_OVERRIDE=FQ","FILING_STATUS=MR","Sort=A","Dates=H","DateFormat=P","Fill=—","Direction=H","UseDPDF=Y")</f>
        <v>111.75</v>
      </c>
      <c r="F8" s="13">
        <f>_xll.BDH("ALNY US Equity","IS_AVG_NUM_SH_FOR_EPS","FQ1 2020","FQ1 2020","Currency=USD","Period=FQ","BEST_FPERIOD_OVERRIDE=FQ","FILING_STATUS=MR","Sort=A","Dates=H","DateFormat=P","Fill=—","Direction=H","UseDPDF=Y")</f>
        <v>112.748</v>
      </c>
      <c r="G8" s="13">
        <f>_xll.BDH("ALNY US Equity","IS_AVG_NUM_SH_FOR_EPS","FQ2 2020","FQ2 2020","Currency=USD","Period=FQ","BEST_FPERIOD_OVERRIDE=FQ","FILING_STATUS=MR","Sort=A","Dates=H","DateFormat=P","Fill=—","Direction=H","UseDPDF=Y")</f>
        <v>114.911</v>
      </c>
      <c r="H8" s="13">
        <f>_xll.BDH("ALNY US Equity","IS_AVG_NUM_SH_FOR_EPS","FQ3 2020","FQ3 2020","Currency=USD","Period=FQ","BEST_FPERIOD_OVERRIDE=FQ","FILING_STATUS=MR","Sort=A","Dates=H","DateFormat=P","Fill=—","Direction=H","UseDPDF=Y")</f>
        <v>115.986</v>
      </c>
      <c r="I8" s="13">
        <f>_xll.BDH("ALNY US Equity","IS_AVG_NUM_SH_FOR_EPS","FQ4 2020","FQ4 2020","Currency=USD","Period=FQ","BEST_FPERIOD_OVERRIDE=FQ","FILING_STATUS=MR","Sort=A","Dates=H","DateFormat=P","Fill=—","Direction=H","UseDPDF=Y")</f>
        <v>116.274</v>
      </c>
      <c r="J8" s="13">
        <f>_xll.BDH("ALNY US Equity","IS_AVG_NUM_SH_FOR_EPS","FQ1 2021","FQ1 2021","Currency=USD","Period=FQ","BEST_FPERIOD_OVERRIDE=FQ","FILING_STATUS=MR","Sort=A","Dates=H","DateFormat=P","Fill=—","Direction=H","UseDPDF=Y")</f>
        <v>117.08</v>
      </c>
      <c r="K8" s="13">
        <f>_xll.BDH("ALNY US Equity","IS_AVG_NUM_SH_FOR_EPS","FQ2 2021","FQ2 2021","Currency=USD","Period=FQ","BEST_FPERIOD_OVERRIDE=FQ","FILING_STATUS=MR","Sort=A","Dates=H","DateFormat=P","Fill=—","Direction=H","UseDPDF=Y")</f>
        <v>117.77200000000001</v>
      </c>
      <c r="L8" s="13">
        <f>_xll.BDH("ALNY US Equity","IS_AVG_NUM_SH_FOR_EPS","FQ3 2021","FQ3 2021","Currency=USD","Period=FQ","BEST_FPERIOD_OVERRIDE=FQ","FILING_STATUS=MR","Sort=A","Dates=H","DateFormat=P","Fill=—","Direction=H","UseDPDF=Y")</f>
        <v>119.14100000000001</v>
      </c>
      <c r="M8" s="13">
        <f>_xll.BDH("ALNY US Equity","IS_AVG_NUM_SH_FOR_EPS","FQ4 2021","FQ4 2021","Currency=USD","Period=FQ","BEST_FPERIOD_OVERRIDE=FQ","FILING_STATUS=MR","Sort=A","Dates=H","DateFormat=P","Fill=—","Direction=H","UseDPDF=Y")</f>
        <v>119.773</v>
      </c>
      <c r="N8" s="13">
        <f>_xll.BDH("ALNY US Equity","IS_AVG_NUM_SH_FOR_EPS","FQ1 2022","FQ1 2022","Currency=USD","Period=FQ","BEST_FPERIOD_OVERRIDE=FQ","FILING_STATUS=MR","Sort=A","Dates=H","DateFormat=P","Fill=—","Direction=H","UseDPDF=Y")</f>
        <v>120.393</v>
      </c>
      <c r="O8" s="13">
        <f>_xll.BDH("ALNY US Equity","IS_AVG_NUM_SH_FOR_EPS","FQ2 2022","FQ2 2022","Currency=USD","Period=FQ","BEST_FPERIOD_OVERRIDE=FQ","FILING_STATUS=MR","Sort=A","Dates=H","DateFormat=P","Fill=—","Direction=H","UseDPDF=Y")</f>
        <v>120.896</v>
      </c>
      <c r="P8" s="13">
        <f>_xll.BDH("ALNY US Equity","IS_AVG_NUM_SH_FOR_EPS","FQ3 2022","FQ3 2022","Currency=USD","Period=FQ","BEST_FPERIOD_OVERRIDE=FQ","FILING_STATUS=MR","Sort=A","Dates=H","DateFormat=P","Fill=—","Direction=H","UseDPDF=Y")</f>
        <v>122.166</v>
      </c>
      <c r="Q8" s="13">
        <f>_xll.BDH("ALNY US Equity","IS_AVG_NUM_SH_FOR_EPS","FQ4 2022","FQ4 2022","Currency=USD","Period=FQ","BEST_FPERIOD_OVERRIDE=FQ","FILING_STATUS=MR","Sort=A","Dates=H","DateFormat=P","Fill=—","Direction=H","UseDPDF=Y")</f>
        <v>123.26600000000001</v>
      </c>
      <c r="R8" s="13">
        <f>_xll.BDH("ALNY US Equity","IS_AVG_NUM_SH_FOR_EPS","FQ1 2023","FQ1 2023","Currency=USD","Period=FQ","BEST_FPERIOD_OVERRIDE=FQ","FILING_STATUS=MR","Sort=A","Dates=H","DateFormat=P","Fill=—","Direction=H","UseDPDF=Y")</f>
        <v>124.111</v>
      </c>
      <c r="S8" s="13">
        <f>_xll.BDH("ALNY US Equity","IS_AVG_NUM_SH_FOR_EPS","FQ2 2023","FQ2 2023","Currency=USD","Period=FQ","BEST_FPERIOD_OVERRIDE=FQ","FILING_STATUS=MR","Sort=A","Dates=H","DateFormat=P","Fill=—","Direction=H","UseDPDF=Y")</f>
        <v>124.65900000000001</v>
      </c>
      <c r="T8" s="13">
        <f>_xll.BDH("ALNY US Equity","IS_AVG_NUM_SH_FOR_EPS","FQ3 2023","FQ3 2023","Currency=USD","Period=FQ","BEST_FPERIOD_OVERRIDE=FQ","FILING_STATUS=MR","Sort=A","Dates=H","DateFormat=P","Fill=—","Direction=H","UseDPDF=Y")</f>
        <v>125.22</v>
      </c>
      <c r="U8" s="13">
        <f>_xll.BDH("ALNY US Equity","IS_AVG_NUM_SH_FOR_EPS","FQ4 2023","FQ4 2023","Currency=USD","Period=FQ","BEST_FPERIOD_OVERRIDE=FQ","FILING_STATUS=MR","Sort=A","Dates=H","DateFormat=P","Fill=—","Direction=H","UseDPDF=Y")</f>
        <v>125.613</v>
      </c>
      <c r="V8" s="13">
        <f>_xll.BDH("ALNY US Equity","IS_AVG_NUM_SH_FOR_EPS","FQ1 2024","FQ1 2024","Currency=USD","Period=FQ","BEST_FPERIOD_OVERRIDE=FQ","FILING_STATUS=MR","Sort=A","Dates=H","DateFormat=P","Fill=—","Direction=H","UseDPDF=Y")</f>
        <v>126.13800000000001</v>
      </c>
      <c r="W8" s="13">
        <f>_xll.BDH("ALNY US Equity","IS_AVG_NUM_SH_FOR_EPS","FQ2 2024","FQ2 2024","Currency=USD","Period=FQ","BEST_FPERIOD_OVERRIDE=FQ","FILING_STATUS=MR","Sort=A","Dates=H","DateFormat=P","Fill=—","Direction=H","UseDPDF=Y")</f>
        <v>126.733</v>
      </c>
      <c r="X8" s="13">
        <f>_xll.BDH("ALNY US Equity","IS_AVG_NUM_SH_FOR_EPS","FQ3 2024","FQ3 2024","Currency=USD","Period=FQ","BEST_FPERIOD_OVERRIDE=FQ","FILING_STATUS=MR","Sort=A","Dates=H","DateFormat=P","Fill=—","Direction=H","UseDPDF=Y")</f>
        <v>128.59</v>
      </c>
      <c r="Y8" s="13">
        <f>_xll.BDH("ALNY US Equity","IS_AVG_NUM_SH_FOR_EPS","FQ4 2024","FQ4 2024","Currency=USD","Period=FQ","BEST_FPERIOD_OVERRIDE=FQ","FILING_STATUS=MR","Sort=A","Dates=H","DateFormat=P","Fill=—","Direction=H","UseDPDF=Y")</f>
        <v>129.11600000000001</v>
      </c>
      <c r="Z8" s="13"/>
      <c r="AA8" s="13"/>
    </row>
    <row r="9" spans="1:27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6" t="s">
        <v>249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0" t="s">
        <v>0</v>
      </c>
      <c r="B11" s="10" t="s">
        <v>250</v>
      </c>
      <c r="C11" s="14">
        <f>_xll.BDH("ALNY US Equity","REVENUE_PER_SH","FQ2 2019","FQ2 2019","Currency=USD","Period=FQ","BEST_FPERIOD_OVERRIDE=FQ","FILING_STATUS=MR","FA_ADJUSTED=GAAP","Sort=A","Dates=H","DateFormat=P","Fill=—","Direction=H","UseDPDF=Y")</f>
        <v>0.4118</v>
      </c>
      <c r="D11" s="14">
        <f>_xll.BDH("ALNY US Equity","REVENUE_PER_SH","FQ3 2019","FQ3 2019","Currency=USD","Period=FQ","BEST_FPERIOD_OVERRIDE=FQ","FILING_STATUS=MR","FA_ADJUSTED=GAAP","Sort=A","Dates=H","DateFormat=P","Fill=—","Direction=H","UseDPDF=Y")</f>
        <v>0.64449999999999996</v>
      </c>
      <c r="E11" s="14">
        <f>_xll.BDH("ALNY US Equity","REVENUE_PER_SH","FQ4 2019","FQ4 2019","Currency=USD","Period=FQ","BEST_FPERIOD_OVERRIDE=FQ","FILING_STATUS=MR","FA_ADJUSTED=GAAP","Sort=A","Dates=H","DateFormat=P","Fill=—","Direction=H","UseDPDF=Y")</f>
        <v>0.64139999999999997</v>
      </c>
      <c r="F11" s="14">
        <f>_xll.BDH("ALNY US Equity","REVENUE_PER_SH","FQ1 2020","FQ1 2020","Currency=USD","Period=FQ","BEST_FPERIOD_OVERRIDE=FQ","FILING_STATUS=MR","FA_ADJUSTED=GAAP","Sort=A","Dates=H","DateFormat=P","Fill=—","Direction=H","UseDPDF=Y")</f>
        <v>0.88229999999999997</v>
      </c>
      <c r="G11" s="14">
        <f>_xll.BDH("ALNY US Equity","REVENUE_PER_SH","FQ2 2020","FQ2 2020","Currency=USD","Period=FQ","BEST_FPERIOD_OVERRIDE=FQ","FILING_STATUS=MR","FA_ADJUSTED=GAAP","Sort=A","Dates=H","DateFormat=P","Fill=—","Direction=H","UseDPDF=Y")</f>
        <v>0.90469999999999995</v>
      </c>
      <c r="H11" s="14">
        <f>_xll.BDH("ALNY US Equity","REVENUE_PER_SH","FQ3 2020","FQ3 2020","Currency=USD","Period=FQ","BEST_FPERIOD_OVERRIDE=FQ","FILING_STATUS=MR","FA_ADJUSTED=GAAP","Sort=A","Dates=H","DateFormat=P","Fill=—","Direction=H","UseDPDF=Y")</f>
        <v>1.0851</v>
      </c>
      <c r="I11" s="14">
        <f>_xll.BDH("ALNY US Equity","REVENUE_PER_SH","FQ4 2020","FQ4 2020","Currency=USD","Period=FQ","BEST_FPERIOD_OVERRIDE=FQ","FILING_STATUS=MR","FA_ADJUSTED=GAAP","Sort=A","Dates=H","DateFormat=P","Fill=—","Direction=H","UseDPDF=Y")</f>
        <v>1.4067000000000001</v>
      </c>
      <c r="J11" s="14">
        <f>_xll.BDH("ALNY US Equity","REVENUE_PER_SH","FQ1 2021","FQ1 2021","Currency=USD","Period=FQ","BEST_FPERIOD_OVERRIDE=FQ","FILING_STATUS=MR","FA_ADJUSTED=GAAP","Sort=A","Dates=H","DateFormat=P","Fill=—","Direction=H","UseDPDF=Y")</f>
        <v>1.5165999999999999</v>
      </c>
      <c r="K11" s="14">
        <f>_xll.BDH("ALNY US Equity","REVENUE_PER_SH","FQ2 2021","FQ2 2021","Currency=USD","Period=FQ","BEST_FPERIOD_OVERRIDE=FQ","FILING_STATUS=MR","FA_ADJUSTED=GAAP","Sort=A","Dates=H","DateFormat=P","Fill=—","Direction=H","UseDPDF=Y")</f>
        <v>1.8727</v>
      </c>
      <c r="L11" s="14">
        <f>_xll.BDH("ALNY US Equity","REVENUE_PER_SH","FQ3 2021","FQ3 2021","Currency=USD","Period=FQ","BEST_FPERIOD_OVERRIDE=FQ","FILING_STATUS=MR","FA_ADJUSTED=GAAP","Sort=A","Dates=H","DateFormat=P","Fill=—","Direction=H","UseDPDF=Y")</f>
        <v>1.5749</v>
      </c>
      <c r="M11" s="14">
        <f>_xll.BDH("ALNY US Equity","REVENUE_PER_SH","FQ4 2021","FQ4 2021","Currency=USD","Period=FQ","BEST_FPERIOD_OVERRIDE=FQ","FILING_STATUS=MR","FA_ADJUSTED=GAAP","Sort=A","Dates=H","DateFormat=P","Fill=—","Direction=H","UseDPDF=Y")</f>
        <v>2.1585000000000001</v>
      </c>
      <c r="N11" s="14">
        <f>_xll.BDH("ALNY US Equity","REVENUE_PER_SH","FQ1 2022","FQ1 2022","Currency=USD","Period=FQ","BEST_FPERIOD_OVERRIDE=FQ","FILING_STATUS=MR","FA_ADJUSTED=GAAP","Sort=A","Dates=H","DateFormat=P","Fill=—","Direction=H","UseDPDF=Y")</f>
        <v>1.7714000000000001</v>
      </c>
      <c r="O11" s="14">
        <f>_xll.BDH("ALNY US Equity","REVENUE_PER_SH","FQ2 2022","FQ2 2022","Currency=USD","Period=FQ","BEST_FPERIOD_OVERRIDE=FQ","FILING_STATUS=MR","FA_ADJUSTED=GAAP","Sort=A","Dates=H","DateFormat=P","Fill=—","Direction=H","UseDPDF=Y")</f>
        <v>1.8595999999999999</v>
      </c>
      <c r="P11" s="14">
        <f>_xll.BDH("ALNY US Equity","REVENUE_PER_SH","FQ3 2022","FQ3 2022","Currency=USD","Period=FQ","BEST_FPERIOD_OVERRIDE=FQ","FILING_STATUS=MR","FA_ADJUSTED=GAAP","Sort=A","Dates=H","DateFormat=P","Fill=—","Direction=H","UseDPDF=Y")</f>
        <v>2.1635</v>
      </c>
      <c r="Q11" s="14">
        <f>_xll.BDH("ALNY US Equity","REVENUE_PER_SH","FQ4 2022","FQ4 2022","Currency=USD","Period=FQ","BEST_FPERIOD_OVERRIDE=FQ","FILING_STATUS=MR","FA_ADJUSTED=GAAP","Sort=A","Dates=H","DateFormat=P","Fill=—","Direction=H","UseDPDF=Y")</f>
        <v>2.718</v>
      </c>
      <c r="R11" s="14">
        <f>_xll.BDH("ALNY US Equity","REVENUE_PER_SH","FQ1 2023","FQ1 2023","Currency=USD","Period=FQ","BEST_FPERIOD_OVERRIDE=FQ","FILING_STATUS=MR","FA_ADJUSTED=GAAP","Sort=A","Dates=H","DateFormat=P","Fill=—","Direction=H","UseDPDF=Y")</f>
        <v>2.5726</v>
      </c>
      <c r="S11" s="14">
        <f>_xll.BDH("ALNY US Equity","REVENUE_PER_SH","FQ2 2023","FQ2 2023","Currency=USD","Period=FQ","BEST_FPERIOD_OVERRIDE=FQ","FILING_STATUS=MR","FA_ADJUSTED=GAAP","Sort=A","Dates=H","DateFormat=P","Fill=—","Direction=H","UseDPDF=Y")</f>
        <v>2.5569999999999999</v>
      </c>
      <c r="T11" s="14">
        <f>_xll.BDH("ALNY US Equity","REVENUE_PER_SH","FQ3 2023","FQ3 2023","Currency=USD","Period=FQ","BEST_FPERIOD_OVERRIDE=FQ","FILING_STATUS=MR","FA_ADJUSTED=GAAP","Sort=A","Dates=H","DateFormat=P","Fill=—","Direction=H","UseDPDF=Y")</f>
        <v>5.9936999999999996</v>
      </c>
      <c r="U11" s="14">
        <f>_xll.BDH("ALNY US Equity","REVENUE_PER_SH","FQ4 2023","FQ4 2023","Currency=USD","Period=FQ","BEST_FPERIOD_OVERRIDE=FQ","FILING_STATUS=MR","FA_ADJUSTED=GAAP","Sort=A","Dates=H","DateFormat=P","Fill=—","Direction=H","UseDPDF=Y")</f>
        <v>3.5005999999999999</v>
      </c>
      <c r="V11" s="14">
        <f>_xll.BDH("ALNY US Equity","REVENUE_PER_SH","FQ1 2024","FQ1 2024","Currency=USD","Period=FQ","BEST_FPERIOD_OVERRIDE=FQ","FILING_STATUS=MR","FA_ADJUSTED=GAAP","Sort=A","Dates=H","DateFormat=P","Fill=—","Direction=H","UseDPDF=Y")</f>
        <v>3.919</v>
      </c>
      <c r="W11" s="14">
        <f>_xll.BDH("ALNY US Equity","REVENUE_PER_SH","FQ2 2024","FQ2 2024","Currency=USD","Period=FQ","BEST_FPERIOD_OVERRIDE=FQ","FILING_STATUS=MR","FA_ADJUSTED=GAAP","Sort=A","Dates=H","DateFormat=P","Fill=—","Direction=H","UseDPDF=Y")</f>
        <v>5.2064000000000004</v>
      </c>
      <c r="X11" s="14">
        <f>_xll.BDH("ALNY US Equity","REVENUE_PER_SH","FQ3 2024","FQ3 2024","Currency=USD","Period=FQ","BEST_FPERIOD_OVERRIDE=FQ","FILING_STATUS=MR","FA_ADJUSTED=GAAP","Sort=A","Dates=H","DateFormat=P","Fill=—","Direction=H","UseDPDF=Y")</f>
        <v>3.8955000000000002</v>
      </c>
      <c r="Y11" s="14">
        <f>_xll.BDH("ALNY US Equity","REVENUE_PER_SH","FQ4 2024","FQ4 2024","Currency=USD","Period=FQ","BEST_FPERIOD_OVERRIDE=FQ","FILING_STATUS=MR","FA_ADJUSTED=GAAP","Sort=A","Dates=H","DateFormat=P","Fill=—","Direction=H","UseDPDF=Y")</f>
        <v>4.5941000000000001</v>
      </c>
      <c r="Z11" s="14"/>
      <c r="AA11" s="14"/>
    </row>
    <row r="12" spans="1:27" x14ac:dyDescent="0.25">
      <c r="A12" s="10" t="s">
        <v>78</v>
      </c>
      <c r="B12" s="10" t="s">
        <v>251</v>
      </c>
      <c r="C12" s="14">
        <f>_xll.BDH("ALNY US Equity","EBITDA_PER_SH","FQ2 2019","FQ2 2019","Currency=USD","Period=FQ","BEST_FPERIOD_OVERRIDE=FQ","FILING_STATUS=MR","FA_ADJUSTED=GAAP","Sort=A","Dates=H","DateFormat=P","Fill=—","Direction=H","UseDPDF=Y")</f>
        <v>-2.0007999999999999</v>
      </c>
      <c r="D12" s="14">
        <f>_xll.BDH("ALNY US Equity","EBITDA_PER_SH","FQ3 2019","FQ3 2019","Currency=USD","Period=FQ","BEST_FPERIOD_OVERRIDE=FQ","FILING_STATUS=MR","FA_ADJUSTED=GAAP","Sort=A","Dates=H","DateFormat=P","Fill=—","Direction=H","UseDPDF=Y")</f>
        <v>-1.7421</v>
      </c>
      <c r="E12" s="14">
        <f>_xll.BDH("ALNY US Equity","EBITDA_PER_SH","FQ4 2019","FQ4 2019","Currency=USD","Period=FQ","BEST_FPERIOD_OVERRIDE=FQ","FILING_STATUS=MR","FA_ADJUSTED=GAAP","Sort=A","Dates=H","DateFormat=P","Fill=—","Direction=H","UseDPDF=Y")</f>
        <v>-2.4390000000000001</v>
      </c>
      <c r="F12" s="14">
        <f>_xll.BDH("ALNY US Equity","EBITDA_PER_SH","FQ1 2020","FQ1 2020","Currency=USD","Period=FQ","BEST_FPERIOD_OVERRIDE=FQ","FILING_STATUS=MR","FA_ADJUSTED=GAAP","Sort=A","Dates=H","DateFormat=P","Fill=—","Direction=H","UseDPDF=Y")</f>
        <v>-1.7131000000000001</v>
      </c>
      <c r="G12" s="14">
        <f>_xll.BDH("ALNY US Equity","EBITDA_PER_SH","FQ2 2020","FQ2 2020","Currency=USD","Period=FQ","BEST_FPERIOD_OVERRIDE=FQ","FILING_STATUS=MR","FA_ADJUSTED=GAAP","Sort=A","Dates=H","DateFormat=P","Fill=—","Direction=H","UseDPDF=Y")</f>
        <v>-1.5758000000000001</v>
      </c>
      <c r="H12" s="14">
        <f>_xll.BDH("ALNY US Equity","EBITDA_PER_SH","FQ3 2020","FQ3 2020","Currency=USD","Period=FQ","BEST_FPERIOD_OVERRIDE=FQ","FILING_STATUS=MR","FA_ADJUSTED=GAAP","Sort=A","Dates=H","DateFormat=P","Fill=—","Direction=H","UseDPDF=Y")</f>
        <v>-1.7798</v>
      </c>
      <c r="I12" s="14">
        <f>_xll.BDH("ALNY US Equity","EBITDA_PER_SH","FQ4 2020","FQ4 2020","Currency=USD","Period=FQ","BEST_FPERIOD_OVERRIDE=FQ","FILING_STATUS=MR","FA_ADJUSTED=GAAP","Sort=A","Dates=H","DateFormat=P","Fill=—","Direction=H","UseDPDF=Y")</f>
        <v>-1.4907999999999999</v>
      </c>
      <c r="J12" s="14">
        <f>_xll.BDH("ALNY US Equity","EBITDA_PER_SH","FQ1 2021","FQ1 2021","Currency=USD","Period=FQ","BEST_FPERIOD_OVERRIDE=FQ","FILING_STATUS=MR","FA_ADJUSTED=GAAP","Sort=A","Dates=H","DateFormat=P","Fill=—","Direction=H","UseDPDF=Y")</f>
        <v>-1.3956</v>
      </c>
      <c r="K12" s="14">
        <f>_xll.BDH("ALNY US Equity","EBITDA_PER_SH","FQ2 2021","FQ2 2021","Currency=USD","Period=FQ","BEST_FPERIOD_OVERRIDE=FQ","FILING_STATUS=MR","FA_ADJUSTED=GAAP","Sort=A","Dates=H","DateFormat=P","Fill=—","Direction=H","UseDPDF=Y")</f>
        <v>-1.0528999999999999</v>
      </c>
      <c r="L12" s="14">
        <f>_xll.BDH("ALNY US Equity","EBITDA_PER_SH","FQ3 2021","FQ3 2021","Currency=USD","Period=FQ","BEST_FPERIOD_OVERRIDE=FQ","FILING_STATUS=MR","FA_ADJUSTED=GAAP","Sort=A","Dates=H","DateFormat=P","Fill=—","Direction=H","UseDPDF=Y")</f>
        <v>-1.33</v>
      </c>
      <c r="M12" s="14">
        <f>_xll.BDH("ALNY US Equity","EBITDA_PER_SH","FQ4 2021","FQ4 2021","Currency=USD","Period=FQ","BEST_FPERIOD_OVERRIDE=FQ","FILING_STATUS=MR","FA_ADJUSTED=GAAP","Sort=A","Dates=H","DateFormat=P","Fill=—","Direction=H","UseDPDF=Y")</f>
        <v>-1.4453</v>
      </c>
      <c r="N12" s="14">
        <f>_xll.BDH("ALNY US Equity","EBITDA_PER_SH","FQ1 2022","FQ1 2022","Currency=USD","Period=FQ","BEST_FPERIOD_OVERRIDE=FQ","FILING_STATUS=MR","FA_ADJUSTED=GAAP","Sort=A","Dates=H","DateFormat=P","Fill=—","Direction=H","UseDPDF=Y")</f>
        <v>-1.0545</v>
      </c>
      <c r="O12" s="14">
        <f>_xll.BDH("ALNY US Equity","EBITDA_PER_SH","FQ2 2022","FQ2 2022","Currency=USD","Period=FQ","BEST_FPERIOD_OVERRIDE=FQ","FILING_STATUS=MR","FA_ADJUSTED=GAAP","Sort=A","Dates=H","DateFormat=P","Fill=—","Direction=H","UseDPDF=Y")</f>
        <v>-1.4181999999999999</v>
      </c>
      <c r="P12" s="14">
        <f>_xll.BDH("ALNY US Equity","EBITDA_PER_SH","FQ3 2022","FQ3 2022","Currency=USD","Period=FQ","BEST_FPERIOD_OVERRIDE=FQ","FILING_STATUS=MR","FA_ADJUSTED=GAAP","Sort=A","Dates=H","DateFormat=P","Fill=—","Direction=H","UseDPDF=Y")</f>
        <v>-1.9432</v>
      </c>
      <c r="Q12" s="14">
        <f>_xll.BDH("ALNY US Equity","EBITDA_PER_SH","FQ4 2022","FQ4 2022","Currency=USD","Period=FQ","BEST_FPERIOD_OVERRIDE=FQ","FILING_STATUS=MR","FA_ADJUSTED=GAAP","Sort=A","Dates=H","DateFormat=P","Fill=—","Direction=H","UseDPDF=Y")</f>
        <v>-1.3283</v>
      </c>
      <c r="R12" s="14">
        <f>_xll.BDH("ALNY US Equity","EBITDA_PER_SH","FQ1 2023","FQ1 2023","Currency=USD","Period=FQ","BEST_FPERIOD_OVERRIDE=FQ","FILING_STATUS=MR","FA_ADJUSTED=GAAP","Sort=A","Dates=H","DateFormat=P","Fill=—","Direction=H","UseDPDF=Y")</f>
        <v>-0.99690000000000001</v>
      </c>
      <c r="S12" s="14">
        <f>_xll.BDH("ALNY US Equity","EBITDA_PER_SH","FQ2 2023","FQ2 2023","Currency=USD","Period=FQ","BEST_FPERIOD_OVERRIDE=FQ","FILING_STATUS=MR","FA_ADJUSTED=GAAP","Sort=A","Dates=H","DateFormat=P","Fill=—","Direction=H","UseDPDF=Y")</f>
        <v>-1.6556</v>
      </c>
      <c r="T12" s="14">
        <f>_xll.BDH("ALNY US Equity","EBITDA_PER_SH","FQ3 2023","FQ3 2023","Currency=USD","Period=FQ","BEST_FPERIOD_OVERRIDE=FQ","FILING_STATUS=MR","FA_ADJUSTED=GAAP","Sort=A","Dates=H","DateFormat=P","Fill=—","Direction=H","UseDPDF=Y")</f>
        <v>1.8958999999999999</v>
      </c>
      <c r="U12" s="14">
        <f>_xll.BDH("ALNY US Equity","EBITDA_PER_SH","FQ4 2023","FQ4 2023","Currency=USD","Period=FQ","BEST_FPERIOD_OVERRIDE=FQ","FILING_STATUS=MR","FA_ADJUSTED=GAAP","Sort=A","Dates=H","DateFormat=P","Fill=—","Direction=H","UseDPDF=Y")</f>
        <v>-0.73580000000000001</v>
      </c>
      <c r="V12" s="14">
        <f>_xll.BDH("ALNY US Equity","EBITDA_PER_SH","FQ1 2024","FQ1 2024","Currency=USD","Period=FQ","BEST_FPERIOD_OVERRIDE=FQ","FILING_STATUS=MR","FA_ADJUSTED=GAAP","Sort=A","Dates=H","DateFormat=P","Fill=—","Direction=H","UseDPDF=Y")</f>
        <v>-0.14230000000000001</v>
      </c>
      <c r="W12" s="14">
        <f>_xll.BDH("ALNY US Equity","EBITDA_PER_SH","FQ2 2024","FQ2 2024","Currency=USD","Period=FQ","BEST_FPERIOD_OVERRIDE=FQ","FILING_STATUS=MR","FA_ADJUSTED=GAAP","Sort=A","Dates=H","DateFormat=P","Fill=—","Direction=H","UseDPDF=Y")</f>
        <v>0.57840000000000003</v>
      </c>
      <c r="X12" s="14">
        <f>_xll.BDH("ALNY US Equity","EBITDA_PER_SH","FQ3 2024","FQ3 2024","Currency=USD","Period=FQ","BEST_FPERIOD_OVERRIDE=FQ","FILING_STATUS=MR","FA_ADJUSTED=GAAP","Sort=A","Dates=H","DateFormat=P","Fill=—","Direction=H","UseDPDF=Y")</f>
        <v>-0.38779999999999998</v>
      </c>
      <c r="Y12" s="14">
        <f>_xll.BDH("ALNY US Equity","EBITDA_PER_SH","FQ4 2024","FQ4 2024","Currency=USD","Period=FQ","BEST_FPERIOD_OVERRIDE=FQ","FILING_STATUS=MR","FA_ADJUSTED=GAAP","Sort=A","Dates=H","DateFormat=P","Fill=—","Direction=H","UseDPDF=Y")</f>
        <v>-0.70469999999999999</v>
      </c>
      <c r="Z12" s="14"/>
      <c r="AA12" s="14"/>
    </row>
    <row r="13" spans="1:27" x14ac:dyDescent="0.25">
      <c r="A13" s="10" t="s">
        <v>98</v>
      </c>
      <c r="B13" s="10" t="s">
        <v>252</v>
      </c>
      <c r="C13" s="14">
        <f>_xll.BDH("ALNY US Equity","OPER_INC_PER_SH","FQ2 2019","FQ2 2019","Currency=USD","Period=FQ","BEST_FPERIOD_OVERRIDE=FQ","FILING_STATUS=MR","FA_ADJUSTED=GAAP","Sort=A","Dates=H","DateFormat=P","Fill=—","Direction=H","UseDPDF=Y")</f>
        <v>-2.1760999999999999</v>
      </c>
      <c r="D13" s="14">
        <f>_xll.BDH("ALNY US Equity","OPER_INC_PER_SH","FQ3 2019","FQ3 2019","Currency=USD","Period=FQ","BEST_FPERIOD_OVERRIDE=FQ","FILING_STATUS=MR","FA_ADJUSTED=GAAP","Sort=A","Dates=H","DateFormat=P","Fill=—","Direction=H","UseDPDF=Y")</f>
        <v>-1.9899</v>
      </c>
      <c r="E13" s="14">
        <f>_xll.BDH("ALNY US Equity","OPER_INC_PER_SH","FQ4 2019","FQ4 2019","Currency=USD","Period=FQ","BEST_FPERIOD_OVERRIDE=FQ","FILING_STATUS=MR","FA_ADJUSTED=GAAP","Sort=A","Dates=H","DateFormat=P","Fill=—","Direction=H","UseDPDF=Y")</f>
        <v>-2.6673</v>
      </c>
      <c r="F13" s="14">
        <f>_xll.BDH("ALNY US Equity","OPER_INC_PER_SH","FQ1 2020","FQ1 2020","Currency=USD","Period=FQ","BEST_FPERIOD_OVERRIDE=FQ","FILING_STATUS=MR","FA_ADJUSTED=GAAP","Sort=A","Dates=H","DateFormat=P","Fill=—","Direction=H","UseDPDF=Y")</f>
        <v>-1.8640000000000001</v>
      </c>
      <c r="G13" s="14">
        <f>_xll.BDH("ALNY US Equity","OPER_INC_PER_SH","FQ2 2020","FQ2 2020","Currency=USD","Period=FQ","BEST_FPERIOD_OVERRIDE=FQ","FILING_STATUS=MR","FA_ADJUSTED=GAAP","Sort=A","Dates=H","DateFormat=P","Fill=—","Direction=H","UseDPDF=Y")</f>
        <v>-1.7304999999999999</v>
      </c>
      <c r="H13" s="14">
        <f>_xll.BDH("ALNY US Equity","OPER_INC_PER_SH","FQ3 2020","FQ3 2020","Currency=USD","Period=FQ","BEST_FPERIOD_OVERRIDE=FQ","FILING_STATUS=MR","FA_ADJUSTED=GAAP","Sort=A","Dates=H","DateFormat=P","Fill=—","Direction=H","UseDPDF=Y")</f>
        <v>-1.9416</v>
      </c>
      <c r="I13" s="14">
        <f>_xll.BDH("ALNY US Equity","OPER_INC_PER_SH","FQ4 2020","FQ4 2020","Currency=USD","Period=FQ","BEST_FPERIOD_OVERRIDE=FQ","FILING_STATUS=MR","FA_ADJUSTED=GAAP","Sort=A","Dates=H","DateFormat=P","Fill=—","Direction=H","UseDPDF=Y")</f>
        <v>-1.6704000000000001</v>
      </c>
      <c r="J13" s="14">
        <f>_xll.BDH("ALNY US Equity","OPER_INC_PER_SH","FQ1 2021","FQ1 2021","Currency=USD","Period=FQ","BEST_FPERIOD_OVERRIDE=FQ","FILING_STATUS=MR","FA_ADJUSTED=GAAP","Sort=A","Dates=H","DateFormat=P","Fill=—","Direction=H","UseDPDF=Y")</f>
        <v>-1.5908</v>
      </c>
      <c r="K13" s="14">
        <f>_xll.BDH("ALNY US Equity","OPER_INC_PER_SH","FQ2 2021","FQ2 2021","Currency=USD","Period=FQ","BEST_FPERIOD_OVERRIDE=FQ","FILING_STATUS=MR","FA_ADJUSTED=GAAP","Sort=A","Dates=H","DateFormat=P","Fill=—","Direction=H","UseDPDF=Y")</f>
        <v>-1.2410000000000001</v>
      </c>
      <c r="L13" s="14">
        <f>_xll.BDH("ALNY US Equity","OPER_INC_PER_SH","FQ3 2021","FQ3 2021","Currency=USD","Period=FQ","BEST_FPERIOD_OVERRIDE=FQ","FILING_STATUS=MR","FA_ADJUSTED=GAAP","Sort=A","Dates=H","DateFormat=P","Fill=—","Direction=H","UseDPDF=Y")</f>
        <v>-1.5248999999999999</v>
      </c>
      <c r="M13" s="14">
        <f>_xll.BDH("ALNY US Equity","OPER_INC_PER_SH","FQ4 2021","FQ4 2021","Currency=USD","Period=FQ","BEST_FPERIOD_OVERRIDE=FQ","FILING_STATUS=MR","FA_ADJUSTED=GAAP","Sort=A","Dates=H","DateFormat=P","Fill=—","Direction=H","UseDPDF=Y")</f>
        <v>-1.6244000000000001</v>
      </c>
      <c r="N13" s="14">
        <f>_xll.BDH("ALNY US Equity","OPER_INC_PER_SH","FQ1 2022","FQ1 2022","Currency=USD","Period=FQ","BEST_FPERIOD_OVERRIDE=FQ","FILING_STATUS=MR","FA_ADJUSTED=GAAP","Sort=A","Dates=H","DateFormat=P","Fill=—","Direction=H","UseDPDF=Y")</f>
        <v>-1.2188000000000001</v>
      </c>
      <c r="O13" s="14">
        <f>_xll.BDH("ALNY US Equity","OPER_INC_PER_SH","FQ2 2022","FQ2 2022","Currency=USD","Period=FQ","BEST_FPERIOD_OVERRIDE=FQ","FILING_STATUS=MR","FA_ADJUSTED=GAAP","Sort=A","Dates=H","DateFormat=P","Fill=—","Direction=H","UseDPDF=Y")</f>
        <v>-1.5854999999999999</v>
      </c>
      <c r="P13" s="14">
        <f>_xll.BDH("ALNY US Equity","OPER_INC_PER_SH","FQ3 2022","FQ3 2022","Currency=USD","Period=FQ","BEST_FPERIOD_OVERRIDE=FQ","FILING_STATUS=MR","FA_ADJUSTED=GAAP","Sort=A","Dates=H","DateFormat=P","Fill=—","Direction=H","UseDPDF=Y")</f>
        <v>-2.1122000000000001</v>
      </c>
      <c r="Q13" s="14">
        <f>_xll.BDH("ALNY US Equity","OPER_INC_PER_SH","FQ4 2022","FQ4 2022","Currency=USD","Period=FQ","BEST_FPERIOD_OVERRIDE=FQ","FILING_STATUS=MR","FA_ADJUSTED=GAAP","Sort=A","Dates=H","DateFormat=P","Fill=—","Direction=H","UseDPDF=Y")</f>
        <v>-1.5301</v>
      </c>
      <c r="R13" s="14">
        <f>_xll.BDH("ALNY US Equity","OPER_INC_PER_SH","FQ1 2023","FQ1 2023","Currency=USD","Period=FQ","BEST_FPERIOD_OVERRIDE=FQ","FILING_STATUS=MR","FA_ADJUSTED=GAAP","Sort=A","Dates=H","DateFormat=P","Fill=—","Direction=H","UseDPDF=Y")</f>
        <v>-1.2070000000000001</v>
      </c>
      <c r="S13" s="14">
        <f>_xll.BDH("ALNY US Equity","OPER_INC_PER_SH","FQ2 2023","FQ2 2023","Currency=USD","Period=FQ","BEST_FPERIOD_OVERRIDE=FQ","FILING_STATUS=MR","FA_ADJUSTED=GAAP","Sort=A","Dates=H","DateFormat=P","Fill=—","Direction=H","UseDPDF=Y")</f>
        <v>-1.8436999999999999</v>
      </c>
      <c r="T13" s="14">
        <f>_xll.BDH("ALNY US Equity","OPER_INC_PER_SH","FQ3 2023","FQ3 2023","Currency=USD","Period=FQ","BEST_FPERIOD_OVERRIDE=FQ","FILING_STATUS=MR","FA_ADJUSTED=GAAP","Sort=A","Dates=H","DateFormat=P","Fill=—","Direction=H","UseDPDF=Y")</f>
        <v>1.7079</v>
      </c>
      <c r="U13" s="14">
        <f>_xll.BDH("ALNY US Equity","OPER_INC_PER_SH","FQ4 2023","FQ4 2023","Currency=USD","Period=FQ","BEST_FPERIOD_OVERRIDE=FQ","FILING_STATUS=MR","FA_ADJUSTED=GAAP","Sort=A","Dates=H","DateFormat=P","Fill=—","Direction=H","UseDPDF=Y")</f>
        <v>-0.92669999999999997</v>
      </c>
      <c r="V13" s="14">
        <f>_xll.BDH("ALNY US Equity","OPER_INC_PER_SH","FQ1 2024","FQ1 2024","Currency=USD","Period=FQ","BEST_FPERIOD_OVERRIDE=FQ","FILING_STATUS=MR","FA_ADJUSTED=GAAP","Sort=A","Dates=H","DateFormat=P","Fill=—","Direction=H","UseDPDF=Y")</f>
        <v>-0.34429999999999999</v>
      </c>
      <c r="W13" s="14">
        <f>_xll.BDH("ALNY US Equity","OPER_INC_PER_SH","FQ2 2024","FQ2 2024","Currency=USD","Period=FQ","BEST_FPERIOD_OVERRIDE=FQ","FILING_STATUS=MR","FA_ADJUSTED=GAAP","Sort=A","Dates=H","DateFormat=P","Fill=—","Direction=H","UseDPDF=Y")</f>
        <v>0.3836</v>
      </c>
      <c r="X13" s="14">
        <f>_xll.BDH("ALNY US Equity","OPER_INC_PER_SH","FQ3 2024","FQ3 2024","Currency=USD","Period=FQ","BEST_FPERIOD_OVERRIDE=FQ","FILING_STATUS=MR","FA_ADJUSTED=GAAP","Sort=A","Dates=H","DateFormat=P","Fill=—","Direction=H","UseDPDF=Y")</f>
        <v>-0.59809999999999997</v>
      </c>
      <c r="Y13" s="14">
        <f>_xll.BDH("ALNY US Equity","OPER_INC_PER_SH","FQ4 2024","FQ4 2024","Currency=USD","Period=FQ","BEST_FPERIOD_OVERRIDE=FQ","FILING_STATUS=MR","FA_ADJUSTED=GAAP","Sort=A","Dates=H","DateFormat=P","Fill=—","Direction=H","UseDPDF=Y")</f>
        <v>-0.8145</v>
      </c>
      <c r="Z13" s="14"/>
      <c r="AA13" s="14"/>
    </row>
    <row r="14" spans="1:27" x14ac:dyDescent="0.25">
      <c r="A14" s="10" t="s">
        <v>253</v>
      </c>
      <c r="B14" s="10" t="s">
        <v>102</v>
      </c>
      <c r="C14" s="14">
        <f>_xll.BDH("ALNY US Equity","IS_EPS","FQ2 2019","FQ2 2019","Currency=USD","Period=FQ","BEST_FPERIOD_OVERRIDE=FQ","FILING_STATUS=MR","FA_ADJUSTED=GAAP","Sort=A","Dates=H","DateFormat=P","Fill=—","Direction=H","UseDPDF=Y")</f>
        <v>-2.02</v>
      </c>
      <c r="D14" s="14">
        <f>_xll.BDH("ALNY US Equity","IS_EPS","FQ3 2019","FQ3 2019","Currency=USD","Period=FQ","BEST_FPERIOD_OVERRIDE=FQ","FILING_STATUS=MR","FA_ADJUSTED=GAAP","Sort=A","Dates=H","DateFormat=P","Fill=—","Direction=H","UseDPDF=Y")</f>
        <v>-1.92</v>
      </c>
      <c r="E14" s="14">
        <f>_xll.BDH("ALNY US Equity","IS_EPS","FQ4 2019","FQ4 2019","Currency=USD","Period=FQ","BEST_FPERIOD_OVERRIDE=FQ","FILING_STATUS=MR","FA_ADJUSTED=GAAP","Sort=A","Dates=H","DateFormat=P","Fill=—","Direction=H","UseDPDF=Y")</f>
        <v>-2.4700000000000002</v>
      </c>
      <c r="F14" s="14">
        <f>_xll.BDH("ALNY US Equity","IS_EPS","FQ1 2020","FQ1 2020","Currency=USD","Period=FQ","BEST_FPERIOD_OVERRIDE=FQ","FILING_STATUS=MR","FA_ADJUSTED=GAAP","Sort=A","Dates=H","DateFormat=P","Fill=—","Direction=H","UseDPDF=Y")</f>
        <v>-1.62</v>
      </c>
      <c r="G14" s="14">
        <f>_xll.BDH("ALNY US Equity","IS_EPS","FQ2 2020","FQ2 2020","Currency=USD","Period=FQ","BEST_FPERIOD_OVERRIDE=FQ","FILING_STATUS=MR","FA_ADJUSTED=GAAP","Sort=A","Dates=H","DateFormat=P","Fill=—","Direction=H","UseDPDF=Y")</f>
        <v>-1.56</v>
      </c>
      <c r="H14" s="14">
        <f>_xll.BDH("ALNY US Equity","IS_EPS","FQ3 2020","FQ3 2020","Currency=USD","Period=FQ","BEST_FPERIOD_OVERRIDE=FQ","FILING_STATUS=MR","FA_ADJUSTED=GAAP","Sort=A","Dates=H","DateFormat=P","Fill=—","Direction=H","UseDPDF=Y")</f>
        <v>-2.1800000000000002</v>
      </c>
      <c r="I14" s="14">
        <f>_xll.BDH("ALNY US Equity","IS_EPS","FQ4 2020","FQ4 2020","Currency=USD","Period=FQ","BEST_FPERIOD_OVERRIDE=FQ","FILING_STATUS=MR","FA_ADJUSTED=GAAP","Sort=A","Dates=H","DateFormat=P","Fill=—","Direction=H","UseDPDF=Y")</f>
        <v>-2.09</v>
      </c>
      <c r="J14" s="14">
        <f>_xll.BDH("ALNY US Equity","IS_EPS","FQ1 2021","FQ1 2021","Currency=USD","Period=FQ","BEST_FPERIOD_OVERRIDE=FQ","FILING_STATUS=MR","FA_ADJUSTED=GAAP","Sort=A","Dates=H","DateFormat=P","Fill=—","Direction=H","UseDPDF=Y")</f>
        <v>-1.71</v>
      </c>
      <c r="K14" s="14">
        <f>_xll.BDH("ALNY US Equity","IS_EPS","FQ2 2021","FQ2 2021","Currency=USD","Period=FQ","BEST_FPERIOD_OVERRIDE=FQ","FILING_STATUS=MR","FA_ADJUSTED=GAAP","Sort=A","Dates=H","DateFormat=P","Fill=—","Direction=H","UseDPDF=Y")</f>
        <v>-1.61</v>
      </c>
      <c r="L14" s="14">
        <f>_xll.BDH("ALNY US Equity","IS_EPS","FQ3 2021","FQ3 2021","Currency=USD","Period=FQ","BEST_FPERIOD_OVERRIDE=FQ","FILING_STATUS=MR","FA_ADJUSTED=GAAP","Sort=A","Dates=H","DateFormat=P","Fill=—","Direction=H","UseDPDF=Y")</f>
        <v>-1.72</v>
      </c>
      <c r="M14" s="14">
        <f>_xll.BDH("ALNY US Equity","IS_EPS","FQ4 2021","FQ4 2021","Currency=USD","Period=FQ","BEST_FPERIOD_OVERRIDE=FQ","FILING_STATUS=MR","FA_ADJUSTED=GAAP","Sort=A","Dates=H","DateFormat=P","Fill=—","Direction=H","UseDPDF=Y")</f>
        <v>-2.16</v>
      </c>
      <c r="N14" s="14">
        <f>_xll.BDH("ALNY US Equity","IS_EPS","FQ1 2022","FQ1 2022","Currency=USD","Period=FQ","BEST_FPERIOD_OVERRIDE=FQ","FILING_STATUS=MR","FA_ADJUSTED=GAAP","Sort=A","Dates=H","DateFormat=P","Fill=—","Direction=H","UseDPDF=Y")</f>
        <v>-2</v>
      </c>
      <c r="O14" s="14">
        <f>_xll.BDH("ALNY US Equity","IS_EPS","FQ2 2022","FQ2 2022","Currency=USD","Period=FQ","BEST_FPERIOD_OVERRIDE=FQ","FILING_STATUS=MR","FA_ADJUSTED=GAAP","Sort=A","Dates=H","DateFormat=P","Fill=—","Direction=H","UseDPDF=Y")</f>
        <v>-2.29</v>
      </c>
      <c r="P14" s="14">
        <f>_xll.BDH("ALNY US Equity","IS_EPS","FQ3 2022","FQ3 2022","Currency=USD","Period=FQ","BEST_FPERIOD_OVERRIDE=FQ","FILING_STATUS=MR","FA_ADJUSTED=GAAP","Sort=A","Dates=H","DateFormat=P","Fill=—","Direction=H","UseDPDF=Y")</f>
        <v>-3.32</v>
      </c>
      <c r="Q14" s="14">
        <f>_xll.BDH("ALNY US Equity","IS_EPS","FQ4 2022","FQ4 2022","Currency=USD","Period=FQ","BEST_FPERIOD_OVERRIDE=FQ","FILING_STATUS=MR","FA_ADJUSTED=GAAP","Sort=A","Dates=H","DateFormat=P","Fill=—","Direction=H","UseDPDF=Y")</f>
        <v>-1.68</v>
      </c>
      <c r="R14" s="14">
        <f>_xll.BDH("ALNY US Equity","IS_EPS","FQ1 2023","FQ1 2023","Currency=USD","Period=FQ","BEST_FPERIOD_OVERRIDE=FQ","FILING_STATUS=MR","FA_ADJUSTED=GAAP","Sort=A","Dates=H","DateFormat=P","Fill=—","Direction=H","UseDPDF=Y")</f>
        <v>-1.4</v>
      </c>
      <c r="S14" s="14">
        <f>_xll.BDH("ALNY US Equity","IS_EPS","FQ2 2023","FQ2 2023","Currency=USD","Period=FQ","BEST_FPERIOD_OVERRIDE=FQ","FILING_STATUS=MR","FA_ADJUSTED=GAAP","Sort=A","Dates=H","DateFormat=P","Fill=—","Direction=H","UseDPDF=Y")</f>
        <v>-2.21</v>
      </c>
      <c r="T14" s="14">
        <f>_xll.BDH("ALNY US Equity","IS_EPS","FQ3 2023","FQ3 2023","Currency=USD","Period=FQ","BEST_FPERIOD_OVERRIDE=FQ","FILING_STATUS=MR","FA_ADJUSTED=GAAP","Sort=A","Dates=H","DateFormat=P","Fill=—","Direction=H","UseDPDF=Y")</f>
        <v>1.18</v>
      </c>
      <c r="U14" s="14">
        <f>_xll.BDH("ALNY US Equity","IS_EPS","FQ4 2023","FQ4 2023","Currency=USD","Period=FQ","BEST_FPERIOD_OVERRIDE=FQ","FILING_STATUS=MR","FA_ADJUSTED=GAAP","Sort=A","Dates=H","DateFormat=P","Fill=—","Direction=H","UseDPDF=Y")</f>
        <v>-1.1000000000000001</v>
      </c>
      <c r="V14" s="14">
        <f>_xll.BDH("ALNY US Equity","IS_EPS","FQ1 2024","FQ1 2024","Currency=USD","Period=FQ","BEST_FPERIOD_OVERRIDE=FQ","FILING_STATUS=MR","FA_ADJUSTED=GAAP","Sort=A","Dates=H","DateFormat=P","Fill=—","Direction=H","UseDPDF=Y")</f>
        <v>-0.52</v>
      </c>
      <c r="W14" s="14">
        <f>_xll.BDH("ALNY US Equity","IS_EPS","FQ2 2024","FQ2 2024","Currency=USD","Period=FQ","BEST_FPERIOD_OVERRIDE=FQ","FILING_STATUS=MR","FA_ADJUSTED=GAAP","Sort=A","Dates=H","DateFormat=P","Fill=—","Direction=H","UseDPDF=Y")</f>
        <v>-0.13</v>
      </c>
      <c r="X14" s="14">
        <f>_xll.BDH("ALNY US Equity","IS_EPS","FQ3 2024","FQ3 2024","Currency=USD","Period=FQ","BEST_FPERIOD_OVERRIDE=FQ","FILING_STATUS=MR","FA_ADJUSTED=GAAP","Sort=A","Dates=H","DateFormat=P","Fill=—","Direction=H","UseDPDF=Y")</f>
        <v>-0.87</v>
      </c>
      <c r="Y14" s="14">
        <f>_xll.BDH("ALNY US Equity","IS_EPS","FQ4 2024","FQ4 2024","Currency=USD","Period=FQ","BEST_FPERIOD_OVERRIDE=FQ","FILING_STATUS=MR","FA_ADJUSTED=GAAP","Sort=A","Dates=H","DateFormat=P","Fill=—","Direction=H","UseDPDF=Y")</f>
        <v>-0.65</v>
      </c>
      <c r="Z14" s="14">
        <v>-0.95</v>
      </c>
      <c r="AA14" s="14">
        <v>-0.91500000000000004</v>
      </c>
    </row>
    <row r="15" spans="1:27" x14ac:dyDescent="0.25">
      <c r="A15" s="10" t="s">
        <v>254</v>
      </c>
      <c r="B15" s="10" t="s">
        <v>255</v>
      </c>
      <c r="C15" s="14">
        <f>_xll.BDH("ALNY US Equity","IS_EARN_BEF_XO_ITEMS_PER_SH","FQ2 2019","FQ2 2019","Currency=USD","Period=FQ","BEST_FPERIOD_OVERRIDE=FQ","FILING_STATUS=MR","Sort=A","Dates=H","DateFormat=P","Fill=—","Direction=H","UseDPDF=Y")</f>
        <v>-2.02</v>
      </c>
      <c r="D15" s="14">
        <f>_xll.BDH("ALNY US Equity","IS_EARN_BEF_XO_ITEMS_PER_SH","FQ3 2019","FQ3 2019","Currency=USD","Period=FQ","BEST_FPERIOD_OVERRIDE=FQ","FILING_STATUS=MR","Sort=A","Dates=H","DateFormat=P","Fill=—","Direction=H","UseDPDF=Y")</f>
        <v>-1.92</v>
      </c>
      <c r="E15" s="14">
        <f>_xll.BDH("ALNY US Equity","IS_EARN_BEF_XO_ITEMS_PER_SH","FQ4 2019","FQ4 2019","Currency=USD","Period=FQ","BEST_FPERIOD_OVERRIDE=FQ","FILING_STATUS=MR","Sort=A","Dates=H","DateFormat=P","Fill=—","Direction=H","UseDPDF=Y")</f>
        <v>-2.4700000000000002</v>
      </c>
      <c r="F15" s="14">
        <f>_xll.BDH("ALNY US Equity","IS_EARN_BEF_XO_ITEMS_PER_SH","FQ1 2020","FQ1 2020","Currency=USD","Period=FQ","BEST_FPERIOD_OVERRIDE=FQ","FILING_STATUS=MR","Sort=A","Dates=H","DateFormat=P","Fill=—","Direction=H","UseDPDF=Y")</f>
        <v>-1.62</v>
      </c>
      <c r="G15" s="14">
        <f>_xll.BDH("ALNY US Equity","IS_EARN_BEF_XO_ITEMS_PER_SH","FQ2 2020","FQ2 2020","Currency=USD","Period=FQ","BEST_FPERIOD_OVERRIDE=FQ","FILING_STATUS=MR","Sort=A","Dates=H","DateFormat=P","Fill=—","Direction=H","UseDPDF=Y")</f>
        <v>-1.56</v>
      </c>
      <c r="H15" s="14">
        <f>_xll.BDH("ALNY US Equity","IS_EARN_BEF_XO_ITEMS_PER_SH","FQ3 2020","FQ3 2020","Currency=USD","Period=FQ","BEST_FPERIOD_OVERRIDE=FQ","FILING_STATUS=MR","Sort=A","Dates=H","DateFormat=P","Fill=—","Direction=H","UseDPDF=Y")</f>
        <v>-2.1800000000000002</v>
      </c>
      <c r="I15" s="14">
        <f>_xll.BDH("ALNY US Equity","IS_EARN_BEF_XO_ITEMS_PER_SH","FQ4 2020","FQ4 2020","Currency=USD","Period=FQ","BEST_FPERIOD_OVERRIDE=FQ","FILING_STATUS=MR","Sort=A","Dates=H","DateFormat=P","Fill=—","Direction=H","UseDPDF=Y")</f>
        <v>-2.09</v>
      </c>
      <c r="J15" s="14">
        <f>_xll.BDH("ALNY US Equity","IS_EARN_BEF_XO_ITEMS_PER_SH","FQ1 2021","FQ1 2021","Currency=USD","Period=FQ","BEST_FPERIOD_OVERRIDE=FQ","FILING_STATUS=MR","Sort=A","Dates=H","DateFormat=P","Fill=—","Direction=H","UseDPDF=Y")</f>
        <v>-1.71</v>
      </c>
      <c r="K15" s="14">
        <f>_xll.BDH("ALNY US Equity","IS_EARN_BEF_XO_ITEMS_PER_SH","FQ2 2021","FQ2 2021","Currency=USD","Period=FQ","BEST_FPERIOD_OVERRIDE=FQ","FILING_STATUS=MR","Sort=A","Dates=H","DateFormat=P","Fill=—","Direction=H","UseDPDF=Y")</f>
        <v>-1.61</v>
      </c>
      <c r="L15" s="14">
        <f>_xll.BDH("ALNY US Equity","IS_EARN_BEF_XO_ITEMS_PER_SH","FQ3 2021","FQ3 2021","Currency=USD","Period=FQ","BEST_FPERIOD_OVERRIDE=FQ","FILING_STATUS=MR","Sort=A","Dates=H","DateFormat=P","Fill=—","Direction=H","UseDPDF=Y")</f>
        <v>-1.72</v>
      </c>
      <c r="M15" s="14">
        <f>_xll.BDH("ALNY US Equity","IS_EARN_BEF_XO_ITEMS_PER_SH","FQ4 2021","FQ4 2021","Currency=USD","Period=FQ","BEST_FPERIOD_OVERRIDE=FQ","FILING_STATUS=MR","Sort=A","Dates=H","DateFormat=P","Fill=—","Direction=H","UseDPDF=Y")</f>
        <v>-2.16</v>
      </c>
      <c r="N15" s="14">
        <f>_xll.BDH("ALNY US Equity","IS_EARN_BEF_XO_ITEMS_PER_SH","FQ1 2022","FQ1 2022","Currency=USD","Period=FQ","BEST_FPERIOD_OVERRIDE=FQ","FILING_STATUS=MR","Sort=A","Dates=H","DateFormat=P","Fill=—","Direction=H","UseDPDF=Y")</f>
        <v>-2</v>
      </c>
      <c r="O15" s="14">
        <f>_xll.BDH("ALNY US Equity","IS_EARN_BEF_XO_ITEMS_PER_SH","FQ2 2022","FQ2 2022","Currency=USD","Period=FQ","BEST_FPERIOD_OVERRIDE=FQ","FILING_STATUS=MR","Sort=A","Dates=H","DateFormat=P","Fill=—","Direction=H","UseDPDF=Y")</f>
        <v>-2.29</v>
      </c>
      <c r="P15" s="14">
        <f>_xll.BDH("ALNY US Equity","IS_EARN_BEF_XO_ITEMS_PER_SH","FQ3 2022","FQ3 2022","Currency=USD","Period=FQ","BEST_FPERIOD_OVERRIDE=FQ","FILING_STATUS=MR","Sort=A","Dates=H","DateFormat=P","Fill=—","Direction=H","UseDPDF=Y")</f>
        <v>-3.32</v>
      </c>
      <c r="Q15" s="14">
        <f>_xll.BDH("ALNY US Equity","IS_EARN_BEF_XO_ITEMS_PER_SH","FQ4 2022","FQ4 2022","Currency=USD","Period=FQ","BEST_FPERIOD_OVERRIDE=FQ","FILING_STATUS=MR","Sort=A","Dates=H","DateFormat=P","Fill=—","Direction=H","UseDPDF=Y")</f>
        <v>-1.68</v>
      </c>
      <c r="R15" s="14">
        <f>_xll.BDH("ALNY US Equity","IS_EARN_BEF_XO_ITEMS_PER_SH","FQ1 2023","FQ1 2023","Currency=USD","Period=FQ","BEST_FPERIOD_OVERRIDE=FQ","FILING_STATUS=MR","Sort=A","Dates=H","DateFormat=P","Fill=—","Direction=H","UseDPDF=Y")</f>
        <v>-1.4</v>
      </c>
      <c r="S15" s="14">
        <f>_xll.BDH("ALNY US Equity","IS_EARN_BEF_XO_ITEMS_PER_SH","FQ2 2023","FQ2 2023","Currency=USD","Period=FQ","BEST_FPERIOD_OVERRIDE=FQ","FILING_STATUS=MR","Sort=A","Dates=H","DateFormat=P","Fill=—","Direction=H","UseDPDF=Y")</f>
        <v>-2.21</v>
      </c>
      <c r="T15" s="14">
        <f>_xll.BDH("ALNY US Equity","IS_EARN_BEF_XO_ITEMS_PER_SH","FQ3 2023","FQ3 2023","Currency=USD","Period=FQ","BEST_FPERIOD_OVERRIDE=FQ","FILING_STATUS=MR","Sort=A","Dates=H","DateFormat=P","Fill=—","Direction=H","UseDPDF=Y")</f>
        <v>1.18</v>
      </c>
      <c r="U15" s="14">
        <f>_xll.BDH("ALNY US Equity","IS_EARN_BEF_XO_ITEMS_PER_SH","FQ4 2023","FQ4 2023","Currency=USD","Period=FQ","BEST_FPERIOD_OVERRIDE=FQ","FILING_STATUS=MR","Sort=A","Dates=H","DateFormat=P","Fill=—","Direction=H","UseDPDF=Y")</f>
        <v>-1.1000000000000001</v>
      </c>
      <c r="V15" s="14">
        <f>_xll.BDH("ALNY US Equity","IS_EARN_BEF_XO_ITEMS_PER_SH","FQ1 2024","FQ1 2024","Currency=USD","Period=FQ","BEST_FPERIOD_OVERRIDE=FQ","FILING_STATUS=MR","Sort=A","Dates=H","DateFormat=P","Fill=—","Direction=H","UseDPDF=Y")</f>
        <v>-0.52</v>
      </c>
      <c r="W15" s="14">
        <f>_xll.BDH("ALNY US Equity","IS_EARN_BEF_XO_ITEMS_PER_SH","FQ2 2024","FQ2 2024","Currency=USD","Period=FQ","BEST_FPERIOD_OVERRIDE=FQ","FILING_STATUS=MR","Sort=A","Dates=H","DateFormat=P","Fill=—","Direction=H","UseDPDF=Y")</f>
        <v>-0.13</v>
      </c>
      <c r="X15" s="14">
        <f>_xll.BDH("ALNY US Equity","IS_EARN_BEF_XO_ITEMS_PER_SH","FQ3 2024","FQ3 2024","Currency=USD","Period=FQ","BEST_FPERIOD_OVERRIDE=FQ","FILING_STATUS=MR","Sort=A","Dates=H","DateFormat=P","Fill=—","Direction=H","UseDPDF=Y")</f>
        <v>-0.87</v>
      </c>
      <c r="Y15" s="14">
        <f>_xll.BDH("ALNY US Equity","IS_EARN_BEF_XO_ITEMS_PER_SH","FQ4 2024","FQ4 2024","Currency=USD","Period=FQ","BEST_FPERIOD_OVERRIDE=FQ","FILING_STATUS=MR","Sort=A","Dates=H","DateFormat=P","Fill=—","Direction=H","UseDPDF=Y")</f>
        <v>-0.65</v>
      </c>
      <c r="Z15" s="14">
        <v>-0.95</v>
      </c>
      <c r="AA15" s="14">
        <v>-0.91500000000000004</v>
      </c>
    </row>
    <row r="16" spans="1:27" x14ac:dyDescent="0.25">
      <c r="A16" s="10" t="s">
        <v>256</v>
      </c>
      <c r="B16" s="10" t="s">
        <v>257</v>
      </c>
      <c r="C16" s="14">
        <f>_xll.BDH("ALNY US Equity","IS_BASIC_EPS_CONT_OPS","FQ2 2019","FQ2 2019","Currency=USD","Period=FQ","BEST_FPERIOD_OVERRIDE=FQ","FILING_STATUS=MR","Sort=A","Dates=H","DateFormat=P","Fill=—","Direction=H","UseDPDF=Y")</f>
        <v>-2.1082000000000001</v>
      </c>
      <c r="D16" s="14">
        <f>_xll.BDH("ALNY US Equity","IS_BASIC_EPS_CONT_OPS","FQ3 2019","FQ3 2019","Currency=USD","Period=FQ","BEST_FPERIOD_OVERRIDE=FQ","FILING_STATUS=MR","Sort=A","Dates=H","DateFormat=P","Fill=—","Direction=H","UseDPDF=Y")</f>
        <v>-1.92</v>
      </c>
      <c r="E16" s="14">
        <f>_xll.BDH("ALNY US Equity","IS_BASIC_EPS_CONT_OPS","FQ4 2019","FQ4 2019","Currency=USD","Period=FQ","BEST_FPERIOD_OVERRIDE=FQ","FILING_STATUS=MR","Sort=A","Dates=H","DateFormat=P","Fill=—","Direction=H","UseDPDF=Y")</f>
        <v>-2.5722999999999998</v>
      </c>
      <c r="F16" s="14">
        <f>_xll.BDH("ALNY US Equity","IS_BASIC_EPS_CONT_OPS","FQ1 2020","FQ1 2020","Currency=USD","Period=FQ","BEST_FPERIOD_OVERRIDE=FQ","FILING_STATUS=MR","Sort=A","Dates=H","DateFormat=P","Fill=—","Direction=H","UseDPDF=Y")</f>
        <v>-1.83</v>
      </c>
      <c r="G16" s="14">
        <f>_xll.BDH("ALNY US Equity","IS_BASIC_EPS_CONT_OPS","FQ2 2020","FQ2 2020","Currency=USD","Period=FQ","BEST_FPERIOD_OVERRIDE=FQ","FILING_STATUS=MR","Sort=A","Dates=H","DateFormat=P","Fill=—","Direction=H","UseDPDF=Y")</f>
        <v>-1.9588000000000001</v>
      </c>
      <c r="H16" s="14">
        <f>_xll.BDH("ALNY US Equity","IS_BASIC_EPS_CONT_OPS","FQ3 2020","FQ3 2020","Currency=USD","Period=FQ","BEST_FPERIOD_OVERRIDE=FQ","FILING_STATUS=MR","Sort=A","Dates=H","DateFormat=P","Fill=—","Direction=H","UseDPDF=Y")</f>
        <v>-1.9041999999999999</v>
      </c>
      <c r="I16" s="14">
        <f>_xll.BDH("ALNY US Equity","IS_BASIC_EPS_CONT_OPS","FQ4 2020","FQ4 2020","Currency=USD","Period=FQ","BEST_FPERIOD_OVERRIDE=FQ","FILING_STATUS=MR","Sort=A","Dates=H","DateFormat=P","Fill=—","Direction=H","UseDPDF=Y")</f>
        <v>-1.8984000000000001</v>
      </c>
      <c r="J16" s="14">
        <f>_xll.BDH("ALNY US Equity","IS_BASIC_EPS_CONT_OPS","FQ1 2021","FQ1 2021","Currency=USD","Period=FQ","BEST_FPERIOD_OVERRIDE=FQ","FILING_STATUS=MR","Sort=A","Dates=H","DateFormat=P","Fill=—","Direction=H","UseDPDF=Y")</f>
        <v>-2.1122999999999998</v>
      </c>
      <c r="K16" s="14">
        <f>_xll.BDH("ALNY US Equity","IS_BASIC_EPS_CONT_OPS","FQ2 2021","FQ2 2021","Currency=USD","Period=FQ","BEST_FPERIOD_OVERRIDE=FQ","FILING_STATUS=MR","Sort=A","Dates=H","DateFormat=P","Fill=—","Direction=H","UseDPDF=Y")</f>
        <v>-1.5719000000000001</v>
      </c>
      <c r="L16" s="14">
        <f>_xll.BDH("ALNY US Equity","IS_BASIC_EPS_CONT_OPS","FQ3 2021","FQ3 2021","Currency=USD","Period=FQ","BEST_FPERIOD_OVERRIDE=FQ","FILING_STATUS=MR","Sort=A","Dates=H","DateFormat=P","Fill=—","Direction=H","UseDPDF=Y")</f>
        <v>-1.7895000000000001</v>
      </c>
      <c r="M16" s="14">
        <f>_xll.BDH("ALNY US Equity","IS_BASIC_EPS_CONT_OPS","FQ4 2021","FQ4 2021","Currency=USD","Period=FQ","BEST_FPERIOD_OVERRIDE=FQ","FILING_STATUS=MR","Sort=A","Dates=H","DateFormat=P","Fill=—","Direction=H","UseDPDF=Y")</f>
        <v>-2.1113</v>
      </c>
      <c r="N16" s="14">
        <f>_xll.BDH("ALNY US Equity","IS_BASIC_EPS_CONT_OPS","FQ1 2022","FQ1 2022","Currency=USD","Period=FQ","BEST_FPERIOD_OVERRIDE=FQ","FILING_STATUS=MR","Sort=A","Dates=H","DateFormat=P","Fill=—","Direction=H","UseDPDF=Y")</f>
        <v>-1.7375</v>
      </c>
      <c r="O16" s="14">
        <f>_xll.BDH("ALNY US Equity","IS_BASIC_EPS_CONT_OPS","FQ2 2022","FQ2 2022","Currency=USD","Period=FQ","BEST_FPERIOD_OVERRIDE=FQ","FILING_STATUS=MR","Sort=A","Dates=H","DateFormat=P","Fill=—","Direction=H","UseDPDF=Y")</f>
        <v>-2.2854999999999999</v>
      </c>
      <c r="P16" s="14">
        <f>_xll.BDH("ALNY US Equity","IS_BASIC_EPS_CONT_OPS","FQ3 2022","FQ3 2022","Currency=USD","Period=FQ","BEST_FPERIOD_OVERRIDE=FQ","FILING_STATUS=MR","Sort=A","Dates=H","DateFormat=P","Fill=—","Direction=H","UseDPDF=Y")</f>
        <v>-2.6315</v>
      </c>
      <c r="Q16" s="14">
        <f>_xll.BDH("ALNY US Equity","IS_BASIC_EPS_CONT_OPS","FQ4 2022","FQ4 2022","Currency=USD","Period=FQ","BEST_FPERIOD_OVERRIDE=FQ","FILING_STATUS=MR","Sort=A","Dates=H","DateFormat=P","Fill=—","Direction=H","UseDPDF=Y")</f>
        <v>-1.7383999999999999</v>
      </c>
      <c r="R16" s="14">
        <f>_xll.BDH("ALNY US Equity","IS_BASIC_EPS_CONT_OPS","FQ1 2023","FQ1 2023","Currency=USD","Period=FQ","BEST_FPERIOD_OVERRIDE=FQ","FILING_STATUS=MR","Sort=A","Dates=H","DateFormat=P","Fill=—","Direction=H","UseDPDF=Y")</f>
        <v>-1.3845000000000001</v>
      </c>
      <c r="S16" s="14">
        <f>_xll.BDH("ALNY US Equity","IS_BASIC_EPS_CONT_OPS","FQ2 2023","FQ2 2023","Currency=USD","Period=FQ","BEST_FPERIOD_OVERRIDE=FQ","FILING_STATUS=MR","Sort=A","Dates=H","DateFormat=P","Fill=—","Direction=H","UseDPDF=Y")</f>
        <v>-2.2254999999999998</v>
      </c>
      <c r="T16" s="14">
        <f>_xll.BDH("ALNY US Equity","IS_BASIC_EPS_CONT_OPS","FQ3 2023","FQ3 2023","Currency=USD","Period=FQ","BEST_FPERIOD_OVERRIDE=FQ","FILING_STATUS=MR","Sort=A","Dates=H","DateFormat=P","Fill=—","Direction=H","UseDPDF=Y")</f>
        <v>1.3145</v>
      </c>
      <c r="U16" s="14">
        <f>_xll.BDH("ALNY US Equity","IS_BASIC_EPS_CONT_OPS","FQ4 2023","FQ4 2023","Currency=USD","Period=FQ","BEST_FPERIOD_OVERRIDE=FQ","FILING_STATUS=MR","Sort=A","Dates=H","DateFormat=P","Fill=—","Direction=H","UseDPDF=Y")</f>
        <v>-1.1036999999999999</v>
      </c>
      <c r="V16" s="14">
        <f>_xll.BDH("ALNY US Equity","IS_BASIC_EPS_CONT_OPS","FQ1 2024","FQ1 2024","Currency=USD","Period=FQ","BEST_FPERIOD_OVERRIDE=FQ","FILING_STATUS=MR","Sort=A","Dates=H","DateFormat=P","Fill=—","Direction=H","UseDPDF=Y")</f>
        <v>-0.52329999999999999</v>
      </c>
      <c r="W16" s="14">
        <f>_xll.BDH("ALNY US Equity","IS_BASIC_EPS_CONT_OPS","FQ2 2024","FQ2 2024","Currency=USD","Period=FQ","BEST_FPERIOD_OVERRIDE=FQ","FILING_STATUS=MR","Sort=A","Dates=H","DateFormat=P","Fill=—","Direction=H","UseDPDF=Y")</f>
        <v>-0.1225</v>
      </c>
      <c r="X16" s="14">
        <f>_xll.BDH("ALNY US Equity","IS_BASIC_EPS_CONT_OPS","FQ3 2024","FQ3 2024","Currency=USD","Period=FQ","BEST_FPERIOD_OVERRIDE=FQ","FILING_STATUS=MR","Sort=A","Dates=H","DateFormat=P","Fill=—","Direction=H","UseDPDF=Y")</f>
        <v>-0.85550000000000004</v>
      </c>
      <c r="Y16" s="14">
        <f>_xll.BDH("ALNY US Equity","IS_BASIC_EPS_CONT_OPS","FQ4 2024","FQ4 2024","Currency=USD","Period=FQ","BEST_FPERIOD_OVERRIDE=FQ","FILING_STATUS=MR","Sort=A","Dates=H","DateFormat=P","Fill=—","Direction=H","UseDPDF=Y")</f>
        <v>-0.64749999999999996</v>
      </c>
      <c r="Z16" s="14">
        <v>-0.46400000000000002</v>
      </c>
      <c r="AA16" s="14">
        <v>-0.39400000000000002</v>
      </c>
    </row>
    <row r="17" spans="1:27" x14ac:dyDescent="0.25">
      <c r="A17" s="10" t="s">
        <v>258</v>
      </c>
      <c r="B17" s="10" t="s">
        <v>104</v>
      </c>
      <c r="C17" s="14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D17" s="14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E17" s="14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F17" s="14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G17" s="14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H17" s="14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I17" s="14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J17" s="14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K17" s="14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L17" s="14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M17" s="14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N17" s="14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O17" s="14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P17" s="14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Q17" s="14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R17" s="14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S17" s="14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T17" s="14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U17" s="14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V17" s="14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W17" s="14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X17" s="14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Y17" s="14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  <c r="Z17" s="14">
        <v>-0.95</v>
      </c>
      <c r="AA17" s="14">
        <v>-0.91500000000000004</v>
      </c>
    </row>
    <row r="18" spans="1:27" x14ac:dyDescent="0.25">
      <c r="A18" s="10" t="s">
        <v>259</v>
      </c>
      <c r="B18" s="10" t="s">
        <v>260</v>
      </c>
      <c r="C18" s="14">
        <f>_xll.BDH("ALNY US Equity","IS_DIL_EPS_BEF_XO","FQ2 2019","FQ2 2019","Currency=USD","Period=FQ","BEST_FPERIOD_OVERRIDE=FQ","FILING_STATUS=MR","Sort=A","Dates=H","DateFormat=P","Fill=—","Direction=H","UseDPDF=Y")</f>
        <v>-2.02</v>
      </c>
      <c r="D18" s="14">
        <f>_xll.BDH("ALNY US Equity","IS_DIL_EPS_BEF_XO","FQ3 2019","FQ3 2019","Currency=USD","Period=FQ","BEST_FPERIOD_OVERRIDE=FQ","FILING_STATUS=MR","Sort=A","Dates=H","DateFormat=P","Fill=—","Direction=H","UseDPDF=Y")</f>
        <v>-1.92</v>
      </c>
      <c r="E18" s="14">
        <f>_xll.BDH("ALNY US Equity","IS_DIL_EPS_BEF_XO","FQ4 2019","FQ4 2019","Currency=USD","Period=FQ","BEST_FPERIOD_OVERRIDE=FQ","FILING_STATUS=MR","Sort=A","Dates=H","DateFormat=P","Fill=—","Direction=H","UseDPDF=Y")</f>
        <v>-2.4700000000000002</v>
      </c>
      <c r="F18" s="14">
        <f>_xll.BDH("ALNY US Equity","IS_DIL_EPS_BEF_XO","FQ1 2020","FQ1 2020","Currency=USD","Period=FQ","BEST_FPERIOD_OVERRIDE=FQ","FILING_STATUS=MR","Sort=A","Dates=H","DateFormat=P","Fill=—","Direction=H","UseDPDF=Y")</f>
        <v>-1.62</v>
      </c>
      <c r="G18" s="14">
        <f>_xll.BDH("ALNY US Equity","IS_DIL_EPS_BEF_XO","FQ2 2020","FQ2 2020","Currency=USD","Period=FQ","BEST_FPERIOD_OVERRIDE=FQ","FILING_STATUS=MR","Sort=A","Dates=H","DateFormat=P","Fill=—","Direction=H","UseDPDF=Y")</f>
        <v>-1.56</v>
      </c>
      <c r="H18" s="14">
        <f>_xll.BDH("ALNY US Equity","IS_DIL_EPS_BEF_XO","FQ3 2020","FQ3 2020","Currency=USD","Period=FQ","BEST_FPERIOD_OVERRIDE=FQ","FILING_STATUS=MR","Sort=A","Dates=H","DateFormat=P","Fill=—","Direction=H","UseDPDF=Y")</f>
        <v>-2.1800000000000002</v>
      </c>
      <c r="I18" s="14">
        <f>_xll.BDH("ALNY US Equity","IS_DIL_EPS_BEF_XO","FQ4 2020","FQ4 2020","Currency=USD","Period=FQ","BEST_FPERIOD_OVERRIDE=FQ","FILING_STATUS=MR","Sort=A","Dates=H","DateFormat=P","Fill=—","Direction=H","UseDPDF=Y")</f>
        <v>-2.09</v>
      </c>
      <c r="J18" s="14">
        <f>_xll.BDH("ALNY US Equity","IS_DIL_EPS_BEF_XO","FQ1 2021","FQ1 2021","Currency=USD","Period=FQ","BEST_FPERIOD_OVERRIDE=FQ","FILING_STATUS=MR","Sort=A","Dates=H","DateFormat=P","Fill=—","Direction=H","UseDPDF=Y")</f>
        <v>-1.71</v>
      </c>
      <c r="K18" s="14">
        <f>_xll.BDH("ALNY US Equity","IS_DIL_EPS_BEF_XO","FQ2 2021","FQ2 2021","Currency=USD","Period=FQ","BEST_FPERIOD_OVERRIDE=FQ","FILING_STATUS=MR","Sort=A","Dates=H","DateFormat=P","Fill=—","Direction=H","UseDPDF=Y")</f>
        <v>-1.61</v>
      </c>
      <c r="L18" s="14">
        <f>_xll.BDH("ALNY US Equity","IS_DIL_EPS_BEF_XO","FQ3 2021","FQ3 2021","Currency=USD","Period=FQ","BEST_FPERIOD_OVERRIDE=FQ","FILING_STATUS=MR","Sort=A","Dates=H","DateFormat=P","Fill=—","Direction=H","UseDPDF=Y")</f>
        <v>-1.72</v>
      </c>
      <c r="M18" s="14">
        <f>_xll.BDH("ALNY US Equity","IS_DIL_EPS_BEF_XO","FQ4 2021","FQ4 2021","Currency=USD","Period=FQ","BEST_FPERIOD_OVERRIDE=FQ","FILING_STATUS=MR","Sort=A","Dates=H","DateFormat=P","Fill=—","Direction=H","UseDPDF=Y")</f>
        <v>-2.16</v>
      </c>
      <c r="N18" s="14">
        <f>_xll.BDH("ALNY US Equity","IS_DIL_EPS_BEF_XO","FQ1 2022","FQ1 2022","Currency=USD","Period=FQ","BEST_FPERIOD_OVERRIDE=FQ","FILING_STATUS=MR","Sort=A","Dates=H","DateFormat=P","Fill=—","Direction=H","UseDPDF=Y")</f>
        <v>-2</v>
      </c>
      <c r="O18" s="14">
        <f>_xll.BDH("ALNY US Equity","IS_DIL_EPS_BEF_XO","FQ2 2022","FQ2 2022","Currency=USD","Period=FQ","BEST_FPERIOD_OVERRIDE=FQ","FILING_STATUS=MR","Sort=A","Dates=H","DateFormat=P","Fill=—","Direction=H","UseDPDF=Y")</f>
        <v>-2.29</v>
      </c>
      <c r="P18" s="14">
        <f>_xll.BDH("ALNY US Equity","IS_DIL_EPS_BEF_XO","FQ3 2022","FQ3 2022","Currency=USD","Period=FQ","BEST_FPERIOD_OVERRIDE=FQ","FILING_STATUS=MR","Sort=A","Dates=H","DateFormat=P","Fill=—","Direction=H","UseDPDF=Y")</f>
        <v>-3.32</v>
      </c>
      <c r="Q18" s="14">
        <f>_xll.BDH("ALNY US Equity","IS_DIL_EPS_BEF_XO","FQ4 2022","FQ4 2022","Currency=USD","Period=FQ","BEST_FPERIOD_OVERRIDE=FQ","FILING_STATUS=MR","Sort=A","Dates=H","DateFormat=P","Fill=—","Direction=H","UseDPDF=Y")</f>
        <v>-1.68</v>
      </c>
      <c r="R18" s="14">
        <f>_xll.BDH("ALNY US Equity","IS_DIL_EPS_BEF_XO","FQ1 2023","FQ1 2023","Currency=USD","Period=FQ","BEST_FPERIOD_OVERRIDE=FQ","FILING_STATUS=MR","Sort=A","Dates=H","DateFormat=P","Fill=—","Direction=H","UseDPDF=Y")</f>
        <v>-1.4</v>
      </c>
      <c r="S18" s="14">
        <f>_xll.BDH("ALNY US Equity","IS_DIL_EPS_BEF_XO","FQ2 2023","FQ2 2023","Currency=USD","Period=FQ","BEST_FPERIOD_OVERRIDE=FQ","FILING_STATUS=MR","Sort=A","Dates=H","DateFormat=P","Fill=—","Direction=H","UseDPDF=Y")</f>
        <v>-2.21</v>
      </c>
      <c r="T18" s="14">
        <f>_xll.BDH("ALNY US Equity","IS_DIL_EPS_BEF_XO","FQ3 2023","FQ3 2023","Currency=USD","Period=FQ","BEST_FPERIOD_OVERRIDE=FQ","FILING_STATUS=MR","Sort=A","Dates=H","DateFormat=P","Fill=—","Direction=H","UseDPDF=Y")</f>
        <v>1.1499999999999999</v>
      </c>
      <c r="U18" s="14">
        <f>_xll.BDH("ALNY US Equity","IS_DIL_EPS_BEF_XO","FQ4 2023","FQ4 2023","Currency=USD","Period=FQ","BEST_FPERIOD_OVERRIDE=FQ","FILING_STATUS=MR","Sort=A","Dates=H","DateFormat=P","Fill=—","Direction=H","UseDPDF=Y")</f>
        <v>-1.1000000000000001</v>
      </c>
      <c r="V18" s="14">
        <f>_xll.BDH("ALNY US Equity","IS_DIL_EPS_BEF_XO","FQ1 2024","FQ1 2024","Currency=USD","Period=FQ","BEST_FPERIOD_OVERRIDE=FQ","FILING_STATUS=MR","Sort=A","Dates=H","DateFormat=P","Fill=—","Direction=H","UseDPDF=Y")</f>
        <v>-0.52</v>
      </c>
      <c r="W18" s="14">
        <f>_xll.BDH("ALNY US Equity","IS_DIL_EPS_BEF_XO","FQ2 2024","FQ2 2024","Currency=USD","Period=FQ","BEST_FPERIOD_OVERRIDE=FQ","FILING_STATUS=MR","Sort=A","Dates=H","DateFormat=P","Fill=—","Direction=H","UseDPDF=Y")</f>
        <v>-0.13</v>
      </c>
      <c r="X18" s="14">
        <f>_xll.BDH("ALNY US Equity","IS_DIL_EPS_BEF_XO","FQ3 2024","FQ3 2024","Currency=USD","Period=FQ","BEST_FPERIOD_OVERRIDE=FQ","FILING_STATUS=MR","Sort=A","Dates=H","DateFormat=P","Fill=—","Direction=H","UseDPDF=Y")</f>
        <v>-0.87</v>
      </c>
      <c r="Y18" s="14">
        <f>_xll.BDH("ALNY US Equity","IS_DIL_EPS_BEF_XO","FQ4 2024","FQ4 2024","Currency=USD","Period=FQ","BEST_FPERIOD_OVERRIDE=FQ","FILING_STATUS=MR","Sort=A","Dates=H","DateFormat=P","Fill=—","Direction=H","UseDPDF=Y")</f>
        <v>-0.65</v>
      </c>
      <c r="Z18" s="14">
        <v>-0.95</v>
      </c>
      <c r="AA18" s="14">
        <v>-0.91500000000000004</v>
      </c>
    </row>
    <row r="19" spans="1:27" x14ac:dyDescent="0.25">
      <c r="A19" s="10" t="s">
        <v>261</v>
      </c>
      <c r="B19" s="10" t="s">
        <v>82</v>
      </c>
      <c r="C19" s="14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D19" s="14">
        <f>_xll.BDH("ALNY US Equity","IS_DIL_EPS_CONT_OPS","FQ3 2019","FQ3 2019","Currency=USD","Period=FQ","BEST_FPERIOD_OVERRIDE=FQ","FILING_STATUS=MR","Sort=A","Dates=H","DateFormat=P","Fill=—","Direction=H","UseDPDF=Y")</f>
        <v>-1.92</v>
      </c>
      <c r="E19" s="14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F19" s="14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G19" s="14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H19" s="14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I19" s="14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J19" s="14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K19" s="14">
        <f>_xll.BDH("ALNY US Equity","IS_DIL_EPS_CONT_OPS","FQ2 2021","FQ2 2021","Currency=USD","Period=FQ","BEST_FPERIOD_OVERRIDE=FQ","FILING_STATUS=MR","Sort=A","Dates=H","DateFormat=P","Fill=—","Direction=H","UseDPDF=Y")</f>
        <v>-1.5724</v>
      </c>
      <c r="L19" s="14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M19" s="14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N19" s="14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O19" s="14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P19" s="14">
        <f>_xll.BDH("ALNY US Equity","IS_DIL_EPS_CONT_OPS","FQ3 2022","FQ3 2022","Currency=USD","Period=FQ","BEST_FPERIOD_OVERRIDE=FQ","FILING_STATUS=MR","Sort=A","Dates=H","DateFormat=P","Fill=—","Direction=H","UseDPDF=Y")</f>
        <v>-2.6315</v>
      </c>
      <c r="Q19" s="14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R19" s="14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S19" s="14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T19" s="14">
        <f>_xll.BDH("ALNY US Equity","IS_DIL_EPS_CONT_OPS","FQ3 2023","FQ3 2023","Currency=USD","Period=FQ","BEST_FPERIOD_OVERRIDE=FQ","FILING_STATUS=MR","Sort=A","Dates=H","DateFormat=P","Fill=—","Direction=H","UseDPDF=Y")</f>
        <v>1.2783</v>
      </c>
      <c r="U19" s="14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V19" s="14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W19" s="14">
        <f>_xll.BDH("ALNY US Equity","IS_DIL_EPS_CONT_OPS","FQ2 2024","FQ2 2024","Currency=USD","Period=FQ","BEST_FPERIOD_OVERRIDE=FQ","FILING_STATUS=MR","Sort=A","Dates=H","DateFormat=P","Fill=—","Direction=H","UseDPDF=Y")</f>
        <v>-0.1225</v>
      </c>
      <c r="X19" s="14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Y19" s="14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  <c r="Z19" s="14">
        <v>-0.46400000000000002</v>
      </c>
      <c r="AA19" s="14">
        <v>-0.39400000000000002</v>
      </c>
    </row>
    <row r="20" spans="1:27" x14ac:dyDescent="0.25">
      <c r="A20" s="10" t="s">
        <v>262</v>
      </c>
      <c r="B20" s="10" t="s">
        <v>263</v>
      </c>
      <c r="C20" s="14">
        <f>_xll.BDH("ALNY US Equity","EQY_DPS","FQ2 2019","FQ2 2019","Currency=USD","Period=FQ","BEST_FPERIOD_OVERRIDE=FQ","FILING_STATUS=MR","Sort=A","Dates=H","DateFormat=P","Fill=—","Direction=H","UseDPDF=Y")</f>
        <v>0</v>
      </c>
      <c r="D20" s="14">
        <f>_xll.BDH("ALNY US Equity","EQY_DPS","FQ3 2019","FQ3 2019","Currency=USD","Period=FQ","BEST_FPERIOD_OVERRIDE=FQ","FILING_STATUS=MR","Sort=A","Dates=H","DateFormat=P","Fill=—","Direction=H","UseDPDF=Y")</f>
        <v>0</v>
      </c>
      <c r="E20" s="14">
        <f>_xll.BDH("ALNY US Equity","EQY_DPS","FQ4 2019","FQ4 2019","Currency=USD","Period=FQ","BEST_FPERIOD_OVERRIDE=FQ","FILING_STATUS=MR","Sort=A","Dates=H","DateFormat=P","Fill=—","Direction=H","UseDPDF=Y")</f>
        <v>0</v>
      </c>
      <c r="F20" s="14">
        <f>_xll.BDH("ALNY US Equity","EQY_DPS","FQ1 2020","FQ1 2020","Currency=USD","Period=FQ","BEST_FPERIOD_OVERRIDE=FQ","FILING_STATUS=MR","Sort=A","Dates=H","DateFormat=P","Fill=—","Direction=H","UseDPDF=Y")</f>
        <v>0</v>
      </c>
      <c r="G20" s="14">
        <f>_xll.BDH("ALNY US Equity","EQY_DPS","FQ2 2020","FQ2 2020","Currency=USD","Period=FQ","BEST_FPERIOD_OVERRIDE=FQ","FILING_STATUS=MR","Sort=A","Dates=H","DateFormat=P","Fill=—","Direction=H","UseDPDF=Y")</f>
        <v>0</v>
      </c>
      <c r="H20" s="14">
        <f>_xll.BDH("ALNY US Equity","EQY_DPS","FQ3 2020","FQ3 2020","Currency=USD","Period=FQ","BEST_FPERIOD_OVERRIDE=FQ","FILING_STATUS=MR","Sort=A","Dates=H","DateFormat=P","Fill=—","Direction=H","UseDPDF=Y")</f>
        <v>0</v>
      </c>
      <c r="I20" s="14">
        <f>_xll.BDH("ALNY US Equity","EQY_DPS","FQ4 2020","FQ4 2020","Currency=USD","Period=FQ","BEST_FPERIOD_OVERRIDE=FQ","FILING_STATUS=MR","Sort=A","Dates=H","DateFormat=P","Fill=—","Direction=H","UseDPDF=Y")</f>
        <v>0</v>
      </c>
      <c r="J20" s="14">
        <f>_xll.BDH("ALNY US Equity","EQY_DPS","FQ1 2021","FQ1 2021","Currency=USD","Period=FQ","BEST_FPERIOD_OVERRIDE=FQ","FILING_STATUS=MR","Sort=A","Dates=H","DateFormat=P","Fill=—","Direction=H","UseDPDF=Y")</f>
        <v>0</v>
      </c>
      <c r="K20" s="14">
        <f>_xll.BDH("ALNY US Equity","EQY_DPS","FQ2 2021","FQ2 2021","Currency=USD","Period=FQ","BEST_FPERIOD_OVERRIDE=FQ","FILING_STATUS=MR","Sort=A","Dates=H","DateFormat=P","Fill=—","Direction=H","UseDPDF=Y")</f>
        <v>0</v>
      </c>
      <c r="L20" s="14">
        <f>_xll.BDH("ALNY US Equity","EQY_DPS","FQ3 2021","FQ3 2021","Currency=USD","Period=FQ","BEST_FPERIOD_OVERRIDE=FQ","FILING_STATUS=MR","Sort=A","Dates=H","DateFormat=P","Fill=—","Direction=H","UseDPDF=Y")</f>
        <v>0</v>
      </c>
      <c r="M20" s="14">
        <f>_xll.BDH("ALNY US Equity","EQY_DPS","FQ4 2021","FQ4 2021","Currency=USD","Period=FQ","BEST_FPERIOD_OVERRIDE=FQ","FILING_STATUS=MR","Sort=A","Dates=H","DateFormat=P","Fill=—","Direction=H","UseDPDF=Y")</f>
        <v>0</v>
      </c>
      <c r="N20" s="14">
        <f>_xll.BDH("ALNY US Equity","EQY_DPS","FQ1 2022","FQ1 2022","Currency=USD","Period=FQ","BEST_FPERIOD_OVERRIDE=FQ","FILING_STATUS=MR","Sort=A","Dates=H","DateFormat=P","Fill=—","Direction=H","UseDPDF=Y")</f>
        <v>0</v>
      </c>
      <c r="O20" s="14">
        <f>_xll.BDH("ALNY US Equity","EQY_DPS","FQ2 2022","FQ2 2022","Currency=USD","Period=FQ","BEST_FPERIOD_OVERRIDE=FQ","FILING_STATUS=MR","Sort=A","Dates=H","DateFormat=P","Fill=—","Direction=H","UseDPDF=Y")</f>
        <v>0</v>
      </c>
      <c r="P20" s="14">
        <f>_xll.BDH("ALNY US Equity","EQY_DPS","FQ3 2022","FQ3 2022","Currency=USD","Period=FQ","BEST_FPERIOD_OVERRIDE=FQ","FILING_STATUS=MR","Sort=A","Dates=H","DateFormat=P","Fill=—","Direction=H","UseDPDF=Y")</f>
        <v>0</v>
      </c>
      <c r="Q20" s="14">
        <f>_xll.BDH("ALNY US Equity","EQY_DPS","FQ4 2022","FQ4 2022","Currency=USD","Period=FQ","BEST_FPERIOD_OVERRIDE=FQ","FILING_STATUS=MR","Sort=A","Dates=H","DateFormat=P","Fill=—","Direction=H","UseDPDF=Y")</f>
        <v>0</v>
      </c>
      <c r="R20" s="14">
        <f>_xll.BDH("ALNY US Equity","EQY_DPS","FQ1 2023","FQ1 2023","Currency=USD","Period=FQ","BEST_FPERIOD_OVERRIDE=FQ","FILING_STATUS=MR","Sort=A","Dates=H","DateFormat=P","Fill=—","Direction=H","UseDPDF=Y")</f>
        <v>0</v>
      </c>
      <c r="S20" s="14">
        <f>_xll.BDH("ALNY US Equity","EQY_DPS","FQ2 2023","FQ2 2023","Currency=USD","Period=FQ","BEST_FPERIOD_OVERRIDE=FQ","FILING_STATUS=MR","Sort=A","Dates=H","DateFormat=P","Fill=—","Direction=H","UseDPDF=Y")</f>
        <v>0</v>
      </c>
      <c r="T20" s="14">
        <f>_xll.BDH("ALNY US Equity","EQY_DPS","FQ3 2023","FQ3 2023","Currency=USD","Period=FQ","BEST_FPERIOD_OVERRIDE=FQ","FILING_STATUS=MR","Sort=A","Dates=H","DateFormat=P","Fill=—","Direction=H","UseDPDF=Y")</f>
        <v>0</v>
      </c>
      <c r="U20" s="14">
        <f>_xll.BDH("ALNY US Equity","EQY_DPS","FQ4 2023","FQ4 2023","Currency=USD","Period=FQ","BEST_FPERIOD_OVERRIDE=FQ","FILING_STATUS=MR","Sort=A","Dates=H","DateFormat=P","Fill=—","Direction=H","UseDPDF=Y")</f>
        <v>0</v>
      </c>
      <c r="V20" s="14">
        <f>_xll.BDH("ALNY US Equity","EQY_DPS","FQ1 2024","FQ1 2024","Currency=USD","Period=FQ","BEST_FPERIOD_OVERRIDE=FQ","FILING_STATUS=MR","Sort=A","Dates=H","DateFormat=P","Fill=—","Direction=H","UseDPDF=Y")</f>
        <v>0</v>
      </c>
      <c r="W20" s="14">
        <f>_xll.BDH("ALNY US Equity","EQY_DPS","FQ2 2024","FQ2 2024","Currency=USD","Period=FQ","BEST_FPERIOD_OVERRIDE=FQ","FILING_STATUS=MR","Sort=A","Dates=H","DateFormat=P","Fill=—","Direction=H","UseDPDF=Y")</f>
        <v>0</v>
      </c>
      <c r="X20" s="14">
        <f>_xll.BDH("ALNY US Equity","EQY_DPS","FQ3 2024","FQ3 2024","Currency=USD","Period=FQ","BEST_FPERIOD_OVERRIDE=FQ","FILING_STATUS=MR","Sort=A","Dates=H","DateFormat=P","Fill=—","Direction=H","UseDPDF=Y")</f>
        <v>0</v>
      </c>
      <c r="Y20" s="14">
        <f>_xll.BDH("ALNY US Equity","EQY_DPS","FQ4 2024","FQ4 2024","Currency=USD","Period=FQ","BEST_FPERIOD_OVERRIDE=FQ","FILING_STATUS=MR","Sort=A","Dates=H","DateFormat=P","Fill=—","Direction=H","UseDPDF=Y")</f>
        <v>0</v>
      </c>
      <c r="Z20" s="14"/>
      <c r="AA20" s="14"/>
    </row>
    <row r="21" spans="1:2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0" t="s">
        <v>264</v>
      </c>
      <c r="B22" s="10" t="s">
        <v>265</v>
      </c>
      <c r="C22" s="14">
        <f>_xll.BDH("ALNY US Equity","CASH_FLOW_PER_SH","FQ2 2019","FQ2 2019","Currency=USD","Period=FQ","BEST_FPERIOD_OVERRIDE=FQ","FILING_STATUS=MR","Sort=A","Dates=H","DateFormat=P","Fill=—","Direction=H","UseDPDF=Y")</f>
        <v>2.6589</v>
      </c>
      <c r="D22" s="14">
        <f>_xll.BDH("ALNY US Equity","CASH_FLOW_PER_SH","FQ3 2019","FQ3 2019","Currency=USD","Period=FQ","BEST_FPERIOD_OVERRIDE=FQ","FILING_STATUS=MR","Sort=A","Dates=H","DateFormat=P","Fill=—","Direction=H","UseDPDF=Y")</f>
        <v>-1.6800999999999999</v>
      </c>
      <c r="E22" s="14">
        <f>_xll.BDH("ALNY US Equity","CASH_FLOW_PER_SH","FQ4 2019","FQ4 2019","Currency=USD","Period=FQ","BEST_FPERIOD_OVERRIDE=FQ","FILING_STATUS=MR","Sort=A","Dates=H","DateFormat=P","Fill=—","Direction=H","UseDPDF=Y")</f>
        <v>-1.7537</v>
      </c>
      <c r="F22" s="14">
        <f>_xll.BDH("ALNY US Equity","CASH_FLOW_PER_SH","FQ1 2020","FQ1 2020","Currency=USD","Period=FQ","BEST_FPERIOD_OVERRIDE=FQ","FILING_STATUS=MR","Sort=A","Dates=H","DateFormat=P","Fill=—","Direction=H","UseDPDF=Y")</f>
        <v>-2.1833</v>
      </c>
      <c r="G22" s="14">
        <f>_xll.BDH("ALNY US Equity","CASH_FLOW_PER_SH","FQ2 2020","FQ2 2020","Currency=USD","Period=FQ","BEST_FPERIOD_OVERRIDE=FQ","FILING_STATUS=MR","Sort=A","Dates=H","DateFormat=P","Fill=—","Direction=H","UseDPDF=Y")</f>
        <v>-1.1777</v>
      </c>
      <c r="H22" s="14">
        <f>_xll.BDH("ALNY US Equity","CASH_FLOW_PER_SH","FQ3 2020","FQ3 2020","Currency=USD","Period=FQ","BEST_FPERIOD_OVERRIDE=FQ","FILING_STATUS=MR","Sort=A","Dates=H","DateFormat=P","Fill=—","Direction=H","UseDPDF=Y")</f>
        <v>-0.95120000000000005</v>
      </c>
      <c r="I22" s="14">
        <f>_xll.BDH("ALNY US Equity","CASH_FLOW_PER_SH","FQ4 2020","FQ4 2020","Currency=USD","Period=FQ","BEST_FPERIOD_OVERRIDE=FQ","FILING_STATUS=MR","Sort=A","Dates=H","DateFormat=P","Fill=—","Direction=H","UseDPDF=Y")</f>
        <v>-1.0590999999999999</v>
      </c>
      <c r="J22" s="14">
        <f>_xll.BDH("ALNY US Equity","CASH_FLOW_PER_SH","FQ1 2021","FQ1 2021","Currency=USD","Period=FQ","BEST_FPERIOD_OVERRIDE=FQ","FILING_STATUS=MR","Sort=A","Dates=H","DateFormat=P","Fill=—","Direction=H","UseDPDF=Y")</f>
        <v>-2.0127999999999999</v>
      </c>
      <c r="K22" s="14">
        <f>_xll.BDH("ALNY US Equity","CASH_FLOW_PER_SH","FQ2 2021","FQ2 2021","Currency=USD","Period=FQ","BEST_FPERIOD_OVERRIDE=FQ","FILING_STATUS=MR","Sort=A","Dates=H","DateFormat=P","Fill=—","Direction=H","UseDPDF=Y")</f>
        <v>-1.0347</v>
      </c>
      <c r="L22" s="14">
        <f>_xll.BDH("ALNY US Equity","CASH_FLOW_PER_SH","FQ3 2021","FQ3 2021","Currency=USD","Period=FQ","BEST_FPERIOD_OVERRIDE=FQ","FILING_STATUS=MR","Sort=A","Dates=H","DateFormat=P","Fill=—","Direction=H","UseDPDF=Y")</f>
        <v>-1.125</v>
      </c>
      <c r="M22" s="14">
        <f>_xll.BDH("ALNY US Equity","CASH_FLOW_PER_SH","FQ4 2021","FQ4 2021","Currency=USD","Period=FQ","BEST_FPERIOD_OVERRIDE=FQ","FILING_STATUS=MR","Sort=A","Dates=H","DateFormat=P","Fill=—","Direction=H","UseDPDF=Y")</f>
        <v>-1.2535000000000001</v>
      </c>
      <c r="N22" s="14">
        <f>_xll.BDH("ALNY US Equity","CASH_FLOW_PER_SH","FQ1 2022","FQ1 2022","Currency=USD","Period=FQ","BEST_FPERIOD_OVERRIDE=FQ","FILING_STATUS=MR","Sort=A","Dates=H","DateFormat=P","Fill=—","Direction=H","UseDPDF=Y")</f>
        <v>-1.4219999999999999</v>
      </c>
      <c r="O22" s="14">
        <f>_xll.BDH("ALNY US Equity","CASH_FLOW_PER_SH","FQ2 2022","FQ2 2022","Currency=USD","Period=FQ","BEST_FPERIOD_OVERRIDE=FQ","FILING_STATUS=MR","Sort=A","Dates=H","DateFormat=P","Fill=—","Direction=H","UseDPDF=Y")</f>
        <v>-1.0159</v>
      </c>
      <c r="P22" s="14">
        <f>_xll.BDH("ALNY US Equity","CASH_FLOW_PER_SH","FQ3 2022","FQ3 2022","Currency=USD","Period=FQ","BEST_FPERIOD_OVERRIDE=FQ","FILING_STATUS=MR","Sort=A","Dates=H","DateFormat=P","Fill=—","Direction=H","UseDPDF=Y")</f>
        <v>-0.94369999999999998</v>
      </c>
      <c r="Q22" s="14">
        <f>_xll.BDH("ALNY US Equity","CASH_FLOW_PER_SH","FQ4 2022","FQ4 2022","Currency=USD","Period=FQ","BEST_FPERIOD_OVERRIDE=FQ","FILING_STATUS=MR","Sort=A","Dates=H","DateFormat=P","Fill=—","Direction=H","UseDPDF=Y")</f>
        <v>-1.0707</v>
      </c>
      <c r="R22" s="14">
        <f>_xll.BDH("ALNY US Equity","CASH_FLOW_PER_SH","FQ1 2023","FQ1 2023","Currency=USD","Period=FQ","BEST_FPERIOD_OVERRIDE=FQ","FILING_STATUS=MR","Sort=A","Dates=H","DateFormat=P","Fill=—","Direction=H","UseDPDF=Y")</f>
        <v>-1.3412999999999999</v>
      </c>
      <c r="S22" s="14">
        <f>_xll.BDH("ALNY US Equity","CASH_FLOW_PER_SH","FQ2 2023","FQ2 2023","Currency=USD","Period=FQ","BEST_FPERIOD_OVERRIDE=FQ","FILING_STATUS=MR","Sort=A","Dates=H","DateFormat=P","Fill=—","Direction=H","UseDPDF=Y")</f>
        <v>-0.47320000000000001</v>
      </c>
      <c r="T22" s="14">
        <f>_xll.BDH("ALNY US Equity","CASH_FLOW_PER_SH","FQ3 2023","FQ3 2023","Currency=USD","Period=FQ","BEST_FPERIOD_OVERRIDE=FQ","FILING_STATUS=MR","Sort=A","Dates=H","DateFormat=P","Fill=—","Direction=H","UseDPDF=Y")</f>
        <v>2.8702000000000001</v>
      </c>
      <c r="U22" s="14">
        <f>_xll.BDH("ALNY US Equity","CASH_FLOW_PER_SH","FQ4 2023","FQ4 2023","Currency=USD","Period=FQ","BEST_FPERIOD_OVERRIDE=FQ","FILING_STATUS=MR","Sort=A","Dates=H","DateFormat=P","Fill=—","Direction=H","UseDPDF=Y")</f>
        <v>-0.23719999999999999</v>
      </c>
      <c r="V22" s="14">
        <f>_xll.BDH("ALNY US Equity","CASH_FLOW_PER_SH","FQ1 2024","FQ1 2024","Currency=USD","Period=FQ","BEST_FPERIOD_OVERRIDE=FQ","FILING_STATUS=MR","Sort=A","Dates=H","DateFormat=P","Fill=—","Direction=H","UseDPDF=Y")</f>
        <v>-0.6462</v>
      </c>
      <c r="W22" s="14">
        <f>_xll.BDH("ALNY US Equity","CASH_FLOW_PER_SH","FQ2 2024","FQ2 2024","Currency=USD","Period=FQ","BEST_FPERIOD_OVERRIDE=FQ","FILING_STATUS=MR","Sort=A","Dates=H","DateFormat=P","Fill=—","Direction=H","UseDPDF=Y")</f>
        <v>0.97970000000000002</v>
      </c>
      <c r="X22" s="14">
        <f>_xll.BDH("ALNY US Equity","CASH_FLOW_PER_SH","FQ3 2024","FQ3 2024","Currency=USD","Period=FQ","BEST_FPERIOD_OVERRIDE=FQ","FILING_STATUS=MR","Sort=A","Dates=H","DateFormat=P","Fill=—","Direction=H","UseDPDF=Y")</f>
        <v>0.33989999999999998</v>
      </c>
      <c r="Y22" s="14">
        <f>_xll.BDH("ALNY US Equity","CASH_FLOW_PER_SH","FQ4 2024","FQ4 2024","Currency=USD","Period=FQ","BEST_FPERIOD_OVERRIDE=FQ","FILING_STATUS=MR","Sort=A","Dates=H","DateFormat=P","Fill=—","Direction=H","UseDPDF=Y")</f>
        <v>-0.73319999999999996</v>
      </c>
      <c r="Z22" s="14">
        <v>20.443000000000001</v>
      </c>
      <c r="AA22" s="14">
        <v>16.288</v>
      </c>
    </row>
    <row r="23" spans="1:27" x14ac:dyDescent="0.25">
      <c r="A23" s="10" t="s">
        <v>88</v>
      </c>
      <c r="B23" s="10" t="s">
        <v>266</v>
      </c>
      <c r="C23" s="14">
        <f>_xll.BDH("ALNY US Equity","FREE_CASH_FLOW_PER_SH","FQ2 2019","FQ2 2019","Currency=USD","Period=FQ","BEST_FPERIOD_OVERRIDE=FQ","FILING_STATUS=MR","Sort=A","Dates=H","DateFormat=P","Fill=—","Direction=H","UseDPDF=Y")</f>
        <v>2.4632999999999998</v>
      </c>
      <c r="D23" s="14">
        <f>_xll.BDH("ALNY US Equity","FREE_CASH_FLOW_PER_SH","FQ3 2019","FQ3 2019","Currency=USD","Period=FQ","BEST_FPERIOD_OVERRIDE=FQ","FILING_STATUS=MR","Sort=A","Dates=H","DateFormat=P","Fill=—","Direction=H","UseDPDF=Y")</f>
        <v>-2.0118</v>
      </c>
      <c r="E23" s="14">
        <f>_xll.BDH("ALNY US Equity","FREE_CASH_FLOW_PER_SH","FQ4 2019","FQ4 2019","Currency=USD","Period=FQ","BEST_FPERIOD_OVERRIDE=FQ","FILING_STATUS=MR","Sort=A","Dates=H","DateFormat=P","Fill=—","Direction=H","UseDPDF=Y")</f>
        <v>-2.101</v>
      </c>
      <c r="F23" s="14">
        <f>_xll.BDH("ALNY US Equity","FREE_CASH_FLOW_PER_SH","FQ1 2020","FQ1 2020","Currency=USD","Period=FQ","BEST_FPERIOD_OVERRIDE=FQ","FILING_STATUS=MR","Sort=A","Dates=H","DateFormat=P","Fill=—","Direction=H","UseDPDF=Y")</f>
        <v>-2.3573</v>
      </c>
      <c r="G23" s="14">
        <f>_xll.BDH("ALNY US Equity","FREE_CASH_FLOW_PER_SH","FQ2 2020","FQ2 2020","Currency=USD","Period=FQ","BEST_FPERIOD_OVERRIDE=FQ","FILING_STATUS=MR","Sort=A","Dates=H","DateFormat=P","Fill=—","Direction=H","UseDPDF=Y")</f>
        <v>-1.3227</v>
      </c>
      <c r="H23" s="14">
        <f>_xll.BDH("ALNY US Equity","FREE_CASH_FLOW_PER_SH","FQ3 2020","FQ3 2020","Currency=USD","Period=FQ","BEST_FPERIOD_OVERRIDE=FQ","FILING_STATUS=MR","Sort=A","Dates=H","DateFormat=P","Fill=—","Direction=H","UseDPDF=Y")</f>
        <v>-1.0583</v>
      </c>
      <c r="I23" s="14">
        <f>_xll.BDH("ALNY US Equity","FREE_CASH_FLOW_PER_SH","FQ4 2020","FQ4 2020","Currency=USD","Period=FQ","BEST_FPERIOD_OVERRIDE=FQ","FILING_STATUS=MR","Sort=A","Dates=H","DateFormat=P","Fill=—","Direction=H","UseDPDF=Y")</f>
        <v>-1.2454000000000001</v>
      </c>
      <c r="J23" s="14">
        <f>_xll.BDH("ALNY US Equity","FREE_CASH_FLOW_PER_SH","FQ1 2021","FQ1 2021","Currency=USD","Period=FQ","BEST_FPERIOD_OVERRIDE=FQ","FILING_STATUS=MR","Sort=A","Dates=H","DateFormat=P","Fill=—","Direction=H","UseDPDF=Y")</f>
        <v>-2.1595</v>
      </c>
      <c r="K23" s="14">
        <f>_xll.BDH("ALNY US Equity","FREE_CASH_FLOW_PER_SH","FQ2 2021","FQ2 2021","Currency=USD","Period=FQ","BEST_FPERIOD_OVERRIDE=FQ","FILING_STATUS=MR","Sort=A","Dates=H","DateFormat=P","Fill=—","Direction=H","UseDPDF=Y")</f>
        <v>-1.1302000000000001</v>
      </c>
      <c r="L23" s="14">
        <f>_xll.BDH("ALNY US Equity","FREE_CASH_FLOW_PER_SH","FQ3 2021","FQ3 2021","Currency=USD","Period=FQ","BEST_FPERIOD_OVERRIDE=FQ","FILING_STATUS=MR","Sort=A","Dates=H","DateFormat=P","Fill=—","Direction=H","UseDPDF=Y")</f>
        <v>-1.3438000000000001</v>
      </c>
      <c r="M23" s="14">
        <f>_xll.BDH("ALNY US Equity","FREE_CASH_FLOW_PER_SH","FQ4 2021","FQ4 2021","Currency=USD","Period=FQ","BEST_FPERIOD_OVERRIDE=FQ","FILING_STATUS=MR","Sort=A","Dates=H","DateFormat=P","Fill=—","Direction=H","UseDPDF=Y")</f>
        <v>-1.4362999999999999</v>
      </c>
      <c r="N23" s="14">
        <f>_xll.BDH("ALNY US Equity","FREE_CASH_FLOW_PER_SH","FQ1 2022","FQ1 2022","Currency=USD","Period=FQ","BEST_FPERIOD_OVERRIDE=FQ","FILING_STATUS=MR","Sort=A","Dates=H","DateFormat=P","Fill=—","Direction=H","UseDPDF=Y")</f>
        <v>-1.5703</v>
      </c>
      <c r="O23" s="14">
        <f>_xll.BDH("ALNY US Equity","FREE_CASH_FLOW_PER_SH","FQ2 2022","FQ2 2022","Currency=USD","Period=FQ","BEST_FPERIOD_OVERRIDE=FQ","FILING_STATUS=MR","Sort=A","Dates=H","DateFormat=P","Fill=—","Direction=H","UseDPDF=Y")</f>
        <v>-1.1487000000000001</v>
      </c>
      <c r="P23" s="14">
        <f>_xll.BDH("ALNY US Equity","FREE_CASH_FLOW_PER_SH","FQ3 2022","FQ3 2022","Currency=USD","Period=FQ","BEST_FPERIOD_OVERRIDE=FQ","FILING_STATUS=MR","Sort=A","Dates=H","DateFormat=P","Fill=—","Direction=H","UseDPDF=Y")</f>
        <v>-1.0788</v>
      </c>
      <c r="Q23" s="14">
        <f>_xll.BDH("ALNY US Equity","FREE_CASH_FLOW_PER_SH","FQ4 2022","FQ4 2022","Currency=USD","Period=FQ","BEST_FPERIOD_OVERRIDE=FQ","FILING_STATUS=MR","Sort=A","Dates=H","DateFormat=P","Fill=—","Direction=H","UseDPDF=Y")</f>
        <v>-1.2462</v>
      </c>
      <c r="R23" s="14">
        <f>_xll.BDH("ALNY US Equity","FREE_CASH_FLOW_PER_SH","FQ1 2023","FQ1 2023","Currency=USD","Period=FQ","BEST_FPERIOD_OVERRIDE=FQ","FILING_STATUS=MR","Sort=A","Dates=H","DateFormat=P","Fill=—","Direction=H","UseDPDF=Y")</f>
        <v>-1.4533</v>
      </c>
      <c r="S23" s="14">
        <f>_xll.BDH("ALNY US Equity","FREE_CASH_FLOW_PER_SH","FQ2 2023","FQ2 2023","Currency=USD","Period=FQ","BEST_FPERIOD_OVERRIDE=FQ","FILING_STATUS=MR","Sort=A","Dates=H","DateFormat=P","Fill=—","Direction=H","UseDPDF=Y")</f>
        <v>-0.60089999999999999</v>
      </c>
      <c r="T23" s="14">
        <f>_xll.BDH("ALNY US Equity","FREE_CASH_FLOW_PER_SH","FQ3 2023","FQ3 2023","Currency=USD","Period=FQ","BEST_FPERIOD_OVERRIDE=FQ","FILING_STATUS=MR","Sort=A","Dates=H","DateFormat=P","Fill=—","Direction=H","UseDPDF=Y")</f>
        <v>2.7336999999999998</v>
      </c>
      <c r="U23" s="14">
        <f>_xll.BDH("ALNY US Equity","FREE_CASH_FLOW_PER_SH","FQ4 2023","FQ4 2023","Currency=USD","Period=FQ","BEST_FPERIOD_OVERRIDE=FQ","FILING_STATUS=MR","Sort=A","Dates=H","DateFormat=P","Fill=—","Direction=H","UseDPDF=Y")</f>
        <v>-0.35909999999999997</v>
      </c>
      <c r="V23" s="14">
        <f>_xll.BDH("ALNY US Equity","FREE_CASH_FLOW_PER_SH","FQ1 2024","FQ1 2024","Currency=USD","Period=FQ","BEST_FPERIOD_OVERRIDE=FQ","FILING_STATUS=MR","Sort=A","Dates=H","DateFormat=P","Fill=—","Direction=H","UseDPDF=Y")</f>
        <v>-0.74909999999999999</v>
      </c>
      <c r="W23" s="14">
        <f>_xll.BDH("ALNY US Equity","FREE_CASH_FLOW_PER_SH","FQ2 2024","FQ2 2024","Currency=USD","Period=FQ","BEST_FPERIOD_OVERRIDE=FQ","FILING_STATUS=MR","Sort=A","Dates=H","DateFormat=P","Fill=—","Direction=H","UseDPDF=Y")</f>
        <v>0.91639999999999999</v>
      </c>
      <c r="X23" s="14">
        <f>_xll.BDH("ALNY US Equity","FREE_CASH_FLOW_PER_SH","FQ3 2024","FQ3 2024","Currency=USD","Period=FQ","BEST_FPERIOD_OVERRIDE=FQ","FILING_STATUS=MR","Sort=A","Dates=H","DateFormat=P","Fill=—","Direction=H","UseDPDF=Y")</f>
        <v>0.30730000000000002</v>
      </c>
      <c r="Y23" s="14">
        <f>_xll.BDH("ALNY US Equity","FREE_CASH_FLOW_PER_SH","FQ4 2024","FQ4 2024","Currency=USD","Period=FQ","BEST_FPERIOD_OVERRIDE=FQ","FILING_STATUS=MR","Sort=A","Dates=H","DateFormat=P","Fill=—","Direction=H","UseDPDF=Y")</f>
        <v>-0.80359999999999998</v>
      </c>
      <c r="Z23" s="14"/>
      <c r="AA23" s="14"/>
    </row>
    <row r="24" spans="1:2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0" t="s">
        <v>3</v>
      </c>
      <c r="B25" s="10" t="s">
        <v>267</v>
      </c>
      <c r="C25" s="14">
        <f>_xll.BDH("ALNY US Equity","CASH_ST_INVESTMENTS_PER_SH","FQ2 2019","FQ2 2019","Currency=USD","Period=FQ","BEST_FPERIOD_OVERRIDE=FQ","FILING_STATUS=MR","Sort=A","Dates=H","DateFormat=P","Fill=—","Direction=H","UseDPDF=Y")</f>
        <v>17.341000000000001</v>
      </c>
      <c r="D25" s="14">
        <f>_xll.BDH("ALNY US Equity","CASH_ST_INVESTMENTS_PER_SH","FQ3 2019","FQ3 2019","Currency=USD","Period=FQ","BEST_FPERIOD_OVERRIDE=FQ","FILING_STATUS=MR","Sort=A","Dates=H","DateFormat=P","Fill=—","Direction=H","UseDPDF=Y")</f>
        <v>15.4598</v>
      </c>
      <c r="E25" s="14">
        <f>_xll.BDH("ALNY US Equity","CASH_ST_INVESTMENTS_PER_SH","FQ4 2019","FQ4 2019","Currency=USD","Period=FQ","BEST_FPERIOD_OVERRIDE=FQ","FILING_STATUS=MR","Sort=A","Dates=H","DateFormat=P","Fill=—","Direction=H","UseDPDF=Y")</f>
        <v>13.6927</v>
      </c>
      <c r="F25" s="14">
        <f>_xll.BDH("ALNY US Equity","CASH_ST_INVESTMENTS_PER_SH","FQ1 2020","FQ1 2020","Currency=USD","Period=FQ","BEST_FPERIOD_OVERRIDE=FQ","FILING_STATUS=MR","Sort=A","Dates=H","DateFormat=P","Fill=—","Direction=H","UseDPDF=Y")</f>
        <v>11.860300000000001</v>
      </c>
      <c r="G25" s="14">
        <f>_xll.BDH("ALNY US Equity","CASH_ST_INVESTMENTS_PER_SH","FQ2 2020","FQ2 2020","Currency=USD","Period=FQ","BEST_FPERIOD_OVERRIDE=FQ","FILING_STATUS=MR","Sort=A","Dates=H","DateFormat=P","Fill=—","Direction=H","UseDPDF=Y")</f>
        <v>16.650400000000001</v>
      </c>
      <c r="H25" s="14">
        <f>_xll.BDH("ALNY US Equity","CASH_ST_INVESTMENTS_PER_SH","FQ3 2020","FQ3 2020","Currency=USD","Period=FQ","BEST_FPERIOD_OVERRIDE=FQ","FILING_STATUS=MR","Sort=A","Dates=H","DateFormat=P","Fill=—","Direction=H","UseDPDF=Y")</f>
        <v>15.7898</v>
      </c>
      <c r="I25" s="14">
        <f>_xll.BDH("ALNY US Equity","CASH_ST_INVESTMENTS_PER_SH","FQ4 2020","FQ4 2020","Currency=USD","Period=FQ","BEST_FPERIOD_OVERRIDE=FQ","FILING_STATUS=MR","Sort=A","Dates=H","DateFormat=P","Fill=—","Direction=H","UseDPDF=Y")</f>
        <v>16.099299999999999</v>
      </c>
      <c r="J25" s="14">
        <f>_xll.BDH("ALNY US Equity","CASH_ST_INVESTMENTS_PER_SH","FQ1 2021","FQ1 2021","Currency=USD","Period=FQ","BEST_FPERIOD_OVERRIDE=FQ","FILING_STATUS=MR","Sort=A","Dates=H","DateFormat=P","Fill=—","Direction=H","UseDPDF=Y")</f>
        <v>14.571400000000001</v>
      </c>
      <c r="K25" s="14">
        <f>_xll.BDH("ALNY US Equity","CASH_ST_INVESTMENTS_PER_SH","FQ2 2021","FQ2 2021","Currency=USD","Period=FQ","BEST_FPERIOD_OVERRIDE=FQ","FILING_STATUS=MR","Sort=A","Dates=H","DateFormat=P","Fill=—","Direction=H","UseDPDF=Y")</f>
        <v>16.0215</v>
      </c>
      <c r="L25" s="14">
        <f>_xll.BDH("ALNY US Equity","CASH_ST_INVESTMENTS_PER_SH","FQ3 2021","FQ3 2021","Currency=USD","Period=FQ","BEST_FPERIOD_OVERRIDE=FQ","FILING_STATUS=MR","Sort=A","Dates=H","DateFormat=P","Fill=—","Direction=H","UseDPDF=Y")</f>
        <v>19.4833</v>
      </c>
      <c r="M25" s="14">
        <f>_xll.BDH("ALNY US Equity","CASH_ST_INVESTMENTS_PER_SH","FQ4 2021","FQ4 2021","Currency=USD","Period=FQ","BEST_FPERIOD_OVERRIDE=FQ","FILING_STATUS=MR","Sort=A","Dates=H","DateFormat=P","Fill=—","Direction=H","UseDPDF=Y")</f>
        <v>20.265599999999999</v>
      </c>
      <c r="N25" s="14">
        <f>_xll.BDH("ALNY US Equity","CASH_ST_INVESTMENTS_PER_SH","FQ1 2022","FQ1 2022","Currency=USD","Period=FQ","BEST_FPERIOD_OVERRIDE=FQ","FILING_STATUS=MR","Sort=A","Dates=H","DateFormat=P","Fill=—","Direction=H","UseDPDF=Y")</f>
        <v>18.5503</v>
      </c>
      <c r="O25" s="14">
        <f>_xll.BDH("ALNY US Equity","CASH_ST_INVESTMENTS_PER_SH","FQ2 2022","FQ2 2022","Currency=USD","Period=FQ","BEST_FPERIOD_OVERRIDE=FQ","FILING_STATUS=MR","Sort=A","Dates=H","DateFormat=P","Fill=—","Direction=H","UseDPDF=Y")</f>
        <v>17.444199999999999</v>
      </c>
      <c r="P25" s="14">
        <f>_xll.BDH("ALNY US Equity","CASH_ST_INVESTMENTS_PER_SH","FQ3 2022","FQ3 2022","Currency=USD","Period=FQ","BEST_FPERIOD_OVERRIDE=FQ","FILING_STATUS=MR","Sort=A","Dates=H","DateFormat=P","Fill=—","Direction=H","UseDPDF=Y")</f>
        <v>18.418700000000001</v>
      </c>
      <c r="Q25" s="14">
        <f>_xll.BDH("ALNY US Equity","CASH_ST_INVESTMENTS_PER_SH","FQ4 2022","FQ4 2022","Currency=USD","Period=FQ","BEST_FPERIOD_OVERRIDE=FQ","FILING_STATUS=MR","Sort=A","Dates=H","DateFormat=P","Fill=—","Direction=H","UseDPDF=Y")</f>
        <v>17.691400000000002</v>
      </c>
      <c r="R25" s="14">
        <f>_xll.BDH("ALNY US Equity","CASH_ST_INVESTMENTS_PER_SH","FQ1 2023","FQ1 2023","Currency=USD","Period=FQ","BEST_FPERIOD_OVERRIDE=FQ","FILING_STATUS=MR","Sort=A","Dates=H","DateFormat=P","Fill=—","Direction=H","UseDPDF=Y")</f>
        <v>16.666599999999999</v>
      </c>
      <c r="S25" s="14">
        <f>_xll.BDH("ALNY US Equity","CASH_ST_INVESTMENTS_PER_SH","FQ2 2023","FQ2 2023","Currency=USD","Period=FQ","BEST_FPERIOD_OVERRIDE=FQ","FILING_STATUS=MR","Sort=A","Dates=H","DateFormat=P","Fill=—","Direction=H","UseDPDF=Y")</f>
        <v>16.560600000000001</v>
      </c>
      <c r="T25" s="14">
        <f>_xll.BDH("ALNY US Equity","CASH_ST_INVESTMENTS_PER_SH","FQ3 2023","FQ3 2023","Currency=USD","Period=FQ","BEST_FPERIOD_OVERRIDE=FQ","FILING_STATUS=MR","Sort=A","Dates=H","DateFormat=P","Fill=—","Direction=H","UseDPDF=Y")</f>
        <v>19.180599999999998</v>
      </c>
      <c r="U25" s="14">
        <f>_xll.BDH("ALNY US Equity","CASH_ST_INVESTMENTS_PER_SH","FQ4 2023","FQ4 2023","Currency=USD","Period=FQ","BEST_FPERIOD_OVERRIDE=FQ","FILING_STATUS=MR","Sort=A","Dates=H","DateFormat=P","Fill=—","Direction=H","UseDPDF=Y")</f>
        <v>19.3919</v>
      </c>
      <c r="V25" s="14">
        <f>_xll.BDH("ALNY US Equity","CASH_ST_INVESTMENTS_PER_SH","FQ1 2024","FQ1 2024","Currency=USD","Period=FQ","BEST_FPERIOD_OVERRIDE=FQ","FILING_STATUS=MR","Sort=A","Dates=H","DateFormat=P","Fill=—","Direction=H","UseDPDF=Y")</f>
        <v>18.750800000000002</v>
      </c>
      <c r="W25" s="14">
        <f>_xll.BDH("ALNY US Equity","CASH_ST_INVESTMENTS_PER_SH","FQ2 2024","FQ2 2024","Currency=USD","Period=FQ","BEST_FPERIOD_OVERRIDE=FQ","FILING_STATUS=MR","Sort=A","Dates=H","DateFormat=P","Fill=—","Direction=H","UseDPDF=Y")</f>
        <v>20.5017</v>
      </c>
      <c r="X25" s="14">
        <f>_xll.BDH("ALNY US Equity","CASH_ST_INVESTMENTS_PER_SH","FQ3 2024","FQ3 2024","Currency=USD","Period=FQ","BEST_FPERIOD_OVERRIDE=FQ","FILING_STATUS=MR","Sort=A","Dates=H","DateFormat=P","Fill=—","Direction=H","UseDPDF=Y")</f>
        <v>21.578800000000001</v>
      </c>
      <c r="Y25" s="14">
        <f>_xll.BDH("ALNY US Equity","CASH_ST_INVESTMENTS_PER_SH","FQ4 2024","FQ4 2024","Currency=USD","Period=FQ","BEST_FPERIOD_OVERRIDE=FQ","FILING_STATUS=MR","Sort=A","Dates=H","DateFormat=P","Fill=—","Direction=H","UseDPDF=Y")</f>
        <v>20.8401</v>
      </c>
      <c r="Z25" s="14"/>
      <c r="AA25" s="14"/>
    </row>
    <row r="26" spans="1:27" x14ac:dyDescent="0.25">
      <c r="A26" s="10" t="s">
        <v>268</v>
      </c>
      <c r="B26" s="10" t="s">
        <v>269</v>
      </c>
      <c r="C26" s="14">
        <f>_xll.BDH("ALNY US Equity","BOOK_VAL_PER_SH","FQ2 2019","FQ2 2019","Currency=USD","Period=FQ","BEST_FPERIOD_OVERRIDE=FQ","FILING_STATUS=MR","Sort=A","Dates=H","DateFormat=P","Fill=—","Direction=H","UseDPDF=Y")</f>
        <v>15.814299999999999</v>
      </c>
      <c r="D26" s="14">
        <f>_xll.BDH("ALNY US Equity","BOOK_VAL_PER_SH","FQ3 2019","FQ3 2019","Currency=USD","Period=FQ","BEST_FPERIOD_OVERRIDE=FQ","FILING_STATUS=MR","Sort=A","Dates=H","DateFormat=P","Fill=—","Direction=H","UseDPDF=Y")</f>
        <v>14.436</v>
      </c>
      <c r="E26" s="14">
        <f>_xll.BDH("ALNY US Equity","BOOK_VAL_PER_SH","FQ4 2019","FQ4 2019","Currency=USD","Period=FQ","BEST_FPERIOD_OVERRIDE=FQ","FILING_STATUS=MR","Sort=A","Dates=H","DateFormat=P","Fill=—","Direction=H","UseDPDF=Y")</f>
        <v>12.8239</v>
      </c>
      <c r="F26" s="14">
        <f>_xll.BDH("ALNY US Equity","BOOK_VAL_PER_SH","FQ1 2020","FQ1 2020","Currency=USD","Period=FQ","BEST_FPERIOD_OVERRIDE=FQ","FILING_STATUS=MR","Sort=A","Dates=H","DateFormat=P","Fill=—","Direction=H","UseDPDF=Y")</f>
        <v>11.9268</v>
      </c>
      <c r="G26" s="14">
        <f>_xll.BDH("ALNY US Equity","BOOK_VAL_PER_SH","FQ2 2020","FQ2 2020","Currency=USD","Period=FQ","BEST_FPERIOD_OVERRIDE=FQ","FILING_STATUS=MR","Sort=A","Dates=H","DateFormat=P","Fill=—","Direction=H","UseDPDF=Y")</f>
        <v>12.103400000000001</v>
      </c>
      <c r="H26" s="14">
        <f>_xll.BDH("ALNY US Equity","BOOK_VAL_PER_SH","FQ3 2020","FQ3 2020","Currency=USD","Period=FQ","BEST_FPERIOD_OVERRIDE=FQ","FILING_STATUS=MR","Sort=A","Dates=H","DateFormat=P","Fill=—","Direction=H","UseDPDF=Y")</f>
        <v>10.461399999999999</v>
      </c>
      <c r="I26" s="14">
        <f>_xll.BDH("ALNY US Equity","BOOK_VAL_PER_SH","FQ4 2020","FQ4 2020","Currency=USD","Period=FQ","BEST_FPERIOD_OVERRIDE=FQ","FILING_STATUS=MR","Sort=A","Dates=H","DateFormat=P","Fill=—","Direction=H","UseDPDF=Y")</f>
        <v>8.7286000000000001</v>
      </c>
      <c r="J26" s="14">
        <f>_xll.BDH("ALNY US Equity","BOOK_VAL_PER_SH","FQ1 2021","FQ1 2021","Currency=USD","Period=FQ","BEST_FPERIOD_OVERRIDE=FQ","FILING_STATUS=MR","Sort=A","Dates=H","DateFormat=P","Fill=—","Direction=H","UseDPDF=Y")</f>
        <v>7.8944999999999999</v>
      </c>
      <c r="K26" s="14">
        <f>_xll.BDH("ALNY US Equity","BOOK_VAL_PER_SH","FQ2 2021","FQ2 2021","Currency=USD","Period=FQ","BEST_FPERIOD_OVERRIDE=FQ","FILING_STATUS=MR","Sort=A","Dates=H","DateFormat=P","Fill=—","Direction=H","UseDPDF=Y")</f>
        <v>7.1955</v>
      </c>
      <c r="L26" s="14">
        <f>_xll.BDH("ALNY US Equity","BOOK_VAL_PER_SH","FQ3 2021","FQ3 2021","Currency=USD","Period=FQ","BEST_FPERIOD_OVERRIDE=FQ","FILING_STATUS=MR","Sort=A","Dates=H","DateFormat=P","Fill=—","Direction=H","UseDPDF=Y")</f>
        <v>6.3265000000000002</v>
      </c>
      <c r="M26" s="14">
        <f>_xll.BDH("ALNY US Equity","BOOK_VAL_PER_SH","FQ4 2021","FQ4 2021","Currency=USD","Period=FQ","BEST_FPERIOD_OVERRIDE=FQ","FILING_STATUS=MR","Sort=A","Dates=H","DateFormat=P","Fill=—","Direction=H","UseDPDF=Y")</f>
        <v>4.8943000000000003</v>
      </c>
      <c r="N26" s="14">
        <f>_xll.BDH("ALNY US Equity","BOOK_VAL_PER_SH","FQ1 2022","FQ1 2022","Currency=USD","Period=FQ","BEST_FPERIOD_OVERRIDE=FQ","FILING_STATUS=MR","Sort=A","Dates=H","DateFormat=P","Fill=—","Direction=H","UseDPDF=Y")</f>
        <v>3.3229000000000002</v>
      </c>
      <c r="O26" s="14">
        <f>_xll.BDH("ALNY US Equity","BOOK_VAL_PER_SH","FQ2 2022","FQ2 2022","Currency=USD","Period=FQ","BEST_FPERIOD_OVERRIDE=FQ","FILING_STATUS=MR","Sort=A","Dates=H","DateFormat=P","Fill=—","Direction=H","UseDPDF=Y")</f>
        <v>1.4550000000000001</v>
      </c>
      <c r="P26" s="14">
        <f>_xll.BDH("ALNY US Equity","BOOK_VAL_PER_SH","FQ3 2022","FQ3 2022","Currency=USD","Period=FQ","BEST_FPERIOD_OVERRIDE=FQ","FILING_STATUS=MR","Sort=A","Dates=H","DateFormat=P","Fill=—","Direction=H","UseDPDF=Y")</f>
        <v>-0.54990000000000006</v>
      </c>
      <c r="Q26" s="14">
        <f>_xll.BDH("ALNY US Equity","BOOK_VAL_PER_SH","FQ4 2022","FQ4 2022","Currency=USD","Period=FQ","BEST_FPERIOD_OVERRIDE=FQ","FILING_STATUS=MR","Sort=A","Dates=H","DateFormat=P","Fill=—","Direction=H","UseDPDF=Y")</f>
        <v>-1.2767999999999999</v>
      </c>
      <c r="R26" s="14">
        <f>_xll.BDH("ALNY US Equity","BOOK_VAL_PER_SH","FQ1 2023","FQ1 2023","Currency=USD","Period=FQ","BEST_FPERIOD_OVERRIDE=FQ","FILING_STATUS=MR","Sort=A","Dates=H","DateFormat=P","Fill=—","Direction=H","UseDPDF=Y")</f>
        <v>-2.0865999999999998</v>
      </c>
      <c r="S26" s="14">
        <f>_xll.BDH("ALNY US Equity","BOOK_VAL_PER_SH","FQ2 2023","FQ2 2023","Currency=USD","Period=FQ","BEST_FPERIOD_OVERRIDE=FQ","FILING_STATUS=MR","Sort=A","Dates=H","DateFormat=P","Fill=—","Direction=H","UseDPDF=Y")</f>
        <v>-3.2850000000000001</v>
      </c>
      <c r="T26" s="14">
        <f>_xll.BDH("ALNY US Equity","BOOK_VAL_PER_SH","FQ3 2023","FQ3 2023","Currency=USD","Period=FQ","BEST_FPERIOD_OVERRIDE=FQ","FILING_STATUS=MR","Sort=A","Dates=H","DateFormat=P","Fill=—","Direction=H","UseDPDF=Y")</f>
        <v>-1.3221000000000001</v>
      </c>
      <c r="U26" s="14">
        <f>_xll.BDH("ALNY US Equity","BOOK_VAL_PER_SH","FQ4 2023","FQ4 2023","Currency=USD","Period=FQ","BEST_FPERIOD_OVERRIDE=FQ","FILING_STATUS=MR","Sort=A","Dates=H","DateFormat=P","Fill=—","Direction=H","UseDPDF=Y")</f>
        <v>-1.754</v>
      </c>
      <c r="V26" s="14">
        <f>_xll.BDH("ALNY US Equity","BOOK_VAL_PER_SH","FQ1 2024","FQ1 2024","Currency=USD","Period=FQ","BEST_FPERIOD_OVERRIDE=FQ","FILING_STATUS=MR","Sort=A","Dates=H","DateFormat=P","Fill=—","Direction=H","UseDPDF=Y")</f>
        <v>-1.7339</v>
      </c>
      <c r="W26" s="14">
        <f>_xll.BDH("ALNY US Equity","BOOK_VAL_PER_SH","FQ2 2024","FQ2 2024","Currency=USD","Period=FQ","BEST_FPERIOD_OVERRIDE=FQ","FILING_STATUS=MR","Sort=A","Dates=H","DateFormat=P","Fill=—","Direction=H","UseDPDF=Y")</f>
        <v>-2.4E-2</v>
      </c>
      <c r="X26" s="14">
        <f>_xll.BDH("ALNY US Equity","BOOK_VAL_PER_SH","FQ3 2024","FQ3 2024","Currency=USD","Period=FQ","BEST_FPERIOD_OVERRIDE=FQ","FILING_STATUS=MR","Sort=A","Dates=H","DateFormat=P","Fill=—","Direction=H","UseDPDF=Y")</f>
        <v>0.25109999999999999</v>
      </c>
      <c r="Y26" s="14">
        <f>_xll.BDH("ALNY US Equity","BOOK_VAL_PER_SH","FQ4 2024","FQ4 2024","Currency=USD","Period=FQ","BEST_FPERIOD_OVERRIDE=FQ","FILING_STATUS=MR","Sort=A","Dates=H","DateFormat=P","Fill=—","Direction=H","UseDPDF=Y")</f>
        <v>0.51890000000000003</v>
      </c>
      <c r="Z26" s="14"/>
      <c r="AA26" s="14"/>
    </row>
    <row r="27" spans="1:27" x14ac:dyDescent="0.25">
      <c r="A27" s="10" t="s">
        <v>270</v>
      </c>
      <c r="B27" s="10" t="s">
        <v>271</v>
      </c>
      <c r="C27" s="14">
        <f>_xll.BDH("ALNY US Equity","TANG_BOOK_VAL_PER_SH","FQ2 2019","FQ2 2019","Currency=USD","Period=FQ","BEST_FPERIOD_OVERRIDE=FQ","FILING_STATUS=MR","Sort=A","Dates=H","DateFormat=P","Fill=—","Direction=H","UseDPDF=Y")</f>
        <v>15.814299999999999</v>
      </c>
      <c r="D27" s="14">
        <f>_xll.BDH("ALNY US Equity","TANG_BOOK_VAL_PER_SH","FQ3 2019","FQ3 2019","Currency=USD","Period=FQ","BEST_FPERIOD_OVERRIDE=FQ","FILING_STATUS=MR","Sort=A","Dates=H","DateFormat=P","Fill=—","Direction=H","UseDPDF=Y")</f>
        <v>14.436</v>
      </c>
      <c r="E27" s="14">
        <f>_xll.BDH("ALNY US Equity","TANG_BOOK_VAL_PER_SH","FQ4 2019","FQ4 2019","Currency=USD","Period=FQ","BEST_FPERIOD_OVERRIDE=FQ","FILING_STATUS=MR","Sort=A","Dates=H","DateFormat=P","Fill=—","Direction=H","UseDPDF=Y")</f>
        <v>12.8239</v>
      </c>
      <c r="F27" s="14">
        <f>_xll.BDH("ALNY US Equity","TANG_BOOK_VAL_PER_SH","FQ1 2020","FQ1 2020","Currency=USD","Period=FQ","BEST_FPERIOD_OVERRIDE=FQ","FILING_STATUS=MR","Sort=A","Dates=H","DateFormat=P","Fill=—","Direction=H","UseDPDF=Y")</f>
        <v>11.9268</v>
      </c>
      <c r="G27" s="14">
        <f>_xll.BDH("ALNY US Equity","TANG_BOOK_VAL_PER_SH","FQ2 2020","FQ2 2020","Currency=USD","Period=FQ","BEST_FPERIOD_OVERRIDE=FQ","FILING_STATUS=MR","Sort=A","Dates=H","DateFormat=P","Fill=—","Direction=H","UseDPDF=Y")</f>
        <v>12.103400000000001</v>
      </c>
      <c r="H27" s="14">
        <f>_xll.BDH("ALNY US Equity","TANG_BOOK_VAL_PER_SH","FQ3 2020","FQ3 2020","Currency=USD","Period=FQ","BEST_FPERIOD_OVERRIDE=FQ","FILING_STATUS=MR","Sort=A","Dates=H","DateFormat=P","Fill=—","Direction=H","UseDPDF=Y")</f>
        <v>10.461399999999999</v>
      </c>
      <c r="I27" s="14">
        <f>_xll.BDH("ALNY US Equity","TANG_BOOK_VAL_PER_SH","FQ4 2020","FQ4 2020","Currency=USD","Period=FQ","BEST_FPERIOD_OVERRIDE=FQ","FILING_STATUS=MR","Sort=A","Dates=H","DateFormat=P","Fill=—","Direction=H","UseDPDF=Y")</f>
        <v>8.7286000000000001</v>
      </c>
      <c r="J27" s="14">
        <f>_xll.BDH("ALNY US Equity","TANG_BOOK_VAL_PER_SH","FQ1 2021","FQ1 2021","Currency=USD","Period=FQ","BEST_FPERIOD_OVERRIDE=FQ","FILING_STATUS=MR","Sort=A","Dates=H","DateFormat=P","Fill=—","Direction=H","UseDPDF=Y")</f>
        <v>7.8944999999999999</v>
      </c>
      <c r="K27" s="14">
        <f>_xll.BDH("ALNY US Equity","TANG_BOOK_VAL_PER_SH","FQ2 2021","FQ2 2021","Currency=USD","Period=FQ","BEST_FPERIOD_OVERRIDE=FQ","FILING_STATUS=MR","Sort=A","Dates=H","DateFormat=P","Fill=—","Direction=H","UseDPDF=Y")</f>
        <v>7.1955</v>
      </c>
      <c r="L27" s="14">
        <f>_xll.BDH("ALNY US Equity","TANG_BOOK_VAL_PER_SH","FQ3 2021","FQ3 2021","Currency=USD","Period=FQ","BEST_FPERIOD_OVERRIDE=FQ","FILING_STATUS=MR","Sort=A","Dates=H","DateFormat=P","Fill=—","Direction=H","UseDPDF=Y")</f>
        <v>6.3265000000000002</v>
      </c>
      <c r="M27" s="14">
        <f>_xll.BDH("ALNY US Equity","TANG_BOOK_VAL_PER_SH","FQ4 2021","FQ4 2021","Currency=USD","Period=FQ","BEST_FPERIOD_OVERRIDE=FQ","FILING_STATUS=MR","Sort=A","Dates=H","DateFormat=P","Fill=—","Direction=H","UseDPDF=Y")</f>
        <v>4.8943000000000003</v>
      </c>
      <c r="N27" s="14">
        <f>_xll.BDH("ALNY US Equity","TANG_BOOK_VAL_PER_SH","FQ1 2022","FQ1 2022","Currency=USD","Period=FQ","BEST_FPERIOD_OVERRIDE=FQ","FILING_STATUS=MR","Sort=A","Dates=H","DateFormat=P","Fill=—","Direction=H","UseDPDF=Y")</f>
        <v>3.3229000000000002</v>
      </c>
      <c r="O27" s="14">
        <f>_xll.BDH("ALNY US Equity","TANG_BOOK_VAL_PER_SH","FQ2 2022","FQ2 2022","Currency=USD","Period=FQ","BEST_FPERIOD_OVERRIDE=FQ","FILING_STATUS=MR","Sort=A","Dates=H","DateFormat=P","Fill=—","Direction=H","UseDPDF=Y")</f>
        <v>1.4550000000000001</v>
      </c>
      <c r="P27" s="14">
        <f>_xll.BDH("ALNY US Equity","TANG_BOOK_VAL_PER_SH","FQ3 2022","FQ3 2022","Currency=USD","Period=FQ","BEST_FPERIOD_OVERRIDE=FQ","FILING_STATUS=MR","Sort=A","Dates=H","DateFormat=P","Fill=—","Direction=H","UseDPDF=Y")</f>
        <v>-0.54990000000000006</v>
      </c>
      <c r="Q27" s="14">
        <f>_xll.BDH("ALNY US Equity","TANG_BOOK_VAL_PER_SH","FQ4 2022","FQ4 2022","Currency=USD","Period=FQ","BEST_FPERIOD_OVERRIDE=FQ","FILING_STATUS=MR","Sort=A","Dates=H","DateFormat=P","Fill=—","Direction=H","UseDPDF=Y")</f>
        <v>-1.2767999999999999</v>
      </c>
      <c r="R27" s="14">
        <f>_xll.BDH("ALNY US Equity","TANG_BOOK_VAL_PER_SH","FQ1 2023","FQ1 2023","Currency=USD","Period=FQ","BEST_FPERIOD_OVERRIDE=FQ","FILING_STATUS=MR","Sort=A","Dates=H","DateFormat=P","Fill=—","Direction=H","UseDPDF=Y")</f>
        <v>-2.0865999999999998</v>
      </c>
      <c r="S27" s="14">
        <f>_xll.BDH("ALNY US Equity","TANG_BOOK_VAL_PER_SH","FQ2 2023","FQ2 2023","Currency=USD","Period=FQ","BEST_FPERIOD_OVERRIDE=FQ","FILING_STATUS=MR","Sort=A","Dates=H","DateFormat=P","Fill=—","Direction=H","UseDPDF=Y")</f>
        <v>-3.2850000000000001</v>
      </c>
      <c r="T27" s="14">
        <f>_xll.BDH("ALNY US Equity","TANG_BOOK_VAL_PER_SH","FQ3 2023","FQ3 2023","Currency=USD","Period=FQ","BEST_FPERIOD_OVERRIDE=FQ","FILING_STATUS=MR","Sort=A","Dates=H","DateFormat=P","Fill=—","Direction=H","UseDPDF=Y")</f>
        <v>-1.3221000000000001</v>
      </c>
      <c r="U27" s="14">
        <f>_xll.BDH("ALNY US Equity","TANG_BOOK_VAL_PER_SH","FQ4 2023","FQ4 2023","Currency=USD","Period=FQ","BEST_FPERIOD_OVERRIDE=FQ","FILING_STATUS=MR","Sort=A","Dates=H","DateFormat=P","Fill=—","Direction=H","UseDPDF=Y")</f>
        <v>-1.754</v>
      </c>
      <c r="V27" s="14">
        <f>_xll.BDH("ALNY US Equity","TANG_BOOK_VAL_PER_SH","FQ1 2024","FQ1 2024","Currency=USD","Period=FQ","BEST_FPERIOD_OVERRIDE=FQ","FILING_STATUS=MR","Sort=A","Dates=H","DateFormat=P","Fill=—","Direction=H","UseDPDF=Y")</f>
        <v>-1.7339</v>
      </c>
      <c r="W27" s="14">
        <f>_xll.BDH("ALNY US Equity","TANG_BOOK_VAL_PER_SH","FQ2 2024","FQ2 2024","Currency=USD","Period=FQ","BEST_FPERIOD_OVERRIDE=FQ","FILING_STATUS=MR","Sort=A","Dates=H","DateFormat=P","Fill=—","Direction=H","UseDPDF=Y")</f>
        <v>-2.4E-2</v>
      </c>
      <c r="X27" s="14">
        <f>_xll.BDH("ALNY US Equity","TANG_BOOK_VAL_PER_SH","FQ3 2024","FQ3 2024","Currency=USD","Period=FQ","BEST_FPERIOD_OVERRIDE=FQ","FILING_STATUS=MR","Sort=A","Dates=H","DateFormat=P","Fill=—","Direction=H","UseDPDF=Y")</f>
        <v>0.25109999999999999</v>
      </c>
      <c r="Y27" s="14">
        <f>_xll.BDH("ALNY US Equity","TANG_BOOK_VAL_PER_SH","FQ4 2024","FQ4 2024","Currency=USD","Period=FQ","BEST_FPERIOD_OVERRIDE=FQ","FILING_STATUS=MR","Sort=A","Dates=H","DateFormat=P","Fill=—","Direction=H","UseDPDF=Y")</f>
        <v>0.51890000000000003</v>
      </c>
      <c r="Z27" s="14"/>
      <c r="AA27" s="14"/>
    </row>
    <row r="28" spans="1:27" x14ac:dyDescent="0.25">
      <c r="A28" s="7" t="s">
        <v>90</v>
      </c>
      <c r="B28" s="7"/>
      <c r="C28" s="7" t="s">
        <v>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272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94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164</v>
      </c>
    </row>
    <row r="5" spans="1:27" x14ac:dyDescent="0.25">
      <c r="A5" s="9" t="s">
        <v>34</v>
      </c>
      <c r="B5" s="9"/>
      <c r="C5" s="5" t="s">
        <v>96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165</v>
      </c>
    </row>
    <row r="6" spans="1:27" x14ac:dyDescent="0.25">
      <c r="A6" s="6" t="s">
        <v>273</v>
      </c>
      <c r="B6" s="6" t="s">
        <v>239</v>
      </c>
      <c r="C6" s="20">
        <f>_xll.BDH("ALNY US Equity","PX_LAST","FQ1 2019","FQ1 2019","Currency=USD","Period=FQ","BEST_FPERIOD_OVERRIDE=FQ","FILING_STATUS=MR","Sort=A","Dates=H","DateFormat=P","Fill=—","Direction=H","UseDPDF=Y")</f>
        <v>93.45</v>
      </c>
      <c r="D6" s="20">
        <f>_xll.BDH("ALNY US Equity","PX_LAST","FQ2 2019","FQ2 2019","Currency=USD","Period=FQ","BEST_FPERIOD_OVERRIDE=FQ","FILING_STATUS=MR","Sort=A","Dates=H","DateFormat=P","Fill=—","Direction=H","UseDPDF=Y")</f>
        <v>72.56</v>
      </c>
      <c r="E6" s="20">
        <f>_xll.BDH("ALNY US Equity","PX_LAST","FQ3 2019","FQ3 2019","Currency=USD","Period=FQ","BEST_FPERIOD_OVERRIDE=FQ","FILING_STATUS=MR","Sort=A","Dates=H","DateFormat=P","Fill=—","Direction=H","UseDPDF=Y")</f>
        <v>80.42</v>
      </c>
      <c r="F6" s="20">
        <f>_xll.BDH("ALNY US Equity","PX_LAST","FQ4 2019","FQ4 2019","Currency=USD","Period=FQ","BEST_FPERIOD_OVERRIDE=FQ","FILING_STATUS=MR","Sort=A","Dates=H","DateFormat=P","Fill=—","Direction=H","UseDPDF=Y")</f>
        <v>115.17</v>
      </c>
      <c r="G6" s="20">
        <f>_xll.BDH("ALNY US Equity","PX_LAST","FQ1 2020","FQ1 2020","Currency=USD","Period=FQ","BEST_FPERIOD_OVERRIDE=FQ","FILING_STATUS=MR","Sort=A","Dates=H","DateFormat=P","Fill=—","Direction=H","UseDPDF=Y")</f>
        <v>108.85</v>
      </c>
      <c r="H6" s="20">
        <f>_xll.BDH("ALNY US Equity","PX_LAST","FQ2 2020","FQ2 2020","Currency=USD","Period=FQ","BEST_FPERIOD_OVERRIDE=FQ","FILING_STATUS=MR","Sort=A","Dates=H","DateFormat=P","Fill=—","Direction=H","UseDPDF=Y")</f>
        <v>148.11000000000001</v>
      </c>
      <c r="I6" s="20">
        <f>_xll.BDH("ALNY US Equity","PX_LAST","FQ3 2020","FQ3 2020","Currency=USD","Period=FQ","BEST_FPERIOD_OVERRIDE=FQ","FILING_STATUS=MR","Sort=A","Dates=H","DateFormat=P","Fill=—","Direction=H","UseDPDF=Y")</f>
        <v>145.6</v>
      </c>
      <c r="J6" s="20">
        <f>_xll.BDH("ALNY US Equity","PX_LAST","FQ4 2020","FQ4 2020","Currency=USD","Period=FQ","BEST_FPERIOD_OVERRIDE=FQ","FILING_STATUS=MR","Sort=A","Dates=H","DateFormat=P","Fill=—","Direction=H","UseDPDF=Y")</f>
        <v>129.97</v>
      </c>
      <c r="K6" s="20">
        <f>_xll.BDH("ALNY US Equity","PX_LAST","FQ1 2021","FQ1 2021","Currency=USD","Period=FQ","BEST_FPERIOD_OVERRIDE=FQ","FILING_STATUS=MR","Sort=A","Dates=H","DateFormat=P","Fill=—","Direction=H","UseDPDF=Y")</f>
        <v>141.19</v>
      </c>
      <c r="L6" s="20">
        <f>_xll.BDH("ALNY US Equity","PX_LAST","FQ2 2021","FQ2 2021","Currency=USD","Period=FQ","BEST_FPERIOD_OVERRIDE=FQ","FILING_STATUS=MR","Sort=A","Dates=H","DateFormat=P","Fill=—","Direction=H","UseDPDF=Y")</f>
        <v>169.52</v>
      </c>
      <c r="M6" s="20">
        <f>_xll.BDH("ALNY US Equity","PX_LAST","FQ3 2021","FQ3 2021","Currency=USD","Period=FQ","BEST_FPERIOD_OVERRIDE=FQ","FILING_STATUS=MR","Sort=A","Dates=H","DateFormat=P","Fill=—","Direction=H","UseDPDF=Y")</f>
        <v>188.81</v>
      </c>
      <c r="N6" s="20">
        <f>_xll.BDH("ALNY US Equity","PX_LAST","FQ4 2021","FQ4 2021","Currency=USD","Period=FQ","BEST_FPERIOD_OVERRIDE=FQ","FILING_STATUS=MR","Sort=A","Dates=H","DateFormat=P","Fill=—","Direction=H","UseDPDF=Y")</f>
        <v>169.58</v>
      </c>
      <c r="O6" s="20">
        <f>_xll.BDH("ALNY US Equity","PX_LAST","FQ1 2022","FQ1 2022","Currency=USD","Period=FQ","BEST_FPERIOD_OVERRIDE=FQ","FILING_STATUS=MR","Sort=A","Dates=H","DateFormat=P","Fill=—","Direction=H","UseDPDF=Y")</f>
        <v>163.29</v>
      </c>
      <c r="P6" s="20">
        <f>_xll.BDH("ALNY US Equity","PX_LAST","FQ2 2022","FQ2 2022","Currency=USD","Period=FQ","BEST_FPERIOD_OVERRIDE=FQ","FILING_STATUS=MR","Sort=A","Dates=H","DateFormat=P","Fill=—","Direction=H","UseDPDF=Y")</f>
        <v>145.85</v>
      </c>
      <c r="Q6" s="20">
        <f>_xll.BDH("ALNY US Equity","PX_LAST","FQ3 2022","FQ3 2022","Currency=USD","Period=FQ","BEST_FPERIOD_OVERRIDE=FQ","FILING_STATUS=MR","Sort=A","Dates=H","DateFormat=P","Fill=—","Direction=H","UseDPDF=Y")</f>
        <v>200.16</v>
      </c>
      <c r="R6" s="20">
        <f>_xll.BDH("ALNY US Equity","PX_LAST","FQ4 2022","FQ4 2022","Currency=USD","Period=FQ","BEST_FPERIOD_OVERRIDE=FQ","FILING_STATUS=MR","Sort=A","Dates=H","DateFormat=P","Fill=—","Direction=H","UseDPDF=Y")</f>
        <v>237.65</v>
      </c>
      <c r="S6" s="20">
        <f>_xll.BDH("ALNY US Equity","PX_LAST","FQ1 2023","FQ1 2023","Currency=USD","Period=FQ","BEST_FPERIOD_OVERRIDE=FQ","FILING_STATUS=MR","Sort=A","Dates=H","DateFormat=P","Fill=—","Direction=H","UseDPDF=Y")</f>
        <v>200.32</v>
      </c>
      <c r="T6" s="20">
        <f>_xll.BDH("ALNY US Equity","PX_LAST","FQ2 2023","FQ2 2023","Currency=USD","Period=FQ","BEST_FPERIOD_OVERRIDE=FQ","FILING_STATUS=MR","Sort=A","Dates=H","DateFormat=P","Fill=—","Direction=H","UseDPDF=Y")</f>
        <v>189.94</v>
      </c>
      <c r="U6" s="20">
        <f>_xll.BDH("ALNY US Equity","PX_LAST","FQ3 2023","FQ3 2023","Currency=USD","Period=FQ","BEST_FPERIOD_OVERRIDE=FQ","FILING_STATUS=MR","Sort=A","Dates=H","DateFormat=P","Fill=—","Direction=H","UseDPDF=Y")</f>
        <v>177.1</v>
      </c>
      <c r="V6" s="20">
        <f>_xll.BDH("ALNY US Equity","PX_LAST","FQ4 2023","FQ4 2023","Currency=USD","Period=FQ","BEST_FPERIOD_OVERRIDE=FQ","FILING_STATUS=MR","Sort=A","Dates=H","DateFormat=P","Fill=—","Direction=H","UseDPDF=Y")</f>
        <v>191.41</v>
      </c>
      <c r="W6" s="20">
        <f>_xll.BDH("ALNY US Equity","PX_LAST","FQ1 2024","FQ1 2024","Currency=USD","Period=FQ","BEST_FPERIOD_OVERRIDE=FQ","FILING_STATUS=MR","Sort=A","Dates=H","DateFormat=P","Fill=—","Direction=H","UseDPDF=Y")</f>
        <v>149.44999999999999</v>
      </c>
      <c r="X6" s="20">
        <f>_xll.BDH("ALNY US Equity","PX_LAST","FQ2 2024","FQ2 2024","Currency=USD","Period=FQ","BEST_FPERIOD_OVERRIDE=FQ","FILING_STATUS=MR","Sort=A","Dates=H","DateFormat=P","Fill=—","Direction=H","UseDPDF=Y")</f>
        <v>243</v>
      </c>
      <c r="Y6" s="20">
        <f>_xll.BDH("ALNY US Equity","PX_LAST","FQ3 2024","FQ3 2024","Currency=USD","Period=FQ","BEST_FPERIOD_OVERRIDE=FQ","FILING_STATUS=MR","Sort=A","Dates=H","DateFormat=P","Fill=—","Direction=H","UseDPDF=Y")</f>
        <v>275.02999999999997</v>
      </c>
      <c r="Z6" s="20">
        <f>_xll.BDH("ALNY US Equity","PX_LAST","FQ4 2024","FQ4 2024","Currency=USD","Period=FQ","BEST_FPERIOD_OVERRIDE=FQ","FILING_STATUS=MR","Sort=A","Dates=H","DateFormat=P","Fill=—","Direction=H","UseDPDF=Y")</f>
        <v>235.31</v>
      </c>
      <c r="AA6" s="23">
        <v>268.39999389648398</v>
      </c>
    </row>
    <row r="7" spans="1:27" x14ac:dyDescent="0.25">
      <c r="A7" s="11" t="s">
        <v>274</v>
      </c>
      <c r="B7" s="11" t="s">
        <v>275</v>
      </c>
      <c r="C7" s="26">
        <f>_xll.BDH("ALNY US Equity","CHG_PCT_PERIOD","FQ1 2019","FQ1 2019","Currency=USD","Period=FQ","BEST_FPERIOD_OVERRIDE=FQ","FILING_STATUS=MR","Sort=A","Dates=H","DateFormat=P","Fill=—","Direction=H","UseDPDF=Y")</f>
        <v>28.171700000000001</v>
      </c>
      <c r="D7" s="26">
        <f>_xll.BDH("ALNY US Equity","CHG_PCT_PERIOD","FQ2 2019","FQ2 2019","Currency=USD","Period=FQ","BEST_FPERIOD_OVERRIDE=FQ","FILING_STATUS=MR","Sort=A","Dates=H","DateFormat=P","Fill=—","Direction=H","UseDPDF=Y")</f>
        <v>-22.354199999999999</v>
      </c>
      <c r="E7" s="26" t="str">
        <f>_xll.BDH("ALNY US Equity","CHG_PCT_PERIOD","FQ3 2019","FQ3 2019","Currency=USD","Period=FQ","BEST_FPERIOD_OVERRIDE=FQ","FILING_STATUS=MR","Sort=A","Dates=H","DateFormat=P","Fill=—","Direction=H","UseDPDF=Y")</f>
        <v>—</v>
      </c>
      <c r="F7" s="26">
        <f>_xll.BDH("ALNY US Equity","CHG_PCT_PERIOD","FQ4 2019","FQ4 2019","Currency=USD","Period=FQ","BEST_FPERIOD_OVERRIDE=FQ","FILING_STATUS=MR","Sort=A","Dates=H","DateFormat=P","Fill=—","Direction=H","UseDPDF=Y")</f>
        <v>43.210599999999999</v>
      </c>
      <c r="G7" s="26">
        <f>_xll.BDH("ALNY US Equity","CHG_PCT_PERIOD","FQ1 2020","FQ1 2020","Currency=USD","Period=FQ","BEST_FPERIOD_OVERRIDE=FQ","FILING_STATUS=MR","Sort=A","Dates=H","DateFormat=P","Fill=—","Direction=H","UseDPDF=Y")</f>
        <v>-5.4874999999999998</v>
      </c>
      <c r="H7" s="26">
        <f>_xll.BDH("ALNY US Equity","CHG_PCT_PERIOD","FQ2 2020","FQ2 2020","Currency=USD","Period=FQ","BEST_FPERIOD_OVERRIDE=FQ","FILING_STATUS=MR","Sort=A","Dates=H","DateFormat=P","Fill=—","Direction=H","UseDPDF=Y")</f>
        <v>36.067999999999998</v>
      </c>
      <c r="I7" s="26">
        <f>_xll.BDH("ALNY US Equity","CHG_PCT_PERIOD","FQ3 2020","FQ3 2020","Currency=USD","Period=FQ","BEST_FPERIOD_OVERRIDE=FQ","FILING_STATUS=MR","Sort=A","Dates=H","DateFormat=P","Fill=—","Direction=H","UseDPDF=Y")</f>
        <v>-1.6947000000000001</v>
      </c>
      <c r="J7" s="26">
        <f>_xll.BDH("ALNY US Equity","CHG_PCT_PERIOD","FQ4 2020","FQ4 2020","Currency=USD","Period=FQ","BEST_FPERIOD_OVERRIDE=FQ","FILING_STATUS=MR","Sort=A","Dates=H","DateFormat=P","Fill=—","Direction=H","UseDPDF=Y")</f>
        <v>-10.7349</v>
      </c>
      <c r="K7" s="26">
        <f>_xll.BDH("ALNY US Equity","CHG_PCT_PERIOD","FQ1 2021","FQ1 2021","Currency=USD","Period=FQ","BEST_FPERIOD_OVERRIDE=FQ","FILING_STATUS=MR","Sort=A","Dates=H","DateFormat=P","Fill=—","Direction=H","UseDPDF=Y")</f>
        <v>8.6327999999999996</v>
      </c>
      <c r="L7" s="26">
        <f>_xll.BDH("ALNY US Equity","CHG_PCT_PERIOD","FQ2 2021","FQ2 2021","Currency=USD","Period=FQ","BEST_FPERIOD_OVERRIDE=FQ","FILING_STATUS=MR","Sort=A","Dates=H","DateFormat=P","Fill=—","Direction=H","UseDPDF=Y")</f>
        <v>20.065200000000001</v>
      </c>
      <c r="M7" s="26">
        <f>_xll.BDH("ALNY US Equity","CHG_PCT_PERIOD","FQ3 2021","FQ3 2021","Currency=USD","Period=FQ","BEST_FPERIOD_OVERRIDE=FQ","FILING_STATUS=MR","Sort=A","Dates=H","DateFormat=P","Fill=—","Direction=H","UseDPDF=Y")</f>
        <v>11.379200000000001</v>
      </c>
      <c r="N7" s="26">
        <f>_xll.BDH("ALNY US Equity","CHG_PCT_PERIOD","FQ4 2021","FQ4 2021","Currency=USD","Period=FQ","BEST_FPERIOD_OVERRIDE=FQ","FILING_STATUS=MR","Sort=A","Dates=H","DateFormat=P","Fill=—","Direction=H","UseDPDF=Y")</f>
        <v>-10.184799999999999</v>
      </c>
      <c r="O7" s="26">
        <f>_xll.BDH("ALNY US Equity","CHG_PCT_PERIOD","FQ1 2022","FQ1 2022","Currency=USD","Period=FQ","BEST_FPERIOD_OVERRIDE=FQ","FILING_STATUS=MR","Sort=A","Dates=H","DateFormat=P","Fill=—","Direction=H","UseDPDF=Y")</f>
        <v>-3.7092000000000001</v>
      </c>
      <c r="P7" s="26">
        <f>_xll.BDH("ALNY US Equity","CHG_PCT_PERIOD","FQ2 2022","FQ2 2022","Currency=USD","Period=FQ","BEST_FPERIOD_OVERRIDE=FQ","FILING_STATUS=MR","Sort=A","Dates=H","DateFormat=P","Fill=—","Direction=H","UseDPDF=Y")</f>
        <v>-10.680400000000001</v>
      </c>
      <c r="Q7" s="26">
        <f>_xll.BDH("ALNY US Equity","CHG_PCT_PERIOD","FQ3 2022","FQ3 2022","Currency=USD","Period=FQ","BEST_FPERIOD_OVERRIDE=FQ","FILING_STATUS=MR","Sort=A","Dates=H","DateFormat=P","Fill=—","Direction=H","UseDPDF=Y")</f>
        <v>37.236899999999999</v>
      </c>
      <c r="R7" s="26">
        <f>_xll.BDH("ALNY US Equity","CHG_PCT_PERIOD","FQ4 2022","FQ4 2022","Currency=USD","Period=FQ","BEST_FPERIOD_OVERRIDE=FQ","FILING_STATUS=MR","Sort=A","Dates=H","DateFormat=P","Fill=—","Direction=H","UseDPDF=Y")</f>
        <v>18.73</v>
      </c>
      <c r="S7" s="26">
        <f>_xll.BDH("ALNY US Equity","CHG_PCT_PERIOD","FQ1 2023","FQ1 2023","Currency=USD","Period=FQ","BEST_FPERIOD_OVERRIDE=FQ","FILING_STATUS=MR","Sort=A","Dates=H","DateFormat=P","Fill=—","Direction=H","UseDPDF=Y")</f>
        <v>-15.708</v>
      </c>
      <c r="T7" s="26">
        <f>_xll.BDH("ALNY US Equity","CHG_PCT_PERIOD","FQ2 2023","FQ2 2023","Currency=USD","Period=FQ","BEST_FPERIOD_OVERRIDE=FQ","FILING_STATUS=MR","Sort=A","Dates=H","DateFormat=P","Fill=—","Direction=H","UseDPDF=Y")</f>
        <v>-5.1817000000000002</v>
      </c>
      <c r="U7" s="26">
        <f>_xll.BDH("ALNY US Equity","CHG_PCT_PERIOD","FQ3 2023","FQ3 2023","Currency=USD","Period=FQ","BEST_FPERIOD_OVERRIDE=FQ","FILING_STATUS=MR","Sort=A","Dates=H","DateFormat=P","Fill=—","Direction=H","UseDPDF=Y")</f>
        <v>-6.76</v>
      </c>
      <c r="V7" s="26">
        <f>_xll.BDH("ALNY US Equity","CHG_PCT_PERIOD","FQ4 2023","FQ4 2023","Currency=USD","Period=FQ","BEST_FPERIOD_OVERRIDE=FQ","FILING_STATUS=MR","Sort=A","Dates=H","DateFormat=P","Fill=—","Direction=H","UseDPDF=Y")</f>
        <v>8.0801999999999996</v>
      </c>
      <c r="W7" s="26">
        <f>_xll.BDH("ALNY US Equity","CHG_PCT_PERIOD","FQ1 2024","FQ1 2024","Currency=USD","Period=FQ","BEST_FPERIOD_OVERRIDE=FQ","FILING_STATUS=MR","Sort=A","Dates=H","DateFormat=P","Fill=—","Direction=H","UseDPDF=Y")</f>
        <v>-21.921500000000002</v>
      </c>
      <c r="X7" s="26" t="str">
        <f>_xll.BDH("ALNY US Equity","CHG_PCT_PERIOD","FQ2 2024","FQ2 2024","Currency=USD","Period=FQ","BEST_FPERIOD_OVERRIDE=FQ","FILING_STATUS=MR","Sort=A","Dates=H","DateFormat=P","Fill=—","Direction=H","UseDPDF=Y")</f>
        <v>—</v>
      </c>
      <c r="Y7" s="26" t="str">
        <f>_xll.BDH("ALNY US Equity","CHG_PCT_PERIOD","FQ3 2024","FQ3 2024","Currency=USD","Period=FQ","BEST_FPERIOD_OVERRIDE=FQ","FILING_STATUS=MR","Sort=A","Dates=H","DateFormat=P","Fill=—","Direction=H","UseDPDF=Y")</f>
        <v>—</v>
      </c>
      <c r="Z7" s="26">
        <f>_xll.BDH("ALNY US Equity","CHG_PCT_PERIOD","FQ4 2024","FQ4 2024","Currency=USD","Period=FQ","BEST_FPERIOD_OVERRIDE=FQ","FILING_STATUS=MR","Sort=A","Dates=H","DateFormat=P","Fill=—","Direction=H","UseDPDF=Y")</f>
        <v>-14.4421</v>
      </c>
      <c r="AA7" s="29"/>
    </row>
    <row r="8" spans="1:27" x14ac:dyDescent="0.25">
      <c r="A8" s="10" t="s">
        <v>276</v>
      </c>
      <c r="B8" s="10" t="s">
        <v>277</v>
      </c>
      <c r="C8" s="14">
        <f>_xll.BDH("ALNY US Equity","PX_OPEN","FQ1 2019","FQ1 2019","Currency=USD","Period=FQ","BEST_FPERIOD_OVERRIDE=FQ","FILING_STATUS=MR","Sort=A","Dates=H","DateFormat=P","Fill=—","Direction=H","UseDPDF=Y")</f>
        <v>71.3</v>
      </c>
      <c r="D8" s="14">
        <f>_xll.BDH("ALNY US Equity","PX_OPEN","FQ2 2019","FQ2 2019","Currency=USD","Period=FQ","BEST_FPERIOD_OVERRIDE=FQ","FILING_STATUS=MR","Sort=A","Dates=H","DateFormat=P","Fill=—","Direction=H","UseDPDF=Y")</f>
        <v>94.36</v>
      </c>
      <c r="E8" s="14">
        <f>_xll.BDH("ALNY US Equity","PX_OPEN","FQ3 2019","FQ3 2019","Currency=USD","Period=FQ","BEST_FPERIOD_OVERRIDE=FQ","FILING_STATUS=MR","Sort=A","Dates=H","DateFormat=P","Fill=—","Direction=H","UseDPDF=Y")</f>
        <v>73.69</v>
      </c>
      <c r="F8" s="14">
        <f>_xll.BDH("ALNY US Equity","PX_OPEN","FQ4 2019","FQ4 2019","Currency=USD","Period=FQ","BEST_FPERIOD_OVERRIDE=FQ","FILING_STATUS=MR","Sort=A","Dates=H","DateFormat=P","Fill=—","Direction=H","UseDPDF=Y")</f>
        <v>80.069999999999993</v>
      </c>
      <c r="G8" s="14">
        <f>_xll.BDH("ALNY US Equity","PX_OPEN","FQ1 2020","FQ1 2020","Currency=USD","Period=FQ","BEST_FPERIOD_OVERRIDE=FQ","FILING_STATUS=MR","Sort=A","Dates=H","DateFormat=P","Fill=—","Direction=H","UseDPDF=Y")</f>
        <v>115.57</v>
      </c>
      <c r="H8" s="14">
        <f>_xll.BDH("ALNY US Equity","PX_OPEN","FQ2 2020","FQ2 2020","Currency=USD","Period=FQ","BEST_FPERIOD_OVERRIDE=FQ","FILING_STATUS=MR","Sort=A","Dates=H","DateFormat=P","Fill=—","Direction=H","UseDPDF=Y")</f>
        <v>105.14</v>
      </c>
      <c r="I8" s="14">
        <f>_xll.BDH("ALNY US Equity","PX_OPEN","FQ3 2020","FQ3 2020","Currency=USD","Period=FQ","BEST_FPERIOD_OVERRIDE=FQ","FILING_STATUS=MR","Sort=A","Dates=H","DateFormat=P","Fill=—","Direction=H","UseDPDF=Y")</f>
        <v>148.53</v>
      </c>
      <c r="J8" s="14">
        <f>_xll.BDH("ALNY US Equity","PX_OPEN","FQ4 2020","FQ4 2020","Currency=USD","Period=FQ","BEST_FPERIOD_OVERRIDE=FQ","FILING_STATUS=MR","Sort=A","Dates=H","DateFormat=P","Fill=—","Direction=H","UseDPDF=Y")</f>
        <v>146.69999999999999</v>
      </c>
      <c r="K8" s="14">
        <f>_xll.BDH("ALNY US Equity","PX_OPEN","FQ1 2021","FQ1 2021","Currency=USD","Period=FQ","BEST_FPERIOD_OVERRIDE=FQ","FILING_STATUS=MR","Sort=A","Dates=H","DateFormat=P","Fill=—","Direction=H","UseDPDF=Y")</f>
        <v>130.69</v>
      </c>
      <c r="L8" s="14">
        <f>_xll.BDH("ALNY US Equity","PX_OPEN","FQ2 2021","FQ2 2021","Currency=USD","Period=FQ","BEST_FPERIOD_OVERRIDE=FQ","FILING_STATUS=MR","Sort=A","Dates=H","DateFormat=P","Fill=—","Direction=H","UseDPDF=Y")</f>
        <v>143.16999999999999</v>
      </c>
      <c r="M8" s="14">
        <f>_xll.BDH("ALNY US Equity","PX_OPEN","FQ3 2021","FQ3 2021","Currency=USD","Period=FQ","BEST_FPERIOD_OVERRIDE=FQ","FILING_STATUS=MR","Sort=A","Dates=H","DateFormat=P","Fill=—","Direction=H","UseDPDF=Y")</f>
        <v>169.7</v>
      </c>
      <c r="N8" s="14">
        <f>_xll.BDH("ALNY US Equity","PX_OPEN","FQ4 2021","FQ4 2021","Currency=USD","Period=FQ","BEST_FPERIOD_OVERRIDE=FQ","FILING_STATUS=MR","Sort=A","Dates=H","DateFormat=P","Fill=—","Direction=H","UseDPDF=Y")</f>
        <v>188.42</v>
      </c>
      <c r="O8" s="14">
        <f>_xll.BDH("ALNY US Equity","PX_OPEN","FQ1 2022","FQ1 2022","Currency=USD","Period=FQ","BEST_FPERIOD_OVERRIDE=FQ","FILING_STATUS=MR","Sort=A","Dates=H","DateFormat=P","Fill=—","Direction=H","UseDPDF=Y")</f>
        <v>171.06</v>
      </c>
      <c r="P8" s="14">
        <f>_xll.BDH("ALNY US Equity","PX_OPEN","FQ2 2022","FQ2 2022","Currency=USD","Period=FQ","BEST_FPERIOD_OVERRIDE=FQ","FILING_STATUS=MR","Sort=A","Dates=H","DateFormat=P","Fill=—","Direction=H","UseDPDF=Y")</f>
        <v>166.41</v>
      </c>
      <c r="Q8" s="14">
        <f>_xll.BDH("ALNY US Equity","PX_OPEN","FQ3 2022","FQ3 2022","Currency=USD","Period=FQ","BEST_FPERIOD_OVERRIDE=FQ","FILING_STATUS=MR","Sort=A","Dates=H","DateFormat=P","Fill=—","Direction=H","UseDPDF=Y")</f>
        <v>145</v>
      </c>
      <c r="R8" s="14">
        <f>_xll.BDH("ALNY US Equity","PX_OPEN","FQ4 2022","FQ4 2022","Currency=USD","Period=FQ","BEST_FPERIOD_OVERRIDE=FQ","FILING_STATUS=MR","Sort=A","Dates=H","DateFormat=P","Fill=—","Direction=H","UseDPDF=Y")</f>
        <v>205.1</v>
      </c>
      <c r="S8" s="14">
        <f>_xll.BDH("ALNY US Equity","PX_OPEN","FQ1 2023","FQ1 2023","Currency=USD","Period=FQ","BEST_FPERIOD_OVERRIDE=FQ","FILING_STATUS=MR","Sort=A","Dates=H","DateFormat=P","Fill=—","Direction=H","UseDPDF=Y")</f>
        <v>238</v>
      </c>
      <c r="T8" s="14">
        <f>_xll.BDH("ALNY US Equity","PX_OPEN","FQ2 2023","FQ2 2023","Currency=USD","Period=FQ","BEST_FPERIOD_OVERRIDE=FQ","FILING_STATUS=MR","Sort=A","Dates=H","DateFormat=P","Fill=—","Direction=H","UseDPDF=Y")</f>
        <v>198.6</v>
      </c>
      <c r="U8" s="14">
        <f>_xll.BDH("ALNY US Equity","PX_OPEN","FQ3 2023","FQ3 2023","Currency=USD","Period=FQ","BEST_FPERIOD_OVERRIDE=FQ","FILING_STATUS=MR","Sort=A","Dates=H","DateFormat=P","Fill=—","Direction=H","UseDPDF=Y")</f>
        <v>188.43</v>
      </c>
      <c r="V8" s="14">
        <f>_xll.BDH("ALNY US Equity","PX_OPEN","FQ4 2023","FQ4 2023","Currency=USD","Period=FQ","BEST_FPERIOD_OVERRIDE=FQ","FILING_STATUS=MR","Sort=A","Dates=H","DateFormat=P","Fill=—","Direction=H","UseDPDF=Y")</f>
        <v>177.31</v>
      </c>
      <c r="W8" s="14">
        <f>_xll.BDH("ALNY US Equity","PX_OPEN","FQ1 2024","FQ1 2024","Currency=USD","Period=FQ","BEST_FPERIOD_OVERRIDE=FQ","FILING_STATUS=MR","Sort=A","Dates=H","DateFormat=P","Fill=—","Direction=H","UseDPDF=Y")</f>
        <v>189.88</v>
      </c>
      <c r="X8" s="14">
        <f>_xll.BDH("ALNY US Equity","PX_OPEN","FQ2 2024","FQ2 2024","Currency=USD","Period=FQ","BEST_FPERIOD_OVERRIDE=FQ","FILING_STATUS=MR","Sort=A","Dates=H","DateFormat=P","Fill=—","Direction=H","UseDPDF=Y")</f>
        <v>148.57</v>
      </c>
      <c r="Y8" s="14">
        <f>_xll.BDH("ALNY US Equity","PX_OPEN","FQ3 2024","FQ3 2024","Currency=USD","Period=FQ","BEST_FPERIOD_OVERRIDE=FQ","FILING_STATUS=MR","Sort=A","Dates=H","DateFormat=P","Fill=—","Direction=H","UseDPDF=Y")</f>
        <v>240</v>
      </c>
      <c r="Z8" s="14">
        <f>_xll.BDH("ALNY US Equity","PX_OPEN","FQ4 2024","FQ4 2024","Currency=USD","Period=FQ","BEST_FPERIOD_OVERRIDE=FQ","FILING_STATUS=MR","Sort=A","Dates=H","DateFormat=P","Fill=—","Direction=H","UseDPDF=Y")</f>
        <v>274.88</v>
      </c>
      <c r="AA8" s="17">
        <v>270.510009765625</v>
      </c>
    </row>
    <row r="9" spans="1:27" x14ac:dyDescent="0.25">
      <c r="A9" s="10" t="s">
        <v>278</v>
      </c>
      <c r="B9" s="10" t="s">
        <v>240</v>
      </c>
      <c r="C9" s="14">
        <f>_xll.BDH("ALNY US Equity","PX_HIGH","FQ1 2019","FQ1 2019","Currency=USD","Period=FQ","BEST_FPERIOD_OVERRIDE=FQ","FILING_STATUS=MR","Sort=A","Dates=H","DateFormat=P","Fill=—","Direction=H","UseDPDF=Y")</f>
        <v>93.95</v>
      </c>
      <c r="D9" s="14">
        <f>_xll.BDH("ALNY US Equity","PX_HIGH","FQ2 2019","FQ2 2019","Currency=USD","Period=FQ","BEST_FPERIOD_OVERRIDE=FQ","FILING_STATUS=MR","Sort=A","Dates=H","DateFormat=P","Fill=—","Direction=H","UseDPDF=Y")</f>
        <v>96.08</v>
      </c>
      <c r="E9" s="14">
        <f>_xll.BDH("ALNY US Equity","PX_HIGH","FQ3 2019","FQ3 2019","Currency=USD","Period=FQ","BEST_FPERIOD_OVERRIDE=FQ","FILING_STATUS=MR","Sort=A","Dates=H","DateFormat=P","Fill=—","Direction=H","UseDPDF=Y")</f>
        <v>88</v>
      </c>
      <c r="F9" s="14">
        <f>_xll.BDH("ALNY US Equity","PX_HIGH","FQ4 2019","FQ4 2019","Currency=USD","Period=FQ","BEST_FPERIOD_OVERRIDE=FQ","FILING_STATUS=MR","Sort=A","Dates=H","DateFormat=P","Fill=—","Direction=H","UseDPDF=Y")</f>
        <v>125.72</v>
      </c>
      <c r="G9" s="14">
        <f>_xll.BDH("ALNY US Equity","PX_HIGH","FQ1 2020","FQ1 2020","Currency=USD","Period=FQ","BEST_FPERIOD_OVERRIDE=FQ","FILING_STATUS=MR","Sort=A","Dates=H","DateFormat=P","Fill=—","Direction=H","UseDPDF=Y")</f>
        <v>134.51</v>
      </c>
      <c r="H9" s="14">
        <f>_xll.BDH("ALNY US Equity","PX_HIGH","FQ2 2020","FQ2 2020","Currency=USD","Period=FQ","BEST_FPERIOD_OVERRIDE=FQ","FILING_STATUS=MR","Sort=A","Dates=H","DateFormat=P","Fill=—","Direction=H","UseDPDF=Y")</f>
        <v>158.37</v>
      </c>
      <c r="I9" s="14">
        <f>_xll.BDH("ALNY US Equity","PX_HIGH","FQ3 2020","FQ3 2020","Currency=USD","Period=FQ","BEST_FPERIOD_OVERRIDE=FQ","FILING_STATUS=MR","Sort=A","Dates=H","DateFormat=P","Fill=—","Direction=H","UseDPDF=Y")</f>
        <v>167.33</v>
      </c>
      <c r="J9" s="14">
        <f>_xll.BDH("ALNY US Equity","PX_HIGH","FQ4 2020","FQ4 2020","Currency=USD","Period=FQ","BEST_FPERIOD_OVERRIDE=FQ","FILING_STATUS=MR","Sort=A","Dates=H","DateFormat=P","Fill=—","Direction=H","UseDPDF=Y")</f>
        <v>148.76</v>
      </c>
      <c r="K9" s="14">
        <f>_xll.BDH("ALNY US Equity","PX_HIGH","FQ1 2021","FQ1 2021","Currency=USD","Period=FQ","BEST_FPERIOD_OVERRIDE=FQ","FILING_STATUS=MR","Sort=A","Dates=H","DateFormat=P","Fill=—","Direction=H","UseDPDF=Y")</f>
        <v>178.41</v>
      </c>
      <c r="L9" s="14">
        <f>_xll.BDH("ALNY US Equity","PX_HIGH","FQ2 2021","FQ2 2021","Currency=USD","Period=FQ","BEST_FPERIOD_OVERRIDE=FQ","FILING_STATUS=MR","Sort=A","Dates=H","DateFormat=P","Fill=—","Direction=H","UseDPDF=Y")</f>
        <v>177.53</v>
      </c>
      <c r="M9" s="14">
        <f>_xll.BDH("ALNY US Equity","PX_HIGH","FQ3 2021","FQ3 2021","Currency=USD","Period=FQ","BEST_FPERIOD_OVERRIDE=FQ","FILING_STATUS=MR","Sort=A","Dates=H","DateFormat=P","Fill=—","Direction=H","UseDPDF=Y")</f>
        <v>209.72499999999999</v>
      </c>
      <c r="N9" s="14">
        <f>_xll.BDH("ALNY US Equity","PX_HIGH","FQ4 2021","FQ4 2021","Currency=USD","Period=FQ","BEST_FPERIOD_OVERRIDE=FQ","FILING_STATUS=MR","Sort=A","Dates=H","DateFormat=P","Fill=—","Direction=H","UseDPDF=Y")</f>
        <v>212</v>
      </c>
      <c r="O9" s="14">
        <f>_xll.BDH("ALNY US Equity","PX_HIGH","FQ1 2022","FQ1 2022","Currency=USD","Period=FQ","BEST_FPERIOD_OVERRIDE=FQ","FILING_STATUS=MR","Sort=A","Dates=H","DateFormat=P","Fill=—","Direction=H","UseDPDF=Y")</f>
        <v>174.66</v>
      </c>
      <c r="P9" s="14">
        <f>_xll.BDH("ALNY US Equity","PX_HIGH","FQ2 2022","FQ2 2022","Currency=USD","Period=FQ","BEST_FPERIOD_OVERRIDE=FQ","FILING_STATUS=MR","Sort=A","Dates=H","DateFormat=P","Fill=—","Direction=H","UseDPDF=Y")</f>
        <v>180.35</v>
      </c>
      <c r="Q9" s="14">
        <f>_xll.BDH("ALNY US Equity","PX_HIGH","FQ3 2022","FQ3 2022","Currency=USD","Period=FQ","BEST_FPERIOD_OVERRIDE=FQ","FILING_STATUS=MR","Sort=A","Dates=H","DateFormat=P","Fill=—","Direction=H","UseDPDF=Y")</f>
        <v>236.8</v>
      </c>
      <c r="R9" s="14">
        <f>_xll.BDH("ALNY US Equity","PX_HIGH","FQ4 2022","FQ4 2022","Currency=USD","Period=FQ","BEST_FPERIOD_OVERRIDE=FQ","FILING_STATUS=MR","Sort=A","Dates=H","DateFormat=P","Fill=—","Direction=H","UseDPDF=Y")</f>
        <v>242.97</v>
      </c>
      <c r="S9" s="14">
        <f>_xll.BDH("ALNY US Equity","PX_HIGH","FQ1 2023","FQ1 2023","Currency=USD","Period=FQ","BEST_FPERIOD_OVERRIDE=FQ","FILING_STATUS=MR","Sort=A","Dates=H","DateFormat=P","Fill=—","Direction=H","UseDPDF=Y")</f>
        <v>242.39</v>
      </c>
      <c r="T9" s="14">
        <f>_xll.BDH("ALNY US Equity","PX_HIGH","FQ2 2023","FQ2 2023","Currency=USD","Period=FQ","BEST_FPERIOD_OVERRIDE=FQ","FILING_STATUS=MR","Sort=A","Dates=H","DateFormat=P","Fill=—","Direction=H","UseDPDF=Y")</f>
        <v>212.47</v>
      </c>
      <c r="U9" s="14">
        <f>_xll.BDH("ALNY US Equity","PX_HIGH","FQ3 2023","FQ3 2023","Currency=USD","Period=FQ","BEST_FPERIOD_OVERRIDE=FQ","FILING_STATUS=MR","Sort=A","Dates=H","DateFormat=P","Fill=—","Direction=H","UseDPDF=Y")</f>
        <v>218.88</v>
      </c>
      <c r="V9" s="14">
        <f>_xll.BDH("ALNY US Equity","PX_HIGH","FQ4 2023","FQ4 2023","Currency=USD","Period=FQ","BEST_FPERIOD_OVERRIDE=FQ","FILING_STATUS=MR","Sort=A","Dates=H","DateFormat=P","Fill=—","Direction=H","UseDPDF=Y")</f>
        <v>198</v>
      </c>
      <c r="W9" s="14">
        <f>_xll.BDH("ALNY US Equity","PX_HIGH","FQ1 2024","FQ1 2024","Currency=USD","Period=FQ","BEST_FPERIOD_OVERRIDE=FQ","FILING_STATUS=MR","Sort=A","Dates=H","DateFormat=P","Fill=—","Direction=H","UseDPDF=Y")</f>
        <v>199.38</v>
      </c>
      <c r="X9" s="14">
        <f>_xll.BDH("ALNY US Equity","PX_HIGH","FQ2 2024","FQ2 2024","Currency=USD","Period=FQ","BEST_FPERIOD_OVERRIDE=FQ","FILING_STATUS=MR","Sort=A","Dates=H","DateFormat=P","Fill=—","Direction=H","UseDPDF=Y")</f>
        <v>252.87</v>
      </c>
      <c r="Y9" s="14">
        <f>_xll.BDH("ALNY US Equity","PX_HIGH","FQ3 2024","FQ3 2024","Currency=USD","Period=FQ","BEST_FPERIOD_OVERRIDE=FQ","FILING_STATUS=MR","Sort=A","Dates=H","DateFormat=P","Fill=—","Direction=H","UseDPDF=Y")</f>
        <v>287.54989999999998</v>
      </c>
      <c r="Z9" s="14">
        <f>_xll.BDH("ALNY US Equity","PX_HIGH","FQ4 2024","FQ4 2024","Currency=USD","Period=FQ","BEST_FPERIOD_OVERRIDE=FQ","FILING_STATUS=MR","Sort=A","Dates=H","DateFormat=P","Fill=—","Direction=H","UseDPDF=Y")</f>
        <v>304.39</v>
      </c>
      <c r="AA9" s="17">
        <v>271.29998779296898</v>
      </c>
    </row>
    <row r="10" spans="1:27" x14ac:dyDescent="0.25">
      <c r="A10" s="10" t="s">
        <v>279</v>
      </c>
      <c r="B10" s="10" t="s">
        <v>241</v>
      </c>
      <c r="C10" s="14">
        <f>_xll.BDH("ALNY US Equity","PX_LOW","FQ1 2019","FQ1 2019","Currency=USD","Period=FQ","BEST_FPERIOD_OVERRIDE=FQ","FILING_STATUS=MR","Sort=A","Dates=H","DateFormat=P","Fill=—","Direction=H","UseDPDF=Y")</f>
        <v>70.290000000000006</v>
      </c>
      <c r="D10" s="14">
        <f>_xll.BDH("ALNY US Equity","PX_LOW","FQ2 2019","FQ2 2019","Currency=USD","Period=FQ","BEST_FPERIOD_OVERRIDE=FQ","FILING_STATUS=MR","Sort=A","Dates=H","DateFormat=P","Fill=—","Direction=H","UseDPDF=Y")</f>
        <v>65.81</v>
      </c>
      <c r="E10" s="14">
        <f>_xll.BDH("ALNY US Equity","PX_LOW","FQ3 2019","FQ3 2019","Currency=USD","Period=FQ","BEST_FPERIOD_OVERRIDE=FQ","FILING_STATUS=MR","Sort=A","Dates=H","DateFormat=P","Fill=—","Direction=H","UseDPDF=Y")</f>
        <v>69.11</v>
      </c>
      <c r="F10" s="14">
        <f>_xll.BDH("ALNY US Equity","PX_LOW","FQ4 2019","FQ4 2019","Currency=USD","Period=FQ","BEST_FPERIOD_OVERRIDE=FQ","FILING_STATUS=MR","Sort=A","Dates=H","DateFormat=P","Fill=—","Direction=H","UseDPDF=Y")</f>
        <v>73.319999999999993</v>
      </c>
      <c r="G10" s="14">
        <f>_xll.BDH("ALNY US Equity","PX_LOW","FQ1 2020","FQ1 2020","Currency=USD","Period=FQ","BEST_FPERIOD_OVERRIDE=FQ","FILING_STATUS=MR","Sort=A","Dates=H","DateFormat=P","Fill=—","Direction=H","UseDPDF=Y")</f>
        <v>84.97</v>
      </c>
      <c r="H10" s="14">
        <f>_xll.BDH("ALNY US Equity","PX_LOW","FQ2 2020","FQ2 2020","Currency=USD","Period=FQ","BEST_FPERIOD_OVERRIDE=FQ","FILING_STATUS=MR","Sort=A","Dates=H","DateFormat=P","Fill=—","Direction=H","UseDPDF=Y")</f>
        <v>98.01</v>
      </c>
      <c r="I10" s="14">
        <f>_xll.BDH("ALNY US Equity","PX_LOW","FQ3 2020","FQ3 2020","Currency=USD","Period=FQ","BEST_FPERIOD_OVERRIDE=FQ","FILING_STATUS=MR","Sort=A","Dates=H","DateFormat=P","Fill=—","Direction=H","UseDPDF=Y")</f>
        <v>119.67</v>
      </c>
      <c r="J10" s="14">
        <f>_xll.BDH("ALNY US Equity","PX_LOW","FQ4 2020","FQ4 2020","Currency=USD","Period=FQ","BEST_FPERIOD_OVERRIDE=FQ","FILING_STATUS=MR","Sort=A","Dates=H","DateFormat=P","Fill=—","Direction=H","UseDPDF=Y")</f>
        <v>119.29</v>
      </c>
      <c r="K10" s="14">
        <f>_xll.BDH("ALNY US Equity","PX_LOW","FQ1 2021","FQ1 2021","Currency=USD","Period=FQ","BEST_FPERIOD_OVERRIDE=FQ","FILING_STATUS=MR","Sort=A","Dates=H","DateFormat=P","Fill=—","Direction=H","UseDPDF=Y")</f>
        <v>124</v>
      </c>
      <c r="L10" s="14">
        <f>_xll.BDH("ALNY US Equity","PX_LOW","FQ2 2021","FQ2 2021","Currency=USD","Period=FQ","BEST_FPERIOD_OVERRIDE=FQ","FILING_STATUS=MR","Sort=A","Dates=H","DateFormat=P","Fill=—","Direction=H","UseDPDF=Y")</f>
        <v>125.08</v>
      </c>
      <c r="M10" s="14">
        <f>_xll.BDH("ALNY US Equity","PX_LOW","FQ3 2021","FQ3 2021","Currency=USD","Period=FQ","BEST_FPERIOD_OVERRIDE=FQ","FILING_STATUS=MR","Sort=A","Dates=H","DateFormat=P","Fill=—","Direction=H","UseDPDF=Y")</f>
        <v>166.155</v>
      </c>
      <c r="N10" s="14">
        <f>_xll.BDH("ALNY US Equity","PX_LOW","FQ4 2021","FQ4 2021","Currency=USD","Period=FQ","BEST_FPERIOD_OVERRIDE=FQ","FILING_STATUS=MR","Sort=A","Dates=H","DateFormat=P","Fill=—","Direction=H","UseDPDF=Y")</f>
        <v>154.82040000000001</v>
      </c>
      <c r="O10" s="14">
        <f>_xll.BDH("ALNY US Equity","PX_LOW","FQ1 2022","FQ1 2022","Currency=USD","Period=FQ","BEST_FPERIOD_OVERRIDE=FQ","FILING_STATUS=MR","Sort=A","Dates=H","DateFormat=P","Fill=—","Direction=H","UseDPDF=Y")</f>
        <v>125</v>
      </c>
      <c r="P10" s="14">
        <f>_xll.BDH("ALNY US Equity","PX_LOW","FQ2 2022","FQ2 2022","Currency=USD","Period=FQ","BEST_FPERIOD_OVERRIDE=FQ","FILING_STATUS=MR","Sort=A","Dates=H","DateFormat=P","Fill=—","Direction=H","UseDPDF=Y")</f>
        <v>117.58</v>
      </c>
      <c r="Q10" s="14">
        <f>_xll.BDH("ALNY US Equity","PX_LOW","FQ3 2022","FQ3 2022","Currency=USD","Period=FQ","BEST_FPERIOD_OVERRIDE=FQ","FILING_STATUS=MR","Sort=A","Dates=H","DateFormat=P","Fill=—","Direction=H","UseDPDF=Y")</f>
        <v>135.46</v>
      </c>
      <c r="R10" s="14">
        <f>_xll.BDH("ALNY US Equity","PX_LOW","FQ4 2022","FQ4 2022","Currency=USD","Period=FQ","BEST_FPERIOD_OVERRIDE=FQ","FILING_STATUS=MR","Sort=A","Dates=H","DateFormat=P","Fill=—","Direction=H","UseDPDF=Y")</f>
        <v>181.65</v>
      </c>
      <c r="S10" s="14">
        <f>_xll.BDH("ALNY US Equity","PX_LOW","FQ1 2023","FQ1 2023","Currency=USD","Period=FQ","BEST_FPERIOD_OVERRIDE=FQ","FILING_STATUS=MR","Sort=A","Dates=H","DateFormat=P","Fill=—","Direction=H","UseDPDF=Y")</f>
        <v>179.19</v>
      </c>
      <c r="T10" s="14">
        <f>_xll.BDH("ALNY US Equity","PX_LOW","FQ2 2023","FQ2 2023","Currency=USD","Period=FQ","BEST_FPERIOD_OVERRIDE=FQ","FILING_STATUS=MR","Sort=A","Dates=H","DateFormat=P","Fill=—","Direction=H","UseDPDF=Y")</f>
        <v>183</v>
      </c>
      <c r="U10" s="14">
        <f>_xll.BDH("ALNY US Equity","PX_LOW","FQ3 2023","FQ3 2023","Currency=USD","Period=FQ","BEST_FPERIOD_OVERRIDE=FQ","FILING_STATUS=MR","Sort=A","Dates=H","DateFormat=P","Fill=—","Direction=H","UseDPDF=Y")</f>
        <v>168.65</v>
      </c>
      <c r="V10" s="14">
        <f>_xll.BDH("ALNY US Equity","PX_LOW","FQ4 2023","FQ4 2023","Currency=USD","Period=FQ","BEST_FPERIOD_OVERRIDE=FQ","FILING_STATUS=MR","Sort=A","Dates=H","DateFormat=P","Fill=—","Direction=H","UseDPDF=Y")</f>
        <v>148.1</v>
      </c>
      <c r="W10" s="14">
        <f>_xll.BDH("ALNY US Equity","PX_LOW","FQ1 2024","FQ1 2024","Currency=USD","Period=FQ","BEST_FPERIOD_OVERRIDE=FQ","FILING_STATUS=MR","Sort=A","Dates=H","DateFormat=P","Fill=—","Direction=H","UseDPDF=Y")</f>
        <v>143.52000000000001</v>
      </c>
      <c r="X10" s="14">
        <f>_xll.BDH("ALNY US Equity","PX_LOW","FQ2 2024","FQ2 2024","Currency=USD","Period=FQ","BEST_FPERIOD_OVERRIDE=FQ","FILING_STATUS=MR","Sort=A","Dates=H","DateFormat=P","Fill=—","Direction=H","UseDPDF=Y")</f>
        <v>141.97499999999999</v>
      </c>
      <c r="Y10" s="14">
        <f>_xll.BDH("ALNY US Equity","PX_LOW","FQ3 2024","FQ3 2024","Currency=USD","Period=FQ","BEST_FPERIOD_OVERRIDE=FQ","FILING_STATUS=MR","Sort=A","Dates=H","DateFormat=P","Fill=—","Direction=H","UseDPDF=Y")</f>
        <v>231.01</v>
      </c>
      <c r="Z10" s="14">
        <f>_xll.BDH("ALNY US Equity","PX_LOW","FQ4 2024","FQ4 2024","Currency=USD","Period=FQ","BEST_FPERIOD_OVERRIDE=FQ","FILING_STATUS=MR","Sort=A","Dates=H","DateFormat=P","Fill=—","Direction=H","UseDPDF=Y")</f>
        <v>229.85499999999999</v>
      </c>
      <c r="AA10" s="17">
        <v>264.88000488281199</v>
      </c>
    </row>
    <row r="11" spans="1:27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1"/>
    </row>
    <row r="12" spans="1:27" x14ac:dyDescent="0.25">
      <c r="A12" s="6" t="s">
        <v>60</v>
      </c>
      <c r="B12" s="6" t="s">
        <v>61</v>
      </c>
      <c r="C12" s="19">
        <f>_xll.BDH("ALNY US Equity","HISTORICAL_MARKET_CAP","FQ1 2019","FQ1 2019","Currency=USD","Period=FQ","BEST_FPERIOD_OVERRIDE=FQ","FILING_STATUS=MR","SCALING_FORMAT=MLN","Sort=A","Dates=H","DateFormat=P","Fill=—","Direction=H","UseDPDF=Y")</f>
        <v>9943.08</v>
      </c>
      <c r="D12" s="19">
        <f>_xll.BDH("ALNY US Equity","HISTORICAL_MARKET_CAP","FQ2 2019","FQ2 2019","Currency=USD","Period=FQ","BEST_FPERIOD_OVERRIDE=FQ","FILING_STATUS=MR","SCALING_FORMAT=MLN","Sort=A","Dates=H","DateFormat=P","Fill=—","Direction=H","UseDPDF=Y")</f>
        <v>8062.4318000000003</v>
      </c>
      <c r="E12" s="19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F12" s="19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G12" s="19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H12" s="19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I12" s="19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J12" s="19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K12" s="19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L12" s="19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M12" s="19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N12" s="19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O12" s="19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P12" s="19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Q12" s="19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R12" s="19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S12" s="19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T12" s="19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U12" s="19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V12" s="19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W12" s="19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X12" s="19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Y12" s="19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Z12" s="19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AA12" s="22">
        <v>34914.775887199998</v>
      </c>
    </row>
    <row r="13" spans="1:27" x14ac:dyDescent="0.25">
      <c r="A13" s="10" t="s">
        <v>280</v>
      </c>
      <c r="B13" s="10" t="s">
        <v>281</v>
      </c>
      <c r="C13" s="14">
        <f>_xll.BDH("ALNY US Equity","EQY_SH_OUT","FQ1 2019","FQ1 2019","Currency=USD","Period=FQ","BEST_FPERIOD_OVERRIDE=FQ","FILING_STATUS=MR","Sort=A","Dates=H","DateFormat=P","Fill=—","Direction=H","UseDPDF=Y")</f>
        <v>106.30444</v>
      </c>
      <c r="D13" s="14">
        <f>_xll.BDH("ALNY US Equity","EQY_SH_OUT","FQ2 2019","FQ2 2019","Currency=USD","Period=FQ","BEST_FPERIOD_OVERRIDE=FQ","FILING_STATUS=MR","Sort=A","Dates=H","DateFormat=P","Fill=—","Direction=H","UseDPDF=Y")</f>
        <v>106.53677999999999</v>
      </c>
      <c r="E13" s="14">
        <f>_xll.BDH("ALNY US Equity","EQY_SH_OUT","FQ3 2019","FQ3 2019","Currency=USD","Period=FQ","BEST_FPERIOD_OVERRIDE=FQ","FILING_STATUS=MR","Sort=A","Dates=H","DateFormat=P","Fill=—","Direction=H","UseDPDF=Y")</f>
        <v>111.20765</v>
      </c>
      <c r="F13" s="14">
        <f>_xll.BDH("ALNY US Equity","EQY_SH_OUT","FQ4 2019","FQ4 2019","Currency=USD","Period=FQ","BEST_FPERIOD_OVERRIDE=FQ","FILING_STATUS=MR","Sort=A","Dates=H","DateFormat=P","Fill=—","Direction=H","UseDPDF=Y")</f>
        <v>111.48974</v>
      </c>
      <c r="G13" s="14">
        <f>_xll.BDH("ALNY US Equity","EQY_SH_OUT","FQ1 2020","FQ1 2020","Currency=USD","Period=FQ","BEST_FPERIOD_OVERRIDE=FQ","FILING_STATUS=MR","Sort=A","Dates=H","DateFormat=P","Fill=—","Direction=H","UseDPDF=Y")</f>
        <v>113.07238</v>
      </c>
      <c r="H13" s="14">
        <f>_xll.BDH("ALNY US Equity","EQY_SH_OUT","FQ2 2020","FQ2 2020","Currency=USD","Period=FQ","BEST_FPERIOD_OVERRIDE=FQ","FILING_STATUS=MR","Sort=A","Dates=H","DateFormat=P","Fill=—","Direction=H","UseDPDF=Y")</f>
        <v>114.81914999999999</v>
      </c>
      <c r="I13" s="14">
        <f>_xll.BDH("ALNY US Equity","EQY_SH_OUT","FQ3 2020","FQ3 2020","Currency=USD","Period=FQ","BEST_FPERIOD_OVERRIDE=FQ","FILING_STATUS=MR","Sort=A","Dates=H","DateFormat=P","Fill=—","Direction=H","UseDPDF=Y")</f>
        <v>115.96978</v>
      </c>
      <c r="J13" s="14">
        <f>_xll.BDH("ALNY US Equity","EQY_SH_OUT","FQ4 2020","FQ4 2020","Currency=USD","Period=FQ","BEST_FPERIOD_OVERRIDE=FQ","FILING_STATUS=MR","Sort=A","Dates=H","DateFormat=P","Fill=—","Direction=H","UseDPDF=Y")</f>
        <v>116.18077</v>
      </c>
      <c r="K13" s="14">
        <f>_xll.BDH("ALNY US Equity","EQY_SH_OUT","FQ1 2021","FQ1 2021","Currency=USD","Period=FQ","BEST_FPERIOD_OVERRIDE=FQ","FILING_STATUS=MR","Sort=A","Dates=H","DateFormat=P","Fill=—","Direction=H","UseDPDF=Y")</f>
        <v>117.00202</v>
      </c>
      <c r="L13" s="14">
        <f>_xll.BDH("ALNY US Equity","EQY_SH_OUT","FQ2 2021","FQ2 2021","Currency=USD","Period=FQ","BEST_FPERIOD_OVERRIDE=FQ","FILING_STATUS=MR","Sort=A","Dates=H","DateFormat=P","Fill=—","Direction=H","UseDPDF=Y")</f>
        <v>117.54504</v>
      </c>
      <c r="M13" s="14">
        <f>_xll.BDH("ALNY US Equity","EQY_SH_OUT","FQ3 2021","FQ3 2021","Currency=USD","Period=FQ","BEST_FPERIOD_OVERRIDE=FQ","FILING_STATUS=MR","Sort=A","Dates=H","DateFormat=P","Fill=—","Direction=H","UseDPDF=Y")</f>
        <v>118.84769</v>
      </c>
      <c r="N13" s="14">
        <f>_xll.BDH("ALNY US Equity","EQY_SH_OUT","FQ4 2021","FQ4 2021","Currency=USD","Period=FQ","BEST_FPERIOD_OVERRIDE=FQ","FILING_STATUS=MR","Sort=A","Dates=H","DateFormat=P","Fill=—","Direction=H","UseDPDF=Y")</f>
        <v>119.60118</v>
      </c>
      <c r="O13" s="14">
        <f>_xll.BDH("ALNY US Equity","EQY_SH_OUT","FQ1 2022","FQ1 2022","Currency=USD","Period=FQ","BEST_FPERIOD_OVERRIDE=FQ","FILING_STATUS=MR","Sort=A","Dates=H","DateFormat=P","Fill=—","Direction=H","UseDPDF=Y")</f>
        <v>120.2105</v>
      </c>
      <c r="P13" s="14">
        <f>_xll.BDH("ALNY US Equity","EQY_SH_OUT","FQ2 2022","FQ2 2022","Currency=USD","Period=FQ","BEST_FPERIOD_OVERRIDE=FQ","FILING_STATUS=MR","Sort=A","Dates=H","DateFormat=P","Fill=—","Direction=H","UseDPDF=Y")</f>
        <v>120.81356</v>
      </c>
      <c r="Q13" s="14">
        <f>_xll.BDH("ALNY US Equity","EQY_SH_OUT","FQ3 2022","FQ3 2022","Currency=USD","Period=FQ","BEST_FPERIOD_OVERRIDE=FQ","FILING_STATUS=MR","Sort=A","Dates=H","DateFormat=P","Fill=—","Direction=H","UseDPDF=Y")</f>
        <v>120.02656</v>
      </c>
      <c r="R13" s="14">
        <f>_xll.BDH("ALNY US Equity","EQY_SH_OUT","FQ4 2022","FQ4 2022","Currency=USD","Period=FQ","BEST_FPERIOD_OVERRIDE=FQ","FILING_STATUS=MR","Sort=A","Dates=H","DateFormat=P","Fill=—","Direction=H","UseDPDF=Y")</f>
        <v>123.02822999999999</v>
      </c>
      <c r="S13" s="14">
        <f>_xll.BDH("ALNY US Equity","EQY_SH_OUT","FQ1 2023","FQ1 2023","Currency=USD","Period=FQ","BEST_FPERIOD_OVERRIDE=FQ","FILING_STATUS=MR","Sort=A","Dates=H","DateFormat=P","Fill=—","Direction=H","UseDPDF=Y")</f>
        <v>124.13099</v>
      </c>
      <c r="T13" s="14">
        <f>_xll.BDH("ALNY US Equity","EQY_SH_OUT","FQ2 2023","FQ2 2023","Currency=USD","Period=FQ","BEST_FPERIOD_OVERRIDE=FQ","FILING_STATUS=MR","Sort=A","Dates=H","DateFormat=P","Fill=—","Direction=H","UseDPDF=Y")</f>
        <v>124.52574</v>
      </c>
      <c r="U13" s="14">
        <f>_xll.BDH("ALNY US Equity","EQY_SH_OUT","FQ3 2023","FQ3 2023","Currency=USD","Period=FQ","BEST_FPERIOD_OVERRIDE=FQ","FILING_STATUS=MR","Sort=A","Dates=H","DateFormat=P","Fill=—","Direction=H","UseDPDF=Y")</f>
        <v>125.00064999999999</v>
      </c>
      <c r="V13" s="14">
        <f>_xll.BDH("ALNY US Equity","EQY_SH_OUT","FQ4 2023","FQ4 2023","Currency=USD","Period=FQ","BEST_FPERIOD_OVERRIDE=FQ","FILING_STATUS=MR","Sort=A","Dates=H","DateFormat=P","Fill=—","Direction=H","UseDPDF=Y")</f>
        <v>125.49293</v>
      </c>
      <c r="W13" s="14">
        <f>_xll.BDH("ALNY US Equity","EQY_SH_OUT","FQ1 2024","FQ1 2024","Currency=USD","Period=FQ","BEST_FPERIOD_OVERRIDE=FQ","FILING_STATUS=MR","Sort=A","Dates=H","DateFormat=P","Fill=—","Direction=H","UseDPDF=Y")</f>
        <v>125.94579</v>
      </c>
      <c r="X13" s="14">
        <f>_xll.BDH("ALNY US Equity","EQY_SH_OUT","FQ2 2024","FQ2 2024","Currency=USD","Period=FQ","BEST_FPERIOD_OVERRIDE=FQ","FILING_STATUS=MR","Sort=A","Dates=H","DateFormat=P","Fill=—","Direction=H","UseDPDF=Y")</f>
        <v>126.49178000000001</v>
      </c>
      <c r="Y13" s="14">
        <f>_xll.BDH("ALNY US Equity","EQY_SH_OUT","FQ3 2024","FQ3 2024","Currency=USD","Period=FQ","BEST_FPERIOD_OVERRIDE=FQ","FILING_STATUS=MR","Sort=A","Dates=H","DateFormat=P","Fill=—","Direction=H","UseDPDF=Y")</f>
        <v>128.38050999999999</v>
      </c>
      <c r="Z13" s="14">
        <f>_xll.BDH("ALNY US Equity","EQY_SH_OUT","FQ4 2024","FQ4 2024","Currency=USD","Period=FQ","BEST_FPERIOD_OVERRIDE=FQ","FILING_STATUS=MR","Sort=A","Dates=H","DateFormat=P","Fill=—","Direction=H","UseDPDF=Y")</f>
        <v>128.98092</v>
      </c>
      <c r="AA13" s="17">
        <v>130.0849</v>
      </c>
    </row>
    <row r="14" spans="1:27" x14ac:dyDescent="0.25">
      <c r="A14" s="10" t="s">
        <v>282</v>
      </c>
      <c r="B14" s="10" t="s">
        <v>283</v>
      </c>
      <c r="C14" s="14">
        <f>_xll.BDH("ALNY US Equity","EQY_FLOAT","FQ1 2019","FQ1 2019","Currency=USD","Period=FQ","BEST_FPERIOD_OVERRIDE=FQ","FILING_STATUS=MR","Sort=A","Dates=H","DateFormat=P","Fill=—","Direction=H","UseDPDF=Y")</f>
        <v>94.838999999999999</v>
      </c>
      <c r="D14" s="14">
        <f>_xll.BDH("ALNY US Equity","EQY_FLOAT","FQ2 2019","FQ2 2019","Currency=USD","Period=FQ","BEST_FPERIOD_OVERRIDE=FQ","FILING_STATUS=MR","Sort=A","Dates=H","DateFormat=P","Fill=—","Direction=H","UseDPDF=Y")</f>
        <v>105.625</v>
      </c>
      <c r="E14" s="14">
        <f>_xll.BDH("ALNY US Equity","EQY_FLOAT","FQ3 2019","FQ3 2019","Currency=USD","Period=FQ","BEST_FPERIOD_OVERRIDE=FQ","FILING_STATUS=MR","Sort=A","Dates=H","DateFormat=P","Fill=—","Direction=H","UseDPDF=Y")</f>
        <v>110.29900000000001</v>
      </c>
      <c r="F14" s="14">
        <f>_xll.BDH("ALNY US Equity","EQY_FLOAT","FQ4 2019","FQ4 2019","Currency=USD","Period=FQ","BEST_FPERIOD_OVERRIDE=FQ","FILING_STATUS=MR","Sort=A","Dates=H","DateFormat=P","Fill=—","Direction=H","UseDPDF=Y")</f>
        <v>110.577</v>
      </c>
      <c r="G14" s="14">
        <f>_xll.BDH("ALNY US Equity","EQY_FLOAT","FQ1 2020","FQ1 2020","Currency=USD","Period=FQ","BEST_FPERIOD_OVERRIDE=FQ","FILING_STATUS=MR","Sort=A","Dates=H","DateFormat=P","Fill=—","Direction=H","UseDPDF=Y")</f>
        <v>112.167</v>
      </c>
      <c r="H14" s="14">
        <f>_xll.BDH("ALNY US Equity","EQY_FLOAT","FQ2 2020","FQ2 2020","Currency=USD","Period=FQ","BEST_FPERIOD_OVERRIDE=FQ","FILING_STATUS=MR","Sort=A","Dates=H","DateFormat=P","Fill=—","Direction=H","UseDPDF=Y")</f>
        <v>113.904</v>
      </c>
      <c r="I14" s="14">
        <f>_xll.BDH("ALNY US Equity","EQY_FLOAT","FQ3 2020","FQ3 2020","Currency=USD","Period=FQ","BEST_FPERIOD_OVERRIDE=FQ","FILING_STATUS=MR","Sort=A","Dates=H","DateFormat=P","Fill=—","Direction=H","UseDPDF=Y")</f>
        <v>115.062</v>
      </c>
      <c r="J14" s="14">
        <f>_xll.BDH("ALNY US Equity","EQY_FLOAT","FQ4 2020","FQ4 2020","Currency=USD","Period=FQ","BEST_FPERIOD_OVERRIDE=FQ","FILING_STATUS=MR","Sort=A","Dates=H","DateFormat=P","Fill=—","Direction=H","UseDPDF=Y")</f>
        <v>115.273</v>
      </c>
      <c r="K14" s="14">
        <f>_xll.BDH("ALNY US Equity","EQY_FLOAT","FQ1 2021","FQ1 2021","Currency=USD","Period=FQ","BEST_FPERIOD_OVERRIDE=FQ","FILING_STATUS=MR","Sort=A","Dates=H","DateFormat=P","Fill=—","Direction=H","UseDPDF=Y")</f>
        <v>116.077</v>
      </c>
      <c r="L14" s="14">
        <f>_xll.BDH("ALNY US Equity","EQY_FLOAT","FQ2 2021","FQ2 2021","Currency=USD","Period=FQ","BEST_FPERIOD_OVERRIDE=FQ","FILING_STATUS=MR","Sort=A","Dates=H","DateFormat=P","Fill=—","Direction=H","UseDPDF=Y")</f>
        <v>116.611</v>
      </c>
      <c r="M14" s="14">
        <f>_xll.BDH("ALNY US Equity","EQY_FLOAT","FQ3 2021","FQ3 2021","Currency=USD","Period=FQ","BEST_FPERIOD_OVERRIDE=FQ","FILING_STATUS=MR","Sort=A","Dates=H","DateFormat=P","Fill=—","Direction=H","UseDPDF=Y")</f>
        <v>118.295</v>
      </c>
      <c r="N14" s="14">
        <f>_xll.BDH("ALNY US Equity","EQY_FLOAT","FQ4 2021","FQ4 2021","Currency=USD","Period=FQ","BEST_FPERIOD_OVERRIDE=FQ","FILING_STATUS=MR","Sort=A","Dates=H","DateFormat=P","Fill=—","Direction=H","UseDPDF=Y")</f>
        <v>119.032</v>
      </c>
      <c r="O14" s="14">
        <f>_xll.BDH("ALNY US Equity","EQY_FLOAT","FQ1 2022","FQ1 2022","Currency=USD","Period=FQ","BEST_FPERIOD_OVERRIDE=FQ","FILING_STATUS=MR","Sort=A","Dates=H","DateFormat=P","Fill=—","Direction=H","UseDPDF=Y")</f>
        <v>119.626</v>
      </c>
      <c r="P14" s="14">
        <f>_xll.BDH("ALNY US Equity","EQY_FLOAT","FQ2 2022","FQ2 2022","Currency=USD","Period=FQ","BEST_FPERIOD_OVERRIDE=FQ","FILING_STATUS=MR","Sort=A","Dates=H","DateFormat=P","Fill=—","Direction=H","UseDPDF=Y")</f>
        <v>120.229</v>
      </c>
      <c r="Q14" s="14">
        <f>_xll.BDH("ALNY US Equity","EQY_FLOAT","FQ3 2022","FQ3 2022","Currency=USD","Period=FQ","BEST_FPERIOD_OVERRIDE=FQ","FILING_STATUS=MR","Sort=A","Dates=H","DateFormat=P","Fill=—","Direction=H","UseDPDF=Y")</f>
        <v>119.417</v>
      </c>
      <c r="R14" s="14">
        <f>_xll.BDH("ALNY US Equity","EQY_FLOAT","FQ4 2022","FQ4 2022","Currency=USD","Period=FQ","BEST_FPERIOD_OVERRIDE=FQ","FILING_STATUS=MR","Sort=A","Dates=H","DateFormat=P","Fill=—","Direction=H","UseDPDF=Y")</f>
        <v>122.41500000000001</v>
      </c>
      <c r="S14" s="14">
        <f>_xll.BDH("ALNY US Equity","EQY_FLOAT","FQ1 2023","FQ1 2023","Currency=USD","Period=FQ","BEST_FPERIOD_OVERRIDE=FQ","FILING_STATUS=MR","Sort=A","Dates=H","DateFormat=P","Fill=—","Direction=H","UseDPDF=Y")</f>
        <v>123.53400000000001</v>
      </c>
      <c r="T14" s="14">
        <f>_xll.BDH("ALNY US Equity","EQY_FLOAT","FQ2 2023","FQ2 2023","Currency=USD","Period=FQ","BEST_FPERIOD_OVERRIDE=FQ","FILING_STATUS=MR","Sort=A","Dates=H","DateFormat=P","Fill=—","Direction=H","UseDPDF=Y")</f>
        <v>123.916</v>
      </c>
      <c r="U14" s="14">
        <f>_xll.BDH("ALNY US Equity","EQY_FLOAT","FQ3 2023","FQ3 2023","Currency=USD","Period=FQ","BEST_FPERIOD_OVERRIDE=FQ","FILING_STATUS=MR","Sort=A","Dates=H","DateFormat=P","Fill=—","Direction=H","UseDPDF=Y")</f>
        <v>124.598</v>
      </c>
      <c r="V14" s="14">
        <f>_xll.BDH("ALNY US Equity","EQY_FLOAT","FQ4 2023","FQ4 2023","Currency=USD","Period=FQ","BEST_FPERIOD_OVERRIDE=FQ","FILING_STATUS=MR","Sort=A","Dates=H","DateFormat=P","Fill=—","Direction=H","UseDPDF=Y")</f>
        <v>125.09</v>
      </c>
      <c r="W14" s="14">
        <f>_xll.BDH("ALNY US Equity","EQY_FLOAT","FQ1 2024","FQ1 2024","Currency=USD","Period=FQ","BEST_FPERIOD_OVERRIDE=FQ","FILING_STATUS=MR","Sort=A","Dates=H","DateFormat=P","Fill=—","Direction=H","UseDPDF=Y")</f>
        <v>125.46</v>
      </c>
      <c r="X14" s="14">
        <f>_xll.BDH("ALNY US Equity","EQY_FLOAT","FQ2 2024","FQ2 2024","Currency=USD","Period=FQ","BEST_FPERIOD_OVERRIDE=FQ","FILING_STATUS=MR","Sort=A","Dates=H","DateFormat=P","Fill=—","Direction=H","UseDPDF=Y")</f>
        <v>125.982</v>
      </c>
      <c r="Y14" s="14">
        <f>_xll.BDH("ALNY US Equity","EQY_FLOAT","FQ3 2024","FQ3 2024","Currency=USD","Period=FQ","BEST_FPERIOD_OVERRIDE=FQ","FILING_STATUS=MR","Sort=A","Dates=H","DateFormat=P","Fill=—","Direction=H","UseDPDF=Y")</f>
        <v>127.88</v>
      </c>
      <c r="Z14" s="14">
        <f>_xll.BDH("ALNY US Equity","EQY_FLOAT","FQ4 2024","FQ4 2024","Currency=USD","Period=FQ","BEST_FPERIOD_OVERRIDE=FQ","FILING_STATUS=MR","Sort=A","Dates=H","DateFormat=P","Fill=—","Direction=H","UseDPDF=Y")</f>
        <v>128.464</v>
      </c>
      <c r="AA14" s="17">
        <v>129.5077</v>
      </c>
    </row>
    <row r="15" spans="1:27" x14ac:dyDescent="0.25">
      <c r="A15" s="7" t="s">
        <v>90</v>
      </c>
      <c r="B15" s="7"/>
      <c r="C15" s="7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284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164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165</v>
      </c>
      <c r="Z5" s="5" t="s">
        <v>58</v>
      </c>
      <c r="AA5" s="5" t="s">
        <v>59</v>
      </c>
    </row>
    <row r="6" spans="1:27" x14ac:dyDescent="0.25">
      <c r="A6" s="10" t="s">
        <v>60</v>
      </c>
      <c r="B6" s="10" t="s">
        <v>61</v>
      </c>
      <c r="C6" s="13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D6" s="13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E6" s="13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F6" s="13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G6" s="13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H6" s="13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I6" s="13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J6" s="13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K6" s="13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L6" s="13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M6" s="13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N6" s="13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O6" s="13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P6" s="13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Q6" s="13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R6" s="13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S6" s="13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T6" s="13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U6" s="13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V6" s="13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W6" s="13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X6" s="13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Y6" s="16">
        <v>34914.775887199998</v>
      </c>
      <c r="Z6" s="13"/>
      <c r="AA6" s="13"/>
    </row>
    <row r="7" spans="1:27" x14ac:dyDescent="0.25">
      <c r="A7" s="10" t="s">
        <v>166</v>
      </c>
      <c r="B7" s="10" t="s">
        <v>63</v>
      </c>
      <c r="C7" s="13">
        <f>_xll.BDH("ALNY US Equity","CASH_AND_MARKETABLE_SECURITIES","FQ3 2019","FQ3 2019","Currency=USD","Period=FQ","BEST_FPERIOD_OVERRIDE=FQ","FILING_STATUS=MR","SCALING_FORMAT=MLN","Sort=A","Dates=H","DateFormat=P","Fill=—","Direction=H","UseDPDF=Y")</f>
        <v>1721.058</v>
      </c>
      <c r="D7" s="13">
        <f>_xll.BDH("ALNY US Equity","CASH_AND_MARKETABLE_SECURITIES","FQ4 2019","FQ4 2019","Currency=USD","Period=FQ","BEST_FPERIOD_OVERRIDE=FQ","FILING_STATUS=MR","SCALING_FORMAT=MLN","Sort=A","Dates=H","DateFormat=P","Fill=—","Direction=H","UseDPDF=Y")</f>
        <v>1536.162</v>
      </c>
      <c r="E7" s="13">
        <f>_xll.BDH("ALNY US Equity","CASH_AND_MARKETABLE_SECURITIES","FQ1 2020","FQ1 2020","Currency=USD","Period=FQ","BEST_FPERIOD_OVERRIDE=FQ","FILING_STATUS=MR","SCALING_FORMAT=MLN","Sort=A","Dates=H","DateFormat=P","Fill=—","Direction=H","UseDPDF=Y")</f>
        <v>1342.203</v>
      </c>
      <c r="F7" s="13">
        <f>_xll.BDH("ALNY US Equity","CASH_AND_MARKETABLE_SECURITIES","FQ2 2020","FQ2 2020","Currency=USD","Period=FQ","BEST_FPERIOD_OVERRIDE=FQ","FILING_STATUS=MR","SCALING_FORMAT=MLN","Sort=A","Dates=H","DateFormat=P","Fill=—","Direction=H","UseDPDF=Y")</f>
        <v>1925.5640000000001</v>
      </c>
      <c r="G7" s="13">
        <f>_xll.BDH("ALNY US Equity","CASH_AND_MARKETABLE_SECURITIES","FQ3 2020","FQ3 2020","Currency=USD","Period=FQ","BEST_FPERIOD_OVERRIDE=FQ","FILING_STATUS=MR","SCALING_FORMAT=MLN","Sort=A","Dates=H","DateFormat=P","Fill=—","Direction=H","UseDPDF=Y")</f>
        <v>1833.876</v>
      </c>
      <c r="H7" s="13">
        <f>_xll.BDH("ALNY US Equity","CASH_AND_MARKETABLE_SECURITIES","FQ4 2020","FQ4 2020","Currency=USD","Period=FQ","BEST_FPERIOD_OVERRIDE=FQ","FILING_STATUS=MR","SCALING_FORMAT=MLN","Sort=A","Dates=H","DateFormat=P","Fill=—","Direction=H","UseDPDF=Y")</f>
        <v>1874.395</v>
      </c>
      <c r="I7" s="13">
        <f>_xll.BDH("ALNY US Equity","CASH_AND_MARKETABLE_SECURITIES","FQ1 2021","FQ1 2021","Currency=USD","Period=FQ","BEST_FPERIOD_OVERRIDE=FQ","FILING_STATUS=MR","SCALING_FORMAT=MLN","Sort=A","Dates=H","DateFormat=P","Fill=—","Direction=H","UseDPDF=Y")</f>
        <v>1709.537</v>
      </c>
      <c r="J7" s="13">
        <f>_xll.BDH("ALNY US Equity","CASH_AND_MARKETABLE_SECURITIES","FQ2 2021","FQ2 2021","Currency=USD","Period=FQ","BEST_FPERIOD_OVERRIDE=FQ","FILING_STATUS=MR","SCALING_FORMAT=MLN","Sort=A","Dates=H","DateFormat=P","Fill=—","Direction=H","UseDPDF=Y")</f>
        <v>1900.0820000000001</v>
      </c>
      <c r="K7" s="13">
        <f>_xll.BDH("ALNY US Equity","CASH_AND_MARKETABLE_SECURITIES","FQ3 2021","FQ3 2021","Currency=USD","Period=FQ","BEST_FPERIOD_OVERRIDE=FQ","FILING_STATUS=MR","SCALING_FORMAT=MLN","Sort=A","Dates=H","DateFormat=P","Fill=—","Direction=H","UseDPDF=Y")</f>
        <v>2327.8649999999998</v>
      </c>
      <c r="L7" s="13">
        <f>_xll.BDH("ALNY US Equity","CASH_AND_MARKETABLE_SECURITIES","FQ4 2021","FQ4 2021","Currency=USD","Period=FQ","BEST_FPERIOD_OVERRIDE=FQ","FILING_STATUS=MR","SCALING_FORMAT=MLN","Sort=A","Dates=H","DateFormat=P","Fill=—","Direction=H","UseDPDF=Y")</f>
        <v>2435.5639999999999</v>
      </c>
      <c r="M7" s="13">
        <f>_xll.BDH("ALNY US Equity","CASH_AND_MARKETABLE_SECURITIES","FQ1 2022","FQ1 2022","Currency=USD","Period=FQ","BEST_FPERIOD_OVERRIDE=FQ","FILING_STATUS=MR","SCALING_FORMAT=MLN","Sort=A","Dates=H","DateFormat=P","Fill=—","Direction=H","UseDPDF=Y")</f>
        <v>2239.5630000000001</v>
      </c>
      <c r="N7" s="13">
        <f>_xll.BDH("ALNY US Equity","CASH_AND_MARKETABLE_SECURITIES","FQ2 2022","FQ2 2022","Currency=USD","Period=FQ","BEST_FPERIOD_OVERRIDE=FQ","FILING_STATUS=MR","SCALING_FORMAT=MLN","Sort=A","Dates=H","DateFormat=P","Fill=—","Direction=H","UseDPDF=Y")</f>
        <v>2110.6129999999998</v>
      </c>
      <c r="O7" s="13">
        <f>_xll.BDH("ALNY US Equity","CASH_AND_MARKETABLE_SECURITIES","FQ3 2022","FQ3 2022","Currency=USD","Period=FQ","BEST_FPERIOD_OVERRIDE=FQ","FILING_STATUS=MR","SCALING_FORMAT=MLN","Sort=A","Dates=H","DateFormat=P","Fill=—","Direction=H","UseDPDF=Y")</f>
        <v>2265.3290000000002</v>
      </c>
      <c r="P7" s="13">
        <f>_xll.BDH("ALNY US Equity","CASH_AND_MARKETABLE_SECURITIES","FQ4 2022","FQ4 2022","Currency=USD","Period=FQ","BEST_FPERIOD_OVERRIDE=FQ","FILING_STATUS=MR","SCALING_FORMAT=MLN","Sort=A","Dates=H","DateFormat=P","Fill=—","Direction=H","UseDPDF=Y")</f>
        <v>2192.4059999999999</v>
      </c>
      <c r="Q7" s="13">
        <f>_xll.BDH("ALNY US Equity","CASH_AND_MARKETABLE_SECURITIES","FQ1 2023","FQ1 2023","Currency=USD","Period=FQ","BEST_FPERIOD_OVERRIDE=FQ","FILING_STATUS=MR","SCALING_FORMAT=MLN","Sort=A","Dates=H","DateFormat=P","Fill=—","Direction=H","UseDPDF=Y")</f>
        <v>2070.6750000000002</v>
      </c>
      <c r="R7" s="13">
        <f>_xll.BDH("ALNY US Equity","CASH_AND_MARKETABLE_SECURITIES","FQ2 2023","FQ2 2023","Currency=USD","Period=FQ","BEST_FPERIOD_OVERRIDE=FQ","FILING_STATUS=MR","SCALING_FORMAT=MLN","Sort=A","Dates=H","DateFormat=P","Fill=—","Direction=H","UseDPDF=Y")</f>
        <v>2057.5070000000001</v>
      </c>
      <c r="S7" s="13">
        <f>_xll.BDH("ALNY US Equity","CASH_AND_MARKETABLE_SECURITIES","FQ3 2023","FQ3 2023","Currency=USD","Period=FQ","BEST_FPERIOD_OVERRIDE=FQ","FILING_STATUS=MR","SCALING_FORMAT=MLN","Sort=A","Dates=H","DateFormat=P","Fill=—","Direction=H","UseDPDF=Y")</f>
        <v>2406.2779999999998</v>
      </c>
      <c r="T7" s="13">
        <f>_xll.BDH("ALNY US Equity","CASH_AND_MARKETABLE_SECURITIES","FQ4 2023","FQ4 2023","Currency=USD","Period=FQ","BEST_FPERIOD_OVERRIDE=FQ","FILING_STATUS=MR","SCALING_FORMAT=MLN","Sort=A","Dates=H","DateFormat=P","Fill=—","Direction=H","UseDPDF=Y")</f>
        <v>2439.3820000000001</v>
      </c>
      <c r="U7" s="13">
        <f>_xll.BDH("ALNY US Equity","CASH_AND_MARKETABLE_SECURITIES","FQ1 2024","FQ1 2024","Currency=USD","Period=FQ","BEST_FPERIOD_OVERRIDE=FQ","FILING_STATUS=MR","SCALING_FORMAT=MLN","Sort=A","Dates=H","DateFormat=P","Fill=—","Direction=H","UseDPDF=Y")</f>
        <v>2371.2820000000002</v>
      </c>
      <c r="V7" s="13">
        <f>_xll.BDH("ALNY US Equity","CASH_AND_MARKETABLE_SECURITIES","FQ2 2024","FQ2 2024","Currency=USD","Period=FQ","BEST_FPERIOD_OVERRIDE=FQ","FILING_STATUS=MR","SCALING_FORMAT=MLN","Sort=A","Dates=H","DateFormat=P","Fill=—","Direction=H","UseDPDF=Y")</f>
        <v>2624.6489999999999</v>
      </c>
      <c r="W7" s="13">
        <f>_xll.BDH("ALNY US Equity","CASH_AND_MARKETABLE_SECURITIES","FQ3 2024","FQ3 2024","Currency=USD","Period=FQ","BEST_FPERIOD_OVERRIDE=FQ","FILING_STATUS=MR","SCALING_FORMAT=MLN","Sort=A","Dates=H","DateFormat=P","Fill=—","Direction=H","UseDPDF=Y")</f>
        <v>2780.2350000000001</v>
      </c>
      <c r="X7" s="13">
        <f>_xll.BDH("ALNY US Equity","CASH_AND_MARKETABLE_SECURITIES","FQ4 2024","FQ4 2024","Currency=USD","Period=FQ","BEST_FPERIOD_OVERRIDE=FQ","FILING_STATUS=MR","SCALING_FORMAT=MLN","Sort=A","Dates=H","DateFormat=P","Fill=—","Direction=H","UseDPDF=Y")</f>
        <v>2694.5039999999999</v>
      </c>
      <c r="Y7" s="16">
        <v>2694.5039999999999</v>
      </c>
      <c r="Z7" s="13"/>
      <c r="AA7" s="13"/>
    </row>
    <row r="8" spans="1:27" x14ac:dyDescent="0.25">
      <c r="A8" s="10" t="s">
        <v>167</v>
      </c>
      <c r="B8" s="10" t="s">
        <v>168</v>
      </c>
      <c r="C8" s="13">
        <f>_xll.BDH("ALNY US Equity","PFD_EQTY_HYBRID_CAPITAL","FQ3 2019","FQ3 2019","Currency=USD","Period=FQ","BEST_FPERIOD_OVERRIDE=FQ","FILING_STATUS=MR","SCALING_FORMAT=MLN","Sort=A","Dates=H","DateFormat=P","Fill=—","Direction=H","UseDPDF=Y")</f>
        <v>0</v>
      </c>
      <c r="D8" s="13">
        <f>_xll.BDH("ALNY US Equity","PFD_EQTY_HYBRID_CAPITAL","FQ4 2019","FQ4 2019","Currency=USD","Period=FQ","BEST_FPERIOD_OVERRIDE=FQ","FILING_STATUS=MR","SCALING_FORMAT=MLN","Sort=A","Dates=H","DateFormat=P","Fill=—","Direction=H","UseDPDF=Y")</f>
        <v>0</v>
      </c>
      <c r="E8" s="13">
        <f>_xll.BDH("ALNY US Equity","PFD_EQTY_HYBRID_CAPITAL","FQ1 2020","FQ1 2020","Currency=USD","Period=FQ","BEST_FPERIOD_OVERRIDE=FQ","FILING_STATUS=MR","SCALING_FORMAT=MLN","Sort=A","Dates=H","DateFormat=P","Fill=—","Direction=H","UseDPDF=Y")</f>
        <v>0</v>
      </c>
      <c r="F8" s="13">
        <f>_xll.BDH("ALNY US Equity","PFD_EQTY_HYBRID_CAPITAL","FQ2 2020","FQ2 2020","Currency=USD","Period=FQ","BEST_FPERIOD_OVERRIDE=FQ","FILING_STATUS=MR","SCALING_FORMAT=MLN","Sort=A","Dates=H","DateFormat=P","Fill=—","Direction=H","UseDPDF=Y")</f>
        <v>0</v>
      </c>
      <c r="G8" s="13">
        <f>_xll.BDH("ALNY US Equity","PFD_EQTY_HYBRID_CAPITAL","FQ3 2020","FQ3 2020","Currency=USD","Period=FQ","BEST_FPERIOD_OVERRIDE=FQ","FILING_STATUS=MR","SCALING_FORMAT=MLN","Sort=A","Dates=H","DateFormat=P","Fill=—","Direction=H","UseDPDF=Y")</f>
        <v>0</v>
      </c>
      <c r="H8" s="13">
        <f>_xll.BDH("ALNY US Equity","PFD_EQTY_HYBRID_CAPITAL","FQ4 2020","FQ4 2020","Currency=USD","Period=FQ","BEST_FPERIOD_OVERRIDE=FQ","FILING_STATUS=MR","SCALING_FORMAT=MLN","Sort=A","Dates=H","DateFormat=P","Fill=—","Direction=H","UseDPDF=Y")</f>
        <v>0</v>
      </c>
      <c r="I8" s="13">
        <f>_xll.BDH("ALNY US Equity","PFD_EQTY_HYBRID_CAPITAL","FQ1 2021","FQ1 2021","Currency=USD","Period=FQ","BEST_FPERIOD_OVERRIDE=FQ","FILING_STATUS=MR","SCALING_FORMAT=MLN","Sort=A","Dates=H","DateFormat=P","Fill=—","Direction=H","UseDPDF=Y")</f>
        <v>0</v>
      </c>
      <c r="J8" s="13">
        <f>_xll.BDH("ALNY US Equity","PFD_EQTY_HYBRID_CAPITAL","FQ2 2021","FQ2 2021","Currency=USD","Period=FQ","BEST_FPERIOD_OVERRIDE=FQ","FILING_STATUS=MR","SCALING_FORMAT=MLN","Sort=A","Dates=H","DateFormat=P","Fill=—","Direction=H","UseDPDF=Y")</f>
        <v>0</v>
      </c>
      <c r="K8" s="13">
        <f>_xll.BDH("ALNY US Equity","PFD_EQTY_HYBRID_CAPITAL","FQ3 2021","FQ3 2021","Currency=USD","Period=FQ","BEST_FPERIOD_OVERRIDE=FQ","FILING_STATUS=MR","SCALING_FORMAT=MLN","Sort=A","Dates=H","DateFormat=P","Fill=—","Direction=H","UseDPDF=Y")</f>
        <v>0</v>
      </c>
      <c r="L8" s="13">
        <f>_xll.BDH("ALNY US Equity","PFD_EQTY_HYBRID_CAPITAL","FQ4 2021","FQ4 2021","Currency=USD","Period=FQ","BEST_FPERIOD_OVERRIDE=FQ","FILING_STATUS=MR","SCALING_FORMAT=MLN","Sort=A","Dates=H","DateFormat=P","Fill=—","Direction=H","UseDPDF=Y")</f>
        <v>0</v>
      </c>
      <c r="M8" s="13">
        <f>_xll.BDH("ALNY US Equity","PFD_EQTY_HYBRID_CAPITAL","FQ1 2022","FQ1 2022","Currency=USD","Period=FQ","BEST_FPERIOD_OVERRIDE=FQ","FILING_STATUS=MR","SCALING_FORMAT=MLN","Sort=A","Dates=H","DateFormat=P","Fill=—","Direction=H","UseDPDF=Y")</f>
        <v>0</v>
      </c>
      <c r="N8" s="13">
        <f>_xll.BDH("ALNY US Equity","PFD_EQTY_HYBRID_CAPITAL","FQ2 2022","FQ2 2022","Currency=USD","Period=FQ","BEST_FPERIOD_OVERRIDE=FQ","FILING_STATUS=MR","SCALING_FORMAT=MLN","Sort=A","Dates=H","DateFormat=P","Fill=—","Direction=H","UseDPDF=Y")</f>
        <v>0</v>
      </c>
      <c r="O8" s="13">
        <f>_xll.BDH("ALNY US Equity","PFD_EQTY_HYBRID_CAPITAL","FQ3 2022","FQ3 2022","Currency=USD","Period=FQ","BEST_FPERIOD_OVERRIDE=FQ","FILING_STATUS=MR","SCALING_FORMAT=MLN","Sort=A","Dates=H","DateFormat=P","Fill=—","Direction=H","UseDPDF=Y")</f>
        <v>0</v>
      </c>
      <c r="P8" s="13">
        <f>_xll.BDH("ALNY US Equity","PFD_EQTY_HYBRID_CAPITAL","FQ4 2022","FQ4 2022","Currency=USD","Period=FQ","BEST_FPERIOD_OVERRIDE=FQ","FILING_STATUS=MR","SCALING_FORMAT=MLN","Sort=A","Dates=H","DateFormat=P","Fill=—","Direction=H","UseDPDF=Y")</f>
        <v>0</v>
      </c>
      <c r="Q8" s="13">
        <f>_xll.BDH("ALNY US Equity","PFD_EQTY_HYBRID_CAPITAL","FQ1 2023","FQ1 2023","Currency=USD","Period=FQ","BEST_FPERIOD_OVERRIDE=FQ","FILING_STATUS=MR","SCALING_FORMAT=MLN","Sort=A","Dates=H","DateFormat=P","Fill=—","Direction=H","UseDPDF=Y")</f>
        <v>0</v>
      </c>
      <c r="R8" s="13">
        <f>_xll.BDH("ALNY US Equity","PFD_EQTY_HYBRID_CAPITAL","FQ2 2023","FQ2 2023","Currency=USD","Period=FQ","BEST_FPERIOD_OVERRIDE=FQ","FILING_STATUS=MR","SCALING_FORMAT=MLN","Sort=A","Dates=H","DateFormat=P","Fill=—","Direction=H","UseDPDF=Y")</f>
        <v>0</v>
      </c>
      <c r="S8" s="13">
        <f>_xll.BDH("ALNY US Equity","PFD_EQTY_HYBRID_CAPITAL","FQ3 2023","FQ3 2023","Currency=USD","Period=FQ","BEST_FPERIOD_OVERRIDE=FQ","FILING_STATUS=MR","SCALING_FORMAT=MLN","Sort=A","Dates=H","DateFormat=P","Fill=—","Direction=H","UseDPDF=Y")</f>
        <v>0</v>
      </c>
      <c r="T8" s="13">
        <f>_xll.BDH("ALNY US Equity","PFD_EQTY_HYBRID_CAPITAL","FQ4 2023","FQ4 2023","Currency=USD","Period=FQ","BEST_FPERIOD_OVERRIDE=FQ","FILING_STATUS=MR","SCALING_FORMAT=MLN","Sort=A","Dates=H","DateFormat=P","Fill=—","Direction=H","UseDPDF=Y")</f>
        <v>0</v>
      </c>
      <c r="U8" s="13">
        <f>_xll.BDH("ALNY US Equity","PFD_EQTY_HYBRID_CAPITAL","FQ1 2024","FQ1 2024","Currency=USD","Period=FQ","BEST_FPERIOD_OVERRIDE=FQ","FILING_STATUS=MR","SCALING_FORMAT=MLN","Sort=A","Dates=H","DateFormat=P","Fill=—","Direction=H","UseDPDF=Y")</f>
        <v>0</v>
      </c>
      <c r="V8" s="13">
        <f>_xll.BDH("ALNY US Equity","PFD_EQTY_HYBRID_CAPITAL","FQ2 2024","FQ2 2024","Currency=USD","Period=FQ","BEST_FPERIOD_OVERRIDE=FQ","FILING_STATUS=MR","SCALING_FORMAT=MLN","Sort=A","Dates=H","DateFormat=P","Fill=—","Direction=H","UseDPDF=Y")</f>
        <v>0</v>
      </c>
      <c r="W8" s="13">
        <f>_xll.BDH("ALNY US Equity","PFD_EQTY_HYBRID_CAPITAL","FQ3 2024","FQ3 2024","Currency=USD","Period=FQ","BEST_FPERIOD_OVERRIDE=FQ","FILING_STATUS=MR","SCALING_FORMAT=MLN","Sort=A","Dates=H","DateFormat=P","Fill=—","Direction=H","UseDPDF=Y")</f>
        <v>0</v>
      </c>
      <c r="X8" s="13">
        <f>_xll.BDH("ALNY US Equity","PFD_EQTY_HYBRID_CAPITAL","FQ4 2024","FQ4 2024","Currency=USD","Period=FQ","BEST_FPERIOD_OVERRIDE=FQ","FILING_STATUS=MR","SCALING_FORMAT=MLN","Sort=A","Dates=H","DateFormat=P","Fill=—","Direction=H","UseDPDF=Y")</f>
        <v>0</v>
      </c>
      <c r="Y8" s="16">
        <v>0</v>
      </c>
      <c r="Z8" s="13"/>
      <c r="AA8" s="13"/>
    </row>
    <row r="9" spans="1:27" x14ac:dyDescent="0.25">
      <c r="A9" s="10" t="s">
        <v>169</v>
      </c>
      <c r="B9" s="10" t="s">
        <v>170</v>
      </c>
      <c r="C9" s="13">
        <f>_xll.BDH("ALNY US Equity","MINORITY_NONCONTROLLING_INTEREST","FQ3 2019","FQ3 2019","Currency=USD","Period=FQ","BEST_FPERIOD_OVERRIDE=FQ","FILING_STATUS=MR","SCALING_FORMAT=MLN","Sort=A","Dates=H","DateFormat=P","Fill=—","Direction=H","UseDPDF=Y")</f>
        <v>0</v>
      </c>
      <c r="D9" s="13">
        <f>_xll.BDH("ALNY US Equity","MINORITY_NONCONTROLLING_INTEREST","FQ4 2019","FQ4 2019","Currency=USD","Period=FQ","BEST_FPERIOD_OVERRIDE=FQ","FILING_STATUS=MR","SCALING_FORMAT=MLN","Sort=A","Dates=H","DateFormat=P","Fill=—","Direction=H","UseDPDF=Y")</f>
        <v>0</v>
      </c>
      <c r="E9" s="13">
        <f>_xll.BDH("ALNY US Equity","MINORITY_NONCONTROLLING_INTEREST","FQ1 2020","FQ1 2020","Currency=USD","Period=FQ","BEST_FPERIOD_OVERRIDE=FQ","FILING_STATUS=MR","SCALING_FORMAT=MLN","Sort=A","Dates=H","DateFormat=P","Fill=—","Direction=H","UseDPDF=Y")</f>
        <v>0</v>
      </c>
      <c r="F9" s="13">
        <f>_xll.BDH("ALNY US Equity","MINORITY_NONCONTROLLING_INTEREST","FQ2 2020","FQ2 2020","Currency=USD","Period=FQ","BEST_FPERIOD_OVERRIDE=FQ","FILING_STATUS=MR","SCALING_FORMAT=MLN","Sort=A","Dates=H","DateFormat=P","Fill=—","Direction=H","UseDPDF=Y")</f>
        <v>0</v>
      </c>
      <c r="G9" s="13">
        <f>_xll.BDH("ALNY US Equity","MINORITY_NONCONTROLLING_INTEREST","FQ3 2020","FQ3 2020","Currency=USD","Period=FQ","BEST_FPERIOD_OVERRIDE=FQ","FILING_STATUS=MR","SCALING_FORMAT=MLN","Sort=A","Dates=H","DateFormat=P","Fill=—","Direction=H","UseDPDF=Y")</f>
        <v>0</v>
      </c>
      <c r="H9" s="13">
        <f>_xll.BDH("ALNY US Equity","MINORITY_NONCONTROLLING_INTEREST","FQ4 2020","FQ4 2020","Currency=USD","Period=FQ","BEST_FPERIOD_OVERRIDE=FQ","FILING_STATUS=MR","SCALING_FORMAT=MLN","Sort=A","Dates=H","DateFormat=P","Fill=—","Direction=H","UseDPDF=Y")</f>
        <v>0</v>
      </c>
      <c r="I9" s="13">
        <f>_xll.BDH("ALNY US Equity","MINORITY_NONCONTROLLING_INTEREST","FQ1 2021","FQ1 2021","Currency=USD","Period=FQ","BEST_FPERIOD_OVERRIDE=FQ","FILING_STATUS=MR","SCALING_FORMAT=MLN","Sort=A","Dates=H","DateFormat=P","Fill=—","Direction=H","UseDPDF=Y")</f>
        <v>0</v>
      </c>
      <c r="J9" s="13">
        <f>_xll.BDH("ALNY US Equity","MINORITY_NONCONTROLLING_INTEREST","FQ2 2021","FQ2 2021","Currency=USD","Period=FQ","BEST_FPERIOD_OVERRIDE=FQ","FILING_STATUS=MR","SCALING_FORMAT=MLN","Sort=A","Dates=H","DateFormat=P","Fill=—","Direction=H","UseDPDF=Y")</f>
        <v>0</v>
      </c>
      <c r="K9" s="13">
        <f>_xll.BDH("ALNY US Equity","MINORITY_NONCONTROLLING_INTEREST","FQ3 2021","FQ3 2021","Currency=USD","Period=FQ","BEST_FPERIOD_OVERRIDE=FQ","FILING_STATUS=MR","SCALING_FORMAT=MLN","Sort=A","Dates=H","DateFormat=P","Fill=—","Direction=H","UseDPDF=Y")</f>
        <v>0</v>
      </c>
      <c r="L9" s="13">
        <f>_xll.BDH("ALNY US Equity","MINORITY_NONCONTROLLING_INTEREST","FQ4 2021","FQ4 2021","Currency=USD","Period=FQ","BEST_FPERIOD_OVERRIDE=FQ","FILING_STATUS=MR","SCALING_FORMAT=MLN","Sort=A","Dates=H","DateFormat=P","Fill=—","Direction=H","UseDPDF=Y")</f>
        <v>0</v>
      </c>
      <c r="M9" s="13">
        <f>_xll.BDH("ALNY US Equity","MINORITY_NONCONTROLLING_INTEREST","FQ1 2022","FQ1 2022","Currency=USD","Period=FQ","BEST_FPERIOD_OVERRIDE=FQ","FILING_STATUS=MR","SCALING_FORMAT=MLN","Sort=A","Dates=H","DateFormat=P","Fill=—","Direction=H","UseDPDF=Y")</f>
        <v>0</v>
      </c>
      <c r="N9" s="13">
        <f>_xll.BDH("ALNY US Equity","MINORITY_NONCONTROLLING_INTEREST","FQ2 2022","FQ2 2022","Currency=USD","Period=FQ","BEST_FPERIOD_OVERRIDE=FQ","FILING_STATUS=MR","SCALING_FORMAT=MLN","Sort=A","Dates=H","DateFormat=P","Fill=—","Direction=H","UseDPDF=Y")</f>
        <v>0</v>
      </c>
      <c r="O9" s="13">
        <f>_xll.BDH("ALNY US Equity","MINORITY_NONCONTROLLING_INTEREST","FQ3 2022","FQ3 2022","Currency=USD","Period=FQ","BEST_FPERIOD_OVERRIDE=FQ","FILING_STATUS=MR","SCALING_FORMAT=MLN","Sort=A","Dates=H","DateFormat=P","Fill=—","Direction=H","UseDPDF=Y")</f>
        <v>0</v>
      </c>
      <c r="P9" s="13">
        <f>_xll.BDH("ALNY US Equity","MINORITY_NONCONTROLLING_INTEREST","FQ4 2022","FQ4 2022","Currency=USD","Period=FQ","BEST_FPERIOD_OVERRIDE=FQ","FILING_STATUS=MR","SCALING_FORMAT=MLN","Sort=A","Dates=H","DateFormat=P","Fill=—","Direction=H","UseDPDF=Y")</f>
        <v>0</v>
      </c>
      <c r="Q9" s="13">
        <f>_xll.BDH("ALNY US Equity","MINORITY_NONCONTROLLING_INTEREST","FQ1 2023","FQ1 2023","Currency=USD","Period=FQ","BEST_FPERIOD_OVERRIDE=FQ","FILING_STATUS=MR","SCALING_FORMAT=MLN","Sort=A","Dates=H","DateFormat=P","Fill=—","Direction=H","UseDPDF=Y")</f>
        <v>0</v>
      </c>
      <c r="R9" s="13">
        <f>_xll.BDH("ALNY US Equity","MINORITY_NONCONTROLLING_INTEREST","FQ2 2023","FQ2 2023","Currency=USD","Period=FQ","BEST_FPERIOD_OVERRIDE=FQ","FILING_STATUS=MR","SCALING_FORMAT=MLN","Sort=A","Dates=H","DateFormat=P","Fill=—","Direction=H","UseDPDF=Y")</f>
        <v>0</v>
      </c>
      <c r="S9" s="13">
        <f>_xll.BDH("ALNY US Equity","MINORITY_NONCONTROLLING_INTEREST","FQ3 2023","FQ3 2023","Currency=USD","Period=FQ","BEST_FPERIOD_OVERRIDE=FQ","FILING_STATUS=MR","SCALING_FORMAT=MLN","Sort=A","Dates=H","DateFormat=P","Fill=—","Direction=H","UseDPDF=Y")</f>
        <v>0</v>
      </c>
      <c r="T9" s="13">
        <f>_xll.BDH("ALNY US Equity","MINORITY_NONCONTROLLING_INTEREST","FQ4 2023","FQ4 2023","Currency=USD","Period=FQ","BEST_FPERIOD_OVERRIDE=FQ","FILING_STATUS=MR","SCALING_FORMAT=MLN","Sort=A","Dates=H","DateFormat=P","Fill=—","Direction=H","UseDPDF=Y")</f>
        <v>0</v>
      </c>
      <c r="U9" s="13">
        <f>_xll.BDH("ALNY US Equity","MINORITY_NONCONTROLLING_INTEREST","FQ1 2024","FQ1 2024","Currency=USD","Period=FQ","BEST_FPERIOD_OVERRIDE=FQ","FILING_STATUS=MR","SCALING_FORMAT=MLN","Sort=A","Dates=H","DateFormat=P","Fill=—","Direction=H","UseDPDF=Y")</f>
        <v>0</v>
      </c>
      <c r="V9" s="13">
        <f>_xll.BDH("ALNY US Equity","MINORITY_NONCONTROLLING_INTEREST","FQ2 2024","FQ2 2024","Currency=USD","Period=FQ","BEST_FPERIOD_OVERRIDE=FQ","FILING_STATUS=MR","SCALING_FORMAT=MLN","Sort=A","Dates=H","DateFormat=P","Fill=—","Direction=H","UseDPDF=Y")</f>
        <v>0</v>
      </c>
      <c r="W9" s="13">
        <f>_xll.BDH("ALNY US Equity","MINORITY_NONCONTROLLING_INTEREST","FQ3 2024","FQ3 2024","Currency=USD","Period=FQ","BEST_FPERIOD_OVERRIDE=FQ","FILING_STATUS=MR","SCALING_FORMAT=MLN","Sort=A","Dates=H","DateFormat=P","Fill=—","Direction=H","UseDPDF=Y")</f>
        <v>0</v>
      </c>
      <c r="X9" s="13">
        <f>_xll.BDH("ALNY US Equity","MINORITY_NONCONTROLLING_INTEREST","FQ4 2024","FQ4 2024","Currency=USD","Period=FQ","BEST_FPERIOD_OVERRIDE=FQ","FILING_STATUS=MR","SCALING_FORMAT=MLN","Sort=A","Dates=H","DateFormat=P","Fill=—","Direction=H","UseDPDF=Y")</f>
        <v>0</v>
      </c>
      <c r="Y9" s="16">
        <v>0</v>
      </c>
      <c r="Z9" s="13"/>
      <c r="AA9" s="13"/>
    </row>
    <row r="10" spans="1:27" x14ac:dyDescent="0.25">
      <c r="A10" s="10" t="s">
        <v>171</v>
      </c>
      <c r="B10" s="10" t="s">
        <v>285</v>
      </c>
      <c r="C10" s="13">
        <f>_xll.BDH("ALNY US Equity","TOT_DEBT_EX_OPERATING_LEA_LIABS","FQ3 2019","FQ3 2019","Currency=USD","Period=FQ","BEST_FPERIOD_OVERRIDE=FQ","FILING_STATUS=MR","SCALING_FORMAT=MLN","Sort=A","Dates=H","DateFormat=P","Fill=—","Direction=H","UseDPDF=Y")</f>
        <v>0</v>
      </c>
      <c r="D10" s="13">
        <f>_xll.BDH("ALNY US Equity","TOT_DEBT_EX_OPERATING_LEA_LIABS","FQ4 2019","FQ4 2019","Currency=USD","Period=FQ","BEST_FPERIOD_OVERRIDE=FQ","FILING_STATUS=MR","SCALING_FORMAT=MLN","Sort=A","Dates=H","DateFormat=P","Fill=—","Direction=H","UseDPDF=Y")</f>
        <v>0</v>
      </c>
      <c r="E10" s="13">
        <f>_xll.BDH("ALNY US Equity","TOT_DEBT_EX_OPERATING_LEA_LIABS","FQ1 2020","FQ1 2020","Currency=USD","Period=FQ","BEST_FPERIOD_OVERRIDE=FQ","FILING_STATUS=MR","SCALING_FORMAT=MLN","Sort=A","Dates=H","DateFormat=P","Fill=—","Direction=H","UseDPDF=Y")</f>
        <v>0</v>
      </c>
      <c r="F10" s="13">
        <f>_xll.BDH("ALNY US Equity","TOT_DEBT_EX_OPERATING_LEA_LIABS","FQ2 2020","FQ2 2020","Currency=USD","Period=FQ","BEST_FPERIOD_OVERRIDE=FQ","FILING_STATUS=MR","SCALING_FORMAT=MLN","Sort=A","Dates=H","DateFormat=P","Fill=—","Direction=H","UseDPDF=Y")</f>
        <v>0</v>
      </c>
      <c r="G10" s="13">
        <f>_xll.BDH("ALNY US Equity","TOT_DEBT_EX_OPERATING_LEA_LIABS","FQ3 2020","FQ3 2020","Currency=USD","Period=FQ","BEST_FPERIOD_OVERRIDE=FQ","FILING_STATUS=MR","SCALING_FORMAT=MLN","Sort=A","Dates=H","DateFormat=P","Fill=—","Direction=H","UseDPDF=Y")</f>
        <v>0</v>
      </c>
      <c r="H10" s="13">
        <f>_xll.BDH("ALNY US Equity","TOT_DEBT_EX_OPERATING_LEA_LIABS","FQ4 2020","FQ4 2020","Currency=USD","Period=FQ","BEST_FPERIOD_OVERRIDE=FQ","FILING_STATUS=MR","SCALING_FORMAT=MLN","Sort=A","Dates=H","DateFormat=P","Fill=—","Direction=H","UseDPDF=Y")</f>
        <v>191.27799999999999</v>
      </c>
      <c r="I10" s="13">
        <f>_xll.BDH("ALNY US Equity","TOT_DEBT_EX_OPERATING_LEA_LIABS","FQ1 2021","FQ1 2021","Currency=USD","Period=FQ","BEST_FPERIOD_OVERRIDE=FQ","FILING_STATUS=MR","SCALING_FORMAT=MLN","Sort=A","Dates=H","DateFormat=P","Fill=—","Direction=H","UseDPDF=Y")</f>
        <v>191.59</v>
      </c>
      <c r="J10" s="13">
        <f>_xll.BDH("ALNY US Equity","TOT_DEBT_EX_OPERATING_LEA_LIABS","FQ2 2021","FQ2 2021","Currency=USD","Period=FQ","BEST_FPERIOD_OVERRIDE=FQ","FILING_STATUS=MR","SCALING_FORMAT=MLN","Sort=A","Dates=H","DateFormat=P","Fill=—","Direction=H","UseDPDF=Y")</f>
        <v>433.15100000000001</v>
      </c>
      <c r="K10" s="13">
        <f>_xll.BDH("ALNY US Equity","TOT_DEBT_EX_OPERATING_LEA_LIABS","FQ3 2021","FQ3 2021","Currency=USD","Period=FQ","BEST_FPERIOD_OVERRIDE=FQ","FILING_STATUS=MR","SCALING_FORMAT=MLN","Sort=A","Dates=H","DateFormat=P","Fill=—","Direction=H","UseDPDF=Y")</f>
        <v>433.79899999999998</v>
      </c>
      <c r="L10" s="13">
        <f>_xll.BDH("ALNY US Equity","TOT_DEBT_EX_OPERATING_LEA_LIABS","FQ4 2021","FQ4 2021","Currency=USD","Period=FQ","BEST_FPERIOD_OVERRIDE=FQ","FILING_STATUS=MR","SCALING_FORMAT=MLN","Sort=A","Dates=H","DateFormat=P","Fill=—","Direction=H","UseDPDF=Y")</f>
        <v>675.697</v>
      </c>
      <c r="M10" s="13">
        <f>_xll.BDH("ALNY US Equity","TOT_DEBT_EX_OPERATING_LEA_LIABS","FQ1 2022","FQ1 2022","Currency=USD","Period=FQ","BEST_FPERIOD_OVERRIDE=FQ","FILING_STATUS=MR","SCALING_FORMAT=MLN","Sort=A","Dates=H","DateFormat=P","Fill=—","Direction=H","UseDPDF=Y")</f>
        <v>676.71</v>
      </c>
      <c r="N10" s="13">
        <f>_xll.BDH("ALNY US Equity","TOT_DEBT_EX_OPERATING_LEA_LIABS","FQ2 2022","FQ2 2022","Currency=USD","Period=FQ","BEST_FPERIOD_OVERRIDE=FQ","FILING_STATUS=MR","SCALING_FORMAT=MLN","Sort=A","Dates=H","DateFormat=P","Fill=—","Direction=H","UseDPDF=Y")</f>
        <v>677.72299999999996</v>
      </c>
      <c r="O10" s="13">
        <f>_xll.BDH("ALNY US Equity","TOT_DEBT_EX_OPERATING_LEA_LIABS","FQ3 2022","FQ3 2022","Currency=USD","Period=FQ","BEST_FPERIOD_OVERRIDE=FQ","FILING_STATUS=MR","SCALING_FORMAT=MLN","Sort=A","Dates=H","DateFormat=P","Fill=—","Direction=H","UseDPDF=Y")</f>
        <v>1231.873</v>
      </c>
      <c r="P10" s="13">
        <f>_xll.BDH("ALNY US Equity","TOT_DEBT_EX_OPERATING_LEA_LIABS","FQ4 2022","FQ4 2022","Currency=USD","Period=FQ","BEST_FPERIOD_OVERRIDE=FQ","FILING_STATUS=MR","SCALING_FORMAT=MLN","Sort=A","Dates=H","DateFormat=P","Fill=—","Direction=H","UseDPDF=Y")</f>
        <v>1016.942</v>
      </c>
      <c r="Q10" s="13">
        <f>_xll.BDH("ALNY US Equity","TOT_DEBT_EX_OPERATING_LEA_LIABS","FQ1 2023","FQ1 2023","Currency=USD","Period=FQ","BEST_FPERIOD_OVERRIDE=FQ","FILING_STATUS=MR","SCALING_FORMAT=MLN","Sort=A","Dates=H","DateFormat=P","Fill=—","Direction=H","UseDPDF=Y")</f>
        <v>1017.8869999999999</v>
      </c>
      <c r="R10" s="13">
        <f>_xll.BDH("ALNY US Equity","TOT_DEBT_EX_OPERATING_LEA_LIABS","FQ2 2023","FQ2 2023","Currency=USD","Period=FQ","BEST_FPERIOD_OVERRIDE=FQ","FILING_STATUS=MR","SCALING_FORMAT=MLN","Sort=A","Dates=H","DateFormat=P","Fill=—","Direction=H","UseDPDF=Y")</f>
        <v>1018.843</v>
      </c>
      <c r="S10" s="13">
        <f>_xll.BDH("ALNY US Equity","TOT_DEBT_EX_OPERATING_LEA_LIABS","FQ3 2023","FQ3 2023","Currency=USD","Period=FQ","BEST_FPERIOD_OVERRIDE=FQ","FILING_STATUS=MR","SCALING_FORMAT=MLN","Sort=A","Dates=H","DateFormat=P","Fill=—","Direction=H","UseDPDF=Y")</f>
        <v>1019.809</v>
      </c>
      <c r="T10" s="13">
        <f>_xll.BDH("ALNY US Equity","TOT_DEBT_EX_OPERATING_LEA_LIABS","FQ4 2023","FQ4 2023","Currency=USD","Period=FQ","BEST_FPERIOD_OVERRIDE=FQ","FILING_STATUS=MR","SCALING_FORMAT=MLN","Sort=A","Dates=H","DateFormat=P","Fill=—","Direction=H","UseDPDF=Y")</f>
        <v>1020.776</v>
      </c>
      <c r="U10" s="13">
        <f>_xll.BDH("ALNY US Equity","TOT_DEBT_EX_OPERATING_LEA_LIABS","FQ1 2024","FQ1 2024","Currency=USD","Period=FQ","BEST_FPERIOD_OVERRIDE=FQ","FILING_STATUS=MR","SCALING_FORMAT=MLN","Sort=A","Dates=H","DateFormat=P","Fill=—","Direction=H","UseDPDF=Y")</f>
        <v>1021.732</v>
      </c>
      <c r="V10" s="13">
        <f>_xll.BDH("ALNY US Equity","TOT_DEBT_EX_OPERATING_LEA_LIABS","FQ2 2024","FQ2 2024","Currency=USD","Period=FQ","BEST_FPERIOD_OVERRIDE=FQ","FILING_STATUS=MR","SCALING_FORMAT=MLN","Sort=A","Dates=H","DateFormat=P","Fill=—","Direction=H","UseDPDF=Y")</f>
        <v>2365.268</v>
      </c>
      <c r="W10" s="13">
        <f>_xll.BDH("ALNY US Equity","TOT_DEBT_EX_OPERATING_LEA_LIABS","FQ3 2024","FQ3 2024","Currency=USD","Period=FQ","BEST_FPERIOD_OVERRIDE=FQ","FILING_STATUS=MR","SCALING_FORMAT=MLN","Sort=A","Dates=H","DateFormat=P","Fill=—","Direction=H","UseDPDF=Y")</f>
        <v>1023.654</v>
      </c>
      <c r="X10" s="13">
        <f>_xll.BDH("ALNY US Equity","TOT_DEBT_EX_OPERATING_LEA_LIABS","FQ4 2024","FQ4 2024","Currency=USD","Period=FQ","BEST_FPERIOD_OVERRIDE=FQ","FILING_STATUS=MR","SCALING_FORMAT=MLN","Sort=A","Dates=H","DateFormat=P","Fill=—","Direction=H","UseDPDF=Y")</f>
        <v>1024.6210000000001</v>
      </c>
      <c r="Y10" s="16">
        <v>1024.6210000000001</v>
      </c>
      <c r="Z10" s="13"/>
      <c r="AA10" s="13"/>
    </row>
    <row r="11" spans="1:27" x14ac:dyDescent="0.25">
      <c r="A11" s="10" t="s">
        <v>68</v>
      </c>
      <c r="B11" s="10" t="s">
        <v>286</v>
      </c>
      <c r="C11" s="13">
        <f>_xll.BDH("ALNY US Equity","EV_EX_OPERATING_LEASE_LIABS","FQ3 2019","FQ3 2019","Currency=USD","Period=FQ","BEST_FPERIOD_OVERRIDE=FQ","FILING_STATUS=MR","SCALING_FORMAT=MLN","Sort=A","Dates=H","DateFormat=P","Fill=—","Direction=H","UseDPDF=Y")</f>
        <v>7231.6985000000004</v>
      </c>
      <c r="D11" s="13">
        <f>_xll.BDH("ALNY US Equity","EV_EX_OPERATING_LEASE_LIABS","FQ4 2019","FQ4 2019","Currency=USD","Period=FQ","BEST_FPERIOD_OVERRIDE=FQ","FILING_STATUS=MR","SCALING_FORMAT=MLN","Sort=A","Dates=H","DateFormat=P","Fill=—","Direction=H","UseDPDF=Y")</f>
        <v>11384.53</v>
      </c>
      <c r="E11" s="13">
        <f>_xll.BDH("ALNY US Equity","EV_EX_OPERATING_LEASE_LIABS","FQ1 2020","FQ1 2020","Currency=USD","Period=FQ","BEST_FPERIOD_OVERRIDE=FQ","FILING_STATUS=MR","SCALING_FORMAT=MLN","Sort=A","Dates=H","DateFormat=P","Fill=—","Direction=H","UseDPDF=Y")</f>
        <v>10976.1338</v>
      </c>
      <c r="F11" s="13">
        <f>_xll.BDH("ALNY US Equity","EV_EX_OPERATING_LEASE_LIABS","FQ2 2020","FQ2 2020","Currency=USD","Period=FQ","BEST_FPERIOD_OVERRIDE=FQ","FILING_STATUS=MR","SCALING_FORMAT=MLN","Sort=A","Dates=H","DateFormat=P","Fill=—","Direction=H","UseDPDF=Y")</f>
        <v>15202.913200000001</v>
      </c>
      <c r="G11" s="13">
        <f>_xll.BDH("ALNY US Equity","EV_EX_OPERATING_LEASE_LIABS","FQ3 2020","FQ3 2020","Currency=USD","Period=FQ","BEST_FPERIOD_OVERRIDE=FQ","FILING_STATUS=MR","SCALING_FORMAT=MLN","Sort=A","Dates=H","DateFormat=P","Fill=—","Direction=H","UseDPDF=Y")</f>
        <v>15076.5448</v>
      </c>
      <c r="H11" s="13">
        <f>_xll.BDH("ALNY US Equity","EV_EX_OPERATING_LEASE_LIABS","FQ4 2020","FQ4 2020","Currency=USD","Period=FQ","BEST_FPERIOD_OVERRIDE=FQ","FILING_STATUS=MR","SCALING_FORMAT=MLN","Sort=A","Dates=H","DateFormat=P","Fill=—","Direction=H","UseDPDF=Y")</f>
        <v>13448.9002</v>
      </c>
      <c r="I11" s="13">
        <f>_xll.BDH("ALNY US Equity","EV_EX_OPERATING_LEASE_LIABS","FQ1 2021","FQ1 2021","Currency=USD","Period=FQ","BEST_FPERIOD_OVERRIDE=FQ","FILING_STATUS=MR","SCALING_FORMAT=MLN","Sort=A","Dates=H","DateFormat=P","Fill=—","Direction=H","UseDPDF=Y")</f>
        <v>15046.605</v>
      </c>
      <c r="J11" s="13">
        <f>_xll.BDH("ALNY US Equity","EV_EX_OPERATING_LEASE_LIABS","FQ2 2021","FQ2 2021","Currency=USD","Period=FQ","BEST_FPERIOD_OVERRIDE=FQ","FILING_STATUS=MR","SCALING_FORMAT=MLN","Sort=A","Dates=H","DateFormat=P","Fill=—","Direction=H","UseDPDF=Y")</f>
        <v>18637.462899999999</v>
      </c>
      <c r="K11" s="13">
        <f>_xll.BDH("ALNY US Equity","EV_EX_OPERATING_LEASE_LIABS","FQ3 2021","FQ3 2021","Currency=USD","Period=FQ","BEST_FPERIOD_OVERRIDE=FQ","FILING_STATUS=MR","SCALING_FORMAT=MLN","Sort=A","Dates=H","DateFormat=P","Fill=—","Direction=H","UseDPDF=Y")</f>
        <v>20664.952799999999</v>
      </c>
      <c r="L11" s="13">
        <f>_xll.BDH("ALNY US Equity","EV_EX_OPERATING_LEASE_LIABS","FQ4 2021","FQ4 2021","Currency=USD","Period=FQ","BEST_FPERIOD_OVERRIDE=FQ","FILING_STATUS=MR","SCALING_FORMAT=MLN","Sort=A","Dates=H","DateFormat=P","Fill=—","Direction=H","UseDPDF=Y")</f>
        <v>18620.596600000001</v>
      </c>
      <c r="M11" s="13">
        <f>_xll.BDH("ALNY US Equity","EV_EX_OPERATING_LEASE_LIABS","FQ1 2022","FQ1 2022","Currency=USD","Period=FQ","BEST_FPERIOD_OVERRIDE=FQ","FILING_STATUS=MR","SCALING_FORMAT=MLN","Sort=A","Dates=H","DateFormat=P","Fill=—","Direction=H","UseDPDF=Y")</f>
        <v>18150.985400000001</v>
      </c>
      <c r="N11" s="13">
        <f>_xll.BDH("ALNY US Equity","EV_EX_OPERATING_LEASE_LIABS","FQ2 2022","FQ2 2022","Currency=USD","Period=FQ","BEST_FPERIOD_OVERRIDE=FQ","FILING_STATUS=MR","SCALING_FORMAT=MLN","Sort=A","Dates=H","DateFormat=P","Fill=—","Direction=H","UseDPDF=Y")</f>
        <v>16213.7932</v>
      </c>
      <c r="O11" s="13">
        <f>_xll.BDH("ALNY US Equity","EV_EX_OPERATING_LEASE_LIABS","FQ3 2022","FQ3 2022","Currency=USD","Period=FQ","BEST_FPERIOD_OVERRIDE=FQ","FILING_STATUS=MR","SCALING_FORMAT=MLN","Sort=A","Dates=H","DateFormat=P","Fill=—","Direction=H","UseDPDF=Y")</f>
        <v>23584.422600000002</v>
      </c>
      <c r="P11" s="13">
        <f>_xll.BDH("ALNY US Equity","EV_EX_OPERATING_LEASE_LIABS","FQ4 2022","FQ4 2022","Currency=USD","Period=FQ","BEST_FPERIOD_OVERRIDE=FQ","FILING_STATUS=MR","SCALING_FORMAT=MLN","Sort=A","Dates=H","DateFormat=P","Fill=—","Direction=H","UseDPDF=Y")</f>
        <v>28275.312300000001</v>
      </c>
      <c r="Q11" s="13">
        <f>_xll.BDH("ALNY US Equity","EV_EX_OPERATING_LEASE_LIABS","FQ1 2023","FQ1 2023","Currency=USD","Period=FQ","BEST_FPERIOD_OVERRIDE=FQ","FILING_STATUS=MR","SCALING_FORMAT=MLN","Sort=A","Dates=H","DateFormat=P","Fill=—","Direction=H","UseDPDF=Y")</f>
        <v>23835.169099999999</v>
      </c>
      <c r="R11" s="13">
        <f>_xll.BDH("ALNY US Equity","EV_EX_OPERATING_LEASE_LIABS","FQ2 2023","FQ2 2023","Currency=USD","Period=FQ","BEST_FPERIOD_OVERRIDE=FQ","FILING_STATUS=MR","SCALING_FORMAT=MLN","Sort=A","Dates=H","DateFormat=P","Fill=—","Direction=H","UseDPDF=Y")</f>
        <v>22559.6715</v>
      </c>
      <c r="S11" s="13">
        <f>_xll.BDH("ALNY US Equity","EV_EX_OPERATING_LEASE_LIABS","FQ3 2023","FQ3 2023","Currency=USD","Period=FQ","BEST_FPERIOD_OVERRIDE=FQ","FILING_STATUS=MR","SCALING_FORMAT=MLN","Sort=A","Dates=H","DateFormat=P","Fill=—","Direction=H","UseDPDF=Y")</f>
        <v>20831.434399999998</v>
      </c>
      <c r="T11" s="13">
        <f>_xll.BDH("ALNY US Equity","EV_EX_OPERATING_LEASE_LIABS","FQ4 2023","FQ4 2023","Currency=USD","Period=FQ","BEST_FPERIOD_OVERRIDE=FQ","FILING_STATUS=MR","SCALING_FORMAT=MLN","Sort=A","Dates=H","DateFormat=P","Fill=—","Direction=H","UseDPDF=Y")</f>
        <v>22659.623500000002</v>
      </c>
      <c r="U11" s="13">
        <f>_xll.BDH("ALNY US Equity","EV_EX_OPERATING_LEASE_LIABS","FQ1 2024","FQ1 2024","Currency=USD","Period=FQ","BEST_FPERIOD_OVERRIDE=FQ","FILING_STATUS=MR","SCALING_FORMAT=MLN","Sort=A","Dates=H","DateFormat=P","Fill=—","Direction=H","UseDPDF=Y")</f>
        <v>17550.345399999998</v>
      </c>
      <c r="V11" s="13">
        <f>_xll.BDH("ALNY US Equity","EV_EX_OPERATING_LEASE_LIABS","FQ2 2024","FQ2 2024","Currency=USD","Period=FQ","BEST_FPERIOD_OVERRIDE=FQ","FILING_STATUS=MR","SCALING_FORMAT=MLN","Sort=A","Dates=H","DateFormat=P","Fill=—","Direction=H","UseDPDF=Y")</f>
        <v>30849.722000000002</v>
      </c>
      <c r="W11" s="13">
        <f>_xll.BDH("ALNY US Equity","EV_EX_OPERATING_LEASE_LIABS","FQ3 2024","FQ3 2024","Currency=USD","Period=FQ","BEST_FPERIOD_OVERRIDE=FQ","FILING_STATUS=MR","SCALING_FORMAT=MLN","Sort=A","Dates=H","DateFormat=P","Fill=—","Direction=H","UseDPDF=Y")</f>
        <v>33678.559200000003</v>
      </c>
      <c r="X11" s="13">
        <f>_xll.BDH("ALNY US Equity","EV_EX_OPERATING_LEASE_LIABS","FQ4 2024","FQ4 2024","Currency=USD","Period=FQ","BEST_FPERIOD_OVERRIDE=FQ","FILING_STATUS=MR","SCALING_FORMAT=MLN","Sort=A","Dates=H","DateFormat=P","Fill=—","Direction=H","UseDPDF=Y")</f>
        <v>28754.288100000002</v>
      </c>
      <c r="Y11" s="16">
        <v>33244.892887200003</v>
      </c>
      <c r="Z11" s="13"/>
      <c r="AA11" s="13"/>
    </row>
    <row r="12" spans="1:27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5"/>
      <c r="Z12" s="12"/>
      <c r="AA12" s="12"/>
    </row>
    <row r="13" spans="1:27" x14ac:dyDescent="0.25">
      <c r="A13" s="10" t="s">
        <v>172</v>
      </c>
      <c r="B13" s="10" t="s">
        <v>287</v>
      </c>
      <c r="C13" s="13">
        <f>_xll.BDH("ALNY US Equity","TOT_CPTL_EX_OPERATING_LEA_LIABS","FQ3 2019","FQ3 2019","Currency=USD","Period=FQ","BEST_FPERIOD_OVERRIDE=FQ","FILING_STATUS=MR","SCALING_FORMAT=MLN","Sort=A","Dates=H","DateFormat=P","Fill=—","Direction=H","UseDPDF=Y")</f>
        <v>1607.087</v>
      </c>
      <c r="D13" s="13">
        <f>_xll.BDH("ALNY US Equity","TOT_CPTL_EX_OPERATING_LEA_LIABS","FQ4 2019","FQ4 2019","Currency=USD","Period=FQ","BEST_FPERIOD_OVERRIDE=FQ","FILING_STATUS=MR","SCALING_FORMAT=MLN","Sort=A","Dates=H","DateFormat=P","Fill=—","Direction=H","UseDPDF=Y")</f>
        <v>1438.692</v>
      </c>
      <c r="E13" s="13">
        <f>_xll.BDH("ALNY US Equity","TOT_CPTL_EX_OPERATING_LEA_LIABS","FQ1 2020","FQ1 2020","Currency=USD","Period=FQ","BEST_FPERIOD_OVERRIDE=FQ","FILING_STATUS=MR","SCALING_FORMAT=MLN","Sort=A","Dates=H","DateFormat=P","Fill=—","Direction=H","UseDPDF=Y")</f>
        <v>1349.729</v>
      </c>
      <c r="F13" s="13">
        <f>_xll.BDH("ALNY US Equity","TOT_CPTL_EX_OPERATING_LEA_LIABS","FQ2 2020","FQ2 2020","Currency=USD","Period=FQ","BEST_FPERIOD_OVERRIDE=FQ","FILING_STATUS=MR","SCALING_FORMAT=MLN","Sort=A","Dates=H","DateFormat=P","Fill=—","Direction=H","UseDPDF=Y")</f>
        <v>1399.7260000000001</v>
      </c>
      <c r="G13" s="13">
        <f>_xll.BDH("ALNY US Equity","TOT_CPTL_EX_OPERATING_LEA_LIABS","FQ3 2020","FQ3 2020","Currency=USD","Period=FQ","BEST_FPERIOD_OVERRIDE=FQ","FILING_STATUS=MR","SCALING_FORMAT=MLN","Sort=A","Dates=H","DateFormat=P","Fill=—","Direction=H","UseDPDF=Y")</f>
        <v>1215.0229999999999</v>
      </c>
      <c r="H13" s="13">
        <f>_xll.BDH("ALNY US Equity","TOT_CPTL_EX_OPERATING_LEA_LIABS","FQ4 2020","FQ4 2020","Currency=USD","Period=FQ","BEST_FPERIOD_OVERRIDE=FQ","FILING_STATUS=MR","SCALING_FORMAT=MLN","Sort=A","Dates=H","DateFormat=P","Fill=—","Direction=H","UseDPDF=Y")</f>
        <v>1207.5250000000001</v>
      </c>
      <c r="I13" s="13">
        <f>_xll.BDH("ALNY US Equity","TOT_CPTL_EX_OPERATING_LEA_LIABS","FQ1 2021","FQ1 2021","Currency=USD","Period=FQ","BEST_FPERIOD_OVERRIDE=FQ","FILING_STATUS=MR","SCALING_FORMAT=MLN","Sort=A","Dates=H","DateFormat=P","Fill=—","Direction=H","UseDPDF=Y")</f>
        <v>1117.78</v>
      </c>
      <c r="J13" s="13">
        <f>_xll.BDH("ALNY US Equity","TOT_CPTL_EX_OPERATING_LEA_LIABS","FQ2 2021","FQ2 2021","Currency=USD","Period=FQ","BEST_FPERIOD_OVERRIDE=FQ","FILING_STATUS=MR","SCALING_FORMAT=MLN","Sort=A","Dates=H","DateFormat=P","Fill=—","Direction=H","UseDPDF=Y")</f>
        <v>1286.5129999999999</v>
      </c>
      <c r="K13" s="13">
        <f>_xll.BDH("ALNY US Equity","TOT_CPTL_EX_OPERATING_LEA_LIABS","FQ3 2021","FQ3 2021","Currency=USD","Period=FQ","BEST_FPERIOD_OVERRIDE=FQ","FILING_STATUS=MR","SCALING_FORMAT=MLN","Sort=A","Dates=H","DateFormat=P","Fill=—","Direction=H","UseDPDF=Y")</f>
        <v>1189.692</v>
      </c>
      <c r="L13" s="13">
        <f>_xll.BDH("ALNY US Equity","TOT_CPTL_EX_OPERATING_LEA_LIABS","FQ4 2021","FQ4 2021","Currency=USD","Period=FQ","BEST_FPERIOD_OVERRIDE=FQ","FILING_STATUS=MR","SCALING_FORMAT=MLN","Sort=A","Dates=H","DateFormat=P","Fill=—","Direction=H","UseDPDF=Y")</f>
        <v>1263.9000000000001</v>
      </c>
      <c r="M13" s="13">
        <f>_xll.BDH("ALNY US Equity","TOT_CPTL_EX_OPERATING_LEA_LIABS","FQ1 2022","FQ1 2022","Currency=USD","Period=FQ","BEST_FPERIOD_OVERRIDE=FQ","FILING_STATUS=MR","SCALING_FORMAT=MLN","Sort=A","Dates=H","DateFormat=P","Fill=—","Direction=H","UseDPDF=Y")</f>
        <v>1077.876</v>
      </c>
      <c r="N13" s="13">
        <f>_xll.BDH("ALNY US Equity","TOT_CPTL_EX_OPERATING_LEA_LIABS","FQ2 2022","FQ2 2022","Currency=USD","Period=FQ","BEST_FPERIOD_OVERRIDE=FQ","FILING_STATUS=MR","SCALING_FORMAT=MLN","Sort=A","Dates=H","DateFormat=P","Fill=—","Direction=H","UseDPDF=Y")</f>
        <v>853.76300000000003</v>
      </c>
      <c r="O13" s="13">
        <f>_xll.BDH("ALNY US Equity","TOT_CPTL_EX_OPERATING_LEA_LIABS","FQ3 2022","FQ3 2022","Currency=USD","Period=FQ","BEST_FPERIOD_OVERRIDE=FQ","FILING_STATUS=MR","SCALING_FORMAT=MLN","Sort=A","Dates=H","DateFormat=P","Fill=—","Direction=H","UseDPDF=Y")</f>
        <v>1164.2349999999999</v>
      </c>
      <c r="P13" s="13">
        <f>_xll.BDH("ALNY US Equity","TOT_CPTL_EX_OPERATING_LEA_LIABS","FQ4 2022","FQ4 2022","Currency=USD","Period=FQ","BEST_FPERIOD_OVERRIDE=FQ","FILING_STATUS=MR","SCALING_FORMAT=MLN","Sort=A","Dates=H","DateFormat=P","Fill=—","Direction=H","UseDPDF=Y")</f>
        <v>858.71900000000005</v>
      </c>
      <c r="Q13" s="13">
        <f>_xll.BDH("ALNY US Equity","TOT_CPTL_EX_OPERATING_LEA_LIABS","FQ1 2023","FQ1 2023","Currency=USD","Period=FQ","BEST_FPERIOD_OVERRIDE=FQ","FILING_STATUS=MR","SCALING_FORMAT=MLN","Sort=A","Dates=H","DateFormat=P","Fill=—","Direction=H","UseDPDF=Y")</f>
        <v>758.64700000000005</v>
      </c>
      <c r="R13" s="13">
        <f>_xll.BDH("ALNY US Equity","TOT_CPTL_EX_OPERATING_LEA_LIABS","FQ2 2023","FQ2 2023","Currency=USD","Period=FQ","BEST_FPERIOD_OVERRIDE=FQ","FILING_STATUS=MR","SCALING_FORMAT=MLN","Sort=A","Dates=H","DateFormat=P","Fill=—","Direction=H","UseDPDF=Y")</f>
        <v>610.71199999999999</v>
      </c>
      <c r="S13" s="13">
        <f>_xll.BDH("ALNY US Equity","TOT_CPTL_EX_OPERATING_LEA_LIABS","FQ3 2023","FQ3 2023","Currency=USD","Period=FQ","BEST_FPERIOD_OVERRIDE=FQ","FILING_STATUS=MR","SCALING_FORMAT=MLN","Sort=A","Dates=H","DateFormat=P","Fill=—","Direction=H","UseDPDF=Y")</f>
        <v>853.94299999999998</v>
      </c>
      <c r="T13" s="13">
        <f>_xll.BDH("ALNY US Equity","TOT_CPTL_EX_OPERATING_LEA_LIABS","FQ4 2023","FQ4 2023","Currency=USD","Period=FQ","BEST_FPERIOD_OVERRIDE=FQ","FILING_STATUS=MR","SCALING_FORMAT=MLN","Sort=A","Dates=H","DateFormat=P","Fill=—","Direction=H","UseDPDF=Y")</f>
        <v>800.13199999999995</v>
      </c>
      <c r="U13" s="13">
        <f>_xll.BDH("ALNY US Equity","TOT_CPTL_EX_OPERATING_LEA_LIABS","FQ1 2024","FQ1 2024","Currency=USD","Period=FQ","BEST_FPERIOD_OVERRIDE=FQ","FILING_STATUS=MR","SCALING_FORMAT=MLN","Sort=A","Dates=H","DateFormat=P","Fill=—","Direction=H","UseDPDF=Y")</f>
        <v>802.46</v>
      </c>
      <c r="V13" s="13">
        <f>_xll.BDH("ALNY US Equity","TOT_CPTL_EX_OPERATING_LEA_LIABS","FQ2 2024","FQ2 2024","Currency=USD","Period=FQ","BEST_FPERIOD_OVERRIDE=FQ","FILING_STATUS=MR","SCALING_FORMAT=MLN","Sort=A","Dates=H","DateFormat=P","Fill=—","Direction=H","UseDPDF=Y")</f>
        <v>2362.201</v>
      </c>
      <c r="W13" s="13">
        <f>_xll.BDH("ALNY US Equity","TOT_CPTL_EX_OPERATING_LEA_LIABS","FQ3 2024","FQ3 2024","Currency=USD","Period=FQ","BEST_FPERIOD_OVERRIDE=FQ","FILING_STATUS=MR","SCALING_FORMAT=MLN","Sort=A","Dates=H","DateFormat=P","Fill=—","Direction=H","UseDPDF=Y")</f>
        <v>1056.008</v>
      </c>
      <c r="X13" s="13">
        <f>_xll.BDH("ALNY US Equity","TOT_CPTL_EX_OPERATING_LEA_LIABS","FQ4 2024","FQ4 2024","Currency=USD","Period=FQ","BEST_FPERIOD_OVERRIDE=FQ","FILING_STATUS=MR","SCALING_FORMAT=MLN","Sort=A","Dates=H","DateFormat=P","Fill=—","Direction=H","UseDPDF=Y")</f>
        <v>1091.7090000000001</v>
      </c>
      <c r="Y13" s="16">
        <v>1091.7090000000001</v>
      </c>
      <c r="Z13" s="13"/>
      <c r="AA13" s="13"/>
    </row>
    <row r="14" spans="1:27" x14ac:dyDescent="0.25">
      <c r="A14" s="10" t="s">
        <v>174</v>
      </c>
      <c r="B14" s="10" t="s">
        <v>288</v>
      </c>
      <c r="C14" s="14">
        <f>_xll.BDH("ALNY US Equity","TOT_DBT_TO_CPTL_EX_OP_LEA_LIABS","FQ3 2019","FQ3 2019","Currency=USD","Period=FQ","BEST_FPERIOD_OVERRIDE=FQ","FILING_STATUS=MR","Sort=A","Dates=H","DateFormat=P","Fill=—","Direction=H","UseDPDF=Y")</f>
        <v>0</v>
      </c>
      <c r="D14" s="14">
        <f>_xll.BDH("ALNY US Equity","TOT_DBT_TO_CPTL_EX_OP_LEA_LIABS","FQ4 2019","FQ4 2019","Currency=USD","Period=FQ","BEST_FPERIOD_OVERRIDE=FQ","FILING_STATUS=MR","Sort=A","Dates=H","DateFormat=P","Fill=—","Direction=H","UseDPDF=Y")</f>
        <v>0</v>
      </c>
      <c r="E14" s="14">
        <f>_xll.BDH("ALNY US Equity","TOT_DBT_TO_CPTL_EX_OP_LEA_LIABS","FQ1 2020","FQ1 2020","Currency=USD","Period=FQ","BEST_FPERIOD_OVERRIDE=FQ","FILING_STATUS=MR","Sort=A","Dates=H","DateFormat=P","Fill=—","Direction=H","UseDPDF=Y")</f>
        <v>0</v>
      </c>
      <c r="F14" s="14">
        <f>_xll.BDH("ALNY US Equity","TOT_DBT_TO_CPTL_EX_OP_LEA_LIABS","FQ2 2020","FQ2 2020","Currency=USD","Period=FQ","BEST_FPERIOD_OVERRIDE=FQ","FILING_STATUS=MR","Sort=A","Dates=H","DateFormat=P","Fill=—","Direction=H","UseDPDF=Y")</f>
        <v>0</v>
      </c>
      <c r="G14" s="14">
        <f>_xll.BDH("ALNY US Equity","TOT_DBT_TO_CPTL_EX_OP_LEA_LIABS","FQ3 2020","FQ3 2020","Currency=USD","Period=FQ","BEST_FPERIOD_OVERRIDE=FQ","FILING_STATUS=MR","Sort=A","Dates=H","DateFormat=P","Fill=—","Direction=H","UseDPDF=Y")</f>
        <v>0</v>
      </c>
      <c r="H14" s="14">
        <f>_xll.BDH("ALNY US Equity","TOT_DBT_TO_CPTL_EX_OP_LEA_LIABS","FQ4 2020","FQ4 2020","Currency=USD","Period=FQ","BEST_FPERIOD_OVERRIDE=FQ","FILING_STATUS=MR","Sort=A","Dates=H","DateFormat=P","Fill=—","Direction=H","UseDPDF=Y")</f>
        <v>15.8405</v>
      </c>
      <c r="I14" s="14">
        <f>_xll.BDH("ALNY US Equity","TOT_DBT_TO_CPTL_EX_OP_LEA_LIABS","FQ1 2021","FQ1 2021","Currency=USD","Period=FQ","BEST_FPERIOD_OVERRIDE=FQ","FILING_STATUS=MR","Sort=A","Dates=H","DateFormat=P","Fill=—","Direction=H","UseDPDF=Y")</f>
        <v>17.1402</v>
      </c>
      <c r="J14" s="14">
        <f>_xll.BDH("ALNY US Equity","TOT_DBT_TO_CPTL_EX_OP_LEA_LIABS","FQ2 2021","FQ2 2021","Currency=USD","Period=FQ","BEST_FPERIOD_OVERRIDE=FQ","FILING_STATUS=MR","Sort=A","Dates=H","DateFormat=P","Fill=—","Direction=H","UseDPDF=Y")</f>
        <v>33.668599999999998</v>
      </c>
      <c r="K14" s="14">
        <f>_xll.BDH("ALNY US Equity","TOT_DBT_TO_CPTL_EX_OP_LEA_LIABS","FQ3 2021","FQ3 2021","Currency=USD","Period=FQ","BEST_FPERIOD_OVERRIDE=FQ","FILING_STATUS=MR","Sort=A","Dates=H","DateFormat=P","Fill=—","Direction=H","UseDPDF=Y")</f>
        <v>36.463099999999997</v>
      </c>
      <c r="L14" s="14">
        <f>_xll.BDH("ALNY US Equity","TOT_DBT_TO_CPTL_EX_OP_LEA_LIABS","FQ4 2021","FQ4 2021","Currency=USD","Period=FQ","BEST_FPERIOD_OVERRIDE=FQ","FILING_STATUS=MR","Sort=A","Dates=H","DateFormat=P","Fill=—","Direction=H","UseDPDF=Y")</f>
        <v>53.461300000000001</v>
      </c>
      <c r="M14" s="14">
        <f>_xll.BDH("ALNY US Equity","TOT_DBT_TO_CPTL_EX_OP_LEA_LIABS","FQ1 2022","FQ1 2022","Currency=USD","Period=FQ","BEST_FPERIOD_OVERRIDE=FQ","FILING_STATUS=MR","Sort=A","Dates=H","DateFormat=P","Fill=—","Direction=H","UseDPDF=Y")</f>
        <v>62.781799999999997</v>
      </c>
      <c r="N14" s="14">
        <f>_xll.BDH("ALNY US Equity","TOT_DBT_TO_CPTL_EX_OP_LEA_LIABS","FQ2 2022","FQ2 2022","Currency=USD","Period=FQ","BEST_FPERIOD_OVERRIDE=FQ","FILING_STATUS=MR","Sort=A","Dates=H","DateFormat=P","Fill=—","Direction=H","UseDPDF=Y")</f>
        <v>79.380700000000004</v>
      </c>
      <c r="O14" s="14">
        <f>_xll.BDH("ALNY US Equity","TOT_DBT_TO_CPTL_EX_OP_LEA_LIABS","FQ3 2022","FQ3 2022","Currency=USD","Period=FQ","BEST_FPERIOD_OVERRIDE=FQ","FILING_STATUS=MR","Sort=A","Dates=H","DateFormat=P","Fill=—","Direction=H","UseDPDF=Y")</f>
        <v>105.80970000000001</v>
      </c>
      <c r="P14" s="14">
        <f>_xll.BDH("ALNY US Equity","TOT_DBT_TO_CPTL_EX_OP_LEA_LIABS","FQ4 2022","FQ4 2022","Currency=USD","Period=FQ","BEST_FPERIOD_OVERRIDE=FQ","FILING_STATUS=MR","Sort=A","Dates=H","DateFormat=P","Fill=—","Direction=H","UseDPDF=Y")</f>
        <v>118.4255</v>
      </c>
      <c r="Q14" s="14">
        <f>_xll.BDH("ALNY US Equity","TOT_DBT_TO_CPTL_EX_OP_LEA_LIABS","FQ1 2023","FQ1 2023","Currency=USD","Period=FQ","BEST_FPERIOD_OVERRIDE=FQ","FILING_STATUS=MR","Sort=A","Dates=H","DateFormat=P","Fill=—","Direction=H","UseDPDF=Y")</f>
        <v>134.17140000000001</v>
      </c>
      <c r="R14" s="14">
        <f>_xll.BDH("ALNY US Equity","TOT_DBT_TO_CPTL_EX_OP_LEA_LIABS","FQ2 2023","FQ2 2023","Currency=USD","Period=FQ","BEST_FPERIOD_OVERRIDE=FQ","FILING_STATUS=MR","Sort=A","Dates=H","DateFormat=P","Fill=—","Direction=H","UseDPDF=Y")</f>
        <v>166.8287</v>
      </c>
      <c r="S14" s="14">
        <f>_xll.BDH("ALNY US Equity","TOT_DBT_TO_CPTL_EX_OP_LEA_LIABS","FQ3 2023","FQ3 2023","Currency=USD","Period=FQ","BEST_FPERIOD_OVERRIDE=FQ","FILING_STATUS=MR","Sort=A","Dates=H","DateFormat=P","Fill=—","Direction=H","UseDPDF=Y")</f>
        <v>119.4235</v>
      </c>
      <c r="T14" s="14">
        <f>_xll.BDH("ALNY US Equity","TOT_DBT_TO_CPTL_EX_OP_LEA_LIABS","FQ4 2023","FQ4 2023","Currency=USD","Period=FQ","BEST_FPERIOD_OVERRIDE=FQ","FILING_STATUS=MR","Sort=A","Dates=H","DateFormat=P","Fill=—","Direction=H","UseDPDF=Y")</f>
        <v>127.5759</v>
      </c>
      <c r="U14" s="14">
        <f>_xll.BDH("ALNY US Equity","TOT_DBT_TO_CPTL_EX_OP_LEA_LIABS","FQ1 2024","FQ1 2024","Currency=USD","Period=FQ","BEST_FPERIOD_OVERRIDE=FQ","FILING_STATUS=MR","Sort=A","Dates=H","DateFormat=P","Fill=—","Direction=H","UseDPDF=Y")</f>
        <v>127.325</v>
      </c>
      <c r="V14" s="14">
        <f>_xll.BDH("ALNY US Equity","TOT_DBT_TO_CPTL_EX_OP_LEA_LIABS","FQ2 2024","FQ2 2024","Currency=USD","Period=FQ","BEST_FPERIOD_OVERRIDE=FQ","FILING_STATUS=MR","Sort=A","Dates=H","DateFormat=P","Fill=—","Direction=H","UseDPDF=Y")</f>
        <v>100.1298</v>
      </c>
      <c r="W14" s="14">
        <f>_xll.BDH("ALNY US Equity","TOT_DBT_TO_CPTL_EX_OP_LEA_LIABS","FQ3 2024","FQ3 2024","Currency=USD","Period=FQ","BEST_FPERIOD_OVERRIDE=FQ","FILING_STATUS=MR","Sort=A","Dates=H","DateFormat=P","Fill=—","Direction=H","UseDPDF=Y")</f>
        <v>96.936199999999999</v>
      </c>
      <c r="X14" s="14">
        <f>_xll.BDH("ALNY US Equity","TOT_DBT_TO_CPTL_EX_OP_LEA_LIABS","FQ4 2024","FQ4 2024","Currency=USD","Period=FQ","BEST_FPERIOD_OVERRIDE=FQ","FILING_STATUS=MR","Sort=A","Dates=H","DateFormat=P","Fill=—","Direction=H","UseDPDF=Y")</f>
        <v>93.854799999999997</v>
      </c>
      <c r="Y14" s="17">
        <v>93.854772654617605</v>
      </c>
      <c r="Z14" s="14"/>
      <c r="AA14" s="14"/>
    </row>
    <row r="15" spans="1:27" x14ac:dyDescent="0.25">
      <c r="A15" s="10" t="s">
        <v>176</v>
      </c>
      <c r="B15" s="10" t="s">
        <v>289</v>
      </c>
      <c r="C15" s="14">
        <f>_xll.BDH("ALNY US Equity","TOT_DEBT_TO_EV_EX_OPER_LEA_LIABS","FQ3 2019","FQ3 2019","Currency=USD","Period=FQ","BEST_FPERIOD_OVERRIDE=FQ","FILING_STATUS=MR","Sort=A","Dates=H","DateFormat=P","Fill=—","Direction=H","UseDPDF=Y")</f>
        <v>0</v>
      </c>
      <c r="D15" s="14">
        <f>_xll.BDH("ALNY US Equity","TOT_DEBT_TO_EV_EX_OPER_LEA_LIABS","FQ4 2019","FQ4 2019","Currency=USD","Period=FQ","BEST_FPERIOD_OVERRIDE=FQ","FILING_STATUS=MR","Sort=A","Dates=H","DateFormat=P","Fill=—","Direction=H","UseDPDF=Y")</f>
        <v>0</v>
      </c>
      <c r="E15" s="14">
        <f>_xll.BDH("ALNY US Equity","TOT_DEBT_TO_EV_EX_OPER_LEA_LIABS","FQ1 2020","FQ1 2020","Currency=USD","Period=FQ","BEST_FPERIOD_OVERRIDE=FQ","FILING_STATUS=MR","Sort=A","Dates=H","DateFormat=P","Fill=—","Direction=H","UseDPDF=Y")</f>
        <v>0</v>
      </c>
      <c r="F15" s="14">
        <f>_xll.BDH("ALNY US Equity","TOT_DEBT_TO_EV_EX_OPER_LEA_LIABS","FQ2 2020","FQ2 2020","Currency=USD","Period=FQ","BEST_FPERIOD_OVERRIDE=FQ","FILING_STATUS=MR","Sort=A","Dates=H","DateFormat=P","Fill=—","Direction=H","UseDPDF=Y")</f>
        <v>0</v>
      </c>
      <c r="G15" s="14">
        <f>_xll.BDH("ALNY US Equity","TOT_DEBT_TO_EV_EX_OPER_LEA_LIABS","FQ3 2020","FQ3 2020","Currency=USD","Period=FQ","BEST_FPERIOD_OVERRIDE=FQ","FILING_STATUS=MR","Sort=A","Dates=H","DateFormat=P","Fill=—","Direction=H","UseDPDF=Y")</f>
        <v>0</v>
      </c>
      <c r="H15" s="14">
        <f>_xll.BDH("ALNY US Equity","TOT_DEBT_TO_EV_EX_OPER_LEA_LIABS","FQ4 2020","FQ4 2020","Currency=USD","Period=FQ","BEST_FPERIOD_OVERRIDE=FQ","FILING_STATUS=MR","Sort=A","Dates=H","DateFormat=P","Fill=—","Direction=H","UseDPDF=Y")</f>
        <v>1.4200000000000001E-2</v>
      </c>
      <c r="I15" s="14">
        <f>_xll.BDH("ALNY US Equity","TOT_DEBT_TO_EV_EX_OPER_LEA_LIABS","FQ1 2021","FQ1 2021","Currency=USD","Period=FQ","BEST_FPERIOD_OVERRIDE=FQ","FILING_STATUS=MR","Sort=A","Dates=H","DateFormat=P","Fill=—","Direction=H","UseDPDF=Y")</f>
        <v>1.2699999999999999E-2</v>
      </c>
      <c r="J15" s="14">
        <f>_xll.BDH("ALNY US Equity","TOT_DEBT_TO_EV_EX_OPER_LEA_LIABS","FQ2 2021","FQ2 2021","Currency=USD","Period=FQ","BEST_FPERIOD_OVERRIDE=FQ","FILING_STATUS=MR","Sort=A","Dates=H","DateFormat=P","Fill=—","Direction=H","UseDPDF=Y")</f>
        <v>2.3199999999999998E-2</v>
      </c>
      <c r="K15" s="14">
        <f>_xll.BDH("ALNY US Equity","TOT_DEBT_TO_EV_EX_OPER_LEA_LIABS","FQ3 2021","FQ3 2021","Currency=USD","Period=FQ","BEST_FPERIOD_OVERRIDE=FQ","FILING_STATUS=MR","Sort=A","Dates=H","DateFormat=P","Fill=—","Direction=H","UseDPDF=Y")</f>
        <v>2.1000000000000001E-2</v>
      </c>
      <c r="L15" s="14">
        <f>_xll.BDH("ALNY US Equity","TOT_DEBT_TO_EV_EX_OPER_LEA_LIABS","FQ4 2021","FQ4 2021","Currency=USD","Period=FQ","BEST_FPERIOD_OVERRIDE=FQ","FILING_STATUS=MR","Sort=A","Dates=H","DateFormat=P","Fill=—","Direction=H","UseDPDF=Y")</f>
        <v>3.6299999999999999E-2</v>
      </c>
      <c r="M15" s="14">
        <f>_xll.BDH("ALNY US Equity","TOT_DEBT_TO_EV_EX_OPER_LEA_LIABS","FQ1 2022","FQ1 2022","Currency=USD","Period=FQ","BEST_FPERIOD_OVERRIDE=FQ","FILING_STATUS=MR","Sort=A","Dates=H","DateFormat=P","Fill=—","Direction=H","UseDPDF=Y")</f>
        <v>3.73E-2</v>
      </c>
      <c r="N15" s="14">
        <f>_xll.BDH("ALNY US Equity","TOT_DEBT_TO_EV_EX_OPER_LEA_LIABS","FQ2 2022","FQ2 2022","Currency=USD","Period=FQ","BEST_FPERIOD_OVERRIDE=FQ","FILING_STATUS=MR","Sort=A","Dates=H","DateFormat=P","Fill=—","Direction=H","UseDPDF=Y")</f>
        <v>4.1799999999999997E-2</v>
      </c>
      <c r="O15" s="14">
        <f>_xll.BDH("ALNY US Equity","TOT_DEBT_TO_EV_EX_OPER_LEA_LIABS","FQ3 2022","FQ3 2022","Currency=USD","Period=FQ","BEST_FPERIOD_OVERRIDE=FQ","FILING_STATUS=MR","Sort=A","Dates=H","DateFormat=P","Fill=—","Direction=H","UseDPDF=Y")</f>
        <v>5.2200000000000003E-2</v>
      </c>
      <c r="P15" s="14">
        <f>_xll.BDH("ALNY US Equity","TOT_DEBT_TO_EV_EX_OPER_LEA_LIABS","FQ4 2022","FQ4 2022","Currency=USD","Period=FQ","BEST_FPERIOD_OVERRIDE=FQ","FILING_STATUS=MR","Sort=A","Dates=H","DateFormat=P","Fill=—","Direction=H","UseDPDF=Y")</f>
        <v>3.5999999999999997E-2</v>
      </c>
      <c r="Q15" s="14">
        <f>_xll.BDH("ALNY US Equity","TOT_DEBT_TO_EV_EX_OPER_LEA_LIABS","FQ1 2023","FQ1 2023","Currency=USD","Period=FQ","BEST_FPERIOD_OVERRIDE=FQ","FILING_STATUS=MR","Sort=A","Dates=H","DateFormat=P","Fill=—","Direction=H","UseDPDF=Y")</f>
        <v>4.2700000000000002E-2</v>
      </c>
      <c r="R15" s="14">
        <f>_xll.BDH("ALNY US Equity","TOT_DEBT_TO_EV_EX_OPER_LEA_LIABS","FQ2 2023","FQ2 2023","Currency=USD","Period=FQ","BEST_FPERIOD_OVERRIDE=FQ","FILING_STATUS=MR","Sort=A","Dates=H","DateFormat=P","Fill=—","Direction=H","UseDPDF=Y")</f>
        <v>4.5199999999999997E-2</v>
      </c>
      <c r="S15" s="14">
        <f>_xll.BDH("ALNY US Equity","TOT_DEBT_TO_EV_EX_OPER_LEA_LIABS","FQ3 2023","FQ3 2023","Currency=USD","Period=FQ","BEST_FPERIOD_OVERRIDE=FQ","FILING_STATUS=MR","Sort=A","Dates=H","DateFormat=P","Fill=—","Direction=H","UseDPDF=Y")</f>
        <v>4.9000000000000002E-2</v>
      </c>
      <c r="T15" s="14">
        <f>_xll.BDH("ALNY US Equity","TOT_DEBT_TO_EV_EX_OPER_LEA_LIABS","FQ4 2023","FQ4 2023","Currency=USD","Period=FQ","BEST_FPERIOD_OVERRIDE=FQ","FILING_STATUS=MR","Sort=A","Dates=H","DateFormat=P","Fill=—","Direction=H","UseDPDF=Y")</f>
        <v>4.4999999999999998E-2</v>
      </c>
      <c r="U15" s="14">
        <f>_xll.BDH("ALNY US Equity","TOT_DEBT_TO_EV_EX_OPER_LEA_LIABS","FQ1 2024","FQ1 2024","Currency=USD","Period=FQ","BEST_FPERIOD_OVERRIDE=FQ","FILING_STATUS=MR","Sort=A","Dates=H","DateFormat=P","Fill=—","Direction=H","UseDPDF=Y")</f>
        <v>5.8200000000000002E-2</v>
      </c>
      <c r="V15" s="14">
        <f>_xll.BDH("ALNY US Equity","TOT_DEBT_TO_EV_EX_OPER_LEA_LIABS","FQ2 2024","FQ2 2024","Currency=USD","Period=FQ","BEST_FPERIOD_OVERRIDE=FQ","FILING_STATUS=MR","Sort=A","Dates=H","DateFormat=P","Fill=—","Direction=H","UseDPDF=Y")</f>
        <v>7.6700000000000004E-2</v>
      </c>
      <c r="W15" s="14">
        <f>_xll.BDH("ALNY US Equity","TOT_DEBT_TO_EV_EX_OPER_LEA_LIABS","FQ3 2024","FQ3 2024","Currency=USD","Period=FQ","BEST_FPERIOD_OVERRIDE=FQ","FILING_STATUS=MR","Sort=A","Dates=H","DateFormat=P","Fill=—","Direction=H","UseDPDF=Y")</f>
        <v>3.04E-2</v>
      </c>
      <c r="X15" s="14">
        <f>_xll.BDH("ALNY US Equity","TOT_DEBT_TO_EV_EX_OPER_LEA_LIABS","FQ4 2024","FQ4 2024","Currency=USD","Period=FQ","BEST_FPERIOD_OVERRIDE=FQ","FILING_STATUS=MR","Sort=A","Dates=H","DateFormat=P","Fill=—","Direction=H","UseDPDF=Y")</f>
        <v>3.56E-2</v>
      </c>
      <c r="Y15" s="17">
        <v>3.0820403106021198E-2</v>
      </c>
      <c r="Z15" s="14"/>
      <c r="AA15" s="14"/>
    </row>
    <row r="16" spans="1:27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5"/>
      <c r="Z16" s="12"/>
      <c r="AA16" s="12"/>
    </row>
    <row r="17" spans="1:27" x14ac:dyDescent="0.25">
      <c r="A17" s="10" t="s">
        <v>178</v>
      </c>
      <c r="B17" s="10" t="s">
        <v>290</v>
      </c>
      <c r="C17" s="14">
        <f>_xll.BDH("ALNY US Equity","EV_EX_OPER_LEA_LIABS_TO_SALES","FQ3 2019","FQ3 2019","Currency=USD","Period=FQ","BEST_FPERIOD_OVERRIDE=FQ","FILING_STATUS=MR","FA_ADJUSTED=GAAP","Sort=A","Dates=H","DateFormat=P","Fill=—","Direction=H","UseDPDF=Y")</f>
        <v>42.765300000000003</v>
      </c>
      <c r="D17" s="14">
        <f>_xll.BDH("ALNY US Equity","EV_EX_OPER_LEA_LIABS_TO_SALES","FQ4 2019","FQ4 2019","Currency=USD","Period=FQ","BEST_FPERIOD_OVERRIDE=FQ","FILING_STATUS=MR","FA_ADJUSTED=GAAP","Sort=A","Dates=H","DateFormat=P","Fill=—","Direction=H","UseDPDF=Y")</f>
        <v>51.806699999999999</v>
      </c>
      <c r="E17" s="14">
        <f>_xll.BDH("ALNY US Equity","EV_EX_OPER_LEA_LIABS_TO_SALES","FQ1 2020","FQ1 2020","Currency=USD","Period=FQ","BEST_FPERIOD_OVERRIDE=FQ","FILING_STATUS=MR","FA_ADJUSTED=GAAP","Sort=A","Dates=H","DateFormat=P","Fill=—","Direction=H","UseDPDF=Y")</f>
        <v>38.3872</v>
      </c>
      <c r="F17" s="14">
        <f>_xll.BDH("ALNY US Equity","EV_EX_OPER_LEA_LIABS_TO_SALES","FQ2 2020","FQ2 2020","Currency=USD","Period=FQ","BEST_FPERIOD_OVERRIDE=FQ","FILING_STATUS=MR","FA_ADJUSTED=GAAP","Sort=A","Dates=H","DateFormat=P","Fill=—","Direction=H","UseDPDF=Y")</f>
        <v>44.043399999999998</v>
      </c>
      <c r="G17" s="14">
        <f>_xll.BDH("ALNY US Equity","EV_EX_OPER_LEA_LIABS_TO_SALES","FQ3 2020","FQ3 2020","Currency=USD","Period=FQ","BEST_FPERIOD_OVERRIDE=FQ","FILING_STATUS=MR","FA_ADJUSTED=GAAP","Sort=A","Dates=H","DateFormat=P","Fill=—","Direction=H","UseDPDF=Y")</f>
        <v>37.6</v>
      </c>
      <c r="H17" s="14">
        <f>_xll.BDH("ALNY US Equity","EV_EX_OPER_LEA_LIABS_TO_SALES","FQ4 2020","FQ4 2020","Currency=USD","Period=FQ","BEST_FPERIOD_OVERRIDE=FQ","FILING_STATUS=MR","FA_ADJUSTED=GAAP","Sort=A","Dates=H","DateFormat=P","Fill=—","Direction=H","UseDPDF=Y")</f>
        <v>27.2879</v>
      </c>
      <c r="I17" s="14">
        <f>_xll.BDH("ALNY US Equity","EV_EX_OPER_LEA_LIABS_TO_SALES","FQ1 2021","FQ1 2021","Currency=USD","Period=FQ","BEST_FPERIOD_OVERRIDE=FQ","FILING_STATUS=MR","FA_ADJUSTED=GAAP","Sort=A","Dates=H","DateFormat=P","Fill=—","Direction=H","UseDPDF=Y")</f>
        <v>26.353999999999999</v>
      </c>
      <c r="J17" s="14">
        <f>_xll.BDH("ALNY US Equity","EV_EX_OPER_LEA_LIABS_TO_SALES","FQ2 2021","FQ2 2021","Currency=USD","Period=FQ","BEST_FPERIOD_OVERRIDE=FQ","FILING_STATUS=MR","FA_ADJUSTED=GAAP","Sort=A","Dates=H","DateFormat=P","Fill=—","Direction=H","UseDPDF=Y")</f>
        <v>27.107700000000001</v>
      </c>
      <c r="K17" s="14">
        <f>_xll.BDH("ALNY US Equity","EV_EX_OPER_LEA_LIABS_TO_SALES","FQ3 2021","FQ3 2021","Currency=USD","Period=FQ","BEST_FPERIOD_OVERRIDE=FQ","FILING_STATUS=MR","FA_ADJUSTED=GAAP","Sort=A","Dates=H","DateFormat=P","Fill=—","Direction=H","UseDPDF=Y")</f>
        <v>27.578499999999998</v>
      </c>
      <c r="L17" s="14">
        <f>_xll.BDH("ALNY US Equity","EV_EX_OPER_LEA_LIABS_TO_SALES","FQ4 2021","FQ4 2021","Currency=USD","Period=FQ","BEST_FPERIOD_OVERRIDE=FQ","FILING_STATUS=MR","FA_ADJUSTED=GAAP","Sort=A","Dates=H","DateFormat=P","Fill=—","Direction=H","UseDPDF=Y")</f>
        <v>22.0548</v>
      </c>
      <c r="M17" s="14">
        <f>_xll.BDH("ALNY US Equity","EV_EX_OPER_LEA_LIABS_TO_SALES","FQ1 2022","FQ1 2022","Currency=USD","Period=FQ","BEST_FPERIOD_OVERRIDE=FQ","FILING_STATUS=MR","FA_ADJUSTED=GAAP","Sort=A","Dates=H","DateFormat=P","Fill=—","Direction=H","UseDPDF=Y")</f>
        <v>20.6266</v>
      </c>
      <c r="N17" s="14">
        <f>_xll.BDH("ALNY US Equity","EV_EX_OPER_LEA_LIABS_TO_SALES","FQ2 2022","FQ2 2022","Currency=USD","Period=FQ","BEST_FPERIOD_OVERRIDE=FQ","FILING_STATUS=MR","FA_ADJUSTED=GAAP","Sort=A","Dates=H","DateFormat=P","Fill=—","Direction=H","UseDPDF=Y")</f>
        <v>18.336300000000001</v>
      </c>
      <c r="O17" s="14">
        <f>_xll.BDH("ALNY US Equity","EV_EX_OPER_LEA_LIABS_TO_SALES","FQ3 2022","FQ3 2022","Currency=USD","Period=FQ","BEST_FPERIOD_OVERRIDE=FQ","FILING_STATUS=MR","FA_ADJUSTED=GAAP","Sort=A","Dates=H","DateFormat=P","Fill=—","Direction=H","UseDPDF=Y")</f>
        <v>24.543600000000001</v>
      </c>
      <c r="P17" s="14">
        <f>_xll.BDH("ALNY US Equity","EV_EX_OPER_LEA_LIABS_TO_SALES","FQ4 2022","FQ4 2022","Currency=USD","Period=FQ","BEST_FPERIOD_OVERRIDE=FQ","FILING_STATUS=MR","FA_ADJUSTED=GAAP","Sort=A","Dates=H","DateFormat=P","Fill=—","Direction=H","UseDPDF=Y")</f>
        <v>27.255500000000001</v>
      </c>
      <c r="Q17" s="14">
        <f>_xll.BDH("ALNY US Equity","EV_EX_OPER_LEA_LIABS_TO_SALES","FQ1 2023","FQ1 2023","Currency=USD","Period=FQ","BEST_FPERIOD_OVERRIDE=FQ","FILING_STATUS=MR","FA_ADJUSTED=GAAP","Sort=A","Dates=H","DateFormat=P","Fill=—","Direction=H","UseDPDF=Y")</f>
        <v>20.844999999999999</v>
      </c>
      <c r="R17" s="14">
        <f>_xll.BDH("ALNY US Equity","EV_EX_OPER_LEA_LIABS_TO_SALES","FQ2 2023","FQ2 2023","Currency=USD","Period=FQ","BEST_FPERIOD_OVERRIDE=FQ","FILING_STATUS=MR","FA_ADJUSTED=GAAP","Sort=A","Dates=H","DateFormat=P","Fill=—","Direction=H","UseDPDF=Y")</f>
        <v>18.2317</v>
      </c>
      <c r="S17" s="14">
        <f>_xll.BDH("ALNY US Equity","EV_EX_OPER_LEA_LIABS_TO_SALES","FQ3 2023","FQ3 2023","Currency=USD","Period=FQ","BEST_FPERIOD_OVERRIDE=FQ","FILING_STATUS=MR","FA_ADJUSTED=GAAP","Sort=A","Dates=H","DateFormat=P","Fill=—","Direction=H","UseDPDF=Y")</f>
        <v>12.085900000000001</v>
      </c>
      <c r="T17" s="14">
        <f>_xll.BDH("ALNY US Equity","EV_EX_OPER_LEA_LIABS_TO_SALES","FQ4 2023","FQ4 2023","Currency=USD","Period=FQ","BEST_FPERIOD_OVERRIDE=FQ","FILING_STATUS=MR","FA_ADJUSTED=GAAP","Sort=A","Dates=H","DateFormat=P","Fill=—","Direction=H","UseDPDF=Y")</f>
        <v>12.3939</v>
      </c>
      <c r="U17" s="14">
        <f>_xll.BDH("ALNY US Equity","EV_EX_OPER_LEA_LIABS_TO_SALES","FQ1 2024","FQ1 2024","Currency=USD","Period=FQ","BEST_FPERIOD_OVERRIDE=FQ","FILING_STATUS=MR","FA_ADJUSTED=GAAP","Sort=A","Dates=H","DateFormat=P","Fill=—","Direction=H","UseDPDF=Y")</f>
        <v>8.7606000000000002</v>
      </c>
      <c r="V17" s="14">
        <f>_xll.BDH("ALNY US Equity","EV_EX_OPER_LEA_LIABS_TO_SALES","FQ2 2024","FQ2 2024","Currency=USD","Period=FQ","BEST_FPERIOD_OVERRIDE=FQ","FILING_STATUS=MR","FA_ADJUSTED=GAAP","Sort=A","Dates=H","DateFormat=P","Fill=—","Direction=H","UseDPDF=Y")</f>
        <v>13.158899999999999</v>
      </c>
      <c r="W17" s="14">
        <f>_xll.BDH("ALNY US Equity","EV_EX_OPER_LEA_LIABS_TO_SALES","FQ3 2024","FQ3 2024","Currency=USD","Period=FQ","BEST_FPERIOD_OVERRIDE=FQ","FILING_STATUS=MR","FA_ADJUSTED=GAAP","Sort=A","Dates=H","DateFormat=P","Fill=—","Direction=H","UseDPDF=Y")</f>
        <v>16.077300000000001</v>
      </c>
      <c r="X17" s="14">
        <f>_xll.BDH("ALNY US Equity","EV_EX_OPER_LEA_LIABS_TO_SALES","FQ4 2024","FQ4 2024","Currency=USD","Period=FQ","BEST_FPERIOD_OVERRIDE=FQ","FILING_STATUS=MR","FA_ADJUSTED=GAAP","Sort=A","Dates=H","DateFormat=P","Fill=—","Direction=H","UseDPDF=Y")</f>
        <v>12.7897</v>
      </c>
      <c r="Y17" s="17">
        <v>14.787054996813101</v>
      </c>
      <c r="Z17" s="14">
        <v>11.609835927712499</v>
      </c>
      <c r="AA17" s="14">
        <v>10.6548372499054</v>
      </c>
    </row>
    <row r="18" spans="1:27" x14ac:dyDescent="0.25">
      <c r="A18" s="10" t="s">
        <v>180</v>
      </c>
      <c r="B18" s="10" t="s">
        <v>291</v>
      </c>
      <c r="C18" s="14" t="str">
        <f>_xll.BDH("ALNY US Equity","EV_TO_EBITDA_EX_OPERATING_LEASE","FQ3 2019","FQ3 2019","Currency=USD","Period=FQ","BEST_FPERIOD_OVERRIDE=FQ","FILING_STATUS=MR","FA_ADJUSTED=GAAP","Sort=A","Dates=H","DateFormat=P","Fill=—","Direction=H","UseDPDF=Y")</f>
        <v>—</v>
      </c>
      <c r="D18" s="14" t="str">
        <f>_xll.BDH("ALNY US Equity","EV_TO_EBITDA_EX_OPERATING_LEASE","FQ4 2019","FQ4 2019","Currency=USD","Period=FQ","BEST_FPERIOD_OVERRIDE=FQ","FILING_STATUS=MR","FA_ADJUSTED=GAAP","Sort=A","Dates=H","DateFormat=P","Fill=—","Direction=H","UseDPDF=Y")</f>
        <v>—</v>
      </c>
      <c r="E18" s="14" t="str">
        <f>_xll.BDH("ALNY US Equity","EV_TO_EBITDA_EX_OPERATING_LEASE","FQ1 2020","FQ1 2020","Currency=USD","Period=FQ","BEST_FPERIOD_OVERRIDE=FQ","FILING_STATUS=MR","FA_ADJUSTED=GAAP","Sort=A","Dates=H","DateFormat=P","Fill=—","Direction=H","UseDPDF=Y")</f>
        <v>—</v>
      </c>
      <c r="F18" s="14" t="str">
        <f>_xll.BDH("ALNY US Equity","EV_TO_EBITDA_EX_OPERATING_LEASE","FQ2 2020","FQ2 2020","Currency=USD","Period=FQ","BEST_FPERIOD_OVERRIDE=FQ","FILING_STATUS=MR","FA_ADJUSTED=GAAP","Sort=A","Dates=H","DateFormat=P","Fill=—","Direction=H","UseDPDF=Y")</f>
        <v>—</v>
      </c>
      <c r="G18" s="14" t="str">
        <f>_xll.BDH("ALNY US Equity","EV_TO_EBITDA_EX_OPERATING_LEASE","FQ3 2020","FQ3 2020","Currency=USD","Period=FQ","BEST_FPERIOD_OVERRIDE=FQ","FILING_STATUS=MR","FA_ADJUSTED=GAAP","Sort=A","Dates=H","DateFormat=P","Fill=—","Direction=H","UseDPDF=Y")</f>
        <v>—</v>
      </c>
      <c r="H18" s="14" t="str">
        <f>_xll.BDH("ALNY US Equity","EV_TO_EBITDA_EX_OPERATING_LEASE","FQ4 2020","FQ4 2020","Currency=USD","Period=FQ","BEST_FPERIOD_OVERRIDE=FQ","FILING_STATUS=MR","FA_ADJUSTED=GAAP","Sort=A","Dates=H","DateFormat=P","Fill=—","Direction=H","UseDPDF=Y")</f>
        <v>—</v>
      </c>
      <c r="I18" s="14" t="str">
        <f>_xll.BDH("ALNY US Equity","EV_TO_EBITDA_EX_OPERATING_LEASE","FQ1 2021","FQ1 2021","Currency=USD","Period=FQ","BEST_FPERIOD_OVERRIDE=FQ","FILING_STATUS=MR","FA_ADJUSTED=GAAP","Sort=A","Dates=H","DateFormat=P","Fill=—","Direction=H","UseDPDF=Y")</f>
        <v>—</v>
      </c>
      <c r="J18" s="14" t="str">
        <f>_xll.BDH("ALNY US Equity","EV_TO_EBITDA_EX_OPERATING_LEASE","FQ2 2021","FQ2 2021","Currency=USD","Period=FQ","BEST_FPERIOD_OVERRIDE=FQ","FILING_STATUS=MR","FA_ADJUSTED=GAAP","Sort=A","Dates=H","DateFormat=P","Fill=—","Direction=H","UseDPDF=Y")</f>
        <v>—</v>
      </c>
      <c r="K18" s="14" t="str">
        <f>_xll.BDH("ALNY US Equity","EV_TO_EBITDA_EX_OPERATING_LEASE","FQ3 2021","FQ3 2021","Currency=USD","Period=FQ","BEST_FPERIOD_OVERRIDE=FQ","FILING_STATUS=MR","FA_ADJUSTED=GAAP","Sort=A","Dates=H","DateFormat=P","Fill=—","Direction=H","UseDPDF=Y")</f>
        <v>—</v>
      </c>
      <c r="L18" s="14" t="str">
        <f>_xll.BDH("ALNY US Equity","EV_TO_EBITDA_EX_OPERATING_LEASE","FQ4 2021","FQ4 2021","Currency=USD","Period=FQ","BEST_FPERIOD_OVERRIDE=FQ","FILING_STATUS=MR","FA_ADJUSTED=GAAP","Sort=A","Dates=H","DateFormat=P","Fill=—","Direction=H","UseDPDF=Y")</f>
        <v>—</v>
      </c>
      <c r="M18" s="14" t="str">
        <f>_xll.BDH("ALNY US Equity","EV_TO_EBITDA_EX_OPERATING_LEASE","FQ1 2022","FQ1 2022","Currency=USD","Period=FQ","BEST_FPERIOD_OVERRIDE=FQ","FILING_STATUS=MR","FA_ADJUSTED=GAAP","Sort=A","Dates=H","DateFormat=P","Fill=—","Direction=H","UseDPDF=Y")</f>
        <v>—</v>
      </c>
      <c r="N18" s="14" t="str">
        <f>_xll.BDH("ALNY US Equity","EV_TO_EBITDA_EX_OPERATING_LEASE","FQ2 2022","FQ2 2022","Currency=USD","Period=FQ","BEST_FPERIOD_OVERRIDE=FQ","FILING_STATUS=MR","FA_ADJUSTED=GAAP","Sort=A","Dates=H","DateFormat=P","Fill=—","Direction=H","UseDPDF=Y")</f>
        <v>—</v>
      </c>
      <c r="O18" s="14" t="str">
        <f>_xll.BDH("ALNY US Equity","EV_TO_EBITDA_EX_OPERATING_LEASE","FQ3 2022","FQ3 2022","Currency=USD","Period=FQ","BEST_FPERIOD_OVERRIDE=FQ","FILING_STATUS=MR","FA_ADJUSTED=GAAP","Sort=A","Dates=H","DateFormat=P","Fill=—","Direction=H","UseDPDF=Y")</f>
        <v>—</v>
      </c>
      <c r="P18" s="14" t="str">
        <f>_xll.BDH("ALNY US Equity","EV_TO_EBITDA_EX_OPERATING_LEASE","FQ4 2022","FQ4 2022","Currency=USD","Period=FQ","BEST_FPERIOD_OVERRIDE=FQ","FILING_STATUS=MR","FA_ADJUSTED=GAAP","Sort=A","Dates=H","DateFormat=P","Fill=—","Direction=H","UseDPDF=Y")</f>
        <v>—</v>
      </c>
      <c r="Q18" s="14" t="str">
        <f>_xll.BDH("ALNY US Equity","EV_TO_EBITDA_EX_OPERATING_LEASE","FQ1 2023","FQ1 2023","Currency=USD","Period=FQ","BEST_FPERIOD_OVERRIDE=FQ","FILING_STATUS=MR","FA_ADJUSTED=GAAP","Sort=A","Dates=H","DateFormat=P","Fill=—","Direction=H","UseDPDF=Y")</f>
        <v>—</v>
      </c>
      <c r="R18" s="14" t="str">
        <f>_xll.BDH("ALNY US Equity","EV_TO_EBITDA_EX_OPERATING_LEASE","FQ2 2023","FQ2 2023","Currency=USD","Period=FQ","BEST_FPERIOD_OVERRIDE=FQ","FILING_STATUS=MR","FA_ADJUSTED=GAAP","Sort=A","Dates=H","DateFormat=P","Fill=—","Direction=H","UseDPDF=Y")</f>
        <v>—</v>
      </c>
      <c r="S18" s="14" t="str">
        <f>_xll.BDH("ALNY US Equity","EV_TO_EBITDA_EX_OPERATING_LEASE","FQ3 2023","FQ3 2023","Currency=USD","Period=FQ","BEST_FPERIOD_OVERRIDE=FQ","FILING_STATUS=MR","FA_ADJUSTED=GAAP","Sort=A","Dates=H","DateFormat=P","Fill=—","Direction=H","UseDPDF=Y")</f>
        <v>—</v>
      </c>
      <c r="T18" s="14" t="str">
        <f>_xll.BDH("ALNY US Equity","EV_TO_EBITDA_EX_OPERATING_LEASE","FQ4 2023","FQ4 2023","Currency=USD","Period=FQ","BEST_FPERIOD_OVERRIDE=FQ","FILING_STATUS=MR","FA_ADJUSTED=GAAP","Sort=A","Dates=H","DateFormat=P","Fill=—","Direction=H","UseDPDF=Y")</f>
        <v>—</v>
      </c>
      <c r="U18" s="14" t="str">
        <f>_xll.BDH("ALNY US Equity","EV_TO_EBITDA_EX_OPERATING_LEASE","FQ1 2024","FQ1 2024","Currency=USD","Period=FQ","BEST_FPERIOD_OVERRIDE=FQ","FILING_STATUS=MR","FA_ADJUSTED=GAAP","Sort=A","Dates=H","DateFormat=P","Fill=—","Direction=H","UseDPDF=Y")</f>
        <v>—</v>
      </c>
      <c r="V18" s="14">
        <f>_xll.BDH("ALNY US Equity","EV_TO_EBITDA_EX_OPERATING_LEASE","FQ2 2024","FQ2 2024","Currency=USD","Period=FQ","BEST_FPERIOD_OVERRIDE=FQ","FILING_STATUS=MR","FA_ADJUSTED=GAAP","Sort=A","Dates=H","DateFormat=P","Fill=—","Direction=H","UseDPDF=Y")</f>
        <v>153.9984</v>
      </c>
      <c r="W18" s="14" t="str">
        <f>_xll.BDH("ALNY US Equity","EV_TO_EBITDA_EX_OPERATING_LEASE","FQ3 2024","FQ3 2024","Currency=USD","Period=FQ","BEST_FPERIOD_OVERRIDE=FQ","FILING_STATUS=MR","FA_ADJUSTED=GAAP","Sort=A","Dates=H","DateFormat=P","Fill=—","Direction=H","UseDPDF=Y")</f>
        <v>—</v>
      </c>
      <c r="X18" s="14" t="str">
        <f>_xll.BDH("ALNY US Equity","EV_TO_EBITDA_EX_OPERATING_LEASE","FQ4 2024","FQ4 2024","Currency=USD","Period=FQ","BEST_FPERIOD_OVERRIDE=FQ","FILING_STATUS=MR","FA_ADJUSTED=GAAP","Sort=A","Dates=H","DateFormat=P","Fill=—","Direction=H","UseDPDF=Y")</f>
        <v>—</v>
      </c>
      <c r="Y18" s="17"/>
      <c r="Z18" s="14">
        <v>713.02719329115303</v>
      </c>
      <c r="AA18" s="14">
        <v>67.093628430272403</v>
      </c>
    </row>
    <row r="19" spans="1:27" x14ac:dyDescent="0.25">
      <c r="A19" s="10" t="s">
        <v>182</v>
      </c>
      <c r="B19" s="10" t="s">
        <v>292</v>
      </c>
      <c r="C19" s="14" t="str">
        <f>_xll.BDH("ALNY US Equity","EV_TO_EBIT_EX_OPERATING_LEASE","FQ3 2019","FQ3 2019","Currency=USD","Period=FQ","BEST_FPERIOD_OVERRIDE=FQ","FILING_STATUS=MR","FA_ADJUSTED=GAAP","Sort=A","Dates=H","DateFormat=P","Fill=—","Direction=H","UseDPDF=Y")</f>
        <v>—</v>
      </c>
      <c r="D19" s="14" t="str">
        <f>_xll.BDH("ALNY US Equity","EV_TO_EBIT_EX_OPERATING_LEASE","FQ4 2019","FQ4 2019","Currency=USD","Period=FQ","BEST_FPERIOD_OVERRIDE=FQ","FILING_STATUS=MR","FA_ADJUSTED=GAAP","Sort=A","Dates=H","DateFormat=P","Fill=—","Direction=H","UseDPDF=Y")</f>
        <v>—</v>
      </c>
      <c r="E19" s="14" t="str">
        <f>_xll.BDH("ALNY US Equity","EV_TO_EBIT_EX_OPERATING_LEASE","FQ1 2020","FQ1 2020","Currency=USD","Period=FQ","BEST_FPERIOD_OVERRIDE=FQ","FILING_STATUS=MR","FA_ADJUSTED=GAAP","Sort=A","Dates=H","DateFormat=P","Fill=—","Direction=H","UseDPDF=Y")</f>
        <v>—</v>
      </c>
      <c r="F19" s="14" t="str">
        <f>_xll.BDH("ALNY US Equity","EV_TO_EBIT_EX_OPERATING_LEASE","FQ2 2020","FQ2 2020","Currency=USD","Period=FQ","BEST_FPERIOD_OVERRIDE=FQ","FILING_STATUS=MR","FA_ADJUSTED=GAAP","Sort=A","Dates=H","DateFormat=P","Fill=—","Direction=H","UseDPDF=Y")</f>
        <v>—</v>
      </c>
      <c r="G19" s="14" t="str">
        <f>_xll.BDH("ALNY US Equity","EV_TO_EBIT_EX_OPERATING_LEASE","FQ3 2020","FQ3 2020","Currency=USD","Period=FQ","BEST_FPERIOD_OVERRIDE=FQ","FILING_STATUS=MR","FA_ADJUSTED=GAAP","Sort=A","Dates=H","DateFormat=P","Fill=—","Direction=H","UseDPDF=Y")</f>
        <v>—</v>
      </c>
      <c r="H19" s="14" t="str">
        <f>_xll.BDH("ALNY US Equity","EV_TO_EBIT_EX_OPERATING_LEASE","FQ4 2020","FQ4 2020","Currency=USD","Period=FQ","BEST_FPERIOD_OVERRIDE=FQ","FILING_STATUS=MR","FA_ADJUSTED=GAAP","Sort=A","Dates=H","DateFormat=P","Fill=—","Direction=H","UseDPDF=Y")</f>
        <v>—</v>
      </c>
      <c r="I19" s="14" t="str">
        <f>_xll.BDH("ALNY US Equity","EV_TO_EBIT_EX_OPERATING_LEASE","FQ1 2021","FQ1 2021","Currency=USD","Period=FQ","BEST_FPERIOD_OVERRIDE=FQ","FILING_STATUS=MR","FA_ADJUSTED=GAAP","Sort=A","Dates=H","DateFormat=P","Fill=—","Direction=H","UseDPDF=Y")</f>
        <v>—</v>
      </c>
      <c r="J19" s="14" t="str">
        <f>_xll.BDH("ALNY US Equity","EV_TO_EBIT_EX_OPERATING_LEASE","FQ2 2021","FQ2 2021","Currency=USD","Period=FQ","BEST_FPERIOD_OVERRIDE=FQ","FILING_STATUS=MR","FA_ADJUSTED=GAAP","Sort=A","Dates=H","DateFormat=P","Fill=—","Direction=H","UseDPDF=Y")</f>
        <v>—</v>
      </c>
      <c r="K19" s="14" t="str">
        <f>_xll.BDH("ALNY US Equity","EV_TO_EBIT_EX_OPERATING_LEASE","FQ3 2021","FQ3 2021","Currency=USD","Period=FQ","BEST_FPERIOD_OVERRIDE=FQ","FILING_STATUS=MR","FA_ADJUSTED=GAAP","Sort=A","Dates=H","DateFormat=P","Fill=—","Direction=H","UseDPDF=Y")</f>
        <v>—</v>
      </c>
      <c r="L19" s="14" t="str">
        <f>_xll.BDH("ALNY US Equity","EV_TO_EBIT_EX_OPERATING_LEASE","FQ4 2021","FQ4 2021","Currency=USD","Period=FQ","BEST_FPERIOD_OVERRIDE=FQ","FILING_STATUS=MR","FA_ADJUSTED=GAAP","Sort=A","Dates=H","DateFormat=P","Fill=—","Direction=H","UseDPDF=Y")</f>
        <v>—</v>
      </c>
      <c r="M19" s="14" t="str">
        <f>_xll.BDH("ALNY US Equity","EV_TO_EBIT_EX_OPERATING_LEASE","FQ1 2022","FQ1 2022","Currency=USD","Period=FQ","BEST_FPERIOD_OVERRIDE=FQ","FILING_STATUS=MR","FA_ADJUSTED=GAAP","Sort=A","Dates=H","DateFormat=P","Fill=—","Direction=H","UseDPDF=Y")</f>
        <v>—</v>
      </c>
      <c r="N19" s="14" t="str">
        <f>_xll.BDH("ALNY US Equity","EV_TO_EBIT_EX_OPERATING_LEASE","FQ2 2022","FQ2 2022","Currency=USD","Period=FQ","BEST_FPERIOD_OVERRIDE=FQ","FILING_STATUS=MR","FA_ADJUSTED=GAAP","Sort=A","Dates=H","DateFormat=P","Fill=—","Direction=H","UseDPDF=Y")</f>
        <v>—</v>
      </c>
      <c r="O19" s="14" t="str">
        <f>_xll.BDH("ALNY US Equity","EV_TO_EBIT_EX_OPERATING_LEASE","FQ3 2022","FQ3 2022","Currency=USD","Period=FQ","BEST_FPERIOD_OVERRIDE=FQ","FILING_STATUS=MR","FA_ADJUSTED=GAAP","Sort=A","Dates=H","DateFormat=P","Fill=—","Direction=H","UseDPDF=Y")</f>
        <v>—</v>
      </c>
      <c r="P19" s="14" t="str">
        <f>_xll.BDH("ALNY US Equity","EV_TO_EBIT_EX_OPERATING_LEASE","FQ4 2022","FQ4 2022","Currency=USD","Period=FQ","BEST_FPERIOD_OVERRIDE=FQ","FILING_STATUS=MR","FA_ADJUSTED=GAAP","Sort=A","Dates=H","DateFormat=P","Fill=—","Direction=H","UseDPDF=Y")</f>
        <v>—</v>
      </c>
      <c r="Q19" s="14" t="str">
        <f>_xll.BDH("ALNY US Equity","EV_TO_EBIT_EX_OPERATING_LEASE","FQ1 2023","FQ1 2023","Currency=USD","Period=FQ","BEST_FPERIOD_OVERRIDE=FQ","FILING_STATUS=MR","FA_ADJUSTED=GAAP","Sort=A","Dates=H","DateFormat=P","Fill=—","Direction=H","UseDPDF=Y")</f>
        <v>—</v>
      </c>
      <c r="R19" s="14" t="str">
        <f>_xll.BDH("ALNY US Equity","EV_TO_EBIT_EX_OPERATING_LEASE","FQ2 2023","FQ2 2023","Currency=USD","Period=FQ","BEST_FPERIOD_OVERRIDE=FQ","FILING_STATUS=MR","FA_ADJUSTED=GAAP","Sort=A","Dates=H","DateFormat=P","Fill=—","Direction=H","UseDPDF=Y")</f>
        <v>—</v>
      </c>
      <c r="S19" s="14" t="str">
        <f>_xll.BDH("ALNY US Equity","EV_TO_EBIT_EX_OPERATING_LEASE","FQ3 2023","FQ3 2023","Currency=USD","Period=FQ","BEST_FPERIOD_OVERRIDE=FQ","FILING_STATUS=MR","FA_ADJUSTED=GAAP","Sort=A","Dates=H","DateFormat=P","Fill=—","Direction=H","UseDPDF=Y")</f>
        <v>—</v>
      </c>
      <c r="T19" s="14" t="str">
        <f>_xll.BDH("ALNY US Equity","EV_TO_EBIT_EX_OPERATING_LEASE","FQ4 2023","FQ4 2023","Currency=USD","Period=FQ","BEST_FPERIOD_OVERRIDE=FQ","FILING_STATUS=MR","FA_ADJUSTED=GAAP","Sort=A","Dates=H","DateFormat=P","Fill=—","Direction=H","UseDPDF=Y")</f>
        <v>—</v>
      </c>
      <c r="U19" s="14" t="str">
        <f>_xll.BDH("ALNY US Equity","EV_TO_EBIT_EX_OPERATING_LEASE","FQ1 2024","FQ1 2024","Currency=USD","Period=FQ","BEST_FPERIOD_OVERRIDE=FQ","FILING_STATUS=MR","FA_ADJUSTED=GAAP","Sort=A","Dates=H","DateFormat=P","Fill=—","Direction=H","UseDPDF=Y")</f>
        <v>—</v>
      </c>
      <c r="V19" s="14">
        <f>_xll.BDH("ALNY US Equity","EV_TO_EBIT_EX_OPERATING_LEASE","FQ2 2024","FQ2 2024","Currency=USD","Period=FQ","BEST_FPERIOD_OVERRIDE=FQ","FILING_STATUS=MR","FA_ADJUSTED=GAAP","Sort=A","Dates=H","DateFormat=P","Fill=—","Direction=H","UseDPDF=Y")</f>
        <v>300.55650000000003</v>
      </c>
      <c r="W19" s="14" t="str">
        <f>_xll.BDH("ALNY US Equity","EV_TO_EBIT_EX_OPERATING_LEASE","FQ3 2024","FQ3 2024","Currency=USD","Period=FQ","BEST_FPERIOD_OVERRIDE=FQ","FILING_STATUS=MR","FA_ADJUSTED=GAAP","Sort=A","Dates=H","DateFormat=P","Fill=—","Direction=H","UseDPDF=Y")</f>
        <v>—</v>
      </c>
      <c r="X19" s="14" t="str">
        <f>_xll.BDH("ALNY US Equity","EV_TO_EBIT_EX_OPERATING_LEASE","FQ4 2024","FQ4 2024","Currency=USD","Period=FQ","BEST_FPERIOD_OVERRIDE=FQ","FILING_STATUS=MR","FA_ADJUSTED=GAAP","Sort=A","Dates=H","DateFormat=P","Fill=—","Direction=H","UseDPDF=Y")</f>
        <v>—</v>
      </c>
      <c r="Y19" s="17"/>
      <c r="Z19" s="14">
        <v>-398.24735723424101</v>
      </c>
      <c r="AA19" s="14">
        <v>-11677.166451422499</v>
      </c>
    </row>
    <row r="20" spans="1:27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"/>
      <c r="Z20" s="12"/>
      <c r="AA20" s="12"/>
    </row>
    <row r="21" spans="1:27" x14ac:dyDescent="0.25">
      <c r="A21" s="10" t="s">
        <v>184</v>
      </c>
      <c r="B21" s="10" t="s">
        <v>185</v>
      </c>
      <c r="C21" s="13">
        <f>_xll.BDH("ALNY US Equity","DILUTED_MKT_CAP","FQ3 2019","FQ3 2019","Currency=USD","Period=FQ","BEST_FPERIOD_OVERRIDE=FQ","FILING_STATUS=MR","SCALING_FORMAT=MLN","Sort=A","Dates=H","DateFormat=P","Fill=—","Direction=H","UseDPDF=Y")</f>
        <v>8741.7343999999994</v>
      </c>
      <c r="D21" s="13">
        <f>_xll.BDH("ALNY US Equity","DILUTED_MKT_CAP","FQ4 2019","FQ4 2019","Currency=USD","Period=FQ","BEST_FPERIOD_OVERRIDE=FQ","FILING_STATUS=MR","SCALING_FORMAT=MLN","Sort=A","Dates=H","DateFormat=P","Fill=—","Direction=H","UseDPDF=Y")</f>
        <v>12870.247499999999</v>
      </c>
      <c r="E21" s="13">
        <f>_xll.BDH("ALNY US Equity","DILUTED_MKT_CAP","FQ1 2020","FQ1 2020","Currency=USD","Period=FQ","BEST_FPERIOD_OVERRIDE=FQ","FILING_STATUS=MR","SCALING_FORMAT=MLN","Sort=A","Dates=H","DateFormat=P","Fill=—","Direction=H","UseDPDF=Y")</f>
        <v>12272.6198</v>
      </c>
      <c r="F21" s="13">
        <f>_xll.BDH("ALNY US Equity","DILUTED_MKT_CAP","FQ2 2020","FQ2 2020","Currency=USD","Period=FQ","BEST_FPERIOD_OVERRIDE=FQ","FILING_STATUS=MR","SCALING_FORMAT=MLN","Sort=A","Dates=H","DateFormat=P","Fill=—","Direction=H","UseDPDF=Y")</f>
        <v>17019.468199999999</v>
      </c>
      <c r="G21" s="13">
        <f>_xll.BDH("ALNY US Equity","DILUTED_MKT_CAP","FQ3 2020","FQ3 2020","Currency=USD","Period=FQ","BEST_FPERIOD_OVERRIDE=FQ","FILING_STATUS=MR","SCALING_FORMAT=MLN","Sort=A","Dates=H","DateFormat=P","Fill=—","Direction=H","UseDPDF=Y")</f>
        <v>16887.561600000001</v>
      </c>
      <c r="H21" s="13">
        <f>_xll.BDH("ALNY US Equity","DILUTED_MKT_CAP","FQ4 2020","FQ4 2020","Currency=USD","Period=FQ","BEST_FPERIOD_OVERRIDE=FQ","FILING_STATUS=MR","SCALING_FORMAT=MLN","Sort=A","Dates=H","DateFormat=P","Fill=—","Direction=H","UseDPDF=Y")</f>
        <v>15112.131799999999</v>
      </c>
      <c r="I21" s="13">
        <f>_xll.BDH("ALNY US Equity","DILUTED_MKT_CAP","FQ1 2021","FQ1 2021","Currency=USD","Period=FQ","BEST_FPERIOD_OVERRIDE=FQ","FILING_STATUS=MR","SCALING_FORMAT=MLN","Sort=A","Dates=H","DateFormat=P","Fill=—","Direction=H","UseDPDF=Y")</f>
        <v>16530.5252</v>
      </c>
      <c r="J21" s="13">
        <f>_xll.BDH("ALNY US Equity","DILUTED_MKT_CAP","FQ2 2021","FQ2 2021","Currency=USD","Period=FQ","BEST_FPERIOD_OVERRIDE=FQ","FILING_STATUS=MR","SCALING_FORMAT=MLN","Sort=A","Dates=H","DateFormat=P","Fill=—","Direction=H","UseDPDF=Y")</f>
        <v>19964.7094</v>
      </c>
      <c r="K21" s="13">
        <f>_xll.BDH("ALNY US Equity","DILUTED_MKT_CAP","FQ3 2021","FQ3 2021","Currency=USD","Period=FQ","BEST_FPERIOD_OVERRIDE=FQ","FILING_STATUS=MR","SCALING_FORMAT=MLN","Sort=A","Dates=H","DateFormat=P","Fill=—","Direction=H","UseDPDF=Y")</f>
        <v>22495.012200000001</v>
      </c>
      <c r="L21" s="13">
        <f>_xll.BDH("ALNY US Equity","DILUTED_MKT_CAP","FQ4 2021","FQ4 2021","Currency=USD","Period=FQ","BEST_FPERIOD_OVERRIDE=FQ","FILING_STATUS=MR","SCALING_FORMAT=MLN","Sort=A","Dates=H","DateFormat=P","Fill=—","Direction=H","UseDPDF=Y")</f>
        <v>20311.105299999999</v>
      </c>
      <c r="M21" s="13">
        <f>_xll.BDH("ALNY US Equity","DILUTED_MKT_CAP","FQ1 2022","FQ1 2022","Currency=USD","Period=FQ","BEST_FPERIOD_OVERRIDE=FQ","FILING_STATUS=MR","SCALING_FORMAT=MLN","Sort=A","Dates=H","DateFormat=P","Fill=—","Direction=H","UseDPDF=Y")</f>
        <v>19658.973000000002</v>
      </c>
      <c r="N21" s="13">
        <f>_xll.BDH("ALNY US Equity","DILUTED_MKT_CAP","FQ2 2022","FQ2 2022","Currency=USD","Period=FQ","BEST_FPERIOD_OVERRIDE=FQ","FILING_STATUS=MR","SCALING_FORMAT=MLN","Sort=A","Dates=H","DateFormat=P","Fill=—","Direction=H","UseDPDF=Y")</f>
        <v>17632.6816</v>
      </c>
      <c r="O21" s="13">
        <f>_xll.BDH("ALNY US Equity","DILUTED_MKT_CAP","FQ3 2022","FQ3 2022","Currency=USD","Period=FQ","BEST_FPERIOD_OVERRIDE=FQ","FILING_STATUS=MR","SCALING_FORMAT=MLN","Sort=A","Dates=H","DateFormat=P","Fill=—","Direction=H","UseDPDF=Y")</f>
        <v>24452.746599999999</v>
      </c>
      <c r="P21" s="13">
        <f>_xll.BDH("ALNY US Equity","DILUTED_MKT_CAP","FQ4 2022","FQ4 2022","Currency=USD","Period=FQ","BEST_FPERIOD_OVERRIDE=FQ","FILING_STATUS=MR","SCALING_FORMAT=MLN","Sort=A","Dates=H","DateFormat=P","Fill=—","Direction=H","UseDPDF=Y")</f>
        <v>29294.1649</v>
      </c>
      <c r="Q21" s="13">
        <f>_xll.BDH("ALNY US Equity","DILUTED_MKT_CAP","FQ1 2023","FQ1 2023","Currency=USD","Period=FQ","BEST_FPERIOD_OVERRIDE=FQ","FILING_STATUS=MR","SCALING_FORMAT=MLN","Sort=A","Dates=H","DateFormat=P","Fill=—","Direction=H","UseDPDF=Y")</f>
        <v>24861.915499999999</v>
      </c>
      <c r="R21" s="13">
        <f>_xll.BDH("ALNY US Equity","DILUTED_MKT_CAP","FQ2 2023","FQ2 2023","Currency=USD","Period=FQ","BEST_FPERIOD_OVERRIDE=FQ","FILING_STATUS=MR","SCALING_FORMAT=MLN","Sort=A","Dates=H","DateFormat=P","Fill=—","Direction=H","UseDPDF=Y")</f>
        <v>23677.730500000001</v>
      </c>
      <c r="S21" s="13">
        <f>_xll.BDH("ALNY US Equity","DILUTED_MKT_CAP","FQ3 2023","FQ3 2023","Currency=USD","Period=FQ","BEST_FPERIOD_OVERRIDE=FQ","FILING_STATUS=MR","SCALING_FORMAT=MLN","Sort=A","Dates=H","DateFormat=P","Fill=—","Direction=H","UseDPDF=Y")</f>
        <v>23259.7827</v>
      </c>
      <c r="T21" s="13">
        <f>_xll.BDH("ALNY US Equity","DILUTED_MKT_CAP","FQ4 2023","FQ4 2023","Currency=USD","Period=FQ","BEST_FPERIOD_OVERRIDE=FQ","FILING_STATUS=MR","SCALING_FORMAT=MLN","Sort=A","Dates=H","DateFormat=P","Fill=—","Direction=H","UseDPDF=Y")</f>
        <v>24043.584299999999</v>
      </c>
      <c r="U21" s="13">
        <f>_xll.BDH("ALNY US Equity","DILUTED_MKT_CAP","FQ1 2024","FQ1 2024","Currency=USD","Period=FQ","BEST_FPERIOD_OVERRIDE=FQ","FILING_STATUS=MR","SCALING_FORMAT=MLN","Sort=A","Dates=H","DateFormat=P","Fill=—","Direction=H","UseDPDF=Y")</f>
        <v>18851.324100000002</v>
      </c>
      <c r="V21" s="13">
        <f>_xll.BDH("ALNY US Equity","DILUTED_MKT_CAP","FQ2 2024","FQ2 2024","Currency=USD","Period=FQ","BEST_FPERIOD_OVERRIDE=FQ","FILING_STATUS=MR","SCALING_FORMAT=MLN","Sort=A","Dates=H","DateFormat=P","Fill=—","Direction=H","UseDPDF=Y")</f>
        <v>30796.118999999999</v>
      </c>
      <c r="W21" s="13">
        <f>_xll.BDH("ALNY US Equity","DILUTED_MKT_CAP","FQ3 2024","FQ3 2024","Currency=USD","Period=FQ","BEST_FPERIOD_OVERRIDE=FQ","FILING_STATUS=MR","SCALING_FORMAT=MLN","Sort=A","Dates=H","DateFormat=P","Fill=—","Direction=H","UseDPDF=Y")</f>
        <v>35366.1077</v>
      </c>
      <c r="X21" s="13">
        <f>_xll.BDH("ALNY US Equity","DILUTED_MKT_CAP","FQ4 2024","FQ4 2024","Currency=USD","Period=FQ","BEST_FPERIOD_OVERRIDE=FQ","FILING_STATUS=MR","SCALING_FORMAT=MLN","Sort=A","Dates=H","DateFormat=P","Fill=—","Direction=H","UseDPDF=Y")</f>
        <v>30382.286</v>
      </c>
      <c r="Y21" s="16">
        <v>34654.7336119385</v>
      </c>
      <c r="Z21" s="13"/>
      <c r="AA21" s="13"/>
    </row>
    <row r="22" spans="1:27" x14ac:dyDescent="0.25">
      <c r="A22" s="10" t="s">
        <v>186</v>
      </c>
      <c r="B22" s="10" t="s">
        <v>293</v>
      </c>
      <c r="C22" s="13">
        <f>_xll.BDH("ALNY US Equity","DILUTED_EV_EX_OPERATING_LEASE","FQ3 2019","FQ3 2019","Currency=USD","Period=FQ","BEST_FPERIOD_OVERRIDE=FQ","FILING_STATUS=MR","SCALING_FORMAT=MLN","Sort=A","Dates=H","DateFormat=P","Fill=—","Direction=H","UseDPDF=Y")</f>
        <v>7020.6764000000003</v>
      </c>
      <c r="D22" s="13">
        <f>_xll.BDH("ALNY US Equity","DILUTED_EV_EX_OPERATING_LEASE","FQ4 2019","FQ4 2019","Currency=USD","Period=FQ","BEST_FPERIOD_OVERRIDE=FQ","FILING_STATUS=MR","SCALING_FORMAT=MLN","Sort=A","Dates=H","DateFormat=P","Fill=—","Direction=H","UseDPDF=Y")</f>
        <v>11334.085499999999</v>
      </c>
      <c r="E22" s="13">
        <f>_xll.BDH("ALNY US Equity","DILUTED_EV_EX_OPERATING_LEASE","FQ1 2020","FQ1 2020","Currency=USD","Period=FQ","BEST_FPERIOD_OVERRIDE=FQ","FILING_STATUS=MR","SCALING_FORMAT=MLN","Sort=A","Dates=H","DateFormat=P","Fill=—","Direction=H","UseDPDF=Y")</f>
        <v>10930.416800000001</v>
      </c>
      <c r="F22" s="13">
        <f>_xll.BDH("ALNY US Equity","DILUTED_EV_EX_OPERATING_LEASE","FQ2 2020","FQ2 2020","Currency=USD","Period=FQ","BEST_FPERIOD_OVERRIDE=FQ","FILING_STATUS=MR","SCALING_FORMAT=MLN","Sort=A","Dates=H","DateFormat=P","Fill=—","Direction=H","UseDPDF=Y")</f>
        <v>15093.904200000001</v>
      </c>
      <c r="G22" s="13">
        <f>_xll.BDH("ALNY US Equity","DILUTED_EV_EX_OPERATING_LEASE","FQ3 2020","FQ3 2020","Currency=USD","Period=FQ","BEST_FPERIOD_OVERRIDE=FQ","FILING_STATUS=MR","SCALING_FORMAT=MLN","Sort=A","Dates=H","DateFormat=P","Fill=—","Direction=H","UseDPDF=Y")</f>
        <v>15053.685600000001</v>
      </c>
      <c r="H22" s="13">
        <f>_xll.BDH("ALNY US Equity","DILUTED_EV_EX_OPERATING_LEASE","FQ4 2020","FQ4 2020","Currency=USD","Period=FQ","BEST_FPERIOD_OVERRIDE=FQ","FILING_STATUS=MR","SCALING_FORMAT=MLN","Sort=A","Dates=H","DateFormat=P","Fill=—","Direction=H","UseDPDF=Y")</f>
        <v>13429.014800000001</v>
      </c>
      <c r="I22" s="13">
        <f>_xll.BDH("ALNY US Equity","DILUTED_EV_EX_OPERATING_LEASE","FQ1 2021","FQ1 2021","Currency=USD","Period=FQ","BEST_FPERIOD_OVERRIDE=FQ","FILING_STATUS=MR","SCALING_FORMAT=MLN","Sort=A","Dates=H","DateFormat=P","Fill=—","Direction=H","UseDPDF=Y")</f>
        <v>15012.5782</v>
      </c>
      <c r="J22" s="13">
        <f>_xll.BDH("ALNY US Equity","DILUTED_EV_EX_OPERATING_LEASE","FQ2 2021","FQ2 2021","Currency=USD","Period=FQ","BEST_FPERIOD_OVERRIDE=FQ","FILING_STATUS=MR","SCALING_FORMAT=MLN","Sort=A","Dates=H","DateFormat=P","Fill=—","Direction=H","UseDPDF=Y")</f>
        <v>18497.778399999999</v>
      </c>
      <c r="K22" s="13">
        <f>_xll.BDH("ALNY US Equity","DILUTED_EV_EX_OPERATING_LEASE","FQ3 2021","FQ3 2021","Currency=USD","Period=FQ","BEST_FPERIOD_OVERRIDE=FQ","FILING_STATUS=MR","SCALING_FORMAT=MLN","Sort=A","Dates=H","DateFormat=P","Fill=—","Direction=H","UseDPDF=Y")</f>
        <v>20600.946199999998</v>
      </c>
      <c r="L22" s="13">
        <f>_xll.BDH("ALNY US Equity","DILUTED_EV_EX_OPERATING_LEASE","FQ4 2021","FQ4 2021","Currency=USD","Period=FQ","BEST_FPERIOD_OVERRIDE=FQ","FILING_STATUS=MR","SCALING_FORMAT=MLN","Sort=A","Dates=H","DateFormat=P","Fill=—","Direction=H","UseDPDF=Y")</f>
        <v>18551.238300000001</v>
      </c>
      <c r="M22" s="13">
        <f>_xll.BDH("ALNY US Equity","DILUTED_EV_EX_OPERATING_LEASE","FQ1 2022","FQ1 2022","Currency=USD","Period=FQ","BEST_FPERIOD_OVERRIDE=FQ","FILING_STATUS=MR","SCALING_FORMAT=MLN","Sort=A","Dates=H","DateFormat=P","Fill=—","Direction=H","UseDPDF=Y")</f>
        <v>18096.12</v>
      </c>
      <c r="N22" s="13">
        <f>_xll.BDH("ALNY US Equity","DILUTED_EV_EX_OPERATING_LEASE","FQ2 2022","FQ2 2022","Currency=USD","Period=FQ","BEST_FPERIOD_OVERRIDE=FQ","FILING_STATUS=MR","SCALING_FORMAT=MLN","Sort=A","Dates=H","DateFormat=P","Fill=—","Direction=H","UseDPDF=Y")</f>
        <v>16199.7916</v>
      </c>
      <c r="O22" s="13">
        <f>_xll.BDH("ALNY US Equity","DILUTED_EV_EX_OPERATING_LEASE","FQ3 2022","FQ3 2022","Currency=USD","Period=FQ","BEST_FPERIOD_OVERRIDE=FQ","FILING_STATUS=MR","SCALING_FORMAT=MLN","Sort=A","Dates=H","DateFormat=P","Fill=—","Direction=H","UseDPDF=Y")</f>
        <v>23419.2906</v>
      </c>
      <c r="P22" s="13">
        <f>_xll.BDH("ALNY US Equity","DILUTED_EV_EX_OPERATING_LEASE","FQ4 2022","FQ4 2022","Currency=USD","Period=FQ","BEST_FPERIOD_OVERRIDE=FQ","FILING_STATUS=MR","SCALING_FORMAT=MLN","Sort=A","Dates=H","DateFormat=P","Fill=—","Direction=H","UseDPDF=Y")</f>
        <v>28118.7009</v>
      </c>
      <c r="Q22" s="13">
        <f>_xll.BDH("ALNY US Equity","DILUTED_EV_EX_OPERATING_LEASE","FQ1 2023","FQ1 2023","Currency=USD","Period=FQ","BEST_FPERIOD_OVERRIDE=FQ","FILING_STATUS=MR","SCALING_FORMAT=MLN","Sort=A","Dates=H","DateFormat=P","Fill=—","Direction=H","UseDPDF=Y")</f>
        <v>23809.127499999999</v>
      </c>
      <c r="R22" s="13">
        <f>_xll.BDH("ALNY US Equity","DILUTED_EV_EX_OPERATING_LEASE","FQ2 2023","FQ2 2023","Currency=USD","Period=FQ","BEST_FPERIOD_OVERRIDE=FQ","FILING_STATUS=MR","SCALING_FORMAT=MLN","Sort=A","Dates=H","DateFormat=P","Fill=—","Direction=H","UseDPDF=Y")</f>
        <v>22639.066500000001</v>
      </c>
      <c r="S22" s="13">
        <f>_xll.BDH("ALNY US Equity","DILUTED_EV_EX_OPERATING_LEASE","FQ3 2023","FQ3 2023","Currency=USD","Period=FQ","BEST_FPERIOD_OVERRIDE=FQ","FILING_STATUS=MR","SCALING_FORMAT=MLN","Sort=A","Dates=H","DateFormat=P","Fill=—","Direction=H","UseDPDF=Y")</f>
        <v>21916.779500000001</v>
      </c>
      <c r="T22" s="13">
        <f>_xll.BDH("ALNY US Equity","DILUTED_EV_EX_OPERATING_LEASE","FQ4 2023","FQ4 2023","Currency=USD","Period=FQ","BEST_FPERIOD_OVERRIDE=FQ","FILING_STATUS=MR","SCALING_FORMAT=MLN","Sort=A","Dates=H","DateFormat=P","Fill=—","Direction=H","UseDPDF=Y")</f>
        <v>22624.978299999999</v>
      </c>
      <c r="U22" s="13">
        <f>_xll.BDH("ALNY US Equity","DILUTED_EV_EX_OPERATING_LEASE","FQ1 2024","FQ1 2024","Currency=USD","Period=FQ","BEST_FPERIOD_OVERRIDE=FQ","FILING_STATUS=MR","SCALING_FORMAT=MLN","Sort=A","Dates=H","DateFormat=P","Fill=—","Direction=H","UseDPDF=Y")</f>
        <v>17501.774099999999</v>
      </c>
      <c r="V22" s="13">
        <f>_xll.BDH("ALNY US Equity","DILUTED_EV_EX_OPERATING_LEASE","FQ2 2024","FQ2 2024","Currency=USD","Period=FQ","BEST_FPERIOD_OVERRIDE=FQ","FILING_STATUS=MR","SCALING_FORMAT=MLN","Sort=A","Dates=H","DateFormat=P","Fill=—","Direction=H","UseDPDF=Y")</f>
        <v>30536.738000000001</v>
      </c>
      <c r="W22" s="13">
        <f>_xll.BDH("ALNY US Equity","DILUTED_EV_EX_OPERATING_LEASE","FQ3 2024","FQ3 2024","Currency=USD","Period=FQ","BEST_FPERIOD_OVERRIDE=FQ","FILING_STATUS=MR","SCALING_FORMAT=MLN","Sort=A","Dates=H","DateFormat=P","Fill=—","Direction=H","UseDPDF=Y")</f>
        <v>33609.526700000002</v>
      </c>
      <c r="X22" s="13">
        <f>_xll.BDH("ALNY US Equity","DILUTED_EV_EX_OPERATING_LEASE","FQ4 2024","FQ4 2024","Currency=USD","Period=FQ","BEST_FPERIOD_OVERRIDE=FQ","FILING_STATUS=MR","SCALING_FORMAT=MLN","Sort=A","Dates=H","DateFormat=P","Fill=—","Direction=H","UseDPDF=Y")</f>
        <v>28712.402999999998</v>
      </c>
      <c r="Y22" s="16">
        <v>28712.402959999999</v>
      </c>
      <c r="Z22" s="13"/>
      <c r="AA22" s="13"/>
    </row>
    <row r="23" spans="1:27" x14ac:dyDescent="0.25">
      <c r="A23" s="10" t="s">
        <v>188</v>
      </c>
      <c r="B23" s="10" t="s">
        <v>294</v>
      </c>
      <c r="C23" s="14">
        <f>_xll.BDH("ALNY US Equity","EV_EX_OP_LEA_LIAB_TO_SHS_OUTSTDG","FQ3 2019","FQ3 2019","Currency=USD","Period=FQ","BEST_FPERIOD_OVERRIDE=FQ","FILING_STATUS=MR","Sort=A","Dates=H","DateFormat=P","Fill=—","Direction=H","UseDPDF=Y")</f>
        <v>64.9602</v>
      </c>
      <c r="D23" s="14">
        <f>_xll.BDH("ALNY US Equity","EV_EX_OP_LEA_LIAB_TO_SHS_OUTSTDG","FQ4 2019","FQ4 2019","Currency=USD","Period=FQ","BEST_FPERIOD_OVERRIDE=FQ","FILING_STATUS=MR","Sort=A","Dates=H","DateFormat=P","Fill=—","Direction=H","UseDPDF=Y")</f>
        <v>101.4773</v>
      </c>
      <c r="E23" s="14">
        <f>_xll.BDH("ALNY US Equity","EV_EX_OP_LEA_LIAB_TO_SHS_OUTSTDG","FQ1 2020","FQ1 2020","Currency=USD","Period=FQ","BEST_FPERIOD_OVERRIDE=FQ","FILING_STATUS=MR","Sort=A","Dates=H","DateFormat=P","Fill=—","Direction=H","UseDPDF=Y")</f>
        <v>96.989699999999999</v>
      </c>
      <c r="F23" s="14">
        <f>_xll.BDH("ALNY US Equity","EV_EX_OP_LEA_LIAB_TO_SHS_OUTSTDG","FQ2 2020","FQ2 2020","Currency=USD","Period=FQ","BEST_FPERIOD_OVERRIDE=FQ","FILING_STATUS=MR","Sort=A","Dates=H","DateFormat=P","Fill=—","Direction=H","UseDPDF=Y")</f>
        <v>131.45959999999999</v>
      </c>
      <c r="G23" s="14">
        <f>_xll.BDH("ALNY US Equity","EV_EX_OP_LEA_LIAB_TO_SHS_OUTSTDG","FQ3 2020","FQ3 2020","Currency=USD","Period=FQ","BEST_FPERIOD_OVERRIDE=FQ","FILING_STATUS=MR","Sort=A","Dates=H","DateFormat=P","Fill=—","Direction=H","UseDPDF=Y")</f>
        <v>129.81020000000001</v>
      </c>
      <c r="H23" s="14">
        <f>_xll.BDH("ALNY US Equity","EV_EX_OP_LEA_LIAB_TO_SHS_OUTSTDG","FQ4 2020","FQ4 2020","Currency=USD","Period=FQ","BEST_FPERIOD_OVERRIDE=FQ","FILING_STATUS=MR","Sort=A","Dates=H","DateFormat=P","Fill=—","Direction=H","UseDPDF=Y")</f>
        <v>115.5136</v>
      </c>
      <c r="I23" s="14">
        <f>_xll.BDH("ALNY US Equity","EV_EX_OP_LEA_LIAB_TO_SHS_OUTSTDG","FQ1 2021","FQ1 2021","Currency=USD","Period=FQ","BEST_FPERIOD_OVERRIDE=FQ","FILING_STATUS=MR","Sort=A","Dates=H","DateFormat=P","Fill=—","Direction=H","UseDPDF=Y")</f>
        <v>128.2516</v>
      </c>
      <c r="J23" s="14">
        <f>_xll.BDH("ALNY US Equity","EV_EX_OP_LEA_LIAB_TO_SHS_OUTSTDG","FQ2 2021","FQ2 2021","Currency=USD","Period=FQ","BEST_FPERIOD_OVERRIDE=FQ","FILING_STATUS=MR","Sort=A","Dates=H","DateFormat=P","Fill=—","Direction=H","UseDPDF=Y")</f>
        <v>157.15090000000001</v>
      </c>
      <c r="K23" s="14">
        <f>_xll.BDH("ALNY US Equity","EV_EX_OP_LEA_LIAB_TO_SHS_OUTSTDG","FQ3 2021","FQ3 2021","Currency=USD","Period=FQ","BEST_FPERIOD_OVERRIDE=FQ","FILING_STATUS=MR","Sort=A","Dates=H","DateFormat=P","Fill=—","Direction=H","UseDPDF=Y")</f>
        <v>172.95740000000001</v>
      </c>
      <c r="L23" s="14">
        <f>_xll.BDH("ALNY US Equity","EV_EX_OP_LEA_LIAB_TO_SHS_OUTSTDG","FQ4 2021","FQ4 2021","Currency=USD","Period=FQ","BEST_FPERIOD_OVERRIDE=FQ","FILING_STATUS=MR","Sort=A","Dates=H","DateFormat=P","Fill=—","Direction=H","UseDPDF=Y")</f>
        <v>154.9367</v>
      </c>
      <c r="M23" s="14">
        <f>_xll.BDH("ALNY US Equity","EV_EX_OP_LEA_LIAB_TO_SHS_OUTSTDG","FQ1 2022","FQ1 2022","Currency=USD","Period=FQ","BEST_FPERIOD_OVERRIDE=FQ","FILING_STATUS=MR","Sort=A","Dates=H","DateFormat=P","Fill=—","Direction=H","UseDPDF=Y")</f>
        <v>150.3449</v>
      </c>
      <c r="N23" s="14">
        <f>_xll.BDH("ALNY US Equity","EV_EX_OP_LEA_LIAB_TO_SHS_OUTSTDG","FQ2 2022","FQ2 2022","Currency=USD","Period=FQ","BEST_FPERIOD_OVERRIDE=FQ","FILING_STATUS=MR","Sort=A","Dates=H","DateFormat=P","Fill=—","Direction=H","UseDPDF=Y")</f>
        <v>134.00720000000001</v>
      </c>
      <c r="O23" s="14">
        <f>_xll.BDH("ALNY US Equity","EV_EX_OP_LEA_LIAB_TO_SHS_OUTSTDG","FQ3 2022","FQ3 2022","Currency=USD","Period=FQ","BEST_FPERIOD_OVERRIDE=FQ","FILING_STATUS=MR","Sort=A","Dates=H","DateFormat=P","Fill=—","Direction=H","UseDPDF=Y")</f>
        <v>191.75729999999999</v>
      </c>
      <c r="P23" s="14">
        <f>_xll.BDH("ALNY US Equity","EV_EX_OP_LEA_LIAB_TO_SHS_OUTSTDG","FQ4 2022","FQ4 2022","Currency=USD","Period=FQ","BEST_FPERIOD_OVERRIDE=FQ","FILING_STATUS=MR","Sort=A","Dates=H","DateFormat=P","Fill=—","Direction=H","UseDPDF=Y")</f>
        <v>228.16470000000001</v>
      </c>
      <c r="Q23" s="14">
        <f>_xll.BDH("ALNY US Equity","EV_EX_OP_LEA_LIAB_TO_SHS_OUTSTDG","FQ1 2023","FQ1 2023","Currency=USD","Period=FQ","BEST_FPERIOD_OVERRIDE=FQ","FILING_STATUS=MR","Sort=A","Dates=H","DateFormat=P","Fill=—","Direction=H","UseDPDF=Y")</f>
        <v>191.84620000000001</v>
      </c>
      <c r="R23" s="14">
        <f>_xll.BDH("ALNY US Equity","EV_EX_OP_LEA_LIAB_TO_SHS_OUTSTDG","FQ2 2023","FQ2 2023","Currency=USD","Period=FQ","BEST_FPERIOD_OVERRIDE=FQ","FILING_STATUS=MR","Sort=A","Dates=H","DateFormat=P","Fill=—","Direction=H","UseDPDF=Y")</f>
        <v>181.57990000000001</v>
      </c>
      <c r="S23" s="14">
        <f>_xll.BDH("ALNY US Equity","EV_EX_OP_LEA_LIAB_TO_SHS_OUTSTDG","FQ3 2023","FQ3 2023","Currency=USD","Period=FQ","BEST_FPERIOD_OVERRIDE=FQ","FILING_STATUS=MR","Sort=A","Dates=H","DateFormat=P","Fill=—","Direction=H","UseDPDF=Y")</f>
        <v>166.04839999999999</v>
      </c>
      <c r="T23" s="14">
        <f>_xll.BDH("ALNY US Equity","EV_EX_OP_LEA_LIAB_TO_SHS_OUTSTDG","FQ4 2023","FQ4 2023","Currency=USD","Period=FQ","BEST_FPERIOD_OVERRIDE=FQ","FILING_STATUS=MR","Sort=A","Dates=H","DateFormat=P","Fill=—","Direction=H","UseDPDF=Y")</f>
        <v>180.1328</v>
      </c>
      <c r="U23" s="14">
        <f>_xll.BDH("ALNY US Equity","EV_EX_OP_LEA_LIAB_TO_SHS_OUTSTDG","FQ1 2024","FQ1 2024","Currency=USD","Period=FQ","BEST_FPERIOD_OVERRIDE=FQ","FILING_STATUS=MR","Sort=A","Dates=H","DateFormat=P","Fill=—","Direction=H","UseDPDF=Y")</f>
        <v>138.77850000000001</v>
      </c>
      <c r="V23" s="14">
        <f>_xll.BDH("ALNY US Equity","EV_EX_OP_LEA_LIAB_TO_SHS_OUTSTDG","FQ2 2024","FQ2 2024","Currency=USD","Period=FQ","BEST_FPERIOD_OVERRIDE=FQ","FILING_STATUS=MR","Sort=A","Dates=H","DateFormat=P","Fill=—","Direction=H","UseDPDF=Y")</f>
        <v>240.97389999999999</v>
      </c>
      <c r="W23" s="14">
        <f>_xll.BDH("ALNY US Equity","EV_EX_OP_LEA_LIAB_TO_SHS_OUTSTDG","FQ3 2024","FQ3 2024","Currency=USD","Period=FQ","BEST_FPERIOD_OVERRIDE=FQ","FILING_STATUS=MR","Sort=A","Dates=H","DateFormat=P","Fill=—","Direction=H","UseDPDF=Y")</f>
        <v>261.3963</v>
      </c>
      <c r="X23" s="14">
        <f>_xll.BDH("ALNY US Equity","EV_EX_OP_LEA_LIAB_TO_SHS_OUTSTDG","FQ4 2024","FQ4 2024","Currency=USD","Period=FQ","BEST_FPERIOD_OVERRIDE=FQ","FILING_STATUS=MR","Sort=A","Dates=H","DateFormat=P","Fill=—","Direction=H","UseDPDF=Y")</f>
        <v>222.3946</v>
      </c>
      <c r="Y23" s="17">
        <v>257.12633909694199</v>
      </c>
      <c r="Z23" s="14"/>
      <c r="AA23" s="14"/>
    </row>
    <row r="24" spans="1:2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5"/>
      <c r="Z24" s="12"/>
      <c r="AA24" s="12"/>
    </row>
    <row r="25" spans="1:27" x14ac:dyDescent="0.25">
      <c r="A25" s="10" t="s">
        <v>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5"/>
      <c r="Z25" s="12"/>
      <c r="AA25" s="12"/>
    </row>
    <row r="26" spans="1:27" x14ac:dyDescent="0.25">
      <c r="A26" s="11" t="s">
        <v>190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7"/>
      <c r="Z26" s="24"/>
      <c r="AA26" s="24"/>
    </row>
    <row r="27" spans="1:27" x14ac:dyDescent="0.25">
      <c r="A27" s="10" t="s">
        <v>191</v>
      </c>
      <c r="B27" s="10" t="s">
        <v>192</v>
      </c>
      <c r="C27" s="12" t="s">
        <v>193</v>
      </c>
      <c r="D27" s="12" t="s">
        <v>193</v>
      </c>
      <c r="E27" s="12" t="s">
        <v>193</v>
      </c>
      <c r="F27" s="12" t="s">
        <v>193</v>
      </c>
      <c r="G27" s="12" t="s">
        <v>193</v>
      </c>
      <c r="H27" s="12" t="s">
        <v>193</v>
      </c>
      <c r="I27" s="12" t="s">
        <v>193</v>
      </c>
      <c r="J27" s="12" t="s">
        <v>193</v>
      </c>
      <c r="K27" s="12" t="s">
        <v>193</v>
      </c>
      <c r="L27" s="12" t="s">
        <v>193</v>
      </c>
      <c r="M27" s="12" t="s">
        <v>193</v>
      </c>
      <c r="N27" s="12" t="s">
        <v>193</v>
      </c>
      <c r="O27" s="12" t="s">
        <v>193</v>
      </c>
      <c r="P27" s="12" t="s">
        <v>193</v>
      </c>
      <c r="Q27" s="12" t="s">
        <v>193</v>
      </c>
      <c r="R27" s="12" t="s">
        <v>193</v>
      </c>
      <c r="S27" s="12" t="s">
        <v>193</v>
      </c>
      <c r="T27" s="12" t="s">
        <v>193</v>
      </c>
      <c r="U27" s="12" t="s">
        <v>193</v>
      </c>
      <c r="V27" s="12" t="s">
        <v>193</v>
      </c>
      <c r="W27" s="12" t="s">
        <v>193</v>
      </c>
      <c r="X27" s="12" t="s">
        <v>193</v>
      </c>
      <c r="Y27" s="15" t="s">
        <v>193</v>
      </c>
      <c r="Z27" s="12"/>
      <c r="AA27" s="12"/>
    </row>
    <row r="28" spans="1:27" x14ac:dyDescent="0.25">
      <c r="A28" s="10" t="s">
        <v>194</v>
      </c>
      <c r="B28" s="10" t="s">
        <v>195</v>
      </c>
      <c r="C28" s="13">
        <f>_xll.BDH("ALNY US Equity","TRAIL_12M_NET_SALES","FQ3 2019","FQ3 2019","Currency=USD","Period=FQ","BEST_FPERIOD_OVERRIDE=FQ","FILING_STATUS=MR","SCALING_FORMAT=MLN","FA_ADJUSTED=GAAP","Sort=A","Dates=H","DateFormat=P","Fill=—","Direction=H","UseDPDF=Y")</f>
        <v>169.102</v>
      </c>
      <c r="D28" s="13">
        <f>_xll.BDH("ALNY US Equity","TRAIL_12M_NET_SALES","FQ4 2019","FQ4 2019","Currency=USD","Period=FQ","BEST_FPERIOD_OVERRIDE=FQ","FILING_STATUS=MR","SCALING_FORMAT=MLN","FA_ADJUSTED=GAAP","Sort=A","Dates=H","DateFormat=P","Fill=—","Direction=H","UseDPDF=Y")</f>
        <v>219.75</v>
      </c>
      <c r="E28" s="13">
        <f>_xll.BDH("ALNY US Equity","TRAIL_12M_NET_SALES","FQ1 2020","FQ1 2020","Currency=USD","Period=FQ","BEST_FPERIOD_OVERRIDE=FQ","FILING_STATUS=MR","SCALING_FORMAT=MLN","FA_ADJUSTED=GAAP","Sort=A","Dates=H","DateFormat=P","Fill=—","Direction=H","UseDPDF=Y")</f>
        <v>285.93200000000002</v>
      </c>
      <c r="F28" s="13">
        <f>_xll.BDH("ALNY US Equity","TRAIL_12M_NET_SALES","FQ2 2020","FQ2 2020","Currency=USD","Period=FQ","BEST_FPERIOD_OVERRIDE=FQ","FILING_STATUS=MR","SCALING_FORMAT=MLN","FA_ADJUSTED=GAAP","Sort=A","Dates=H","DateFormat=P","Fill=—","Direction=H","UseDPDF=Y")</f>
        <v>345.18</v>
      </c>
      <c r="G28" s="13">
        <f>_xll.BDH("ALNY US Equity","TRAIL_12M_NET_SALES","FQ3 2020","FQ3 2020","Currency=USD","Period=FQ","BEST_FPERIOD_OVERRIDE=FQ","FILING_STATUS=MR","SCALING_FORMAT=MLN","FA_ADJUSTED=GAAP","Sort=A","Dates=H","DateFormat=P","Fill=—","Direction=H","UseDPDF=Y")</f>
        <v>400.97199999999998</v>
      </c>
      <c r="H28" s="13">
        <f>_xll.BDH("ALNY US Equity","TRAIL_12M_NET_SALES","FQ4 2020","FQ4 2020","Currency=USD","Period=FQ","BEST_FPERIOD_OVERRIDE=FQ","FILING_STATUS=MR","SCALING_FORMAT=MLN","FA_ADJUSTED=GAAP","Sort=A","Dates=H","DateFormat=P","Fill=—","Direction=H","UseDPDF=Y")</f>
        <v>492.85300000000001</v>
      </c>
      <c r="I28" s="13">
        <f>_xll.BDH("ALNY US Equity","TRAIL_12M_NET_SALES","FQ1 2021","FQ1 2021","Currency=USD","Period=FQ","BEST_FPERIOD_OVERRIDE=FQ","FILING_STATUS=MR","SCALING_FORMAT=MLN","FA_ADJUSTED=GAAP","Sort=A","Dates=H","DateFormat=P","Fill=—","Direction=H","UseDPDF=Y")</f>
        <v>570.94299999999998</v>
      </c>
      <c r="J28" s="13">
        <f>_xll.BDH("ALNY US Equity","TRAIL_12M_NET_SALES","FQ2 2021","FQ2 2021","Currency=USD","Period=FQ","BEST_FPERIOD_OVERRIDE=FQ","FILING_STATUS=MR","SCALING_FORMAT=MLN","FA_ADJUSTED=GAAP","Sort=A","Dates=H","DateFormat=P","Fill=—","Direction=H","UseDPDF=Y")</f>
        <v>687.53399999999999</v>
      </c>
      <c r="K28" s="13">
        <f>_xll.BDH("ALNY US Equity","TRAIL_12M_NET_SALES","FQ3 2021","FQ3 2021","Currency=USD","Period=FQ","BEST_FPERIOD_OVERRIDE=FQ","FILING_STATUS=MR","SCALING_FORMAT=MLN","FA_ADJUSTED=GAAP","Sort=A","Dates=H","DateFormat=P","Fill=—","Direction=H","UseDPDF=Y")</f>
        <v>749.31399999999996</v>
      </c>
      <c r="L28" s="13">
        <f>_xll.BDH("ALNY US Equity","TRAIL_12M_NET_SALES","FQ4 2021","FQ4 2021","Currency=USD","Period=FQ","BEST_FPERIOD_OVERRIDE=FQ","FILING_STATUS=MR","SCALING_FORMAT=MLN","FA_ADJUSTED=GAAP","Sort=A","Dates=H","DateFormat=P","Fill=—","Direction=H","UseDPDF=Y")</f>
        <v>844.28700000000003</v>
      </c>
      <c r="M28" s="13">
        <f>_xll.BDH("ALNY US Equity","TRAIL_12M_NET_SALES","FQ1 2022","FQ1 2022","Currency=USD","Period=FQ","BEST_FPERIOD_OVERRIDE=FQ","FILING_STATUS=MR","SCALING_FORMAT=MLN","FA_ADJUSTED=GAAP","Sort=A","Dates=H","DateFormat=P","Fill=—","Direction=H","UseDPDF=Y")</f>
        <v>879.98</v>
      </c>
      <c r="N28" s="13">
        <f>_xll.BDH("ALNY US Equity","TRAIL_12M_NET_SALES","FQ2 2022","FQ2 2022","Currency=USD","Period=FQ","BEST_FPERIOD_OVERRIDE=FQ","FILING_STATUS=MR","SCALING_FORMAT=MLN","FA_ADJUSTED=GAAP","Sort=A","Dates=H","DateFormat=P","Fill=—","Direction=H","UseDPDF=Y")</f>
        <v>884.245</v>
      </c>
      <c r="O28" s="13">
        <f>_xll.BDH("ALNY US Equity","TRAIL_12M_NET_SALES","FQ3 2022","FQ3 2022","Currency=USD","Period=FQ","BEST_FPERIOD_OVERRIDE=FQ","FILING_STATUS=MR","SCALING_FORMAT=MLN","FA_ADJUSTED=GAAP","Sort=A","Dates=H","DateFormat=P","Fill=—","Direction=H","UseDPDF=Y")</f>
        <v>960.91800000000001</v>
      </c>
      <c r="P28" s="13">
        <f>_xll.BDH("ALNY US Equity","TRAIL_12M_NET_SALES","FQ4 2022","FQ4 2022","Currency=USD","Period=FQ","BEST_FPERIOD_OVERRIDE=FQ","FILING_STATUS=MR","SCALING_FORMAT=MLN","FA_ADJUSTED=GAAP","Sort=A","Dates=H","DateFormat=P","Fill=—","Direction=H","UseDPDF=Y")</f>
        <v>1037.4179999999999</v>
      </c>
      <c r="Q28" s="13">
        <f>_xll.BDH("ALNY US Equity","TRAIL_12M_NET_SALES","FQ1 2023","FQ1 2023","Currency=USD","Period=FQ","BEST_FPERIOD_OVERRIDE=FQ","FILING_STATUS=MR","SCALING_FORMAT=MLN","FA_ADJUSTED=GAAP","Sort=A","Dates=H","DateFormat=P","Fill=—","Direction=H","UseDPDF=Y")</f>
        <v>1143.4490000000001</v>
      </c>
      <c r="R28" s="13">
        <f>_xll.BDH("ALNY US Equity","TRAIL_12M_NET_SALES","FQ2 2023","FQ2 2023","Currency=USD","Period=FQ","BEST_FPERIOD_OVERRIDE=FQ","FILING_STATUS=MR","SCALING_FORMAT=MLN","FA_ADJUSTED=GAAP","Sort=A","Dates=H","DateFormat=P","Fill=—","Direction=H","UseDPDF=Y")</f>
        <v>1237.385</v>
      </c>
      <c r="S28" s="13">
        <f>_xll.BDH("ALNY US Equity","TRAIL_12M_NET_SALES","FQ3 2023","FQ3 2023","Currency=USD","Period=FQ","BEST_FPERIOD_OVERRIDE=FQ","FILING_STATUS=MR","SCALING_FORMAT=MLN","FA_ADJUSTED=GAAP","Sort=A","Dates=H","DateFormat=P","Fill=—","Direction=H","UseDPDF=Y")</f>
        <v>1723.6089999999999</v>
      </c>
      <c r="T28" s="13">
        <f>_xll.BDH("ALNY US Equity","TRAIL_12M_NET_SALES","FQ4 2023","FQ4 2023","Currency=USD","Period=FQ","BEST_FPERIOD_OVERRIDE=FQ","FILING_STATUS=MR","SCALING_FORMAT=MLN","FA_ADJUSTED=GAAP","Sort=A","Dates=H","DateFormat=P","Fill=—","Direction=H","UseDPDF=Y")</f>
        <v>1828.2919999999999</v>
      </c>
      <c r="U28" s="13">
        <f>_xll.BDH("ALNY US Equity","TRAIL_12M_NET_SALES","FQ1 2024","FQ1 2024","Currency=USD","Period=FQ","BEST_FPERIOD_OVERRIDE=FQ","FILING_STATUS=MR","SCALING_FORMAT=MLN","FA_ADJUSTED=GAAP","Sort=A","Dates=H","DateFormat=P","Fill=—","Direction=H","UseDPDF=Y")</f>
        <v>2003.335</v>
      </c>
      <c r="V28" s="13">
        <f>_xll.BDH("ALNY US Equity","TRAIL_12M_NET_SALES","FQ2 2024","FQ2 2024","Currency=USD","Period=FQ","BEST_FPERIOD_OVERRIDE=FQ","FILING_STATUS=MR","SCALING_FORMAT=MLN","FA_ADJUSTED=GAAP","Sort=A","Dates=H","DateFormat=P","Fill=—","Direction=H","UseDPDF=Y")</f>
        <v>2344.4059999999999</v>
      </c>
      <c r="W28" s="13">
        <f>_xll.BDH("ALNY US Equity","TRAIL_12M_NET_SALES","FQ3 2024","FQ3 2024","Currency=USD","Period=FQ","BEST_FPERIOD_OVERRIDE=FQ","FILING_STATUS=MR","SCALING_FORMAT=MLN","FA_ADJUSTED=GAAP","Sort=A","Dates=H","DateFormat=P","Fill=—","Direction=H","UseDPDF=Y")</f>
        <v>2094.7950000000001</v>
      </c>
      <c r="X28" s="13">
        <f>_xll.BDH("ALNY US Equity","TRAIL_12M_NET_SALES","FQ4 2024","FQ4 2024","Currency=USD","Period=FQ","BEST_FPERIOD_OVERRIDE=FQ","FILING_STATUS=MR","SCALING_FORMAT=MLN","FA_ADJUSTED=GAAP","Sort=A","Dates=H","DateFormat=P","Fill=—","Direction=H","UseDPDF=Y")</f>
        <v>2248.2429999999999</v>
      </c>
      <c r="Y28" s="16">
        <v>2248.2429999999999</v>
      </c>
      <c r="Z28" s="13">
        <v>2863.511</v>
      </c>
      <c r="AA28" s="13">
        <v>3120.1689999999999</v>
      </c>
    </row>
    <row r="29" spans="1:27" x14ac:dyDescent="0.25">
      <c r="A29" s="10" t="s">
        <v>78</v>
      </c>
      <c r="B29" s="10" t="s">
        <v>295</v>
      </c>
      <c r="C29" s="13">
        <f>_xll.BDH("ALNY US Equity","T12M_EBITDA_AFTER_OPER_LEA_EXPN","FQ3 2019","FQ3 2019","Currency=USD","Period=FQ","BEST_FPERIOD_OVERRIDE=FQ","FILING_STATUS=MR","SCALING_FORMAT=MLN","FA_ADJUSTED=GAAP","Sort=A","Dates=H","DateFormat=P","Fill=—","Direction=H","UseDPDF=Y")</f>
        <v>-824.33600000000001</v>
      </c>
      <c r="D29" s="13">
        <f>_xll.BDH("ALNY US Equity","T12M_EBITDA_AFTER_OPER_LEA_EXPN","FQ4 2019","FQ4 2019","Currency=USD","Period=FQ","BEST_FPERIOD_OVERRIDE=FQ","FILING_STATUS=MR","SCALING_FORMAT=MLN","FA_ADJUSTED=GAAP","Sort=A","Dates=H","DateFormat=P","Fill=—","Direction=H","UseDPDF=Y")</f>
        <v>-885.06299999999999</v>
      </c>
      <c r="E29" s="13">
        <f>_xll.BDH("ALNY US Equity","T12M_EBITDA_AFTER_OPER_LEA_EXPN","FQ1 2020","FQ1 2020","Currency=USD","Period=FQ","BEST_FPERIOD_OVERRIDE=FQ","FILING_STATUS=MR","SCALING_FORMAT=MLN","FA_ADJUSTED=GAAP","Sort=A","Dates=H","DateFormat=P","Fill=—","Direction=H","UseDPDF=Y")</f>
        <v>-901.63699999999994</v>
      </c>
      <c r="F29" s="13">
        <f>_xll.BDH("ALNY US Equity","T12M_EBITDA_AFTER_OPER_LEA_EXPN","FQ2 2020","FQ2 2020","Currency=USD","Period=FQ","BEST_FPERIOD_OVERRIDE=FQ","FILING_STATUS=MR","SCALING_FORMAT=MLN","FA_ADJUSTED=GAAP","Sort=A","Dates=H","DateFormat=P","Fill=—","Direction=H","UseDPDF=Y")</f>
        <v>-856.19200000000001</v>
      </c>
      <c r="G29" s="13">
        <f>_xll.BDH("ALNY US Equity","T12M_EBITDA_AFTER_OPER_LEA_EXPN","FQ3 2020","FQ3 2020","Currency=USD","Period=FQ","BEST_FPERIOD_OVERRIDE=FQ","FILING_STATUS=MR","SCALING_FORMAT=MLN","FA_ADJUSTED=GAAP","Sort=A","Dates=H","DateFormat=P","Fill=—","Direction=H","UseDPDF=Y")</f>
        <v>-863.97199999999998</v>
      </c>
      <c r="H29" s="13">
        <f>_xll.BDH("ALNY US Equity","T12M_EBITDA_AFTER_OPER_LEA_EXPN","FQ4 2020","FQ4 2020","Currency=USD","Period=FQ","BEST_FPERIOD_OVERRIDE=FQ","FILING_STATUS=MR","SCALING_FORMAT=MLN","FA_ADJUSTED=GAAP","Sort=A","Dates=H","DateFormat=P","Fill=—","Direction=H","UseDPDF=Y")</f>
        <v>-754.00300000000004</v>
      </c>
      <c r="I29" s="13">
        <f>_xll.BDH("ALNY US Equity","T12M_EBITDA_AFTER_OPER_LEA_EXPN","FQ1 2021","FQ1 2021","Currency=USD","Period=FQ","BEST_FPERIOD_OVERRIDE=FQ","FILING_STATUS=MR","SCALING_FORMAT=MLN","FA_ADJUSTED=GAAP","Sort=A","Dates=H","DateFormat=P","Fill=—","Direction=H","UseDPDF=Y")</f>
        <v>-724.24300000000005</v>
      </c>
      <c r="J29" s="13">
        <f>_xll.BDH("ALNY US Equity","T12M_EBITDA_AFTER_OPER_LEA_EXPN","FQ2 2021","FQ2 2021","Currency=USD","Period=FQ","BEST_FPERIOD_OVERRIDE=FQ","FILING_STATUS=MR","SCALING_FORMAT=MLN","FA_ADJUSTED=GAAP","Sort=A","Dates=H","DateFormat=P","Fill=—","Direction=H","UseDPDF=Y")</f>
        <v>-667.16099999999994</v>
      </c>
      <c r="K29" s="13">
        <f>_xll.BDH("ALNY US Equity","T12M_EBITDA_AFTER_OPER_LEA_EXPN","FQ3 2021","FQ3 2021","Currency=USD","Period=FQ","BEST_FPERIOD_OVERRIDE=FQ","FILING_STATUS=MR","SCALING_FORMAT=MLN","FA_ADJUSTED=GAAP","Sort=A","Dates=H","DateFormat=P","Fill=—","Direction=H","UseDPDF=Y")</f>
        <v>-619.19000000000005</v>
      </c>
      <c r="L29" s="13">
        <f>_xll.BDH("ALNY US Equity","T12M_EBITDA_AFTER_OPER_LEA_EXPN","FQ4 2021","FQ4 2021","Currency=USD","Period=FQ","BEST_FPERIOD_OVERRIDE=FQ","FILING_STATUS=MR","SCALING_FORMAT=MLN","FA_ADJUSTED=GAAP","Sort=A","Dates=H","DateFormat=P","Fill=—","Direction=H","UseDPDF=Y")</f>
        <v>-618.95799999999997</v>
      </c>
      <c r="M29" s="13">
        <f>_xll.BDH("ALNY US Equity","T12M_EBITDA_AFTER_OPER_LEA_EXPN","FQ1 2022","FQ1 2022","Currency=USD","Period=FQ","BEST_FPERIOD_OVERRIDE=FQ","FILING_STATUS=MR","SCALING_FORMAT=MLN","FA_ADJUSTED=GAAP","Sort=A","Dates=H","DateFormat=P","Fill=—","Direction=H","UseDPDF=Y")</f>
        <v>-582.52</v>
      </c>
      <c r="N29" s="13">
        <f>_xll.BDH("ALNY US Equity","T12M_EBITDA_AFTER_OPER_LEA_EXPN","FQ2 2022","FQ2 2022","Currency=USD","Period=FQ","BEST_FPERIOD_OVERRIDE=FQ","FILING_STATUS=MR","SCALING_FORMAT=MLN","FA_ADJUSTED=GAAP","Sort=A","Dates=H","DateFormat=P","Fill=—","Direction=H","UseDPDF=Y")</f>
        <v>-629.97</v>
      </c>
      <c r="O29" s="13">
        <f>_xll.BDH("ALNY US Equity","T12M_EBITDA_AFTER_OPER_LEA_EXPN","FQ3 2022","FQ3 2022","Currency=USD","Period=FQ","BEST_FPERIOD_OVERRIDE=FQ","FILING_STATUS=MR","SCALING_FORMAT=MLN","FA_ADJUSTED=GAAP","Sort=A","Dates=H","DateFormat=P","Fill=—","Direction=H","UseDPDF=Y")</f>
        <v>-708.90300000000002</v>
      </c>
      <c r="P29" s="13">
        <f>_xll.BDH("ALNY US Equity","T12M_EBITDA_AFTER_OPER_LEA_EXPN","FQ4 2022","FQ4 2022","Currency=USD","Period=FQ","BEST_FPERIOD_OVERRIDE=FQ","FILING_STATUS=MR","SCALING_FORMAT=MLN","FA_ADJUSTED=GAAP","Sort=A","Dates=H","DateFormat=P","Fill=—","Direction=H","UseDPDF=Y")</f>
        <v>-699.52200000000005</v>
      </c>
      <c r="Q29" s="13">
        <f>_xll.BDH("ALNY US Equity","T12M_EBITDA_AFTER_OPER_LEA_EXPN","FQ1 2023","FQ1 2023","Currency=USD","Period=FQ","BEST_FPERIOD_OVERRIDE=FQ","FILING_STATUS=MR","SCALING_FORMAT=MLN","FA_ADJUSTED=GAAP","Sort=A","Dates=H","DateFormat=P","Fill=—","Direction=H","UseDPDF=Y")</f>
        <v>-696.29600000000005</v>
      </c>
      <c r="R29" s="13">
        <f>_xll.BDH("ALNY US Equity","T12M_EBITDA_AFTER_OPER_LEA_EXPN","FQ2 2023","FQ2 2023","Currency=USD","Period=FQ","BEST_FPERIOD_OVERRIDE=FQ","FILING_STATUS=MR","SCALING_FORMAT=MLN","FA_ADJUSTED=GAAP","Sort=A","Dates=H","DateFormat=P","Fill=—","Direction=H","UseDPDF=Y")</f>
        <v>-731.23099999999999</v>
      </c>
      <c r="S29" s="13">
        <f>_xll.BDH("ALNY US Equity","T12M_EBITDA_AFTER_OPER_LEA_EXPN","FQ3 2023","FQ3 2023","Currency=USD","Period=FQ","BEST_FPERIOD_OVERRIDE=FQ","FILING_STATUS=MR","SCALING_FORMAT=MLN","FA_ADJUSTED=GAAP","Sort=A","Dates=H","DateFormat=P","Fill=—","Direction=H","UseDPDF=Y")</f>
        <v>-256.44200000000001</v>
      </c>
      <c r="T29" s="13">
        <f>_xll.BDH("ALNY US Equity","T12M_EBITDA_AFTER_OPER_LEA_EXPN","FQ4 2023","FQ4 2023","Currency=USD","Period=FQ","BEST_FPERIOD_OVERRIDE=FQ","FILING_STATUS=MR","SCALING_FORMAT=MLN","FA_ADJUSTED=GAAP","Sort=A","Dates=H","DateFormat=P","Fill=—","Direction=H","UseDPDF=Y")</f>
        <v>-185.14400000000001</v>
      </c>
      <c r="U29" s="13">
        <f>_xll.BDH("ALNY US Equity","T12M_EBITDA_AFTER_OPER_LEA_EXPN","FQ1 2024","FQ1 2024","Currency=USD","Period=FQ","BEST_FPERIOD_OVERRIDE=FQ","FILING_STATUS=MR","SCALING_FORMAT=MLN","FA_ADJUSTED=GAAP","Sort=A","Dates=H","DateFormat=P","Fill=—","Direction=H","UseDPDF=Y")</f>
        <v>-79.364999999999995</v>
      </c>
      <c r="V29" s="13">
        <f>_xll.BDH("ALNY US Equity","T12M_EBITDA_AFTER_OPER_LEA_EXPN","FQ2 2024","FQ2 2024","Currency=USD","Period=FQ","BEST_FPERIOD_OVERRIDE=FQ","FILING_STATUS=MR","SCALING_FORMAT=MLN","FA_ADJUSTED=GAAP","Sort=A","Dates=H","DateFormat=P","Fill=—","Direction=H","UseDPDF=Y")</f>
        <v>200.32499999999999</v>
      </c>
      <c r="W29" s="13">
        <f>_xll.BDH("ALNY US Equity","T12M_EBITDA_AFTER_OPER_LEA_EXPN","FQ3 2024","FQ3 2024","Currency=USD","Period=FQ","BEST_FPERIOD_OVERRIDE=FQ","FILING_STATUS=MR","SCALING_FORMAT=MLN","FA_ADJUSTED=GAAP","Sort=A","Dates=H","DateFormat=P","Fill=—","Direction=H","UseDPDF=Y")</f>
        <v>-86.941000000000003</v>
      </c>
      <c r="X29" s="13">
        <f>_xll.BDH("ALNY US Equity","T12M_EBITDA_AFTER_OPER_LEA_EXPN","FQ4 2024","FQ4 2024","Currency=USD","Period=FQ","BEST_FPERIOD_OVERRIDE=FQ","FILING_STATUS=MR","SCALING_FORMAT=MLN","FA_ADJUSTED=GAAP","Sort=A","Dates=H","DateFormat=P","Fill=—","Direction=H","UseDPDF=Y")</f>
        <v>-85.501000000000005</v>
      </c>
      <c r="Y29" s="16">
        <v>-85.501000000000005</v>
      </c>
      <c r="Z29" s="13">
        <v>46.625</v>
      </c>
      <c r="AA29" s="13">
        <v>495.5</v>
      </c>
    </row>
    <row r="30" spans="1:27" x14ac:dyDescent="0.25">
      <c r="A30" s="10" t="s">
        <v>142</v>
      </c>
      <c r="B30" s="10" t="s">
        <v>296</v>
      </c>
      <c r="C30" s="13">
        <f>_xll.BDH("ALNY US Equity","T12_EBIT_AFT_OPER_LEASE_EXPN","FQ3 2019","FQ3 2019","Currency=USD","Period=FQ","BEST_FPERIOD_OVERRIDE=FQ","FILING_STATUS=MR","SCALING_FORMAT=MLN","FA_ADJUSTED=GAAP","Sort=A","Dates=H","DateFormat=P","Fill=—","Direction=H","UseDPDF=Y")</f>
        <v>-861.71400000000006</v>
      </c>
      <c r="D30" s="13">
        <f>_xll.BDH("ALNY US Equity","T12_EBIT_AFT_OPER_LEASE_EXPN","FQ4 2019","FQ4 2019","Currency=USD","Period=FQ","BEST_FPERIOD_OVERRIDE=FQ","FILING_STATUS=MR","SCALING_FORMAT=MLN","FA_ADJUSTED=GAAP","Sort=A","Dates=H","DateFormat=P","Fill=—","Direction=H","UseDPDF=Y")</f>
        <v>-939.43100000000004</v>
      </c>
      <c r="E30" s="13">
        <f>_xll.BDH("ALNY US Equity","T12_EBIT_AFT_OPER_LEASE_EXPN","FQ1 2020","FQ1 2020","Currency=USD","Period=FQ","BEST_FPERIOD_OVERRIDE=FQ","FILING_STATUS=MR","SCALING_FORMAT=MLN","FA_ADJUSTED=GAAP","Sort=A","Dates=H","DateFormat=P","Fill=—","Direction=H","UseDPDF=Y")</f>
        <v>-960.80100000000004</v>
      </c>
      <c r="F30" s="13">
        <f>_xll.BDH("ALNY US Equity","T12_EBIT_AFT_OPER_LEASE_EXPN","FQ2 2020","FQ2 2020","Currency=USD","Period=FQ","BEST_FPERIOD_OVERRIDE=FQ","FILING_STATUS=MR","SCALING_FORMAT=MLN","FA_ADJUSTED=GAAP","Sort=A","Dates=H","DateFormat=P","Fill=—","Direction=H","UseDPDF=Y")</f>
        <v>-923.38900000000001</v>
      </c>
      <c r="G30" s="13">
        <f>_xll.BDH("ALNY US Equity","T12_EBIT_AFT_OPER_LEASE_EXPN","FQ3 2020","FQ3 2020","Currency=USD","Period=FQ","BEST_FPERIOD_OVERRIDE=FQ","FILING_STATUS=MR","SCALING_FORMAT=MLN","FA_ADJUSTED=GAAP","Sort=A","Dates=H","DateFormat=P","Fill=—","Direction=H","UseDPDF=Y")</f>
        <v>-932.28899999999999</v>
      </c>
      <c r="H30" s="13">
        <f>_xll.BDH("ALNY US Equity","T12_EBIT_AFT_OPER_LEASE_EXPN","FQ4 2020","FQ4 2020","Currency=USD","Period=FQ","BEST_FPERIOD_OVERRIDE=FQ","FILING_STATUS=MR","SCALING_FORMAT=MLN","FA_ADJUSTED=GAAP","Sort=A","Dates=H","DateFormat=P","Fill=—","Direction=H","UseDPDF=Y")</f>
        <v>-828.43799999999999</v>
      </c>
      <c r="I30" s="13">
        <f>_xll.BDH("ALNY US Equity","T12_EBIT_AFT_OPER_LEASE_EXPN","FQ1 2021","FQ1 2021","Currency=USD","Period=FQ","BEST_FPERIOD_OVERRIDE=FQ","FILING_STATUS=MR","SCALING_FORMAT=MLN","FA_ADJUSTED=GAAP","Sort=A","Dates=H","DateFormat=P","Fill=—","Direction=H","UseDPDF=Y")</f>
        <v>-804.53399999999999</v>
      </c>
      <c r="J30" s="13">
        <f>_xll.BDH("ALNY US Equity","T12_EBIT_AFT_OPER_LEASE_EXPN","FQ2 2021","FQ2 2021","Currency=USD","Period=FQ","BEST_FPERIOD_OVERRIDE=FQ","FILING_STATUS=MR","SCALING_FORMAT=MLN","FA_ADJUSTED=GAAP","Sort=A","Dates=H","DateFormat=P","Fill=—","Direction=H","UseDPDF=Y")</f>
        <v>-751.83500000000004</v>
      </c>
      <c r="K30" s="13">
        <f>_xll.BDH("ALNY US Equity","T12_EBIT_AFT_OPER_LEASE_EXPN","FQ3 2021","FQ3 2021","Currency=USD","Period=FQ","BEST_FPERIOD_OVERRIDE=FQ","FILING_STATUS=MR","SCALING_FORMAT=MLN","FA_ADJUSTED=GAAP","Sort=A","Dates=H","DateFormat=P","Fill=—","Direction=H","UseDPDF=Y")</f>
        <v>-708.31299999999999</v>
      </c>
      <c r="L30" s="13">
        <f>_xll.BDH("ALNY US Equity","T12_EBIT_AFT_OPER_LEASE_EXPN","FQ4 2021","FQ4 2021","Currency=USD","Period=FQ","BEST_FPERIOD_OVERRIDE=FQ","FILING_STATUS=MR","SCALING_FORMAT=MLN","FA_ADJUSTED=GAAP","Sort=A","Dates=H","DateFormat=P","Fill=—","Direction=H","UseDPDF=Y")</f>
        <v>-708.65200000000004</v>
      </c>
      <c r="M30" s="13">
        <f>_xll.BDH("ALNY US Equity","T12_EBIT_AFT_OPER_LEASE_EXPN","FQ1 2022","FQ1 2022","Currency=USD","Period=FQ","BEST_FPERIOD_OVERRIDE=FQ","FILING_STATUS=MR","SCALING_FORMAT=MLN","FA_ADJUSTED=GAAP","Sort=A","Dates=H","DateFormat=P","Fill=—","Direction=H","UseDPDF=Y")</f>
        <v>-669.13</v>
      </c>
      <c r="N30" s="13">
        <f>_xll.BDH("ALNY US Equity","T12_EBIT_AFT_OPER_LEASE_EXPN","FQ2 2022","FQ2 2022","Currency=USD","Period=FQ","BEST_FPERIOD_OVERRIDE=FQ","FILING_STATUS=MR","SCALING_FORMAT=MLN","FA_ADJUSTED=GAAP","Sort=A","Dates=H","DateFormat=P","Fill=—","Direction=H","UseDPDF=Y")</f>
        <v>-714.65599999999995</v>
      </c>
      <c r="O30" s="13">
        <f>_xll.BDH("ALNY US Equity","T12_EBIT_AFT_OPER_LEASE_EXPN","FQ3 2022","FQ3 2022","Currency=USD","Period=FQ","BEST_FPERIOD_OVERRIDE=FQ","FILING_STATUS=MR","SCALING_FORMAT=MLN","FA_ADJUSTED=GAAP","Sort=A","Dates=H","DateFormat=P","Fill=—","Direction=H","UseDPDF=Y")</f>
        <v>-791.01900000000001</v>
      </c>
      <c r="P30" s="13">
        <f>_xll.BDH("ALNY US Equity","T12_EBIT_AFT_OPER_LEASE_EXPN","FQ4 2022","FQ4 2022","Currency=USD","Period=FQ","BEST_FPERIOD_OVERRIDE=FQ","FILING_STATUS=MR","SCALING_FORMAT=MLN","FA_ADJUSTED=GAAP","Sort=A","Dates=H","DateFormat=P","Fill=—","Direction=H","UseDPDF=Y")</f>
        <v>-785.072</v>
      </c>
      <c r="Q30" s="13">
        <f>_xll.BDH("ALNY US Equity","T12_EBIT_AFT_OPER_LEASE_EXPN","FQ1 2023","FQ1 2023","Currency=USD","Period=FQ","BEST_FPERIOD_OVERRIDE=FQ","FILING_STATUS=MR","SCALING_FORMAT=MLN","FA_ADJUSTED=GAAP","Sort=A","Dates=H","DateFormat=P","Fill=—","Direction=H","UseDPDF=Y")</f>
        <v>-788.14700000000005</v>
      </c>
      <c r="R30" s="13">
        <f>_xll.BDH("ALNY US Equity","T12_EBIT_AFT_OPER_LEASE_EXPN","FQ2 2023","FQ2 2023","Currency=USD","Period=FQ","BEST_FPERIOD_OVERRIDE=FQ","FILING_STATUS=MR","SCALING_FORMAT=MLN","FA_ADJUSTED=GAAP","Sort=A","Dates=H","DateFormat=P","Fill=—","Direction=H","UseDPDF=Y")</f>
        <v>-826.29200000000003</v>
      </c>
      <c r="S30" s="13">
        <f>_xll.BDH("ALNY US Equity","T12_EBIT_AFT_OPER_LEASE_EXPN","FQ3 2023","FQ3 2023","Currency=USD","Period=FQ","BEST_FPERIOD_OVERRIDE=FQ","FILING_STATUS=MR","SCALING_FORMAT=MLN","FA_ADJUSTED=GAAP","Sort=A","Dates=H","DateFormat=P","Fill=—","Direction=H","UseDPDF=Y")</f>
        <v>-354.38499999999999</v>
      </c>
      <c r="T30" s="13">
        <f>_xll.BDH("ALNY US Equity","T12_EBIT_AFT_OPER_LEASE_EXPN","FQ4 2023","FQ4 2023","Currency=USD","Period=FQ","BEST_FPERIOD_OVERRIDE=FQ","FILING_STATUS=MR","SCALING_FORMAT=MLN","FA_ADJUSTED=GAAP","Sort=A","Dates=H","DateFormat=P","Fill=—","Direction=H","UseDPDF=Y")</f>
        <v>-282.17500000000001</v>
      </c>
      <c r="U30" s="13">
        <f>_xll.BDH("ALNY US Equity","T12_EBIT_AFT_OPER_LEASE_EXPN","FQ1 2024","FQ1 2024","Currency=USD","Period=FQ","BEST_FPERIOD_OVERRIDE=FQ","FILING_STATUS=MR","SCALING_FORMAT=MLN","FA_ADJUSTED=GAAP","Sort=A","Dates=H","DateFormat=P","Fill=—","Direction=H","UseDPDF=Y")</f>
        <v>-175.803</v>
      </c>
      <c r="V30" s="13">
        <f>_xll.BDH("ALNY US Equity","T12_EBIT_AFT_OPER_LEASE_EXPN","FQ2 2024","FQ2 2024","Currency=USD","Period=FQ","BEST_FPERIOD_OVERRIDE=FQ","FILING_STATUS=MR","SCALING_FORMAT=MLN","FA_ADJUSTED=GAAP","Sort=A","Dates=H","DateFormat=P","Fill=—","Direction=H","UseDPDF=Y")</f>
        <v>102.642</v>
      </c>
      <c r="W30" s="13">
        <f>_xll.BDH("ALNY US Equity","T12_EBIT_AFT_OPER_LEASE_EXPN","FQ3 2024","FQ3 2024","Currency=USD","Period=FQ","BEST_FPERIOD_OVERRIDE=FQ","FILING_STATUS=MR","SCALING_FORMAT=MLN","FA_ADJUSTED=GAAP","Sort=A","Dates=H","DateFormat=P","Fill=—","Direction=H","UseDPDF=Y")</f>
        <v>-188.13</v>
      </c>
      <c r="X30" s="13">
        <f>_xll.BDH("ALNY US Equity","T12_EBIT_AFT_OPER_LEASE_EXPN","FQ4 2024","FQ4 2024","Currency=USD","Period=FQ","BEST_FPERIOD_OVERRIDE=FQ","FILING_STATUS=MR","SCALING_FORMAT=MLN","FA_ADJUSTED=GAAP","Sort=A","Dates=H","DateFormat=P","Fill=—","Direction=H","UseDPDF=Y")</f>
        <v>-176.88499999999999</v>
      </c>
      <c r="Y30" s="16">
        <v>-176.88499999999999</v>
      </c>
      <c r="Z30" s="13">
        <v>-83.477999999999994</v>
      </c>
      <c r="AA30" s="13">
        <v>-2.847</v>
      </c>
    </row>
    <row r="31" spans="1:27" x14ac:dyDescent="0.25">
      <c r="A31" s="7" t="s">
        <v>90</v>
      </c>
      <c r="B31" s="7"/>
      <c r="C31" s="7" t="s">
        <v>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297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0</v>
      </c>
      <c r="B6" s="6" t="s">
        <v>71</v>
      </c>
      <c r="C6" s="19">
        <f>_xll.BDH("ALNY US Equity","SALES_REV_TURN","FQ2 2019","FQ2 2019","Currency=USD","Period=FQ","BEST_FPERIOD_OVERRIDE=FQ","FILING_STATUS=MR","SCALING_FORMAT=MLN","FA_ADJUSTED=Adjusted","Sort=A","Dates=H","DateFormat=P","Fill=—","Direction=H","UseDPDF=Y")</f>
        <v>44.713999999999999</v>
      </c>
      <c r="D6" s="19">
        <f>_xll.BDH("ALNY US Equity","SALES_REV_TURN","FQ3 2019","FQ3 2019","Currency=USD","Period=FQ","BEST_FPERIOD_OVERRIDE=FQ","FILING_STATUS=MR","SCALING_FORMAT=MLN","FA_ADJUSTED=Adjusted","Sort=A","Dates=H","DateFormat=P","Fill=—","Direction=H","UseDPDF=Y")</f>
        <v>70.061000000000007</v>
      </c>
      <c r="E6" s="19">
        <f>_xll.BDH("ALNY US Equity","SALES_REV_TURN","FQ4 2019","FQ4 2019","Currency=USD","Period=FQ","BEST_FPERIOD_OVERRIDE=FQ","FILING_STATUS=MR","SCALING_FORMAT=MLN","FA_ADJUSTED=Adjusted","Sort=A","Dates=H","DateFormat=P","Fill=—","Direction=H","UseDPDF=Y")</f>
        <v>71.680999999999997</v>
      </c>
      <c r="F6" s="19">
        <f>_xll.BDH("ALNY US Equity","SALES_REV_TURN","FQ1 2020","FQ1 2020","Currency=USD","Period=FQ","BEST_FPERIOD_OVERRIDE=FQ","FILING_STATUS=MR","SCALING_FORMAT=MLN","FA_ADJUSTED=Adjusted","Sort=A","Dates=H","DateFormat=P","Fill=—","Direction=H","UseDPDF=Y")</f>
        <v>99.475999999999999</v>
      </c>
      <c r="G6" s="19">
        <f>_xll.BDH("ALNY US Equity","SALES_REV_TURN","FQ2 2020","FQ2 2020","Currency=USD","Period=FQ","BEST_FPERIOD_OVERRIDE=FQ","FILING_STATUS=MR","SCALING_FORMAT=MLN","FA_ADJUSTED=Adjusted","Sort=A","Dates=H","DateFormat=P","Fill=—","Direction=H","UseDPDF=Y")</f>
        <v>103.962</v>
      </c>
      <c r="H6" s="19">
        <f>_xll.BDH("ALNY US Equity","SALES_REV_TURN","FQ3 2020","FQ3 2020","Currency=USD","Period=FQ","BEST_FPERIOD_OVERRIDE=FQ","FILING_STATUS=MR","SCALING_FORMAT=MLN","FA_ADJUSTED=Adjusted","Sort=A","Dates=H","DateFormat=P","Fill=—","Direction=H","UseDPDF=Y")</f>
        <v>125.85299999999999</v>
      </c>
      <c r="I6" s="19">
        <f>_xll.BDH("ALNY US Equity","SALES_REV_TURN","FQ4 2020","FQ4 2020","Currency=USD","Period=FQ","BEST_FPERIOD_OVERRIDE=FQ","FILING_STATUS=MR","SCALING_FORMAT=MLN","FA_ADJUSTED=Adjusted","Sort=A","Dates=H","DateFormat=P","Fill=—","Direction=H","UseDPDF=Y")</f>
        <v>163.56200000000001</v>
      </c>
      <c r="J6" s="19">
        <f>_xll.BDH("ALNY US Equity","SALES_REV_TURN","FQ1 2021","FQ1 2021","Currency=USD","Period=FQ","BEST_FPERIOD_OVERRIDE=FQ","FILING_STATUS=MR","SCALING_FORMAT=MLN","FA_ADJUSTED=Adjusted","Sort=A","Dates=H","DateFormat=P","Fill=—","Direction=H","UseDPDF=Y")</f>
        <v>177.566</v>
      </c>
      <c r="K6" s="19">
        <f>_xll.BDH("ALNY US Equity","SALES_REV_TURN","FQ2 2021","FQ2 2021","Currency=USD","Period=FQ","BEST_FPERIOD_OVERRIDE=FQ","FILING_STATUS=MR","SCALING_FORMAT=MLN","FA_ADJUSTED=Adjusted","Sort=A","Dates=H","DateFormat=P","Fill=—","Direction=H","UseDPDF=Y")</f>
        <v>220.553</v>
      </c>
      <c r="L6" s="19">
        <f>_xll.BDH("ALNY US Equity","SALES_REV_TURN","FQ3 2021","FQ3 2021","Currency=USD","Period=FQ","BEST_FPERIOD_OVERRIDE=FQ","FILING_STATUS=MR","SCALING_FORMAT=MLN","FA_ADJUSTED=Adjusted","Sort=A","Dates=H","DateFormat=P","Fill=—","Direction=H","UseDPDF=Y")</f>
        <v>187.63300000000001</v>
      </c>
      <c r="M6" s="19">
        <f>_xll.BDH("ALNY US Equity","SALES_REV_TURN","FQ4 2021","FQ4 2021","Currency=USD","Period=FQ","BEST_FPERIOD_OVERRIDE=FQ","FILING_STATUS=MR","SCALING_FORMAT=MLN","FA_ADJUSTED=Adjusted","Sort=A","Dates=H","DateFormat=P","Fill=—","Direction=H","UseDPDF=Y")</f>
        <v>258.53500000000003</v>
      </c>
      <c r="N6" s="19">
        <f>_xll.BDH("ALNY US Equity","SALES_REV_TURN","FQ1 2022","FQ1 2022","Currency=USD","Period=FQ","BEST_FPERIOD_OVERRIDE=FQ","FILING_STATUS=MR","SCALING_FORMAT=MLN","FA_ADJUSTED=Adjusted","Sort=A","Dates=H","DateFormat=P","Fill=—","Direction=H","UseDPDF=Y")</f>
        <v>213.25899999999999</v>
      </c>
      <c r="O6" s="19">
        <f>_xll.BDH("ALNY US Equity","SALES_REV_TURN","FQ2 2022","FQ2 2022","Currency=USD","Period=FQ","BEST_FPERIOD_OVERRIDE=FQ","FILING_STATUS=MR","SCALING_FORMAT=MLN","FA_ADJUSTED=Adjusted","Sort=A","Dates=H","DateFormat=P","Fill=—","Direction=H","UseDPDF=Y")</f>
        <v>224.81800000000001</v>
      </c>
      <c r="P6" s="19">
        <f>_xll.BDH("ALNY US Equity","SALES_REV_TURN","FQ3 2022","FQ3 2022","Currency=USD","Period=FQ","BEST_FPERIOD_OVERRIDE=FQ","FILING_STATUS=MR","SCALING_FORMAT=MLN","FA_ADJUSTED=Adjusted","Sort=A","Dates=H","DateFormat=P","Fill=—","Direction=H","UseDPDF=Y")</f>
        <v>264.30599999999998</v>
      </c>
      <c r="Q6" s="19">
        <f>_xll.BDH("ALNY US Equity","SALES_REV_TURN","FQ4 2022","FQ4 2022","Currency=USD","Period=FQ","BEST_FPERIOD_OVERRIDE=FQ","FILING_STATUS=MR","SCALING_FORMAT=MLN","FA_ADJUSTED=Adjusted","Sort=A","Dates=H","DateFormat=P","Fill=—","Direction=H","UseDPDF=Y")</f>
        <v>335.03500000000003</v>
      </c>
      <c r="R6" s="19">
        <f>_xll.BDH("ALNY US Equity","SALES_REV_TURN","FQ1 2023","FQ1 2023","Currency=USD","Period=FQ","BEST_FPERIOD_OVERRIDE=FQ","FILING_STATUS=MR","SCALING_FORMAT=MLN","FA_ADJUSTED=Adjusted","Sort=A","Dates=H","DateFormat=P","Fill=—","Direction=H","UseDPDF=Y")</f>
        <v>319.29000000000002</v>
      </c>
      <c r="S6" s="19">
        <f>_xll.BDH("ALNY US Equity","SALES_REV_TURN","FQ2 2023","FQ2 2023","Currency=USD","Period=FQ","BEST_FPERIOD_OVERRIDE=FQ","FILING_STATUS=MR","SCALING_FORMAT=MLN","FA_ADJUSTED=Adjusted","Sort=A","Dates=H","DateFormat=P","Fill=—","Direction=H","UseDPDF=Y")</f>
        <v>318.75400000000002</v>
      </c>
      <c r="T6" s="19">
        <f>_xll.BDH("ALNY US Equity","SALES_REV_TURN","FQ3 2023","FQ3 2023","Currency=USD","Period=FQ","BEST_FPERIOD_OVERRIDE=FQ","FILING_STATUS=MR","SCALING_FORMAT=MLN","FA_ADJUSTED=Adjusted","Sort=A","Dates=H","DateFormat=P","Fill=—","Direction=H","UseDPDF=Y")</f>
        <v>750.53</v>
      </c>
      <c r="U6" s="19">
        <f>_xll.BDH("ALNY US Equity","SALES_REV_TURN","FQ4 2023","FQ4 2023","Currency=USD","Period=FQ","BEST_FPERIOD_OVERRIDE=FQ","FILING_STATUS=MR","SCALING_FORMAT=MLN","FA_ADJUSTED=Adjusted","Sort=A","Dates=H","DateFormat=P","Fill=—","Direction=H","UseDPDF=Y")</f>
        <v>439.71800000000002</v>
      </c>
      <c r="V6" s="19">
        <f>_xll.BDH("ALNY US Equity","SALES_REV_TURN","FQ1 2024","FQ1 2024","Currency=USD","Period=FQ","BEST_FPERIOD_OVERRIDE=FQ","FILING_STATUS=MR","SCALING_FORMAT=MLN","FA_ADJUSTED=Adjusted","Sort=A","Dates=H","DateFormat=P","Fill=—","Direction=H","UseDPDF=Y")</f>
        <v>494.33300000000003</v>
      </c>
      <c r="W6" s="19">
        <f>_xll.BDH("ALNY US Equity","SALES_REV_TURN","FQ2 2024","FQ2 2024","Currency=USD","Period=FQ","BEST_FPERIOD_OVERRIDE=FQ","FILING_STATUS=MR","SCALING_FORMAT=MLN","FA_ADJUSTED=Adjusted","Sort=A","Dates=H","DateFormat=P","Fill=—","Direction=H","UseDPDF=Y")</f>
        <v>659.82500000000005</v>
      </c>
      <c r="X6" s="19">
        <f>_xll.BDH("ALNY US Equity","SALES_REV_TURN","FQ3 2024","FQ3 2024","Currency=USD","Period=FQ","BEST_FPERIOD_OVERRIDE=FQ","FILING_STATUS=MR","SCALING_FORMAT=MLN","FA_ADJUSTED=Adjusted","Sort=A","Dates=H","DateFormat=P","Fill=—","Direction=H","UseDPDF=Y")</f>
        <v>500.91899999999998</v>
      </c>
      <c r="Y6" s="19">
        <f>_xll.BDH("ALNY US Equity","SALES_REV_TURN","FQ4 2024","FQ4 2024","Currency=USD","Period=FQ","BEST_FPERIOD_OVERRIDE=FQ","FILING_STATUS=MR","SCALING_FORMAT=MLN","FA_ADJUSTED=Adjusted","Sort=A","Dates=H","DateFormat=P","Fill=—","Direction=H","UseDPDF=Y")</f>
        <v>593.16600000000005</v>
      </c>
      <c r="Z6" s="19">
        <v>583.59299999999996</v>
      </c>
      <c r="AA6" s="19">
        <v>631.77800000000002</v>
      </c>
    </row>
    <row r="7" spans="1:27" x14ac:dyDescent="0.25">
      <c r="A7" s="10" t="s">
        <v>298</v>
      </c>
      <c r="B7" s="10" t="s">
        <v>299</v>
      </c>
      <c r="C7" s="13">
        <f>_xll.BDH("ALNY US Equity","IS_SALES_AND_SERVICES_REVENUES","FQ2 2019","FQ2 2019","Currency=USD","Period=FQ","BEST_FPERIOD_OVERRIDE=FQ","FILING_STATUS=MR","SCALING_FORMAT=MLN","FA_ADJUSTED=Adjusted","Sort=A","Dates=H","DateFormat=P","Fill=—","Direction=H","UseDPDF=Y")</f>
        <v>44.713999999999999</v>
      </c>
      <c r="D7" s="13">
        <f>_xll.BDH("ALNY US Equity","IS_SALES_AND_SERVICES_REVENUES","FQ3 2019","FQ3 2019","Currency=USD","Period=FQ","BEST_FPERIOD_OVERRIDE=FQ","FILING_STATUS=MR","SCALING_FORMAT=MLN","FA_ADJUSTED=Adjusted","Sort=A","Dates=H","DateFormat=P","Fill=—","Direction=H","UseDPDF=Y")</f>
        <v>70.061000000000007</v>
      </c>
      <c r="E7" s="13">
        <f>_xll.BDH("ALNY US Equity","IS_SALES_AND_SERVICES_REVENUES","FQ4 2019","FQ4 2019","Currency=USD","Period=FQ","BEST_FPERIOD_OVERRIDE=FQ","FILING_STATUS=MR","SCALING_FORMAT=MLN","FA_ADJUSTED=Adjusted","Sort=A","Dates=H","DateFormat=P","Fill=—","Direction=H","UseDPDF=Y")</f>
        <v>71.680999999999997</v>
      </c>
      <c r="F7" s="13">
        <f>_xll.BDH("ALNY US Equity","IS_SALES_AND_SERVICES_REVENUES","FQ1 2020","FQ1 2020","Currency=USD","Period=FQ","BEST_FPERIOD_OVERRIDE=FQ","FILING_STATUS=MR","SCALING_FORMAT=MLN","FA_ADJUSTED=Adjusted","Sort=A","Dates=H","DateFormat=P","Fill=—","Direction=H","UseDPDF=Y")</f>
        <v>99.475999999999999</v>
      </c>
      <c r="G7" s="13">
        <f>_xll.BDH("ALNY US Equity","IS_SALES_AND_SERVICES_REVENUES","FQ2 2020","FQ2 2020","Currency=USD","Period=FQ","BEST_FPERIOD_OVERRIDE=FQ","FILING_STATUS=MR","SCALING_FORMAT=MLN","FA_ADJUSTED=Adjusted","Sort=A","Dates=H","DateFormat=P","Fill=—","Direction=H","UseDPDF=Y")</f>
        <v>103.962</v>
      </c>
      <c r="H7" s="13">
        <f>_xll.BDH("ALNY US Equity","IS_SALES_AND_SERVICES_REVENUES","FQ3 2020","FQ3 2020","Currency=USD","Period=FQ","BEST_FPERIOD_OVERRIDE=FQ","FILING_STATUS=MR","SCALING_FORMAT=MLN","FA_ADJUSTED=Adjusted","Sort=A","Dates=H","DateFormat=P","Fill=—","Direction=H","UseDPDF=Y")</f>
        <v>125.85299999999999</v>
      </c>
      <c r="I7" s="13">
        <f>_xll.BDH("ALNY US Equity","IS_SALES_AND_SERVICES_REVENUES","FQ4 2020","FQ4 2020","Currency=USD","Period=FQ","BEST_FPERIOD_OVERRIDE=FQ","FILING_STATUS=MR","SCALING_FORMAT=MLN","FA_ADJUSTED=Adjusted","Sort=A","Dates=H","DateFormat=P","Fill=—","Direction=H","UseDPDF=Y")</f>
        <v>163.56200000000001</v>
      </c>
      <c r="J7" s="13">
        <f>_xll.BDH("ALNY US Equity","IS_SALES_AND_SERVICES_REVENUES","FQ1 2021","FQ1 2021","Currency=USD","Period=FQ","BEST_FPERIOD_OVERRIDE=FQ","FILING_STATUS=MR","SCALING_FORMAT=MLN","FA_ADJUSTED=Adjusted","Sort=A","Dates=H","DateFormat=P","Fill=—","Direction=H","UseDPDF=Y")</f>
        <v>177.566</v>
      </c>
      <c r="K7" s="13">
        <f>_xll.BDH("ALNY US Equity","IS_SALES_AND_SERVICES_REVENUES","FQ2 2021","FQ2 2021","Currency=USD","Period=FQ","BEST_FPERIOD_OVERRIDE=FQ","FILING_STATUS=MR","SCALING_FORMAT=MLN","FA_ADJUSTED=Adjusted","Sort=A","Dates=H","DateFormat=P","Fill=—","Direction=H","UseDPDF=Y")</f>
        <v>220.20599999999999</v>
      </c>
      <c r="L7" s="13">
        <f>_xll.BDH("ALNY US Equity","IS_SALES_AND_SERVICES_REVENUES","FQ3 2021","FQ3 2021","Currency=USD","Period=FQ","BEST_FPERIOD_OVERRIDE=FQ","FILING_STATUS=MR","SCALING_FORMAT=MLN","FA_ADJUSTED=Adjusted","Sort=A","Dates=H","DateFormat=P","Fill=—","Direction=H","UseDPDF=Y")</f>
        <v>187.18</v>
      </c>
      <c r="M7" s="13">
        <f>_xll.BDH("ALNY US Equity","IS_SALES_AND_SERVICES_REVENUES","FQ4 2021","FQ4 2021","Currency=USD","Period=FQ","BEST_FPERIOD_OVERRIDE=FQ","FILING_STATUS=MR","SCALING_FORMAT=MLN","FA_ADJUSTED=Adjusted","Sort=A","Dates=H","DateFormat=P","Fill=—","Direction=H","UseDPDF=Y")</f>
        <v>258.13900000000001</v>
      </c>
      <c r="N7" s="13">
        <f>_xll.BDH("ALNY US Equity","IS_SALES_AND_SERVICES_REVENUES","FQ1 2022","FQ1 2022","Currency=USD","Period=FQ","BEST_FPERIOD_OVERRIDE=FQ","FILING_STATUS=MR","SCALING_FORMAT=MLN","FA_ADJUSTED=Adjusted","Sort=A","Dates=H","DateFormat=P","Fill=—","Direction=H","UseDPDF=Y")</f>
        <v>212.81700000000001</v>
      </c>
      <c r="O7" s="13">
        <f>_xll.BDH("ALNY US Equity","IS_SALES_AND_SERVICES_REVENUES","FQ2 2022","FQ2 2022","Currency=USD","Period=FQ","BEST_FPERIOD_OVERRIDE=FQ","FILING_STATUS=MR","SCALING_FORMAT=MLN","FA_ADJUSTED=Adjusted","Sort=A","Dates=H","DateFormat=P","Fill=—","Direction=H","UseDPDF=Y")</f>
        <v>222.54</v>
      </c>
      <c r="P7" s="13">
        <f>_xll.BDH("ALNY US Equity","IS_SALES_AND_SERVICES_REVENUES","FQ3 2022","FQ3 2022","Currency=USD","Period=FQ","BEST_FPERIOD_OVERRIDE=FQ","FILING_STATUS=MR","SCALING_FORMAT=MLN","FA_ADJUSTED=Adjusted","Sort=A","Dates=H","DateFormat=P","Fill=—","Direction=H","UseDPDF=Y")</f>
        <v>261.56400000000002</v>
      </c>
      <c r="Q7" s="13">
        <f>_xll.BDH("ALNY US Equity","IS_SALES_AND_SERVICES_REVENUES","FQ4 2022","FQ4 2022","Currency=USD","Period=FQ","BEST_FPERIOD_OVERRIDE=FQ","FILING_STATUS=MR","SCALING_FORMAT=MLN","FA_ADJUSTED=Adjusted","Sort=A","Dates=H","DateFormat=P","Fill=—","Direction=H","UseDPDF=Y")</f>
        <v>332.32</v>
      </c>
      <c r="R7" s="13">
        <f>_xll.BDH("ALNY US Equity","IS_SALES_AND_SERVICES_REVENUES","FQ1 2023","FQ1 2023","Currency=USD","Period=FQ","BEST_FPERIOD_OVERRIDE=FQ","FILING_STATUS=MR","SCALING_FORMAT=MLN","FA_ADJUSTED=Adjusted","Sort=A","Dates=H","DateFormat=P","Fill=—","Direction=H","UseDPDF=Y")</f>
        <v>312.79000000000002</v>
      </c>
      <c r="S7" s="13">
        <f>_xll.BDH("ALNY US Equity","IS_SALES_AND_SERVICES_REVENUES","FQ2 2023","FQ2 2023","Currency=USD","Period=FQ","BEST_FPERIOD_OVERRIDE=FQ","FILING_STATUS=MR","SCALING_FORMAT=MLN","FA_ADJUSTED=Adjusted","Sort=A","Dates=H","DateFormat=P","Fill=—","Direction=H","UseDPDF=Y")</f>
        <v>311.54899999999998</v>
      </c>
      <c r="T7" s="13">
        <f>_xll.BDH("ALNY US Equity","IS_SALES_AND_SERVICES_REVENUES","FQ3 2023","FQ3 2023","Currency=USD","Period=FQ","BEST_FPERIOD_OVERRIDE=FQ","FILING_STATUS=MR","SCALING_FORMAT=MLN","FA_ADJUSTED=Adjusted","Sort=A","Dates=H","DateFormat=P","Fill=—","Direction=H","UseDPDF=Y")</f>
        <v>740.625</v>
      </c>
      <c r="U7" s="13">
        <f>_xll.BDH("ALNY US Equity","IS_SALES_AND_SERVICES_REVENUES","FQ4 2023","FQ4 2023","Currency=USD","Period=FQ","BEST_FPERIOD_OVERRIDE=FQ","FILING_STATUS=MR","SCALING_FORMAT=MLN","FA_ADJUSTED=Adjusted","Sort=A","Dates=H","DateFormat=P","Fill=—","Direction=H","UseDPDF=Y")</f>
        <v>422.69499999999999</v>
      </c>
      <c r="V7" s="13">
        <f>_xll.BDH("ALNY US Equity","IS_SALES_AND_SERVICES_REVENUES","FQ1 2024","FQ1 2024","Currency=USD","Period=FQ","BEST_FPERIOD_OVERRIDE=FQ","FILING_STATUS=MR","SCALING_FORMAT=MLN","FA_ADJUSTED=Adjusted","Sort=A","Dates=H","DateFormat=P","Fill=—","Direction=H","UseDPDF=Y")</f>
        <v>483.71100000000001</v>
      </c>
      <c r="W7" s="13">
        <f>_xll.BDH("ALNY US Equity","IS_SALES_AND_SERVICES_REVENUES","FQ2 2024","FQ2 2024","Currency=USD","Period=FQ","BEST_FPERIOD_OVERRIDE=FQ","FILING_STATUS=MR","SCALING_FORMAT=MLN","FA_ADJUSTED=Adjusted","Sort=A","Dates=H","DateFormat=P","Fill=—","Direction=H","UseDPDF=Y")</f>
        <v>637.42600000000004</v>
      </c>
      <c r="X7" s="13">
        <f>_xll.BDH("ALNY US Equity","IS_SALES_AND_SERVICES_REVENUES","FQ3 2024","FQ3 2024","Currency=USD","Period=FQ","BEST_FPERIOD_OVERRIDE=FQ","FILING_STATUS=MR","SCALING_FORMAT=MLN","FA_ADJUSTED=Adjusted","Sort=A","Dates=H","DateFormat=P","Fill=—","Direction=H","UseDPDF=Y")</f>
        <v>477.53300000000002</v>
      </c>
      <c r="Y7" s="13">
        <f>_xll.BDH("ALNY US Equity","IS_SALES_AND_SERVICES_REVENUES","FQ4 2024","FQ4 2024","Currency=USD","Period=FQ","BEST_FPERIOD_OVERRIDE=FQ","FILING_STATUS=MR","SCALING_FORMAT=MLN","FA_ADJUSTED=Adjusted","Sort=A","Dates=H","DateFormat=P","Fill=—","Direction=H","UseDPDF=Y")</f>
        <v>557.779</v>
      </c>
      <c r="Z7" s="13"/>
      <c r="AA7" s="13"/>
    </row>
    <row r="8" spans="1:27" x14ac:dyDescent="0.25">
      <c r="A8" s="10" t="s">
        <v>300</v>
      </c>
      <c r="B8" s="10" t="s">
        <v>301</v>
      </c>
      <c r="C8" s="13" t="str">
        <f>_xll.BDH("ALNY US Equity","IS_OTHER_REVENUE","FQ2 2019","FQ2 2019","Currency=USD","Period=FQ","BEST_FPERIOD_OVERRIDE=FQ","FILING_STATUS=MR","SCALING_FORMAT=MLN","FA_ADJUSTED=Adjusted","Sort=A","Dates=H","DateFormat=P","Fill=—","Direction=H","UseDPDF=Y")</f>
        <v>—</v>
      </c>
      <c r="D8" s="13" t="str">
        <f>_xll.BDH("ALNY US Equity","IS_OTHER_REVENUE","FQ3 2019","FQ3 2019","Currency=USD","Period=FQ","BEST_FPERIOD_OVERRIDE=FQ","FILING_STATUS=MR","SCALING_FORMAT=MLN","FA_ADJUSTED=Adjusted","Sort=A","Dates=H","DateFormat=P","Fill=—","Direction=H","UseDPDF=Y")</f>
        <v>—</v>
      </c>
      <c r="E8" s="13" t="str">
        <f>_xll.BDH("ALNY US Equity","IS_OTHER_REVENUE","FQ4 2019","FQ4 2019","Currency=USD","Period=FQ","BEST_FPERIOD_OVERRIDE=FQ","FILING_STATUS=MR","SCALING_FORMAT=MLN","FA_ADJUSTED=Adjusted","Sort=A","Dates=H","DateFormat=P","Fill=—","Direction=H","UseDPDF=Y")</f>
        <v>—</v>
      </c>
      <c r="F8" s="13" t="str">
        <f>_xll.BDH("ALNY US Equity","IS_OTHER_REVENUE","FQ1 2020","FQ1 2020","Currency=USD","Period=FQ","BEST_FPERIOD_OVERRIDE=FQ","FILING_STATUS=MR","SCALING_FORMAT=MLN","FA_ADJUSTED=Adjusted","Sort=A","Dates=H","DateFormat=P","Fill=—","Direction=H","UseDPDF=Y")</f>
        <v>—</v>
      </c>
      <c r="G8" s="13" t="str">
        <f>_xll.BDH("ALNY US Equity","IS_OTHER_REVENUE","FQ2 2020","FQ2 2020","Currency=USD","Period=FQ","BEST_FPERIOD_OVERRIDE=FQ","FILING_STATUS=MR","SCALING_FORMAT=MLN","FA_ADJUSTED=Adjusted","Sort=A","Dates=H","DateFormat=P","Fill=—","Direction=H","UseDPDF=Y")</f>
        <v>—</v>
      </c>
      <c r="H8" s="13" t="str">
        <f>_xll.BDH("ALNY US Equity","IS_OTHER_REVENUE","FQ3 2020","FQ3 2020","Currency=USD","Period=FQ","BEST_FPERIOD_OVERRIDE=FQ","FILING_STATUS=MR","SCALING_FORMAT=MLN","FA_ADJUSTED=Adjusted","Sort=A","Dates=H","DateFormat=P","Fill=—","Direction=H","UseDPDF=Y")</f>
        <v>—</v>
      </c>
      <c r="I8" s="13" t="str">
        <f>_xll.BDH("ALNY US Equity","IS_OTHER_REVENUE","FQ4 2020","FQ4 2020","Currency=USD","Period=FQ","BEST_FPERIOD_OVERRIDE=FQ","FILING_STATUS=MR","SCALING_FORMAT=MLN","FA_ADJUSTED=Adjusted","Sort=A","Dates=H","DateFormat=P","Fill=—","Direction=H","UseDPDF=Y")</f>
        <v>—</v>
      </c>
      <c r="J8" s="13" t="str">
        <f>_xll.BDH("ALNY US Equity","IS_OTHER_REVENUE","FQ1 2021","FQ1 2021","Currency=USD","Period=FQ","BEST_FPERIOD_OVERRIDE=FQ","FILING_STATUS=MR","SCALING_FORMAT=MLN","FA_ADJUSTED=Adjusted","Sort=A","Dates=H","DateFormat=P","Fill=—","Direction=H","UseDPDF=Y")</f>
        <v>—</v>
      </c>
      <c r="K8" s="13">
        <f>_xll.BDH("ALNY US Equity","IS_OTHER_REVENUE","FQ2 2021","FQ2 2021","Currency=USD","Period=FQ","BEST_FPERIOD_OVERRIDE=FQ","FILING_STATUS=MR","SCALING_FORMAT=MLN","FA_ADJUSTED=Adjusted","Sort=A","Dates=H","DateFormat=P","Fill=—","Direction=H","UseDPDF=Y")</f>
        <v>0.34699999999999998</v>
      </c>
      <c r="L8" s="13">
        <f>_xll.BDH("ALNY US Equity","IS_OTHER_REVENUE","FQ3 2021","FQ3 2021","Currency=USD","Period=FQ","BEST_FPERIOD_OVERRIDE=FQ","FILING_STATUS=MR","SCALING_FORMAT=MLN","FA_ADJUSTED=Adjusted","Sort=A","Dates=H","DateFormat=P","Fill=—","Direction=H","UseDPDF=Y")</f>
        <v>0.45300000000000001</v>
      </c>
      <c r="M8" s="13">
        <f>_xll.BDH("ALNY US Equity","IS_OTHER_REVENUE","FQ4 2021","FQ4 2021","Currency=USD","Period=FQ","BEST_FPERIOD_OVERRIDE=FQ","FILING_STATUS=MR","SCALING_FORMAT=MLN","FA_ADJUSTED=Adjusted","Sort=A","Dates=H","DateFormat=P","Fill=—","Direction=H","UseDPDF=Y")</f>
        <v>0.39600000000000002</v>
      </c>
      <c r="N8" s="13">
        <f>_xll.BDH("ALNY US Equity","IS_OTHER_REVENUE","FQ1 2022","FQ1 2022","Currency=USD","Period=FQ","BEST_FPERIOD_OVERRIDE=FQ","FILING_STATUS=MR","SCALING_FORMAT=MLN","FA_ADJUSTED=Adjusted","Sort=A","Dates=H","DateFormat=P","Fill=—","Direction=H","UseDPDF=Y")</f>
        <v>0.442</v>
      </c>
      <c r="O8" s="13">
        <f>_xll.BDH("ALNY US Equity","IS_OTHER_REVENUE","FQ2 2022","FQ2 2022","Currency=USD","Period=FQ","BEST_FPERIOD_OVERRIDE=FQ","FILING_STATUS=MR","SCALING_FORMAT=MLN","FA_ADJUSTED=Adjusted","Sort=A","Dates=H","DateFormat=P","Fill=—","Direction=H","UseDPDF=Y")</f>
        <v>2.278</v>
      </c>
      <c r="P8" s="13">
        <f>_xll.BDH("ALNY US Equity","IS_OTHER_REVENUE","FQ3 2022","FQ3 2022","Currency=USD","Period=FQ","BEST_FPERIOD_OVERRIDE=FQ","FILING_STATUS=MR","SCALING_FORMAT=MLN","FA_ADJUSTED=Adjusted","Sort=A","Dates=H","DateFormat=P","Fill=—","Direction=H","UseDPDF=Y")</f>
        <v>2.742</v>
      </c>
      <c r="Q8" s="13">
        <f>_xll.BDH("ALNY US Equity","IS_OTHER_REVENUE","FQ4 2022","FQ4 2022","Currency=USD","Period=FQ","BEST_FPERIOD_OVERRIDE=FQ","FILING_STATUS=MR","SCALING_FORMAT=MLN","FA_ADJUSTED=Adjusted","Sort=A","Dates=H","DateFormat=P","Fill=—","Direction=H","UseDPDF=Y")</f>
        <v>2.7149999999999999</v>
      </c>
      <c r="R8" s="13">
        <f>_xll.BDH("ALNY US Equity","IS_OTHER_REVENUE","FQ1 2023","FQ1 2023","Currency=USD","Period=FQ","BEST_FPERIOD_OVERRIDE=FQ","FILING_STATUS=MR","SCALING_FORMAT=MLN","FA_ADJUSTED=Adjusted","Sort=A","Dates=H","DateFormat=P","Fill=—","Direction=H","UseDPDF=Y")</f>
        <v>6.5</v>
      </c>
      <c r="S8" s="13">
        <f>_xll.BDH("ALNY US Equity","IS_OTHER_REVENUE","FQ2 2023","FQ2 2023","Currency=USD","Period=FQ","BEST_FPERIOD_OVERRIDE=FQ","FILING_STATUS=MR","SCALING_FORMAT=MLN","FA_ADJUSTED=Adjusted","Sort=A","Dates=H","DateFormat=P","Fill=—","Direction=H","UseDPDF=Y")</f>
        <v>7.2050000000000001</v>
      </c>
      <c r="T8" s="13">
        <f>_xll.BDH("ALNY US Equity","IS_OTHER_REVENUE","FQ3 2023","FQ3 2023","Currency=USD","Period=FQ","BEST_FPERIOD_OVERRIDE=FQ","FILING_STATUS=MR","SCALING_FORMAT=MLN","FA_ADJUSTED=Adjusted","Sort=A","Dates=H","DateFormat=P","Fill=—","Direction=H","UseDPDF=Y")</f>
        <v>9.9049999999999994</v>
      </c>
      <c r="U8" s="13">
        <f>_xll.BDH("ALNY US Equity","IS_OTHER_REVENUE","FQ4 2023","FQ4 2023","Currency=USD","Period=FQ","BEST_FPERIOD_OVERRIDE=FQ","FILING_STATUS=MR","SCALING_FORMAT=MLN","FA_ADJUSTED=Adjusted","Sort=A","Dates=H","DateFormat=P","Fill=—","Direction=H","UseDPDF=Y")</f>
        <v>17.023</v>
      </c>
      <c r="V8" s="13">
        <f>_xll.BDH("ALNY US Equity","IS_OTHER_REVENUE","FQ1 2024","FQ1 2024","Currency=USD","Period=FQ","BEST_FPERIOD_OVERRIDE=FQ","FILING_STATUS=MR","SCALING_FORMAT=MLN","FA_ADJUSTED=Adjusted","Sort=A","Dates=H","DateFormat=P","Fill=—","Direction=H","UseDPDF=Y")</f>
        <v>10.622</v>
      </c>
      <c r="W8" s="13">
        <f>_xll.BDH("ALNY US Equity","IS_OTHER_REVENUE","FQ2 2024","FQ2 2024","Currency=USD","Period=FQ","BEST_FPERIOD_OVERRIDE=FQ","FILING_STATUS=MR","SCALING_FORMAT=MLN","FA_ADJUSTED=Adjusted","Sort=A","Dates=H","DateFormat=P","Fill=—","Direction=H","UseDPDF=Y")</f>
        <v>22.399000000000001</v>
      </c>
      <c r="X8" s="13">
        <f>_xll.BDH("ALNY US Equity","IS_OTHER_REVENUE","FQ3 2024","FQ3 2024","Currency=USD","Period=FQ","BEST_FPERIOD_OVERRIDE=FQ","FILING_STATUS=MR","SCALING_FORMAT=MLN","FA_ADJUSTED=Adjusted","Sort=A","Dates=H","DateFormat=P","Fill=—","Direction=H","UseDPDF=Y")</f>
        <v>23.385999999999999</v>
      </c>
      <c r="Y8" s="13">
        <f>_xll.BDH("ALNY US Equity","IS_OTHER_REVENUE","FQ4 2024","FQ4 2024","Currency=USD","Period=FQ","BEST_FPERIOD_OVERRIDE=FQ","FILING_STATUS=MR","SCALING_FORMAT=MLN","FA_ADJUSTED=Adjusted","Sort=A","Dates=H","DateFormat=P","Fill=—","Direction=H","UseDPDF=Y")</f>
        <v>35.387</v>
      </c>
      <c r="Z8" s="13"/>
      <c r="AA8" s="13"/>
    </row>
    <row r="9" spans="1:27" x14ac:dyDescent="0.25">
      <c r="A9" s="10" t="s">
        <v>302</v>
      </c>
      <c r="B9" s="10" t="s">
        <v>303</v>
      </c>
      <c r="C9" s="13">
        <f>_xll.BDH("ALNY US Equity","IS_COGS_TO_FE_AND_PP_AND_G","FQ2 2019","FQ2 2019","Currency=USD","Period=FQ","BEST_FPERIOD_OVERRIDE=FQ","FILING_STATUS=MR","SCALING_FORMAT=MLN","FA_ADJUSTED=Adjusted","Sort=A","Dates=H","DateFormat=P","Fill=—","Direction=H","UseDPDF=Y")</f>
        <v>4.3259999999999996</v>
      </c>
      <c r="D9" s="13">
        <f>_xll.BDH("ALNY US Equity","IS_COGS_TO_FE_AND_PP_AND_G","FQ3 2019","FQ3 2019","Currency=USD","Period=FQ","BEST_FPERIOD_OVERRIDE=FQ","FILING_STATUS=MR","SCALING_FORMAT=MLN","FA_ADJUSTED=Adjusted","Sort=A","Dates=H","DateFormat=P","Fill=—","Direction=H","UseDPDF=Y")</f>
        <v>5.2130000000000001</v>
      </c>
      <c r="E9" s="13">
        <f>_xll.BDH("ALNY US Equity","IS_COGS_TO_FE_AND_PP_AND_G","FQ4 2019","FQ4 2019","Currency=USD","Period=FQ","BEST_FPERIOD_OVERRIDE=FQ","FILING_STATUS=MR","SCALING_FORMAT=MLN","FA_ADJUSTED=Adjusted","Sort=A","Dates=H","DateFormat=P","Fill=—","Direction=H","UseDPDF=Y")</f>
        <v>12.176</v>
      </c>
      <c r="F9" s="13">
        <f>_xll.BDH("ALNY US Equity","IS_COGS_TO_FE_AND_PP_AND_G","FQ1 2020","FQ1 2020","Currency=USD","Period=FQ","BEST_FPERIOD_OVERRIDE=FQ","FILING_STATUS=MR","SCALING_FORMAT=MLN","FA_ADJUSTED=Adjusted","Sort=A","Dates=H","DateFormat=P","Fill=—","Direction=H","UseDPDF=Y")</f>
        <v>13.302</v>
      </c>
      <c r="G9" s="13">
        <f>_xll.BDH("ALNY US Equity","IS_COGS_TO_FE_AND_PP_AND_G","FQ2 2020","FQ2 2020","Currency=USD","Period=FQ","BEST_FPERIOD_OVERRIDE=FQ","FILING_STATUS=MR","SCALING_FORMAT=MLN","FA_ADJUSTED=Adjusted","Sort=A","Dates=H","DateFormat=P","Fill=—","Direction=H","UseDPDF=Y")</f>
        <v>19.928999999999998</v>
      </c>
      <c r="H9" s="13">
        <f>_xll.BDH("ALNY US Equity","IS_COGS_TO_FE_AND_PP_AND_G","FQ3 2020","FQ3 2020","Currency=USD","Period=FQ","BEST_FPERIOD_OVERRIDE=FQ","FILING_STATUS=MR","SCALING_FORMAT=MLN","FA_ADJUSTED=Adjusted","Sort=A","Dates=H","DateFormat=P","Fill=—","Direction=H","UseDPDF=Y")</f>
        <v>21.797000000000001</v>
      </c>
      <c r="I9" s="13">
        <f>_xll.BDH("ALNY US Equity","IS_COGS_TO_FE_AND_PP_AND_G","FQ4 2020","FQ4 2020","Currency=USD","Period=FQ","BEST_FPERIOD_OVERRIDE=FQ","FILING_STATUS=MR","SCALING_FORMAT=MLN","FA_ADJUSTED=Adjusted","Sort=A","Dates=H","DateFormat=P","Fill=—","Direction=H","UseDPDF=Y")</f>
        <v>23.024000000000001</v>
      </c>
      <c r="J9" s="13">
        <f>_xll.BDH("ALNY US Equity","IS_COGS_TO_FE_AND_PP_AND_G","FQ1 2021","FQ1 2021","Currency=USD","Period=FQ","BEST_FPERIOD_OVERRIDE=FQ","FILING_STATUS=MR","SCALING_FORMAT=MLN","FA_ADJUSTED=Adjusted","Sort=A","Dates=H","DateFormat=P","Fill=—","Direction=H","UseDPDF=Y")</f>
        <v>31.062000000000001</v>
      </c>
      <c r="K9" s="13">
        <f>_xll.BDH("ALNY US Equity","IS_COGS_TO_FE_AND_PP_AND_G","FQ2 2021","FQ2 2021","Currency=USD","Period=FQ","BEST_FPERIOD_OVERRIDE=FQ","FILING_STATUS=MR","SCALING_FORMAT=MLN","FA_ADJUSTED=Adjusted","Sort=A","Dates=H","DateFormat=P","Fill=—","Direction=H","UseDPDF=Y")</f>
        <v>38.755000000000003</v>
      </c>
      <c r="L9" s="13">
        <f>_xll.BDH("ALNY US Equity","IS_COGS_TO_FE_AND_PP_AND_G","FQ3 2021","FQ3 2021","Currency=USD","Period=FQ","BEST_FPERIOD_OVERRIDE=FQ","FILING_STATUS=MR","SCALING_FORMAT=MLN","FA_ADJUSTED=Adjusted","Sort=A","Dates=H","DateFormat=P","Fill=—","Direction=H","UseDPDF=Y")</f>
        <v>32.662999999999997</v>
      </c>
      <c r="M9" s="13">
        <f>_xll.BDH("ALNY US Equity","IS_COGS_TO_FE_AND_PP_AND_G","FQ4 2021","FQ4 2021","Currency=USD","Period=FQ","BEST_FPERIOD_OVERRIDE=FQ","FILING_STATUS=MR","SCALING_FORMAT=MLN","FA_ADJUSTED=Adjusted","Sort=A","Dates=H","DateFormat=P","Fill=—","Direction=H","UseDPDF=Y")</f>
        <v>37.664000000000001</v>
      </c>
      <c r="N9" s="13">
        <f>_xll.BDH("ALNY US Equity","IS_COGS_TO_FE_AND_PP_AND_G","FQ1 2022","FQ1 2022","Currency=USD","Period=FQ","BEST_FPERIOD_OVERRIDE=FQ","FILING_STATUS=MR","SCALING_FORMAT=MLN","FA_ADJUSTED=Adjusted","Sort=A","Dates=H","DateFormat=P","Fill=—","Direction=H","UseDPDF=Y")</f>
        <v>35.627000000000002</v>
      </c>
      <c r="O9" s="13">
        <f>_xll.BDH("ALNY US Equity","IS_COGS_TO_FE_AND_PP_AND_G","FQ2 2022","FQ2 2022","Currency=USD","Period=FQ","BEST_FPERIOD_OVERRIDE=FQ","FILING_STATUS=MR","SCALING_FORMAT=MLN","FA_ADJUSTED=Adjusted","Sort=A","Dates=H","DateFormat=P","Fill=—","Direction=H","UseDPDF=Y")</f>
        <v>40.808</v>
      </c>
      <c r="P9" s="13">
        <f>_xll.BDH("ALNY US Equity","IS_COGS_TO_FE_AND_PP_AND_G","FQ3 2022","FQ3 2022","Currency=USD","Period=FQ","BEST_FPERIOD_OVERRIDE=FQ","FILING_STATUS=MR","SCALING_FORMAT=MLN","FA_ADJUSTED=Adjusted","Sort=A","Dates=H","DateFormat=P","Fill=—","Direction=H","UseDPDF=Y")</f>
        <v>41.116</v>
      </c>
      <c r="Q9" s="13">
        <f>_xll.BDH("ALNY US Equity","IS_COGS_TO_FE_AND_PP_AND_G","FQ4 2022","FQ4 2022","Currency=USD","Period=FQ","BEST_FPERIOD_OVERRIDE=FQ","FILING_STATUS=MR","SCALING_FORMAT=MLN","FA_ADJUSTED=Adjusted","Sort=A","Dates=H","DateFormat=P","Fill=—","Direction=H","UseDPDF=Y")</f>
        <v>51.265999999999998</v>
      </c>
      <c r="R9" s="13">
        <f>_xll.BDH("ALNY US Equity","IS_COGS_TO_FE_AND_PP_AND_G","FQ1 2023","FQ1 2023","Currency=USD","Period=FQ","BEST_FPERIOD_OVERRIDE=FQ","FILING_STATUS=MR","SCALING_FORMAT=MLN","FA_ADJUSTED=Adjusted","Sort=A","Dates=H","DateFormat=P","Fill=—","Direction=H","UseDPDF=Y")</f>
        <v>54.869</v>
      </c>
      <c r="S9" s="13">
        <f>_xll.BDH("ALNY US Equity","IS_COGS_TO_FE_AND_PP_AND_G","FQ2 2023","FQ2 2023","Currency=USD","Period=FQ","BEST_FPERIOD_OVERRIDE=FQ","FILING_STATUS=MR","SCALING_FORMAT=MLN","FA_ADJUSTED=Adjusted","Sort=A","Dates=H","DateFormat=P","Fill=—","Direction=H","UseDPDF=Y")</f>
        <v>85.37</v>
      </c>
      <c r="T9" s="13">
        <f>_xll.BDH("ALNY US Equity","IS_COGS_TO_FE_AND_PP_AND_G","FQ3 2023","FQ3 2023","Currency=USD","Period=FQ","BEST_FPERIOD_OVERRIDE=FQ","FILING_STATUS=MR","SCALING_FORMAT=MLN","FA_ADJUSTED=Adjusted","Sort=A","Dates=H","DateFormat=P","Fill=—","Direction=H","UseDPDF=Y")</f>
        <v>84.308999999999997</v>
      </c>
      <c r="U9" s="13">
        <f>_xll.BDH("ALNY US Equity","IS_COGS_TO_FE_AND_PP_AND_G","FQ4 2023","FQ4 2023","Currency=USD","Period=FQ","BEST_FPERIOD_OVERRIDE=FQ","FILING_STATUS=MR","SCALING_FORMAT=MLN","FA_ADJUSTED=Adjusted","Sort=A","Dates=H","DateFormat=P","Fill=—","Direction=H","UseDPDF=Y")</f>
        <v>85.858000000000004</v>
      </c>
      <c r="V9" s="13">
        <f>_xll.BDH("ALNY US Equity","IS_COGS_TO_FE_AND_PP_AND_G","FQ1 2024","FQ1 2024","Currency=USD","Period=FQ","BEST_FPERIOD_OVERRIDE=FQ","FILING_STATUS=MR","SCALING_FORMAT=MLN","FA_ADJUSTED=Adjusted","Sort=A","Dates=H","DateFormat=P","Fill=—","Direction=H","UseDPDF=Y")</f>
        <v>65.975999999999999</v>
      </c>
      <c r="W9" s="13">
        <f>_xll.BDH("ALNY US Equity","IS_COGS_TO_FE_AND_PP_AND_G","FQ2 2024","FQ2 2024","Currency=USD","Period=FQ","BEST_FPERIOD_OVERRIDE=FQ","FILING_STATUS=MR","SCALING_FORMAT=MLN","FA_ADJUSTED=Adjusted","Sort=A","Dates=H","DateFormat=P","Fill=—","Direction=H","UseDPDF=Y")</f>
        <v>68.671999999999997</v>
      </c>
      <c r="X9" s="13">
        <f>_xll.BDH("ALNY US Equity","IS_COGS_TO_FE_AND_PP_AND_G","FQ3 2024","FQ3 2024","Currency=USD","Period=FQ","BEST_FPERIOD_OVERRIDE=FQ","FILING_STATUS=MR","SCALING_FORMAT=MLN","FA_ADJUSTED=Adjusted","Sort=A","Dates=H","DateFormat=P","Fill=—","Direction=H","UseDPDF=Y")</f>
        <v>85.905000000000001</v>
      </c>
      <c r="Y9" s="13">
        <f>_xll.BDH("ALNY US Equity","IS_COGS_TO_FE_AND_PP_AND_G","FQ4 2024","FQ4 2024","Currency=USD","Period=FQ","BEST_FPERIOD_OVERRIDE=FQ","FILING_STATUS=MR","SCALING_FORMAT=MLN","FA_ADJUSTED=Adjusted","Sort=A","Dates=H","DateFormat=P","Fill=—","Direction=H","UseDPDF=Y")</f>
        <v>102.81699999999999</v>
      </c>
      <c r="Z9" s="13"/>
      <c r="AA9" s="13"/>
    </row>
    <row r="10" spans="1:27" x14ac:dyDescent="0.25">
      <c r="A10" s="10" t="s">
        <v>304</v>
      </c>
      <c r="B10" s="10" t="s">
        <v>305</v>
      </c>
      <c r="C10" s="13">
        <f>_xll.BDH("ALNY US Equity","IS_COG_AND_SERVICES_SOLD","FQ2 2019","FQ2 2019","Currency=USD","Period=FQ","BEST_FPERIOD_OVERRIDE=FQ","FILING_STATUS=MR","SCALING_FORMAT=MLN","FA_ADJUSTED=Adjusted","Sort=A","Dates=H","DateFormat=P","Fill=—","Direction=H","UseDPDF=Y")</f>
        <v>4.3259999999999996</v>
      </c>
      <c r="D10" s="13">
        <f>_xll.BDH("ALNY US Equity","IS_COG_AND_SERVICES_SOLD","FQ3 2019","FQ3 2019","Currency=USD","Period=FQ","BEST_FPERIOD_OVERRIDE=FQ","FILING_STATUS=MR","SCALING_FORMAT=MLN","FA_ADJUSTED=Adjusted","Sort=A","Dates=H","DateFormat=P","Fill=—","Direction=H","UseDPDF=Y")</f>
        <v>5.2130000000000001</v>
      </c>
      <c r="E10" s="13">
        <f>_xll.BDH("ALNY US Equity","IS_COG_AND_SERVICES_SOLD","FQ4 2019","FQ4 2019","Currency=USD","Period=FQ","BEST_FPERIOD_OVERRIDE=FQ","FILING_STATUS=MR","SCALING_FORMAT=MLN","FA_ADJUSTED=Adjusted","Sort=A","Dates=H","DateFormat=P","Fill=—","Direction=H","UseDPDF=Y")</f>
        <v>12.176</v>
      </c>
      <c r="F10" s="13">
        <f>_xll.BDH("ALNY US Equity","IS_COG_AND_SERVICES_SOLD","FQ1 2020","FQ1 2020","Currency=USD","Period=FQ","BEST_FPERIOD_OVERRIDE=FQ","FILING_STATUS=MR","SCALING_FORMAT=MLN","FA_ADJUSTED=Adjusted","Sort=A","Dates=H","DateFormat=P","Fill=—","Direction=H","UseDPDF=Y")</f>
        <v>13.302</v>
      </c>
      <c r="G10" s="13">
        <f>_xll.BDH("ALNY US Equity","IS_COG_AND_SERVICES_SOLD","FQ2 2020","FQ2 2020","Currency=USD","Period=FQ","BEST_FPERIOD_OVERRIDE=FQ","FILING_STATUS=MR","SCALING_FORMAT=MLN","FA_ADJUSTED=Adjusted","Sort=A","Dates=H","DateFormat=P","Fill=—","Direction=H","UseDPDF=Y")</f>
        <v>19.928999999999998</v>
      </c>
      <c r="H10" s="13">
        <f>_xll.BDH("ALNY US Equity","IS_COG_AND_SERVICES_SOLD","FQ3 2020","FQ3 2020","Currency=USD","Period=FQ","BEST_FPERIOD_OVERRIDE=FQ","FILING_STATUS=MR","SCALING_FORMAT=MLN","FA_ADJUSTED=Adjusted","Sort=A","Dates=H","DateFormat=P","Fill=—","Direction=H","UseDPDF=Y")</f>
        <v>21.797000000000001</v>
      </c>
      <c r="I10" s="13">
        <f>_xll.BDH("ALNY US Equity","IS_COG_AND_SERVICES_SOLD","FQ4 2020","FQ4 2020","Currency=USD","Period=FQ","BEST_FPERIOD_OVERRIDE=FQ","FILING_STATUS=MR","SCALING_FORMAT=MLN","FA_ADJUSTED=Adjusted","Sort=A","Dates=H","DateFormat=P","Fill=—","Direction=H","UseDPDF=Y")</f>
        <v>23.024000000000001</v>
      </c>
      <c r="J10" s="13">
        <f>_xll.BDH("ALNY US Equity","IS_COG_AND_SERVICES_SOLD","FQ1 2021","FQ1 2021","Currency=USD","Period=FQ","BEST_FPERIOD_OVERRIDE=FQ","FILING_STATUS=MR","SCALING_FORMAT=MLN","FA_ADJUSTED=Adjusted","Sort=A","Dates=H","DateFormat=P","Fill=—","Direction=H","UseDPDF=Y")</f>
        <v>31.062000000000001</v>
      </c>
      <c r="K10" s="13">
        <f>_xll.BDH("ALNY US Equity","IS_COG_AND_SERVICES_SOLD","FQ2 2021","FQ2 2021","Currency=USD","Period=FQ","BEST_FPERIOD_OVERRIDE=FQ","FILING_STATUS=MR","SCALING_FORMAT=MLN","FA_ADJUSTED=Adjusted","Sort=A","Dates=H","DateFormat=P","Fill=—","Direction=H","UseDPDF=Y")</f>
        <v>38.755000000000003</v>
      </c>
      <c r="L10" s="13">
        <f>_xll.BDH("ALNY US Equity","IS_COG_AND_SERVICES_SOLD","FQ3 2021","FQ3 2021","Currency=USD","Period=FQ","BEST_FPERIOD_OVERRIDE=FQ","FILING_STATUS=MR","SCALING_FORMAT=MLN","FA_ADJUSTED=Adjusted","Sort=A","Dates=H","DateFormat=P","Fill=—","Direction=H","UseDPDF=Y")</f>
        <v>32.662999999999997</v>
      </c>
      <c r="M10" s="13">
        <f>_xll.BDH("ALNY US Equity","IS_COG_AND_SERVICES_SOLD","FQ4 2021","FQ4 2021","Currency=USD","Period=FQ","BEST_FPERIOD_OVERRIDE=FQ","FILING_STATUS=MR","SCALING_FORMAT=MLN","FA_ADJUSTED=Adjusted","Sort=A","Dates=H","DateFormat=P","Fill=—","Direction=H","UseDPDF=Y")</f>
        <v>37.664000000000001</v>
      </c>
      <c r="N10" s="13">
        <f>_xll.BDH("ALNY US Equity","IS_COG_AND_SERVICES_SOLD","FQ1 2022","FQ1 2022","Currency=USD","Period=FQ","BEST_FPERIOD_OVERRIDE=FQ","FILING_STATUS=MR","SCALING_FORMAT=MLN","FA_ADJUSTED=Adjusted","Sort=A","Dates=H","DateFormat=P","Fill=—","Direction=H","UseDPDF=Y")</f>
        <v>35.627000000000002</v>
      </c>
      <c r="O10" s="13">
        <f>_xll.BDH("ALNY US Equity","IS_COG_AND_SERVICES_SOLD","FQ2 2022","FQ2 2022","Currency=USD","Period=FQ","BEST_FPERIOD_OVERRIDE=FQ","FILING_STATUS=MR","SCALING_FORMAT=MLN","FA_ADJUSTED=Adjusted","Sort=A","Dates=H","DateFormat=P","Fill=—","Direction=H","UseDPDF=Y")</f>
        <v>40.808</v>
      </c>
      <c r="P10" s="13">
        <f>_xll.BDH("ALNY US Equity","IS_COG_AND_SERVICES_SOLD","FQ3 2022","FQ3 2022","Currency=USD","Period=FQ","BEST_FPERIOD_OVERRIDE=FQ","FILING_STATUS=MR","SCALING_FORMAT=MLN","FA_ADJUSTED=Adjusted","Sort=A","Dates=H","DateFormat=P","Fill=—","Direction=H","UseDPDF=Y")</f>
        <v>41.116</v>
      </c>
      <c r="Q10" s="13">
        <f>_xll.BDH("ALNY US Equity","IS_COG_AND_SERVICES_SOLD","FQ4 2022","FQ4 2022","Currency=USD","Period=FQ","BEST_FPERIOD_OVERRIDE=FQ","FILING_STATUS=MR","SCALING_FORMAT=MLN","FA_ADJUSTED=Adjusted","Sort=A","Dates=H","DateFormat=P","Fill=—","Direction=H","UseDPDF=Y")</f>
        <v>51.265999999999998</v>
      </c>
      <c r="R10" s="13">
        <f>_xll.BDH("ALNY US Equity","IS_COG_AND_SERVICES_SOLD","FQ1 2023","FQ1 2023","Currency=USD","Period=FQ","BEST_FPERIOD_OVERRIDE=FQ","FILING_STATUS=MR","SCALING_FORMAT=MLN","FA_ADJUSTED=Adjusted","Sort=A","Dates=H","DateFormat=P","Fill=—","Direction=H","UseDPDF=Y")</f>
        <v>54.869</v>
      </c>
      <c r="S10" s="13">
        <f>_xll.BDH("ALNY US Equity","IS_COG_AND_SERVICES_SOLD","FQ2 2023","FQ2 2023","Currency=USD","Period=FQ","BEST_FPERIOD_OVERRIDE=FQ","FILING_STATUS=MR","SCALING_FORMAT=MLN","FA_ADJUSTED=Adjusted","Sort=A","Dates=H","DateFormat=P","Fill=—","Direction=H","UseDPDF=Y")</f>
        <v>85.37</v>
      </c>
      <c r="T10" s="13">
        <f>_xll.BDH("ALNY US Equity","IS_COG_AND_SERVICES_SOLD","FQ3 2023","FQ3 2023","Currency=USD","Period=FQ","BEST_FPERIOD_OVERRIDE=FQ","FILING_STATUS=MR","SCALING_FORMAT=MLN","FA_ADJUSTED=Adjusted","Sort=A","Dates=H","DateFormat=P","Fill=—","Direction=H","UseDPDF=Y")</f>
        <v>84.308999999999997</v>
      </c>
      <c r="U10" s="13">
        <f>_xll.BDH("ALNY US Equity","IS_COG_AND_SERVICES_SOLD","FQ4 2023","FQ4 2023","Currency=USD","Period=FQ","BEST_FPERIOD_OVERRIDE=FQ","FILING_STATUS=MR","SCALING_FORMAT=MLN","FA_ADJUSTED=Adjusted","Sort=A","Dates=H","DateFormat=P","Fill=—","Direction=H","UseDPDF=Y")</f>
        <v>85.858000000000004</v>
      </c>
      <c r="V10" s="13">
        <f>_xll.BDH("ALNY US Equity","IS_COG_AND_SERVICES_SOLD","FQ1 2024","FQ1 2024","Currency=USD","Period=FQ","BEST_FPERIOD_OVERRIDE=FQ","FILING_STATUS=MR","SCALING_FORMAT=MLN","FA_ADJUSTED=Adjusted","Sort=A","Dates=H","DateFormat=P","Fill=—","Direction=H","UseDPDF=Y")</f>
        <v>65.975999999999999</v>
      </c>
      <c r="W10" s="13">
        <f>_xll.BDH("ALNY US Equity","IS_COG_AND_SERVICES_SOLD","FQ2 2024","FQ2 2024","Currency=USD","Period=FQ","BEST_FPERIOD_OVERRIDE=FQ","FILING_STATUS=MR","SCALING_FORMAT=MLN","FA_ADJUSTED=Adjusted","Sort=A","Dates=H","DateFormat=P","Fill=—","Direction=H","UseDPDF=Y")</f>
        <v>68.671999999999997</v>
      </c>
      <c r="X10" s="13">
        <f>_xll.BDH("ALNY US Equity","IS_COG_AND_SERVICES_SOLD","FQ3 2024","FQ3 2024","Currency=USD","Period=FQ","BEST_FPERIOD_OVERRIDE=FQ","FILING_STATUS=MR","SCALING_FORMAT=MLN","FA_ADJUSTED=Adjusted","Sort=A","Dates=H","DateFormat=P","Fill=—","Direction=H","UseDPDF=Y")</f>
        <v>85.905000000000001</v>
      </c>
      <c r="Y10" s="13">
        <f>_xll.BDH("ALNY US Equity","IS_COG_AND_SERVICES_SOLD","FQ4 2024","FQ4 2024","Currency=USD","Period=FQ","BEST_FPERIOD_OVERRIDE=FQ","FILING_STATUS=MR","SCALING_FORMAT=MLN","FA_ADJUSTED=Adjusted","Sort=A","Dates=H","DateFormat=P","Fill=—","Direction=H","UseDPDF=Y")</f>
        <v>102.81699999999999</v>
      </c>
      <c r="Z10" s="13"/>
      <c r="AA10" s="13"/>
    </row>
    <row r="11" spans="1:27" x14ac:dyDescent="0.25">
      <c r="A11" s="6" t="s">
        <v>2</v>
      </c>
      <c r="B11" s="6" t="s">
        <v>75</v>
      </c>
      <c r="C11" s="19">
        <f>_xll.BDH("ALNY US Equity","GROSS_PROFIT","FQ2 2019","FQ2 2019","Currency=USD","Period=FQ","BEST_FPERIOD_OVERRIDE=FQ","FILING_STATUS=MR","SCALING_FORMAT=MLN","FA_ADJUSTED=Adjusted","Sort=A","Dates=H","DateFormat=P","Fill=—","Direction=H","UseDPDF=Y")</f>
        <v>40.387999999999998</v>
      </c>
      <c r="D11" s="19">
        <f>_xll.BDH("ALNY US Equity","GROSS_PROFIT","FQ3 2019","FQ3 2019","Currency=USD","Period=FQ","BEST_FPERIOD_OVERRIDE=FQ","FILING_STATUS=MR","SCALING_FORMAT=MLN","FA_ADJUSTED=Adjusted","Sort=A","Dates=H","DateFormat=P","Fill=—","Direction=H","UseDPDF=Y")</f>
        <v>64.847999999999999</v>
      </c>
      <c r="E11" s="19">
        <f>_xll.BDH("ALNY US Equity","GROSS_PROFIT","FQ4 2019","FQ4 2019","Currency=USD","Period=FQ","BEST_FPERIOD_OVERRIDE=FQ","FILING_STATUS=MR","SCALING_FORMAT=MLN","FA_ADJUSTED=Adjusted","Sort=A","Dates=H","DateFormat=P","Fill=—","Direction=H","UseDPDF=Y")</f>
        <v>59.505000000000003</v>
      </c>
      <c r="F11" s="19">
        <f>_xll.BDH("ALNY US Equity","GROSS_PROFIT","FQ1 2020","FQ1 2020","Currency=USD","Period=FQ","BEST_FPERIOD_OVERRIDE=FQ","FILING_STATUS=MR","SCALING_FORMAT=MLN","FA_ADJUSTED=Adjusted","Sort=A","Dates=H","DateFormat=P","Fill=—","Direction=H","UseDPDF=Y")</f>
        <v>86.174000000000007</v>
      </c>
      <c r="G11" s="19">
        <f>_xll.BDH("ALNY US Equity","GROSS_PROFIT","FQ2 2020","FQ2 2020","Currency=USD","Period=FQ","BEST_FPERIOD_OVERRIDE=FQ","FILING_STATUS=MR","SCALING_FORMAT=MLN","FA_ADJUSTED=Adjusted","Sort=A","Dates=H","DateFormat=P","Fill=—","Direction=H","UseDPDF=Y")</f>
        <v>84.033000000000001</v>
      </c>
      <c r="H11" s="19">
        <f>_xll.BDH("ALNY US Equity","GROSS_PROFIT","FQ3 2020","FQ3 2020","Currency=USD","Period=FQ","BEST_FPERIOD_OVERRIDE=FQ","FILING_STATUS=MR","SCALING_FORMAT=MLN","FA_ADJUSTED=Adjusted","Sort=A","Dates=H","DateFormat=P","Fill=—","Direction=H","UseDPDF=Y")</f>
        <v>104.056</v>
      </c>
      <c r="I11" s="19">
        <f>_xll.BDH("ALNY US Equity","GROSS_PROFIT","FQ4 2020","FQ4 2020","Currency=USD","Period=FQ","BEST_FPERIOD_OVERRIDE=FQ","FILING_STATUS=MR","SCALING_FORMAT=MLN","FA_ADJUSTED=Adjusted","Sort=A","Dates=H","DateFormat=P","Fill=—","Direction=H","UseDPDF=Y")</f>
        <v>140.53800000000001</v>
      </c>
      <c r="J11" s="19">
        <f>_xll.BDH("ALNY US Equity","GROSS_PROFIT","FQ1 2021","FQ1 2021","Currency=USD","Period=FQ","BEST_FPERIOD_OVERRIDE=FQ","FILING_STATUS=MR","SCALING_FORMAT=MLN","FA_ADJUSTED=Adjusted","Sort=A","Dates=H","DateFormat=P","Fill=—","Direction=H","UseDPDF=Y")</f>
        <v>146.50399999999999</v>
      </c>
      <c r="K11" s="19">
        <f>_xll.BDH("ALNY US Equity","GROSS_PROFIT","FQ2 2021","FQ2 2021","Currency=USD","Period=FQ","BEST_FPERIOD_OVERRIDE=FQ","FILING_STATUS=MR","SCALING_FORMAT=MLN","FA_ADJUSTED=Adjusted","Sort=A","Dates=H","DateFormat=P","Fill=—","Direction=H","UseDPDF=Y")</f>
        <v>181.798</v>
      </c>
      <c r="L11" s="19">
        <f>_xll.BDH("ALNY US Equity","GROSS_PROFIT","FQ3 2021","FQ3 2021","Currency=USD","Period=FQ","BEST_FPERIOD_OVERRIDE=FQ","FILING_STATUS=MR","SCALING_FORMAT=MLN","FA_ADJUSTED=Adjusted","Sort=A","Dates=H","DateFormat=P","Fill=—","Direction=H","UseDPDF=Y")</f>
        <v>154.97</v>
      </c>
      <c r="M11" s="19">
        <f>_xll.BDH("ALNY US Equity","GROSS_PROFIT","FQ4 2021","FQ4 2021","Currency=USD","Period=FQ","BEST_FPERIOD_OVERRIDE=FQ","FILING_STATUS=MR","SCALING_FORMAT=MLN","FA_ADJUSTED=Adjusted","Sort=A","Dates=H","DateFormat=P","Fill=—","Direction=H","UseDPDF=Y")</f>
        <v>220.87100000000001</v>
      </c>
      <c r="N11" s="19">
        <f>_xll.BDH("ALNY US Equity","GROSS_PROFIT","FQ1 2022","FQ1 2022","Currency=USD","Period=FQ","BEST_FPERIOD_OVERRIDE=FQ","FILING_STATUS=MR","SCALING_FORMAT=MLN","FA_ADJUSTED=Adjusted","Sort=A","Dates=H","DateFormat=P","Fill=—","Direction=H","UseDPDF=Y")</f>
        <v>177.63200000000001</v>
      </c>
      <c r="O11" s="19">
        <f>_xll.BDH("ALNY US Equity","GROSS_PROFIT","FQ2 2022","FQ2 2022","Currency=USD","Period=FQ","BEST_FPERIOD_OVERRIDE=FQ","FILING_STATUS=MR","SCALING_FORMAT=MLN","FA_ADJUSTED=Adjusted","Sort=A","Dates=H","DateFormat=P","Fill=—","Direction=H","UseDPDF=Y")</f>
        <v>184.01</v>
      </c>
      <c r="P11" s="19">
        <f>_xll.BDH("ALNY US Equity","GROSS_PROFIT","FQ3 2022","FQ3 2022","Currency=USD","Period=FQ","BEST_FPERIOD_OVERRIDE=FQ","FILING_STATUS=MR","SCALING_FORMAT=MLN","FA_ADJUSTED=Adjusted","Sort=A","Dates=H","DateFormat=P","Fill=—","Direction=H","UseDPDF=Y")</f>
        <v>223.19</v>
      </c>
      <c r="Q11" s="19">
        <f>_xll.BDH("ALNY US Equity","GROSS_PROFIT","FQ4 2022","FQ4 2022","Currency=USD","Period=FQ","BEST_FPERIOD_OVERRIDE=FQ","FILING_STATUS=MR","SCALING_FORMAT=MLN","FA_ADJUSTED=Adjusted","Sort=A","Dates=H","DateFormat=P","Fill=—","Direction=H","UseDPDF=Y")</f>
        <v>283.76900000000001</v>
      </c>
      <c r="R11" s="19">
        <f>_xll.BDH("ALNY US Equity","GROSS_PROFIT","FQ1 2023","FQ1 2023","Currency=USD","Period=FQ","BEST_FPERIOD_OVERRIDE=FQ","FILING_STATUS=MR","SCALING_FORMAT=MLN","FA_ADJUSTED=Adjusted","Sort=A","Dates=H","DateFormat=P","Fill=—","Direction=H","UseDPDF=Y")</f>
        <v>264.42099999999999</v>
      </c>
      <c r="S11" s="19">
        <f>_xll.BDH("ALNY US Equity","GROSS_PROFIT","FQ2 2023","FQ2 2023","Currency=USD","Period=FQ","BEST_FPERIOD_OVERRIDE=FQ","FILING_STATUS=MR","SCALING_FORMAT=MLN","FA_ADJUSTED=Adjusted","Sort=A","Dates=H","DateFormat=P","Fill=—","Direction=H","UseDPDF=Y")</f>
        <v>233.38399999999999</v>
      </c>
      <c r="T11" s="19">
        <f>_xll.BDH("ALNY US Equity","GROSS_PROFIT","FQ3 2023","FQ3 2023","Currency=USD","Period=FQ","BEST_FPERIOD_OVERRIDE=FQ","FILING_STATUS=MR","SCALING_FORMAT=MLN","FA_ADJUSTED=Adjusted","Sort=A","Dates=H","DateFormat=P","Fill=—","Direction=H","UseDPDF=Y")</f>
        <v>666.221</v>
      </c>
      <c r="U11" s="19">
        <f>_xll.BDH("ALNY US Equity","GROSS_PROFIT","FQ4 2023","FQ4 2023","Currency=USD","Period=FQ","BEST_FPERIOD_OVERRIDE=FQ","FILING_STATUS=MR","SCALING_FORMAT=MLN","FA_ADJUSTED=Adjusted","Sort=A","Dates=H","DateFormat=P","Fill=—","Direction=H","UseDPDF=Y")</f>
        <v>353.86</v>
      </c>
      <c r="V11" s="19">
        <f>_xll.BDH("ALNY US Equity","GROSS_PROFIT","FQ1 2024","FQ1 2024","Currency=USD","Period=FQ","BEST_FPERIOD_OVERRIDE=FQ","FILING_STATUS=MR","SCALING_FORMAT=MLN","FA_ADJUSTED=Adjusted","Sort=A","Dates=H","DateFormat=P","Fill=—","Direction=H","UseDPDF=Y")</f>
        <v>428.35700000000003</v>
      </c>
      <c r="W11" s="19">
        <f>_xll.BDH("ALNY US Equity","GROSS_PROFIT","FQ2 2024","FQ2 2024","Currency=USD","Period=FQ","BEST_FPERIOD_OVERRIDE=FQ","FILING_STATUS=MR","SCALING_FORMAT=MLN","FA_ADJUSTED=Adjusted","Sort=A","Dates=H","DateFormat=P","Fill=—","Direction=H","UseDPDF=Y")</f>
        <v>591.15300000000002</v>
      </c>
      <c r="X11" s="19">
        <f>_xll.BDH("ALNY US Equity","GROSS_PROFIT","FQ3 2024","FQ3 2024","Currency=USD","Period=FQ","BEST_FPERIOD_OVERRIDE=FQ","FILING_STATUS=MR","SCALING_FORMAT=MLN","FA_ADJUSTED=Adjusted","Sort=A","Dates=H","DateFormat=P","Fill=—","Direction=H","UseDPDF=Y")</f>
        <v>415.01400000000001</v>
      </c>
      <c r="Y11" s="19">
        <f>_xll.BDH("ALNY US Equity","GROSS_PROFIT","FQ4 2024","FQ4 2024","Currency=USD","Period=FQ","BEST_FPERIOD_OVERRIDE=FQ","FILING_STATUS=MR","SCALING_FORMAT=MLN","FA_ADJUSTED=Adjusted","Sort=A","Dates=H","DateFormat=P","Fill=—","Direction=H","UseDPDF=Y")</f>
        <v>490.34899999999999</v>
      </c>
      <c r="Z11" s="19">
        <v>475.73917767</v>
      </c>
      <c r="AA11" s="19">
        <v>512.76366036000002</v>
      </c>
    </row>
    <row r="12" spans="1:27" x14ac:dyDescent="0.25">
      <c r="A12" s="10" t="s">
        <v>306</v>
      </c>
      <c r="B12" s="10" t="s">
        <v>307</v>
      </c>
      <c r="C12" s="13">
        <f>_xll.BDH("ALNY US Equity","IS_OTHER_OPER_INC","FQ2 2019","FQ2 2019","Currency=USD","Period=FQ","BEST_FPERIOD_OVERRIDE=FQ","FILING_STATUS=MR","SCALING_FORMAT=MLN","FA_ADJUSTED=Adjusted","Sort=A","Dates=H","DateFormat=P","Fill=—","Direction=H","UseDPDF=Y")</f>
        <v>0</v>
      </c>
      <c r="D12" s="13">
        <f>_xll.BDH("ALNY US Equity","IS_OTHER_OPER_INC","FQ3 2019","FQ3 2019","Currency=USD","Period=FQ","BEST_FPERIOD_OVERRIDE=FQ","FILING_STATUS=MR","SCALING_FORMAT=MLN","FA_ADJUSTED=Adjusted","Sort=A","Dates=H","DateFormat=P","Fill=—","Direction=H","UseDPDF=Y")</f>
        <v>0</v>
      </c>
      <c r="E12" s="13">
        <f>_xll.BDH("ALNY US Equity","IS_OTHER_OPER_INC","FQ4 2019","FQ4 2019","Currency=USD","Period=FQ","BEST_FPERIOD_OVERRIDE=FQ","FILING_STATUS=MR","SCALING_FORMAT=MLN","FA_ADJUSTED=Adjusted","Sort=A","Dates=H","DateFormat=P","Fill=—","Direction=H","UseDPDF=Y")</f>
        <v>0</v>
      </c>
      <c r="F12" s="13">
        <f>_xll.BDH("ALNY US Equity","IS_OTHER_OPER_INC","FQ1 2020","FQ1 2020","Currency=USD","Period=FQ","BEST_FPERIOD_OVERRIDE=FQ","FILING_STATUS=MR","SCALING_FORMAT=MLN","FA_ADJUSTED=Adjusted","Sort=A","Dates=H","DateFormat=P","Fill=—","Direction=H","UseDPDF=Y")</f>
        <v>0</v>
      </c>
      <c r="G12" s="13">
        <f>_xll.BDH("ALNY US Equity","IS_OTHER_OPER_INC","FQ2 2020","FQ2 2020","Currency=USD","Period=FQ","BEST_FPERIOD_OVERRIDE=FQ","FILING_STATUS=MR","SCALING_FORMAT=MLN","FA_ADJUSTED=Adjusted","Sort=A","Dates=H","DateFormat=P","Fill=—","Direction=H","UseDPDF=Y")</f>
        <v>0</v>
      </c>
      <c r="H12" s="13">
        <f>_xll.BDH("ALNY US Equity","IS_OTHER_OPER_INC","FQ3 2020","FQ3 2020","Currency=USD","Period=FQ","BEST_FPERIOD_OVERRIDE=FQ","FILING_STATUS=MR","SCALING_FORMAT=MLN","FA_ADJUSTED=Adjusted","Sort=A","Dates=H","DateFormat=P","Fill=—","Direction=H","UseDPDF=Y")</f>
        <v>0</v>
      </c>
      <c r="I12" s="13">
        <f>_xll.BDH("ALNY US Equity","IS_OTHER_OPER_INC","FQ4 2020","FQ4 2020","Currency=USD","Period=FQ","BEST_FPERIOD_OVERRIDE=FQ","FILING_STATUS=MR","SCALING_FORMAT=MLN","FA_ADJUSTED=Adjusted","Sort=A","Dates=H","DateFormat=P","Fill=—","Direction=H","UseDPDF=Y")</f>
        <v>0</v>
      </c>
      <c r="J12" s="13">
        <f>_xll.BDH("ALNY US Equity","IS_OTHER_OPER_INC","FQ1 2021","FQ1 2021","Currency=USD","Period=FQ","BEST_FPERIOD_OVERRIDE=FQ","FILING_STATUS=MR","SCALING_FORMAT=MLN","FA_ADJUSTED=Adjusted","Sort=A","Dates=H","DateFormat=P","Fill=—","Direction=H","UseDPDF=Y")</f>
        <v>0</v>
      </c>
      <c r="K12" s="13">
        <f>_xll.BDH("ALNY US Equity","IS_OTHER_OPER_INC","FQ2 2021","FQ2 2021","Currency=USD","Period=FQ","BEST_FPERIOD_OVERRIDE=FQ","FILING_STATUS=MR","SCALING_FORMAT=MLN","FA_ADJUSTED=Adjusted","Sort=A","Dates=H","DateFormat=P","Fill=—","Direction=H","UseDPDF=Y")</f>
        <v>0</v>
      </c>
      <c r="L12" s="13">
        <f>_xll.BDH("ALNY US Equity","IS_OTHER_OPER_INC","FQ3 2021","FQ3 2021","Currency=USD","Period=FQ","BEST_FPERIOD_OVERRIDE=FQ","FILING_STATUS=MR","SCALING_FORMAT=MLN","FA_ADJUSTED=Adjusted","Sort=A","Dates=H","DateFormat=P","Fill=—","Direction=H","UseDPDF=Y")</f>
        <v>0</v>
      </c>
      <c r="M12" s="13">
        <f>_xll.BDH("ALNY US Equity","IS_OTHER_OPER_INC","FQ4 2021","FQ4 2021","Currency=USD","Period=FQ","BEST_FPERIOD_OVERRIDE=FQ","FILING_STATUS=MR","SCALING_FORMAT=MLN","FA_ADJUSTED=Adjusted","Sort=A","Dates=H","DateFormat=P","Fill=—","Direction=H","UseDPDF=Y")</f>
        <v>0</v>
      </c>
      <c r="N12" s="13">
        <f>_xll.BDH("ALNY US Equity","IS_OTHER_OPER_INC","FQ1 2022","FQ1 2022","Currency=USD","Period=FQ","BEST_FPERIOD_OVERRIDE=FQ","FILING_STATUS=MR","SCALING_FORMAT=MLN","FA_ADJUSTED=Adjusted","Sort=A","Dates=H","DateFormat=P","Fill=—","Direction=H","UseDPDF=Y")</f>
        <v>0</v>
      </c>
      <c r="O12" s="13">
        <f>_xll.BDH("ALNY US Equity","IS_OTHER_OPER_INC","FQ2 2022","FQ2 2022","Currency=USD","Period=FQ","BEST_FPERIOD_OVERRIDE=FQ","FILING_STATUS=MR","SCALING_FORMAT=MLN","FA_ADJUSTED=Adjusted","Sort=A","Dates=H","DateFormat=P","Fill=—","Direction=H","UseDPDF=Y")</f>
        <v>0</v>
      </c>
      <c r="P12" s="13">
        <f>_xll.BDH("ALNY US Equity","IS_OTHER_OPER_INC","FQ3 2022","FQ3 2022","Currency=USD","Period=FQ","BEST_FPERIOD_OVERRIDE=FQ","FILING_STATUS=MR","SCALING_FORMAT=MLN","FA_ADJUSTED=Adjusted","Sort=A","Dates=H","DateFormat=P","Fill=—","Direction=H","UseDPDF=Y")</f>
        <v>0</v>
      </c>
      <c r="Q12" s="13">
        <f>_xll.BDH("ALNY US Equity","IS_OTHER_OPER_INC","FQ4 2022","FQ4 2022","Currency=USD","Period=FQ","BEST_FPERIOD_OVERRIDE=FQ","FILING_STATUS=MR","SCALING_FORMAT=MLN","FA_ADJUSTED=Adjusted","Sort=A","Dates=H","DateFormat=P","Fill=—","Direction=H","UseDPDF=Y")</f>
        <v>0</v>
      </c>
      <c r="R12" s="13">
        <f>_xll.BDH("ALNY US Equity","IS_OTHER_OPER_INC","FQ1 2023","FQ1 2023","Currency=USD","Period=FQ","BEST_FPERIOD_OVERRIDE=FQ","FILING_STATUS=MR","SCALING_FORMAT=MLN","FA_ADJUSTED=Adjusted","Sort=A","Dates=H","DateFormat=P","Fill=—","Direction=H","UseDPDF=Y")</f>
        <v>0</v>
      </c>
      <c r="S12" s="13">
        <f>_xll.BDH("ALNY US Equity","IS_OTHER_OPER_INC","FQ2 2023","FQ2 2023","Currency=USD","Period=FQ","BEST_FPERIOD_OVERRIDE=FQ","FILING_STATUS=MR","SCALING_FORMAT=MLN","FA_ADJUSTED=Adjusted","Sort=A","Dates=H","DateFormat=P","Fill=—","Direction=H","UseDPDF=Y")</f>
        <v>0</v>
      </c>
      <c r="T12" s="13">
        <f>_xll.BDH("ALNY US Equity","IS_OTHER_OPER_INC","FQ3 2023","FQ3 2023","Currency=USD","Period=FQ","BEST_FPERIOD_OVERRIDE=FQ","FILING_STATUS=MR","SCALING_FORMAT=MLN","FA_ADJUSTED=Adjusted","Sort=A","Dates=H","DateFormat=P","Fill=—","Direction=H","UseDPDF=Y")</f>
        <v>0</v>
      </c>
      <c r="U12" s="13">
        <f>_xll.BDH("ALNY US Equity","IS_OTHER_OPER_INC","FQ4 2023","FQ4 2023","Currency=USD","Period=FQ","BEST_FPERIOD_OVERRIDE=FQ","FILING_STATUS=MR","SCALING_FORMAT=MLN","FA_ADJUSTED=Adjusted","Sort=A","Dates=H","DateFormat=P","Fill=—","Direction=H","UseDPDF=Y")</f>
        <v>0</v>
      </c>
      <c r="V12" s="13">
        <f>_xll.BDH("ALNY US Equity","IS_OTHER_OPER_INC","FQ1 2024","FQ1 2024","Currency=USD","Period=FQ","BEST_FPERIOD_OVERRIDE=FQ","FILING_STATUS=MR","SCALING_FORMAT=MLN","FA_ADJUSTED=Adjusted","Sort=A","Dates=H","DateFormat=P","Fill=—","Direction=H","UseDPDF=Y")</f>
        <v>0</v>
      </c>
      <c r="W12" s="13">
        <f>_xll.BDH("ALNY US Equity","IS_OTHER_OPER_INC","FQ2 2024","FQ2 2024","Currency=USD","Period=FQ","BEST_FPERIOD_OVERRIDE=FQ","FILING_STATUS=MR","SCALING_FORMAT=MLN","FA_ADJUSTED=Adjusted","Sort=A","Dates=H","DateFormat=P","Fill=—","Direction=H","UseDPDF=Y")</f>
        <v>0</v>
      </c>
      <c r="X12" s="13">
        <f>_xll.BDH("ALNY US Equity","IS_OTHER_OPER_INC","FQ3 2024","FQ3 2024","Currency=USD","Period=FQ","BEST_FPERIOD_OVERRIDE=FQ","FILING_STATUS=MR","SCALING_FORMAT=MLN","FA_ADJUSTED=Adjusted","Sort=A","Dates=H","DateFormat=P","Fill=—","Direction=H","UseDPDF=Y")</f>
        <v>0</v>
      </c>
      <c r="Y12" s="13">
        <f>_xll.BDH("ALNY US Equity","IS_OTHER_OPER_INC","FQ4 2024","FQ4 2024","Currency=USD","Period=FQ","BEST_FPERIOD_OVERRIDE=FQ","FILING_STATUS=MR","SCALING_FORMAT=MLN","FA_ADJUSTED=Adjusted","Sort=A","Dates=H","DateFormat=P","Fill=—","Direction=H","UseDPDF=Y")</f>
        <v>0</v>
      </c>
      <c r="Z12" s="13"/>
      <c r="AA12" s="13"/>
    </row>
    <row r="13" spans="1:27" x14ac:dyDescent="0.25">
      <c r="A13" s="10" t="s">
        <v>308</v>
      </c>
      <c r="B13" s="10" t="s">
        <v>309</v>
      </c>
      <c r="C13" s="13">
        <f>_xll.BDH("ALNY US Equity","IS_OPERATING_EXPN","FQ2 2019","FQ2 2019","Currency=USD","Period=FQ","BEST_FPERIOD_OVERRIDE=FQ","FILING_STATUS=MR","SCALING_FORMAT=MLN","FA_ADJUSTED=Adjusted","Sort=A","Dates=H","DateFormat=P","Fill=—","Direction=H","UseDPDF=Y")</f>
        <v>276.65899999999999</v>
      </c>
      <c r="D13" s="13">
        <f>_xll.BDH("ALNY US Equity","IS_OPERATING_EXPN","FQ3 2019","FQ3 2019","Currency=USD","Period=FQ","BEST_FPERIOD_OVERRIDE=FQ","FILING_STATUS=MR","SCALING_FORMAT=MLN","FA_ADJUSTED=Adjusted","Sort=A","Dates=H","DateFormat=P","Fill=—","Direction=H","UseDPDF=Y")</f>
        <v>281.14699999999999</v>
      </c>
      <c r="E13" s="13">
        <f>_xll.BDH("ALNY US Equity","IS_OPERATING_EXPN","FQ4 2019","FQ4 2019","Currency=USD","Period=FQ","BEST_FPERIOD_OVERRIDE=FQ","FILING_STATUS=MR","SCALING_FORMAT=MLN","FA_ADJUSTED=Adjusted","Sort=A","Dates=H","DateFormat=P","Fill=—","Direction=H","UseDPDF=Y")</f>
        <v>357.57799999999997</v>
      </c>
      <c r="F13" s="13">
        <f>_xll.BDH("ALNY US Equity","IS_OPERATING_EXPN","FQ1 2020","FQ1 2020","Currency=USD","Period=FQ","BEST_FPERIOD_OVERRIDE=FQ","FILING_STATUS=MR","SCALING_FORMAT=MLN","FA_ADJUSTED=Adjusted","Sort=A","Dates=H","DateFormat=P","Fill=—","Direction=H","UseDPDF=Y")</f>
        <v>296.33199999999999</v>
      </c>
      <c r="G13" s="13">
        <f>_xll.BDH("ALNY US Equity","IS_OPERATING_EXPN","FQ2 2020","FQ2 2020","Currency=USD","Period=FQ","BEST_FPERIOD_OVERRIDE=FQ","FILING_STATUS=MR","SCALING_FORMAT=MLN","FA_ADJUSTED=Adjusted","Sort=A","Dates=H","DateFormat=P","Fill=—","Direction=H","UseDPDF=Y")</f>
        <v>283.7047</v>
      </c>
      <c r="H13" s="13">
        <f>_xll.BDH("ALNY US Equity","IS_OPERATING_EXPN","FQ3 2020","FQ3 2020","Currency=USD","Period=FQ","BEST_FPERIOD_OVERRIDE=FQ","FILING_STATUS=MR","SCALING_FORMAT=MLN","FA_ADJUSTED=Adjusted","Sort=A","Dates=H","DateFormat=P","Fill=—","Direction=H","UseDPDF=Y")</f>
        <v>299.84199999999998</v>
      </c>
      <c r="I13" s="13">
        <f>_xll.BDH("ALNY US Equity","IS_OPERATING_EXPN","FQ4 2020","FQ4 2020","Currency=USD","Period=FQ","BEST_FPERIOD_OVERRIDE=FQ","FILING_STATUS=MR","SCALING_FORMAT=MLN","FA_ADJUSTED=Adjusted","Sort=A","Dates=H","DateFormat=P","Fill=—","Direction=H","UseDPDF=Y")</f>
        <v>324.54399999999998</v>
      </c>
      <c r="J13" s="13">
        <f>_xll.BDH("ALNY US Equity","IS_OPERATING_EXPN","FQ1 2021","FQ1 2021","Currency=USD","Period=FQ","BEST_FPERIOD_OVERRIDE=FQ","FILING_STATUS=MR","SCALING_FORMAT=MLN","FA_ADJUSTED=Adjusted","Sort=A","Dates=H","DateFormat=P","Fill=—","Direction=H","UseDPDF=Y")</f>
        <v>332.75799999999998</v>
      </c>
      <c r="K13" s="13">
        <f>_xll.BDH("ALNY US Equity","IS_OPERATING_EXPN","FQ2 2021","FQ2 2021","Currency=USD","Period=FQ","BEST_FPERIOD_OVERRIDE=FQ","FILING_STATUS=MR","SCALING_FORMAT=MLN","FA_ADJUSTED=Adjusted","Sort=A","Dates=H","DateFormat=P","Fill=—","Direction=H","UseDPDF=Y")</f>
        <v>327.95800000000003</v>
      </c>
      <c r="L13" s="13">
        <f>_xll.BDH("ALNY US Equity","IS_OPERATING_EXPN","FQ3 2021","FQ3 2021","Currency=USD","Period=FQ","BEST_FPERIOD_OVERRIDE=FQ","FILING_STATUS=MR","SCALING_FORMAT=MLN","FA_ADJUSTED=Adjusted","Sort=A","Dates=H","DateFormat=P","Fill=—","Direction=H","UseDPDF=Y")</f>
        <v>326.64699999999999</v>
      </c>
      <c r="M13" s="13">
        <f>_xll.BDH("ALNY US Equity","IS_OPERATING_EXPN","FQ4 2021","FQ4 2021","Currency=USD","Period=FQ","BEST_FPERIOD_OVERRIDE=FQ","FILING_STATUS=MR","SCALING_FORMAT=MLN","FA_ADJUSTED=Adjusted","Sort=A","Dates=H","DateFormat=P","Fill=—","Direction=H","UseDPDF=Y")</f>
        <v>415.43200000000002</v>
      </c>
      <c r="N13" s="13">
        <f>_xll.BDH("ALNY US Equity","IS_OPERATING_EXPN","FQ1 2022","FQ1 2022","Currency=USD","Period=FQ","BEST_FPERIOD_OVERRIDE=FQ","FILING_STATUS=MR","SCALING_FORMAT=MLN","FA_ADJUSTED=Adjusted","Sort=A","Dates=H","DateFormat=P","Fill=—","Direction=H","UseDPDF=Y")</f>
        <v>324.36399999999998</v>
      </c>
      <c r="O13" s="13">
        <f>_xll.BDH("ALNY US Equity","IS_OPERATING_EXPN","FQ2 2022","FQ2 2022","Currency=USD","Period=FQ","BEST_FPERIOD_OVERRIDE=FQ","FILING_STATUS=MR","SCALING_FORMAT=MLN","FA_ADJUSTED=Adjusted","Sort=A","Dates=H","DateFormat=P","Fill=—","Direction=H","UseDPDF=Y")</f>
        <v>375.69600000000003</v>
      </c>
      <c r="P13" s="13">
        <f>_xll.BDH("ALNY US Equity","IS_OPERATING_EXPN","FQ3 2022","FQ3 2022","Currency=USD","Period=FQ","BEST_FPERIOD_OVERRIDE=FQ","FILING_STATUS=MR","SCALING_FORMAT=MLN","FA_ADJUSTED=Adjusted","Sort=A","Dates=H","DateFormat=P","Fill=—","Direction=H","UseDPDF=Y")</f>
        <v>481.23</v>
      </c>
      <c r="Q13" s="13">
        <f>_xll.BDH("ALNY US Equity","IS_OPERATING_EXPN","FQ4 2022","FQ4 2022","Currency=USD","Period=FQ","BEST_FPERIOD_OVERRIDE=FQ","FILING_STATUS=MR","SCALING_FORMAT=MLN","FA_ADJUSTED=Adjusted","Sort=A","Dates=H","DateFormat=P","Fill=—","Direction=H","UseDPDF=Y")</f>
        <v>472.38299999999998</v>
      </c>
      <c r="R13" s="13">
        <f>_xll.BDH("ALNY US Equity","IS_OPERATING_EXPN","FQ1 2023","FQ1 2023","Currency=USD","Period=FQ","BEST_FPERIOD_OVERRIDE=FQ","FILING_STATUS=MR","SCALING_FORMAT=MLN","FA_ADJUSTED=Adjusted","Sort=A","Dates=H","DateFormat=P","Fill=—","Direction=H","UseDPDF=Y")</f>
        <v>414.22800000000001</v>
      </c>
      <c r="S13" s="13">
        <f>_xll.BDH("ALNY US Equity","IS_OPERATING_EXPN","FQ2 2023","FQ2 2023","Currency=USD","Period=FQ","BEST_FPERIOD_OVERRIDE=FQ","FILING_STATUS=MR","SCALING_FORMAT=MLN","FA_ADJUSTED=Adjusted","Sort=A","Dates=H","DateFormat=P","Fill=—","Direction=H","UseDPDF=Y")</f>
        <v>463.21499999999997</v>
      </c>
      <c r="T13" s="13">
        <f>_xll.BDH("ALNY US Equity","IS_OPERATING_EXPN","FQ3 2023","FQ3 2023","Currency=USD","Period=FQ","BEST_FPERIOD_OVERRIDE=FQ","FILING_STATUS=MR","SCALING_FORMAT=MLN","FA_ADJUSTED=Adjusted","Sort=A","Dates=H","DateFormat=P","Fill=—","Direction=H","UseDPDF=Y")</f>
        <v>452.35399999999998</v>
      </c>
      <c r="U13" s="13">
        <f>_xll.BDH("ALNY US Equity","IS_OPERATING_EXPN","FQ4 2023","FQ4 2023","Currency=USD","Period=FQ","BEST_FPERIOD_OVERRIDE=FQ","FILING_STATUS=MR","SCALING_FORMAT=MLN","FA_ADJUSTED=Adjusted","Sort=A","Dates=H","DateFormat=P","Fill=—","Direction=H","UseDPDF=Y")</f>
        <v>470.26400000000001</v>
      </c>
      <c r="V13" s="13">
        <f>_xll.BDH("ALNY US Equity","IS_OPERATING_EXPN","FQ1 2024","FQ1 2024","Currency=USD","Period=FQ","BEST_FPERIOD_OVERRIDE=FQ","FILING_STATUS=MR","SCALING_FORMAT=MLN","FA_ADJUSTED=Adjusted","Sort=A","Dates=H","DateFormat=P","Fill=—","Direction=H","UseDPDF=Y")</f>
        <v>471.79199999999997</v>
      </c>
      <c r="W13" s="13">
        <f>_xll.BDH("ALNY US Equity","IS_OPERATING_EXPN","FQ2 2024","FQ2 2024","Currency=USD","Period=FQ","BEST_FPERIOD_OVERRIDE=FQ","FILING_STATUS=MR","SCALING_FORMAT=MLN","FA_ADJUSTED=Adjusted","Sort=A","Dates=H","DateFormat=P","Fill=—","Direction=H","UseDPDF=Y")</f>
        <v>542.53899999999999</v>
      </c>
      <c r="X13" s="13">
        <f>_xll.BDH("ALNY US Equity","IS_OPERATING_EXPN","FQ3 2024","FQ3 2024","Currency=USD","Period=FQ","BEST_FPERIOD_OVERRIDE=FQ","FILING_STATUS=MR","SCALING_FORMAT=MLN","FA_ADJUSTED=Adjusted","Sort=A","Dates=H","DateFormat=P","Fill=—","Direction=H","UseDPDF=Y")</f>
        <v>491.91899999999998</v>
      </c>
      <c r="Y13" s="13">
        <f>_xll.BDH("ALNY US Equity","IS_OPERATING_EXPN","FQ4 2024","FQ4 2024","Currency=USD","Period=FQ","BEST_FPERIOD_OVERRIDE=FQ","FILING_STATUS=MR","SCALING_FORMAT=MLN","FA_ADJUSTED=Adjusted","Sort=A","Dates=H","DateFormat=P","Fill=—","Direction=H","UseDPDF=Y")</f>
        <v>595.50800000000004</v>
      </c>
      <c r="Z13" s="13"/>
      <c r="AA13" s="13"/>
    </row>
    <row r="14" spans="1:27" x14ac:dyDescent="0.25">
      <c r="A14" s="10" t="s">
        <v>310</v>
      </c>
      <c r="B14" s="10" t="s">
        <v>311</v>
      </c>
      <c r="C14" s="13">
        <f>_xll.BDH("ALNY US Equity","IS_SGA_EXPENSE","FQ2 2019","FQ2 2019","Currency=USD","Period=FQ","BEST_FPERIOD_OVERRIDE=FQ","FILING_STATUS=MR","SCALING_FORMAT=MLN","FA_ADJUSTED=Adjusted","Sort=A","Dates=H","DateFormat=P","Fill=—","Direction=H","UseDPDF=Y")</f>
        <v>112.76900000000001</v>
      </c>
      <c r="D14" s="13">
        <f>_xll.BDH("ALNY US Equity","IS_SGA_EXPENSE","FQ3 2019","FQ3 2019","Currency=USD","Period=FQ","BEST_FPERIOD_OVERRIDE=FQ","FILING_STATUS=MR","SCALING_FORMAT=MLN","FA_ADJUSTED=Adjusted","Sort=A","Dates=H","DateFormat=P","Fill=—","Direction=H","UseDPDF=Y")</f>
        <v>120.351</v>
      </c>
      <c r="E14" s="13">
        <f>_xll.BDH("ALNY US Equity","IS_SGA_EXPENSE","FQ4 2019","FQ4 2019","Currency=USD","Period=FQ","BEST_FPERIOD_OVERRIDE=FQ","FILING_STATUS=MR","SCALING_FORMAT=MLN","FA_ADJUSTED=Adjusted","Sort=A","Dates=H","DateFormat=P","Fill=—","Direction=H","UseDPDF=Y")</f>
        <v>156.27699999999999</v>
      </c>
      <c r="F14" s="13">
        <f>_xll.BDH("ALNY US Equity","IS_SGA_EXPENSE","FQ1 2020","FQ1 2020","Currency=USD","Period=FQ","BEST_FPERIOD_OVERRIDE=FQ","FILING_STATUS=MR","SCALING_FORMAT=MLN","FA_ADJUSTED=Adjusted","Sort=A","Dates=H","DateFormat=P","Fill=—","Direction=H","UseDPDF=Y")</f>
        <v>126.761</v>
      </c>
      <c r="G14" s="13">
        <f>_xll.BDH("ALNY US Equity","IS_SGA_EXPENSE","FQ2 2020","FQ2 2020","Currency=USD","Period=FQ","BEST_FPERIOD_OVERRIDE=FQ","FILING_STATUS=MR","SCALING_FORMAT=MLN","FA_ADJUSTED=Adjusted","Sort=A","Dates=H","DateFormat=P","Fill=—","Direction=H","UseDPDF=Y")</f>
        <v>127.896</v>
      </c>
      <c r="H14" s="13">
        <f>_xll.BDH("ALNY US Equity","IS_SGA_EXPENSE","FQ3 2020","FQ3 2020","Currency=USD","Period=FQ","BEST_FPERIOD_OVERRIDE=FQ","FILING_STATUS=MR","SCALING_FORMAT=MLN","FA_ADJUSTED=Adjusted","Sort=A","Dates=H","DateFormat=P","Fill=—","Direction=H","UseDPDF=Y")</f>
        <v>167.47200000000001</v>
      </c>
      <c r="I14" s="13">
        <f>_xll.BDH("ALNY US Equity","IS_SGA_EXPENSE","FQ4 2020","FQ4 2020","Currency=USD","Period=FQ","BEST_FPERIOD_OVERRIDE=FQ","FILING_STATUS=MR","SCALING_FORMAT=MLN","FA_ADJUSTED=Adjusted","Sort=A","Dates=H","DateFormat=P","Fill=—","Direction=H","UseDPDF=Y")</f>
        <v>166.291</v>
      </c>
      <c r="J14" s="13">
        <f>_xll.BDH("ALNY US Equity","IS_SGA_EXPENSE","FQ1 2021","FQ1 2021","Currency=USD","Period=FQ","BEST_FPERIOD_OVERRIDE=FQ","FILING_STATUS=MR","SCALING_FORMAT=MLN","FA_ADJUSTED=Adjusted","Sort=A","Dates=H","DateFormat=P","Fill=—","Direction=H","UseDPDF=Y")</f>
        <v>146.85900000000001</v>
      </c>
      <c r="K14" s="13">
        <f>_xll.BDH("ALNY US Equity","IS_SGA_EXPENSE","FQ2 2021","FQ2 2021","Currency=USD","Period=FQ","BEST_FPERIOD_OVERRIDE=FQ","FILING_STATUS=MR","SCALING_FORMAT=MLN","FA_ADJUSTED=Adjusted","Sort=A","Dates=H","DateFormat=P","Fill=—","Direction=H","UseDPDF=Y")</f>
        <v>145.32300000000001</v>
      </c>
      <c r="L14" s="13">
        <f>_xll.BDH("ALNY US Equity","IS_SGA_EXPENSE","FQ3 2021","FQ3 2021","Currency=USD","Period=FQ","BEST_FPERIOD_OVERRIDE=FQ","FILING_STATUS=MR","SCALING_FORMAT=MLN","FA_ADJUSTED=Adjusted","Sort=A","Dates=H","DateFormat=P","Fill=—","Direction=H","UseDPDF=Y")</f>
        <v>142.07499999999999</v>
      </c>
      <c r="M14" s="13">
        <f>_xll.BDH("ALNY US Equity","IS_SGA_EXPENSE","FQ4 2021","FQ4 2021","Currency=USD","Period=FQ","BEST_FPERIOD_OVERRIDE=FQ","FILING_STATUS=MR","SCALING_FORMAT=MLN","FA_ADJUSTED=Adjusted","Sort=A","Dates=H","DateFormat=P","Fill=—","Direction=H","UseDPDF=Y")</f>
        <v>186.38200000000001</v>
      </c>
      <c r="N14" s="13">
        <f>_xll.BDH("ALNY US Equity","IS_SGA_EXPENSE","FQ1 2022","FQ1 2022","Currency=USD","Period=FQ","BEST_FPERIOD_OVERRIDE=FQ","FILING_STATUS=MR","SCALING_FORMAT=MLN","FA_ADJUSTED=Adjusted","Sort=A","Dates=H","DateFormat=P","Fill=—","Direction=H","UseDPDF=Y")</f>
        <v>154.471</v>
      </c>
      <c r="O14" s="13">
        <f>_xll.BDH("ALNY US Equity","IS_SGA_EXPENSE","FQ2 2022","FQ2 2022","Currency=USD","Period=FQ","BEST_FPERIOD_OVERRIDE=FQ","FILING_STATUS=MR","SCALING_FORMAT=MLN","FA_ADJUSTED=Adjusted","Sort=A","Dates=H","DateFormat=P","Fill=—","Direction=H","UseDPDF=Y")</f>
        <v>169.98400000000001</v>
      </c>
      <c r="P14" s="13">
        <f>_xll.BDH("ALNY US Equity","IS_SGA_EXPENSE","FQ3 2022","FQ3 2022","Currency=USD","Period=FQ","BEST_FPERIOD_OVERRIDE=FQ","FILING_STATUS=MR","SCALING_FORMAT=MLN","FA_ADJUSTED=Adjusted","Sort=A","Dates=H","DateFormat=P","Fill=—","Direction=H","UseDPDF=Y")</f>
        <v>235.85900000000001</v>
      </c>
      <c r="Q14" s="13">
        <f>_xll.BDH("ALNY US Equity","IS_SGA_EXPENSE","FQ4 2022","FQ4 2022","Currency=USD","Period=FQ","BEST_FPERIOD_OVERRIDE=FQ","FILING_STATUS=MR","SCALING_FORMAT=MLN","FA_ADJUSTED=Adjusted","Sort=A","Dates=H","DateFormat=P","Fill=—","Direction=H","UseDPDF=Y")</f>
        <v>210.34399999999999</v>
      </c>
      <c r="R14" s="13">
        <f>_xll.BDH("ALNY US Equity","IS_SGA_EXPENSE","FQ1 2023","FQ1 2023","Currency=USD","Period=FQ","BEST_FPERIOD_OVERRIDE=FQ","FILING_STATUS=MR","SCALING_FORMAT=MLN","FA_ADJUSTED=Adjusted","Sort=A","Dates=H","DateFormat=P","Fill=—","Direction=H","UseDPDF=Y")</f>
        <v>183.65899999999999</v>
      </c>
      <c r="S14" s="13">
        <f>_xll.BDH("ALNY US Equity","IS_SGA_EXPENSE","FQ2 2023","FQ2 2023","Currency=USD","Period=FQ","BEST_FPERIOD_OVERRIDE=FQ","FILING_STATUS=MR","SCALING_FORMAT=MLN","FA_ADJUSTED=Adjusted","Sort=A","Dates=H","DateFormat=P","Fill=—","Direction=H","UseDPDF=Y")</f>
        <v>214.68899999999999</v>
      </c>
      <c r="T14" s="13">
        <f>_xll.BDH("ALNY US Equity","IS_SGA_EXPENSE","FQ3 2023","FQ3 2023","Currency=USD","Period=FQ","BEST_FPERIOD_OVERRIDE=FQ","FILING_STATUS=MR","SCALING_FORMAT=MLN","FA_ADJUSTED=Adjusted","Sort=A","Dates=H","DateFormat=P","Fill=—","Direction=H","UseDPDF=Y")</f>
        <v>199.17500000000001</v>
      </c>
      <c r="U14" s="13">
        <f>_xll.BDH("ALNY US Equity","IS_SGA_EXPENSE","FQ4 2023","FQ4 2023","Currency=USD","Period=FQ","BEST_FPERIOD_OVERRIDE=FQ","FILING_STATUS=MR","SCALING_FORMAT=MLN","FA_ADJUSTED=Adjusted","Sort=A","Dates=H","DateFormat=P","Fill=—","Direction=H","UseDPDF=Y")</f>
        <v>198.12299999999999</v>
      </c>
      <c r="V14" s="13">
        <f>_xll.BDH("ALNY US Equity","IS_SGA_EXPENSE","FQ1 2024","FQ1 2024","Currency=USD","Period=FQ","BEST_FPERIOD_OVERRIDE=FQ","FILING_STATUS=MR","SCALING_FORMAT=MLN","FA_ADJUSTED=Adjusted","Sort=A","Dates=H","DateFormat=P","Fill=—","Direction=H","UseDPDF=Y")</f>
        <v>210.797</v>
      </c>
      <c r="W14" s="13">
        <f>_xll.BDH("ALNY US Equity","IS_SGA_EXPENSE","FQ2 2024","FQ2 2024","Currency=USD","Period=FQ","BEST_FPERIOD_OVERRIDE=FQ","FILING_STATUS=MR","SCALING_FORMAT=MLN","FA_ADJUSTED=Adjusted","Sort=A","Dates=H","DateFormat=P","Fill=—","Direction=H","UseDPDF=Y")</f>
        <v>248.39699999999999</v>
      </c>
      <c r="X14" s="13">
        <f>_xll.BDH("ALNY US Equity","IS_SGA_EXPENSE","FQ3 2024","FQ3 2024","Currency=USD","Period=FQ","BEST_FPERIOD_OVERRIDE=FQ","FILING_STATUS=MR","SCALING_FORMAT=MLN","FA_ADJUSTED=Adjusted","Sort=A","Dates=H","DateFormat=P","Fill=—","Direction=H","UseDPDF=Y")</f>
        <v>220.99299999999999</v>
      </c>
      <c r="Y14" s="13">
        <f>_xll.BDH("ALNY US Equity","IS_SGA_EXPENSE","FQ4 2024","FQ4 2024","Currency=USD","Period=FQ","BEST_FPERIOD_OVERRIDE=FQ","FILING_STATUS=MR","SCALING_FORMAT=MLN","FA_ADJUSTED=Adjusted","Sort=A","Dates=H","DateFormat=P","Fill=—","Direction=H","UseDPDF=Y")</f>
        <v>295.339</v>
      </c>
      <c r="Z14" s="13"/>
      <c r="AA14" s="13"/>
    </row>
    <row r="15" spans="1:27" x14ac:dyDescent="0.25">
      <c r="A15" s="11" t="s">
        <v>312</v>
      </c>
      <c r="B15" s="11" t="s">
        <v>313</v>
      </c>
      <c r="C15" s="25">
        <f>_xll.BDH("ALNY US Equity","IS_GENERAL_AND_ADMINISTRATIVE","FQ2 2019","FQ2 2019","Currency=USD","Period=FQ","BEST_FPERIOD_OVERRIDE=FQ","FILING_STATUS=MR","SCALING_FORMAT=MLN","FA_ADJUSTED=Adjusted","Sort=A","Dates=H","DateFormat=P","Fill=—","Direction=H","UseDPDF=Y")</f>
        <v>112.76900000000001</v>
      </c>
      <c r="D15" s="25">
        <f>_xll.BDH("ALNY US Equity","IS_GENERAL_AND_ADMINISTRATIVE","FQ3 2019","FQ3 2019","Currency=USD","Period=FQ","BEST_FPERIOD_OVERRIDE=FQ","FILING_STATUS=MR","SCALING_FORMAT=MLN","FA_ADJUSTED=Adjusted","Sort=A","Dates=H","DateFormat=P","Fill=—","Direction=H","UseDPDF=Y")</f>
        <v>120.351</v>
      </c>
      <c r="E15" s="25" t="str">
        <f>_xll.BDH("ALNY US Equity","IS_GENERAL_AND_ADMINISTRATIVE","FQ4 2019","FQ4 2019","Currency=USD","Period=FQ","BEST_FPERIOD_OVERRIDE=FQ","FILING_STATUS=MR","SCALING_FORMAT=MLN","FA_ADJUSTED=Adjusted","Sort=A","Dates=H","DateFormat=P","Fill=—","Direction=H","UseDPDF=Y")</f>
        <v>—</v>
      </c>
      <c r="F15" s="25" t="str">
        <f>_xll.BDH("ALNY US Equity","IS_GENERAL_AND_ADMINISTRATIVE","FQ1 2020","FQ1 2020","Currency=USD","Period=FQ","BEST_FPERIOD_OVERRIDE=FQ","FILING_STATUS=MR","SCALING_FORMAT=MLN","FA_ADJUSTED=Adjusted","Sort=A","Dates=H","DateFormat=P","Fill=—","Direction=H","UseDPDF=Y")</f>
        <v>—</v>
      </c>
      <c r="G15" s="25">
        <f>_xll.BDH("ALNY US Equity","IS_GENERAL_AND_ADMINISTRATIVE","FQ2 2020","FQ2 2020","Currency=USD","Period=FQ","BEST_FPERIOD_OVERRIDE=FQ","FILING_STATUS=MR","SCALING_FORMAT=MLN","FA_ADJUSTED=Adjusted","Sort=A","Dates=H","DateFormat=P","Fill=—","Direction=H","UseDPDF=Y")</f>
        <v>127.896</v>
      </c>
      <c r="H15" s="25" t="str">
        <f>_xll.BDH("ALNY US Equity","IS_GENERAL_AND_ADMINISTRATIVE","FQ3 2020","FQ3 2020","Currency=USD","Period=FQ","BEST_FPERIOD_OVERRIDE=FQ","FILING_STATUS=MR","SCALING_FORMAT=MLN","FA_ADJUSTED=Adjusted","Sort=A","Dates=H","DateFormat=P","Fill=—","Direction=H","UseDPDF=Y")</f>
        <v>—</v>
      </c>
      <c r="I15" s="25" t="str">
        <f>_xll.BDH("ALNY US Equity","IS_GENERAL_AND_ADMINISTRATIVE","FQ4 2020","FQ4 2020","Currency=USD","Period=FQ","BEST_FPERIOD_OVERRIDE=FQ","FILING_STATUS=MR","SCALING_FORMAT=MLN","FA_ADJUSTED=Adjusted","Sort=A","Dates=H","DateFormat=P","Fill=—","Direction=H","UseDPDF=Y")</f>
        <v>—</v>
      </c>
      <c r="J15" s="25" t="str">
        <f>_xll.BDH("ALNY US Equity","IS_GENERAL_AND_ADMINISTRATIVE","FQ1 2021","FQ1 2021","Currency=USD","Period=FQ","BEST_FPERIOD_OVERRIDE=FQ","FILING_STATUS=MR","SCALING_FORMAT=MLN","FA_ADJUSTED=Adjusted","Sort=A","Dates=H","DateFormat=P","Fill=—","Direction=H","UseDPDF=Y")</f>
        <v>—</v>
      </c>
      <c r="K15" s="25" t="str">
        <f>_xll.BDH("ALNY US Equity","IS_GENERAL_AND_ADMINISTRATIVE","FQ2 2021","FQ2 2021","Currency=USD","Period=FQ","BEST_FPERIOD_OVERRIDE=FQ","FILING_STATUS=MR","SCALING_FORMAT=MLN","FA_ADJUSTED=Adjusted","Sort=A","Dates=H","DateFormat=P","Fill=—","Direction=H","UseDPDF=Y")</f>
        <v>—</v>
      </c>
      <c r="L15" s="25" t="str">
        <f>_xll.BDH("ALNY US Equity","IS_GENERAL_AND_ADMINISTRATIVE","FQ3 2021","FQ3 2021","Currency=USD","Period=FQ","BEST_FPERIOD_OVERRIDE=FQ","FILING_STATUS=MR","SCALING_FORMAT=MLN","FA_ADJUSTED=Adjusted","Sort=A","Dates=H","DateFormat=P","Fill=—","Direction=H","UseDPDF=Y")</f>
        <v>—</v>
      </c>
      <c r="M15" s="25" t="str">
        <f>_xll.BDH("ALNY US Equity","IS_GENERAL_AND_ADMINISTRATIVE","FQ4 2021","FQ4 2021","Currency=USD","Period=FQ","BEST_FPERIOD_OVERRIDE=FQ","FILING_STATUS=MR","SCALING_FORMAT=MLN","FA_ADJUSTED=Adjusted","Sort=A","Dates=H","DateFormat=P","Fill=—","Direction=H","UseDPDF=Y")</f>
        <v>—</v>
      </c>
      <c r="N15" s="25" t="str">
        <f>_xll.BDH("ALNY US Equity","IS_GENERAL_AND_ADMINISTRATIVE","FQ1 2022","FQ1 2022","Currency=USD","Period=FQ","BEST_FPERIOD_OVERRIDE=FQ","FILING_STATUS=MR","SCALING_FORMAT=MLN","FA_ADJUSTED=Adjusted","Sort=A","Dates=H","DateFormat=P","Fill=—","Direction=H","UseDPDF=Y")</f>
        <v>—</v>
      </c>
      <c r="O15" s="25" t="str">
        <f>_xll.BDH("ALNY US Equity","IS_GENERAL_AND_ADMINISTRATIVE","FQ2 2022","FQ2 2022","Currency=USD","Period=FQ","BEST_FPERIOD_OVERRIDE=FQ","FILING_STATUS=MR","SCALING_FORMAT=MLN","FA_ADJUSTED=Adjusted","Sort=A","Dates=H","DateFormat=P","Fill=—","Direction=H","UseDPDF=Y")</f>
        <v>—</v>
      </c>
      <c r="P15" s="25" t="str">
        <f>_xll.BDH("ALNY US Equity","IS_GENERAL_AND_ADMINISTRATIVE","FQ3 2022","FQ3 2022","Currency=USD","Period=FQ","BEST_FPERIOD_OVERRIDE=FQ","FILING_STATUS=MR","SCALING_FORMAT=MLN","FA_ADJUSTED=Adjusted","Sort=A","Dates=H","DateFormat=P","Fill=—","Direction=H","UseDPDF=Y")</f>
        <v>—</v>
      </c>
      <c r="Q15" s="25" t="str">
        <f>_xll.BDH("ALNY US Equity","IS_GENERAL_AND_ADMINISTRATIVE","FQ4 2022","FQ4 2022","Currency=USD","Period=FQ","BEST_FPERIOD_OVERRIDE=FQ","FILING_STATUS=MR","SCALING_FORMAT=MLN","FA_ADJUSTED=Adjusted","Sort=A","Dates=H","DateFormat=P","Fill=—","Direction=H","UseDPDF=Y")</f>
        <v>—</v>
      </c>
      <c r="R15" s="25" t="str">
        <f>_xll.BDH("ALNY US Equity","IS_GENERAL_AND_ADMINISTRATIVE","FQ1 2023","FQ1 2023","Currency=USD","Period=FQ","BEST_FPERIOD_OVERRIDE=FQ","FILING_STATUS=MR","SCALING_FORMAT=MLN","FA_ADJUSTED=Adjusted","Sort=A","Dates=H","DateFormat=P","Fill=—","Direction=H","UseDPDF=Y")</f>
        <v>—</v>
      </c>
      <c r="S15" s="25" t="str">
        <f>_xll.BDH("ALNY US Equity","IS_GENERAL_AND_ADMINISTRATIVE","FQ2 2023","FQ2 2023","Currency=USD","Period=FQ","BEST_FPERIOD_OVERRIDE=FQ","FILING_STATUS=MR","SCALING_FORMAT=MLN","FA_ADJUSTED=Adjusted","Sort=A","Dates=H","DateFormat=P","Fill=—","Direction=H","UseDPDF=Y")</f>
        <v>—</v>
      </c>
      <c r="T15" s="25" t="str">
        <f>_xll.BDH("ALNY US Equity","IS_GENERAL_AND_ADMINISTRATIVE","FQ3 2023","FQ3 2023","Currency=USD","Period=FQ","BEST_FPERIOD_OVERRIDE=FQ","FILING_STATUS=MR","SCALING_FORMAT=MLN","FA_ADJUSTED=Adjusted","Sort=A","Dates=H","DateFormat=P","Fill=—","Direction=H","UseDPDF=Y")</f>
        <v>—</v>
      </c>
      <c r="U15" s="25" t="str">
        <f>_xll.BDH("ALNY US Equity","IS_GENERAL_AND_ADMINISTRATIVE","FQ4 2023","FQ4 2023","Currency=USD","Period=FQ","BEST_FPERIOD_OVERRIDE=FQ","FILING_STATUS=MR","SCALING_FORMAT=MLN","FA_ADJUSTED=Adjusted","Sort=A","Dates=H","DateFormat=P","Fill=—","Direction=H","UseDPDF=Y")</f>
        <v>—</v>
      </c>
      <c r="V15" s="25" t="str">
        <f>_xll.BDH("ALNY US Equity","IS_GENERAL_AND_ADMINISTRATIVE","FQ1 2024","FQ1 2024","Currency=USD","Period=FQ","BEST_FPERIOD_OVERRIDE=FQ","FILING_STATUS=MR","SCALING_FORMAT=MLN","FA_ADJUSTED=Adjusted","Sort=A","Dates=H","DateFormat=P","Fill=—","Direction=H","UseDPDF=Y")</f>
        <v>—</v>
      </c>
      <c r="W15" s="25" t="str">
        <f>_xll.BDH("ALNY US Equity","IS_GENERAL_AND_ADMINISTRATIVE","FQ2 2024","FQ2 2024","Currency=USD","Period=FQ","BEST_FPERIOD_OVERRIDE=FQ","FILING_STATUS=MR","SCALING_FORMAT=MLN","FA_ADJUSTED=Adjusted","Sort=A","Dates=H","DateFormat=P","Fill=—","Direction=H","UseDPDF=Y")</f>
        <v>—</v>
      </c>
      <c r="X15" s="25" t="str">
        <f>_xll.BDH("ALNY US Equity","IS_GENERAL_AND_ADMINISTRATIVE","FQ3 2024","FQ3 2024","Currency=USD","Period=FQ","BEST_FPERIOD_OVERRIDE=FQ","FILING_STATUS=MR","SCALING_FORMAT=MLN","FA_ADJUSTED=Adjusted","Sort=A","Dates=H","DateFormat=P","Fill=—","Direction=H","UseDPDF=Y")</f>
        <v>—</v>
      </c>
      <c r="Y15" s="25" t="str">
        <f>_xll.BDH("ALNY US Equity","IS_GENERAL_AND_ADMINISTRATIVE","FQ4 2024","FQ4 2024","Currency=USD","Period=FQ","BEST_FPERIOD_OVERRIDE=FQ","FILING_STATUS=MR","SCALING_FORMAT=MLN","FA_ADJUSTED=Adjusted","Sort=A","Dates=H","DateFormat=P","Fill=—","Direction=H","UseDPDF=Y")</f>
        <v>—</v>
      </c>
      <c r="Z15" s="25"/>
      <c r="AA15" s="25"/>
    </row>
    <row r="16" spans="1:27" x14ac:dyDescent="0.25">
      <c r="A16" s="10" t="s">
        <v>314</v>
      </c>
      <c r="B16" s="10" t="s">
        <v>315</v>
      </c>
      <c r="C16" s="13">
        <f>_xll.BDH("ALNY US Equity","IS_OPERATING_EXPENSES_RD","FQ2 2019","FQ2 2019","Currency=USD","Period=FQ","BEST_FPERIOD_OVERRIDE=FQ","FILING_STATUS=MR","SCALING_FORMAT=MLN","Sort=A","Dates=H","DateFormat=P","Fill=—","Direction=H","UseDPDF=Y")</f>
        <v>163.89</v>
      </c>
      <c r="D16" s="13">
        <f>_xll.BDH("ALNY US Equity","IS_OPERATING_EXPENSES_RD","FQ3 2019","FQ3 2019","Currency=USD","Period=FQ","BEST_FPERIOD_OVERRIDE=FQ","FILING_STATUS=MR","SCALING_FORMAT=MLN","Sort=A","Dates=H","DateFormat=P","Fill=—","Direction=H","UseDPDF=Y")</f>
        <v>160.79599999999999</v>
      </c>
      <c r="E16" s="13">
        <f>_xll.BDH("ALNY US Equity","IS_OPERATING_EXPENSES_RD","FQ4 2019","FQ4 2019","Currency=USD","Period=FQ","BEST_FPERIOD_OVERRIDE=FQ","FILING_STATUS=MR","SCALING_FORMAT=MLN","Sort=A","Dates=H","DateFormat=P","Fill=—","Direction=H","UseDPDF=Y")</f>
        <v>201.30099999999999</v>
      </c>
      <c r="F16" s="13">
        <f>_xll.BDH("ALNY US Equity","IS_OPERATING_EXPENSES_RD","FQ1 2020","FQ1 2020","Currency=USD","Period=FQ","BEST_FPERIOD_OVERRIDE=FQ","FILING_STATUS=MR","SCALING_FORMAT=MLN","Sort=A","Dates=H","DateFormat=P","Fill=—","Direction=H","UseDPDF=Y")</f>
        <v>169.571</v>
      </c>
      <c r="G16" s="13">
        <f>_xll.BDH("ALNY US Equity","IS_OPERATING_EXPENSES_RD","FQ2 2020","FQ2 2020","Currency=USD","Period=FQ","BEST_FPERIOD_OVERRIDE=FQ","FILING_STATUS=MR","SCALING_FORMAT=MLN","Sort=A","Dates=H","DateFormat=P","Fill=—","Direction=H","UseDPDF=Y")</f>
        <v>154.99600000000001</v>
      </c>
      <c r="H16" s="13">
        <f>_xll.BDH("ALNY US Equity","IS_OPERATING_EXPENSES_RD","FQ3 2020","FQ3 2020","Currency=USD","Period=FQ","BEST_FPERIOD_OVERRIDE=FQ","FILING_STATUS=MR","SCALING_FORMAT=MLN","Sort=A","Dates=H","DateFormat=P","Fill=—","Direction=H","UseDPDF=Y")</f>
        <v>161.78299999999999</v>
      </c>
      <c r="I16" s="13">
        <f>_xll.BDH("ALNY US Equity","IS_OPERATING_EXPENSES_RD","FQ4 2020","FQ4 2020","Currency=USD","Period=FQ","BEST_FPERIOD_OVERRIDE=FQ","FILING_STATUS=MR","SCALING_FORMAT=MLN","Sort=A","Dates=H","DateFormat=P","Fill=—","Direction=H","UseDPDF=Y")</f>
        <v>168.46899999999999</v>
      </c>
      <c r="J16" s="13">
        <f>_xll.BDH("ALNY US Equity","IS_OPERATING_EXPENSES_RD","FQ1 2021","FQ1 2021","Currency=USD","Period=FQ","BEST_FPERIOD_OVERRIDE=FQ","FILING_STATUS=MR","SCALING_FORMAT=MLN","Sort=A","Dates=H","DateFormat=P","Fill=—","Direction=H","UseDPDF=Y")</f>
        <v>185.899</v>
      </c>
      <c r="K16" s="13">
        <f>_xll.BDH("ALNY US Equity","IS_OPERATING_EXPENSES_RD","FQ2 2021","FQ2 2021","Currency=USD","Period=FQ","BEST_FPERIOD_OVERRIDE=FQ","FILING_STATUS=MR","SCALING_FORMAT=MLN","Sort=A","Dates=H","DateFormat=P","Fill=—","Direction=H","UseDPDF=Y")</f>
        <v>182.63499999999999</v>
      </c>
      <c r="L16" s="13">
        <f>_xll.BDH("ALNY US Equity","IS_OPERATING_EXPENSES_RD","FQ3 2021","FQ3 2021","Currency=USD","Period=FQ","BEST_FPERIOD_OVERRIDE=FQ","FILING_STATUS=MR","SCALING_FORMAT=MLN","Sort=A","Dates=H","DateFormat=P","Fill=—","Direction=H","UseDPDF=Y")</f>
        <v>194.572</v>
      </c>
      <c r="M16" s="13">
        <f>_xll.BDH("ALNY US Equity","IS_OPERATING_EXPENSES_RD","FQ4 2021","FQ4 2021","Currency=USD","Period=FQ","BEST_FPERIOD_OVERRIDE=FQ","FILING_STATUS=MR","SCALING_FORMAT=MLN","Sort=A","Dates=H","DateFormat=P","Fill=—","Direction=H","UseDPDF=Y")</f>
        <v>229.05</v>
      </c>
      <c r="N16" s="13">
        <f>_xll.BDH("ALNY US Equity","IS_OPERATING_EXPENSES_RD","FQ1 2022","FQ1 2022","Currency=USD","Period=FQ","BEST_FPERIOD_OVERRIDE=FQ","FILING_STATUS=MR","SCALING_FORMAT=MLN","Sort=A","Dates=H","DateFormat=P","Fill=—","Direction=H","UseDPDF=Y")</f>
        <v>169.893</v>
      </c>
      <c r="O16" s="13">
        <f>_xll.BDH("ALNY US Equity","IS_OPERATING_EXPENSES_RD","FQ2 2022","FQ2 2022","Currency=USD","Period=FQ","BEST_FPERIOD_OVERRIDE=FQ","FILING_STATUS=MR","SCALING_FORMAT=MLN","Sort=A","Dates=H","DateFormat=P","Fill=—","Direction=H","UseDPDF=Y")</f>
        <v>205.71199999999999</v>
      </c>
      <c r="P16" s="13">
        <f>_xll.BDH("ALNY US Equity","IS_OPERATING_EXPENSES_RD","FQ3 2022","FQ3 2022","Currency=USD","Period=FQ","BEST_FPERIOD_OVERRIDE=FQ","FILING_STATUS=MR","SCALING_FORMAT=MLN","Sort=A","Dates=H","DateFormat=P","Fill=—","Direction=H","UseDPDF=Y")</f>
        <v>245.37100000000001</v>
      </c>
      <c r="Q16" s="13">
        <f>_xll.BDH("ALNY US Equity","IS_OPERATING_EXPENSES_RD","FQ4 2022","FQ4 2022","Currency=USD","Period=FQ","BEST_FPERIOD_OVERRIDE=FQ","FILING_STATUS=MR","SCALING_FORMAT=MLN","Sort=A","Dates=H","DateFormat=P","Fill=—","Direction=H","UseDPDF=Y")</f>
        <v>262.03899999999999</v>
      </c>
      <c r="R16" s="13">
        <f>_xll.BDH("ALNY US Equity","IS_OPERATING_EXPENSES_RD","FQ1 2023","FQ1 2023","Currency=USD","Period=FQ","BEST_FPERIOD_OVERRIDE=FQ","FILING_STATUS=MR","SCALING_FORMAT=MLN","Sort=A","Dates=H","DateFormat=P","Fill=—","Direction=H","UseDPDF=Y")</f>
        <v>230.56899999999999</v>
      </c>
      <c r="S16" s="13">
        <f>_xll.BDH("ALNY US Equity","IS_OPERATING_EXPENSES_RD","FQ2 2023","FQ2 2023","Currency=USD","Period=FQ","BEST_FPERIOD_OVERRIDE=FQ","FILING_STATUS=MR","SCALING_FORMAT=MLN","Sort=A","Dates=H","DateFormat=P","Fill=—","Direction=H","UseDPDF=Y")</f>
        <v>248.52600000000001</v>
      </c>
      <c r="T16" s="13">
        <f>_xll.BDH("ALNY US Equity","IS_OPERATING_EXPENSES_RD","FQ3 2023","FQ3 2023","Currency=USD","Period=FQ","BEST_FPERIOD_OVERRIDE=FQ","FILING_STATUS=MR","SCALING_FORMAT=MLN","Sort=A","Dates=H","DateFormat=P","Fill=—","Direction=H","UseDPDF=Y")</f>
        <v>253.179</v>
      </c>
      <c r="U16" s="13">
        <f>_xll.BDH("ALNY US Equity","IS_OPERATING_EXPENSES_RD","FQ4 2023","FQ4 2023","Currency=USD","Period=FQ","BEST_FPERIOD_OVERRIDE=FQ","FILING_STATUS=MR","SCALING_FORMAT=MLN","Sort=A","Dates=H","DateFormat=P","Fill=—","Direction=H","UseDPDF=Y")</f>
        <v>272.14100000000002</v>
      </c>
      <c r="V16" s="13">
        <f>_xll.BDH("ALNY US Equity","IS_OPERATING_EXPENSES_RD","FQ1 2024","FQ1 2024","Currency=USD","Period=FQ","BEST_FPERIOD_OVERRIDE=FQ","FILING_STATUS=MR","SCALING_FORMAT=MLN","Sort=A","Dates=H","DateFormat=P","Fill=—","Direction=H","UseDPDF=Y")</f>
        <v>260.995</v>
      </c>
      <c r="W16" s="13">
        <f>_xll.BDH("ALNY US Equity","IS_OPERATING_EXPENSES_RD","FQ2 2024","FQ2 2024","Currency=USD","Period=FQ","BEST_FPERIOD_OVERRIDE=FQ","FILING_STATUS=MR","SCALING_FORMAT=MLN","Sort=A","Dates=H","DateFormat=P","Fill=—","Direction=H","UseDPDF=Y")</f>
        <v>294.142</v>
      </c>
      <c r="X16" s="13">
        <f>_xll.BDH("ALNY US Equity","IS_OPERATING_EXPENSES_RD","FQ3 2024","FQ3 2024","Currency=USD","Period=FQ","BEST_FPERIOD_OVERRIDE=FQ","FILING_STATUS=MR","SCALING_FORMAT=MLN","Sort=A","Dates=H","DateFormat=P","Fill=—","Direction=H","UseDPDF=Y")</f>
        <v>270.92599999999999</v>
      </c>
      <c r="Y16" s="13">
        <f>_xll.BDH("ALNY US Equity","IS_OPERATING_EXPENSES_RD","FQ4 2024","FQ4 2024","Currency=USD","Period=FQ","BEST_FPERIOD_OVERRIDE=FQ","FILING_STATUS=MR","SCALING_FORMAT=MLN","Sort=A","Dates=H","DateFormat=P","Fill=—","Direction=H","UseDPDF=Y")</f>
        <v>300.16899999999998</v>
      </c>
      <c r="Z16" s="13"/>
      <c r="AA16" s="13"/>
    </row>
    <row r="17" spans="1:27" x14ac:dyDescent="0.25">
      <c r="A17" s="10" t="s">
        <v>316</v>
      </c>
      <c r="B17" s="10" t="s">
        <v>317</v>
      </c>
      <c r="C17" s="13">
        <f>_xll.BDH("ALNY US Equity","IS_OTHER_OPERATING_EXPENSES","FQ2 2019","FQ2 2019","Currency=USD","Period=FQ","BEST_FPERIOD_OVERRIDE=FQ","FILING_STATUS=MR","SCALING_FORMAT=MLN","FA_ADJUSTED=Adjusted","Sort=A","Dates=H","DateFormat=P","Fill=—","Direction=H","UseDPDF=Y")</f>
        <v>0</v>
      </c>
      <c r="D17" s="13">
        <f>_xll.BDH("ALNY US Equity","IS_OTHER_OPERATING_EXPENSES","FQ3 2019","FQ3 2019","Currency=USD","Period=FQ","BEST_FPERIOD_OVERRIDE=FQ","FILING_STATUS=MR","SCALING_FORMAT=MLN","FA_ADJUSTED=Adjusted","Sort=A","Dates=H","DateFormat=P","Fill=—","Direction=H","UseDPDF=Y")</f>
        <v>0</v>
      </c>
      <c r="E17" s="13">
        <f>_xll.BDH("ALNY US Equity","IS_OTHER_OPERATING_EXPENSES","FQ4 2019","FQ4 2019","Currency=USD","Period=FQ","BEST_FPERIOD_OVERRIDE=FQ","FILING_STATUS=MR","SCALING_FORMAT=MLN","FA_ADJUSTED=Adjusted","Sort=A","Dates=H","DateFormat=P","Fill=—","Direction=H","UseDPDF=Y")</f>
        <v>0</v>
      </c>
      <c r="F17" s="13">
        <f>_xll.BDH("ALNY US Equity","IS_OTHER_OPERATING_EXPENSES","FQ1 2020","FQ1 2020","Currency=USD","Period=FQ","BEST_FPERIOD_OVERRIDE=FQ","FILING_STATUS=MR","SCALING_FORMAT=MLN","FA_ADJUSTED=Adjusted","Sort=A","Dates=H","DateFormat=P","Fill=—","Direction=H","UseDPDF=Y")</f>
        <v>0</v>
      </c>
      <c r="G17" s="13">
        <f>_xll.BDH("ALNY US Equity","IS_OTHER_OPERATING_EXPENSES","FQ2 2020","FQ2 2020","Currency=USD","Period=FQ","BEST_FPERIOD_OVERRIDE=FQ","FILING_STATUS=MR","SCALING_FORMAT=MLN","FA_ADJUSTED=Adjusted","Sort=A","Dates=H","DateFormat=P","Fill=—","Direction=H","UseDPDF=Y")</f>
        <v>0.81269999999999998</v>
      </c>
      <c r="H17" s="13">
        <f>_xll.BDH("ALNY US Equity","IS_OTHER_OPERATING_EXPENSES","FQ3 2020","FQ3 2020","Currency=USD","Period=FQ","BEST_FPERIOD_OVERRIDE=FQ","FILING_STATUS=MR","SCALING_FORMAT=MLN","FA_ADJUSTED=Adjusted","Sort=A","Dates=H","DateFormat=P","Fill=—","Direction=H","UseDPDF=Y")</f>
        <v>-29.413</v>
      </c>
      <c r="I17" s="13">
        <f>_xll.BDH("ALNY US Equity","IS_OTHER_OPERATING_EXPENSES","FQ4 2020","FQ4 2020","Currency=USD","Period=FQ","BEST_FPERIOD_OVERRIDE=FQ","FILING_STATUS=MR","SCALING_FORMAT=MLN","FA_ADJUSTED=Adjusted","Sort=A","Dates=H","DateFormat=P","Fill=—","Direction=H","UseDPDF=Y")</f>
        <v>-10.215999999999999</v>
      </c>
      <c r="J17" s="13">
        <f>_xll.BDH("ALNY US Equity","IS_OTHER_OPERATING_EXPENSES","FQ1 2021","FQ1 2021","Currency=USD","Period=FQ","BEST_FPERIOD_OVERRIDE=FQ","FILING_STATUS=MR","SCALING_FORMAT=MLN","FA_ADJUSTED=Adjusted","Sort=A","Dates=H","DateFormat=P","Fill=—","Direction=H","UseDPDF=Y")</f>
        <v>0</v>
      </c>
      <c r="K17" s="13">
        <f>_xll.BDH("ALNY US Equity","IS_OTHER_OPERATING_EXPENSES","FQ2 2021","FQ2 2021","Currency=USD","Period=FQ","BEST_FPERIOD_OVERRIDE=FQ","FILING_STATUS=MR","SCALING_FORMAT=MLN","FA_ADJUSTED=Adjusted","Sort=A","Dates=H","DateFormat=P","Fill=—","Direction=H","UseDPDF=Y")</f>
        <v>0</v>
      </c>
      <c r="L17" s="13">
        <f>_xll.BDH("ALNY US Equity","IS_OTHER_OPERATING_EXPENSES","FQ3 2021","FQ3 2021","Currency=USD","Period=FQ","BEST_FPERIOD_OVERRIDE=FQ","FILING_STATUS=MR","SCALING_FORMAT=MLN","FA_ADJUSTED=Adjusted","Sort=A","Dates=H","DateFormat=P","Fill=—","Direction=H","UseDPDF=Y")</f>
        <v>-10</v>
      </c>
      <c r="M17" s="13">
        <f>_xll.BDH("ALNY US Equity","IS_OTHER_OPERATING_EXPENSES","FQ4 2021","FQ4 2021","Currency=USD","Period=FQ","BEST_FPERIOD_OVERRIDE=FQ","FILING_STATUS=MR","SCALING_FORMAT=MLN","FA_ADJUSTED=Adjusted","Sort=A","Dates=H","DateFormat=P","Fill=—","Direction=H","UseDPDF=Y")</f>
        <v>0</v>
      </c>
      <c r="N17" s="13">
        <f>_xll.BDH("ALNY US Equity","IS_OTHER_OPERATING_EXPENSES","FQ1 2022","FQ1 2022","Currency=USD","Period=FQ","BEST_FPERIOD_OVERRIDE=FQ","FILING_STATUS=MR","SCALING_FORMAT=MLN","FA_ADJUSTED=Adjusted","Sort=A","Dates=H","DateFormat=P","Fill=—","Direction=H","UseDPDF=Y")</f>
        <v>0</v>
      </c>
      <c r="O17" s="13">
        <f>_xll.BDH("ALNY US Equity","IS_OTHER_OPERATING_EXPENSES","FQ2 2022","FQ2 2022","Currency=USD","Period=FQ","BEST_FPERIOD_OVERRIDE=FQ","FILING_STATUS=MR","SCALING_FORMAT=MLN","FA_ADJUSTED=Adjusted","Sort=A","Dates=H","DateFormat=P","Fill=—","Direction=H","UseDPDF=Y")</f>
        <v>0</v>
      </c>
      <c r="P17" s="13">
        <f>_xll.BDH("ALNY US Equity","IS_OTHER_OPERATING_EXPENSES","FQ3 2022","FQ3 2022","Currency=USD","Period=FQ","BEST_FPERIOD_OVERRIDE=FQ","FILING_STATUS=MR","SCALING_FORMAT=MLN","FA_ADJUSTED=Adjusted","Sort=A","Dates=H","DateFormat=P","Fill=—","Direction=H","UseDPDF=Y")</f>
        <v>0</v>
      </c>
      <c r="Q17" s="13">
        <f>_xll.BDH("ALNY US Equity","IS_OTHER_OPERATING_EXPENSES","FQ4 2022","FQ4 2022","Currency=USD","Period=FQ","BEST_FPERIOD_OVERRIDE=FQ","FILING_STATUS=MR","SCALING_FORMAT=MLN","FA_ADJUSTED=Adjusted","Sort=A","Dates=H","DateFormat=P","Fill=—","Direction=H","UseDPDF=Y")</f>
        <v>0</v>
      </c>
      <c r="R17" s="13">
        <f>_xll.BDH("ALNY US Equity","IS_OTHER_OPERATING_EXPENSES","FQ1 2023","FQ1 2023","Currency=USD","Period=FQ","BEST_FPERIOD_OVERRIDE=FQ","FILING_STATUS=MR","SCALING_FORMAT=MLN","FA_ADJUSTED=Adjusted","Sort=A","Dates=H","DateFormat=P","Fill=—","Direction=H","UseDPDF=Y")</f>
        <v>0</v>
      </c>
      <c r="S17" s="13">
        <f>_xll.BDH("ALNY US Equity","IS_OTHER_OPERATING_EXPENSES","FQ2 2023","FQ2 2023","Currency=USD","Period=FQ","BEST_FPERIOD_OVERRIDE=FQ","FILING_STATUS=MR","SCALING_FORMAT=MLN","FA_ADJUSTED=Adjusted","Sort=A","Dates=H","DateFormat=P","Fill=—","Direction=H","UseDPDF=Y")</f>
        <v>0</v>
      </c>
      <c r="T17" s="13">
        <f>_xll.BDH("ALNY US Equity","IS_OTHER_OPERATING_EXPENSES","FQ3 2023","FQ3 2023","Currency=USD","Period=FQ","BEST_FPERIOD_OVERRIDE=FQ","FILING_STATUS=MR","SCALING_FORMAT=MLN","FA_ADJUSTED=Adjusted","Sort=A","Dates=H","DateFormat=P","Fill=—","Direction=H","UseDPDF=Y")</f>
        <v>0</v>
      </c>
      <c r="U17" s="13">
        <f>_xll.BDH("ALNY US Equity","IS_OTHER_OPERATING_EXPENSES","FQ4 2023","FQ4 2023","Currency=USD","Period=FQ","BEST_FPERIOD_OVERRIDE=FQ","FILING_STATUS=MR","SCALING_FORMAT=MLN","FA_ADJUSTED=Adjusted","Sort=A","Dates=H","DateFormat=P","Fill=—","Direction=H","UseDPDF=Y")</f>
        <v>0</v>
      </c>
      <c r="V17" s="13">
        <f>_xll.BDH("ALNY US Equity","IS_OTHER_OPERATING_EXPENSES","FQ1 2024","FQ1 2024","Currency=USD","Period=FQ","BEST_FPERIOD_OVERRIDE=FQ","FILING_STATUS=MR","SCALING_FORMAT=MLN","FA_ADJUSTED=Adjusted","Sort=A","Dates=H","DateFormat=P","Fill=—","Direction=H","UseDPDF=Y")</f>
        <v>0</v>
      </c>
      <c r="W17" s="13">
        <f>_xll.BDH("ALNY US Equity","IS_OTHER_OPERATING_EXPENSES","FQ2 2024","FQ2 2024","Currency=USD","Period=FQ","BEST_FPERIOD_OVERRIDE=FQ","FILING_STATUS=MR","SCALING_FORMAT=MLN","FA_ADJUSTED=Adjusted","Sort=A","Dates=H","DateFormat=P","Fill=—","Direction=H","UseDPDF=Y")</f>
        <v>0</v>
      </c>
      <c r="X17" s="13">
        <f>_xll.BDH("ALNY US Equity","IS_OTHER_OPERATING_EXPENSES","FQ3 2024","FQ3 2024","Currency=USD","Period=FQ","BEST_FPERIOD_OVERRIDE=FQ","FILING_STATUS=MR","SCALING_FORMAT=MLN","FA_ADJUSTED=Adjusted","Sort=A","Dates=H","DateFormat=P","Fill=—","Direction=H","UseDPDF=Y")</f>
        <v>0</v>
      </c>
      <c r="Y17" s="13">
        <f>_xll.BDH("ALNY US Equity","IS_OTHER_OPERATING_EXPENSES","FQ4 2024","FQ4 2024","Currency=USD","Period=FQ","BEST_FPERIOD_OVERRIDE=FQ","FILING_STATUS=MR","SCALING_FORMAT=MLN","FA_ADJUSTED=Adjusted","Sort=A","Dates=H","DateFormat=P","Fill=—","Direction=H","UseDPDF=Y")</f>
        <v>0</v>
      </c>
      <c r="Z17" s="13"/>
      <c r="AA17" s="13"/>
    </row>
    <row r="18" spans="1:27" x14ac:dyDescent="0.25">
      <c r="A18" s="6" t="s">
        <v>318</v>
      </c>
      <c r="B18" s="6" t="s">
        <v>99</v>
      </c>
      <c r="C18" s="19">
        <f>_xll.BDH("ALNY US Equity","IS_OPER_INC","FQ2 2019","FQ2 2019","Currency=USD","Period=FQ","BEST_FPERIOD_OVERRIDE=FQ","FILING_STATUS=MR","SCALING_FORMAT=MLN","FA_ADJUSTED=Adjusted","Sort=A","Dates=H","DateFormat=P","Fill=—","Direction=H","UseDPDF=Y")</f>
        <v>-236.27099999999999</v>
      </c>
      <c r="D18" s="19">
        <f>_xll.BDH("ALNY US Equity","IS_OPER_INC","FQ3 2019","FQ3 2019","Currency=USD","Period=FQ","BEST_FPERIOD_OVERRIDE=FQ","FILING_STATUS=MR","SCALING_FORMAT=MLN","FA_ADJUSTED=Adjusted","Sort=A","Dates=H","DateFormat=P","Fill=—","Direction=H","UseDPDF=Y")</f>
        <v>-216.29900000000001</v>
      </c>
      <c r="E18" s="19">
        <f>_xll.BDH("ALNY US Equity","IS_OPER_INC","FQ4 2019","FQ4 2019","Currency=USD","Period=FQ","BEST_FPERIOD_OVERRIDE=FQ","FILING_STATUS=MR","SCALING_FORMAT=MLN","FA_ADJUSTED=Adjusted","Sort=A","Dates=H","DateFormat=P","Fill=—","Direction=H","UseDPDF=Y")</f>
        <v>-298.07299999999998</v>
      </c>
      <c r="F18" s="19">
        <f>_xll.BDH("ALNY US Equity","IS_OPER_INC","FQ1 2020","FQ1 2020","Currency=USD","Period=FQ","BEST_FPERIOD_OVERRIDE=FQ","FILING_STATUS=MR","SCALING_FORMAT=MLN","FA_ADJUSTED=Adjusted","Sort=A","Dates=H","DateFormat=P","Fill=—","Direction=H","UseDPDF=Y")</f>
        <v>-210.15799999999999</v>
      </c>
      <c r="G18" s="19">
        <f>_xll.BDH("ALNY US Equity","IS_OPER_INC","FQ2 2020","FQ2 2020","Currency=USD","Period=FQ","BEST_FPERIOD_OVERRIDE=FQ","FILING_STATUS=MR","SCALING_FORMAT=MLN","FA_ADJUSTED=Adjusted","Sort=A","Dates=H","DateFormat=P","Fill=—","Direction=H","UseDPDF=Y")</f>
        <v>-199.67169999999999</v>
      </c>
      <c r="H18" s="19">
        <f>_xll.BDH("ALNY US Equity","IS_OPER_INC","FQ3 2020","FQ3 2020","Currency=USD","Period=FQ","BEST_FPERIOD_OVERRIDE=FQ","FILING_STATUS=MR","SCALING_FORMAT=MLN","FA_ADJUSTED=Adjusted","Sort=A","Dates=H","DateFormat=P","Fill=—","Direction=H","UseDPDF=Y")</f>
        <v>-195.786</v>
      </c>
      <c r="I18" s="19">
        <f>_xll.BDH("ALNY US Equity","IS_OPER_INC","FQ4 2020","FQ4 2020","Currency=USD","Period=FQ","BEST_FPERIOD_OVERRIDE=FQ","FILING_STATUS=MR","SCALING_FORMAT=MLN","FA_ADJUSTED=Adjusted","Sort=A","Dates=H","DateFormat=P","Fill=—","Direction=H","UseDPDF=Y")</f>
        <v>-184.006</v>
      </c>
      <c r="J18" s="19">
        <f>_xll.BDH("ALNY US Equity","IS_OPER_INC","FQ1 2021","FQ1 2021","Currency=USD","Period=FQ","BEST_FPERIOD_OVERRIDE=FQ","FILING_STATUS=MR","SCALING_FORMAT=MLN","FA_ADJUSTED=Adjusted","Sort=A","Dates=H","DateFormat=P","Fill=—","Direction=H","UseDPDF=Y")</f>
        <v>-186.25399999999999</v>
      </c>
      <c r="K18" s="19">
        <f>_xll.BDH("ALNY US Equity","IS_OPER_INC","FQ2 2021","FQ2 2021","Currency=USD","Period=FQ","BEST_FPERIOD_OVERRIDE=FQ","FILING_STATUS=MR","SCALING_FORMAT=MLN","FA_ADJUSTED=Adjusted","Sort=A","Dates=H","DateFormat=P","Fill=—","Direction=H","UseDPDF=Y")</f>
        <v>-146.16</v>
      </c>
      <c r="L18" s="19">
        <f>_xll.BDH("ALNY US Equity","IS_OPER_INC","FQ3 2021","FQ3 2021","Currency=USD","Period=FQ","BEST_FPERIOD_OVERRIDE=FQ","FILING_STATUS=MR","SCALING_FORMAT=MLN","FA_ADJUSTED=Adjusted","Sort=A","Dates=H","DateFormat=P","Fill=—","Direction=H","UseDPDF=Y")</f>
        <v>-171.67699999999999</v>
      </c>
      <c r="M18" s="19">
        <f>_xll.BDH("ALNY US Equity","IS_OPER_INC","FQ4 2021","FQ4 2021","Currency=USD","Period=FQ","BEST_FPERIOD_OVERRIDE=FQ","FILING_STATUS=MR","SCALING_FORMAT=MLN","FA_ADJUSTED=Adjusted","Sort=A","Dates=H","DateFormat=P","Fill=—","Direction=H","UseDPDF=Y")</f>
        <v>-194.56100000000001</v>
      </c>
      <c r="N18" s="19">
        <f>_xll.BDH("ALNY US Equity","IS_OPER_INC","FQ1 2022","FQ1 2022","Currency=USD","Period=FQ","BEST_FPERIOD_OVERRIDE=FQ","FILING_STATUS=MR","SCALING_FORMAT=MLN","FA_ADJUSTED=Adjusted","Sort=A","Dates=H","DateFormat=P","Fill=—","Direction=H","UseDPDF=Y")</f>
        <v>-146.732</v>
      </c>
      <c r="O18" s="19">
        <f>_xll.BDH("ALNY US Equity","IS_OPER_INC","FQ2 2022","FQ2 2022","Currency=USD","Period=FQ","BEST_FPERIOD_OVERRIDE=FQ","FILING_STATUS=MR","SCALING_FORMAT=MLN","FA_ADJUSTED=Adjusted","Sort=A","Dates=H","DateFormat=P","Fill=—","Direction=H","UseDPDF=Y")</f>
        <v>-191.68600000000001</v>
      </c>
      <c r="P18" s="19">
        <f>_xll.BDH("ALNY US Equity","IS_OPER_INC","FQ3 2022","FQ3 2022","Currency=USD","Period=FQ","BEST_FPERIOD_OVERRIDE=FQ","FILING_STATUS=MR","SCALING_FORMAT=MLN","FA_ADJUSTED=Adjusted","Sort=A","Dates=H","DateFormat=P","Fill=—","Direction=H","UseDPDF=Y")</f>
        <v>-258.04000000000002</v>
      </c>
      <c r="Q18" s="19">
        <f>_xll.BDH("ALNY US Equity","IS_OPER_INC","FQ4 2022","FQ4 2022","Currency=USD","Period=FQ","BEST_FPERIOD_OVERRIDE=FQ","FILING_STATUS=MR","SCALING_FORMAT=MLN","FA_ADJUSTED=Adjusted","Sort=A","Dates=H","DateFormat=P","Fill=—","Direction=H","UseDPDF=Y")</f>
        <v>-188.614</v>
      </c>
      <c r="R18" s="19">
        <f>_xll.BDH("ALNY US Equity","IS_OPER_INC","FQ1 2023","FQ1 2023","Currency=USD","Period=FQ","BEST_FPERIOD_OVERRIDE=FQ","FILING_STATUS=MR","SCALING_FORMAT=MLN","FA_ADJUSTED=Adjusted","Sort=A","Dates=H","DateFormat=P","Fill=—","Direction=H","UseDPDF=Y")</f>
        <v>-149.80699999999999</v>
      </c>
      <c r="S18" s="19">
        <f>_xll.BDH("ALNY US Equity","IS_OPER_INC","FQ2 2023","FQ2 2023","Currency=USD","Period=FQ","BEST_FPERIOD_OVERRIDE=FQ","FILING_STATUS=MR","SCALING_FORMAT=MLN","FA_ADJUSTED=Adjusted","Sort=A","Dates=H","DateFormat=P","Fill=—","Direction=H","UseDPDF=Y")</f>
        <v>-229.83099999999999</v>
      </c>
      <c r="T18" s="19">
        <f>_xll.BDH("ALNY US Equity","IS_OPER_INC","FQ3 2023","FQ3 2023","Currency=USD","Period=FQ","BEST_FPERIOD_OVERRIDE=FQ","FILING_STATUS=MR","SCALING_FORMAT=MLN","FA_ADJUSTED=Adjusted","Sort=A","Dates=H","DateFormat=P","Fill=—","Direction=H","UseDPDF=Y")</f>
        <v>213.86699999999999</v>
      </c>
      <c r="U18" s="19">
        <f>_xll.BDH("ALNY US Equity","IS_OPER_INC","FQ4 2023","FQ4 2023","Currency=USD","Period=FQ","BEST_FPERIOD_OVERRIDE=FQ","FILING_STATUS=MR","SCALING_FORMAT=MLN","FA_ADJUSTED=Adjusted","Sort=A","Dates=H","DateFormat=P","Fill=—","Direction=H","UseDPDF=Y")</f>
        <v>-116.404</v>
      </c>
      <c r="V18" s="19">
        <f>_xll.BDH("ALNY US Equity","IS_OPER_INC","FQ1 2024","FQ1 2024","Currency=USD","Period=FQ","BEST_FPERIOD_OVERRIDE=FQ","FILING_STATUS=MR","SCALING_FORMAT=MLN","FA_ADJUSTED=Adjusted","Sort=A","Dates=H","DateFormat=P","Fill=—","Direction=H","UseDPDF=Y")</f>
        <v>-43.435000000000002</v>
      </c>
      <c r="W18" s="19">
        <f>_xll.BDH("ALNY US Equity","IS_OPER_INC","FQ2 2024","FQ2 2024","Currency=USD","Period=FQ","BEST_FPERIOD_OVERRIDE=FQ","FILING_STATUS=MR","SCALING_FORMAT=MLN","FA_ADJUSTED=Adjusted","Sort=A","Dates=H","DateFormat=P","Fill=—","Direction=H","UseDPDF=Y")</f>
        <v>48.613999999999997</v>
      </c>
      <c r="X18" s="19">
        <f>_xll.BDH("ALNY US Equity","IS_OPER_INC","FQ3 2024","FQ3 2024","Currency=USD","Period=FQ","BEST_FPERIOD_OVERRIDE=FQ","FILING_STATUS=MR","SCALING_FORMAT=MLN","FA_ADJUSTED=Adjusted","Sort=A","Dates=H","DateFormat=P","Fill=—","Direction=H","UseDPDF=Y")</f>
        <v>-76.905000000000001</v>
      </c>
      <c r="Y18" s="19">
        <f>_xll.BDH("ALNY US Equity","IS_OPER_INC","FQ4 2024","FQ4 2024","Currency=USD","Period=FQ","BEST_FPERIOD_OVERRIDE=FQ","FILING_STATUS=MR","SCALING_FORMAT=MLN","FA_ADJUSTED=Adjusted","Sort=A","Dates=H","DateFormat=P","Fill=—","Direction=H","UseDPDF=Y")</f>
        <v>-105.15900000000001</v>
      </c>
      <c r="Z18" s="19">
        <v>-77.468999999999994</v>
      </c>
      <c r="AA18" s="19">
        <v>-73.013000000000005</v>
      </c>
    </row>
    <row r="19" spans="1:27" x14ac:dyDescent="0.25">
      <c r="A19" s="10" t="s">
        <v>319</v>
      </c>
      <c r="B19" s="10" t="s">
        <v>320</v>
      </c>
      <c r="C19" s="13">
        <f>_xll.BDH("ALNY US Equity","IS_NONOP_INCOME_LOSS","FQ2 2019","FQ2 2019","Currency=USD","Period=FQ","BEST_FPERIOD_OVERRIDE=FQ","FILING_STATUS=MR","SCALING_FORMAT=MLN","FA_ADJUSTED=Adjusted","Sort=A","Dates=H","DateFormat=P","Fill=—","Direction=H","UseDPDF=Y")</f>
        <v>-8.3279999999999994</v>
      </c>
      <c r="D19" s="13">
        <f>_xll.BDH("ALNY US Equity","IS_NONOP_INCOME_LOSS","FQ3 2019","FQ3 2019","Currency=USD","Period=FQ","BEST_FPERIOD_OVERRIDE=FQ","FILING_STATUS=MR","SCALING_FORMAT=MLN","FA_ADJUSTED=Adjusted","Sort=A","Dates=H","DateFormat=P","Fill=—","Direction=H","UseDPDF=Y")</f>
        <v>-7.37</v>
      </c>
      <c r="E19" s="13">
        <f>_xll.BDH("ALNY US Equity","IS_NONOP_INCOME_LOSS","FQ4 2019","FQ4 2019","Currency=USD","Period=FQ","BEST_FPERIOD_OVERRIDE=FQ","FILING_STATUS=MR","SCALING_FORMAT=MLN","FA_ADJUSTED=Adjusted","Sort=A","Dates=H","DateFormat=P","Fill=—","Direction=H","UseDPDF=Y")</f>
        <v>-7.2279999999999998</v>
      </c>
      <c r="F19" s="13">
        <f>_xll.BDH("ALNY US Equity","IS_NONOP_INCOME_LOSS","FQ1 2020","FQ1 2020","Currency=USD","Period=FQ","BEST_FPERIOD_OVERRIDE=FQ","FILING_STATUS=MR","SCALING_FORMAT=MLN","FA_ADJUSTED=Adjusted","Sort=A","Dates=H","DateFormat=P","Fill=—","Direction=H","UseDPDF=Y")</f>
        <v>-4.4009999999999998</v>
      </c>
      <c r="G19" s="13">
        <f>_xll.BDH("ALNY US Equity","IS_NONOP_INCOME_LOSS","FQ2 2020","FQ2 2020","Currency=USD","Period=FQ","BEST_FPERIOD_OVERRIDE=FQ","FILING_STATUS=MR","SCALING_FORMAT=MLN","FA_ADJUSTED=Adjusted","Sort=A","Dates=H","DateFormat=P","Fill=—","Direction=H","UseDPDF=Y")</f>
        <v>36.359400000000001</v>
      </c>
      <c r="H19" s="13">
        <f>_xll.BDH("ALNY US Equity","IS_NONOP_INCOME_LOSS","FQ3 2020","FQ3 2020","Currency=USD","Period=FQ","BEST_FPERIOD_OVERRIDE=FQ","FILING_STATUS=MR","SCALING_FORMAT=MLN","FA_ADJUSTED=Adjusted","Sort=A","Dates=H","DateFormat=P","Fill=—","Direction=H","UseDPDF=Y")</f>
        <v>24.236000000000001</v>
      </c>
      <c r="I19" s="13">
        <f>_xll.BDH("ALNY US Equity","IS_NONOP_INCOME_LOSS","FQ4 2020","FQ4 2020","Currency=USD","Period=FQ","BEST_FPERIOD_OVERRIDE=FQ","FILING_STATUS=MR","SCALING_FORMAT=MLN","FA_ADJUSTED=Adjusted","Sort=A","Dates=H","DateFormat=P","Fill=—","Direction=H","UseDPDF=Y")</f>
        <v>33.447899999999997</v>
      </c>
      <c r="J19" s="13">
        <f>_xll.BDH("ALNY US Equity","IS_NONOP_INCOME_LOSS","FQ1 2021","FQ1 2021","Currency=USD","Period=FQ","BEST_FPERIOD_OVERRIDE=FQ","FILING_STATUS=MR","SCALING_FORMAT=MLN","FA_ADJUSTED=Adjusted","Sort=A","Dates=H","DateFormat=P","Fill=—","Direction=H","UseDPDF=Y")</f>
        <v>60.036999999999999</v>
      </c>
      <c r="K19" s="13">
        <f>_xll.BDH("ALNY US Equity","IS_NONOP_INCOME_LOSS","FQ2 2021","FQ2 2021","Currency=USD","Period=FQ","BEST_FPERIOD_OVERRIDE=FQ","FILING_STATUS=MR","SCALING_FORMAT=MLN","FA_ADJUSTED=Adjusted","Sort=A","Dates=H","DateFormat=P","Fill=—","Direction=H","UseDPDF=Y")</f>
        <v>36.558300000000003</v>
      </c>
      <c r="L19" s="13">
        <f>_xll.BDH("ALNY US Equity","IS_NONOP_INCOME_LOSS","FQ3 2021","FQ3 2021","Currency=USD","Period=FQ","BEST_FPERIOD_OVERRIDE=FQ","FILING_STATUS=MR","SCALING_FORMAT=MLN","FA_ADJUSTED=Adjusted","Sort=A","Dates=H","DateFormat=P","Fill=—","Direction=H","UseDPDF=Y")</f>
        <v>41.25</v>
      </c>
      <c r="M19" s="13">
        <f>_xll.BDH("ALNY US Equity","IS_NONOP_INCOME_LOSS","FQ4 2021","FQ4 2021","Currency=USD","Period=FQ","BEST_FPERIOD_OVERRIDE=FQ","FILING_STATUS=MR","SCALING_FORMAT=MLN","FA_ADJUSTED=Adjusted","Sort=A","Dates=H","DateFormat=P","Fill=—","Direction=H","UseDPDF=Y")</f>
        <v>60.162999999999997</v>
      </c>
      <c r="N19" s="13">
        <f>_xll.BDH("ALNY US Equity","IS_NONOP_INCOME_LOSS","FQ1 2022","FQ1 2022","Currency=USD","Period=FQ","BEST_FPERIOD_OVERRIDE=FQ","FILING_STATUS=MR","SCALING_FORMAT=MLN","FA_ADJUSTED=Adjusted","Sort=A","Dates=H","DateFormat=P","Fill=—","Direction=H","UseDPDF=Y")</f>
        <v>61.463000000000001</v>
      </c>
      <c r="O19" s="13">
        <f>_xll.BDH("ALNY US Equity","IS_NONOP_INCOME_LOSS","FQ2 2022","FQ2 2022","Currency=USD","Period=FQ","BEST_FPERIOD_OVERRIDE=FQ","FILING_STATUS=MR","SCALING_FORMAT=MLN","FA_ADJUSTED=Adjusted","Sort=A","Dates=H","DateFormat=P","Fill=—","Direction=H","UseDPDF=Y")</f>
        <v>81.89</v>
      </c>
      <c r="P19" s="13">
        <f>_xll.BDH("ALNY US Equity","IS_NONOP_INCOME_LOSS","FQ3 2022","FQ3 2022","Currency=USD","Period=FQ","BEST_FPERIOD_OVERRIDE=FQ","FILING_STATUS=MR","SCALING_FORMAT=MLN","FA_ADJUSTED=Adjusted","Sort=A","Dates=H","DateFormat=P","Fill=—","Direction=H","UseDPDF=Y")</f>
        <v>63.466999999999999</v>
      </c>
      <c r="Q19" s="13">
        <f>_xll.BDH("ALNY US Equity","IS_NONOP_INCOME_LOSS","FQ4 2022","FQ4 2022","Currency=USD","Period=FQ","BEST_FPERIOD_OVERRIDE=FQ","FILING_STATUS=MR","SCALING_FORMAT=MLN","FA_ADJUSTED=Adjusted","Sort=A","Dates=H","DateFormat=P","Fill=—","Direction=H","UseDPDF=Y")</f>
        <v>25.202999999999999</v>
      </c>
      <c r="R19" s="13">
        <f>_xll.BDH("ALNY US Equity","IS_NONOP_INCOME_LOSS","FQ1 2023","FQ1 2023","Currency=USD","Period=FQ","BEST_FPERIOD_OVERRIDE=FQ","FILING_STATUS=MR","SCALING_FORMAT=MLN","FA_ADJUSTED=Adjusted","Sort=A","Dates=H","DateFormat=P","Fill=—","Direction=H","UseDPDF=Y")</f>
        <v>20.288</v>
      </c>
      <c r="S19" s="13">
        <f>_xll.BDH("ALNY US Equity","IS_NONOP_INCOME_LOSS","FQ2 2023","FQ2 2023","Currency=USD","Period=FQ","BEST_FPERIOD_OVERRIDE=FQ","FILING_STATUS=MR","SCALING_FORMAT=MLN","FA_ADJUSTED=Adjusted","Sort=A","Dates=H","DateFormat=P","Fill=—","Direction=H","UseDPDF=Y")</f>
        <v>45.777999999999999</v>
      </c>
      <c r="T19" s="13">
        <f>_xll.BDH("ALNY US Equity","IS_NONOP_INCOME_LOSS","FQ3 2023","FQ3 2023","Currency=USD","Period=FQ","BEST_FPERIOD_OVERRIDE=FQ","FILING_STATUS=MR","SCALING_FORMAT=MLN","FA_ADJUSTED=Adjusted","Sort=A","Dates=H","DateFormat=P","Fill=—","Direction=H","UseDPDF=Y")</f>
        <v>46.281999999999996</v>
      </c>
      <c r="U19" s="13">
        <f>_xll.BDH("ALNY US Equity","IS_NONOP_INCOME_LOSS","FQ4 2023","FQ4 2023","Currency=USD","Period=FQ","BEST_FPERIOD_OVERRIDE=FQ","FILING_STATUS=MR","SCALING_FORMAT=MLN","FA_ADJUSTED=Adjusted","Sort=A","Dates=H","DateFormat=P","Fill=—","Direction=H","UseDPDF=Y")</f>
        <v>22.05</v>
      </c>
      <c r="V19" s="13">
        <f>_xll.BDH("ALNY US Equity","IS_NONOP_INCOME_LOSS","FQ1 2024","FQ1 2024","Currency=USD","Period=FQ","BEST_FPERIOD_OVERRIDE=FQ","FILING_STATUS=MR","SCALING_FORMAT=MLN","FA_ADJUSTED=Adjusted","Sort=A","Dates=H","DateFormat=P","Fill=—","Direction=H","UseDPDF=Y")</f>
        <v>20.23</v>
      </c>
      <c r="W19" s="13">
        <f>_xll.BDH("ALNY US Equity","IS_NONOP_INCOME_LOSS","FQ2 2024","FQ2 2024","Currency=USD","Period=FQ","BEST_FPERIOD_OVERRIDE=FQ","FILING_STATUS=MR","SCALING_FORMAT=MLN","FA_ADJUSTED=Adjusted","Sort=A","Dates=H","DateFormat=P","Fill=—","Direction=H","UseDPDF=Y")</f>
        <v>58.414000000000001</v>
      </c>
      <c r="X19" s="13">
        <f>_xll.BDH("ALNY US Equity","IS_NONOP_INCOME_LOSS","FQ3 2024","FQ3 2024","Currency=USD","Period=FQ","BEST_FPERIOD_OVERRIDE=FQ","FILING_STATUS=MR","SCALING_FORMAT=MLN","FA_ADJUSTED=Adjusted","Sort=A","Dates=H","DateFormat=P","Fill=—","Direction=H","UseDPDF=Y")</f>
        <v>30.190999999999999</v>
      </c>
      <c r="Y19" s="13">
        <f>_xll.BDH("ALNY US Equity","IS_NONOP_INCOME_LOSS","FQ4 2024","FQ4 2024","Currency=USD","Period=FQ","BEST_FPERIOD_OVERRIDE=FQ","FILING_STATUS=MR","SCALING_FORMAT=MLN","FA_ADJUSTED=Adjusted","Sort=A","Dates=H","DateFormat=P","Fill=—","Direction=H","UseDPDF=Y")</f>
        <v>88.632999999999996</v>
      </c>
      <c r="Z19" s="13"/>
      <c r="AA19" s="13"/>
    </row>
    <row r="20" spans="1:27" x14ac:dyDescent="0.25">
      <c r="A20" s="10" t="s">
        <v>321</v>
      </c>
      <c r="B20" s="10" t="s">
        <v>322</v>
      </c>
      <c r="C20" s="13" t="str">
        <f>_xll.BDH("ALNY US Equity","IS_NET_INTEREST_EXPENSE","FQ2 2019","FQ2 2019","Currency=USD","Period=FQ","BEST_FPERIOD_OVERRIDE=FQ","FILING_STATUS=MR","SCALING_FORMAT=MLN","FA_ADJUSTED=Adjusted","Sort=A","Dates=H","DateFormat=P","Fill=—","Direction=H","UseDPDF=Y")</f>
        <v>—</v>
      </c>
      <c r="D20" s="13" t="str">
        <f>_xll.BDH("ALNY US Equity","IS_NET_INTEREST_EXPENSE","FQ3 2019","FQ3 2019","Currency=USD","Period=FQ","BEST_FPERIOD_OVERRIDE=FQ","FILING_STATUS=MR","SCALING_FORMAT=MLN","FA_ADJUSTED=Adjusted","Sort=A","Dates=H","DateFormat=P","Fill=—","Direction=H","UseDPDF=Y")</f>
        <v>—</v>
      </c>
      <c r="E20" s="13" t="str">
        <f>_xll.BDH("ALNY US Equity","IS_NET_INTEREST_EXPENSE","FQ4 2019","FQ4 2019","Currency=USD","Period=FQ","BEST_FPERIOD_OVERRIDE=FQ","FILING_STATUS=MR","SCALING_FORMAT=MLN","FA_ADJUSTED=Adjusted","Sort=A","Dates=H","DateFormat=P","Fill=—","Direction=H","UseDPDF=Y")</f>
        <v>—</v>
      </c>
      <c r="F20" s="13" t="str">
        <f>_xll.BDH("ALNY US Equity","IS_NET_INTEREST_EXPENSE","FQ1 2020","FQ1 2020","Currency=USD","Period=FQ","BEST_FPERIOD_OVERRIDE=FQ","FILING_STATUS=MR","SCALING_FORMAT=MLN","FA_ADJUSTED=Adjusted","Sort=A","Dates=H","DateFormat=P","Fill=—","Direction=H","UseDPDF=Y")</f>
        <v>—</v>
      </c>
      <c r="G20" s="13">
        <f>_xll.BDH("ALNY US Equity","IS_NET_INTEREST_EXPENSE","FQ2 2020","FQ2 2020","Currency=USD","Period=FQ","BEST_FPERIOD_OVERRIDE=FQ","FILING_STATUS=MR","SCALING_FORMAT=MLN","FA_ADJUSTED=Adjusted","Sort=A","Dates=H","DateFormat=P","Fill=—","Direction=H","UseDPDF=Y")</f>
        <v>24.082999999999998</v>
      </c>
      <c r="H20" s="13">
        <f>_xll.BDH("ALNY US Equity","IS_NET_INTEREST_EXPENSE","FQ3 2020","FQ3 2020","Currency=USD","Period=FQ","BEST_FPERIOD_OVERRIDE=FQ","FILING_STATUS=MR","SCALING_FORMAT=MLN","FA_ADJUSTED=Adjusted","Sort=A","Dates=H","DateFormat=P","Fill=—","Direction=H","UseDPDF=Y")</f>
        <v>26.658999999999999</v>
      </c>
      <c r="I20" s="13">
        <f>_xll.BDH("ALNY US Equity","IS_NET_INTEREST_EXPENSE","FQ4 2020","FQ4 2020","Currency=USD","Period=FQ","BEST_FPERIOD_OVERRIDE=FQ","FILING_STATUS=MR","SCALING_FORMAT=MLN","FA_ADJUSTED=Adjusted","Sort=A","Dates=H","DateFormat=P","Fill=—","Direction=H","UseDPDF=Y")</f>
        <v>27.425000000000001</v>
      </c>
      <c r="J20" s="13">
        <f>_xll.BDH("ALNY US Equity","IS_NET_INTEREST_EXPENSE","FQ1 2021","FQ1 2021","Currency=USD","Period=FQ","BEST_FPERIOD_OVERRIDE=FQ","FILING_STATUS=MR","SCALING_FORMAT=MLN","FA_ADJUSTED=Adjusted","Sort=A","Dates=H","DateFormat=P","Fill=—","Direction=H","UseDPDF=Y")</f>
        <v>32.064999999999998</v>
      </c>
      <c r="K20" s="13">
        <f>_xll.BDH("ALNY US Equity","IS_NET_INTEREST_EXPENSE","FQ2 2021","FQ2 2021","Currency=USD","Period=FQ","BEST_FPERIOD_OVERRIDE=FQ","FILING_STATUS=MR","SCALING_FORMAT=MLN","FA_ADJUSTED=Adjusted","Sort=A","Dates=H","DateFormat=P","Fill=—","Direction=H","UseDPDF=Y")</f>
        <v>33.006999999999998</v>
      </c>
      <c r="L20" s="13">
        <f>_xll.BDH("ALNY US Equity","IS_NET_INTEREST_EXPENSE","FQ3 2021","FQ3 2021","Currency=USD","Period=FQ","BEST_FPERIOD_OVERRIDE=FQ","FILING_STATUS=MR","SCALING_FORMAT=MLN","FA_ADJUSTED=Adjusted","Sort=A","Dates=H","DateFormat=P","Fill=—","Direction=H","UseDPDF=Y")</f>
        <v>40.048999999999999</v>
      </c>
      <c r="M20" s="13">
        <f>_xll.BDH("ALNY US Equity","IS_NET_INTEREST_EXPENSE","FQ4 2021","FQ4 2021","Currency=USD","Period=FQ","BEST_FPERIOD_OVERRIDE=FQ","FILING_STATUS=MR","SCALING_FORMAT=MLN","FA_ADJUSTED=Adjusted","Sort=A","Dates=H","DateFormat=P","Fill=—","Direction=H","UseDPDF=Y")</f>
        <v>36.320999999999998</v>
      </c>
      <c r="N20" s="13">
        <f>_xll.BDH("ALNY US Equity","IS_NET_INTEREST_EXPENSE","FQ1 2022","FQ1 2022","Currency=USD","Period=FQ","BEST_FPERIOD_OVERRIDE=FQ","FILING_STATUS=MR","SCALING_FORMAT=MLN","FA_ADJUSTED=Adjusted","Sort=A","Dates=H","DateFormat=P","Fill=—","Direction=H","UseDPDF=Y")</f>
        <v>41.35</v>
      </c>
      <c r="O20" s="13">
        <f>_xll.BDH("ALNY US Equity","IS_NET_INTEREST_EXPENSE","FQ2 2022","FQ2 2022","Currency=USD","Period=FQ","BEST_FPERIOD_OVERRIDE=FQ","FILING_STATUS=MR","SCALING_FORMAT=MLN","FA_ADJUSTED=Adjusted","Sort=A","Dates=H","DateFormat=P","Fill=—","Direction=H","UseDPDF=Y")</f>
        <v>42.609000000000002</v>
      </c>
      <c r="P20" s="13">
        <f>_xll.BDH("ALNY US Equity","IS_NET_INTEREST_EXPENSE","FQ3 2022","FQ3 2022","Currency=USD","Period=FQ","BEST_FPERIOD_OVERRIDE=FQ","FILING_STATUS=MR","SCALING_FORMAT=MLN","FA_ADJUSTED=Adjusted","Sort=A","Dates=H","DateFormat=P","Fill=—","Direction=H","UseDPDF=Y")</f>
        <v>41.084000000000003</v>
      </c>
      <c r="Q20" s="13">
        <f>_xll.BDH("ALNY US Equity","IS_NET_INTEREST_EXPENSE","FQ4 2022","FQ4 2022","Currency=USD","Period=FQ","BEST_FPERIOD_OVERRIDE=FQ","FILING_STATUS=MR","SCALING_FORMAT=MLN","FA_ADJUSTED=Adjusted","Sort=A","Dates=H","DateFormat=P","Fill=—","Direction=H","UseDPDF=Y")</f>
        <v>15.836</v>
      </c>
      <c r="R20" s="13">
        <f>_xll.BDH("ALNY US Equity","IS_NET_INTEREST_EXPENSE","FQ1 2023","FQ1 2023","Currency=USD","Period=FQ","BEST_FPERIOD_OVERRIDE=FQ","FILING_STATUS=MR","SCALING_FORMAT=MLN","FA_ADJUSTED=Adjusted","Sort=A","Dates=H","DateFormat=P","Fill=—","Direction=H","UseDPDF=Y")</f>
        <v>10.3</v>
      </c>
      <c r="S20" s="13">
        <f>_xll.BDH("ALNY US Equity","IS_NET_INTEREST_EXPENSE","FQ2 2023","FQ2 2023","Currency=USD","Period=FQ","BEST_FPERIOD_OVERRIDE=FQ","FILING_STATUS=MR","SCALING_FORMAT=MLN","FA_ADJUSTED=Adjusted","Sort=A","Dates=H","DateFormat=P","Fill=—","Direction=H","UseDPDF=Y")</f>
        <v>8.9600000000000009</v>
      </c>
      <c r="T20" s="13">
        <f>_xll.BDH("ALNY US Equity","IS_NET_INTEREST_EXPENSE","FQ3 2023","FQ3 2023","Currency=USD","Period=FQ","BEST_FPERIOD_OVERRIDE=FQ","FILING_STATUS=MR","SCALING_FORMAT=MLN","FA_ADJUSTED=Adjusted","Sort=A","Dates=H","DateFormat=P","Fill=—","Direction=H","UseDPDF=Y")</f>
        <v>5.468</v>
      </c>
      <c r="U20" s="13">
        <f>_xll.BDH("ALNY US Equity","IS_NET_INTEREST_EXPENSE","FQ4 2023","FQ4 2023","Currency=USD","Period=FQ","BEST_FPERIOD_OVERRIDE=FQ","FILING_STATUS=MR","SCALING_FORMAT=MLN","FA_ADJUSTED=Adjusted","Sort=A","Dates=H","DateFormat=P","Fill=—","Direction=H","UseDPDF=Y")</f>
        <v>0.93200000000000005</v>
      </c>
      <c r="V20" s="13">
        <f>_xll.BDH("ALNY US Equity","IS_NET_INTEREST_EXPENSE","FQ1 2024","FQ1 2024","Currency=USD","Period=FQ","BEST_FPERIOD_OVERRIDE=FQ","FILING_STATUS=MR","SCALING_FORMAT=MLN","FA_ADJUSTED=Adjusted","Sort=A","Dates=H","DateFormat=P","Fill=—","Direction=H","UseDPDF=Y")</f>
        <v>5.6079999999999997</v>
      </c>
      <c r="W20" s="13">
        <f>_xll.BDH("ALNY US Equity","IS_NET_INTEREST_EXPENSE","FQ2 2024","FQ2 2024","Currency=USD","Period=FQ","BEST_FPERIOD_OVERRIDE=FQ","FILING_STATUS=MR","SCALING_FORMAT=MLN","FA_ADJUSTED=Adjusted","Sort=A","Dates=H","DateFormat=P","Fill=—","Direction=H","UseDPDF=Y")</f>
        <v>4.0759999999999996</v>
      </c>
      <c r="X20" s="13">
        <f>_xll.BDH("ALNY US Equity","IS_NET_INTEREST_EXPENSE","FQ3 2024","FQ3 2024","Currency=USD","Period=FQ","BEST_FPERIOD_OVERRIDE=FQ","FILING_STATUS=MR","SCALING_FORMAT=MLN","FA_ADJUSTED=Adjusted","Sort=A","Dates=H","DateFormat=P","Fill=—","Direction=H","UseDPDF=Y")</f>
        <v>2.23</v>
      </c>
      <c r="Y20" s="13">
        <f>_xll.BDH("ALNY US Equity","IS_NET_INTEREST_EXPENSE","FQ4 2024","FQ4 2024","Currency=USD","Period=FQ","BEST_FPERIOD_OVERRIDE=FQ","FILING_STATUS=MR","SCALING_FORMAT=MLN","FA_ADJUSTED=Adjusted","Sort=A","Dates=H","DateFormat=P","Fill=—","Direction=H","UseDPDF=Y")</f>
        <v>7.952</v>
      </c>
      <c r="Z20" s="13"/>
      <c r="AA20" s="13"/>
    </row>
    <row r="21" spans="1:27" x14ac:dyDescent="0.25">
      <c r="A21" s="11" t="s">
        <v>323</v>
      </c>
      <c r="B21" s="11" t="s">
        <v>324</v>
      </c>
      <c r="C21" s="25" t="str">
        <f>_xll.BDH("ALNY US Equity","IS_INT_EXPENSE","FQ2 2019","FQ2 2019","Currency=USD","Period=FQ","BEST_FPERIOD_OVERRIDE=FQ","FILING_STATUS=MR","SCALING_FORMAT=MLN","FA_ADJUSTED=Adjusted","Sort=A","Dates=H","DateFormat=P","Fill=—","Direction=H","UseDPDF=Y")</f>
        <v>—</v>
      </c>
      <c r="D21" s="25" t="str">
        <f>_xll.BDH("ALNY US Equity","IS_INT_EXPENSE","FQ3 2019","FQ3 2019","Currency=USD","Period=FQ","BEST_FPERIOD_OVERRIDE=FQ","FILING_STATUS=MR","SCALING_FORMAT=MLN","FA_ADJUSTED=Adjusted","Sort=A","Dates=H","DateFormat=P","Fill=—","Direction=H","UseDPDF=Y")</f>
        <v>—</v>
      </c>
      <c r="E21" s="25" t="str">
        <f>_xll.BDH("ALNY US Equity","IS_INT_EXPENSE","FQ4 2019","FQ4 2019","Currency=USD","Period=FQ","BEST_FPERIOD_OVERRIDE=FQ","FILING_STATUS=MR","SCALING_FORMAT=MLN","FA_ADJUSTED=Adjusted","Sort=A","Dates=H","DateFormat=P","Fill=—","Direction=H","UseDPDF=Y")</f>
        <v>—</v>
      </c>
      <c r="F21" s="25" t="str">
        <f>_xll.BDH("ALNY US Equity","IS_INT_EXPENSE","FQ1 2020","FQ1 2020","Currency=USD","Period=FQ","BEST_FPERIOD_OVERRIDE=FQ","FILING_STATUS=MR","SCALING_FORMAT=MLN","FA_ADJUSTED=Adjusted","Sort=A","Dates=H","DateFormat=P","Fill=—","Direction=H","UseDPDF=Y")</f>
        <v>—</v>
      </c>
      <c r="G21" s="25">
        <f>_xll.BDH("ALNY US Equity","IS_INT_EXPENSE","FQ2 2020","FQ2 2020","Currency=USD","Period=FQ","BEST_FPERIOD_OVERRIDE=FQ","FILING_STATUS=MR","SCALING_FORMAT=MLN","FA_ADJUSTED=Adjusted","Sort=A","Dates=H","DateFormat=P","Fill=—","Direction=H","UseDPDF=Y")</f>
        <v>27.248000000000001</v>
      </c>
      <c r="H21" s="25">
        <f>_xll.BDH("ALNY US Equity","IS_INT_EXPENSE","FQ3 2020","FQ3 2020","Currency=USD","Period=FQ","BEST_FPERIOD_OVERRIDE=FQ","FILING_STATUS=MR","SCALING_FORMAT=MLN","FA_ADJUSTED=Adjusted","Sort=A","Dates=H","DateFormat=P","Fill=—","Direction=H","UseDPDF=Y")</f>
        <v>28.731000000000002</v>
      </c>
      <c r="I21" s="25">
        <f>_xll.BDH("ALNY US Equity","IS_INT_EXPENSE","FQ4 2020","FQ4 2020","Currency=USD","Period=FQ","BEST_FPERIOD_OVERRIDE=FQ","FILING_STATUS=MR","SCALING_FORMAT=MLN","FA_ADJUSTED=Adjusted","Sort=A","Dates=H","DateFormat=P","Fill=—","Direction=H","UseDPDF=Y")</f>
        <v>28.516999999999999</v>
      </c>
      <c r="J21" s="25">
        <f>_xll.BDH("ALNY US Equity","IS_INT_EXPENSE","FQ1 2021","FQ1 2021","Currency=USD","Period=FQ","BEST_FPERIOD_OVERRIDE=FQ","FILING_STATUS=MR","SCALING_FORMAT=MLN","FA_ADJUSTED=Adjusted","Sort=A","Dates=H","DateFormat=P","Fill=—","Direction=H","UseDPDF=Y")</f>
        <v>32.515000000000001</v>
      </c>
      <c r="K21" s="25">
        <f>_xll.BDH("ALNY US Equity","IS_INT_EXPENSE","FQ2 2021","FQ2 2021","Currency=USD","Period=FQ","BEST_FPERIOD_OVERRIDE=FQ","FILING_STATUS=MR","SCALING_FORMAT=MLN","FA_ADJUSTED=Adjusted","Sort=A","Dates=H","DateFormat=P","Fill=—","Direction=H","UseDPDF=Y")</f>
        <v>33.415999999999997</v>
      </c>
      <c r="L21" s="25">
        <f>_xll.BDH("ALNY US Equity","IS_INT_EXPENSE","FQ3 2021","FQ3 2021","Currency=USD","Period=FQ","BEST_FPERIOD_OVERRIDE=FQ","FILING_STATUS=MR","SCALING_FORMAT=MLN","FA_ADJUSTED=Adjusted","Sort=A","Dates=H","DateFormat=P","Fill=—","Direction=H","UseDPDF=Y")</f>
        <v>40.274000000000001</v>
      </c>
      <c r="M21" s="25">
        <f>_xll.BDH("ALNY US Equity","IS_INT_EXPENSE","FQ4 2021","FQ4 2021","Currency=USD","Period=FQ","BEST_FPERIOD_OVERRIDE=FQ","FILING_STATUS=MR","SCALING_FORMAT=MLN","FA_ADJUSTED=Adjusted","Sort=A","Dates=H","DateFormat=P","Fill=—","Direction=H","UseDPDF=Y")</f>
        <v>36.816000000000003</v>
      </c>
      <c r="N21" s="25">
        <f>_xll.BDH("ALNY US Equity","IS_INT_EXPENSE","FQ1 2022","FQ1 2022","Currency=USD","Period=FQ","BEST_FPERIOD_OVERRIDE=FQ","FILING_STATUS=MR","SCALING_FORMAT=MLN","FA_ADJUSTED=Adjusted","Sort=A","Dates=H","DateFormat=P","Fill=—","Direction=H","UseDPDF=Y")</f>
        <v>42.362000000000002</v>
      </c>
      <c r="O21" s="25">
        <f>_xll.BDH("ALNY US Equity","IS_INT_EXPENSE","FQ2 2022","FQ2 2022","Currency=USD","Period=FQ","BEST_FPERIOD_OVERRIDE=FQ","FILING_STATUS=MR","SCALING_FORMAT=MLN","FA_ADJUSTED=Adjusted","Sort=A","Dates=H","DateFormat=P","Fill=—","Direction=H","UseDPDF=Y")</f>
        <v>42.609000000000002</v>
      </c>
      <c r="P21" s="25">
        <f>_xll.BDH("ALNY US Equity","IS_INT_EXPENSE","FQ3 2022","FQ3 2022","Currency=USD","Period=FQ","BEST_FPERIOD_OVERRIDE=FQ","FILING_STATUS=MR","SCALING_FORMAT=MLN","FA_ADJUSTED=Adjusted","Sort=A","Dates=H","DateFormat=P","Fill=—","Direction=H","UseDPDF=Y")</f>
        <v>41.084000000000003</v>
      </c>
      <c r="Q21" s="25">
        <f>_xll.BDH("ALNY US Equity","IS_INT_EXPENSE","FQ4 2022","FQ4 2022","Currency=USD","Period=FQ","BEST_FPERIOD_OVERRIDE=FQ","FILING_STATUS=MR","SCALING_FORMAT=MLN","FA_ADJUSTED=Adjusted","Sort=A","Dates=H","DateFormat=P","Fill=—","Direction=H","UseDPDF=Y")</f>
        <v>29.913</v>
      </c>
      <c r="R21" s="25">
        <f>_xll.BDH("ALNY US Equity","IS_INT_EXPENSE","FQ1 2023","FQ1 2023","Currency=USD","Period=FQ","BEST_FPERIOD_OVERRIDE=FQ","FILING_STATUS=MR","SCALING_FORMAT=MLN","FA_ADJUSTED=Adjusted","Sort=A","Dates=H","DateFormat=P","Fill=—","Direction=H","UseDPDF=Y")</f>
        <v>28.954999999999998</v>
      </c>
      <c r="S21" s="25">
        <f>_xll.BDH("ALNY US Equity","IS_INT_EXPENSE","FQ2 2023","FQ2 2023","Currency=USD","Period=FQ","BEST_FPERIOD_OVERRIDE=FQ","FILING_STATUS=MR","SCALING_FORMAT=MLN","FA_ADJUSTED=Adjusted","Sort=A","Dates=H","DateFormat=P","Fill=—","Direction=H","UseDPDF=Y")</f>
        <v>30.035</v>
      </c>
      <c r="T21" s="25">
        <f>_xll.BDH("ALNY US Equity","IS_INT_EXPENSE","FQ3 2023","FQ3 2023","Currency=USD","Period=FQ","BEST_FPERIOD_OVERRIDE=FQ","FILING_STATUS=MR","SCALING_FORMAT=MLN","FA_ADJUSTED=Adjusted","Sort=A","Dates=H","DateFormat=P","Fill=—","Direction=H","UseDPDF=Y")</f>
        <v>30.893000000000001</v>
      </c>
      <c r="U21" s="25">
        <f>_xll.BDH("ALNY US Equity","IS_INT_EXPENSE","FQ4 2023","FQ4 2023","Currency=USD","Period=FQ","BEST_FPERIOD_OVERRIDE=FQ","FILING_STATUS=MR","SCALING_FORMAT=MLN","FA_ADJUSTED=Adjusted","Sort=A","Dates=H","DateFormat=P","Fill=—","Direction=H","UseDPDF=Y")</f>
        <v>31.338000000000001</v>
      </c>
      <c r="V21" s="25">
        <f>_xll.BDH("ALNY US Equity","IS_INT_EXPENSE","FQ1 2024","FQ1 2024","Currency=USD","Period=FQ","BEST_FPERIOD_OVERRIDE=FQ","FILING_STATUS=MR","SCALING_FORMAT=MLN","FA_ADJUSTED=Adjusted","Sort=A","Dates=H","DateFormat=P","Fill=—","Direction=H","UseDPDF=Y")</f>
        <v>35.253</v>
      </c>
      <c r="W21" s="25">
        <f>_xll.BDH("ALNY US Equity","IS_INT_EXPENSE","FQ2 2024","FQ2 2024","Currency=USD","Period=FQ","BEST_FPERIOD_OVERRIDE=FQ","FILING_STATUS=MR","SCALING_FORMAT=MLN","FA_ADJUSTED=Adjusted","Sort=A","Dates=H","DateFormat=P","Fill=—","Direction=H","UseDPDF=Y")</f>
        <v>33.258000000000003</v>
      </c>
      <c r="X21" s="25">
        <f>_xll.BDH("ALNY US Equity","IS_INT_EXPENSE","FQ3 2024","FQ3 2024","Currency=USD","Period=FQ","BEST_FPERIOD_OVERRIDE=FQ","FILING_STATUS=MR","SCALING_FORMAT=MLN","FA_ADJUSTED=Adjusted","Sort=A","Dates=H","DateFormat=P","Fill=—","Direction=H","UseDPDF=Y")</f>
        <v>34.375999999999998</v>
      </c>
      <c r="Y21" s="25">
        <f>_xll.BDH("ALNY US Equity","IS_INT_EXPENSE","FQ4 2024","FQ4 2024","Currency=USD","Period=FQ","BEST_FPERIOD_OVERRIDE=FQ","FILING_STATUS=MR","SCALING_FORMAT=MLN","FA_ADJUSTED=Adjusted","Sort=A","Dates=H","DateFormat=P","Fill=—","Direction=H","UseDPDF=Y")</f>
        <v>38.970999999999997</v>
      </c>
      <c r="Z21" s="25"/>
      <c r="AA21" s="25"/>
    </row>
    <row r="22" spans="1:27" x14ac:dyDescent="0.25">
      <c r="A22" s="11" t="s">
        <v>325</v>
      </c>
      <c r="B22" s="11" t="s">
        <v>326</v>
      </c>
      <c r="C22" s="25">
        <f>_xll.BDH("ALNY US Equity","IS_INT_INC","FQ2 2019","FQ2 2019","Currency=USD","Period=FQ","BEST_FPERIOD_OVERRIDE=FQ","FILING_STATUS=MR","SCALING_FORMAT=MLN","FA_ADJUSTED=Adjusted","Sort=A","Dates=H","DateFormat=P","Fill=—","Direction=H","UseDPDF=Y")</f>
        <v>8.7810000000000006</v>
      </c>
      <c r="D22" s="25">
        <f>_xll.BDH("ALNY US Equity","IS_INT_INC","FQ3 2019","FQ3 2019","Currency=USD","Period=FQ","BEST_FPERIOD_OVERRIDE=FQ","FILING_STATUS=MR","SCALING_FORMAT=MLN","FA_ADJUSTED=Adjusted","Sort=A","Dates=H","DateFormat=P","Fill=—","Direction=H","UseDPDF=Y")</f>
        <v>9.8889999999999993</v>
      </c>
      <c r="E22" s="25">
        <f>_xll.BDH("ALNY US Equity","IS_INT_INC","FQ4 2019","FQ4 2019","Currency=USD","Period=FQ","BEST_FPERIOD_OVERRIDE=FQ","FILING_STATUS=MR","SCALING_FORMAT=MLN","FA_ADJUSTED=Adjusted","Sort=A","Dates=H","DateFormat=P","Fill=—","Direction=H","UseDPDF=Y")</f>
        <v>7.2530000000000001</v>
      </c>
      <c r="F22" s="25">
        <f>_xll.BDH("ALNY US Equity","IS_INT_INC","FQ1 2020","FQ1 2020","Currency=USD","Period=FQ","BEST_FPERIOD_OVERRIDE=FQ","FILING_STATUS=MR","SCALING_FORMAT=MLN","FA_ADJUSTED=Adjusted","Sort=A","Dates=H","DateFormat=P","Fill=—","Direction=H","UseDPDF=Y")</f>
        <v>5.48</v>
      </c>
      <c r="G22" s="25">
        <f>_xll.BDH("ALNY US Equity","IS_INT_INC","FQ2 2020","FQ2 2020","Currency=USD","Period=FQ","BEST_FPERIOD_OVERRIDE=FQ","FILING_STATUS=MR","SCALING_FORMAT=MLN","FA_ADJUSTED=Adjusted","Sort=A","Dates=H","DateFormat=P","Fill=—","Direction=H","UseDPDF=Y")</f>
        <v>3.165</v>
      </c>
      <c r="H22" s="25">
        <f>_xll.BDH("ALNY US Equity","IS_INT_INC","FQ3 2020","FQ3 2020","Currency=USD","Period=FQ","BEST_FPERIOD_OVERRIDE=FQ","FILING_STATUS=MR","SCALING_FORMAT=MLN","FA_ADJUSTED=Adjusted","Sort=A","Dates=H","DateFormat=P","Fill=—","Direction=H","UseDPDF=Y")</f>
        <v>2.0720000000000001</v>
      </c>
      <c r="I22" s="25">
        <f>_xll.BDH("ALNY US Equity","IS_INT_INC","FQ4 2020","FQ4 2020","Currency=USD","Period=FQ","BEST_FPERIOD_OVERRIDE=FQ","FILING_STATUS=MR","SCALING_FORMAT=MLN","FA_ADJUSTED=Adjusted","Sort=A","Dates=H","DateFormat=P","Fill=—","Direction=H","UseDPDF=Y")</f>
        <v>1.0920000000000001</v>
      </c>
      <c r="J22" s="25">
        <f>_xll.BDH("ALNY US Equity","IS_INT_INC","FQ1 2021","FQ1 2021","Currency=USD","Period=FQ","BEST_FPERIOD_OVERRIDE=FQ","FILING_STATUS=MR","SCALING_FORMAT=MLN","FA_ADJUSTED=Adjusted","Sort=A","Dates=H","DateFormat=P","Fill=—","Direction=H","UseDPDF=Y")</f>
        <v>0.45</v>
      </c>
      <c r="K22" s="25">
        <f>_xll.BDH("ALNY US Equity","IS_INT_INC","FQ2 2021","FQ2 2021","Currency=USD","Period=FQ","BEST_FPERIOD_OVERRIDE=FQ","FILING_STATUS=MR","SCALING_FORMAT=MLN","FA_ADJUSTED=Adjusted","Sort=A","Dates=H","DateFormat=P","Fill=—","Direction=H","UseDPDF=Y")</f>
        <v>0.40899999999999997</v>
      </c>
      <c r="L22" s="25">
        <f>_xll.BDH("ALNY US Equity","IS_INT_INC","FQ3 2021","FQ3 2021","Currency=USD","Period=FQ","BEST_FPERIOD_OVERRIDE=FQ","FILING_STATUS=MR","SCALING_FORMAT=MLN","FA_ADJUSTED=Adjusted","Sort=A","Dates=H","DateFormat=P","Fill=—","Direction=H","UseDPDF=Y")</f>
        <v>0.22500000000000001</v>
      </c>
      <c r="M22" s="25">
        <f>_xll.BDH("ALNY US Equity","IS_INT_INC","FQ4 2021","FQ4 2021","Currency=USD","Period=FQ","BEST_FPERIOD_OVERRIDE=FQ","FILING_STATUS=MR","SCALING_FORMAT=MLN","FA_ADJUSTED=Adjusted","Sort=A","Dates=H","DateFormat=P","Fill=—","Direction=H","UseDPDF=Y")</f>
        <v>0.495</v>
      </c>
      <c r="N22" s="25">
        <f>_xll.BDH("ALNY US Equity","IS_INT_INC","FQ1 2022","FQ1 2022","Currency=USD","Period=FQ","BEST_FPERIOD_OVERRIDE=FQ","FILING_STATUS=MR","SCALING_FORMAT=MLN","FA_ADJUSTED=Adjusted","Sort=A","Dates=H","DateFormat=P","Fill=—","Direction=H","UseDPDF=Y")</f>
        <v>1.012</v>
      </c>
      <c r="O22" s="25">
        <f>_xll.BDH("ALNY US Equity","IS_INT_INC","FQ2 2022","FQ2 2022","Currency=USD","Period=FQ","BEST_FPERIOD_OVERRIDE=FQ","FILING_STATUS=MR","SCALING_FORMAT=MLN","FA_ADJUSTED=Adjusted","Sort=A","Dates=H","DateFormat=P","Fill=—","Direction=H","UseDPDF=Y")</f>
        <v>0</v>
      </c>
      <c r="P22" s="25">
        <f>_xll.BDH("ALNY US Equity","IS_INT_INC","FQ3 2022","FQ3 2022","Currency=USD","Period=FQ","BEST_FPERIOD_OVERRIDE=FQ","FILING_STATUS=MR","SCALING_FORMAT=MLN","FA_ADJUSTED=Adjusted","Sort=A","Dates=H","DateFormat=P","Fill=—","Direction=H","UseDPDF=Y")</f>
        <v>0</v>
      </c>
      <c r="Q22" s="25">
        <f>_xll.BDH("ALNY US Equity","IS_INT_INC","FQ4 2022","FQ4 2022","Currency=USD","Period=FQ","BEST_FPERIOD_OVERRIDE=FQ","FILING_STATUS=MR","SCALING_FORMAT=MLN","FA_ADJUSTED=Adjusted","Sort=A","Dates=H","DateFormat=P","Fill=—","Direction=H","UseDPDF=Y")</f>
        <v>14.077</v>
      </c>
      <c r="R22" s="25">
        <f>_xll.BDH("ALNY US Equity","IS_INT_INC","FQ1 2023","FQ1 2023","Currency=USD","Period=FQ","BEST_FPERIOD_OVERRIDE=FQ","FILING_STATUS=MR","SCALING_FORMAT=MLN","FA_ADJUSTED=Adjusted","Sort=A","Dates=H","DateFormat=P","Fill=—","Direction=H","UseDPDF=Y")</f>
        <v>18.655000000000001</v>
      </c>
      <c r="S22" s="25">
        <f>_xll.BDH("ALNY US Equity","IS_INT_INC","FQ2 2023","FQ2 2023","Currency=USD","Period=FQ","BEST_FPERIOD_OVERRIDE=FQ","FILING_STATUS=MR","SCALING_FORMAT=MLN","FA_ADJUSTED=Adjusted","Sort=A","Dates=H","DateFormat=P","Fill=—","Direction=H","UseDPDF=Y")</f>
        <v>21.074999999999999</v>
      </c>
      <c r="T22" s="25">
        <f>_xll.BDH("ALNY US Equity","IS_INT_INC","FQ3 2023","FQ3 2023","Currency=USD","Period=FQ","BEST_FPERIOD_OVERRIDE=FQ","FILING_STATUS=MR","SCALING_FORMAT=MLN","FA_ADJUSTED=Adjusted","Sort=A","Dates=H","DateFormat=P","Fill=—","Direction=H","UseDPDF=Y")</f>
        <v>25.425000000000001</v>
      </c>
      <c r="U22" s="25">
        <f>_xll.BDH("ALNY US Equity","IS_INT_INC","FQ4 2023","FQ4 2023","Currency=USD","Period=FQ","BEST_FPERIOD_OVERRIDE=FQ","FILING_STATUS=MR","SCALING_FORMAT=MLN","FA_ADJUSTED=Adjusted","Sort=A","Dates=H","DateFormat=P","Fill=—","Direction=H","UseDPDF=Y")</f>
        <v>30.405999999999999</v>
      </c>
      <c r="V22" s="25">
        <f>_xll.BDH("ALNY US Equity","IS_INT_INC","FQ1 2024","FQ1 2024","Currency=USD","Period=FQ","BEST_FPERIOD_OVERRIDE=FQ","FILING_STATUS=MR","SCALING_FORMAT=MLN","FA_ADJUSTED=Adjusted","Sort=A","Dates=H","DateFormat=P","Fill=—","Direction=H","UseDPDF=Y")</f>
        <v>29.645</v>
      </c>
      <c r="W22" s="25">
        <f>_xll.BDH("ALNY US Equity","IS_INT_INC","FQ2 2024","FQ2 2024","Currency=USD","Period=FQ","BEST_FPERIOD_OVERRIDE=FQ","FILING_STATUS=MR","SCALING_FORMAT=MLN","FA_ADJUSTED=Adjusted","Sort=A","Dates=H","DateFormat=P","Fill=—","Direction=H","UseDPDF=Y")</f>
        <v>29.181999999999999</v>
      </c>
      <c r="X22" s="25">
        <f>_xll.BDH("ALNY US Equity","IS_INT_INC","FQ3 2024","FQ3 2024","Currency=USD","Period=FQ","BEST_FPERIOD_OVERRIDE=FQ","FILING_STATUS=MR","SCALING_FORMAT=MLN","FA_ADJUSTED=Adjusted","Sort=A","Dates=H","DateFormat=P","Fill=—","Direction=H","UseDPDF=Y")</f>
        <v>32.146000000000001</v>
      </c>
      <c r="Y22" s="25">
        <f>_xll.BDH("ALNY US Equity","IS_INT_INC","FQ4 2024","FQ4 2024","Currency=USD","Period=FQ","BEST_FPERIOD_OVERRIDE=FQ","FILING_STATUS=MR","SCALING_FORMAT=MLN","FA_ADJUSTED=Adjusted","Sort=A","Dates=H","DateFormat=P","Fill=—","Direction=H","UseDPDF=Y")</f>
        <v>31.018999999999998</v>
      </c>
      <c r="Z22" s="25"/>
      <c r="AA22" s="25"/>
    </row>
    <row r="23" spans="1:27" x14ac:dyDescent="0.25">
      <c r="A23" s="10" t="s">
        <v>327</v>
      </c>
      <c r="B23" s="10" t="s">
        <v>328</v>
      </c>
      <c r="C23" s="13">
        <f>_xll.BDH("ALNY US Equity","IS_OTHER_NON_OPERATING_INC_LOSS","FQ2 2019","FQ2 2019","Currency=USD","Period=FQ","BEST_FPERIOD_OVERRIDE=FQ","FILING_STATUS=MR","SCALING_FORMAT=MLN","FA_ADJUSTED=Adjusted","Sort=A","Dates=H","DateFormat=P","Fill=—","Direction=H","UseDPDF=Y")</f>
        <v>0.45300000000000001</v>
      </c>
      <c r="D23" s="13">
        <f>_xll.BDH("ALNY US Equity","IS_OTHER_NON_OPERATING_INC_LOSS","FQ3 2019","FQ3 2019","Currency=USD","Period=FQ","BEST_FPERIOD_OVERRIDE=FQ","FILING_STATUS=MR","SCALING_FORMAT=MLN","FA_ADJUSTED=Adjusted","Sort=A","Dates=H","DateFormat=P","Fill=—","Direction=H","UseDPDF=Y")</f>
        <v>2.5190000000000001</v>
      </c>
      <c r="E23" s="13">
        <f>_xll.BDH("ALNY US Equity","IS_OTHER_NON_OPERATING_INC_LOSS","FQ4 2019","FQ4 2019","Currency=USD","Period=FQ","BEST_FPERIOD_OVERRIDE=FQ","FILING_STATUS=MR","SCALING_FORMAT=MLN","FA_ADJUSTED=Adjusted","Sort=A","Dates=H","DateFormat=P","Fill=—","Direction=H","UseDPDF=Y")</f>
        <v>2.5000000000000001E-2</v>
      </c>
      <c r="F23" s="13">
        <f>_xll.BDH("ALNY US Equity","IS_OTHER_NON_OPERATING_INC_LOSS","FQ1 2020","FQ1 2020","Currency=USD","Period=FQ","BEST_FPERIOD_OVERRIDE=FQ","FILING_STATUS=MR","SCALING_FORMAT=MLN","FA_ADJUSTED=Adjusted","Sort=A","Dates=H","DateFormat=P","Fill=—","Direction=H","UseDPDF=Y")</f>
        <v>1.079</v>
      </c>
      <c r="G23" s="13">
        <f>_xll.BDH("ALNY US Equity","IS_OTHER_NON_OPERATING_INC_LOSS","FQ2 2020","FQ2 2020","Currency=USD","Period=FQ","BEST_FPERIOD_OVERRIDE=FQ","FILING_STATUS=MR","SCALING_FORMAT=MLN","FA_ADJUSTED=Adjusted","Sort=A","Dates=H","DateFormat=P","Fill=—","Direction=H","UseDPDF=Y")</f>
        <v>12.276400000000001</v>
      </c>
      <c r="H23" s="13">
        <f>_xll.BDH("ALNY US Equity","IS_OTHER_NON_OPERATING_INC_LOSS","FQ3 2020","FQ3 2020","Currency=USD","Period=FQ","BEST_FPERIOD_OVERRIDE=FQ","FILING_STATUS=MR","SCALING_FORMAT=MLN","FA_ADJUSTED=Adjusted","Sort=A","Dates=H","DateFormat=P","Fill=—","Direction=H","UseDPDF=Y")</f>
        <v>-2.423</v>
      </c>
      <c r="I23" s="13">
        <f>_xll.BDH("ALNY US Equity","IS_OTHER_NON_OPERATING_INC_LOSS","FQ4 2020","FQ4 2020","Currency=USD","Period=FQ","BEST_FPERIOD_OVERRIDE=FQ","FILING_STATUS=MR","SCALING_FORMAT=MLN","FA_ADJUSTED=Adjusted","Sort=A","Dates=H","DateFormat=P","Fill=—","Direction=H","UseDPDF=Y")</f>
        <v>6.0228999999999999</v>
      </c>
      <c r="J23" s="13">
        <f>_xll.BDH("ALNY US Equity","IS_OTHER_NON_OPERATING_INC_LOSS","FQ1 2021","FQ1 2021","Currency=USD","Period=FQ","BEST_FPERIOD_OVERRIDE=FQ","FILING_STATUS=MR","SCALING_FORMAT=MLN","FA_ADJUSTED=Adjusted","Sort=A","Dates=H","DateFormat=P","Fill=—","Direction=H","UseDPDF=Y")</f>
        <v>27.972000000000001</v>
      </c>
      <c r="K23" s="13">
        <f>_xll.BDH("ALNY US Equity","IS_OTHER_NON_OPERATING_INC_LOSS","FQ2 2021","FQ2 2021","Currency=USD","Period=FQ","BEST_FPERIOD_OVERRIDE=FQ","FILING_STATUS=MR","SCALING_FORMAT=MLN","FA_ADJUSTED=Adjusted","Sort=A","Dates=H","DateFormat=P","Fill=—","Direction=H","UseDPDF=Y")</f>
        <v>3.5512999999999999</v>
      </c>
      <c r="L23" s="13">
        <f>_xll.BDH("ALNY US Equity","IS_OTHER_NON_OPERATING_INC_LOSS","FQ3 2021","FQ3 2021","Currency=USD","Period=FQ","BEST_FPERIOD_OVERRIDE=FQ","FILING_STATUS=MR","SCALING_FORMAT=MLN","FA_ADJUSTED=Adjusted","Sort=A","Dates=H","DateFormat=P","Fill=—","Direction=H","UseDPDF=Y")</f>
        <v>1.2010000000000001</v>
      </c>
      <c r="M23" s="13">
        <f>_xll.BDH("ALNY US Equity","IS_OTHER_NON_OPERATING_INC_LOSS","FQ4 2021","FQ4 2021","Currency=USD","Period=FQ","BEST_FPERIOD_OVERRIDE=FQ","FILING_STATUS=MR","SCALING_FORMAT=MLN","FA_ADJUSTED=Adjusted","Sort=A","Dates=H","DateFormat=P","Fill=—","Direction=H","UseDPDF=Y")</f>
        <v>23.841999999999999</v>
      </c>
      <c r="N23" s="13">
        <f>_xll.BDH("ALNY US Equity","IS_OTHER_NON_OPERATING_INC_LOSS","FQ1 2022","FQ1 2022","Currency=USD","Period=FQ","BEST_FPERIOD_OVERRIDE=FQ","FILING_STATUS=MR","SCALING_FORMAT=MLN","FA_ADJUSTED=Adjusted","Sort=A","Dates=H","DateFormat=P","Fill=—","Direction=H","UseDPDF=Y")</f>
        <v>20.113</v>
      </c>
      <c r="O23" s="13">
        <f>_xll.BDH("ALNY US Equity","IS_OTHER_NON_OPERATING_INC_LOSS","FQ2 2022","FQ2 2022","Currency=USD","Period=FQ","BEST_FPERIOD_OVERRIDE=FQ","FILING_STATUS=MR","SCALING_FORMAT=MLN","FA_ADJUSTED=Adjusted","Sort=A","Dates=H","DateFormat=P","Fill=—","Direction=H","UseDPDF=Y")</f>
        <v>39.280999999999999</v>
      </c>
      <c r="P23" s="13">
        <f>_xll.BDH("ALNY US Equity","IS_OTHER_NON_OPERATING_INC_LOSS","FQ3 2022","FQ3 2022","Currency=USD","Period=FQ","BEST_FPERIOD_OVERRIDE=FQ","FILING_STATUS=MR","SCALING_FORMAT=MLN","FA_ADJUSTED=Adjusted","Sort=A","Dates=H","DateFormat=P","Fill=—","Direction=H","UseDPDF=Y")</f>
        <v>22.382999999999999</v>
      </c>
      <c r="Q23" s="13">
        <f>_xll.BDH("ALNY US Equity","IS_OTHER_NON_OPERATING_INC_LOSS","FQ4 2022","FQ4 2022","Currency=USD","Period=FQ","BEST_FPERIOD_OVERRIDE=FQ","FILING_STATUS=MR","SCALING_FORMAT=MLN","FA_ADJUSTED=Adjusted","Sort=A","Dates=H","DateFormat=P","Fill=—","Direction=H","UseDPDF=Y")</f>
        <v>9.3670000000000009</v>
      </c>
      <c r="R23" s="13">
        <f>_xll.BDH("ALNY US Equity","IS_OTHER_NON_OPERATING_INC_LOSS","FQ1 2023","FQ1 2023","Currency=USD","Period=FQ","BEST_FPERIOD_OVERRIDE=FQ","FILING_STATUS=MR","SCALING_FORMAT=MLN","FA_ADJUSTED=Adjusted","Sort=A","Dates=H","DateFormat=P","Fill=—","Direction=H","UseDPDF=Y")</f>
        <v>9.9879999999999995</v>
      </c>
      <c r="S23" s="13">
        <f>_xll.BDH("ALNY US Equity","IS_OTHER_NON_OPERATING_INC_LOSS","FQ2 2023","FQ2 2023","Currency=USD","Period=FQ","BEST_FPERIOD_OVERRIDE=FQ","FILING_STATUS=MR","SCALING_FORMAT=MLN","FA_ADJUSTED=Adjusted","Sort=A","Dates=H","DateFormat=P","Fill=—","Direction=H","UseDPDF=Y")</f>
        <v>36.817999999999998</v>
      </c>
      <c r="T23" s="13">
        <f>_xll.BDH("ALNY US Equity","IS_OTHER_NON_OPERATING_INC_LOSS","FQ3 2023","FQ3 2023","Currency=USD","Period=FQ","BEST_FPERIOD_OVERRIDE=FQ","FILING_STATUS=MR","SCALING_FORMAT=MLN","FA_ADJUSTED=Adjusted","Sort=A","Dates=H","DateFormat=P","Fill=—","Direction=H","UseDPDF=Y")</f>
        <v>40.814</v>
      </c>
      <c r="U23" s="13">
        <f>_xll.BDH("ALNY US Equity","IS_OTHER_NON_OPERATING_INC_LOSS","FQ4 2023","FQ4 2023","Currency=USD","Period=FQ","BEST_FPERIOD_OVERRIDE=FQ","FILING_STATUS=MR","SCALING_FORMAT=MLN","FA_ADJUSTED=Adjusted","Sort=A","Dates=H","DateFormat=P","Fill=—","Direction=H","UseDPDF=Y")</f>
        <v>21.117999999999999</v>
      </c>
      <c r="V23" s="13">
        <f>_xll.BDH("ALNY US Equity","IS_OTHER_NON_OPERATING_INC_LOSS","FQ1 2024","FQ1 2024","Currency=USD","Period=FQ","BEST_FPERIOD_OVERRIDE=FQ","FILING_STATUS=MR","SCALING_FORMAT=MLN","FA_ADJUSTED=Adjusted","Sort=A","Dates=H","DateFormat=P","Fill=—","Direction=H","UseDPDF=Y")</f>
        <v>14.622</v>
      </c>
      <c r="W23" s="13">
        <f>_xll.BDH("ALNY US Equity","IS_OTHER_NON_OPERATING_INC_LOSS","FQ2 2024","FQ2 2024","Currency=USD","Period=FQ","BEST_FPERIOD_OVERRIDE=FQ","FILING_STATUS=MR","SCALING_FORMAT=MLN","FA_ADJUSTED=Adjusted","Sort=A","Dates=H","DateFormat=P","Fill=—","Direction=H","UseDPDF=Y")</f>
        <v>54.338000000000001</v>
      </c>
      <c r="X23" s="13">
        <f>_xll.BDH("ALNY US Equity","IS_OTHER_NON_OPERATING_INC_LOSS","FQ3 2024","FQ3 2024","Currency=USD","Period=FQ","BEST_FPERIOD_OVERRIDE=FQ","FILING_STATUS=MR","SCALING_FORMAT=MLN","FA_ADJUSTED=Adjusted","Sort=A","Dates=H","DateFormat=P","Fill=—","Direction=H","UseDPDF=Y")</f>
        <v>27.960999999999999</v>
      </c>
      <c r="Y23" s="13">
        <f>_xll.BDH("ALNY US Equity","IS_OTHER_NON_OPERATING_INC_LOSS","FQ4 2024","FQ4 2024","Currency=USD","Period=FQ","BEST_FPERIOD_OVERRIDE=FQ","FILING_STATUS=MR","SCALING_FORMAT=MLN","FA_ADJUSTED=Adjusted","Sort=A","Dates=H","DateFormat=P","Fill=—","Direction=H","UseDPDF=Y")</f>
        <v>80.680999999999997</v>
      </c>
      <c r="Z23" s="13"/>
      <c r="AA23" s="13"/>
    </row>
    <row r="24" spans="1:27" x14ac:dyDescent="0.25">
      <c r="A24" s="6" t="s">
        <v>329</v>
      </c>
      <c r="B24" s="6" t="s">
        <v>158</v>
      </c>
      <c r="C24" s="19">
        <f>_xll.BDH("ALNY US Equity","PRETAX_INC","FQ2 2019","FQ2 2019","Currency=USD","Period=FQ","BEST_FPERIOD_OVERRIDE=FQ","FILING_STATUS=MR","SCALING_FORMAT=MLN","FA_ADJUSTED=Adjusted","Sort=A","Dates=H","DateFormat=P","Fill=—","Direction=H","UseDPDF=Y")</f>
        <v>-227.94300000000001</v>
      </c>
      <c r="D24" s="19">
        <f>_xll.BDH("ALNY US Equity","PRETAX_INC","FQ3 2019","FQ3 2019","Currency=USD","Period=FQ","BEST_FPERIOD_OVERRIDE=FQ","FILING_STATUS=MR","SCALING_FORMAT=MLN","FA_ADJUSTED=Adjusted","Sort=A","Dates=H","DateFormat=P","Fill=—","Direction=H","UseDPDF=Y")</f>
        <v>-208.929</v>
      </c>
      <c r="E24" s="19">
        <f>_xll.BDH("ALNY US Equity","PRETAX_INC","FQ4 2019","FQ4 2019","Currency=USD","Period=FQ","BEST_FPERIOD_OVERRIDE=FQ","FILING_STATUS=MR","SCALING_FORMAT=MLN","FA_ADJUSTED=Adjusted","Sort=A","Dates=H","DateFormat=P","Fill=—","Direction=H","UseDPDF=Y")</f>
        <v>-290.84500000000003</v>
      </c>
      <c r="F24" s="19">
        <f>_xll.BDH("ALNY US Equity","PRETAX_INC","FQ1 2020","FQ1 2020","Currency=USD","Period=FQ","BEST_FPERIOD_OVERRIDE=FQ","FILING_STATUS=MR","SCALING_FORMAT=MLN","FA_ADJUSTED=Adjusted","Sort=A","Dates=H","DateFormat=P","Fill=—","Direction=H","UseDPDF=Y")</f>
        <v>-205.75700000000001</v>
      </c>
      <c r="G24" s="19">
        <f>_xll.BDH("ALNY US Equity","PRETAX_INC","FQ2 2020","FQ2 2020","Currency=USD","Period=FQ","BEST_FPERIOD_OVERRIDE=FQ","FILING_STATUS=MR","SCALING_FORMAT=MLN","FA_ADJUSTED=Adjusted","Sort=A","Dates=H","DateFormat=P","Fill=—","Direction=H","UseDPDF=Y")</f>
        <v>-236.03110000000001</v>
      </c>
      <c r="H24" s="19">
        <f>_xll.BDH("ALNY US Equity","PRETAX_INC","FQ3 2020","FQ3 2020","Currency=USD","Period=FQ","BEST_FPERIOD_OVERRIDE=FQ","FILING_STATUS=MR","SCALING_FORMAT=MLN","FA_ADJUSTED=Adjusted","Sort=A","Dates=H","DateFormat=P","Fill=—","Direction=H","UseDPDF=Y")</f>
        <v>-220.02199999999999</v>
      </c>
      <c r="I24" s="19">
        <f>_xll.BDH("ALNY US Equity","PRETAX_INC","FQ4 2020","FQ4 2020","Currency=USD","Period=FQ","BEST_FPERIOD_OVERRIDE=FQ","FILING_STATUS=MR","SCALING_FORMAT=MLN","FA_ADJUSTED=Adjusted","Sort=A","Dates=H","DateFormat=P","Fill=—","Direction=H","UseDPDF=Y")</f>
        <v>-217.4539</v>
      </c>
      <c r="J24" s="19">
        <f>_xll.BDH("ALNY US Equity","PRETAX_INC","FQ1 2021","FQ1 2021","Currency=USD","Period=FQ","BEST_FPERIOD_OVERRIDE=FQ","FILING_STATUS=MR","SCALING_FORMAT=MLN","FA_ADJUSTED=Adjusted","Sort=A","Dates=H","DateFormat=P","Fill=—","Direction=H","UseDPDF=Y")</f>
        <v>-246.291</v>
      </c>
      <c r="K24" s="19">
        <f>_xll.BDH("ALNY US Equity","PRETAX_INC","FQ2 2021","FQ2 2021","Currency=USD","Period=FQ","BEST_FPERIOD_OVERRIDE=FQ","FILING_STATUS=MR","SCALING_FORMAT=MLN","FA_ADJUSTED=Adjusted","Sort=A","Dates=H","DateFormat=P","Fill=—","Direction=H","UseDPDF=Y")</f>
        <v>-182.7183</v>
      </c>
      <c r="L24" s="19">
        <f>_xll.BDH("ALNY US Equity","PRETAX_INC","FQ3 2021","FQ3 2021","Currency=USD","Period=FQ","BEST_FPERIOD_OVERRIDE=FQ","FILING_STATUS=MR","SCALING_FORMAT=MLN","FA_ADJUSTED=Adjusted","Sort=A","Dates=H","DateFormat=P","Fill=—","Direction=H","UseDPDF=Y")</f>
        <v>-212.92699999999999</v>
      </c>
      <c r="M24" s="19">
        <f>_xll.BDH("ALNY US Equity","PRETAX_INC","FQ4 2021","FQ4 2021","Currency=USD","Period=FQ","BEST_FPERIOD_OVERRIDE=FQ","FILING_STATUS=MR","SCALING_FORMAT=MLN","FA_ADJUSTED=Adjusted","Sort=A","Dates=H","DateFormat=P","Fill=—","Direction=H","UseDPDF=Y")</f>
        <v>-254.72399999999999</v>
      </c>
      <c r="N24" s="19">
        <f>_xll.BDH("ALNY US Equity","PRETAX_INC","FQ1 2022","FQ1 2022","Currency=USD","Period=FQ","BEST_FPERIOD_OVERRIDE=FQ","FILING_STATUS=MR","SCALING_FORMAT=MLN","FA_ADJUSTED=Adjusted","Sort=A","Dates=H","DateFormat=P","Fill=—","Direction=H","UseDPDF=Y")</f>
        <v>-208.19499999999999</v>
      </c>
      <c r="O24" s="19">
        <f>_xll.BDH("ALNY US Equity","PRETAX_INC","FQ2 2022","FQ2 2022","Currency=USD","Period=FQ","BEST_FPERIOD_OVERRIDE=FQ","FILING_STATUS=MR","SCALING_FORMAT=MLN","FA_ADJUSTED=Adjusted","Sort=A","Dates=H","DateFormat=P","Fill=—","Direction=H","UseDPDF=Y")</f>
        <v>-273.57600000000002</v>
      </c>
      <c r="P24" s="19">
        <f>_xll.BDH("ALNY US Equity","PRETAX_INC","FQ3 2022","FQ3 2022","Currency=USD","Period=FQ","BEST_FPERIOD_OVERRIDE=FQ","FILING_STATUS=MR","SCALING_FORMAT=MLN","FA_ADJUSTED=Adjusted","Sort=A","Dates=H","DateFormat=P","Fill=—","Direction=H","UseDPDF=Y")</f>
        <v>-321.50700000000001</v>
      </c>
      <c r="Q24" s="19">
        <f>_xll.BDH("ALNY US Equity","PRETAX_INC","FQ4 2022","FQ4 2022","Currency=USD","Period=FQ","BEST_FPERIOD_OVERRIDE=FQ","FILING_STATUS=MR","SCALING_FORMAT=MLN","FA_ADJUSTED=Adjusted","Sort=A","Dates=H","DateFormat=P","Fill=—","Direction=H","UseDPDF=Y")</f>
        <v>-213.81700000000001</v>
      </c>
      <c r="R24" s="19">
        <f>_xll.BDH("ALNY US Equity","PRETAX_INC","FQ1 2023","FQ1 2023","Currency=USD","Period=FQ","BEST_FPERIOD_OVERRIDE=FQ","FILING_STATUS=MR","SCALING_FORMAT=MLN","FA_ADJUSTED=Adjusted","Sort=A","Dates=H","DateFormat=P","Fill=—","Direction=H","UseDPDF=Y")</f>
        <v>-170.095</v>
      </c>
      <c r="S24" s="19">
        <f>_xll.BDH("ALNY US Equity","PRETAX_INC","FQ2 2023","FQ2 2023","Currency=USD","Period=FQ","BEST_FPERIOD_OVERRIDE=FQ","FILING_STATUS=MR","SCALING_FORMAT=MLN","FA_ADJUSTED=Adjusted","Sort=A","Dates=H","DateFormat=P","Fill=—","Direction=H","UseDPDF=Y")</f>
        <v>-275.60899999999998</v>
      </c>
      <c r="T24" s="19">
        <f>_xll.BDH("ALNY US Equity","PRETAX_INC","FQ3 2023","FQ3 2023","Currency=USD","Period=FQ","BEST_FPERIOD_OVERRIDE=FQ","FILING_STATUS=MR","SCALING_FORMAT=MLN","FA_ADJUSTED=Adjusted","Sort=A","Dates=H","DateFormat=P","Fill=—","Direction=H","UseDPDF=Y")</f>
        <v>167.58500000000001</v>
      </c>
      <c r="U24" s="19">
        <f>_xll.BDH("ALNY US Equity","PRETAX_INC","FQ4 2023","FQ4 2023","Currency=USD","Period=FQ","BEST_FPERIOD_OVERRIDE=FQ","FILING_STATUS=MR","SCALING_FORMAT=MLN","FA_ADJUSTED=Adjusted","Sort=A","Dates=H","DateFormat=P","Fill=—","Direction=H","UseDPDF=Y")</f>
        <v>-138.45400000000001</v>
      </c>
      <c r="V24" s="19">
        <f>_xll.BDH("ALNY US Equity","PRETAX_INC","FQ1 2024","FQ1 2024","Currency=USD","Period=FQ","BEST_FPERIOD_OVERRIDE=FQ","FILING_STATUS=MR","SCALING_FORMAT=MLN","FA_ADJUSTED=Adjusted","Sort=A","Dates=H","DateFormat=P","Fill=—","Direction=H","UseDPDF=Y")</f>
        <v>-63.664999999999999</v>
      </c>
      <c r="W24" s="19">
        <f>_xll.BDH("ALNY US Equity","PRETAX_INC","FQ2 2024","FQ2 2024","Currency=USD","Period=FQ","BEST_FPERIOD_OVERRIDE=FQ","FILING_STATUS=MR","SCALING_FORMAT=MLN","FA_ADJUSTED=Adjusted","Sort=A","Dates=H","DateFormat=P","Fill=—","Direction=H","UseDPDF=Y")</f>
        <v>-9.8000000000000007</v>
      </c>
      <c r="X24" s="19">
        <f>_xll.BDH("ALNY US Equity","PRETAX_INC","FQ3 2024","FQ3 2024","Currency=USD","Period=FQ","BEST_FPERIOD_OVERRIDE=FQ","FILING_STATUS=MR","SCALING_FORMAT=MLN","FA_ADJUSTED=Adjusted","Sort=A","Dates=H","DateFormat=P","Fill=—","Direction=H","UseDPDF=Y")</f>
        <v>-107.096</v>
      </c>
      <c r="Y24" s="19">
        <f>_xll.BDH("ALNY US Equity","PRETAX_INC","FQ4 2024","FQ4 2024","Currency=USD","Period=FQ","BEST_FPERIOD_OVERRIDE=FQ","FILING_STATUS=MR","SCALING_FORMAT=MLN","FA_ADJUSTED=Adjusted","Sort=A","Dates=H","DateFormat=P","Fill=—","Direction=H","UseDPDF=Y")</f>
        <v>-193.792</v>
      </c>
      <c r="Z24" s="19">
        <v>-99.003</v>
      </c>
      <c r="AA24" s="19">
        <v>-108.08499999999999</v>
      </c>
    </row>
    <row r="25" spans="1:27" x14ac:dyDescent="0.25">
      <c r="A25" s="10" t="s">
        <v>330</v>
      </c>
      <c r="B25" s="10" t="s">
        <v>331</v>
      </c>
      <c r="C25" s="13">
        <f>_xll.BDH("ALNY US Equity","IS_ABNORMAL_ITEM","FQ2 2019","FQ2 2019","Currency=USD","Period=FQ","BEST_FPERIOD_OVERRIDE=FQ","FILING_STATUS=MR","SCALING_FORMAT=MLN","Sort=A","Dates=H","DateFormat=P","Fill=—","Direction=H","UseDPDF=Y")</f>
        <v>-9.4220000000000006</v>
      </c>
      <c r="D25" s="13">
        <f>_xll.BDH("ALNY US Equity","IS_ABNORMAL_ITEM","FQ3 2019","FQ3 2019","Currency=USD","Period=FQ","BEST_FPERIOD_OVERRIDE=FQ","FILING_STATUS=MR","SCALING_FORMAT=MLN","Sort=A","Dates=H","DateFormat=P","Fill=—","Direction=H","UseDPDF=Y")</f>
        <v>0</v>
      </c>
      <c r="E25" s="13">
        <f>_xll.BDH("ALNY US Equity","IS_ABNORMAL_ITEM","FQ4 2019","FQ4 2019","Currency=USD","Period=FQ","BEST_FPERIOD_OVERRIDE=FQ","FILING_STATUS=MR","SCALING_FORMAT=MLN","Sort=A","Dates=H","DateFormat=P","Fill=—","Direction=H","UseDPDF=Y")</f>
        <v>-14.262</v>
      </c>
      <c r="F25" s="13">
        <f>_xll.BDH("ALNY US Equity","IS_ABNORMAL_ITEM","FQ1 2020","FQ1 2020","Currency=USD","Period=FQ","BEST_FPERIOD_OVERRIDE=FQ","FILING_STATUS=MR","SCALING_FORMAT=MLN","Sort=A","Dates=H","DateFormat=P","Fill=—","Direction=H","UseDPDF=Y")</f>
        <v>-24.111000000000001</v>
      </c>
      <c r="G25" s="13">
        <f>_xll.BDH("ALNY US Equity","IS_ABNORMAL_ITEM","FQ2 2020","FQ2 2020","Currency=USD","Period=FQ","BEST_FPERIOD_OVERRIDE=FQ","FILING_STATUS=MR","SCALING_FORMAT=MLN","Sort=A","Dates=H","DateFormat=P","Fill=—","Direction=H","UseDPDF=Y")</f>
        <v>-58.128100000000003</v>
      </c>
      <c r="H25" s="13">
        <f>_xll.BDH("ALNY US Equity","IS_ABNORMAL_ITEM","FQ3 2020","FQ3 2020","Currency=USD","Period=FQ","BEST_FPERIOD_OVERRIDE=FQ","FILING_STATUS=MR","SCALING_FORMAT=MLN","Sort=A","Dates=H","DateFormat=P","Fill=—","Direction=H","UseDPDF=Y")</f>
        <v>32.43</v>
      </c>
      <c r="I25" s="13">
        <f>_xll.BDH("ALNY US Equity","IS_ABNORMAL_ITEM","FQ4 2020","FQ4 2020","Currency=USD","Period=FQ","BEST_FPERIOD_OVERRIDE=FQ","FILING_STATUS=MR","SCALING_FORMAT=MLN","Sort=A","Dates=H","DateFormat=P","Fill=—","Direction=H","UseDPDF=Y")</f>
        <v>26.145099999999999</v>
      </c>
      <c r="J25" s="13">
        <f>_xll.BDH("ALNY US Equity","IS_ABNORMAL_ITEM","FQ1 2021","FQ1 2021","Currency=USD","Period=FQ","BEST_FPERIOD_OVERRIDE=FQ","FILING_STATUS=MR","SCALING_FORMAT=MLN","Sort=A","Dates=H","DateFormat=P","Fill=—","Direction=H","UseDPDF=Y")</f>
        <v>-47.015999999999998</v>
      </c>
      <c r="K25" s="13">
        <f>_xll.BDH("ALNY US Equity","IS_ABNORMAL_ITEM","FQ2 2021","FQ2 2021","Currency=USD","Period=FQ","BEST_FPERIOD_OVERRIDE=FQ","FILING_STATUS=MR","SCALING_FORMAT=MLN","Sort=A","Dates=H","DateFormat=P","Fill=—","Direction=H","UseDPDF=Y")</f>
        <v>5.6127000000000002</v>
      </c>
      <c r="L25" s="13">
        <f>_xll.BDH("ALNY US Equity","IS_ABNORMAL_ITEM","FQ3 2021","FQ3 2021","Currency=USD","Period=FQ","BEST_FPERIOD_OVERRIDE=FQ","FILING_STATUS=MR","SCALING_FORMAT=MLN","Sort=A","Dates=H","DateFormat=P","Fill=—","Direction=H","UseDPDF=Y")</f>
        <v>-8.6910000000000007</v>
      </c>
      <c r="M25" s="13">
        <f>_xll.BDH("ALNY US Equity","IS_ABNORMAL_ITEM","FQ4 2021","FQ4 2021","Currency=USD","Period=FQ","BEST_FPERIOD_OVERRIDE=FQ","FILING_STATUS=MR","SCALING_FORMAT=MLN","Sort=A","Dates=H","DateFormat=P","Fill=—","Direction=H","UseDPDF=Y")</f>
        <v>5.5780000000000003</v>
      </c>
      <c r="N25" s="13">
        <f>_xll.BDH("ALNY US Equity","IS_ABNORMAL_ITEM","FQ1 2022","FQ1 2022","Currency=USD","Period=FQ","BEST_FPERIOD_OVERRIDE=FQ","FILING_STATUS=MR","SCALING_FORMAT=MLN","Sort=A","Dates=H","DateFormat=P","Fill=—","Direction=H","UseDPDF=Y")</f>
        <v>31.161000000000001</v>
      </c>
      <c r="O25" s="13">
        <f>_xll.BDH("ALNY US Equity","IS_ABNORMAL_ITEM","FQ2 2022","FQ2 2022","Currency=USD","Period=FQ","BEST_FPERIOD_OVERRIDE=FQ","FILING_STATUS=MR","SCALING_FORMAT=MLN","Sort=A","Dates=H","DateFormat=P","Fill=—","Direction=H","UseDPDF=Y")</f>
        <v>1.097</v>
      </c>
      <c r="P25" s="13">
        <f>_xll.BDH("ALNY US Equity","IS_ABNORMAL_ITEM","FQ3 2022","FQ3 2022","Currency=USD","Period=FQ","BEST_FPERIOD_OVERRIDE=FQ","FILING_STATUS=MR","SCALING_FORMAT=MLN","Sort=A","Dates=H","DateFormat=P","Fill=—","Direction=H","UseDPDF=Y")</f>
        <v>84.436000000000007</v>
      </c>
      <c r="Q25" s="13">
        <f>_xll.BDH("ALNY US Equity","IS_ABNORMAL_ITEM","FQ4 2022","FQ4 2022","Currency=USD","Period=FQ","BEST_FPERIOD_OVERRIDE=FQ","FILING_STATUS=MR","SCALING_FORMAT=MLN","Sort=A","Dates=H","DateFormat=P","Fill=—","Direction=H","UseDPDF=Y")</f>
        <v>-6.7960000000000003</v>
      </c>
      <c r="R25" s="13">
        <f>_xll.BDH("ALNY US Equity","IS_ABNORMAL_ITEM","FQ1 2023","FQ1 2023","Currency=USD","Period=FQ","BEST_FPERIOD_OVERRIDE=FQ","FILING_STATUS=MR","SCALING_FORMAT=MLN","Sort=A","Dates=H","DateFormat=P","Fill=—","Direction=H","UseDPDF=Y")</f>
        <v>2.2669999999999999</v>
      </c>
      <c r="S25" s="13">
        <f>_xll.BDH("ALNY US Equity","IS_ABNORMAL_ITEM","FQ2 2023","FQ2 2023","Currency=USD","Period=FQ","BEST_FPERIOD_OVERRIDE=FQ","FILING_STATUS=MR","SCALING_FORMAT=MLN","Sort=A","Dates=H","DateFormat=P","Fill=—","Direction=H","UseDPDF=Y")</f>
        <v>-1.4</v>
      </c>
      <c r="T25" s="13">
        <f>_xll.BDH("ALNY US Equity","IS_ABNORMAL_ITEM","FQ3 2023","FQ3 2023","Currency=USD","Period=FQ","BEST_FPERIOD_OVERRIDE=FQ","FILING_STATUS=MR","SCALING_FORMAT=MLN","Sort=A","Dates=H","DateFormat=P","Fill=—","Direction=H","UseDPDF=Y")</f>
        <v>16.844000000000001</v>
      </c>
      <c r="U25" s="13">
        <f>_xll.BDH("ALNY US Equity","IS_ABNORMAL_ITEM","FQ4 2023","FQ4 2023","Currency=USD","Period=FQ","BEST_FPERIOD_OVERRIDE=FQ","FILING_STATUS=MR","SCALING_FORMAT=MLN","Sort=A","Dates=H","DateFormat=P","Fill=—","Direction=H","UseDPDF=Y")</f>
        <v>-0.76700000000000002</v>
      </c>
      <c r="V25" s="13">
        <f>_xll.BDH("ALNY US Equity","IS_ABNORMAL_ITEM","FQ1 2024","FQ1 2024","Currency=USD","Period=FQ","BEST_FPERIOD_OVERRIDE=FQ","FILING_STATUS=MR","SCALING_FORMAT=MLN","Sort=A","Dates=H","DateFormat=P","Fill=—","Direction=H","UseDPDF=Y")</f>
        <v>-7.8E-2</v>
      </c>
      <c r="W25" s="13">
        <f>_xll.BDH("ALNY US Equity","IS_ABNORMAL_ITEM","FQ2 2024","FQ2 2024","Currency=USD","Period=FQ","BEST_FPERIOD_OVERRIDE=FQ","FILING_STATUS=MR","SCALING_FORMAT=MLN","Sort=A","Dates=H","DateFormat=P","Fill=—","Direction=H","UseDPDF=Y")</f>
        <v>1.367</v>
      </c>
      <c r="X25" s="13">
        <f>_xll.BDH("ALNY US Equity","IS_ABNORMAL_ITEM","FQ3 2024","FQ3 2024","Currency=USD","Period=FQ","BEST_FPERIOD_OVERRIDE=FQ","FILING_STATUS=MR","SCALING_FORMAT=MLN","Sort=A","Dates=H","DateFormat=P","Fill=—","Direction=H","UseDPDF=Y")</f>
        <v>1.5669999999999999</v>
      </c>
      <c r="Y25" s="13">
        <f>_xll.BDH("ALNY US Equity","IS_ABNORMAL_ITEM","FQ4 2024","FQ4 2024","Currency=USD","Period=FQ","BEST_FPERIOD_OVERRIDE=FQ","FILING_STATUS=MR","SCALING_FORMAT=MLN","Sort=A","Dates=H","DateFormat=P","Fill=—","Direction=H","UseDPDF=Y")</f>
        <v>0.16600000000000001</v>
      </c>
      <c r="Z25" s="13"/>
      <c r="AA25" s="13"/>
    </row>
    <row r="26" spans="1:27" x14ac:dyDescent="0.25">
      <c r="A26" s="10" t="s">
        <v>332</v>
      </c>
      <c r="B26" s="10" t="s">
        <v>333</v>
      </c>
      <c r="C26" s="13" t="str">
        <f>_xll.BDH("ALNY US Equity","IS_MERGER_ACQUISITION_EXPENSE","FQ2 2019","FQ2 2019","Currency=USD","Period=FQ","BEST_FPERIOD_OVERRIDE=FQ","FILING_STATUS=MR","SCALING_FORMAT=MLN","Sort=A","Dates=H","DateFormat=P","Fill=—","Direction=H","UseDPDF=Y")</f>
        <v>—</v>
      </c>
      <c r="D26" s="13" t="str">
        <f>_xll.BDH("ALNY US Equity","IS_MERGER_ACQUISITION_EXPENSE","FQ3 2019","FQ3 2019","Currency=USD","Period=FQ","BEST_FPERIOD_OVERRIDE=FQ","FILING_STATUS=MR","SCALING_FORMAT=MLN","Sort=A","Dates=H","DateFormat=P","Fill=—","Direction=H","UseDPDF=Y")</f>
        <v>—</v>
      </c>
      <c r="E26" s="13" t="str">
        <f>_xll.BDH("ALNY US Equity","IS_MERGER_ACQUISITION_EXPENSE","FQ4 2019","FQ4 2019","Currency=USD","Period=FQ","BEST_FPERIOD_OVERRIDE=FQ","FILING_STATUS=MR","SCALING_FORMAT=MLN","Sort=A","Dates=H","DateFormat=P","Fill=—","Direction=H","UseDPDF=Y")</f>
        <v>—</v>
      </c>
      <c r="F26" s="13" t="str">
        <f>_xll.BDH("ALNY US Equity","IS_MERGER_ACQUISITION_EXPENSE","FQ1 2020","FQ1 2020","Currency=USD","Period=FQ","BEST_FPERIOD_OVERRIDE=FQ","FILING_STATUS=MR","SCALING_FORMAT=MLN","Sort=A","Dates=H","DateFormat=P","Fill=—","Direction=H","UseDPDF=Y")</f>
        <v>—</v>
      </c>
      <c r="G26" s="13" t="str">
        <f>_xll.BDH("ALNY US Equity","IS_MERGER_ACQUISITION_EXPENSE","FQ2 2020","FQ2 2020","Currency=USD","Period=FQ","BEST_FPERIOD_OVERRIDE=FQ","FILING_STATUS=MR","SCALING_FORMAT=MLN","Sort=A","Dates=H","DateFormat=P","Fill=—","Direction=H","UseDPDF=Y")</f>
        <v>—</v>
      </c>
      <c r="H26" s="13">
        <f>_xll.BDH("ALNY US Equity","IS_MERGER_ACQUISITION_EXPENSE","FQ3 2020","FQ3 2020","Currency=USD","Period=FQ","BEST_FPERIOD_OVERRIDE=FQ","FILING_STATUS=MR","SCALING_FORMAT=MLN","Sort=A","Dates=H","DateFormat=P","Fill=—","Direction=H","UseDPDF=Y")</f>
        <v>28</v>
      </c>
      <c r="I26" s="13">
        <f>_xll.BDH("ALNY US Equity","IS_MERGER_ACQUISITION_EXPENSE","FQ4 2020","FQ4 2020","Currency=USD","Period=FQ","BEST_FPERIOD_OVERRIDE=FQ","FILING_STATUS=MR","SCALING_FORMAT=MLN","Sort=A","Dates=H","DateFormat=P","Fill=—","Direction=H","UseDPDF=Y")</f>
        <v>10.215999999999999</v>
      </c>
      <c r="J26" s="13" t="str">
        <f>_xll.BDH("ALNY US Equity","IS_MERGER_ACQUISITION_EXPENSE","FQ1 2021","FQ1 2021","Currency=USD","Period=FQ","BEST_FPERIOD_OVERRIDE=FQ","FILING_STATUS=MR","SCALING_FORMAT=MLN","Sort=A","Dates=H","DateFormat=P","Fill=—","Direction=H","UseDPDF=Y")</f>
        <v>—</v>
      </c>
      <c r="K26" s="13" t="str">
        <f>_xll.BDH("ALNY US Equity","IS_MERGER_ACQUISITION_EXPENSE","FQ2 2021","FQ2 2021","Currency=USD","Period=FQ","BEST_FPERIOD_OVERRIDE=FQ","FILING_STATUS=MR","SCALING_FORMAT=MLN","Sort=A","Dates=H","DateFormat=P","Fill=—","Direction=H","UseDPDF=Y")</f>
        <v>—</v>
      </c>
      <c r="L26" s="13" t="str">
        <f>_xll.BDH("ALNY US Equity","IS_MERGER_ACQUISITION_EXPENSE","FQ3 2021","FQ3 2021","Currency=USD","Period=FQ","BEST_FPERIOD_OVERRIDE=FQ","FILING_STATUS=MR","SCALING_FORMAT=MLN","Sort=A","Dates=H","DateFormat=P","Fill=—","Direction=H","UseDPDF=Y")</f>
        <v>—</v>
      </c>
      <c r="M26" s="13" t="str">
        <f>_xll.BDH("ALNY US Equity","IS_MERGER_ACQUISITION_EXPENSE","FQ4 2021","FQ4 2021","Currency=USD","Period=FQ","BEST_FPERIOD_OVERRIDE=FQ","FILING_STATUS=MR","SCALING_FORMAT=MLN","Sort=A","Dates=H","DateFormat=P","Fill=—","Direction=H","UseDPDF=Y")</f>
        <v>—</v>
      </c>
      <c r="N26" s="13" t="str">
        <f>_xll.BDH("ALNY US Equity","IS_MERGER_ACQUISITION_EXPENSE","FQ1 2022","FQ1 2022","Currency=USD","Period=FQ","BEST_FPERIOD_OVERRIDE=FQ","FILING_STATUS=MR","SCALING_FORMAT=MLN","Sort=A","Dates=H","DateFormat=P","Fill=—","Direction=H","UseDPDF=Y")</f>
        <v>—</v>
      </c>
      <c r="O26" s="13" t="str">
        <f>_xll.BDH("ALNY US Equity","IS_MERGER_ACQUISITION_EXPENSE","FQ2 2022","FQ2 2022","Currency=USD","Period=FQ","BEST_FPERIOD_OVERRIDE=FQ","FILING_STATUS=MR","SCALING_FORMAT=MLN","Sort=A","Dates=H","DateFormat=P","Fill=—","Direction=H","UseDPDF=Y")</f>
        <v>—</v>
      </c>
      <c r="P26" s="13" t="str">
        <f>_xll.BDH("ALNY US Equity","IS_MERGER_ACQUISITION_EXPENSE","FQ3 2022","FQ3 2022","Currency=USD","Period=FQ","BEST_FPERIOD_OVERRIDE=FQ","FILING_STATUS=MR","SCALING_FORMAT=MLN","Sort=A","Dates=H","DateFormat=P","Fill=—","Direction=H","UseDPDF=Y")</f>
        <v>—</v>
      </c>
      <c r="Q26" s="13" t="str">
        <f>_xll.BDH("ALNY US Equity","IS_MERGER_ACQUISITION_EXPENSE","FQ4 2022","FQ4 2022","Currency=USD","Period=FQ","BEST_FPERIOD_OVERRIDE=FQ","FILING_STATUS=MR","SCALING_FORMAT=MLN","Sort=A","Dates=H","DateFormat=P","Fill=—","Direction=H","UseDPDF=Y")</f>
        <v>—</v>
      </c>
      <c r="R26" s="13" t="str">
        <f>_xll.BDH("ALNY US Equity","IS_MERGER_ACQUISITION_EXPENSE","FQ1 2023","FQ1 2023","Currency=USD","Period=FQ","BEST_FPERIOD_OVERRIDE=FQ","FILING_STATUS=MR","SCALING_FORMAT=MLN","Sort=A","Dates=H","DateFormat=P","Fill=—","Direction=H","UseDPDF=Y")</f>
        <v>—</v>
      </c>
      <c r="S26" s="13" t="str">
        <f>_xll.BDH("ALNY US Equity","IS_MERGER_ACQUISITION_EXPENSE","FQ2 2023","FQ2 2023","Currency=USD","Period=FQ","BEST_FPERIOD_OVERRIDE=FQ","FILING_STATUS=MR","SCALING_FORMAT=MLN","Sort=A","Dates=H","DateFormat=P","Fill=—","Direction=H","UseDPDF=Y")</f>
        <v>—</v>
      </c>
      <c r="T26" s="13" t="str">
        <f>_xll.BDH("ALNY US Equity","IS_MERGER_ACQUISITION_EXPENSE","FQ3 2023","FQ3 2023","Currency=USD","Period=FQ","BEST_FPERIOD_OVERRIDE=FQ","FILING_STATUS=MR","SCALING_FORMAT=MLN","Sort=A","Dates=H","DateFormat=P","Fill=—","Direction=H","UseDPDF=Y")</f>
        <v>—</v>
      </c>
      <c r="U26" s="13" t="str">
        <f>_xll.BDH("ALNY US Equity","IS_MERGER_ACQUISITION_EXPENSE","FQ4 2023","FQ4 2023","Currency=USD","Period=FQ","BEST_FPERIOD_OVERRIDE=FQ","FILING_STATUS=MR","SCALING_FORMAT=MLN","Sort=A","Dates=H","DateFormat=P","Fill=—","Direction=H","UseDPDF=Y")</f>
        <v>—</v>
      </c>
      <c r="V26" s="13" t="str">
        <f>_xll.BDH("ALNY US Equity","IS_MERGER_ACQUISITION_EXPENSE","FQ1 2024","FQ1 2024","Currency=USD","Period=FQ","BEST_FPERIOD_OVERRIDE=FQ","FILING_STATUS=MR","SCALING_FORMAT=MLN","Sort=A","Dates=H","DateFormat=P","Fill=—","Direction=H","UseDPDF=Y")</f>
        <v>—</v>
      </c>
      <c r="W26" s="13" t="str">
        <f>_xll.BDH("ALNY US Equity","IS_MERGER_ACQUISITION_EXPENSE","FQ2 2024","FQ2 2024","Currency=USD","Period=FQ","BEST_FPERIOD_OVERRIDE=FQ","FILING_STATUS=MR","SCALING_FORMAT=MLN","Sort=A","Dates=H","DateFormat=P","Fill=—","Direction=H","UseDPDF=Y")</f>
        <v>—</v>
      </c>
      <c r="X26" s="13" t="str">
        <f>_xll.BDH("ALNY US Equity","IS_MERGER_ACQUISITION_EXPENSE","FQ3 2024","FQ3 2024","Currency=USD","Period=FQ","BEST_FPERIOD_OVERRIDE=FQ","FILING_STATUS=MR","SCALING_FORMAT=MLN","Sort=A","Dates=H","DateFormat=P","Fill=—","Direction=H","UseDPDF=Y")</f>
        <v>—</v>
      </c>
      <c r="Y26" s="13" t="str">
        <f>_xll.BDH("ALNY US Equity","IS_MERGER_ACQUISITION_EXPENSE","FQ4 2024","FQ4 2024","Currency=USD","Period=FQ","BEST_FPERIOD_OVERRIDE=FQ","FILING_STATUS=MR","SCALING_FORMAT=MLN","Sort=A","Dates=H","DateFormat=P","Fill=—","Direction=H","UseDPDF=Y")</f>
        <v>—</v>
      </c>
      <c r="Z26" s="13"/>
      <c r="AA26" s="13"/>
    </row>
    <row r="27" spans="1:27" x14ac:dyDescent="0.25">
      <c r="A27" s="10" t="s">
        <v>334</v>
      </c>
      <c r="B27" s="10" t="s">
        <v>335</v>
      </c>
      <c r="C27" s="13" t="str">
        <f>_xll.BDH("ALNY US Equity","IS_G_L_ON_EXT_DBT_OR_SETTLE_DBT","FQ2 2019","FQ2 2019","Currency=USD","Period=FQ","BEST_FPERIOD_OVERRIDE=FQ","FILING_STATUS=MR","SCALING_FORMAT=MLN","Sort=A","Dates=H","DateFormat=P","Fill=—","Direction=H","UseDPDF=Y")</f>
        <v>—</v>
      </c>
      <c r="D27" s="13" t="str">
        <f>_xll.BDH("ALNY US Equity","IS_G_L_ON_EXT_DBT_OR_SETTLE_DBT","FQ3 2019","FQ3 2019","Currency=USD","Period=FQ","BEST_FPERIOD_OVERRIDE=FQ","FILING_STATUS=MR","SCALING_FORMAT=MLN","Sort=A","Dates=H","DateFormat=P","Fill=—","Direction=H","UseDPDF=Y")</f>
        <v>—</v>
      </c>
      <c r="E27" s="13" t="str">
        <f>_xll.BDH("ALNY US Equity","IS_G_L_ON_EXT_DBT_OR_SETTLE_DBT","FQ4 2019","FQ4 2019","Currency=USD","Period=FQ","BEST_FPERIOD_OVERRIDE=FQ","FILING_STATUS=MR","SCALING_FORMAT=MLN","Sort=A","Dates=H","DateFormat=P","Fill=—","Direction=H","UseDPDF=Y")</f>
        <v>—</v>
      </c>
      <c r="F27" s="13" t="str">
        <f>_xll.BDH("ALNY US Equity","IS_G_L_ON_EXT_DBT_OR_SETTLE_DBT","FQ1 2020","FQ1 2020","Currency=USD","Period=FQ","BEST_FPERIOD_OVERRIDE=FQ","FILING_STATUS=MR","SCALING_FORMAT=MLN","Sort=A","Dates=H","DateFormat=P","Fill=—","Direction=H","UseDPDF=Y")</f>
        <v>—</v>
      </c>
      <c r="G27" s="13" t="str">
        <f>_xll.BDH("ALNY US Equity","IS_G_L_ON_EXT_DBT_OR_SETTLE_DBT","FQ2 2020","FQ2 2020","Currency=USD","Period=FQ","BEST_FPERIOD_OVERRIDE=FQ","FILING_STATUS=MR","SCALING_FORMAT=MLN","Sort=A","Dates=H","DateFormat=P","Fill=—","Direction=H","UseDPDF=Y")</f>
        <v>—</v>
      </c>
      <c r="H27" s="13" t="str">
        <f>_xll.BDH("ALNY US Equity","IS_G_L_ON_EXT_DBT_OR_SETTLE_DBT","FQ3 2020","FQ3 2020","Currency=USD","Period=FQ","BEST_FPERIOD_OVERRIDE=FQ","FILING_STATUS=MR","SCALING_FORMAT=MLN","Sort=A","Dates=H","DateFormat=P","Fill=—","Direction=H","UseDPDF=Y")</f>
        <v>—</v>
      </c>
      <c r="I27" s="13" t="str">
        <f>_xll.BDH("ALNY US Equity","IS_G_L_ON_EXT_DBT_OR_SETTLE_DBT","FQ4 2020","FQ4 2020","Currency=USD","Period=FQ","BEST_FPERIOD_OVERRIDE=FQ","FILING_STATUS=MR","SCALING_FORMAT=MLN","Sort=A","Dates=H","DateFormat=P","Fill=—","Direction=H","UseDPDF=Y")</f>
        <v>—</v>
      </c>
      <c r="J27" s="13" t="str">
        <f>_xll.BDH("ALNY US Equity","IS_G_L_ON_EXT_DBT_OR_SETTLE_DBT","FQ1 2021","FQ1 2021","Currency=USD","Period=FQ","BEST_FPERIOD_OVERRIDE=FQ","FILING_STATUS=MR","SCALING_FORMAT=MLN","Sort=A","Dates=H","DateFormat=P","Fill=—","Direction=H","UseDPDF=Y")</f>
        <v>—</v>
      </c>
      <c r="K27" s="13" t="str">
        <f>_xll.BDH("ALNY US Equity","IS_G_L_ON_EXT_DBT_OR_SETTLE_DBT","FQ2 2021","FQ2 2021","Currency=USD","Period=FQ","BEST_FPERIOD_OVERRIDE=FQ","FILING_STATUS=MR","SCALING_FORMAT=MLN","Sort=A","Dates=H","DateFormat=P","Fill=—","Direction=H","UseDPDF=Y")</f>
        <v>—</v>
      </c>
      <c r="L27" s="13" t="str">
        <f>_xll.BDH("ALNY US Equity","IS_G_L_ON_EXT_DBT_OR_SETTLE_DBT","FQ3 2021","FQ3 2021","Currency=USD","Period=FQ","BEST_FPERIOD_OVERRIDE=FQ","FILING_STATUS=MR","SCALING_FORMAT=MLN","Sort=A","Dates=H","DateFormat=P","Fill=—","Direction=H","UseDPDF=Y")</f>
        <v>—</v>
      </c>
      <c r="M27" s="13" t="str">
        <f>_xll.BDH("ALNY US Equity","IS_G_L_ON_EXT_DBT_OR_SETTLE_DBT","FQ4 2021","FQ4 2021","Currency=USD","Period=FQ","BEST_FPERIOD_OVERRIDE=FQ","FILING_STATUS=MR","SCALING_FORMAT=MLN","Sort=A","Dates=H","DateFormat=P","Fill=—","Direction=H","UseDPDF=Y")</f>
        <v>—</v>
      </c>
      <c r="N27" s="13" t="str">
        <f>_xll.BDH("ALNY US Equity","IS_G_L_ON_EXT_DBT_OR_SETTLE_DBT","FQ1 2022","FQ1 2022","Currency=USD","Period=FQ","BEST_FPERIOD_OVERRIDE=FQ","FILING_STATUS=MR","SCALING_FORMAT=MLN","Sort=A","Dates=H","DateFormat=P","Fill=—","Direction=H","UseDPDF=Y")</f>
        <v>—</v>
      </c>
      <c r="O27" s="13" t="str">
        <f>_xll.BDH("ALNY US Equity","IS_G_L_ON_EXT_DBT_OR_SETTLE_DBT","FQ2 2022","FQ2 2022","Currency=USD","Period=FQ","BEST_FPERIOD_OVERRIDE=FQ","FILING_STATUS=MR","SCALING_FORMAT=MLN","Sort=A","Dates=H","DateFormat=P","Fill=—","Direction=H","UseDPDF=Y")</f>
        <v>—</v>
      </c>
      <c r="P27" s="13">
        <f>_xll.BDH("ALNY US Equity","IS_G_L_ON_EXT_DBT_OR_SETTLE_DBT","FQ3 2022","FQ3 2022","Currency=USD","Period=FQ","BEST_FPERIOD_OVERRIDE=FQ","FILING_STATUS=MR","SCALING_FORMAT=MLN","Sort=A","Dates=H","DateFormat=P","Fill=—","Direction=H","UseDPDF=Y")</f>
        <v>76.585999999999999</v>
      </c>
      <c r="Q27" s="13" t="str">
        <f>_xll.BDH("ALNY US Equity","IS_G_L_ON_EXT_DBT_OR_SETTLE_DBT","FQ4 2022","FQ4 2022","Currency=USD","Period=FQ","BEST_FPERIOD_OVERRIDE=FQ","FILING_STATUS=MR","SCALING_FORMAT=MLN","Sort=A","Dates=H","DateFormat=P","Fill=—","Direction=H","UseDPDF=Y")</f>
        <v>—</v>
      </c>
      <c r="R27" s="13" t="str">
        <f>_xll.BDH("ALNY US Equity","IS_G_L_ON_EXT_DBT_OR_SETTLE_DBT","FQ1 2023","FQ1 2023","Currency=USD","Period=FQ","BEST_FPERIOD_OVERRIDE=FQ","FILING_STATUS=MR","SCALING_FORMAT=MLN","Sort=A","Dates=H","DateFormat=P","Fill=—","Direction=H","UseDPDF=Y")</f>
        <v>—</v>
      </c>
      <c r="S27" s="13" t="str">
        <f>_xll.BDH("ALNY US Equity","IS_G_L_ON_EXT_DBT_OR_SETTLE_DBT","FQ2 2023","FQ2 2023","Currency=USD","Period=FQ","BEST_FPERIOD_OVERRIDE=FQ","FILING_STATUS=MR","SCALING_FORMAT=MLN","Sort=A","Dates=H","DateFormat=P","Fill=—","Direction=H","UseDPDF=Y")</f>
        <v>—</v>
      </c>
      <c r="T27" s="13" t="str">
        <f>_xll.BDH("ALNY US Equity","IS_G_L_ON_EXT_DBT_OR_SETTLE_DBT","FQ3 2023","FQ3 2023","Currency=USD","Period=FQ","BEST_FPERIOD_OVERRIDE=FQ","FILING_STATUS=MR","SCALING_FORMAT=MLN","Sort=A","Dates=H","DateFormat=P","Fill=—","Direction=H","UseDPDF=Y")</f>
        <v>—</v>
      </c>
      <c r="U27" s="13" t="str">
        <f>_xll.BDH("ALNY US Equity","IS_G_L_ON_EXT_DBT_OR_SETTLE_DBT","FQ4 2023","FQ4 2023","Currency=USD","Period=FQ","BEST_FPERIOD_OVERRIDE=FQ","FILING_STATUS=MR","SCALING_FORMAT=MLN","Sort=A","Dates=H","DateFormat=P","Fill=—","Direction=H","UseDPDF=Y")</f>
        <v>—</v>
      </c>
      <c r="V27" s="13" t="str">
        <f>_xll.BDH("ALNY US Equity","IS_G_L_ON_EXT_DBT_OR_SETTLE_DBT","FQ1 2024","FQ1 2024","Currency=USD","Period=FQ","BEST_FPERIOD_OVERRIDE=FQ","FILING_STATUS=MR","SCALING_FORMAT=MLN","Sort=A","Dates=H","DateFormat=P","Fill=—","Direction=H","UseDPDF=Y")</f>
        <v>—</v>
      </c>
      <c r="W27" s="13" t="str">
        <f>_xll.BDH("ALNY US Equity","IS_G_L_ON_EXT_DBT_OR_SETTLE_DBT","FQ2 2024","FQ2 2024","Currency=USD","Period=FQ","BEST_FPERIOD_OVERRIDE=FQ","FILING_STATUS=MR","SCALING_FORMAT=MLN","Sort=A","Dates=H","DateFormat=P","Fill=—","Direction=H","UseDPDF=Y")</f>
        <v>—</v>
      </c>
      <c r="X27" s="13" t="str">
        <f>_xll.BDH("ALNY US Equity","IS_G_L_ON_EXT_DBT_OR_SETTLE_DBT","FQ3 2024","FQ3 2024","Currency=USD","Period=FQ","BEST_FPERIOD_OVERRIDE=FQ","FILING_STATUS=MR","SCALING_FORMAT=MLN","Sort=A","Dates=H","DateFormat=P","Fill=—","Direction=H","UseDPDF=Y")</f>
        <v>—</v>
      </c>
      <c r="Y27" s="13" t="str">
        <f>_xll.BDH("ALNY US Equity","IS_G_L_ON_EXT_DBT_OR_SETTLE_DBT","FQ4 2024","FQ4 2024","Currency=USD","Period=FQ","BEST_FPERIOD_OVERRIDE=FQ","FILING_STATUS=MR","SCALING_FORMAT=MLN","Sort=A","Dates=H","DateFormat=P","Fill=—","Direction=H","UseDPDF=Y")</f>
        <v>—</v>
      </c>
      <c r="Z27" s="13"/>
      <c r="AA27" s="13"/>
    </row>
    <row r="28" spans="1:27" x14ac:dyDescent="0.25">
      <c r="A28" s="10" t="s">
        <v>336</v>
      </c>
      <c r="B28" s="10" t="s">
        <v>337</v>
      </c>
      <c r="C28" s="13" t="str">
        <f>_xll.BDH("ALNY US Equity","IS_LEGAL_LITIGATION_SETTLEMENT","FQ2 2019","FQ2 2019","Currency=USD","Period=FQ","BEST_FPERIOD_OVERRIDE=FQ","FILING_STATUS=MR","SCALING_FORMAT=MLN","Sort=A","Dates=H","DateFormat=P","Fill=—","Direction=H","UseDPDF=Y")</f>
        <v>—</v>
      </c>
      <c r="D28" s="13" t="str">
        <f>_xll.BDH("ALNY US Equity","IS_LEGAL_LITIGATION_SETTLEMENT","FQ3 2019","FQ3 2019","Currency=USD","Period=FQ","BEST_FPERIOD_OVERRIDE=FQ","FILING_STATUS=MR","SCALING_FORMAT=MLN","Sort=A","Dates=H","DateFormat=P","Fill=—","Direction=H","UseDPDF=Y")</f>
        <v>—</v>
      </c>
      <c r="E28" s="13" t="str">
        <f>_xll.BDH("ALNY US Equity","IS_LEGAL_LITIGATION_SETTLEMENT","FQ4 2019","FQ4 2019","Currency=USD","Period=FQ","BEST_FPERIOD_OVERRIDE=FQ","FILING_STATUS=MR","SCALING_FORMAT=MLN","Sort=A","Dates=H","DateFormat=P","Fill=—","Direction=H","UseDPDF=Y")</f>
        <v>—</v>
      </c>
      <c r="F28" s="13" t="str">
        <f>_xll.BDH("ALNY US Equity","IS_LEGAL_LITIGATION_SETTLEMENT","FQ1 2020","FQ1 2020","Currency=USD","Period=FQ","BEST_FPERIOD_OVERRIDE=FQ","FILING_STATUS=MR","SCALING_FORMAT=MLN","Sort=A","Dates=H","DateFormat=P","Fill=—","Direction=H","UseDPDF=Y")</f>
        <v>—</v>
      </c>
      <c r="G28" s="13">
        <f>_xll.BDH("ALNY US Equity","IS_LEGAL_LITIGATION_SETTLEMENT","FQ2 2020","FQ2 2020","Currency=USD","Period=FQ","BEST_FPERIOD_OVERRIDE=FQ","FILING_STATUS=MR","SCALING_FORMAT=MLN","Sort=A","Dates=H","DateFormat=P","Fill=—","Direction=H","UseDPDF=Y")</f>
        <v>-0.81269999999999998</v>
      </c>
      <c r="H28" s="13">
        <f>_xll.BDH("ALNY US Equity","IS_LEGAL_LITIGATION_SETTLEMENT","FQ3 2020","FQ3 2020","Currency=USD","Period=FQ","BEST_FPERIOD_OVERRIDE=FQ","FILING_STATUS=MR","SCALING_FORMAT=MLN","Sort=A","Dates=H","DateFormat=P","Fill=—","Direction=H","UseDPDF=Y")</f>
        <v>0.65</v>
      </c>
      <c r="I28" s="13" t="str">
        <f>_xll.BDH("ALNY US Equity","IS_LEGAL_LITIGATION_SETTLEMENT","FQ4 2020","FQ4 2020","Currency=USD","Period=FQ","BEST_FPERIOD_OVERRIDE=FQ","FILING_STATUS=MR","SCALING_FORMAT=MLN","Sort=A","Dates=H","DateFormat=P","Fill=—","Direction=H","UseDPDF=Y")</f>
        <v>—</v>
      </c>
      <c r="J28" s="13" t="str">
        <f>_xll.BDH("ALNY US Equity","IS_LEGAL_LITIGATION_SETTLEMENT","FQ1 2021","FQ1 2021","Currency=USD","Period=FQ","BEST_FPERIOD_OVERRIDE=FQ","FILING_STATUS=MR","SCALING_FORMAT=MLN","Sort=A","Dates=H","DateFormat=P","Fill=—","Direction=H","UseDPDF=Y")</f>
        <v>—</v>
      </c>
      <c r="K28" s="13" t="str">
        <f>_xll.BDH("ALNY US Equity","IS_LEGAL_LITIGATION_SETTLEMENT","FQ2 2021","FQ2 2021","Currency=USD","Period=FQ","BEST_FPERIOD_OVERRIDE=FQ","FILING_STATUS=MR","SCALING_FORMAT=MLN","Sort=A","Dates=H","DateFormat=P","Fill=—","Direction=H","UseDPDF=Y")</f>
        <v>—</v>
      </c>
      <c r="L28" s="13" t="str">
        <f>_xll.BDH("ALNY US Equity","IS_LEGAL_LITIGATION_SETTLEMENT","FQ3 2021","FQ3 2021","Currency=USD","Period=FQ","BEST_FPERIOD_OVERRIDE=FQ","FILING_STATUS=MR","SCALING_FORMAT=MLN","Sort=A","Dates=H","DateFormat=P","Fill=—","Direction=H","UseDPDF=Y")</f>
        <v>—</v>
      </c>
      <c r="M28" s="13" t="str">
        <f>_xll.BDH("ALNY US Equity","IS_LEGAL_LITIGATION_SETTLEMENT","FQ4 2021","FQ4 2021","Currency=USD","Period=FQ","BEST_FPERIOD_OVERRIDE=FQ","FILING_STATUS=MR","SCALING_FORMAT=MLN","Sort=A","Dates=H","DateFormat=P","Fill=—","Direction=H","UseDPDF=Y")</f>
        <v>—</v>
      </c>
      <c r="N28" s="13" t="str">
        <f>_xll.BDH("ALNY US Equity","IS_LEGAL_LITIGATION_SETTLEMENT","FQ1 2022","FQ1 2022","Currency=USD","Period=FQ","BEST_FPERIOD_OVERRIDE=FQ","FILING_STATUS=MR","SCALING_FORMAT=MLN","Sort=A","Dates=H","DateFormat=P","Fill=—","Direction=H","UseDPDF=Y")</f>
        <v>—</v>
      </c>
      <c r="O28" s="13" t="str">
        <f>_xll.BDH("ALNY US Equity","IS_LEGAL_LITIGATION_SETTLEMENT","FQ2 2022","FQ2 2022","Currency=USD","Period=FQ","BEST_FPERIOD_OVERRIDE=FQ","FILING_STATUS=MR","SCALING_FORMAT=MLN","Sort=A","Dates=H","DateFormat=P","Fill=—","Direction=H","UseDPDF=Y")</f>
        <v>—</v>
      </c>
      <c r="P28" s="13" t="str">
        <f>_xll.BDH("ALNY US Equity","IS_LEGAL_LITIGATION_SETTLEMENT","FQ3 2022","FQ3 2022","Currency=USD","Period=FQ","BEST_FPERIOD_OVERRIDE=FQ","FILING_STATUS=MR","SCALING_FORMAT=MLN","Sort=A","Dates=H","DateFormat=P","Fill=—","Direction=H","UseDPDF=Y")</f>
        <v>—</v>
      </c>
      <c r="Q28" s="13" t="str">
        <f>_xll.BDH("ALNY US Equity","IS_LEGAL_LITIGATION_SETTLEMENT","FQ4 2022","FQ4 2022","Currency=USD","Period=FQ","BEST_FPERIOD_OVERRIDE=FQ","FILING_STATUS=MR","SCALING_FORMAT=MLN","Sort=A","Dates=H","DateFormat=P","Fill=—","Direction=H","UseDPDF=Y")</f>
        <v>—</v>
      </c>
      <c r="R28" s="13" t="str">
        <f>_xll.BDH("ALNY US Equity","IS_LEGAL_LITIGATION_SETTLEMENT","FQ1 2023","FQ1 2023","Currency=USD","Period=FQ","BEST_FPERIOD_OVERRIDE=FQ","FILING_STATUS=MR","SCALING_FORMAT=MLN","Sort=A","Dates=H","DateFormat=P","Fill=—","Direction=H","UseDPDF=Y")</f>
        <v>—</v>
      </c>
      <c r="S28" s="13" t="str">
        <f>_xll.BDH("ALNY US Equity","IS_LEGAL_LITIGATION_SETTLEMENT","FQ2 2023","FQ2 2023","Currency=USD","Period=FQ","BEST_FPERIOD_OVERRIDE=FQ","FILING_STATUS=MR","SCALING_FORMAT=MLN","Sort=A","Dates=H","DateFormat=P","Fill=—","Direction=H","UseDPDF=Y")</f>
        <v>—</v>
      </c>
      <c r="T28" s="13" t="str">
        <f>_xll.BDH("ALNY US Equity","IS_LEGAL_LITIGATION_SETTLEMENT","FQ3 2023","FQ3 2023","Currency=USD","Period=FQ","BEST_FPERIOD_OVERRIDE=FQ","FILING_STATUS=MR","SCALING_FORMAT=MLN","Sort=A","Dates=H","DateFormat=P","Fill=—","Direction=H","UseDPDF=Y")</f>
        <v>—</v>
      </c>
      <c r="U28" s="13" t="str">
        <f>_xll.BDH("ALNY US Equity","IS_LEGAL_LITIGATION_SETTLEMENT","FQ4 2023","FQ4 2023","Currency=USD","Period=FQ","BEST_FPERIOD_OVERRIDE=FQ","FILING_STATUS=MR","SCALING_FORMAT=MLN","Sort=A","Dates=H","DateFormat=P","Fill=—","Direction=H","UseDPDF=Y")</f>
        <v>—</v>
      </c>
      <c r="V28" s="13" t="str">
        <f>_xll.BDH("ALNY US Equity","IS_LEGAL_LITIGATION_SETTLEMENT","FQ1 2024","FQ1 2024","Currency=USD","Period=FQ","BEST_FPERIOD_OVERRIDE=FQ","FILING_STATUS=MR","SCALING_FORMAT=MLN","Sort=A","Dates=H","DateFormat=P","Fill=—","Direction=H","UseDPDF=Y")</f>
        <v>—</v>
      </c>
      <c r="W28" s="13" t="str">
        <f>_xll.BDH("ALNY US Equity","IS_LEGAL_LITIGATION_SETTLEMENT","FQ2 2024","FQ2 2024","Currency=USD","Period=FQ","BEST_FPERIOD_OVERRIDE=FQ","FILING_STATUS=MR","SCALING_FORMAT=MLN","Sort=A","Dates=H","DateFormat=P","Fill=—","Direction=H","UseDPDF=Y")</f>
        <v>—</v>
      </c>
      <c r="X28" s="13" t="str">
        <f>_xll.BDH("ALNY US Equity","IS_LEGAL_LITIGATION_SETTLEMENT","FQ3 2024","FQ3 2024","Currency=USD","Period=FQ","BEST_FPERIOD_OVERRIDE=FQ","FILING_STATUS=MR","SCALING_FORMAT=MLN","Sort=A","Dates=H","DateFormat=P","Fill=—","Direction=H","UseDPDF=Y")</f>
        <v>—</v>
      </c>
      <c r="Y28" s="13" t="str">
        <f>_xll.BDH("ALNY US Equity","IS_LEGAL_LITIGATION_SETTLEMENT","FQ4 2024","FQ4 2024","Currency=USD","Period=FQ","BEST_FPERIOD_OVERRIDE=FQ","FILING_STATUS=MR","SCALING_FORMAT=MLN","Sort=A","Dates=H","DateFormat=P","Fill=—","Direction=H","UseDPDF=Y")</f>
        <v>—</v>
      </c>
      <c r="Z28" s="13"/>
      <c r="AA28" s="13"/>
    </row>
    <row r="29" spans="1:27" x14ac:dyDescent="0.25">
      <c r="A29" s="10" t="s">
        <v>338</v>
      </c>
      <c r="B29" s="10" t="s">
        <v>339</v>
      </c>
      <c r="C29" s="13" t="str">
        <f>_xll.BDH("ALNY US Equity","IS_GAIN_LOSS_ON_INVESTMENTS","FQ2 2019","FQ2 2019","Currency=USD","Period=FQ","BEST_FPERIOD_OVERRIDE=FQ","FILING_STATUS=MR","SCALING_FORMAT=MLN","Sort=A","Dates=H","DateFormat=P","Fill=—","Direction=H","UseDPDF=Y")</f>
        <v>—</v>
      </c>
      <c r="D29" s="13" t="str">
        <f>_xll.BDH("ALNY US Equity","IS_GAIN_LOSS_ON_INVESTMENTS","FQ3 2019","FQ3 2019","Currency=USD","Period=FQ","BEST_FPERIOD_OVERRIDE=FQ","FILING_STATUS=MR","SCALING_FORMAT=MLN","Sort=A","Dates=H","DateFormat=P","Fill=—","Direction=H","UseDPDF=Y")</f>
        <v>—</v>
      </c>
      <c r="E29" s="13">
        <f>_xll.BDH("ALNY US Equity","IS_GAIN_LOSS_ON_INVESTMENTS","FQ4 2019","FQ4 2019","Currency=USD","Period=FQ","BEST_FPERIOD_OVERRIDE=FQ","FILING_STATUS=MR","SCALING_FORMAT=MLN","Sort=A","Dates=H","DateFormat=P","Fill=—","Direction=H","UseDPDF=Y")</f>
        <v>-14.262</v>
      </c>
      <c r="F29" s="13" t="str">
        <f>_xll.BDH("ALNY US Equity","IS_GAIN_LOSS_ON_INVESTMENTS","FQ1 2020","FQ1 2020","Currency=USD","Period=FQ","BEST_FPERIOD_OVERRIDE=FQ","FILING_STATUS=MR","SCALING_FORMAT=MLN","Sort=A","Dates=H","DateFormat=P","Fill=—","Direction=H","UseDPDF=Y")</f>
        <v>—</v>
      </c>
      <c r="G29" s="13" t="str">
        <f>_xll.BDH("ALNY US Equity","IS_GAIN_LOSS_ON_INVESTMENTS","FQ2 2020","FQ2 2020","Currency=USD","Period=FQ","BEST_FPERIOD_OVERRIDE=FQ","FILING_STATUS=MR","SCALING_FORMAT=MLN","Sort=A","Dates=H","DateFormat=P","Fill=—","Direction=H","UseDPDF=Y")</f>
        <v>—</v>
      </c>
      <c r="H29" s="13" t="str">
        <f>_xll.BDH("ALNY US Equity","IS_GAIN_LOSS_ON_INVESTMENTS","FQ3 2020","FQ3 2020","Currency=USD","Period=FQ","BEST_FPERIOD_OVERRIDE=FQ","FILING_STATUS=MR","SCALING_FORMAT=MLN","Sort=A","Dates=H","DateFormat=P","Fill=—","Direction=H","UseDPDF=Y")</f>
        <v>—</v>
      </c>
      <c r="I29" s="13" t="str">
        <f>_xll.BDH("ALNY US Equity","IS_GAIN_LOSS_ON_INVESTMENTS","FQ4 2020","FQ4 2020","Currency=USD","Period=FQ","BEST_FPERIOD_OVERRIDE=FQ","FILING_STATUS=MR","SCALING_FORMAT=MLN","Sort=A","Dates=H","DateFormat=P","Fill=—","Direction=H","UseDPDF=Y")</f>
        <v>—</v>
      </c>
      <c r="J29" s="13" t="str">
        <f>_xll.BDH("ALNY US Equity","IS_GAIN_LOSS_ON_INVESTMENTS","FQ1 2021","FQ1 2021","Currency=USD","Period=FQ","BEST_FPERIOD_OVERRIDE=FQ","FILING_STATUS=MR","SCALING_FORMAT=MLN","Sort=A","Dates=H","DateFormat=P","Fill=—","Direction=H","UseDPDF=Y")</f>
        <v>—</v>
      </c>
      <c r="K29" s="13" t="str">
        <f>_xll.BDH("ALNY US Equity","IS_GAIN_LOSS_ON_INVESTMENTS","FQ2 2021","FQ2 2021","Currency=USD","Period=FQ","BEST_FPERIOD_OVERRIDE=FQ","FILING_STATUS=MR","SCALING_FORMAT=MLN","Sort=A","Dates=H","DateFormat=P","Fill=—","Direction=H","UseDPDF=Y")</f>
        <v>—</v>
      </c>
      <c r="L29" s="13" t="str">
        <f>_xll.BDH("ALNY US Equity","IS_GAIN_LOSS_ON_INVESTMENTS","FQ3 2021","FQ3 2021","Currency=USD","Period=FQ","BEST_FPERIOD_OVERRIDE=FQ","FILING_STATUS=MR","SCALING_FORMAT=MLN","Sort=A","Dates=H","DateFormat=P","Fill=—","Direction=H","UseDPDF=Y")</f>
        <v>—</v>
      </c>
      <c r="M29" s="13" t="str">
        <f>_xll.BDH("ALNY US Equity","IS_GAIN_LOSS_ON_INVESTMENTS","FQ4 2021","FQ4 2021","Currency=USD","Period=FQ","BEST_FPERIOD_OVERRIDE=FQ","FILING_STATUS=MR","SCALING_FORMAT=MLN","Sort=A","Dates=H","DateFormat=P","Fill=—","Direction=H","UseDPDF=Y")</f>
        <v>—</v>
      </c>
      <c r="N29" s="13" t="str">
        <f>_xll.BDH("ALNY US Equity","IS_GAIN_LOSS_ON_INVESTMENTS","FQ1 2022","FQ1 2022","Currency=USD","Period=FQ","BEST_FPERIOD_OVERRIDE=FQ","FILING_STATUS=MR","SCALING_FORMAT=MLN","Sort=A","Dates=H","DateFormat=P","Fill=—","Direction=H","UseDPDF=Y")</f>
        <v>—</v>
      </c>
      <c r="O29" s="13" t="str">
        <f>_xll.BDH("ALNY US Equity","IS_GAIN_LOSS_ON_INVESTMENTS","FQ2 2022","FQ2 2022","Currency=USD","Period=FQ","BEST_FPERIOD_OVERRIDE=FQ","FILING_STATUS=MR","SCALING_FORMAT=MLN","Sort=A","Dates=H","DateFormat=P","Fill=—","Direction=H","UseDPDF=Y")</f>
        <v>—</v>
      </c>
      <c r="P29" s="13" t="str">
        <f>_xll.BDH("ALNY US Equity","IS_GAIN_LOSS_ON_INVESTMENTS","FQ3 2022","FQ3 2022","Currency=USD","Period=FQ","BEST_FPERIOD_OVERRIDE=FQ","FILING_STATUS=MR","SCALING_FORMAT=MLN","Sort=A","Dates=H","DateFormat=P","Fill=—","Direction=H","UseDPDF=Y")</f>
        <v>—</v>
      </c>
      <c r="Q29" s="13" t="str">
        <f>_xll.BDH("ALNY US Equity","IS_GAIN_LOSS_ON_INVESTMENTS","FQ4 2022","FQ4 2022","Currency=USD","Period=FQ","BEST_FPERIOD_OVERRIDE=FQ","FILING_STATUS=MR","SCALING_FORMAT=MLN","Sort=A","Dates=H","DateFormat=P","Fill=—","Direction=H","UseDPDF=Y")</f>
        <v>—</v>
      </c>
      <c r="R29" s="13" t="str">
        <f>_xll.BDH("ALNY US Equity","IS_GAIN_LOSS_ON_INVESTMENTS","FQ1 2023","FQ1 2023","Currency=USD","Period=FQ","BEST_FPERIOD_OVERRIDE=FQ","FILING_STATUS=MR","SCALING_FORMAT=MLN","Sort=A","Dates=H","DateFormat=P","Fill=—","Direction=H","UseDPDF=Y")</f>
        <v>—</v>
      </c>
      <c r="S29" s="13" t="str">
        <f>_xll.BDH("ALNY US Equity","IS_GAIN_LOSS_ON_INVESTMENTS","FQ2 2023","FQ2 2023","Currency=USD","Period=FQ","BEST_FPERIOD_OVERRIDE=FQ","FILING_STATUS=MR","SCALING_FORMAT=MLN","Sort=A","Dates=H","DateFormat=P","Fill=—","Direction=H","UseDPDF=Y")</f>
        <v>—</v>
      </c>
      <c r="T29" s="13" t="str">
        <f>_xll.BDH("ALNY US Equity","IS_GAIN_LOSS_ON_INVESTMENTS","FQ3 2023","FQ3 2023","Currency=USD","Period=FQ","BEST_FPERIOD_OVERRIDE=FQ","FILING_STATUS=MR","SCALING_FORMAT=MLN","Sort=A","Dates=H","DateFormat=P","Fill=—","Direction=H","UseDPDF=Y")</f>
        <v>—</v>
      </c>
      <c r="U29" s="13" t="str">
        <f>_xll.BDH("ALNY US Equity","IS_GAIN_LOSS_ON_INVESTMENTS","FQ4 2023","FQ4 2023","Currency=USD","Period=FQ","BEST_FPERIOD_OVERRIDE=FQ","FILING_STATUS=MR","SCALING_FORMAT=MLN","Sort=A","Dates=H","DateFormat=P","Fill=—","Direction=H","UseDPDF=Y")</f>
        <v>—</v>
      </c>
      <c r="V29" s="13" t="str">
        <f>_xll.BDH("ALNY US Equity","IS_GAIN_LOSS_ON_INVESTMENTS","FQ1 2024","FQ1 2024","Currency=USD","Period=FQ","BEST_FPERIOD_OVERRIDE=FQ","FILING_STATUS=MR","SCALING_FORMAT=MLN","Sort=A","Dates=H","DateFormat=P","Fill=—","Direction=H","UseDPDF=Y")</f>
        <v>—</v>
      </c>
      <c r="W29" s="13" t="str">
        <f>_xll.BDH("ALNY US Equity","IS_GAIN_LOSS_ON_INVESTMENTS","FQ2 2024","FQ2 2024","Currency=USD","Period=FQ","BEST_FPERIOD_OVERRIDE=FQ","FILING_STATUS=MR","SCALING_FORMAT=MLN","Sort=A","Dates=H","DateFormat=P","Fill=—","Direction=H","UseDPDF=Y")</f>
        <v>—</v>
      </c>
      <c r="X29" s="13" t="str">
        <f>_xll.BDH("ALNY US Equity","IS_GAIN_LOSS_ON_INVESTMENTS","FQ3 2024","FQ3 2024","Currency=USD","Period=FQ","BEST_FPERIOD_OVERRIDE=FQ","FILING_STATUS=MR","SCALING_FORMAT=MLN","Sort=A","Dates=H","DateFormat=P","Fill=—","Direction=H","UseDPDF=Y")</f>
        <v>—</v>
      </c>
      <c r="Y29" s="13" t="str">
        <f>_xll.BDH("ALNY US Equity","IS_GAIN_LOSS_ON_INVESTMENTS","FQ4 2024","FQ4 2024","Currency=USD","Period=FQ","BEST_FPERIOD_OVERRIDE=FQ","FILING_STATUS=MR","SCALING_FORMAT=MLN","Sort=A","Dates=H","DateFormat=P","Fill=—","Direction=H","UseDPDF=Y")</f>
        <v>—</v>
      </c>
      <c r="Z29" s="13"/>
      <c r="AA29" s="13"/>
    </row>
    <row r="30" spans="1:27" x14ac:dyDescent="0.25">
      <c r="A30" s="10" t="s">
        <v>340</v>
      </c>
      <c r="B30" s="10" t="s">
        <v>341</v>
      </c>
      <c r="C30" s="13" t="str">
        <f>_xll.BDH("ALNY US Equity","IS_UNREALIZED_INVESTMENTS","FQ2 2019","FQ2 2019","Currency=USD","Period=FQ","BEST_FPERIOD_OVERRIDE=FQ","FILING_STATUS=MR","SCALING_FORMAT=MLN","Sort=A","Dates=H","DateFormat=P","Fill=—","Direction=H","UseDPDF=Y")</f>
        <v>—</v>
      </c>
      <c r="D30" s="13" t="str">
        <f>_xll.BDH("ALNY US Equity","IS_UNREALIZED_INVESTMENTS","FQ3 2019","FQ3 2019","Currency=USD","Period=FQ","BEST_FPERIOD_OVERRIDE=FQ","FILING_STATUS=MR","SCALING_FORMAT=MLN","Sort=A","Dates=H","DateFormat=P","Fill=—","Direction=H","UseDPDF=Y")</f>
        <v>—</v>
      </c>
      <c r="E30" s="13" t="str">
        <f>_xll.BDH("ALNY US Equity","IS_UNREALIZED_INVESTMENTS","FQ4 2019","FQ4 2019","Currency=USD","Period=FQ","BEST_FPERIOD_OVERRIDE=FQ","FILING_STATUS=MR","SCALING_FORMAT=MLN","Sort=A","Dates=H","DateFormat=P","Fill=—","Direction=H","UseDPDF=Y")</f>
        <v>—</v>
      </c>
      <c r="F30" s="13">
        <f>_xll.BDH("ALNY US Equity","IS_UNREALIZED_INVESTMENTS","FQ1 2020","FQ1 2020","Currency=USD","Period=FQ","BEST_FPERIOD_OVERRIDE=FQ","FILING_STATUS=MR","SCALING_FORMAT=MLN","Sort=A","Dates=H","DateFormat=P","Fill=—","Direction=H","UseDPDF=Y")</f>
        <v>-24.111000000000001</v>
      </c>
      <c r="G30" s="13">
        <f>_xll.BDH("ALNY US Equity","IS_UNREALIZED_INVESTMENTS","FQ2 2020","FQ2 2020","Currency=USD","Period=FQ","BEST_FPERIOD_OVERRIDE=FQ","FILING_STATUS=MR","SCALING_FORMAT=MLN","Sort=A","Dates=H","DateFormat=P","Fill=—","Direction=H","UseDPDF=Y")</f>
        <v>-57.635399999999997</v>
      </c>
      <c r="H30" s="13">
        <f>_xll.BDH("ALNY US Equity","IS_UNREALIZED_INVESTMENTS","FQ3 2020","FQ3 2020","Currency=USD","Period=FQ","BEST_FPERIOD_OVERRIDE=FQ","FILING_STATUS=MR","SCALING_FORMAT=MLN","Sort=A","Dates=H","DateFormat=P","Fill=—","Direction=H","UseDPDF=Y")</f>
        <v>3.0169999999999999</v>
      </c>
      <c r="I30" s="13">
        <f>_xll.BDH("ALNY US Equity","IS_UNREALIZED_INVESTMENTS","FQ4 2020","FQ4 2020","Currency=USD","Period=FQ","BEST_FPERIOD_OVERRIDE=FQ","FILING_STATUS=MR","SCALING_FORMAT=MLN","Sort=A","Dates=H","DateFormat=P","Fill=—","Direction=H","UseDPDF=Y")</f>
        <v>15.9291</v>
      </c>
      <c r="J30" s="13">
        <f>_xll.BDH("ALNY US Equity","IS_UNREALIZED_INVESTMENTS","FQ1 2021","FQ1 2021","Currency=USD","Period=FQ","BEST_FPERIOD_OVERRIDE=FQ","FILING_STATUS=MR","SCALING_FORMAT=MLN","Sort=A","Dates=H","DateFormat=P","Fill=—","Direction=H","UseDPDF=Y")</f>
        <v>-47.015999999999998</v>
      </c>
      <c r="K30" s="13">
        <f>_xll.BDH("ALNY US Equity","IS_UNREALIZED_INVESTMENTS","FQ2 2021","FQ2 2021","Currency=USD","Period=FQ","BEST_FPERIOD_OVERRIDE=FQ","FILING_STATUS=MR","SCALING_FORMAT=MLN","Sort=A","Dates=H","DateFormat=P","Fill=—","Direction=H","UseDPDF=Y")</f>
        <v>5.6127000000000002</v>
      </c>
      <c r="L30" s="13">
        <f>_xll.BDH("ALNY US Equity","IS_UNREALIZED_INVESTMENTS","FQ3 2021","FQ3 2021","Currency=USD","Period=FQ","BEST_FPERIOD_OVERRIDE=FQ","FILING_STATUS=MR","SCALING_FORMAT=MLN","Sort=A","Dates=H","DateFormat=P","Fill=—","Direction=H","UseDPDF=Y")</f>
        <v>-18.690999999999999</v>
      </c>
      <c r="M30" s="13">
        <f>_xll.BDH("ALNY US Equity","IS_UNREALIZED_INVESTMENTS","FQ4 2021","FQ4 2021","Currency=USD","Period=FQ","BEST_FPERIOD_OVERRIDE=FQ","FILING_STATUS=MR","SCALING_FORMAT=MLN","Sort=A","Dates=H","DateFormat=P","Fill=—","Direction=H","UseDPDF=Y")</f>
        <v>5.5780000000000003</v>
      </c>
      <c r="N30" s="13">
        <f>_xll.BDH("ALNY US Equity","IS_UNREALIZED_INVESTMENTS","FQ1 2022","FQ1 2022","Currency=USD","Period=FQ","BEST_FPERIOD_OVERRIDE=FQ","FILING_STATUS=MR","SCALING_FORMAT=MLN","Sort=A","Dates=H","DateFormat=P","Fill=—","Direction=H","UseDPDF=Y")</f>
        <v>31.161000000000001</v>
      </c>
      <c r="O30" s="13">
        <f>_xll.BDH("ALNY US Equity","IS_UNREALIZED_INVESTMENTS","FQ2 2022","FQ2 2022","Currency=USD","Period=FQ","BEST_FPERIOD_OVERRIDE=FQ","FILING_STATUS=MR","SCALING_FORMAT=MLN","Sort=A","Dates=H","DateFormat=P","Fill=—","Direction=H","UseDPDF=Y")</f>
        <v>1.097</v>
      </c>
      <c r="P30" s="13">
        <f>_xll.BDH("ALNY US Equity","IS_UNREALIZED_INVESTMENTS","FQ3 2022","FQ3 2022","Currency=USD","Period=FQ","BEST_FPERIOD_OVERRIDE=FQ","FILING_STATUS=MR","SCALING_FORMAT=MLN","Sort=A","Dates=H","DateFormat=P","Fill=—","Direction=H","UseDPDF=Y")</f>
        <v>7.85</v>
      </c>
      <c r="Q30" s="13">
        <f>_xll.BDH("ALNY US Equity","IS_UNREALIZED_INVESTMENTS","FQ4 2022","FQ4 2022","Currency=USD","Period=FQ","BEST_FPERIOD_OVERRIDE=FQ","FILING_STATUS=MR","SCALING_FORMAT=MLN","Sort=A","Dates=H","DateFormat=P","Fill=—","Direction=H","UseDPDF=Y")</f>
        <v>-6.7960000000000003</v>
      </c>
      <c r="R30" s="13">
        <f>_xll.BDH("ALNY US Equity","IS_UNREALIZED_INVESTMENTS","FQ1 2023","FQ1 2023","Currency=USD","Period=FQ","BEST_FPERIOD_OVERRIDE=FQ","FILING_STATUS=MR","SCALING_FORMAT=MLN","Sort=A","Dates=H","DateFormat=P","Fill=—","Direction=H","UseDPDF=Y")</f>
        <v>2.2669999999999999</v>
      </c>
      <c r="S30" s="13">
        <f>_xll.BDH("ALNY US Equity","IS_UNREALIZED_INVESTMENTS","FQ2 2023","FQ2 2023","Currency=USD","Period=FQ","BEST_FPERIOD_OVERRIDE=FQ","FILING_STATUS=MR","SCALING_FORMAT=MLN","Sort=A","Dates=H","DateFormat=P","Fill=—","Direction=H","UseDPDF=Y")</f>
        <v>-1.4</v>
      </c>
      <c r="T30" s="13">
        <f>_xll.BDH("ALNY US Equity","IS_UNREALIZED_INVESTMENTS","FQ3 2023","FQ3 2023","Currency=USD","Period=FQ","BEST_FPERIOD_OVERRIDE=FQ","FILING_STATUS=MR","SCALING_FORMAT=MLN","Sort=A","Dates=H","DateFormat=P","Fill=—","Direction=H","UseDPDF=Y")</f>
        <v>16.844000000000001</v>
      </c>
      <c r="U30" s="13">
        <f>_xll.BDH("ALNY US Equity","IS_UNREALIZED_INVESTMENTS","FQ4 2023","FQ4 2023","Currency=USD","Period=FQ","BEST_FPERIOD_OVERRIDE=FQ","FILING_STATUS=MR","SCALING_FORMAT=MLN","Sort=A","Dates=H","DateFormat=P","Fill=—","Direction=H","UseDPDF=Y")</f>
        <v>-0.76700000000000002</v>
      </c>
      <c r="V30" s="13">
        <f>_xll.BDH("ALNY US Equity","IS_UNREALIZED_INVESTMENTS","FQ1 2024","FQ1 2024","Currency=USD","Period=FQ","BEST_FPERIOD_OVERRIDE=FQ","FILING_STATUS=MR","SCALING_FORMAT=MLN","Sort=A","Dates=H","DateFormat=P","Fill=—","Direction=H","UseDPDF=Y")</f>
        <v>-7.8E-2</v>
      </c>
      <c r="W30" s="13">
        <f>_xll.BDH("ALNY US Equity","IS_UNREALIZED_INVESTMENTS","FQ2 2024","FQ2 2024","Currency=USD","Period=FQ","BEST_FPERIOD_OVERRIDE=FQ","FILING_STATUS=MR","SCALING_FORMAT=MLN","Sort=A","Dates=H","DateFormat=P","Fill=—","Direction=H","UseDPDF=Y")</f>
        <v>1.367</v>
      </c>
      <c r="X30" s="13">
        <f>_xll.BDH("ALNY US Equity","IS_UNREALIZED_INVESTMENTS","FQ3 2024","FQ3 2024","Currency=USD","Period=FQ","BEST_FPERIOD_OVERRIDE=FQ","FILING_STATUS=MR","SCALING_FORMAT=MLN","Sort=A","Dates=H","DateFormat=P","Fill=—","Direction=H","UseDPDF=Y")</f>
        <v>1.5669999999999999</v>
      </c>
      <c r="Y30" s="13">
        <f>_xll.BDH("ALNY US Equity","IS_UNREALIZED_INVESTMENTS","FQ4 2024","FQ4 2024","Currency=USD","Period=FQ","BEST_FPERIOD_OVERRIDE=FQ","FILING_STATUS=MR","SCALING_FORMAT=MLN","Sort=A","Dates=H","DateFormat=P","Fill=—","Direction=H","UseDPDF=Y")</f>
        <v>0.16600000000000001</v>
      </c>
      <c r="Z30" s="13"/>
      <c r="AA30" s="13"/>
    </row>
    <row r="31" spans="1:27" x14ac:dyDescent="0.25">
      <c r="A31" s="10" t="s">
        <v>342</v>
      </c>
      <c r="B31" s="10" t="s">
        <v>343</v>
      </c>
      <c r="C31" s="13">
        <f>_xll.BDH("ALNY US Equity","IS_OTHER_ONE_TIME_ITEMS","FQ2 2019","FQ2 2019","Currency=USD","Period=FQ","BEST_FPERIOD_OVERRIDE=FQ","FILING_STATUS=MR","SCALING_FORMAT=MLN","Sort=A","Dates=H","DateFormat=P","Fill=—","Direction=H","UseDPDF=Y")</f>
        <v>-9.4220000000000006</v>
      </c>
      <c r="D31" s="13" t="str">
        <f>_xll.BDH("ALNY US Equity","IS_OTHER_ONE_TIME_ITEMS","FQ3 2019","FQ3 2019","Currency=USD","Period=FQ","BEST_FPERIOD_OVERRIDE=FQ","FILING_STATUS=MR","SCALING_FORMAT=MLN","Sort=A","Dates=H","DateFormat=P","Fill=—","Direction=H","UseDPDF=Y")</f>
        <v>—</v>
      </c>
      <c r="E31" s="13" t="str">
        <f>_xll.BDH("ALNY US Equity","IS_OTHER_ONE_TIME_ITEMS","FQ4 2019","FQ4 2019","Currency=USD","Period=FQ","BEST_FPERIOD_OVERRIDE=FQ","FILING_STATUS=MR","SCALING_FORMAT=MLN","Sort=A","Dates=H","DateFormat=P","Fill=—","Direction=H","UseDPDF=Y")</f>
        <v>—</v>
      </c>
      <c r="F31" s="13" t="str">
        <f>_xll.BDH("ALNY US Equity","IS_OTHER_ONE_TIME_ITEMS","FQ1 2020","FQ1 2020","Currency=USD","Period=FQ","BEST_FPERIOD_OVERRIDE=FQ","FILING_STATUS=MR","SCALING_FORMAT=MLN","Sort=A","Dates=H","DateFormat=P","Fill=—","Direction=H","UseDPDF=Y")</f>
        <v>—</v>
      </c>
      <c r="G31" s="13">
        <f>_xll.BDH("ALNY US Equity","IS_OTHER_ONE_TIME_ITEMS","FQ2 2020","FQ2 2020","Currency=USD","Period=FQ","BEST_FPERIOD_OVERRIDE=FQ","FILING_STATUS=MR","SCALING_FORMAT=MLN","Sort=A","Dates=H","DateFormat=P","Fill=—","Direction=H","UseDPDF=Y")</f>
        <v>0.32</v>
      </c>
      <c r="H31" s="13">
        <f>_xll.BDH("ALNY US Equity","IS_OTHER_ONE_TIME_ITEMS","FQ3 2020","FQ3 2020","Currency=USD","Period=FQ","BEST_FPERIOD_OVERRIDE=FQ","FILING_STATUS=MR","SCALING_FORMAT=MLN","Sort=A","Dates=H","DateFormat=P","Fill=—","Direction=H","UseDPDF=Y")</f>
        <v>0.76300000000000001</v>
      </c>
      <c r="I31" s="13" t="str">
        <f>_xll.BDH("ALNY US Equity","IS_OTHER_ONE_TIME_ITEMS","FQ4 2020","FQ4 2020","Currency=USD","Period=FQ","BEST_FPERIOD_OVERRIDE=FQ","FILING_STATUS=MR","SCALING_FORMAT=MLN","Sort=A","Dates=H","DateFormat=P","Fill=—","Direction=H","UseDPDF=Y")</f>
        <v>—</v>
      </c>
      <c r="J31" s="13" t="str">
        <f>_xll.BDH("ALNY US Equity","IS_OTHER_ONE_TIME_ITEMS","FQ1 2021","FQ1 2021","Currency=USD","Period=FQ","BEST_FPERIOD_OVERRIDE=FQ","FILING_STATUS=MR","SCALING_FORMAT=MLN","Sort=A","Dates=H","DateFormat=P","Fill=—","Direction=H","UseDPDF=Y")</f>
        <v>—</v>
      </c>
      <c r="K31" s="13" t="str">
        <f>_xll.BDH("ALNY US Equity","IS_OTHER_ONE_TIME_ITEMS","FQ2 2021","FQ2 2021","Currency=USD","Period=FQ","BEST_FPERIOD_OVERRIDE=FQ","FILING_STATUS=MR","SCALING_FORMAT=MLN","Sort=A","Dates=H","DateFormat=P","Fill=—","Direction=H","UseDPDF=Y")</f>
        <v>—</v>
      </c>
      <c r="L31" s="13">
        <f>_xll.BDH("ALNY US Equity","IS_OTHER_ONE_TIME_ITEMS","FQ3 2021","FQ3 2021","Currency=USD","Period=FQ","BEST_FPERIOD_OVERRIDE=FQ","FILING_STATUS=MR","SCALING_FORMAT=MLN","Sort=A","Dates=H","DateFormat=P","Fill=—","Direction=H","UseDPDF=Y")</f>
        <v>10</v>
      </c>
      <c r="M31" s="13" t="str">
        <f>_xll.BDH("ALNY US Equity","IS_OTHER_ONE_TIME_ITEMS","FQ4 2021","FQ4 2021","Currency=USD","Period=FQ","BEST_FPERIOD_OVERRIDE=FQ","FILING_STATUS=MR","SCALING_FORMAT=MLN","Sort=A","Dates=H","DateFormat=P","Fill=—","Direction=H","UseDPDF=Y")</f>
        <v>—</v>
      </c>
      <c r="N31" s="13" t="str">
        <f>_xll.BDH("ALNY US Equity","IS_OTHER_ONE_TIME_ITEMS","FQ1 2022","FQ1 2022","Currency=USD","Period=FQ","BEST_FPERIOD_OVERRIDE=FQ","FILING_STATUS=MR","SCALING_FORMAT=MLN","Sort=A","Dates=H","DateFormat=P","Fill=—","Direction=H","UseDPDF=Y")</f>
        <v>—</v>
      </c>
      <c r="O31" s="13" t="str">
        <f>_xll.BDH("ALNY US Equity","IS_OTHER_ONE_TIME_ITEMS","FQ2 2022","FQ2 2022","Currency=USD","Period=FQ","BEST_FPERIOD_OVERRIDE=FQ","FILING_STATUS=MR","SCALING_FORMAT=MLN","Sort=A","Dates=H","DateFormat=P","Fill=—","Direction=H","UseDPDF=Y")</f>
        <v>—</v>
      </c>
      <c r="P31" s="13" t="str">
        <f>_xll.BDH("ALNY US Equity","IS_OTHER_ONE_TIME_ITEMS","FQ3 2022","FQ3 2022","Currency=USD","Period=FQ","BEST_FPERIOD_OVERRIDE=FQ","FILING_STATUS=MR","SCALING_FORMAT=MLN","Sort=A","Dates=H","DateFormat=P","Fill=—","Direction=H","UseDPDF=Y")</f>
        <v>—</v>
      </c>
      <c r="Q31" s="13" t="str">
        <f>_xll.BDH("ALNY US Equity","IS_OTHER_ONE_TIME_ITEMS","FQ4 2022","FQ4 2022","Currency=USD","Period=FQ","BEST_FPERIOD_OVERRIDE=FQ","FILING_STATUS=MR","SCALING_FORMAT=MLN","Sort=A","Dates=H","DateFormat=P","Fill=—","Direction=H","UseDPDF=Y")</f>
        <v>—</v>
      </c>
      <c r="R31" s="13" t="str">
        <f>_xll.BDH("ALNY US Equity","IS_OTHER_ONE_TIME_ITEMS","FQ1 2023","FQ1 2023","Currency=USD","Period=FQ","BEST_FPERIOD_OVERRIDE=FQ","FILING_STATUS=MR","SCALING_FORMAT=MLN","Sort=A","Dates=H","DateFormat=P","Fill=—","Direction=H","UseDPDF=Y")</f>
        <v>—</v>
      </c>
      <c r="S31" s="13" t="str">
        <f>_xll.BDH("ALNY US Equity","IS_OTHER_ONE_TIME_ITEMS","FQ2 2023","FQ2 2023","Currency=USD","Period=FQ","BEST_FPERIOD_OVERRIDE=FQ","FILING_STATUS=MR","SCALING_FORMAT=MLN","Sort=A","Dates=H","DateFormat=P","Fill=—","Direction=H","UseDPDF=Y")</f>
        <v>—</v>
      </c>
      <c r="T31" s="13" t="str">
        <f>_xll.BDH("ALNY US Equity","IS_OTHER_ONE_TIME_ITEMS","FQ3 2023","FQ3 2023","Currency=USD","Period=FQ","BEST_FPERIOD_OVERRIDE=FQ","FILING_STATUS=MR","SCALING_FORMAT=MLN","Sort=A","Dates=H","DateFormat=P","Fill=—","Direction=H","UseDPDF=Y")</f>
        <v>—</v>
      </c>
      <c r="U31" s="13" t="str">
        <f>_xll.BDH("ALNY US Equity","IS_OTHER_ONE_TIME_ITEMS","FQ4 2023","FQ4 2023","Currency=USD","Period=FQ","BEST_FPERIOD_OVERRIDE=FQ","FILING_STATUS=MR","SCALING_FORMAT=MLN","Sort=A","Dates=H","DateFormat=P","Fill=—","Direction=H","UseDPDF=Y")</f>
        <v>—</v>
      </c>
      <c r="V31" s="13" t="str">
        <f>_xll.BDH("ALNY US Equity","IS_OTHER_ONE_TIME_ITEMS","FQ1 2024","FQ1 2024","Currency=USD","Period=FQ","BEST_FPERIOD_OVERRIDE=FQ","FILING_STATUS=MR","SCALING_FORMAT=MLN","Sort=A","Dates=H","DateFormat=P","Fill=—","Direction=H","UseDPDF=Y")</f>
        <v>—</v>
      </c>
      <c r="W31" s="13" t="str">
        <f>_xll.BDH("ALNY US Equity","IS_OTHER_ONE_TIME_ITEMS","FQ2 2024","FQ2 2024","Currency=USD","Period=FQ","BEST_FPERIOD_OVERRIDE=FQ","FILING_STATUS=MR","SCALING_FORMAT=MLN","Sort=A","Dates=H","DateFormat=P","Fill=—","Direction=H","UseDPDF=Y")</f>
        <v>—</v>
      </c>
      <c r="X31" s="13" t="str">
        <f>_xll.BDH("ALNY US Equity","IS_OTHER_ONE_TIME_ITEMS","FQ3 2024","FQ3 2024","Currency=USD","Period=FQ","BEST_FPERIOD_OVERRIDE=FQ","FILING_STATUS=MR","SCALING_FORMAT=MLN","Sort=A","Dates=H","DateFormat=P","Fill=—","Direction=H","UseDPDF=Y")</f>
        <v>—</v>
      </c>
      <c r="Y31" s="13" t="str">
        <f>_xll.BDH("ALNY US Equity","IS_OTHER_ONE_TIME_ITEMS","FQ4 2024","FQ4 2024","Currency=USD","Period=FQ","BEST_FPERIOD_OVERRIDE=FQ","FILING_STATUS=MR","SCALING_FORMAT=MLN","Sort=A","Dates=H","DateFormat=P","Fill=—","Direction=H","UseDPDF=Y")</f>
        <v>—</v>
      </c>
      <c r="Z31" s="13"/>
      <c r="AA31" s="13"/>
    </row>
    <row r="32" spans="1:27" x14ac:dyDescent="0.25">
      <c r="A32" s="6" t="s">
        <v>344</v>
      </c>
      <c r="B32" s="6" t="s">
        <v>158</v>
      </c>
      <c r="C32" s="19">
        <f>_xll.BDH("ALNY US Equity","PRETAX_INC","FQ2 2019","FQ2 2019","Currency=USD","Period=FQ","BEST_FPERIOD_OVERRIDE=FQ","FILING_STATUS=MR","SCALING_FORMAT=MLN","FA_ADJUSTED=GAAP","Sort=A","Dates=H","DateFormat=P","Fill=—","Direction=H","UseDPDF=Y")</f>
        <v>-218.52099999999999</v>
      </c>
      <c r="D32" s="19">
        <f>_xll.BDH("ALNY US Equity","PRETAX_INC","FQ3 2019","FQ3 2019","Currency=USD","Period=FQ","BEST_FPERIOD_OVERRIDE=FQ","FILING_STATUS=MR","SCALING_FORMAT=MLN","FA_ADJUSTED=GAAP","Sort=A","Dates=H","DateFormat=P","Fill=—","Direction=H","UseDPDF=Y")</f>
        <v>-208.929</v>
      </c>
      <c r="E32" s="19">
        <f>_xll.BDH("ALNY US Equity","PRETAX_INC","FQ4 2019","FQ4 2019","Currency=USD","Period=FQ","BEST_FPERIOD_OVERRIDE=FQ","FILING_STATUS=MR","SCALING_FORMAT=MLN","FA_ADJUSTED=GAAP","Sort=A","Dates=H","DateFormat=P","Fill=—","Direction=H","UseDPDF=Y")</f>
        <v>-276.58300000000003</v>
      </c>
      <c r="F32" s="19">
        <f>_xll.BDH("ALNY US Equity","PRETAX_INC","FQ1 2020","FQ1 2020","Currency=USD","Period=FQ","BEST_FPERIOD_OVERRIDE=FQ","FILING_STATUS=MR","SCALING_FORMAT=MLN","FA_ADJUSTED=GAAP","Sort=A","Dates=H","DateFormat=P","Fill=—","Direction=H","UseDPDF=Y")</f>
        <v>-181.64599999999999</v>
      </c>
      <c r="G32" s="19">
        <f>_xll.BDH("ALNY US Equity","PRETAX_INC","FQ2 2020","FQ2 2020","Currency=USD","Period=FQ","BEST_FPERIOD_OVERRIDE=FQ","FILING_STATUS=MR","SCALING_FORMAT=MLN","FA_ADJUSTED=GAAP","Sort=A","Dates=H","DateFormat=P","Fill=—","Direction=H","UseDPDF=Y")</f>
        <v>-177.90299999999999</v>
      </c>
      <c r="H32" s="19">
        <f>_xll.BDH("ALNY US Equity","PRETAX_INC","FQ3 2020","FQ3 2020","Currency=USD","Period=FQ","BEST_FPERIOD_OVERRIDE=FQ","FILING_STATUS=MR","SCALING_FORMAT=MLN","FA_ADJUSTED=GAAP","Sort=A","Dates=H","DateFormat=P","Fill=—","Direction=H","UseDPDF=Y")</f>
        <v>-252.452</v>
      </c>
      <c r="I32" s="19">
        <f>_xll.BDH("ALNY US Equity","PRETAX_INC","FQ4 2020","FQ4 2020","Currency=USD","Period=FQ","BEST_FPERIOD_OVERRIDE=FQ","FILING_STATUS=MR","SCALING_FORMAT=MLN","FA_ADJUSTED=GAAP","Sort=A","Dates=H","DateFormat=P","Fill=—","Direction=H","UseDPDF=Y")</f>
        <v>-243.59899999999999</v>
      </c>
      <c r="J32" s="19">
        <f>_xll.BDH("ALNY US Equity","PRETAX_INC","FQ1 2021","FQ1 2021","Currency=USD","Period=FQ","BEST_FPERIOD_OVERRIDE=FQ","FILING_STATUS=MR","SCALING_FORMAT=MLN","FA_ADJUSTED=GAAP","Sort=A","Dates=H","DateFormat=P","Fill=—","Direction=H","UseDPDF=Y")</f>
        <v>-199.27500000000001</v>
      </c>
      <c r="K32" s="19">
        <f>_xll.BDH("ALNY US Equity","PRETAX_INC","FQ2 2021","FQ2 2021","Currency=USD","Period=FQ","BEST_FPERIOD_OVERRIDE=FQ","FILING_STATUS=MR","SCALING_FORMAT=MLN","FA_ADJUSTED=GAAP","Sort=A","Dates=H","DateFormat=P","Fill=—","Direction=H","UseDPDF=Y")</f>
        <v>-188.33099999999999</v>
      </c>
      <c r="L32" s="19">
        <f>_xll.BDH("ALNY US Equity","PRETAX_INC","FQ3 2021","FQ3 2021","Currency=USD","Period=FQ","BEST_FPERIOD_OVERRIDE=FQ","FILING_STATUS=MR","SCALING_FORMAT=MLN","FA_ADJUSTED=GAAP","Sort=A","Dates=H","DateFormat=P","Fill=—","Direction=H","UseDPDF=Y")</f>
        <v>-204.23599999999999</v>
      </c>
      <c r="M32" s="19">
        <f>_xll.BDH("ALNY US Equity","PRETAX_INC","FQ4 2021","FQ4 2021","Currency=USD","Period=FQ","BEST_FPERIOD_OVERRIDE=FQ","FILING_STATUS=MR","SCALING_FORMAT=MLN","FA_ADJUSTED=GAAP","Sort=A","Dates=H","DateFormat=P","Fill=—","Direction=H","UseDPDF=Y")</f>
        <v>-260.30200000000002</v>
      </c>
      <c r="N32" s="19">
        <f>_xll.BDH("ALNY US Equity","PRETAX_INC","FQ1 2022","FQ1 2022","Currency=USD","Period=FQ","BEST_FPERIOD_OVERRIDE=FQ","FILING_STATUS=MR","SCALING_FORMAT=MLN","FA_ADJUSTED=GAAP","Sort=A","Dates=H","DateFormat=P","Fill=—","Direction=H","UseDPDF=Y")</f>
        <v>-239.35599999999999</v>
      </c>
      <c r="O32" s="19">
        <f>_xll.BDH("ALNY US Equity","PRETAX_INC","FQ2 2022","FQ2 2022","Currency=USD","Period=FQ","BEST_FPERIOD_OVERRIDE=FQ","FILING_STATUS=MR","SCALING_FORMAT=MLN","FA_ADJUSTED=GAAP","Sort=A","Dates=H","DateFormat=P","Fill=—","Direction=H","UseDPDF=Y")</f>
        <v>-274.673</v>
      </c>
      <c r="P32" s="19">
        <f>_xll.BDH("ALNY US Equity","PRETAX_INC","FQ3 2022","FQ3 2022","Currency=USD","Period=FQ","BEST_FPERIOD_OVERRIDE=FQ","FILING_STATUS=MR","SCALING_FORMAT=MLN","FA_ADJUSTED=GAAP","Sort=A","Dates=H","DateFormat=P","Fill=—","Direction=H","UseDPDF=Y")</f>
        <v>-405.94299999999998</v>
      </c>
      <c r="Q32" s="19">
        <f>_xll.BDH("ALNY US Equity","PRETAX_INC","FQ4 2022","FQ4 2022","Currency=USD","Period=FQ","BEST_FPERIOD_OVERRIDE=FQ","FILING_STATUS=MR","SCALING_FORMAT=MLN","FA_ADJUSTED=GAAP","Sort=A","Dates=H","DateFormat=P","Fill=—","Direction=H","UseDPDF=Y")</f>
        <v>-207.02099999999999</v>
      </c>
      <c r="R32" s="19">
        <f>_xll.BDH("ALNY US Equity","PRETAX_INC","FQ1 2023","FQ1 2023","Currency=USD","Period=FQ","BEST_FPERIOD_OVERRIDE=FQ","FILING_STATUS=MR","SCALING_FORMAT=MLN","FA_ADJUSTED=GAAP","Sort=A","Dates=H","DateFormat=P","Fill=—","Direction=H","UseDPDF=Y")</f>
        <v>-172.36199999999999</v>
      </c>
      <c r="S32" s="19">
        <f>_xll.BDH("ALNY US Equity","PRETAX_INC","FQ2 2023","FQ2 2023","Currency=USD","Period=FQ","BEST_FPERIOD_OVERRIDE=FQ","FILING_STATUS=MR","SCALING_FORMAT=MLN","FA_ADJUSTED=GAAP","Sort=A","Dates=H","DateFormat=P","Fill=—","Direction=H","UseDPDF=Y")</f>
        <v>-274.209</v>
      </c>
      <c r="T32" s="19">
        <f>_xll.BDH("ALNY US Equity","PRETAX_INC","FQ3 2023","FQ3 2023","Currency=USD","Period=FQ","BEST_FPERIOD_OVERRIDE=FQ","FILING_STATUS=MR","SCALING_FORMAT=MLN","FA_ADJUSTED=GAAP","Sort=A","Dates=H","DateFormat=P","Fill=—","Direction=H","UseDPDF=Y")</f>
        <v>150.74100000000001</v>
      </c>
      <c r="U32" s="19">
        <f>_xll.BDH("ALNY US Equity","PRETAX_INC","FQ4 2023","FQ4 2023","Currency=USD","Period=FQ","BEST_FPERIOD_OVERRIDE=FQ","FILING_STATUS=MR","SCALING_FORMAT=MLN","FA_ADJUSTED=GAAP","Sort=A","Dates=H","DateFormat=P","Fill=—","Direction=H","UseDPDF=Y")</f>
        <v>-137.68700000000001</v>
      </c>
      <c r="V32" s="19">
        <f>_xll.BDH("ALNY US Equity","PRETAX_INC","FQ1 2024","FQ1 2024","Currency=USD","Period=FQ","BEST_FPERIOD_OVERRIDE=FQ","FILING_STATUS=MR","SCALING_FORMAT=MLN","FA_ADJUSTED=GAAP","Sort=A","Dates=H","DateFormat=P","Fill=—","Direction=H","UseDPDF=Y")</f>
        <v>-63.587000000000003</v>
      </c>
      <c r="W32" s="19">
        <f>_xll.BDH("ALNY US Equity","PRETAX_INC","FQ2 2024","FQ2 2024","Currency=USD","Period=FQ","BEST_FPERIOD_OVERRIDE=FQ","FILING_STATUS=MR","SCALING_FORMAT=MLN","FA_ADJUSTED=GAAP","Sort=A","Dates=H","DateFormat=P","Fill=—","Direction=H","UseDPDF=Y")</f>
        <v>-11.167</v>
      </c>
      <c r="X32" s="19">
        <f>_xll.BDH("ALNY US Equity","PRETAX_INC","FQ3 2024","FQ3 2024","Currency=USD","Period=FQ","BEST_FPERIOD_OVERRIDE=FQ","FILING_STATUS=MR","SCALING_FORMAT=MLN","FA_ADJUSTED=GAAP","Sort=A","Dates=H","DateFormat=P","Fill=—","Direction=H","UseDPDF=Y")</f>
        <v>-108.663</v>
      </c>
      <c r="Y32" s="19">
        <f>_xll.BDH("ALNY US Equity","PRETAX_INC","FQ4 2024","FQ4 2024","Currency=USD","Period=FQ","BEST_FPERIOD_OVERRIDE=FQ","FILING_STATUS=MR","SCALING_FORMAT=MLN","FA_ADJUSTED=GAAP","Sort=A","Dates=H","DateFormat=P","Fill=—","Direction=H","UseDPDF=Y")</f>
        <v>-193.958</v>
      </c>
      <c r="Z32" s="19">
        <v>-99.003</v>
      </c>
      <c r="AA32" s="19">
        <v>-108.08499999999999</v>
      </c>
    </row>
    <row r="33" spans="1:27" x14ac:dyDescent="0.25">
      <c r="A33" s="10" t="s">
        <v>345</v>
      </c>
      <c r="B33" s="10" t="s">
        <v>346</v>
      </c>
      <c r="C33" s="13">
        <f>_xll.BDH("ALNY US Equity","IS_INC_TAX_EXP","FQ2 2019","FQ2 2019","Currency=USD","Period=FQ","BEST_FPERIOD_OVERRIDE=FQ","FILING_STATUS=MR","SCALING_FORMAT=MLN","FA_ADJUSTED=GAAP","Sort=A","Dates=H","DateFormat=P","Fill=—","Direction=H","UseDPDF=Y")</f>
        <v>0.96</v>
      </c>
      <c r="D33" s="13">
        <f>_xll.BDH("ALNY US Equity","IS_INC_TAX_EXP","FQ3 2019","FQ3 2019","Currency=USD","Period=FQ","BEST_FPERIOD_OVERRIDE=FQ","FILING_STATUS=MR","SCALING_FORMAT=MLN","FA_ADJUSTED=GAAP","Sort=A","Dates=H","DateFormat=P","Fill=—","Direction=H","UseDPDF=Y")</f>
        <v>-0.39400000000000002</v>
      </c>
      <c r="E33" s="13">
        <f>_xll.BDH("ALNY US Equity","IS_INC_TAX_EXP","FQ4 2019","FQ4 2019","Currency=USD","Period=FQ","BEST_FPERIOD_OVERRIDE=FQ","FILING_STATUS=MR","SCALING_FORMAT=MLN","FA_ADJUSTED=GAAP","Sort=A","Dates=H","DateFormat=P","Fill=—","Direction=H","UseDPDF=Y")</f>
        <v>-0.39800000000000002</v>
      </c>
      <c r="F33" s="13">
        <f>_xll.BDH("ALNY US Equity","IS_INC_TAX_EXP","FQ1 2020","FQ1 2020","Currency=USD","Period=FQ","BEST_FPERIOD_OVERRIDE=FQ","FILING_STATUS=MR","SCALING_FORMAT=MLN","FA_ADJUSTED=GAAP","Sort=A","Dates=H","DateFormat=P","Fill=—","Direction=H","UseDPDF=Y")</f>
        <v>0.57499999999999996</v>
      </c>
      <c r="G33" s="13">
        <f>_xll.BDH("ALNY US Equity","IS_INC_TAX_EXP","FQ2 2020","FQ2 2020","Currency=USD","Period=FQ","BEST_FPERIOD_OVERRIDE=FQ","FILING_STATUS=MR","SCALING_FORMAT=MLN","FA_ADJUSTED=GAAP","Sort=A","Dates=H","DateFormat=P","Fill=—","Direction=H","UseDPDF=Y")</f>
        <v>1.3260000000000001</v>
      </c>
      <c r="H33" s="13">
        <f>_xll.BDH("ALNY US Equity","IS_INC_TAX_EXP","FQ3 2020","FQ3 2020","Currency=USD","Period=FQ","BEST_FPERIOD_OVERRIDE=FQ","FILING_STATUS=MR","SCALING_FORMAT=MLN","FA_ADJUSTED=GAAP","Sort=A","Dates=H","DateFormat=P","Fill=—","Direction=H","UseDPDF=Y")</f>
        <v>0.83899999999999997</v>
      </c>
      <c r="I33" s="13">
        <f>_xll.BDH("ALNY US Equity","IS_INC_TAX_EXP","FQ4 2020","FQ4 2020","Currency=USD","Period=FQ","BEST_FPERIOD_OVERRIDE=FQ","FILING_STATUS=MR","SCALING_FORMAT=MLN","FA_ADJUSTED=GAAP","Sort=A","Dates=H","DateFormat=P","Fill=—","Direction=H","UseDPDF=Y")</f>
        <v>-5.8999999999999997E-2</v>
      </c>
      <c r="J33" s="13">
        <f>_xll.BDH("ALNY US Equity","IS_INC_TAX_EXP","FQ1 2021","FQ1 2021","Currency=USD","Period=FQ","BEST_FPERIOD_OVERRIDE=FQ","FILING_STATUS=MR","SCALING_FORMAT=MLN","FA_ADJUSTED=GAAP","Sort=A","Dates=H","DateFormat=P","Fill=—","Direction=H","UseDPDF=Y")</f>
        <v>1.016</v>
      </c>
      <c r="K33" s="13">
        <f>_xll.BDH("ALNY US Equity","IS_INC_TAX_EXP","FQ2 2021","FQ2 2021","Currency=USD","Period=FQ","BEST_FPERIOD_OVERRIDE=FQ","FILING_STATUS=MR","SCALING_FORMAT=MLN","FA_ADJUSTED=GAAP","Sort=A","Dates=H","DateFormat=P","Fill=—","Direction=H","UseDPDF=Y")</f>
        <v>1.228</v>
      </c>
      <c r="L33" s="13">
        <f>_xll.BDH("ALNY US Equity","IS_INC_TAX_EXP","FQ3 2021","FQ3 2021","Currency=USD","Period=FQ","BEST_FPERIOD_OVERRIDE=FQ","FILING_STATUS=MR","SCALING_FORMAT=MLN","FA_ADJUSTED=GAAP","Sort=A","Dates=H","DateFormat=P","Fill=—","Direction=H","UseDPDF=Y")</f>
        <v>0.27800000000000002</v>
      </c>
      <c r="M33" s="13">
        <f>_xll.BDH("ALNY US Equity","IS_INC_TAX_EXP","FQ4 2021","FQ4 2021","Currency=USD","Period=FQ","BEST_FPERIOD_OVERRIDE=FQ","FILING_STATUS=MR","SCALING_FORMAT=MLN","FA_ADJUSTED=GAAP","Sort=A","Dates=H","DateFormat=P","Fill=—","Direction=H","UseDPDF=Y")</f>
        <v>-1.8420000000000001</v>
      </c>
      <c r="N33" s="13">
        <f>_xll.BDH("ALNY US Equity","IS_INC_TAX_EXP","FQ1 2022","FQ1 2022","Currency=USD","Period=FQ","BEST_FPERIOD_OVERRIDE=FQ","FILING_STATUS=MR","SCALING_FORMAT=MLN","FA_ADJUSTED=GAAP","Sort=A","Dates=H","DateFormat=P","Fill=—","Direction=H","UseDPDF=Y")</f>
        <v>0.98499999999999999</v>
      </c>
      <c r="O33" s="13">
        <f>_xll.BDH("ALNY US Equity","IS_INC_TAX_EXP","FQ2 2022","FQ2 2022","Currency=USD","Period=FQ","BEST_FPERIOD_OVERRIDE=FQ","FILING_STATUS=MR","SCALING_FORMAT=MLN","FA_ADJUSTED=GAAP","Sort=A","Dates=H","DateFormat=P","Fill=—","Direction=H","UseDPDF=Y")</f>
        <v>2.7290000000000001</v>
      </c>
      <c r="P33" s="13">
        <f>_xll.BDH("ALNY US Equity","IS_INC_TAX_EXP","FQ3 2022","FQ3 2022","Currency=USD","Period=FQ","BEST_FPERIOD_OVERRIDE=FQ","FILING_STATUS=MR","SCALING_FORMAT=MLN","FA_ADJUSTED=GAAP","Sort=A","Dates=H","DateFormat=P","Fill=—","Direction=H","UseDPDF=Y")</f>
        <v>-2.3E-2</v>
      </c>
      <c r="Q33" s="13">
        <f>_xll.BDH("ALNY US Equity","IS_INC_TAX_EXP","FQ4 2022","FQ4 2022","Currency=USD","Period=FQ","BEST_FPERIOD_OVERRIDE=FQ","FILING_STATUS=MR","SCALING_FORMAT=MLN","FA_ADJUSTED=GAAP","Sort=A","Dates=H","DateFormat=P","Fill=—","Direction=H","UseDPDF=Y")</f>
        <v>0.47199999999999998</v>
      </c>
      <c r="R33" s="13">
        <f>_xll.BDH("ALNY US Equity","IS_INC_TAX_EXP","FQ1 2023","FQ1 2023","Currency=USD","Period=FQ","BEST_FPERIOD_OVERRIDE=FQ","FILING_STATUS=MR","SCALING_FORMAT=MLN","FA_ADJUSTED=GAAP","Sort=A","Dates=H","DateFormat=P","Fill=—","Direction=H","UseDPDF=Y")</f>
        <v>1.7390000000000001</v>
      </c>
      <c r="S33" s="13">
        <f>_xll.BDH("ALNY US Equity","IS_INC_TAX_EXP","FQ2 2023","FQ2 2023","Currency=USD","Period=FQ","BEST_FPERIOD_OVERRIDE=FQ","FILING_STATUS=MR","SCALING_FORMAT=MLN","FA_ADJUSTED=GAAP","Sort=A","Dates=H","DateFormat=P","Fill=—","Direction=H","UseDPDF=Y")</f>
        <v>1.8149999999999999</v>
      </c>
      <c r="T33" s="13">
        <f>_xll.BDH("ALNY US Equity","IS_INC_TAX_EXP","FQ3 2023","FQ3 2023","Currency=USD","Period=FQ","BEST_FPERIOD_OVERRIDE=FQ","FILING_STATUS=MR","SCALING_FORMAT=MLN","FA_ADJUSTED=GAAP","Sort=A","Dates=H","DateFormat=P","Fill=—","Direction=H","UseDPDF=Y")</f>
        <v>2.988</v>
      </c>
      <c r="U33" s="13">
        <f>_xll.BDH("ALNY US Equity","IS_INC_TAX_EXP","FQ4 2023","FQ4 2023","Currency=USD","Period=FQ","BEST_FPERIOD_OVERRIDE=FQ","FILING_STATUS=MR","SCALING_FORMAT=MLN","FA_ADJUSTED=GAAP","Sort=A","Dates=H","DateFormat=P","Fill=—","Direction=H","UseDPDF=Y")</f>
        <v>0.183</v>
      </c>
      <c r="V33" s="13">
        <f>_xll.BDH("ALNY US Equity","IS_INC_TAX_EXP","FQ1 2024","FQ1 2024","Currency=USD","Period=FQ","BEST_FPERIOD_OVERRIDE=FQ","FILING_STATUS=MR","SCALING_FORMAT=MLN","FA_ADJUSTED=GAAP","Sort=A","Dates=H","DateFormat=P","Fill=—","Direction=H","UseDPDF=Y")</f>
        <v>2.3479999999999999</v>
      </c>
      <c r="W33" s="13">
        <f>_xll.BDH("ALNY US Equity","IS_INC_TAX_EXP","FQ2 2024","FQ2 2024","Currency=USD","Period=FQ","BEST_FPERIOD_OVERRIDE=FQ","FILING_STATUS=MR","SCALING_FORMAT=MLN","FA_ADJUSTED=GAAP","Sort=A","Dates=H","DateFormat=P","Fill=—","Direction=H","UseDPDF=Y")</f>
        <v>5.7220000000000004</v>
      </c>
      <c r="X33" s="13">
        <f>_xll.BDH("ALNY US Equity","IS_INC_TAX_EXP","FQ3 2024","FQ3 2024","Currency=USD","Period=FQ","BEST_FPERIOD_OVERRIDE=FQ","FILING_STATUS=MR","SCALING_FORMAT=MLN","FA_ADJUSTED=GAAP","Sort=A","Dates=H","DateFormat=P","Fill=—","Direction=H","UseDPDF=Y")</f>
        <v>2.907</v>
      </c>
      <c r="Y33" s="13">
        <f>_xll.BDH("ALNY US Equity","IS_INC_TAX_EXP","FQ4 2024","FQ4 2024","Currency=USD","Period=FQ","BEST_FPERIOD_OVERRIDE=FQ","FILING_STATUS=MR","SCALING_FORMAT=MLN","FA_ADJUSTED=GAAP","Sort=A","Dates=H","DateFormat=P","Fill=—","Direction=H","UseDPDF=Y")</f>
        <v>-110.19499999999999</v>
      </c>
      <c r="Z33" s="13"/>
      <c r="AA33" s="13"/>
    </row>
    <row r="34" spans="1:27" x14ac:dyDescent="0.25">
      <c r="A34" s="6" t="s">
        <v>347</v>
      </c>
      <c r="B34" s="6" t="s">
        <v>348</v>
      </c>
      <c r="C34" s="19">
        <f>_xll.BDH("ALNY US Equity","IS_INC_BEF_XO_ITEM","FQ2 2019","FQ2 2019","Currency=USD","Period=FQ","BEST_FPERIOD_OVERRIDE=FQ","FILING_STATUS=MR","SCALING_FORMAT=MLN","Sort=A","Dates=H","DateFormat=P","Fill=—","Direction=H","UseDPDF=Y")</f>
        <v>-219.48099999999999</v>
      </c>
      <c r="D34" s="19">
        <f>_xll.BDH("ALNY US Equity","IS_INC_BEF_XO_ITEM","FQ3 2019","FQ3 2019","Currency=USD","Period=FQ","BEST_FPERIOD_OVERRIDE=FQ","FILING_STATUS=MR","SCALING_FORMAT=MLN","Sort=A","Dates=H","DateFormat=P","Fill=—","Direction=H","UseDPDF=Y")</f>
        <v>-208.535</v>
      </c>
      <c r="E34" s="19">
        <f>_xll.BDH("ALNY US Equity","IS_INC_BEF_XO_ITEM","FQ4 2019","FQ4 2019","Currency=USD","Period=FQ","BEST_FPERIOD_OVERRIDE=FQ","FILING_STATUS=MR","SCALING_FORMAT=MLN","Sort=A","Dates=H","DateFormat=P","Fill=—","Direction=H","UseDPDF=Y")</f>
        <v>-276.185</v>
      </c>
      <c r="F34" s="19">
        <f>_xll.BDH("ALNY US Equity","IS_INC_BEF_XO_ITEM","FQ1 2020","FQ1 2020","Currency=USD","Period=FQ","BEST_FPERIOD_OVERRIDE=FQ","FILING_STATUS=MR","SCALING_FORMAT=MLN","Sort=A","Dates=H","DateFormat=P","Fill=—","Direction=H","UseDPDF=Y")</f>
        <v>-182.221</v>
      </c>
      <c r="G34" s="19">
        <f>_xll.BDH("ALNY US Equity","IS_INC_BEF_XO_ITEM","FQ2 2020","FQ2 2020","Currency=USD","Period=FQ","BEST_FPERIOD_OVERRIDE=FQ","FILING_STATUS=MR","SCALING_FORMAT=MLN","Sort=A","Dates=H","DateFormat=P","Fill=—","Direction=H","UseDPDF=Y")</f>
        <v>-179.22900000000001</v>
      </c>
      <c r="H34" s="19">
        <f>_xll.BDH("ALNY US Equity","IS_INC_BEF_XO_ITEM","FQ3 2020","FQ3 2020","Currency=USD","Period=FQ","BEST_FPERIOD_OVERRIDE=FQ","FILING_STATUS=MR","SCALING_FORMAT=MLN","Sort=A","Dates=H","DateFormat=P","Fill=—","Direction=H","UseDPDF=Y")</f>
        <v>-253.291</v>
      </c>
      <c r="I34" s="19">
        <f>_xll.BDH("ALNY US Equity","IS_INC_BEF_XO_ITEM","FQ4 2020","FQ4 2020","Currency=USD","Period=FQ","BEST_FPERIOD_OVERRIDE=FQ","FILING_STATUS=MR","SCALING_FORMAT=MLN","Sort=A","Dates=H","DateFormat=P","Fill=—","Direction=H","UseDPDF=Y")</f>
        <v>-243.54</v>
      </c>
      <c r="J34" s="19">
        <f>_xll.BDH("ALNY US Equity","IS_INC_BEF_XO_ITEM","FQ1 2021","FQ1 2021","Currency=USD","Period=FQ","BEST_FPERIOD_OVERRIDE=FQ","FILING_STATUS=MR","SCALING_FORMAT=MLN","Sort=A","Dates=H","DateFormat=P","Fill=—","Direction=H","UseDPDF=Y")</f>
        <v>-200.291</v>
      </c>
      <c r="K34" s="19">
        <f>_xll.BDH("ALNY US Equity","IS_INC_BEF_XO_ITEM","FQ2 2021","FQ2 2021","Currency=USD","Period=FQ","BEST_FPERIOD_OVERRIDE=FQ","FILING_STATUS=MR","SCALING_FORMAT=MLN","Sort=A","Dates=H","DateFormat=P","Fill=—","Direction=H","UseDPDF=Y")</f>
        <v>-189.559</v>
      </c>
      <c r="L34" s="19">
        <f>_xll.BDH("ALNY US Equity","IS_INC_BEF_XO_ITEM","FQ3 2021","FQ3 2021","Currency=USD","Period=FQ","BEST_FPERIOD_OVERRIDE=FQ","FILING_STATUS=MR","SCALING_FORMAT=MLN","Sort=A","Dates=H","DateFormat=P","Fill=—","Direction=H","UseDPDF=Y")</f>
        <v>-204.51400000000001</v>
      </c>
      <c r="M34" s="19">
        <f>_xll.BDH("ALNY US Equity","IS_INC_BEF_XO_ITEM","FQ4 2021","FQ4 2021","Currency=USD","Period=FQ","BEST_FPERIOD_OVERRIDE=FQ","FILING_STATUS=MR","SCALING_FORMAT=MLN","Sort=A","Dates=H","DateFormat=P","Fill=—","Direction=H","UseDPDF=Y")</f>
        <v>-258.45999999999998</v>
      </c>
      <c r="N34" s="19">
        <f>_xll.BDH("ALNY US Equity","IS_INC_BEF_XO_ITEM","FQ1 2022","FQ1 2022","Currency=USD","Period=FQ","BEST_FPERIOD_OVERRIDE=FQ","FILING_STATUS=MR","SCALING_FORMAT=MLN","Sort=A","Dates=H","DateFormat=P","Fill=—","Direction=H","UseDPDF=Y")</f>
        <v>-240.34100000000001</v>
      </c>
      <c r="O34" s="19">
        <f>_xll.BDH("ALNY US Equity","IS_INC_BEF_XO_ITEM","FQ2 2022","FQ2 2022","Currency=USD","Period=FQ","BEST_FPERIOD_OVERRIDE=FQ","FILING_STATUS=MR","SCALING_FORMAT=MLN","Sort=A","Dates=H","DateFormat=P","Fill=—","Direction=H","UseDPDF=Y")</f>
        <v>-277.40199999999999</v>
      </c>
      <c r="P34" s="19">
        <f>_xll.BDH("ALNY US Equity","IS_INC_BEF_XO_ITEM","FQ3 2022","FQ3 2022","Currency=USD","Period=FQ","BEST_FPERIOD_OVERRIDE=FQ","FILING_STATUS=MR","SCALING_FORMAT=MLN","Sort=A","Dates=H","DateFormat=P","Fill=—","Direction=H","UseDPDF=Y")</f>
        <v>-405.92</v>
      </c>
      <c r="Q34" s="19">
        <f>_xll.BDH("ALNY US Equity","IS_INC_BEF_XO_ITEM","FQ4 2022","FQ4 2022","Currency=USD","Period=FQ","BEST_FPERIOD_OVERRIDE=FQ","FILING_STATUS=MR","SCALING_FORMAT=MLN","Sort=A","Dates=H","DateFormat=P","Fill=—","Direction=H","UseDPDF=Y")</f>
        <v>-207.49299999999999</v>
      </c>
      <c r="R34" s="19">
        <f>_xll.BDH("ALNY US Equity","IS_INC_BEF_XO_ITEM","FQ1 2023","FQ1 2023","Currency=USD","Period=FQ","BEST_FPERIOD_OVERRIDE=FQ","FILING_STATUS=MR","SCALING_FORMAT=MLN","Sort=A","Dates=H","DateFormat=P","Fill=—","Direction=H","UseDPDF=Y")</f>
        <v>-174.101</v>
      </c>
      <c r="S34" s="19">
        <f>_xll.BDH("ALNY US Equity","IS_INC_BEF_XO_ITEM","FQ2 2023","FQ2 2023","Currency=USD","Period=FQ","BEST_FPERIOD_OVERRIDE=FQ","FILING_STATUS=MR","SCALING_FORMAT=MLN","Sort=A","Dates=H","DateFormat=P","Fill=—","Direction=H","UseDPDF=Y")</f>
        <v>-276.024</v>
      </c>
      <c r="T34" s="19">
        <f>_xll.BDH("ALNY US Equity","IS_INC_BEF_XO_ITEM","FQ3 2023","FQ3 2023","Currency=USD","Period=FQ","BEST_FPERIOD_OVERRIDE=FQ","FILING_STATUS=MR","SCALING_FORMAT=MLN","Sort=A","Dates=H","DateFormat=P","Fill=—","Direction=H","UseDPDF=Y")</f>
        <v>147.75299999999999</v>
      </c>
      <c r="U34" s="19">
        <f>_xll.BDH("ALNY US Equity","IS_INC_BEF_XO_ITEM","FQ4 2023","FQ4 2023","Currency=USD","Period=FQ","BEST_FPERIOD_OVERRIDE=FQ","FILING_STATUS=MR","SCALING_FORMAT=MLN","Sort=A","Dates=H","DateFormat=P","Fill=—","Direction=H","UseDPDF=Y")</f>
        <v>-137.87</v>
      </c>
      <c r="V34" s="19">
        <f>_xll.BDH("ALNY US Equity","IS_INC_BEF_XO_ITEM","FQ1 2024","FQ1 2024","Currency=USD","Period=FQ","BEST_FPERIOD_OVERRIDE=FQ","FILING_STATUS=MR","SCALING_FORMAT=MLN","Sort=A","Dates=H","DateFormat=P","Fill=—","Direction=H","UseDPDF=Y")</f>
        <v>-65.935000000000002</v>
      </c>
      <c r="W34" s="19">
        <f>_xll.BDH("ALNY US Equity","IS_INC_BEF_XO_ITEM","FQ2 2024","FQ2 2024","Currency=USD","Period=FQ","BEST_FPERIOD_OVERRIDE=FQ","FILING_STATUS=MR","SCALING_FORMAT=MLN","Sort=A","Dates=H","DateFormat=P","Fill=—","Direction=H","UseDPDF=Y")</f>
        <v>-16.888999999999999</v>
      </c>
      <c r="X34" s="19">
        <f>_xll.BDH("ALNY US Equity","IS_INC_BEF_XO_ITEM","FQ3 2024","FQ3 2024","Currency=USD","Period=FQ","BEST_FPERIOD_OVERRIDE=FQ","FILING_STATUS=MR","SCALING_FORMAT=MLN","Sort=A","Dates=H","DateFormat=P","Fill=—","Direction=H","UseDPDF=Y")</f>
        <v>-111.57</v>
      </c>
      <c r="Y34" s="19">
        <f>_xll.BDH("ALNY US Equity","IS_INC_BEF_XO_ITEM","FQ4 2024","FQ4 2024","Currency=USD","Period=FQ","BEST_FPERIOD_OVERRIDE=FQ","FILING_STATUS=MR","SCALING_FORMAT=MLN","Sort=A","Dates=H","DateFormat=P","Fill=—","Direction=H","UseDPDF=Y")</f>
        <v>-83.763000000000005</v>
      </c>
      <c r="Z34" s="19">
        <v>-123.455</v>
      </c>
      <c r="AA34" s="19">
        <v>-122.946</v>
      </c>
    </row>
    <row r="35" spans="1:27" x14ac:dyDescent="0.25">
      <c r="A35" s="10" t="s">
        <v>349</v>
      </c>
      <c r="B35" s="10" t="s">
        <v>350</v>
      </c>
      <c r="C35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D35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E35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F35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G35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H35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I35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J35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K35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L35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M35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N35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O35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P35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Q35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R35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S35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T35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U35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V35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W35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X35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Y35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  <c r="Z35" s="13"/>
      <c r="AA35" s="13"/>
    </row>
    <row r="36" spans="1:27" x14ac:dyDescent="0.25">
      <c r="A36" s="10" t="s">
        <v>351</v>
      </c>
      <c r="B36" s="10" t="s">
        <v>352</v>
      </c>
      <c r="C36" s="13">
        <f>_xll.BDH("ALNY US Equity","IS_DISCONTINUED_OPERATIONS","FQ2 2019","FQ2 2019","Currency=USD","Period=FQ","BEST_FPERIOD_OVERRIDE=FQ","FILING_STATUS=MR","SCALING_FORMAT=MLN","Sort=A","Dates=H","DateFormat=P","Fill=—","Direction=H","UseDPDF=Y")</f>
        <v>0</v>
      </c>
      <c r="D36" s="13">
        <f>_xll.BDH("ALNY US Equity","IS_DISCONTINUED_OPERATIONS","FQ3 2019","FQ3 2019","Currency=USD","Period=FQ","BEST_FPERIOD_OVERRIDE=FQ","FILING_STATUS=MR","SCALING_FORMAT=MLN","Sort=A","Dates=H","DateFormat=P","Fill=—","Direction=H","UseDPDF=Y")</f>
        <v>0</v>
      </c>
      <c r="E36" s="13">
        <f>_xll.BDH("ALNY US Equity","IS_DISCONTINUED_OPERATIONS","FQ4 2019","FQ4 2019","Currency=USD","Period=FQ","BEST_FPERIOD_OVERRIDE=FQ","FILING_STATUS=MR","SCALING_FORMAT=MLN","Sort=A","Dates=H","DateFormat=P","Fill=—","Direction=H","UseDPDF=Y")</f>
        <v>0</v>
      </c>
      <c r="F36" s="13">
        <f>_xll.BDH("ALNY US Equity","IS_DISCONTINUED_OPERATIONS","FQ1 2020","FQ1 2020","Currency=USD","Period=FQ","BEST_FPERIOD_OVERRIDE=FQ","FILING_STATUS=MR","SCALING_FORMAT=MLN","Sort=A","Dates=H","DateFormat=P","Fill=—","Direction=H","UseDPDF=Y")</f>
        <v>0</v>
      </c>
      <c r="G36" s="13">
        <f>_xll.BDH("ALNY US Equity","IS_DISCONTINUED_OPERATIONS","FQ2 2020","FQ2 2020","Currency=USD","Period=FQ","BEST_FPERIOD_OVERRIDE=FQ","FILING_STATUS=MR","SCALING_FORMAT=MLN","Sort=A","Dates=H","DateFormat=P","Fill=—","Direction=H","UseDPDF=Y")</f>
        <v>0</v>
      </c>
      <c r="H36" s="13">
        <f>_xll.BDH("ALNY US Equity","IS_DISCONTINUED_OPERATIONS","FQ3 2020","FQ3 2020","Currency=USD","Period=FQ","BEST_FPERIOD_OVERRIDE=FQ","FILING_STATUS=MR","SCALING_FORMAT=MLN","Sort=A","Dates=H","DateFormat=P","Fill=—","Direction=H","UseDPDF=Y")</f>
        <v>0</v>
      </c>
      <c r="I36" s="13">
        <f>_xll.BDH("ALNY US Equity","IS_DISCONTINUED_OPERATIONS","FQ4 2020","FQ4 2020","Currency=USD","Period=FQ","BEST_FPERIOD_OVERRIDE=FQ","FILING_STATUS=MR","SCALING_FORMAT=MLN","Sort=A","Dates=H","DateFormat=P","Fill=—","Direction=H","UseDPDF=Y")</f>
        <v>0</v>
      </c>
      <c r="J36" s="13">
        <f>_xll.BDH("ALNY US Equity","IS_DISCONTINUED_OPERATIONS","FQ1 2021","FQ1 2021","Currency=USD","Period=FQ","BEST_FPERIOD_OVERRIDE=FQ","FILING_STATUS=MR","SCALING_FORMAT=MLN","Sort=A","Dates=H","DateFormat=P","Fill=—","Direction=H","UseDPDF=Y")</f>
        <v>0</v>
      </c>
      <c r="K36" s="13">
        <f>_xll.BDH("ALNY US Equity","IS_DISCONTINUED_OPERATIONS","FQ2 2021","FQ2 2021","Currency=USD","Period=FQ","BEST_FPERIOD_OVERRIDE=FQ","FILING_STATUS=MR","SCALING_FORMAT=MLN","Sort=A","Dates=H","DateFormat=P","Fill=—","Direction=H","UseDPDF=Y")</f>
        <v>0</v>
      </c>
      <c r="L36" s="13">
        <f>_xll.BDH("ALNY US Equity","IS_DISCONTINUED_OPERATIONS","FQ3 2021","FQ3 2021","Currency=USD","Period=FQ","BEST_FPERIOD_OVERRIDE=FQ","FILING_STATUS=MR","SCALING_FORMAT=MLN","Sort=A","Dates=H","DateFormat=P","Fill=—","Direction=H","UseDPDF=Y")</f>
        <v>0</v>
      </c>
      <c r="M36" s="13">
        <f>_xll.BDH("ALNY US Equity","IS_DISCONTINUED_OPERATIONS","FQ4 2021","FQ4 2021","Currency=USD","Period=FQ","BEST_FPERIOD_OVERRIDE=FQ","FILING_STATUS=MR","SCALING_FORMAT=MLN","Sort=A","Dates=H","DateFormat=P","Fill=—","Direction=H","UseDPDF=Y")</f>
        <v>0</v>
      </c>
      <c r="N36" s="13">
        <f>_xll.BDH("ALNY US Equity","IS_DISCONTINUED_OPERATIONS","FQ1 2022","FQ1 2022","Currency=USD","Period=FQ","BEST_FPERIOD_OVERRIDE=FQ","FILING_STATUS=MR","SCALING_FORMAT=MLN","Sort=A","Dates=H","DateFormat=P","Fill=—","Direction=H","UseDPDF=Y")</f>
        <v>0</v>
      </c>
      <c r="O36" s="13">
        <f>_xll.BDH("ALNY US Equity","IS_DISCONTINUED_OPERATIONS","FQ2 2022","FQ2 2022","Currency=USD","Period=FQ","BEST_FPERIOD_OVERRIDE=FQ","FILING_STATUS=MR","SCALING_FORMAT=MLN","Sort=A","Dates=H","DateFormat=P","Fill=—","Direction=H","UseDPDF=Y")</f>
        <v>0</v>
      </c>
      <c r="P36" s="13">
        <f>_xll.BDH("ALNY US Equity","IS_DISCONTINUED_OPERATIONS","FQ3 2022","FQ3 2022","Currency=USD","Period=FQ","BEST_FPERIOD_OVERRIDE=FQ","FILING_STATUS=MR","SCALING_FORMAT=MLN","Sort=A","Dates=H","DateFormat=P","Fill=—","Direction=H","UseDPDF=Y")</f>
        <v>0</v>
      </c>
      <c r="Q36" s="13">
        <f>_xll.BDH("ALNY US Equity","IS_DISCONTINUED_OPERATIONS","FQ4 2022","FQ4 2022","Currency=USD","Period=FQ","BEST_FPERIOD_OVERRIDE=FQ","FILING_STATUS=MR","SCALING_FORMAT=MLN","Sort=A","Dates=H","DateFormat=P","Fill=—","Direction=H","UseDPDF=Y")</f>
        <v>0</v>
      </c>
      <c r="R36" s="13">
        <f>_xll.BDH("ALNY US Equity","IS_DISCONTINUED_OPERATIONS","FQ1 2023","FQ1 2023","Currency=USD","Period=FQ","BEST_FPERIOD_OVERRIDE=FQ","FILING_STATUS=MR","SCALING_FORMAT=MLN","Sort=A","Dates=H","DateFormat=P","Fill=—","Direction=H","UseDPDF=Y")</f>
        <v>0</v>
      </c>
      <c r="S36" s="13">
        <f>_xll.BDH("ALNY US Equity","IS_DISCONTINUED_OPERATIONS","FQ2 2023","FQ2 2023","Currency=USD","Period=FQ","BEST_FPERIOD_OVERRIDE=FQ","FILING_STATUS=MR","SCALING_FORMAT=MLN","Sort=A","Dates=H","DateFormat=P","Fill=—","Direction=H","UseDPDF=Y")</f>
        <v>0</v>
      </c>
      <c r="T36" s="13">
        <f>_xll.BDH("ALNY US Equity","IS_DISCONTINUED_OPERATIONS","FQ3 2023","FQ3 2023","Currency=USD","Period=FQ","BEST_FPERIOD_OVERRIDE=FQ","FILING_STATUS=MR","SCALING_FORMAT=MLN","Sort=A","Dates=H","DateFormat=P","Fill=—","Direction=H","UseDPDF=Y")</f>
        <v>0</v>
      </c>
      <c r="U36" s="13">
        <f>_xll.BDH("ALNY US Equity","IS_DISCONTINUED_OPERATIONS","FQ4 2023","FQ4 2023","Currency=USD","Period=FQ","BEST_FPERIOD_OVERRIDE=FQ","FILING_STATUS=MR","SCALING_FORMAT=MLN","Sort=A","Dates=H","DateFormat=P","Fill=—","Direction=H","UseDPDF=Y")</f>
        <v>0</v>
      </c>
      <c r="V36" s="13">
        <f>_xll.BDH("ALNY US Equity","IS_DISCONTINUED_OPERATIONS","FQ1 2024","FQ1 2024","Currency=USD","Period=FQ","BEST_FPERIOD_OVERRIDE=FQ","FILING_STATUS=MR","SCALING_FORMAT=MLN","Sort=A","Dates=H","DateFormat=P","Fill=—","Direction=H","UseDPDF=Y")</f>
        <v>0</v>
      </c>
      <c r="W36" s="13">
        <f>_xll.BDH("ALNY US Equity","IS_DISCONTINUED_OPERATIONS","FQ2 2024","FQ2 2024","Currency=USD","Period=FQ","BEST_FPERIOD_OVERRIDE=FQ","FILING_STATUS=MR","SCALING_FORMAT=MLN","Sort=A","Dates=H","DateFormat=P","Fill=—","Direction=H","UseDPDF=Y")</f>
        <v>0</v>
      </c>
      <c r="X36" s="13">
        <f>_xll.BDH("ALNY US Equity","IS_DISCONTINUED_OPERATIONS","FQ3 2024","FQ3 2024","Currency=USD","Period=FQ","BEST_FPERIOD_OVERRIDE=FQ","FILING_STATUS=MR","SCALING_FORMAT=MLN","Sort=A","Dates=H","DateFormat=P","Fill=—","Direction=H","UseDPDF=Y")</f>
        <v>0</v>
      </c>
      <c r="Y36" s="13">
        <f>_xll.BDH("ALNY US Equity","IS_DISCONTINUED_OPERATIONS","FQ4 2024","FQ4 2024","Currency=USD","Period=FQ","BEST_FPERIOD_OVERRIDE=FQ","FILING_STATUS=MR","SCALING_FORMAT=MLN","Sort=A","Dates=H","DateFormat=P","Fill=—","Direction=H","UseDPDF=Y")</f>
        <v>0</v>
      </c>
      <c r="Z36" s="13"/>
      <c r="AA36" s="13"/>
    </row>
    <row r="37" spans="1:27" x14ac:dyDescent="0.25">
      <c r="A37" s="10" t="s">
        <v>353</v>
      </c>
      <c r="B37" s="10" t="s">
        <v>354</v>
      </c>
      <c r="C37" s="13">
        <f>_xll.BDH("ALNY US Equity","EXTRAORD_ITEMS_ACCOUNTING_CHANGS","FQ2 2019","FQ2 2019","Currency=USD","Period=FQ","BEST_FPERIOD_OVERRIDE=FQ","FILING_STATUS=MR","SCALING_FORMAT=MLN","Sort=A","Dates=H","DateFormat=P","Fill=—","Direction=H","UseDPDF=Y")</f>
        <v>0</v>
      </c>
      <c r="D37" s="13">
        <f>_xll.BDH("ALNY US Equity","EXTRAORD_ITEMS_ACCOUNTING_CHANGS","FQ3 2019","FQ3 2019","Currency=USD","Period=FQ","BEST_FPERIOD_OVERRIDE=FQ","FILING_STATUS=MR","SCALING_FORMAT=MLN","Sort=A","Dates=H","DateFormat=P","Fill=—","Direction=H","UseDPDF=Y")</f>
        <v>0</v>
      </c>
      <c r="E37" s="13">
        <f>_xll.BDH("ALNY US Equity","EXTRAORD_ITEMS_ACCOUNTING_CHANGS","FQ4 2019","FQ4 2019","Currency=USD","Period=FQ","BEST_FPERIOD_OVERRIDE=FQ","FILING_STATUS=MR","SCALING_FORMAT=MLN","Sort=A","Dates=H","DateFormat=P","Fill=—","Direction=H","UseDPDF=Y")</f>
        <v>0</v>
      </c>
      <c r="F37" s="13">
        <f>_xll.BDH("ALNY US Equity","EXTRAORD_ITEMS_ACCOUNTING_CHANGS","FQ1 2020","FQ1 2020","Currency=USD","Period=FQ","BEST_FPERIOD_OVERRIDE=FQ","FILING_STATUS=MR","SCALING_FORMAT=MLN","Sort=A","Dates=H","DateFormat=P","Fill=—","Direction=H","UseDPDF=Y")</f>
        <v>0</v>
      </c>
      <c r="G37" s="13">
        <f>_xll.BDH("ALNY US Equity","EXTRAORD_ITEMS_ACCOUNTING_CHANGS","FQ2 2020","FQ2 2020","Currency=USD","Period=FQ","BEST_FPERIOD_OVERRIDE=FQ","FILING_STATUS=MR","SCALING_FORMAT=MLN","Sort=A","Dates=H","DateFormat=P","Fill=—","Direction=H","UseDPDF=Y")</f>
        <v>0</v>
      </c>
      <c r="H37" s="13">
        <f>_xll.BDH("ALNY US Equity","EXTRAORD_ITEMS_ACCOUNTING_CHANGS","FQ3 2020","FQ3 2020","Currency=USD","Period=FQ","BEST_FPERIOD_OVERRIDE=FQ","FILING_STATUS=MR","SCALING_FORMAT=MLN","Sort=A","Dates=H","DateFormat=P","Fill=—","Direction=H","UseDPDF=Y")</f>
        <v>0</v>
      </c>
      <c r="I37" s="13">
        <f>_xll.BDH("ALNY US Equity","EXTRAORD_ITEMS_ACCOUNTING_CHANGS","FQ4 2020","FQ4 2020","Currency=USD","Period=FQ","BEST_FPERIOD_OVERRIDE=FQ","FILING_STATUS=MR","SCALING_FORMAT=MLN","Sort=A","Dates=H","DateFormat=P","Fill=—","Direction=H","UseDPDF=Y")</f>
        <v>0</v>
      </c>
      <c r="J37" s="13">
        <f>_xll.BDH("ALNY US Equity","EXTRAORD_ITEMS_ACCOUNTING_CHANGS","FQ1 2021","FQ1 2021","Currency=USD","Period=FQ","BEST_FPERIOD_OVERRIDE=FQ","FILING_STATUS=MR","SCALING_FORMAT=MLN","Sort=A","Dates=H","DateFormat=P","Fill=—","Direction=H","UseDPDF=Y")</f>
        <v>0</v>
      </c>
      <c r="K37" s="13">
        <f>_xll.BDH("ALNY US Equity","EXTRAORD_ITEMS_ACCOUNTING_CHANGS","FQ2 2021","FQ2 2021","Currency=USD","Period=FQ","BEST_FPERIOD_OVERRIDE=FQ","FILING_STATUS=MR","SCALING_FORMAT=MLN","Sort=A","Dates=H","DateFormat=P","Fill=—","Direction=H","UseDPDF=Y")</f>
        <v>0</v>
      </c>
      <c r="L37" s="13">
        <f>_xll.BDH("ALNY US Equity","EXTRAORD_ITEMS_ACCOUNTING_CHANGS","FQ3 2021","FQ3 2021","Currency=USD","Period=FQ","BEST_FPERIOD_OVERRIDE=FQ","FILING_STATUS=MR","SCALING_FORMAT=MLN","Sort=A","Dates=H","DateFormat=P","Fill=—","Direction=H","UseDPDF=Y")</f>
        <v>0</v>
      </c>
      <c r="M37" s="13">
        <f>_xll.BDH("ALNY US Equity","EXTRAORD_ITEMS_ACCOUNTING_CHANGS","FQ4 2021","FQ4 2021","Currency=USD","Period=FQ","BEST_FPERIOD_OVERRIDE=FQ","FILING_STATUS=MR","SCALING_FORMAT=MLN","Sort=A","Dates=H","DateFormat=P","Fill=—","Direction=H","UseDPDF=Y")</f>
        <v>0</v>
      </c>
      <c r="N37" s="13">
        <f>_xll.BDH("ALNY US Equity","EXTRAORD_ITEMS_ACCOUNTING_CHANGS","FQ1 2022","FQ1 2022","Currency=USD","Period=FQ","BEST_FPERIOD_OVERRIDE=FQ","FILING_STATUS=MR","SCALING_FORMAT=MLN","Sort=A","Dates=H","DateFormat=P","Fill=—","Direction=H","UseDPDF=Y")</f>
        <v>0</v>
      </c>
      <c r="O37" s="13">
        <f>_xll.BDH("ALNY US Equity","EXTRAORD_ITEMS_ACCOUNTING_CHANGS","FQ2 2022","FQ2 2022","Currency=USD","Period=FQ","BEST_FPERIOD_OVERRIDE=FQ","FILING_STATUS=MR","SCALING_FORMAT=MLN","Sort=A","Dates=H","DateFormat=P","Fill=—","Direction=H","UseDPDF=Y")</f>
        <v>0</v>
      </c>
      <c r="P37" s="13">
        <f>_xll.BDH("ALNY US Equity","EXTRAORD_ITEMS_ACCOUNTING_CHANGS","FQ3 2022","FQ3 2022","Currency=USD","Period=FQ","BEST_FPERIOD_OVERRIDE=FQ","FILING_STATUS=MR","SCALING_FORMAT=MLN","Sort=A","Dates=H","DateFormat=P","Fill=—","Direction=H","UseDPDF=Y")</f>
        <v>0</v>
      </c>
      <c r="Q37" s="13">
        <f>_xll.BDH("ALNY US Equity","EXTRAORD_ITEMS_ACCOUNTING_CHANGS","FQ4 2022","FQ4 2022","Currency=USD","Period=FQ","BEST_FPERIOD_OVERRIDE=FQ","FILING_STATUS=MR","SCALING_FORMAT=MLN","Sort=A","Dates=H","DateFormat=P","Fill=—","Direction=H","UseDPDF=Y")</f>
        <v>0</v>
      </c>
      <c r="R37" s="13">
        <f>_xll.BDH("ALNY US Equity","EXTRAORD_ITEMS_ACCOUNTING_CHANGS","FQ1 2023","FQ1 2023","Currency=USD","Period=FQ","BEST_FPERIOD_OVERRIDE=FQ","FILING_STATUS=MR","SCALING_FORMAT=MLN","Sort=A","Dates=H","DateFormat=P","Fill=—","Direction=H","UseDPDF=Y")</f>
        <v>0</v>
      </c>
      <c r="S37" s="13">
        <f>_xll.BDH("ALNY US Equity","EXTRAORD_ITEMS_ACCOUNTING_CHANGS","FQ2 2023","FQ2 2023","Currency=USD","Period=FQ","BEST_FPERIOD_OVERRIDE=FQ","FILING_STATUS=MR","SCALING_FORMAT=MLN","Sort=A","Dates=H","DateFormat=P","Fill=—","Direction=H","UseDPDF=Y")</f>
        <v>0</v>
      </c>
      <c r="T37" s="13">
        <f>_xll.BDH("ALNY US Equity","EXTRAORD_ITEMS_ACCOUNTING_CHANGS","FQ3 2023","FQ3 2023","Currency=USD","Period=FQ","BEST_FPERIOD_OVERRIDE=FQ","FILING_STATUS=MR","SCALING_FORMAT=MLN","Sort=A","Dates=H","DateFormat=P","Fill=—","Direction=H","UseDPDF=Y")</f>
        <v>0</v>
      </c>
      <c r="U37" s="13">
        <f>_xll.BDH("ALNY US Equity","EXTRAORD_ITEMS_ACCOUNTING_CHANGS","FQ4 2023","FQ4 2023","Currency=USD","Period=FQ","BEST_FPERIOD_OVERRIDE=FQ","FILING_STATUS=MR","SCALING_FORMAT=MLN","Sort=A","Dates=H","DateFormat=P","Fill=—","Direction=H","UseDPDF=Y")</f>
        <v>0</v>
      </c>
      <c r="V37" s="13">
        <f>_xll.BDH("ALNY US Equity","EXTRAORD_ITEMS_ACCOUNTING_CHANGS","FQ1 2024","FQ1 2024","Currency=USD","Period=FQ","BEST_FPERIOD_OVERRIDE=FQ","FILING_STATUS=MR","SCALING_FORMAT=MLN","Sort=A","Dates=H","DateFormat=P","Fill=—","Direction=H","UseDPDF=Y")</f>
        <v>0</v>
      </c>
      <c r="W37" s="13">
        <f>_xll.BDH("ALNY US Equity","EXTRAORD_ITEMS_ACCOUNTING_CHANGS","FQ2 2024","FQ2 2024","Currency=USD","Period=FQ","BEST_FPERIOD_OVERRIDE=FQ","FILING_STATUS=MR","SCALING_FORMAT=MLN","Sort=A","Dates=H","DateFormat=P","Fill=—","Direction=H","UseDPDF=Y")</f>
        <v>0</v>
      </c>
      <c r="X37" s="13">
        <f>_xll.BDH("ALNY US Equity","EXTRAORD_ITEMS_ACCOUNTING_CHANGS","FQ3 2024","FQ3 2024","Currency=USD","Period=FQ","BEST_FPERIOD_OVERRIDE=FQ","FILING_STATUS=MR","SCALING_FORMAT=MLN","Sort=A","Dates=H","DateFormat=P","Fill=—","Direction=H","UseDPDF=Y")</f>
        <v>0</v>
      </c>
      <c r="Y37" s="13">
        <f>_xll.BDH("ALNY US Equity","EXTRAORD_ITEMS_ACCOUNTING_CHANGS","FQ4 2024","FQ4 2024","Currency=USD","Period=FQ","BEST_FPERIOD_OVERRIDE=FQ","FILING_STATUS=MR","SCALING_FORMAT=MLN","Sort=A","Dates=H","DateFormat=P","Fill=—","Direction=H","UseDPDF=Y")</f>
        <v>0</v>
      </c>
      <c r="Z37" s="13"/>
      <c r="AA37" s="13"/>
    </row>
    <row r="38" spans="1:27" x14ac:dyDescent="0.25">
      <c r="A38" s="6" t="s">
        <v>355</v>
      </c>
      <c r="B38" s="6" t="s">
        <v>356</v>
      </c>
      <c r="C38" s="19">
        <f>_xll.BDH("ALNY US Equity","NI_INCLUDING_MINORITY_INT_RATIO","FQ2 2019","FQ2 2019","Currency=USD","Period=FQ","BEST_FPERIOD_OVERRIDE=FQ","FILING_STATUS=MR","SCALING_FORMAT=MLN","FA_ADJUSTED=GAAP","Sort=A","Dates=H","DateFormat=P","Fill=—","Direction=H","UseDPDF=Y")</f>
        <v>-219.48099999999999</v>
      </c>
      <c r="D38" s="19">
        <f>_xll.BDH("ALNY US Equity","NI_INCLUDING_MINORITY_INT_RATIO","FQ3 2019","FQ3 2019","Currency=USD","Period=FQ","BEST_FPERIOD_OVERRIDE=FQ","FILING_STATUS=MR","SCALING_FORMAT=MLN","FA_ADJUSTED=GAAP","Sort=A","Dates=H","DateFormat=P","Fill=—","Direction=H","UseDPDF=Y")</f>
        <v>-208.535</v>
      </c>
      <c r="E38" s="19">
        <f>_xll.BDH("ALNY US Equity","NI_INCLUDING_MINORITY_INT_RATIO","FQ4 2019","FQ4 2019","Currency=USD","Period=FQ","BEST_FPERIOD_OVERRIDE=FQ","FILING_STATUS=MR","SCALING_FORMAT=MLN","FA_ADJUSTED=GAAP","Sort=A","Dates=H","DateFormat=P","Fill=—","Direction=H","UseDPDF=Y")</f>
        <v>-276.185</v>
      </c>
      <c r="F38" s="19">
        <f>_xll.BDH("ALNY US Equity","NI_INCLUDING_MINORITY_INT_RATIO","FQ1 2020","FQ1 2020","Currency=USD","Period=FQ","BEST_FPERIOD_OVERRIDE=FQ","FILING_STATUS=MR","SCALING_FORMAT=MLN","FA_ADJUSTED=GAAP","Sort=A","Dates=H","DateFormat=P","Fill=—","Direction=H","UseDPDF=Y")</f>
        <v>-182.221</v>
      </c>
      <c r="G38" s="19">
        <f>_xll.BDH("ALNY US Equity","NI_INCLUDING_MINORITY_INT_RATIO","FQ2 2020","FQ2 2020","Currency=USD","Period=FQ","BEST_FPERIOD_OVERRIDE=FQ","FILING_STATUS=MR","SCALING_FORMAT=MLN","FA_ADJUSTED=GAAP","Sort=A","Dates=H","DateFormat=P","Fill=—","Direction=H","UseDPDF=Y")</f>
        <v>-179.22900000000001</v>
      </c>
      <c r="H38" s="19">
        <f>_xll.BDH("ALNY US Equity","NI_INCLUDING_MINORITY_INT_RATIO","FQ3 2020","FQ3 2020","Currency=USD","Period=FQ","BEST_FPERIOD_OVERRIDE=FQ","FILING_STATUS=MR","SCALING_FORMAT=MLN","FA_ADJUSTED=GAAP","Sort=A","Dates=H","DateFormat=P","Fill=—","Direction=H","UseDPDF=Y")</f>
        <v>-253.291</v>
      </c>
      <c r="I38" s="19">
        <f>_xll.BDH("ALNY US Equity","NI_INCLUDING_MINORITY_INT_RATIO","FQ4 2020","FQ4 2020","Currency=USD","Period=FQ","BEST_FPERIOD_OVERRIDE=FQ","FILING_STATUS=MR","SCALING_FORMAT=MLN","FA_ADJUSTED=GAAP","Sort=A","Dates=H","DateFormat=P","Fill=—","Direction=H","UseDPDF=Y")</f>
        <v>-243.54</v>
      </c>
      <c r="J38" s="19">
        <f>_xll.BDH("ALNY US Equity","NI_INCLUDING_MINORITY_INT_RATIO","FQ1 2021","FQ1 2021","Currency=USD","Period=FQ","BEST_FPERIOD_OVERRIDE=FQ","FILING_STATUS=MR","SCALING_FORMAT=MLN","FA_ADJUSTED=GAAP","Sort=A","Dates=H","DateFormat=P","Fill=—","Direction=H","UseDPDF=Y")</f>
        <v>-200.291</v>
      </c>
      <c r="K38" s="19">
        <f>_xll.BDH("ALNY US Equity","NI_INCLUDING_MINORITY_INT_RATIO","FQ2 2021","FQ2 2021","Currency=USD","Period=FQ","BEST_FPERIOD_OVERRIDE=FQ","FILING_STATUS=MR","SCALING_FORMAT=MLN","FA_ADJUSTED=GAAP","Sort=A","Dates=H","DateFormat=P","Fill=—","Direction=H","UseDPDF=Y")</f>
        <v>-189.559</v>
      </c>
      <c r="L38" s="19">
        <f>_xll.BDH("ALNY US Equity","NI_INCLUDING_MINORITY_INT_RATIO","FQ3 2021","FQ3 2021","Currency=USD","Period=FQ","BEST_FPERIOD_OVERRIDE=FQ","FILING_STATUS=MR","SCALING_FORMAT=MLN","FA_ADJUSTED=GAAP","Sort=A","Dates=H","DateFormat=P","Fill=—","Direction=H","UseDPDF=Y")</f>
        <v>-204.51400000000001</v>
      </c>
      <c r="M38" s="19">
        <f>_xll.BDH("ALNY US Equity","NI_INCLUDING_MINORITY_INT_RATIO","FQ4 2021","FQ4 2021","Currency=USD","Period=FQ","BEST_FPERIOD_OVERRIDE=FQ","FILING_STATUS=MR","SCALING_FORMAT=MLN","FA_ADJUSTED=GAAP","Sort=A","Dates=H","DateFormat=P","Fill=—","Direction=H","UseDPDF=Y")</f>
        <v>-258.45999999999998</v>
      </c>
      <c r="N38" s="19">
        <f>_xll.BDH("ALNY US Equity","NI_INCLUDING_MINORITY_INT_RATIO","FQ1 2022","FQ1 2022","Currency=USD","Period=FQ","BEST_FPERIOD_OVERRIDE=FQ","FILING_STATUS=MR","SCALING_FORMAT=MLN","FA_ADJUSTED=GAAP","Sort=A","Dates=H","DateFormat=P","Fill=—","Direction=H","UseDPDF=Y")</f>
        <v>-240.34100000000001</v>
      </c>
      <c r="O38" s="19">
        <f>_xll.BDH("ALNY US Equity","NI_INCLUDING_MINORITY_INT_RATIO","FQ2 2022","FQ2 2022","Currency=USD","Period=FQ","BEST_FPERIOD_OVERRIDE=FQ","FILING_STATUS=MR","SCALING_FORMAT=MLN","FA_ADJUSTED=GAAP","Sort=A","Dates=H","DateFormat=P","Fill=—","Direction=H","UseDPDF=Y")</f>
        <v>-277.40199999999999</v>
      </c>
      <c r="P38" s="19">
        <f>_xll.BDH("ALNY US Equity","NI_INCLUDING_MINORITY_INT_RATIO","FQ3 2022","FQ3 2022","Currency=USD","Period=FQ","BEST_FPERIOD_OVERRIDE=FQ","FILING_STATUS=MR","SCALING_FORMAT=MLN","FA_ADJUSTED=GAAP","Sort=A","Dates=H","DateFormat=P","Fill=—","Direction=H","UseDPDF=Y")</f>
        <v>-405.92</v>
      </c>
      <c r="Q38" s="19">
        <f>_xll.BDH("ALNY US Equity","NI_INCLUDING_MINORITY_INT_RATIO","FQ4 2022","FQ4 2022","Currency=USD","Period=FQ","BEST_FPERIOD_OVERRIDE=FQ","FILING_STATUS=MR","SCALING_FORMAT=MLN","FA_ADJUSTED=GAAP","Sort=A","Dates=H","DateFormat=P","Fill=—","Direction=H","UseDPDF=Y")</f>
        <v>-207.49299999999999</v>
      </c>
      <c r="R38" s="19">
        <f>_xll.BDH("ALNY US Equity","NI_INCLUDING_MINORITY_INT_RATIO","FQ1 2023","FQ1 2023","Currency=USD","Period=FQ","BEST_FPERIOD_OVERRIDE=FQ","FILING_STATUS=MR","SCALING_FORMAT=MLN","FA_ADJUSTED=GAAP","Sort=A","Dates=H","DateFormat=P","Fill=—","Direction=H","UseDPDF=Y")</f>
        <v>-174.101</v>
      </c>
      <c r="S38" s="19">
        <f>_xll.BDH("ALNY US Equity","NI_INCLUDING_MINORITY_INT_RATIO","FQ2 2023","FQ2 2023","Currency=USD","Period=FQ","BEST_FPERIOD_OVERRIDE=FQ","FILING_STATUS=MR","SCALING_FORMAT=MLN","FA_ADJUSTED=GAAP","Sort=A","Dates=H","DateFormat=P","Fill=—","Direction=H","UseDPDF=Y")</f>
        <v>-276.024</v>
      </c>
      <c r="T38" s="19">
        <f>_xll.BDH("ALNY US Equity","NI_INCLUDING_MINORITY_INT_RATIO","FQ3 2023","FQ3 2023","Currency=USD","Period=FQ","BEST_FPERIOD_OVERRIDE=FQ","FILING_STATUS=MR","SCALING_FORMAT=MLN","FA_ADJUSTED=GAAP","Sort=A","Dates=H","DateFormat=P","Fill=—","Direction=H","UseDPDF=Y")</f>
        <v>147.75299999999999</v>
      </c>
      <c r="U38" s="19">
        <f>_xll.BDH("ALNY US Equity","NI_INCLUDING_MINORITY_INT_RATIO","FQ4 2023","FQ4 2023","Currency=USD","Period=FQ","BEST_FPERIOD_OVERRIDE=FQ","FILING_STATUS=MR","SCALING_FORMAT=MLN","FA_ADJUSTED=GAAP","Sort=A","Dates=H","DateFormat=P","Fill=—","Direction=H","UseDPDF=Y")</f>
        <v>-137.87</v>
      </c>
      <c r="V38" s="19">
        <f>_xll.BDH("ALNY US Equity","NI_INCLUDING_MINORITY_INT_RATIO","FQ1 2024","FQ1 2024","Currency=USD","Period=FQ","BEST_FPERIOD_OVERRIDE=FQ","FILING_STATUS=MR","SCALING_FORMAT=MLN","FA_ADJUSTED=GAAP","Sort=A","Dates=H","DateFormat=P","Fill=—","Direction=H","UseDPDF=Y")</f>
        <v>-65.935000000000002</v>
      </c>
      <c r="W38" s="19">
        <f>_xll.BDH("ALNY US Equity","NI_INCLUDING_MINORITY_INT_RATIO","FQ2 2024","FQ2 2024","Currency=USD","Period=FQ","BEST_FPERIOD_OVERRIDE=FQ","FILING_STATUS=MR","SCALING_FORMAT=MLN","FA_ADJUSTED=GAAP","Sort=A","Dates=H","DateFormat=P","Fill=—","Direction=H","UseDPDF=Y")</f>
        <v>-16.888999999999999</v>
      </c>
      <c r="X38" s="19">
        <f>_xll.BDH("ALNY US Equity","NI_INCLUDING_MINORITY_INT_RATIO","FQ3 2024","FQ3 2024","Currency=USD","Period=FQ","BEST_FPERIOD_OVERRIDE=FQ","FILING_STATUS=MR","SCALING_FORMAT=MLN","FA_ADJUSTED=GAAP","Sort=A","Dates=H","DateFormat=P","Fill=—","Direction=H","UseDPDF=Y")</f>
        <v>-111.57</v>
      </c>
      <c r="Y38" s="19">
        <f>_xll.BDH("ALNY US Equity","NI_INCLUDING_MINORITY_INT_RATIO","FQ4 2024","FQ4 2024","Currency=USD","Period=FQ","BEST_FPERIOD_OVERRIDE=FQ","FILING_STATUS=MR","SCALING_FORMAT=MLN","FA_ADJUSTED=GAAP","Sort=A","Dates=H","DateFormat=P","Fill=—","Direction=H","UseDPDF=Y")</f>
        <v>-83.763000000000005</v>
      </c>
      <c r="Z38" s="19"/>
      <c r="AA38" s="19"/>
    </row>
    <row r="39" spans="1:27" x14ac:dyDescent="0.25">
      <c r="A39" s="10" t="s">
        <v>357</v>
      </c>
      <c r="B39" s="10" t="s">
        <v>358</v>
      </c>
      <c r="C39" s="13">
        <f>_xll.BDH("ALNY US Equity","MIN_NONCONTROL_INTEREST_CREDITS","FQ2 2019","FQ2 2019","Currency=USD","Period=FQ","BEST_FPERIOD_OVERRIDE=FQ","FILING_STATUS=MR","SCALING_FORMAT=MLN","FA_ADJUSTED=GAAP","Sort=A","Dates=H","DateFormat=P","Fill=—","Direction=H","UseDPDF=Y")</f>
        <v>0</v>
      </c>
      <c r="D39" s="13">
        <f>_xll.BDH("ALNY US Equity","MIN_NONCONTROL_INTEREST_CREDITS","FQ3 2019","FQ3 2019","Currency=USD","Period=FQ","BEST_FPERIOD_OVERRIDE=FQ","FILING_STATUS=MR","SCALING_FORMAT=MLN","FA_ADJUSTED=GAAP","Sort=A","Dates=H","DateFormat=P","Fill=—","Direction=H","UseDPDF=Y")</f>
        <v>0</v>
      </c>
      <c r="E39" s="13">
        <f>_xll.BDH("ALNY US Equity","MIN_NONCONTROL_INTEREST_CREDITS","FQ4 2019","FQ4 2019","Currency=USD","Period=FQ","BEST_FPERIOD_OVERRIDE=FQ","FILING_STATUS=MR","SCALING_FORMAT=MLN","FA_ADJUSTED=GAAP","Sort=A","Dates=H","DateFormat=P","Fill=—","Direction=H","UseDPDF=Y")</f>
        <v>0</v>
      </c>
      <c r="F39" s="13">
        <f>_xll.BDH("ALNY US Equity","MIN_NONCONTROL_INTEREST_CREDITS","FQ1 2020","FQ1 2020","Currency=USD","Period=FQ","BEST_FPERIOD_OVERRIDE=FQ","FILING_STATUS=MR","SCALING_FORMAT=MLN","FA_ADJUSTED=GAAP","Sort=A","Dates=H","DateFormat=P","Fill=—","Direction=H","UseDPDF=Y")</f>
        <v>0</v>
      </c>
      <c r="G39" s="13">
        <f>_xll.BDH("ALNY US Equity","MIN_NONCONTROL_INTEREST_CREDITS","FQ2 2020","FQ2 2020","Currency=USD","Period=FQ","BEST_FPERIOD_OVERRIDE=FQ","FILING_STATUS=MR","SCALING_FORMAT=MLN","FA_ADJUSTED=GAAP","Sort=A","Dates=H","DateFormat=P","Fill=—","Direction=H","UseDPDF=Y")</f>
        <v>0</v>
      </c>
      <c r="H39" s="13">
        <f>_xll.BDH("ALNY US Equity","MIN_NONCONTROL_INTEREST_CREDITS","FQ3 2020","FQ3 2020","Currency=USD","Period=FQ","BEST_FPERIOD_OVERRIDE=FQ","FILING_STATUS=MR","SCALING_FORMAT=MLN","FA_ADJUSTED=GAAP","Sort=A","Dates=H","DateFormat=P","Fill=—","Direction=H","UseDPDF=Y")</f>
        <v>0</v>
      </c>
      <c r="I39" s="13">
        <f>_xll.BDH("ALNY US Equity","MIN_NONCONTROL_INTEREST_CREDITS","FQ4 2020","FQ4 2020","Currency=USD","Period=FQ","BEST_FPERIOD_OVERRIDE=FQ","FILING_STATUS=MR","SCALING_FORMAT=MLN","FA_ADJUSTED=GAAP","Sort=A","Dates=H","DateFormat=P","Fill=—","Direction=H","UseDPDF=Y")</f>
        <v>0</v>
      </c>
      <c r="J39" s="13">
        <f>_xll.BDH("ALNY US Equity","MIN_NONCONTROL_INTEREST_CREDITS","FQ1 2021","FQ1 2021","Currency=USD","Period=FQ","BEST_FPERIOD_OVERRIDE=FQ","FILING_STATUS=MR","SCALING_FORMAT=MLN","FA_ADJUSTED=GAAP","Sort=A","Dates=H","DateFormat=P","Fill=—","Direction=H","UseDPDF=Y")</f>
        <v>0</v>
      </c>
      <c r="K39" s="13">
        <f>_xll.BDH("ALNY US Equity","MIN_NONCONTROL_INTEREST_CREDITS","FQ2 2021","FQ2 2021","Currency=USD","Period=FQ","BEST_FPERIOD_OVERRIDE=FQ","FILING_STATUS=MR","SCALING_FORMAT=MLN","FA_ADJUSTED=GAAP","Sort=A","Dates=H","DateFormat=P","Fill=—","Direction=H","UseDPDF=Y")</f>
        <v>0</v>
      </c>
      <c r="L39" s="13">
        <f>_xll.BDH("ALNY US Equity","MIN_NONCONTROL_INTEREST_CREDITS","FQ3 2021","FQ3 2021","Currency=USD","Period=FQ","BEST_FPERIOD_OVERRIDE=FQ","FILING_STATUS=MR","SCALING_FORMAT=MLN","FA_ADJUSTED=GAAP","Sort=A","Dates=H","DateFormat=P","Fill=—","Direction=H","UseDPDF=Y")</f>
        <v>0</v>
      </c>
      <c r="M39" s="13">
        <f>_xll.BDH("ALNY US Equity","MIN_NONCONTROL_INTEREST_CREDITS","FQ4 2021","FQ4 2021","Currency=USD","Period=FQ","BEST_FPERIOD_OVERRIDE=FQ","FILING_STATUS=MR","SCALING_FORMAT=MLN","FA_ADJUSTED=GAAP","Sort=A","Dates=H","DateFormat=P","Fill=—","Direction=H","UseDPDF=Y")</f>
        <v>0</v>
      </c>
      <c r="N39" s="13">
        <f>_xll.BDH("ALNY US Equity","MIN_NONCONTROL_INTEREST_CREDITS","FQ1 2022","FQ1 2022","Currency=USD","Period=FQ","BEST_FPERIOD_OVERRIDE=FQ","FILING_STATUS=MR","SCALING_FORMAT=MLN","FA_ADJUSTED=GAAP","Sort=A","Dates=H","DateFormat=P","Fill=—","Direction=H","UseDPDF=Y")</f>
        <v>0</v>
      </c>
      <c r="O39" s="13">
        <f>_xll.BDH("ALNY US Equity","MIN_NONCONTROL_INTEREST_CREDITS","FQ2 2022","FQ2 2022","Currency=USD","Period=FQ","BEST_FPERIOD_OVERRIDE=FQ","FILING_STATUS=MR","SCALING_FORMAT=MLN","FA_ADJUSTED=GAAP","Sort=A","Dates=H","DateFormat=P","Fill=—","Direction=H","UseDPDF=Y")</f>
        <v>0</v>
      </c>
      <c r="P39" s="13">
        <f>_xll.BDH("ALNY US Equity","MIN_NONCONTROL_INTEREST_CREDITS","FQ3 2022","FQ3 2022","Currency=USD","Period=FQ","BEST_FPERIOD_OVERRIDE=FQ","FILING_STATUS=MR","SCALING_FORMAT=MLN","FA_ADJUSTED=GAAP","Sort=A","Dates=H","DateFormat=P","Fill=—","Direction=H","UseDPDF=Y")</f>
        <v>0</v>
      </c>
      <c r="Q39" s="13">
        <f>_xll.BDH("ALNY US Equity","MIN_NONCONTROL_INTEREST_CREDITS","FQ4 2022","FQ4 2022","Currency=USD","Period=FQ","BEST_FPERIOD_OVERRIDE=FQ","FILING_STATUS=MR","SCALING_FORMAT=MLN","FA_ADJUSTED=GAAP","Sort=A","Dates=H","DateFormat=P","Fill=—","Direction=H","UseDPDF=Y")</f>
        <v>0</v>
      </c>
      <c r="R39" s="13">
        <f>_xll.BDH("ALNY US Equity","MIN_NONCONTROL_INTEREST_CREDITS","FQ1 2023","FQ1 2023","Currency=USD","Period=FQ","BEST_FPERIOD_OVERRIDE=FQ","FILING_STATUS=MR","SCALING_FORMAT=MLN","FA_ADJUSTED=GAAP","Sort=A","Dates=H","DateFormat=P","Fill=—","Direction=H","UseDPDF=Y")</f>
        <v>0</v>
      </c>
      <c r="S39" s="13">
        <f>_xll.BDH("ALNY US Equity","MIN_NONCONTROL_INTEREST_CREDITS","FQ2 2023","FQ2 2023","Currency=USD","Period=FQ","BEST_FPERIOD_OVERRIDE=FQ","FILING_STATUS=MR","SCALING_FORMAT=MLN","FA_ADJUSTED=GAAP","Sort=A","Dates=H","DateFormat=P","Fill=—","Direction=H","UseDPDF=Y")</f>
        <v>0</v>
      </c>
      <c r="T39" s="13">
        <f>_xll.BDH("ALNY US Equity","MIN_NONCONTROL_INTEREST_CREDITS","FQ3 2023","FQ3 2023","Currency=USD","Period=FQ","BEST_FPERIOD_OVERRIDE=FQ","FILING_STATUS=MR","SCALING_FORMAT=MLN","FA_ADJUSTED=GAAP","Sort=A","Dates=H","DateFormat=P","Fill=—","Direction=H","UseDPDF=Y")</f>
        <v>0</v>
      </c>
      <c r="U39" s="13">
        <f>_xll.BDH("ALNY US Equity","MIN_NONCONTROL_INTEREST_CREDITS","FQ4 2023","FQ4 2023","Currency=USD","Period=FQ","BEST_FPERIOD_OVERRIDE=FQ","FILING_STATUS=MR","SCALING_FORMAT=MLN","FA_ADJUSTED=GAAP","Sort=A","Dates=H","DateFormat=P","Fill=—","Direction=H","UseDPDF=Y")</f>
        <v>0</v>
      </c>
      <c r="V39" s="13">
        <f>_xll.BDH("ALNY US Equity","MIN_NONCONTROL_INTEREST_CREDITS","FQ1 2024","FQ1 2024","Currency=USD","Period=FQ","BEST_FPERIOD_OVERRIDE=FQ","FILING_STATUS=MR","SCALING_FORMAT=MLN","FA_ADJUSTED=GAAP","Sort=A","Dates=H","DateFormat=P","Fill=—","Direction=H","UseDPDF=Y")</f>
        <v>0</v>
      </c>
      <c r="W39" s="13">
        <f>_xll.BDH("ALNY US Equity","MIN_NONCONTROL_INTEREST_CREDITS","FQ2 2024","FQ2 2024","Currency=USD","Period=FQ","BEST_FPERIOD_OVERRIDE=FQ","FILING_STATUS=MR","SCALING_FORMAT=MLN","FA_ADJUSTED=GAAP","Sort=A","Dates=H","DateFormat=P","Fill=—","Direction=H","UseDPDF=Y")</f>
        <v>0</v>
      </c>
      <c r="X39" s="13">
        <f>_xll.BDH("ALNY US Equity","MIN_NONCONTROL_INTEREST_CREDITS","FQ3 2024","FQ3 2024","Currency=USD","Period=FQ","BEST_FPERIOD_OVERRIDE=FQ","FILING_STATUS=MR","SCALING_FORMAT=MLN","FA_ADJUSTED=GAAP","Sort=A","Dates=H","DateFormat=P","Fill=—","Direction=H","UseDPDF=Y")</f>
        <v>0</v>
      </c>
      <c r="Y39" s="13">
        <f>_xll.BDH("ALNY US Equity","MIN_NONCONTROL_INTEREST_CREDITS","FQ4 2024","FQ4 2024","Currency=USD","Period=FQ","BEST_FPERIOD_OVERRIDE=FQ","FILING_STATUS=MR","SCALING_FORMAT=MLN","FA_ADJUSTED=GAAP","Sort=A","Dates=H","DateFormat=P","Fill=—","Direction=H","UseDPDF=Y")</f>
        <v>0</v>
      </c>
      <c r="Z39" s="13"/>
      <c r="AA39" s="13"/>
    </row>
    <row r="40" spans="1:27" x14ac:dyDescent="0.25">
      <c r="A40" s="6" t="s">
        <v>359</v>
      </c>
      <c r="B40" s="6" t="s">
        <v>360</v>
      </c>
      <c r="C40" s="19">
        <f>_xll.BDH("ALNY US Equity","NET_INCOME","FQ2 2019","FQ2 2019","Currency=USD","Period=FQ","BEST_FPERIOD_OVERRIDE=FQ","FILING_STATUS=MR","SCALING_FORMAT=MLN","FA_ADJUSTED=GAAP","Sort=A","Dates=H","DateFormat=P","Fill=—","Direction=H","UseDPDF=Y")</f>
        <v>-219.48099999999999</v>
      </c>
      <c r="D40" s="19">
        <f>_xll.BDH("ALNY US Equity","NET_INCOME","FQ3 2019","FQ3 2019","Currency=USD","Period=FQ","BEST_FPERIOD_OVERRIDE=FQ","FILING_STATUS=MR","SCALING_FORMAT=MLN","FA_ADJUSTED=GAAP","Sort=A","Dates=H","DateFormat=P","Fill=—","Direction=H","UseDPDF=Y")</f>
        <v>-208.535</v>
      </c>
      <c r="E40" s="19">
        <f>_xll.BDH("ALNY US Equity","NET_INCOME","FQ4 2019","FQ4 2019","Currency=USD","Period=FQ","BEST_FPERIOD_OVERRIDE=FQ","FILING_STATUS=MR","SCALING_FORMAT=MLN","FA_ADJUSTED=GAAP","Sort=A","Dates=H","DateFormat=P","Fill=—","Direction=H","UseDPDF=Y")</f>
        <v>-276.185</v>
      </c>
      <c r="F40" s="19">
        <f>_xll.BDH("ALNY US Equity","NET_INCOME","FQ1 2020","FQ1 2020","Currency=USD","Period=FQ","BEST_FPERIOD_OVERRIDE=FQ","FILING_STATUS=MR","SCALING_FORMAT=MLN","FA_ADJUSTED=GAAP","Sort=A","Dates=H","DateFormat=P","Fill=—","Direction=H","UseDPDF=Y")</f>
        <v>-182.221</v>
      </c>
      <c r="G40" s="19">
        <f>_xll.BDH("ALNY US Equity","NET_INCOME","FQ2 2020","FQ2 2020","Currency=USD","Period=FQ","BEST_FPERIOD_OVERRIDE=FQ","FILING_STATUS=MR","SCALING_FORMAT=MLN","FA_ADJUSTED=GAAP","Sort=A","Dates=H","DateFormat=P","Fill=—","Direction=H","UseDPDF=Y")</f>
        <v>-179.22900000000001</v>
      </c>
      <c r="H40" s="19">
        <f>_xll.BDH("ALNY US Equity","NET_INCOME","FQ3 2020","FQ3 2020","Currency=USD","Period=FQ","BEST_FPERIOD_OVERRIDE=FQ","FILING_STATUS=MR","SCALING_FORMAT=MLN","FA_ADJUSTED=GAAP","Sort=A","Dates=H","DateFormat=P","Fill=—","Direction=H","UseDPDF=Y")</f>
        <v>-253.291</v>
      </c>
      <c r="I40" s="19">
        <f>_xll.BDH("ALNY US Equity","NET_INCOME","FQ4 2020","FQ4 2020","Currency=USD","Period=FQ","BEST_FPERIOD_OVERRIDE=FQ","FILING_STATUS=MR","SCALING_FORMAT=MLN","FA_ADJUSTED=GAAP","Sort=A","Dates=H","DateFormat=P","Fill=—","Direction=H","UseDPDF=Y")</f>
        <v>-243.54</v>
      </c>
      <c r="J40" s="19">
        <f>_xll.BDH("ALNY US Equity","NET_INCOME","FQ1 2021","FQ1 2021","Currency=USD","Period=FQ","BEST_FPERIOD_OVERRIDE=FQ","FILING_STATUS=MR","SCALING_FORMAT=MLN","FA_ADJUSTED=GAAP","Sort=A","Dates=H","DateFormat=P","Fill=—","Direction=H","UseDPDF=Y")</f>
        <v>-200.291</v>
      </c>
      <c r="K40" s="19">
        <f>_xll.BDH("ALNY US Equity","NET_INCOME","FQ2 2021","FQ2 2021","Currency=USD","Period=FQ","BEST_FPERIOD_OVERRIDE=FQ","FILING_STATUS=MR","SCALING_FORMAT=MLN","FA_ADJUSTED=GAAP","Sort=A","Dates=H","DateFormat=P","Fill=—","Direction=H","UseDPDF=Y")</f>
        <v>-189.559</v>
      </c>
      <c r="L40" s="19">
        <f>_xll.BDH("ALNY US Equity","NET_INCOME","FQ3 2021","FQ3 2021","Currency=USD","Period=FQ","BEST_FPERIOD_OVERRIDE=FQ","FILING_STATUS=MR","SCALING_FORMAT=MLN","FA_ADJUSTED=GAAP","Sort=A","Dates=H","DateFormat=P","Fill=—","Direction=H","UseDPDF=Y")</f>
        <v>-204.51400000000001</v>
      </c>
      <c r="M40" s="19">
        <f>_xll.BDH("ALNY US Equity","NET_INCOME","FQ4 2021","FQ4 2021","Currency=USD","Period=FQ","BEST_FPERIOD_OVERRIDE=FQ","FILING_STATUS=MR","SCALING_FORMAT=MLN","FA_ADJUSTED=GAAP","Sort=A","Dates=H","DateFormat=P","Fill=—","Direction=H","UseDPDF=Y")</f>
        <v>-258.45999999999998</v>
      </c>
      <c r="N40" s="19">
        <f>_xll.BDH("ALNY US Equity","NET_INCOME","FQ1 2022","FQ1 2022","Currency=USD","Period=FQ","BEST_FPERIOD_OVERRIDE=FQ","FILING_STATUS=MR","SCALING_FORMAT=MLN","FA_ADJUSTED=GAAP","Sort=A","Dates=H","DateFormat=P","Fill=—","Direction=H","UseDPDF=Y")</f>
        <v>-240.34100000000001</v>
      </c>
      <c r="O40" s="19">
        <f>_xll.BDH("ALNY US Equity","NET_INCOME","FQ2 2022","FQ2 2022","Currency=USD","Period=FQ","BEST_FPERIOD_OVERRIDE=FQ","FILING_STATUS=MR","SCALING_FORMAT=MLN","FA_ADJUSTED=GAAP","Sort=A","Dates=H","DateFormat=P","Fill=—","Direction=H","UseDPDF=Y")</f>
        <v>-277.40199999999999</v>
      </c>
      <c r="P40" s="19">
        <f>_xll.BDH("ALNY US Equity","NET_INCOME","FQ3 2022","FQ3 2022","Currency=USD","Period=FQ","BEST_FPERIOD_OVERRIDE=FQ","FILING_STATUS=MR","SCALING_FORMAT=MLN","FA_ADJUSTED=GAAP","Sort=A","Dates=H","DateFormat=P","Fill=—","Direction=H","UseDPDF=Y")</f>
        <v>-405.92</v>
      </c>
      <c r="Q40" s="19">
        <f>_xll.BDH("ALNY US Equity","NET_INCOME","FQ4 2022","FQ4 2022","Currency=USD","Period=FQ","BEST_FPERIOD_OVERRIDE=FQ","FILING_STATUS=MR","SCALING_FORMAT=MLN","FA_ADJUSTED=GAAP","Sort=A","Dates=H","DateFormat=P","Fill=—","Direction=H","UseDPDF=Y")</f>
        <v>-207.49299999999999</v>
      </c>
      <c r="R40" s="19">
        <f>_xll.BDH("ALNY US Equity","NET_INCOME","FQ1 2023","FQ1 2023","Currency=USD","Period=FQ","BEST_FPERIOD_OVERRIDE=FQ","FILING_STATUS=MR","SCALING_FORMAT=MLN","FA_ADJUSTED=GAAP","Sort=A","Dates=H","DateFormat=P","Fill=—","Direction=H","UseDPDF=Y")</f>
        <v>-174.101</v>
      </c>
      <c r="S40" s="19">
        <f>_xll.BDH("ALNY US Equity","NET_INCOME","FQ2 2023","FQ2 2023","Currency=USD","Period=FQ","BEST_FPERIOD_OVERRIDE=FQ","FILING_STATUS=MR","SCALING_FORMAT=MLN","FA_ADJUSTED=GAAP","Sort=A","Dates=H","DateFormat=P","Fill=—","Direction=H","UseDPDF=Y")</f>
        <v>-276.024</v>
      </c>
      <c r="T40" s="19">
        <f>_xll.BDH("ALNY US Equity","NET_INCOME","FQ3 2023","FQ3 2023","Currency=USD","Period=FQ","BEST_FPERIOD_OVERRIDE=FQ","FILING_STATUS=MR","SCALING_FORMAT=MLN","FA_ADJUSTED=GAAP","Sort=A","Dates=H","DateFormat=P","Fill=—","Direction=H","UseDPDF=Y")</f>
        <v>147.75299999999999</v>
      </c>
      <c r="U40" s="19">
        <f>_xll.BDH("ALNY US Equity","NET_INCOME","FQ4 2023","FQ4 2023","Currency=USD","Period=FQ","BEST_FPERIOD_OVERRIDE=FQ","FILING_STATUS=MR","SCALING_FORMAT=MLN","FA_ADJUSTED=GAAP","Sort=A","Dates=H","DateFormat=P","Fill=—","Direction=H","UseDPDF=Y")</f>
        <v>-137.87</v>
      </c>
      <c r="V40" s="19">
        <f>_xll.BDH("ALNY US Equity","NET_INCOME","FQ1 2024","FQ1 2024","Currency=USD","Period=FQ","BEST_FPERIOD_OVERRIDE=FQ","FILING_STATUS=MR","SCALING_FORMAT=MLN","FA_ADJUSTED=GAAP","Sort=A","Dates=H","DateFormat=P","Fill=—","Direction=H","UseDPDF=Y")</f>
        <v>-65.935000000000002</v>
      </c>
      <c r="W40" s="19">
        <f>_xll.BDH("ALNY US Equity","NET_INCOME","FQ2 2024","FQ2 2024","Currency=USD","Period=FQ","BEST_FPERIOD_OVERRIDE=FQ","FILING_STATUS=MR","SCALING_FORMAT=MLN","FA_ADJUSTED=GAAP","Sort=A","Dates=H","DateFormat=P","Fill=—","Direction=H","UseDPDF=Y")</f>
        <v>-16.888999999999999</v>
      </c>
      <c r="X40" s="19">
        <f>_xll.BDH("ALNY US Equity","NET_INCOME","FQ3 2024","FQ3 2024","Currency=USD","Period=FQ","BEST_FPERIOD_OVERRIDE=FQ","FILING_STATUS=MR","SCALING_FORMAT=MLN","FA_ADJUSTED=GAAP","Sort=A","Dates=H","DateFormat=P","Fill=—","Direction=H","UseDPDF=Y")</f>
        <v>-111.57</v>
      </c>
      <c r="Y40" s="19">
        <f>_xll.BDH("ALNY US Equity","NET_INCOME","FQ4 2024","FQ4 2024","Currency=USD","Period=FQ","BEST_FPERIOD_OVERRIDE=FQ","FILING_STATUS=MR","SCALING_FORMAT=MLN","FA_ADJUSTED=GAAP","Sort=A","Dates=H","DateFormat=P","Fill=—","Direction=H","UseDPDF=Y")</f>
        <v>-83.763000000000005</v>
      </c>
      <c r="Z40" s="19">
        <v>-123.455</v>
      </c>
      <c r="AA40" s="19">
        <v>-122.946</v>
      </c>
    </row>
    <row r="41" spans="1:27" x14ac:dyDescent="0.25">
      <c r="A41" s="10" t="s">
        <v>361</v>
      </c>
      <c r="B41" s="10" t="s">
        <v>362</v>
      </c>
      <c r="C41" s="13">
        <f>_xll.BDH("ALNY US Equity","IS_TOT_CASH_PFD_DVD","FQ2 2019","FQ2 2019","Currency=USD","Period=FQ","BEST_FPERIOD_OVERRIDE=FQ","FILING_STATUS=MR","SCALING_FORMAT=MLN","Sort=A","Dates=H","DateFormat=P","Fill=—","Direction=H","UseDPDF=Y")</f>
        <v>0</v>
      </c>
      <c r="D41" s="13">
        <f>_xll.BDH("ALNY US Equity","IS_TOT_CASH_PFD_DVD","FQ3 2019","FQ3 2019","Currency=USD","Period=FQ","BEST_FPERIOD_OVERRIDE=FQ","FILING_STATUS=MR","SCALING_FORMAT=MLN","Sort=A","Dates=H","DateFormat=P","Fill=—","Direction=H","UseDPDF=Y")</f>
        <v>0</v>
      </c>
      <c r="E41" s="13">
        <f>_xll.BDH("ALNY US Equity","IS_TOT_CASH_PFD_DVD","FQ4 2019","FQ4 2019","Currency=USD","Period=FQ","BEST_FPERIOD_OVERRIDE=FQ","FILING_STATUS=MR","SCALING_FORMAT=MLN","Sort=A","Dates=H","DateFormat=P","Fill=—","Direction=H","UseDPDF=Y")</f>
        <v>0</v>
      </c>
      <c r="F41" s="13">
        <f>_xll.BDH("ALNY US Equity","IS_TOT_CASH_PFD_DVD","FQ1 2020","FQ1 2020","Currency=USD","Period=FQ","BEST_FPERIOD_OVERRIDE=FQ","FILING_STATUS=MR","SCALING_FORMAT=MLN","Sort=A","Dates=H","DateFormat=P","Fill=—","Direction=H","UseDPDF=Y")</f>
        <v>0</v>
      </c>
      <c r="G41" s="13">
        <f>_xll.BDH("ALNY US Equity","IS_TOT_CASH_PFD_DVD","FQ2 2020","FQ2 2020","Currency=USD","Period=FQ","BEST_FPERIOD_OVERRIDE=FQ","FILING_STATUS=MR","SCALING_FORMAT=MLN","Sort=A","Dates=H","DateFormat=P","Fill=—","Direction=H","UseDPDF=Y")</f>
        <v>0</v>
      </c>
      <c r="H41" s="13">
        <f>_xll.BDH("ALNY US Equity","IS_TOT_CASH_PFD_DVD","FQ3 2020","FQ3 2020","Currency=USD","Period=FQ","BEST_FPERIOD_OVERRIDE=FQ","FILING_STATUS=MR","SCALING_FORMAT=MLN","Sort=A","Dates=H","DateFormat=P","Fill=—","Direction=H","UseDPDF=Y")</f>
        <v>0</v>
      </c>
      <c r="I41" s="13">
        <f>_xll.BDH("ALNY US Equity","IS_TOT_CASH_PFD_DVD","FQ4 2020","FQ4 2020","Currency=USD","Period=FQ","BEST_FPERIOD_OVERRIDE=FQ","FILING_STATUS=MR","SCALING_FORMAT=MLN","Sort=A","Dates=H","DateFormat=P","Fill=—","Direction=H","UseDPDF=Y")</f>
        <v>0</v>
      </c>
      <c r="J41" s="13">
        <f>_xll.BDH("ALNY US Equity","IS_TOT_CASH_PFD_DVD","FQ1 2021","FQ1 2021","Currency=USD","Period=FQ","BEST_FPERIOD_OVERRIDE=FQ","FILING_STATUS=MR","SCALING_FORMAT=MLN","Sort=A","Dates=H","DateFormat=P","Fill=—","Direction=H","UseDPDF=Y")</f>
        <v>0</v>
      </c>
      <c r="K41" s="13">
        <f>_xll.BDH("ALNY US Equity","IS_TOT_CASH_PFD_DVD","FQ2 2021","FQ2 2021","Currency=USD","Period=FQ","BEST_FPERIOD_OVERRIDE=FQ","FILING_STATUS=MR","SCALING_FORMAT=MLN","Sort=A","Dates=H","DateFormat=P","Fill=—","Direction=H","UseDPDF=Y")</f>
        <v>0</v>
      </c>
      <c r="L41" s="13">
        <f>_xll.BDH("ALNY US Equity","IS_TOT_CASH_PFD_DVD","FQ3 2021","FQ3 2021","Currency=USD","Period=FQ","BEST_FPERIOD_OVERRIDE=FQ","FILING_STATUS=MR","SCALING_FORMAT=MLN","Sort=A","Dates=H","DateFormat=P","Fill=—","Direction=H","UseDPDF=Y")</f>
        <v>0</v>
      </c>
      <c r="M41" s="13">
        <f>_xll.BDH("ALNY US Equity","IS_TOT_CASH_PFD_DVD","FQ4 2021","FQ4 2021","Currency=USD","Period=FQ","BEST_FPERIOD_OVERRIDE=FQ","FILING_STATUS=MR","SCALING_FORMAT=MLN","Sort=A","Dates=H","DateFormat=P","Fill=—","Direction=H","UseDPDF=Y")</f>
        <v>0</v>
      </c>
      <c r="N41" s="13">
        <f>_xll.BDH("ALNY US Equity","IS_TOT_CASH_PFD_DVD","FQ1 2022","FQ1 2022","Currency=USD","Period=FQ","BEST_FPERIOD_OVERRIDE=FQ","FILING_STATUS=MR","SCALING_FORMAT=MLN","Sort=A","Dates=H","DateFormat=P","Fill=—","Direction=H","UseDPDF=Y")</f>
        <v>0</v>
      </c>
      <c r="O41" s="13">
        <f>_xll.BDH("ALNY US Equity","IS_TOT_CASH_PFD_DVD","FQ2 2022","FQ2 2022","Currency=USD","Period=FQ","BEST_FPERIOD_OVERRIDE=FQ","FILING_STATUS=MR","SCALING_FORMAT=MLN","Sort=A","Dates=H","DateFormat=P","Fill=—","Direction=H","UseDPDF=Y")</f>
        <v>0</v>
      </c>
      <c r="P41" s="13">
        <f>_xll.BDH("ALNY US Equity","IS_TOT_CASH_PFD_DVD","FQ3 2022","FQ3 2022","Currency=USD","Period=FQ","BEST_FPERIOD_OVERRIDE=FQ","FILING_STATUS=MR","SCALING_FORMAT=MLN","Sort=A","Dates=H","DateFormat=P","Fill=—","Direction=H","UseDPDF=Y")</f>
        <v>0</v>
      </c>
      <c r="Q41" s="13">
        <f>_xll.BDH("ALNY US Equity","IS_TOT_CASH_PFD_DVD","FQ4 2022","FQ4 2022","Currency=USD","Period=FQ","BEST_FPERIOD_OVERRIDE=FQ","FILING_STATUS=MR","SCALING_FORMAT=MLN","Sort=A","Dates=H","DateFormat=P","Fill=—","Direction=H","UseDPDF=Y")</f>
        <v>0</v>
      </c>
      <c r="R41" s="13">
        <f>_xll.BDH("ALNY US Equity","IS_TOT_CASH_PFD_DVD","FQ1 2023","FQ1 2023","Currency=USD","Period=FQ","BEST_FPERIOD_OVERRIDE=FQ","FILING_STATUS=MR","SCALING_FORMAT=MLN","Sort=A","Dates=H","DateFormat=P","Fill=—","Direction=H","UseDPDF=Y")</f>
        <v>0</v>
      </c>
      <c r="S41" s="13">
        <f>_xll.BDH("ALNY US Equity","IS_TOT_CASH_PFD_DVD","FQ2 2023","FQ2 2023","Currency=USD","Period=FQ","BEST_FPERIOD_OVERRIDE=FQ","FILING_STATUS=MR","SCALING_FORMAT=MLN","Sort=A","Dates=H","DateFormat=P","Fill=—","Direction=H","UseDPDF=Y")</f>
        <v>0</v>
      </c>
      <c r="T41" s="13">
        <f>_xll.BDH("ALNY US Equity","IS_TOT_CASH_PFD_DVD","FQ3 2023","FQ3 2023","Currency=USD","Period=FQ","BEST_FPERIOD_OVERRIDE=FQ","FILING_STATUS=MR","SCALING_FORMAT=MLN","Sort=A","Dates=H","DateFormat=P","Fill=—","Direction=H","UseDPDF=Y")</f>
        <v>0</v>
      </c>
      <c r="U41" s="13">
        <f>_xll.BDH("ALNY US Equity","IS_TOT_CASH_PFD_DVD","FQ4 2023","FQ4 2023","Currency=USD","Period=FQ","BEST_FPERIOD_OVERRIDE=FQ","FILING_STATUS=MR","SCALING_FORMAT=MLN","Sort=A","Dates=H","DateFormat=P","Fill=—","Direction=H","UseDPDF=Y")</f>
        <v>0</v>
      </c>
      <c r="V41" s="13">
        <f>_xll.BDH("ALNY US Equity","IS_TOT_CASH_PFD_DVD","FQ1 2024","FQ1 2024","Currency=USD","Period=FQ","BEST_FPERIOD_OVERRIDE=FQ","FILING_STATUS=MR","SCALING_FORMAT=MLN","Sort=A","Dates=H","DateFormat=P","Fill=—","Direction=H","UseDPDF=Y")</f>
        <v>0</v>
      </c>
      <c r="W41" s="13">
        <f>_xll.BDH("ALNY US Equity","IS_TOT_CASH_PFD_DVD","FQ2 2024","FQ2 2024","Currency=USD","Period=FQ","BEST_FPERIOD_OVERRIDE=FQ","FILING_STATUS=MR","SCALING_FORMAT=MLN","Sort=A","Dates=H","DateFormat=P","Fill=—","Direction=H","UseDPDF=Y")</f>
        <v>0</v>
      </c>
      <c r="X41" s="13">
        <f>_xll.BDH("ALNY US Equity","IS_TOT_CASH_PFD_DVD","FQ3 2024","FQ3 2024","Currency=USD","Period=FQ","BEST_FPERIOD_OVERRIDE=FQ","FILING_STATUS=MR","SCALING_FORMAT=MLN","Sort=A","Dates=H","DateFormat=P","Fill=—","Direction=H","UseDPDF=Y")</f>
        <v>0</v>
      </c>
      <c r="Y41" s="13">
        <f>_xll.BDH("ALNY US Equity","IS_TOT_CASH_PFD_DVD","FQ4 2024","FQ4 2024","Currency=USD","Period=FQ","BEST_FPERIOD_OVERRIDE=FQ","FILING_STATUS=MR","SCALING_FORMAT=MLN","Sort=A","Dates=H","DateFormat=P","Fill=—","Direction=H","UseDPDF=Y")</f>
        <v>0</v>
      </c>
      <c r="Z41" s="13"/>
      <c r="AA41" s="13"/>
    </row>
    <row r="42" spans="1:27" x14ac:dyDescent="0.25">
      <c r="A42" s="10" t="s">
        <v>363</v>
      </c>
      <c r="B42" s="10" t="s">
        <v>364</v>
      </c>
      <c r="C42" s="13">
        <f>_xll.BDH("ALNY US Equity","OTHER_ADJUSTMENTS","FQ2 2019","FQ2 2019","Currency=USD","Period=FQ","BEST_FPERIOD_OVERRIDE=FQ","FILING_STATUS=MR","SCALING_FORMAT=MLN","Sort=A","Dates=H","DateFormat=P","Fill=—","Direction=H","UseDPDF=Y")</f>
        <v>0</v>
      </c>
      <c r="D42" s="13">
        <f>_xll.BDH("ALNY US Equity","OTHER_ADJUSTMENTS","FQ3 2019","FQ3 2019","Currency=USD","Period=FQ","BEST_FPERIOD_OVERRIDE=FQ","FILING_STATUS=MR","SCALING_FORMAT=MLN","Sort=A","Dates=H","DateFormat=P","Fill=—","Direction=H","UseDPDF=Y")</f>
        <v>0</v>
      </c>
      <c r="E42" s="13">
        <f>_xll.BDH("ALNY US Equity","OTHER_ADJUSTMENTS","FQ4 2019","FQ4 2019","Currency=USD","Period=FQ","BEST_FPERIOD_OVERRIDE=FQ","FILING_STATUS=MR","SCALING_FORMAT=MLN","Sort=A","Dates=H","DateFormat=P","Fill=—","Direction=H","UseDPDF=Y")</f>
        <v>0</v>
      </c>
      <c r="F42" s="13">
        <f>_xll.BDH("ALNY US Equity","OTHER_ADJUSTMENTS","FQ1 2020","FQ1 2020","Currency=USD","Period=FQ","BEST_FPERIOD_OVERRIDE=FQ","FILING_STATUS=MR","SCALING_FORMAT=MLN","Sort=A","Dates=H","DateFormat=P","Fill=—","Direction=H","UseDPDF=Y")</f>
        <v>0</v>
      </c>
      <c r="G42" s="13">
        <f>_xll.BDH("ALNY US Equity","OTHER_ADJUSTMENTS","FQ2 2020","FQ2 2020","Currency=USD","Period=FQ","BEST_FPERIOD_OVERRIDE=FQ","FILING_STATUS=MR","SCALING_FORMAT=MLN","Sort=A","Dates=H","DateFormat=P","Fill=—","Direction=H","UseDPDF=Y")</f>
        <v>0</v>
      </c>
      <c r="H42" s="13">
        <f>_xll.BDH("ALNY US Equity","OTHER_ADJUSTMENTS","FQ3 2020","FQ3 2020","Currency=USD","Period=FQ","BEST_FPERIOD_OVERRIDE=FQ","FILING_STATUS=MR","SCALING_FORMAT=MLN","Sort=A","Dates=H","DateFormat=P","Fill=—","Direction=H","UseDPDF=Y")</f>
        <v>0</v>
      </c>
      <c r="I42" s="13">
        <f>_xll.BDH("ALNY US Equity","OTHER_ADJUSTMENTS","FQ4 2020","FQ4 2020","Currency=USD","Period=FQ","BEST_FPERIOD_OVERRIDE=FQ","FILING_STATUS=MR","SCALING_FORMAT=MLN","Sort=A","Dates=H","DateFormat=P","Fill=—","Direction=H","UseDPDF=Y")</f>
        <v>0</v>
      </c>
      <c r="J42" s="13">
        <f>_xll.BDH("ALNY US Equity","OTHER_ADJUSTMENTS","FQ1 2021","FQ1 2021","Currency=USD","Period=FQ","BEST_FPERIOD_OVERRIDE=FQ","FILING_STATUS=MR","SCALING_FORMAT=MLN","Sort=A","Dates=H","DateFormat=P","Fill=—","Direction=H","UseDPDF=Y")</f>
        <v>0</v>
      </c>
      <c r="K42" s="13">
        <f>_xll.BDH("ALNY US Equity","OTHER_ADJUSTMENTS","FQ2 2021","FQ2 2021","Currency=USD","Period=FQ","BEST_FPERIOD_OVERRIDE=FQ","FILING_STATUS=MR","SCALING_FORMAT=MLN","Sort=A","Dates=H","DateFormat=P","Fill=—","Direction=H","UseDPDF=Y")</f>
        <v>0</v>
      </c>
      <c r="L42" s="13">
        <f>_xll.BDH("ALNY US Equity","OTHER_ADJUSTMENTS","FQ3 2021","FQ3 2021","Currency=USD","Period=FQ","BEST_FPERIOD_OVERRIDE=FQ","FILING_STATUS=MR","SCALING_FORMAT=MLN","Sort=A","Dates=H","DateFormat=P","Fill=—","Direction=H","UseDPDF=Y")</f>
        <v>0</v>
      </c>
      <c r="M42" s="13">
        <f>_xll.BDH("ALNY US Equity","OTHER_ADJUSTMENTS","FQ4 2021","FQ4 2021","Currency=USD","Period=FQ","BEST_FPERIOD_OVERRIDE=FQ","FILING_STATUS=MR","SCALING_FORMAT=MLN","Sort=A","Dates=H","DateFormat=P","Fill=—","Direction=H","UseDPDF=Y")</f>
        <v>0</v>
      </c>
      <c r="N42" s="13">
        <f>_xll.BDH("ALNY US Equity","OTHER_ADJUSTMENTS","FQ1 2022","FQ1 2022","Currency=USD","Period=FQ","BEST_FPERIOD_OVERRIDE=FQ","FILING_STATUS=MR","SCALING_FORMAT=MLN","Sort=A","Dates=H","DateFormat=P","Fill=—","Direction=H","UseDPDF=Y")</f>
        <v>0</v>
      </c>
      <c r="O42" s="13">
        <f>_xll.BDH("ALNY US Equity","OTHER_ADJUSTMENTS","FQ2 2022","FQ2 2022","Currency=USD","Period=FQ","BEST_FPERIOD_OVERRIDE=FQ","FILING_STATUS=MR","SCALING_FORMAT=MLN","Sort=A","Dates=H","DateFormat=P","Fill=—","Direction=H","UseDPDF=Y")</f>
        <v>0</v>
      </c>
      <c r="P42" s="13">
        <f>_xll.BDH("ALNY US Equity","OTHER_ADJUSTMENTS","FQ3 2022","FQ3 2022","Currency=USD","Period=FQ","BEST_FPERIOD_OVERRIDE=FQ","FILING_STATUS=MR","SCALING_FORMAT=MLN","Sort=A","Dates=H","DateFormat=P","Fill=—","Direction=H","UseDPDF=Y")</f>
        <v>0</v>
      </c>
      <c r="Q42" s="13">
        <f>_xll.BDH("ALNY US Equity","OTHER_ADJUSTMENTS","FQ4 2022","FQ4 2022","Currency=USD","Period=FQ","BEST_FPERIOD_OVERRIDE=FQ","FILING_STATUS=MR","SCALING_FORMAT=MLN","Sort=A","Dates=H","DateFormat=P","Fill=—","Direction=H","UseDPDF=Y")</f>
        <v>0</v>
      </c>
      <c r="R42" s="13">
        <f>_xll.BDH("ALNY US Equity","OTHER_ADJUSTMENTS","FQ1 2023","FQ1 2023","Currency=USD","Period=FQ","BEST_FPERIOD_OVERRIDE=FQ","FILING_STATUS=MR","SCALING_FORMAT=MLN","Sort=A","Dates=H","DateFormat=P","Fill=—","Direction=H","UseDPDF=Y")</f>
        <v>0</v>
      </c>
      <c r="S42" s="13">
        <f>_xll.BDH("ALNY US Equity","OTHER_ADJUSTMENTS","FQ2 2023","FQ2 2023","Currency=USD","Period=FQ","BEST_FPERIOD_OVERRIDE=FQ","FILING_STATUS=MR","SCALING_FORMAT=MLN","Sort=A","Dates=H","DateFormat=P","Fill=—","Direction=H","UseDPDF=Y")</f>
        <v>0</v>
      </c>
      <c r="T42" s="13">
        <f>_xll.BDH("ALNY US Equity","OTHER_ADJUSTMENTS","FQ3 2023","FQ3 2023","Currency=USD","Period=FQ","BEST_FPERIOD_OVERRIDE=FQ","FILING_STATUS=MR","SCALING_FORMAT=MLN","Sort=A","Dates=H","DateFormat=P","Fill=—","Direction=H","UseDPDF=Y")</f>
        <v>0</v>
      </c>
      <c r="U42" s="13">
        <f>_xll.BDH("ALNY US Equity","OTHER_ADJUSTMENTS","FQ4 2023","FQ4 2023","Currency=USD","Period=FQ","BEST_FPERIOD_OVERRIDE=FQ","FILING_STATUS=MR","SCALING_FORMAT=MLN","Sort=A","Dates=H","DateFormat=P","Fill=—","Direction=H","UseDPDF=Y")</f>
        <v>0</v>
      </c>
      <c r="V42" s="13">
        <f>_xll.BDH("ALNY US Equity","OTHER_ADJUSTMENTS","FQ1 2024","FQ1 2024","Currency=USD","Period=FQ","BEST_FPERIOD_OVERRIDE=FQ","FILING_STATUS=MR","SCALING_FORMAT=MLN","Sort=A","Dates=H","DateFormat=P","Fill=—","Direction=H","UseDPDF=Y")</f>
        <v>0</v>
      </c>
      <c r="W42" s="13">
        <f>_xll.BDH("ALNY US Equity","OTHER_ADJUSTMENTS","FQ2 2024","FQ2 2024","Currency=USD","Period=FQ","BEST_FPERIOD_OVERRIDE=FQ","FILING_STATUS=MR","SCALING_FORMAT=MLN","Sort=A","Dates=H","DateFormat=P","Fill=—","Direction=H","UseDPDF=Y")</f>
        <v>0</v>
      </c>
      <c r="X42" s="13">
        <f>_xll.BDH("ALNY US Equity","OTHER_ADJUSTMENTS","FQ3 2024","FQ3 2024","Currency=USD","Period=FQ","BEST_FPERIOD_OVERRIDE=FQ","FILING_STATUS=MR","SCALING_FORMAT=MLN","Sort=A","Dates=H","DateFormat=P","Fill=—","Direction=H","UseDPDF=Y")</f>
        <v>0</v>
      </c>
      <c r="Y42" s="13">
        <f>_xll.BDH("ALNY US Equity","OTHER_ADJUSTMENTS","FQ4 2024","FQ4 2024","Currency=USD","Period=FQ","BEST_FPERIOD_OVERRIDE=FQ","FILING_STATUS=MR","SCALING_FORMAT=MLN","Sort=A","Dates=H","DateFormat=P","Fill=—","Direction=H","UseDPDF=Y")</f>
        <v>0</v>
      </c>
      <c r="Z42" s="13"/>
      <c r="AA42" s="13"/>
    </row>
    <row r="43" spans="1:27" x14ac:dyDescent="0.25">
      <c r="A43" s="6" t="s">
        <v>365</v>
      </c>
      <c r="B43" s="6" t="s">
        <v>80</v>
      </c>
      <c r="C43" s="19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D43" s="19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E43" s="19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F43" s="19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G43" s="19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H43" s="19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I43" s="19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J43" s="19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K43" s="19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L43" s="19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M43" s="19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N43" s="19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O43" s="19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P43" s="19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Q43" s="19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R43" s="19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S43" s="19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T43" s="19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U43" s="19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V43" s="19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W43" s="19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X43" s="19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Y43" s="19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  <c r="Z43" s="19">
        <v>-123.455</v>
      </c>
      <c r="AA43" s="19">
        <v>-122.946</v>
      </c>
    </row>
    <row r="44" spans="1:27" x14ac:dyDescent="0.25">
      <c r="A44" s="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5">
      <c r="A45" s="6" t="s">
        <v>366</v>
      </c>
      <c r="B45" s="6" t="s">
        <v>80</v>
      </c>
      <c r="C45" s="19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D45" s="19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E45" s="19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F45" s="19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G45" s="19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H45" s="19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I45" s="19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J45" s="19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K45" s="19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L45" s="19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M45" s="19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N45" s="19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O45" s="19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P45" s="19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Q45" s="19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R45" s="19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S45" s="19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T45" s="19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U45" s="19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V45" s="19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W45" s="19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X45" s="19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Y45" s="19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  <c r="Z45" s="19">
        <v>-31.765000000000001</v>
      </c>
      <c r="AA45" s="19">
        <v>-29.167999999999999</v>
      </c>
    </row>
    <row r="46" spans="1:27" x14ac:dyDescent="0.25">
      <c r="A46" s="10" t="s">
        <v>367</v>
      </c>
      <c r="B46" s="10" t="s">
        <v>368</v>
      </c>
      <c r="C46" s="13">
        <f>_xll.BDH("ALNY US Equity","IS_NET_ABNORMAL_ITEMS","FQ2 2019","FQ2 2019","Currency=USD","Period=FQ","BEST_FPERIOD_OVERRIDE=FQ","FILING_STATUS=MR","SCALING_FORMAT=MLN","Sort=A","Dates=H","DateFormat=P","Fill=—","Direction=H","UseDPDF=Y")</f>
        <v>-9.4220000000000006</v>
      </c>
      <c r="D46" s="13">
        <f>_xll.BDH("ALNY US Equity","IS_NET_ABNORMAL_ITEMS","FQ3 2019","FQ3 2019","Currency=USD","Period=FQ","BEST_FPERIOD_OVERRIDE=FQ","FILING_STATUS=MR","SCALING_FORMAT=MLN","Sort=A","Dates=H","DateFormat=P","Fill=—","Direction=H","UseDPDF=Y")</f>
        <v>0</v>
      </c>
      <c r="E46" s="13">
        <f>_xll.BDH("ALNY US Equity","IS_NET_ABNORMAL_ITEMS","FQ4 2019","FQ4 2019","Currency=USD","Period=FQ","BEST_FPERIOD_OVERRIDE=FQ","FILING_STATUS=MR","SCALING_FORMAT=MLN","Sort=A","Dates=H","DateFormat=P","Fill=—","Direction=H","UseDPDF=Y")</f>
        <v>-11.266999999999999</v>
      </c>
      <c r="F46" s="13">
        <f>_xll.BDH("ALNY US Equity","IS_NET_ABNORMAL_ITEMS","FQ1 2020","FQ1 2020","Currency=USD","Period=FQ","BEST_FPERIOD_OVERRIDE=FQ","FILING_STATUS=MR","SCALING_FORMAT=MLN","Sort=A","Dates=H","DateFormat=P","Fill=—","Direction=H","UseDPDF=Y")</f>
        <v>-24.111000000000001</v>
      </c>
      <c r="G46" s="13">
        <f>_xll.BDH("ALNY US Equity","IS_NET_ABNORMAL_ITEMS","FQ2 2020","FQ2 2020","Currency=USD","Period=FQ","BEST_FPERIOD_OVERRIDE=FQ","FILING_STATUS=MR","SCALING_FORMAT=MLN","Sort=A","Dates=H","DateFormat=P","Fill=—","Direction=H","UseDPDF=Y")</f>
        <v>-45.853999999999999</v>
      </c>
      <c r="H46" s="13">
        <f>_xll.BDH("ALNY US Equity","IS_NET_ABNORMAL_ITEMS","FQ3 2020","FQ3 2020","Currency=USD","Period=FQ","BEST_FPERIOD_OVERRIDE=FQ","FILING_STATUS=MR","SCALING_FORMAT=MLN","Sort=A","Dates=H","DateFormat=P","Fill=—","Direction=H","UseDPDF=Y")</f>
        <v>32.43</v>
      </c>
      <c r="I46" s="13">
        <f>_xll.BDH("ALNY US Equity","IS_NET_ABNORMAL_ITEMS","FQ4 2020","FQ4 2020","Currency=USD","Period=FQ","BEST_FPERIOD_OVERRIDE=FQ","FILING_STATUS=MR","SCALING_FORMAT=MLN","Sort=A","Dates=H","DateFormat=P","Fill=—","Direction=H","UseDPDF=Y")</f>
        <v>22.8</v>
      </c>
      <c r="J46" s="13">
        <f>_xll.BDH("ALNY US Equity","IS_NET_ABNORMAL_ITEMS","FQ1 2021","FQ1 2021","Currency=USD","Period=FQ","BEST_FPERIOD_OVERRIDE=FQ","FILING_STATUS=MR","SCALING_FORMAT=MLN","Sort=A","Dates=H","DateFormat=P","Fill=—","Direction=H","UseDPDF=Y")</f>
        <v>-47.015999999999998</v>
      </c>
      <c r="K46" s="13">
        <f>_xll.BDH("ALNY US Equity","IS_NET_ABNORMAL_ITEMS","FQ2 2021","FQ2 2021","Currency=USD","Period=FQ","BEST_FPERIOD_OVERRIDE=FQ","FILING_STATUS=MR","SCALING_FORMAT=MLN","Sort=A","Dates=H","DateFormat=P","Fill=—","Direction=H","UseDPDF=Y")</f>
        <v>4.4340000000000002</v>
      </c>
      <c r="L46" s="13">
        <f>_xll.BDH("ALNY US Equity","IS_NET_ABNORMAL_ITEMS","FQ3 2021","FQ3 2021","Currency=USD","Period=FQ","BEST_FPERIOD_OVERRIDE=FQ","FILING_STATUS=MR","SCALING_FORMAT=MLN","Sort=A","Dates=H","DateFormat=P","Fill=—","Direction=H","UseDPDF=Y")</f>
        <v>-8.6910000000000007</v>
      </c>
      <c r="M46" s="13">
        <f>_xll.BDH("ALNY US Equity","IS_NET_ABNORMAL_ITEMS","FQ4 2021","FQ4 2021","Currency=USD","Period=FQ","BEST_FPERIOD_OVERRIDE=FQ","FILING_STATUS=MR","SCALING_FORMAT=MLN","Sort=A","Dates=H","DateFormat=P","Fill=—","Direction=H","UseDPDF=Y")</f>
        <v>5.5780000000000003</v>
      </c>
      <c r="N46" s="13">
        <f>_xll.BDH("ALNY US Equity","IS_NET_ABNORMAL_ITEMS","FQ1 2022","FQ1 2022","Currency=USD","Period=FQ","BEST_FPERIOD_OVERRIDE=FQ","FILING_STATUS=MR","SCALING_FORMAT=MLN","Sort=A","Dates=H","DateFormat=P","Fill=—","Direction=H","UseDPDF=Y")</f>
        <v>31.161000000000001</v>
      </c>
      <c r="O46" s="13">
        <f>_xll.BDH("ALNY US Equity","IS_NET_ABNORMAL_ITEMS","FQ2 2022","FQ2 2022","Currency=USD","Period=FQ","BEST_FPERIOD_OVERRIDE=FQ","FILING_STATUS=MR","SCALING_FORMAT=MLN","Sort=A","Dates=H","DateFormat=P","Fill=—","Direction=H","UseDPDF=Y")</f>
        <v>1.097</v>
      </c>
      <c r="P46" s="13">
        <f>_xll.BDH("ALNY US Equity","IS_NET_ABNORMAL_ITEMS","FQ3 2022","FQ3 2022","Currency=USD","Period=FQ","BEST_FPERIOD_OVERRIDE=FQ","FILING_STATUS=MR","SCALING_FORMAT=MLN","Sort=A","Dates=H","DateFormat=P","Fill=—","Direction=H","UseDPDF=Y")</f>
        <v>84.436000000000007</v>
      </c>
      <c r="Q46" s="13">
        <f>_xll.BDH("ALNY US Equity","IS_NET_ABNORMAL_ITEMS","FQ4 2022","FQ4 2022","Currency=USD","Period=FQ","BEST_FPERIOD_OVERRIDE=FQ","FILING_STATUS=MR","SCALING_FORMAT=MLN","Sort=A","Dates=H","DateFormat=P","Fill=—","Direction=H","UseDPDF=Y")</f>
        <v>-6.7960000000000003</v>
      </c>
      <c r="R46" s="13">
        <f>_xll.BDH("ALNY US Equity","IS_NET_ABNORMAL_ITEMS","FQ1 2023","FQ1 2023","Currency=USD","Period=FQ","BEST_FPERIOD_OVERRIDE=FQ","FILING_STATUS=MR","SCALING_FORMAT=MLN","Sort=A","Dates=H","DateFormat=P","Fill=—","Direction=H","UseDPDF=Y")</f>
        <v>2.2669999999999999</v>
      </c>
      <c r="S46" s="13">
        <f>_xll.BDH("ALNY US Equity","IS_NET_ABNORMAL_ITEMS","FQ2 2023","FQ2 2023","Currency=USD","Period=FQ","BEST_FPERIOD_OVERRIDE=FQ","FILING_STATUS=MR","SCALING_FORMAT=MLN","Sort=A","Dates=H","DateFormat=P","Fill=—","Direction=H","UseDPDF=Y")</f>
        <v>-1.4</v>
      </c>
      <c r="T46" s="13">
        <f>_xll.BDH("ALNY US Equity","IS_NET_ABNORMAL_ITEMS","FQ3 2023","FQ3 2023","Currency=USD","Period=FQ","BEST_FPERIOD_OVERRIDE=FQ","FILING_STATUS=MR","SCALING_FORMAT=MLN","Sort=A","Dates=H","DateFormat=P","Fill=—","Direction=H","UseDPDF=Y")</f>
        <v>16.844000000000001</v>
      </c>
      <c r="U46" s="13">
        <f>_xll.BDH("ALNY US Equity","IS_NET_ABNORMAL_ITEMS","FQ4 2023","FQ4 2023","Currency=USD","Period=FQ","BEST_FPERIOD_OVERRIDE=FQ","FILING_STATUS=MR","SCALING_FORMAT=MLN","Sort=A","Dates=H","DateFormat=P","Fill=—","Direction=H","UseDPDF=Y")</f>
        <v>-0.76700000000000002</v>
      </c>
      <c r="V46" s="13">
        <f>_xll.BDH("ALNY US Equity","IS_NET_ABNORMAL_ITEMS","FQ1 2024","FQ1 2024","Currency=USD","Period=FQ","BEST_FPERIOD_OVERRIDE=FQ","FILING_STATUS=MR","SCALING_FORMAT=MLN","Sort=A","Dates=H","DateFormat=P","Fill=—","Direction=H","UseDPDF=Y")</f>
        <v>-7.8E-2</v>
      </c>
      <c r="W46" s="13">
        <f>_xll.BDH("ALNY US Equity","IS_NET_ABNORMAL_ITEMS","FQ2 2024","FQ2 2024","Currency=USD","Period=FQ","BEST_FPERIOD_OVERRIDE=FQ","FILING_STATUS=MR","SCALING_FORMAT=MLN","Sort=A","Dates=H","DateFormat=P","Fill=—","Direction=H","UseDPDF=Y")</f>
        <v>1.367</v>
      </c>
      <c r="X46" s="13">
        <f>_xll.BDH("ALNY US Equity","IS_NET_ABNORMAL_ITEMS","FQ3 2024","FQ3 2024","Currency=USD","Period=FQ","BEST_FPERIOD_OVERRIDE=FQ","FILING_STATUS=MR","SCALING_FORMAT=MLN","Sort=A","Dates=H","DateFormat=P","Fill=—","Direction=H","UseDPDF=Y")</f>
        <v>1.5669999999999999</v>
      </c>
      <c r="Y46" s="13">
        <f>_xll.BDH("ALNY US Equity","IS_NET_ABNORMAL_ITEMS","FQ4 2024","FQ4 2024","Currency=USD","Period=FQ","BEST_FPERIOD_OVERRIDE=FQ","FILING_STATUS=MR","SCALING_FORMAT=MLN","Sort=A","Dates=H","DateFormat=P","Fill=—","Direction=H","UseDPDF=Y")</f>
        <v>0.16600000000000001</v>
      </c>
      <c r="Z46" s="13"/>
      <c r="AA46" s="13"/>
    </row>
    <row r="47" spans="1:27" x14ac:dyDescent="0.25">
      <c r="A47" s="10" t="s">
        <v>369</v>
      </c>
      <c r="B47" s="10" t="s">
        <v>350</v>
      </c>
      <c r="C47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D47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E47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F47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G47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H47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I47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J47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K47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L47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M47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N47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O47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P47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Q47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R47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S47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T47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U47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V47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W47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X47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Y47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  <c r="Z47" s="13"/>
      <c r="AA47" s="13"/>
    </row>
    <row r="48" spans="1:27" x14ac:dyDescent="0.25">
      <c r="A48" s="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x14ac:dyDescent="0.25">
      <c r="A49" s="10" t="s">
        <v>248</v>
      </c>
      <c r="B49" s="10" t="s">
        <v>106</v>
      </c>
      <c r="C49" s="13">
        <f>_xll.BDH("ALNY US Equity","IS_AVG_NUM_SH_FOR_EPS","FQ2 2019","FQ2 2019","Currency=USD","Period=FQ","BEST_FPERIOD_OVERRIDE=FQ","FILING_STATUS=MR","Sort=A","Dates=H","DateFormat=P","Fill=—","Direction=H","UseDPDF=Y")</f>
        <v>108.57599999999999</v>
      </c>
      <c r="D49" s="13">
        <f>_xll.BDH("ALNY US Equity","IS_AVG_NUM_SH_FOR_EPS","FQ3 2019","FQ3 2019","Currency=USD","Period=FQ","BEST_FPERIOD_OVERRIDE=FQ","FILING_STATUS=MR","Sort=A","Dates=H","DateFormat=P","Fill=—","Direction=H","UseDPDF=Y")</f>
        <v>108.70099999999999</v>
      </c>
      <c r="E49" s="13">
        <f>_xll.BDH("ALNY US Equity","IS_AVG_NUM_SH_FOR_EPS","FQ4 2019","FQ4 2019","Currency=USD","Period=FQ","BEST_FPERIOD_OVERRIDE=FQ","FILING_STATUS=MR","Sort=A","Dates=H","DateFormat=P","Fill=—","Direction=H","UseDPDF=Y")</f>
        <v>111.75</v>
      </c>
      <c r="F49" s="13">
        <f>_xll.BDH("ALNY US Equity","IS_AVG_NUM_SH_FOR_EPS","FQ1 2020","FQ1 2020","Currency=USD","Period=FQ","BEST_FPERIOD_OVERRIDE=FQ","FILING_STATUS=MR","Sort=A","Dates=H","DateFormat=P","Fill=—","Direction=H","UseDPDF=Y")</f>
        <v>112.748</v>
      </c>
      <c r="G49" s="13">
        <f>_xll.BDH("ALNY US Equity","IS_AVG_NUM_SH_FOR_EPS","FQ2 2020","FQ2 2020","Currency=USD","Period=FQ","BEST_FPERIOD_OVERRIDE=FQ","FILING_STATUS=MR","Sort=A","Dates=H","DateFormat=P","Fill=—","Direction=H","UseDPDF=Y")</f>
        <v>114.911</v>
      </c>
      <c r="H49" s="13">
        <f>_xll.BDH("ALNY US Equity","IS_AVG_NUM_SH_FOR_EPS","FQ3 2020","FQ3 2020","Currency=USD","Period=FQ","BEST_FPERIOD_OVERRIDE=FQ","FILING_STATUS=MR","Sort=A","Dates=H","DateFormat=P","Fill=—","Direction=H","UseDPDF=Y")</f>
        <v>115.986</v>
      </c>
      <c r="I49" s="13">
        <f>_xll.BDH("ALNY US Equity","IS_AVG_NUM_SH_FOR_EPS","FQ4 2020","FQ4 2020","Currency=USD","Period=FQ","BEST_FPERIOD_OVERRIDE=FQ","FILING_STATUS=MR","Sort=A","Dates=H","DateFormat=P","Fill=—","Direction=H","UseDPDF=Y")</f>
        <v>116.274</v>
      </c>
      <c r="J49" s="13">
        <f>_xll.BDH("ALNY US Equity","IS_AVG_NUM_SH_FOR_EPS","FQ1 2021","FQ1 2021","Currency=USD","Period=FQ","BEST_FPERIOD_OVERRIDE=FQ","FILING_STATUS=MR","Sort=A","Dates=H","DateFormat=P","Fill=—","Direction=H","UseDPDF=Y")</f>
        <v>117.08</v>
      </c>
      <c r="K49" s="13">
        <f>_xll.BDH("ALNY US Equity","IS_AVG_NUM_SH_FOR_EPS","FQ2 2021","FQ2 2021","Currency=USD","Period=FQ","BEST_FPERIOD_OVERRIDE=FQ","FILING_STATUS=MR","Sort=A","Dates=H","DateFormat=P","Fill=—","Direction=H","UseDPDF=Y")</f>
        <v>117.77200000000001</v>
      </c>
      <c r="L49" s="13">
        <f>_xll.BDH("ALNY US Equity","IS_AVG_NUM_SH_FOR_EPS","FQ3 2021","FQ3 2021","Currency=USD","Period=FQ","BEST_FPERIOD_OVERRIDE=FQ","FILING_STATUS=MR","Sort=A","Dates=H","DateFormat=P","Fill=—","Direction=H","UseDPDF=Y")</f>
        <v>119.14100000000001</v>
      </c>
      <c r="M49" s="13">
        <f>_xll.BDH("ALNY US Equity","IS_AVG_NUM_SH_FOR_EPS","FQ4 2021","FQ4 2021","Currency=USD","Period=FQ","BEST_FPERIOD_OVERRIDE=FQ","FILING_STATUS=MR","Sort=A","Dates=H","DateFormat=P","Fill=—","Direction=H","UseDPDF=Y")</f>
        <v>119.773</v>
      </c>
      <c r="N49" s="13">
        <f>_xll.BDH("ALNY US Equity","IS_AVG_NUM_SH_FOR_EPS","FQ1 2022","FQ1 2022","Currency=USD","Period=FQ","BEST_FPERIOD_OVERRIDE=FQ","FILING_STATUS=MR","Sort=A","Dates=H","DateFormat=P","Fill=—","Direction=H","UseDPDF=Y")</f>
        <v>120.393</v>
      </c>
      <c r="O49" s="13">
        <f>_xll.BDH("ALNY US Equity","IS_AVG_NUM_SH_FOR_EPS","FQ2 2022","FQ2 2022","Currency=USD","Period=FQ","BEST_FPERIOD_OVERRIDE=FQ","FILING_STATUS=MR","Sort=A","Dates=H","DateFormat=P","Fill=—","Direction=H","UseDPDF=Y")</f>
        <v>120.896</v>
      </c>
      <c r="P49" s="13">
        <f>_xll.BDH("ALNY US Equity","IS_AVG_NUM_SH_FOR_EPS","FQ3 2022","FQ3 2022","Currency=USD","Period=FQ","BEST_FPERIOD_OVERRIDE=FQ","FILING_STATUS=MR","Sort=A","Dates=H","DateFormat=P","Fill=—","Direction=H","UseDPDF=Y")</f>
        <v>122.166</v>
      </c>
      <c r="Q49" s="13">
        <f>_xll.BDH("ALNY US Equity","IS_AVG_NUM_SH_FOR_EPS","FQ4 2022","FQ4 2022","Currency=USD","Period=FQ","BEST_FPERIOD_OVERRIDE=FQ","FILING_STATUS=MR","Sort=A","Dates=H","DateFormat=P","Fill=—","Direction=H","UseDPDF=Y")</f>
        <v>123.26600000000001</v>
      </c>
      <c r="R49" s="13">
        <f>_xll.BDH("ALNY US Equity","IS_AVG_NUM_SH_FOR_EPS","FQ1 2023","FQ1 2023","Currency=USD","Period=FQ","BEST_FPERIOD_OVERRIDE=FQ","FILING_STATUS=MR","Sort=A","Dates=H","DateFormat=P","Fill=—","Direction=H","UseDPDF=Y")</f>
        <v>124.111</v>
      </c>
      <c r="S49" s="13">
        <f>_xll.BDH("ALNY US Equity","IS_AVG_NUM_SH_FOR_EPS","FQ2 2023","FQ2 2023","Currency=USD","Period=FQ","BEST_FPERIOD_OVERRIDE=FQ","FILING_STATUS=MR","Sort=A","Dates=H","DateFormat=P","Fill=—","Direction=H","UseDPDF=Y")</f>
        <v>124.65900000000001</v>
      </c>
      <c r="T49" s="13">
        <f>_xll.BDH("ALNY US Equity","IS_AVG_NUM_SH_FOR_EPS","FQ3 2023","FQ3 2023","Currency=USD","Period=FQ","BEST_FPERIOD_OVERRIDE=FQ","FILING_STATUS=MR","Sort=A","Dates=H","DateFormat=P","Fill=—","Direction=H","UseDPDF=Y")</f>
        <v>125.22</v>
      </c>
      <c r="U49" s="13">
        <f>_xll.BDH("ALNY US Equity","IS_AVG_NUM_SH_FOR_EPS","FQ4 2023","FQ4 2023","Currency=USD","Period=FQ","BEST_FPERIOD_OVERRIDE=FQ","FILING_STATUS=MR","Sort=A","Dates=H","DateFormat=P","Fill=—","Direction=H","UseDPDF=Y")</f>
        <v>125.613</v>
      </c>
      <c r="V49" s="13">
        <f>_xll.BDH("ALNY US Equity","IS_AVG_NUM_SH_FOR_EPS","FQ1 2024","FQ1 2024","Currency=USD","Period=FQ","BEST_FPERIOD_OVERRIDE=FQ","FILING_STATUS=MR","Sort=A","Dates=H","DateFormat=P","Fill=—","Direction=H","UseDPDF=Y")</f>
        <v>126.13800000000001</v>
      </c>
      <c r="W49" s="13">
        <f>_xll.BDH("ALNY US Equity","IS_AVG_NUM_SH_FOR_EPS","FQ2 2024","FQ2 2024","Currency=USD","Period=FQ","BEST_FPERIOD_OVERRIDE=FQ","FILING_STATUS=MR","Sort=A","Dates=H","DateFormat=P","Fill=—","Direction=H","UseDPDF=Y")</f>
        <v>126.733</v>
      </c>
      <c r="X49" s="13">
        <f>_xll.BDH("ALNY US Equity","IS_AVG_NUM_SH_FOR_EPS","FQ3 2024","FQ3 2024","Currency=USD","Period=FQ","BEST_FPERIOD_OVERRIDE=FQ","FILING_STATUS=MR","Sort=A","Dates=H","DateFormat=P","Fill=—","Direction=H","UseDPDF=Y")</f>
        <v>128.59</v>
      </c>
      <c r="Y49" s="13">
        <f>_xll.BDH("ALNY US Equity","IS_AVG_NUM_SH_FOR_EPS","FQ4 2024","FQ4 2024","Currency=USD","Period=FQ","BEST_FPERIOD_OVERRIDE=FQ","FILING_STATUS=MR","Sort=A","Dates=H","DateFormat=P","Fill=—","Direction=H","UseDPDF=Y")</f>
        <v>129.11600000000001</v>
      </c>
      <c r="Z49" s="13"/>
      <c r="AA49" s="13"/>
    </row>
    <row r="50" spans="1:27" x14ac:dyDescent="0.25">
      <c r="A50" s="6" t="s">
        <v>101</v>
      </c>
      <c r="B50" s="6" t="s">
        <v>102</v>
      </c>
      <c r="C50" s="20">
        <f>_xll.BDH("ALNY US Equity","IS_EPS","FQ2 2019","FQ2 2019","Currency=USD","Period=FQ","BEST_FPERIOD_OVERRIDE=FQ","FILING_STATUS=MR","FA_ADJUSTED=GAAP","Sort=A","Dates=H","DateFormat=P","Fill=—","Direction=H","UseDPDF=Y")</f>
        <v>-2.02</v>
      </c>
      <c r="D50" s="20">
        <f>_xll.BDH("ALNY US Equity","IS_EPS","FQ3 2019","FQ3 2019","Currency=USD","Period=FQ","BEST_FPERIOD_OVERRIDE=FQ","FILING_STATUS=MR","FA_ADJUSTED=GAAP","Sort=A","Dates=H","DateFormat=P","Fill=—","Direction=H","UseDPDF=Y")</f>
        <v>-1.92</v>
      </c>
      <c r="E50" s="20">
        <f>_xll.BDH("ALNY US Equity","IS_EPS","FQ4 2019","FQ4 2019","Currency=USD","Period=FQ","BEST_FPERIOD_OVERRIDE=FQ","FILING_STATUS=MR","FA_ADJUSTED=GAAP","Sort=A","Dates=H","DateFormat=P","Fill=—","Direction=H","UseDPDF=Y")</f>
        <v>-2.4700000000000002</v>
      </c>
      <c r="F50" s="20">
        <f>_xll.BDH("ALNY US Equity","IS_EPS","FQ1 2020","FQ1 2020","Currency=USD","Period=FQ","BEST_FPERIOD_OVERRIDE=FQ","FILING_STATUS=MR","FA_ADJUSTED=GAAP","Sort=A","Dates=H","DateFormat=P","Fill=—","Direction=H","UseDPDF=Y")</f>
        <v>-1.62</v>
      </c>
      <c r="G50" s="20">
        <f>_xll.BDH("ALNY US Equity","IS_EPS","FQ2 2020","FQ2 2020","Currency=USD","Period=FQ","BEST_FPERIOD_OVERRIDE=FQ","FILING_STATUS=MR","FA_ADJUSTED=GAAP","Sort=A","Dates=H","DateFormat=P","Fill=—","Direction=H","UseDPDF=Y")</f>
        <v>-1.56</v>
      </c>
      <c r="H50" s="20">
        <f>_xll.BDH("ALNY US Equity","IS_EPS","FQ3 2020","FQ3 2020","Currency=USD","Period=FQ","BEST_FPERIOD_OVERRIDE=FQ","FILING_STATUS=MR","FA_ADJUSTED=GAAP","Sort=A","Dates=H","DateFormat=P","Fill=—","Direction=H","UseDPDF=Y")</f>
        <v>-2.1800000000000002</v>
      </c>
      <c r="I50" s="20">
        <f>_xll.BDH("ALNY US Equity","IS_EPS","FQ4 2020","FQ4 2020","Currency=USD","Period=FQ","BEST_FPERIOD_OVERRIDE=FQ","FILING_STATUS=MR","FA_ADJUSTED=GAAP","Sort=A","Dates=H","DateFormat=P","Fill=—","Direction=H","UseDPDF=Y")</f>
        <v>-2.09</v>
      </c>
      <c r="J50" s="20">
        <f>_xll.BDH("ALNY US Equity","IS_EPS","FQ1 2021","FQ1 2021","Currency=USD","Period=FQ","BEST_FPERIOD_OVERRIDE=FQ","FILING_STATUS=MR","FA_ADJUSTED=GAAP","Sort=A","Dates=H","DateFormat=P","Fill=—","Direction=H","UseDPDF=Y")</f>
        <v>-1.71</v>
      </c>
      <c r="K50" s="20">
        <f>_xll.BDH("ALNY US Equity","IS_EPS","FQ2 2021","FQ2 2021","Currency=USD","Period=FQ","BEST_FPERIOD_OVERRIDE=FQ","FILING_STATUS=MR","FA_ADJUSTED=GAAP","Sort=A","Dates=H","DateFormat=P","Fill=—","Direction=H","UseDPDF=Y")</f>
        <v>-1.61</v>
      </c>
      <c r="L50" s="20">
        <f>_xll.BDH("ALNY US Equity","IS_EPS","FQ3 2021","FQ3 2021","Currency=USD","Period=FQ","BEST_FPERIOD_OVERRIDE=FQ","FILING_STATUS=MR","FA_ADJUSTED=GAAP","Sort=A","Dates=H","DateFormat=P","Fill=—","Direction=H","UseDPDF=Y")</f>
        <v>-1.72</v>
      </c>
      <c r="M50" s="20">
        <f>_xll.BDH("ALNY US Equity","IS_EPS","FQ4 2021","FQ4 2021","Currency=USD","Period=FQ","BEST_FPERIOD_OVERRIDE=FQ","FILING_STATUS=MR","FA_ADJUSTED=GAAP","Sort=A","Dates=H","DateFormat=P","Fill=—","Direction=H","UseDPDF=Y")</f>
        <v>-2.16</v>
      </c>
      <c r="N50" s="20">
        <f>_xll.BDH("ALNY US Equity","IS_EPS","FQ1 2022","FQ1 2022","Currency=USD","Period=FQ","BEST_FPERIOD_OVERRIDE=FQ","FILING_STATUS=MR","FA_ADJUSTED=GAAP","Sort=A","Dates=H","DateFormat=P","Fill=—","Direction=H","UseDPDF=Y")</f>
        <v>-2</v>
      </c>
      <c r="O50" s="20">
        <f>_xll.BDH("ALNY US Equity","IS_EPS","FQ2 2022","FQ2 2022","Currency=USD","Period=FQ","BEST_FPERIOD_OVERRIDE=FQ","FILING_STATUS=MR","FA_ADJUSTED=GAAP","Sort=A","Dates=H","DateFormat=P","Fill=—","Direction=H","UseDPDF=Y")</f>
        <v>-2.29</v>
      </c>
      <c r="P50" s="20">
        <f>_xll.BDH("ALNY US Equity","IS_EPS","FQ3 2022","FQ3 2022","Currency=USD","Period=FQ","BEST_FPERIOD_OVERRIDE=FQ","FILING_STATUS=MR","FA_ADJUSTED=GAAP","Sort=A","Dates=H","DateFormat=P","Fill=—","Direction=H","UseDPDF=Y")</f>
        <v>-3.32</v>
      </c>
      <c r="Q50" s="20">
        <f>_xll.BDH("ALNY US Equity","IS_EPS","FQ4 2022","FQ4 2022","Currency=USD","Period=FQ","BEST_FPERIOD_OVERRIDE=FQ","FILING_STATUS=MR","FA_ADJUSTED=GAAP","Sort=A","Dates=H","DateFormat=P","Fill=—","Direction=H","UseDPDF=Y")</f>
        <v>-1.68</v>
      </c>
      <c r="R50" s="20">
        <f>_xll.BDH("ALNY US Equity","IS_EPS","FQ1 2023","FQ1 2023","Currency=USD","Period=FQ","BEST_FPERIOD_OVERRIDE=FQ","FILING_STATUS=MR","FA_ADJUSTED=GAAP","Sort=A","Dates=H","DateFormat=P","Fill=—","Direction=H","UseDPDF=Y")</f>
        <v>-1.4</v>
      </c>
      <c r="S50" s="20">
        <f>_xll.BDH("ALNY US Equity","IS_EPS","FQ2 2023","FQ2 2023","Currency=USD","Period=FQ","BEST_FPERIOD_OVERRIDE=FQ","FILING_STATUS=MR","FA_ADJUSTED=GAAP","Sort=A","Dates=H","DateFormat=P","Fill=—","Direction=H","UseDPDF=Y")</f>
        <v>-2.21</v>
      </c>
      <c r="T50" s="20">
        <f>_xll.BDH("ALNY US Equity","IS_EPS","FQ3 2023","FQ3 2023","Currency=USD","Period=FQ","BEST_FPERIOD_OVERRIDE=FQ","FILING_STATUS=MR","FA_ADJUSTED=GAAP","Sort=A","Dates=H","DateFormat=P","Fill=—","Direction=H","UseDPDF=Y")</f>
        <v>1.18</v>
      </c>
      <c r="U50" s="20">
        <f>_xll.BDH("ALNY US Equity","IS_EPS","FQ4 2023","FQ4 2023","Currency=USD","Period=FQ","BEST_FPERIOD_OVERRIDE=FQ","FILING_STATUS=MR","FA_ADJUSTED=GAAP","Sort=A","Dates=H","DateFormat=P","Fill=—","Direction=H","UseDPDF=Y")</f>
        <v>-1.1000000000000001</v>
      </c>
      <c r="V50" s="20">
        <f>_xll.BDH("ALNY US Equity","IS_EPS","FQ1 2024","FQ1 2024","Currency=USD","Period=FQ","BEST_FPERIOD_OVERRIDE=FQ","FILING_STATUS=MR","FA_ADJUSTED=GAAP","Sort=A","Dates=H","DateFormat=P","Fill=—","Direction=H","UseDPDF=Y")</f>
        <v>-0.52</v>
      </c>
      <c r="W50" s="20">
        <f>_xll.BDH("ALNY US Equity","IS_EPS","FQ2 2024","FQ2 2024","Currency=USD","Period=FQ","BEST_FPERIOD_OVERRIDE=FQ","FILING_STATUS=MR","FA_ADJUSTED=GAAP","Sort=A","Dates=H","DateFormat=P","Fill=—","Direction=H","UseDPDF=Y")</f>
        <v>-0.13</v>
      </c>
      <c r="X50" s="20">
        <f>_xll.BDH("ALNY US Equity","IS_EPS","FQ3 2024","FQ3 2024","Currency=USD","Period=FQ","BEST_FPERIOD_OVERRIDE=FQ","FILING_STATUS=MR","FA_ADJUSTED=GAAP","Sort=A","Dates=H","DateFormat=P","Fill=—","Direction=H","UseDPDF=Y")</f>
        <v>-0.87</v>
      </c>
      <c r="Y50" s="20">
        <f>_xll.BDH("ALNY US Equity","IS_EPS","FQ4 2024","FQ4 2024","Currency=USD","Period=FQ","BEST_FPERIOD_OVERRIDE=FQ","FILING_STATUS=MR","FA_ADJUSTED=GAAP","Sort=A","Dates=H","DateFormat=P","Fill=—","Direction=H","UseDPDF=Y")</f>
        <v>-0.65</v>
      </c>
      <c r="Z50" s="20">
        <v>-0.95</v>
      </c>
      <c r="AA50" s="20">
        <v>-0.91500000000000004</v>
      </c>
    </row>
    <row r="51" spans="1:27" x14ac:dyDescent="0.25">
      <c r="A51" s="6" t="s">
        <v>370</v>
      </c>
      <c r="B51" s="6" t="s">
        <v>255</v>
      </c>
      <c r="C51" s="20">
        <f>_xll.BDH("ALNY US Equity","IS_EARN_BEF_XO_ITEMS_PER_SH","FQ2 2019","FQ2 2019","Currency=USD","Period=FQ","BEST_FPERIOD_OVERRIDE=FQ","FILING_STATUS=MR","Sort=A","Dates=H","DateFormat=P","Fill=—","Direction=H","UseDPDF=Y")</f>
        <v>-2.02</v>
      </c>
      <c r="D51" s="20">
        <f>_xll.BDH("ALNY US Equity","IS_EARN_BEF_XO_ITEMS_PER_SH","FQ3 2019","FQ3 2019","Currency=USD","Period=FQ","BEST_FPERIOD_OVERRIDE=FQ","FILING_STATUS=MR","Sort=A","Dates=H","DateFormat=P","Fill=—","Direction=H","UseDPDF=Y")</f>
        <v>-1.92</v>
      </c>
      <c r="E51" s="20">
        <f>_xll.BDH("ALNY US Equity","IS_EARN_BEF_XO_ITEMS_PER_SH","FQ4 2019","FQ4 2019","Currency=USD","Period=FQ","BEST_FPERIOD_OVERRIDE=FQ","FILING_STATUS=MR","Sort=A","Dates=H","DateFormat=P","Fill=—","Direction=H","UseDPDF=Y")</f>
        <v>-2.4700000000000002</v>
      </c>
      <c r="F51" s="20">
        <f>_xll.BDH("ALNY US Equity","IS_EARN_BEF_XO_ITEMS_PER_SH","FQ1 2020","FQ1 2020","Currency=USD","Period=FQ","BEST_FPERIOD_OVERRIDE=FQ","FILING_STATUS=MR","Sort=A","Dates=H","DateFormat=P","Fill=—","Direction=H","UseDPDF=Y")</f>
        <v>-1.62</v>
      </c>
      <c r="G51" s="20">
        <f>_xll.BDH("ALNY US Equity","IS_EARN_BEF_XO_ITEMS_PER_SH","FQ2 2020","FQ2 2020","Currency=USD","Period=FQ","BEST_FPERIOD_OVERRIDE=FQ","FILING_STATUS=MR","Sort=A","Dates=H","DateFormat=P","Fill=—","Direction=H","UseDPDF=Y")</f>
        <v>-1.56</v>
      </c>
      <c r="H51" s="20">
        <f>_xll.BDH("ALNY US Equity","IS_EARN_BEF_XO_ITEMS_PER_SH","FQ3 2020","FQ3 2020","Currency=USD","Period=FQ","BEST_FPERIOD_OVERRIDE=FQ","FILING_STATUS=MR","Sort=A","Dates=H","DateFormat=P","Fill=—","Direction=H","UseDPDF=Y")</f>
        <v>-2.1800000000000002</v>
      </c>
      <c r="I51" s="20">
        <f>_xll.BDH("ALNY US Equity","IS_EARN_BEF_XO_ITEMS_PER_SH","FQ4 2020","FQ4 2020","Currency=USD","Period=FQ","BEST_FPERIOD_OVERRIDE=FQ","FILING_STATUS=MR","Sort=A","Dates=H","DateFormat=P","Fill=—","Direction=H","UseDPDF=Y")</f>
        <v>-2.09</v>
      </c>
      <c r="J51" s="20">
        <f>_xll.BDH("ALNY US Equity","IS_EARN_BEF_XO_ITEMS_PER_SH","FQ1 2021","FQ1 2021","Currency=USD","Period=FQ","BEST_FPERIOD_OVERRIDE=FQ","FILING_STATUS=MR","Sort=A","Dates=H","DateFormat=P","Fill=—","Direction=H","UseDPDF=Y")</f>
        <v>-1.71</v>
      </c>
      <c r="K51" s="20">
        <f>_xll.BDH("ALNY US Equity","IS_EARN_BEF_XO_ITEMS_PER_SH","FQ2 2021","FQ2 2021","Currency=USD","Period=FQ","BEST_FPERIOD_OVERRIDE=FQ","FILING_STATUS=MR","Sort=A","Dates=H","DateFormat=P","Fill=—","Direction=H","UseDPDF=Y")</f>
        <v>-1.61</v>
      </c>
      <c r="L51" s="20">
        <f>_xll.BDH("ALNY US Equity","IS_EARN_BEF_XO_ITEMS_PER_SH","FQ3 2021","FQ3 2021","Currency=USD","Period=FQ","BEST_FPERIOD_OVERRIDE=FQ","FILING_STATUS=MR","Sort=A","Dates=H","DateFormat=P","Fill=—","Direction=H","UseDPDF=Y")</f>
        <v>-1.72</v>
      </c>
      <c r="M51" s="20">
        <f>_xll.BDH("ALNY US Equity","IS_EARN_BEF_XO_ITEMS_PER_SH","FQ4 2021","FQ4 2021","Currency=USD","Period=FQ","BEST_FPERIOD_OVERRIDE=FQ","FILING_STATUS=MR","Sort=A","Dates=H","DateFormat=P","Fill=—","Direction=H","UseDPDF=Y")</f>
        <v>-2.16</v>
      </c>
      <c r="N51" s="20">
        <f>_xll.BDH("ALNY US Equity","IS_EARN_BEF_XO_ITEMS_PER_SH","FQ1 2022","FQ1 2022","Currency=USD","Period=FQ","BEST_FPERIOD_OVERRIDE=FQ","FILING_STATUS=MR","Sort=A","Dates=H","DateFormat=P","Fill=—","Direction=H","UseDPDF=Y")</f>
        <v>-2</v>
      </c>
      <c r="O51" s="20">
        <f>_xll.BDH("ALNY US Equity","IS_EARN_BEF_XO_ITEMS_PER_SH","FQ2 2022","FQ2 2022","Currency=USD","Period=FQ","BEST_FPERIOD_OVERRIDE=FQ","FILING_STATUS=MR","Sort=A","Dates=H","DateFormat=P","Fill=—","Direction=H","UseDPDF=Y")</f>
        <v>-2.29</v>
      </c>
      <c r="P51" s="20">
        <f>_xll.BDH("ALNY US Equity","IS_EARN_BEF_XO_ITEMS_PER_SH","FQ3 2022","FQ3 2022","Currency=USD","Period=FQ","BEST_FPERIOD_OVERRIDE=FQ","FILING_STATUS=MR","Sort=A","Dates=H","DateFormat=P","Fill=—","Direction=H","UseDPDF=Y")</f>
        <v>-3.32</v>
      </c>
      <c r="Q51" s="20">
        <f>_xll.BDH("ALNY US Equity","IS_EARN_BEF_XO_ITEMS_PER_SH","FQ4 2022","FQ4 2022","Currency=USD","Period=FQ","BEST_FPERIOD_OVERRIDE=FQ","FILING_STATUS=MR","Sort=A","Dates=H","DateFormat=P","Fill=—","Direction=H","UseDPDF=Y")</f>
        <v>-1.68</v>
      </c>
      <c r="R51" s="20">
        <f>_xll.BDH("ALNY US Equity","IS_EARN_BEF_XO_ITEMS_PER_SH","FQ1 2023","FQ1 2023","Currency=USD","Period=FQ","BEST_FPERIOD_OVERRIDE=FQ","FILING_STATUS=MR","Sort=A","Dates=H","DateFormat=P","Fill=—","Direction=H","UseDPDF=Y")</f>
        <v>-1.4</v>
      </c>
      <c r="S51" s="20">
        <f>_xll.BDH("ALNY US Equity","IS_EARN_BEF_XO_ITEMS_PER_SH","FQ2 2023","FQ2 2023","Currency=USD","Period=FQ","BEST_FPERIOD_OVERRIDE=FQ","FILING_STATUS=MR","Sort=A","Dates=H","DateFormat=P","Fill=—","Direction=H","UseDPDF=Y")</f>
        <v>-2.21</v>
      </c>
      <c r="T51" s="20">
        <f>_xll.BDH("ALNY US Equity","IS_EARN_BEF_XO_ITEMS_PER_SH","FQ3 2023","FQ3 2023","Currency=USD","Period=FQ","BEST_FPERIOD_OVERRIDE=FQ","FILING_STATUS=MR","Sort=A","Dates=H","DateFormat=P","Fill=—","Direction=H","UseDPDF=Y")</f>
        <v>1.18</v>
      </c>
      <c r="U51" s="20">
        <f>_xll.BDH("ALNY US Equity","IS_EARN_BEF_XO_ITEMS_PER_SH","FQ4 2023","FQ4 2023","Currency=USD","Period=FQ","BEST_FPERIOD_OVERRIDE=FQ","FILING_STATUS=MR","Sort=A","Dates=H","DateFormat=P","Fill=—","Direction=H","UseDPDF=Y")</f>
        <v>-1.1000000000000001</v>
      </c>
      <c r="V51" s="20">
        <f>_xll.BDH("ALNY US Equity","IS_EARN_BEF_XO_ITEMS_PER_SH","FQ1 2024","FQ1 2024","Currency=USD","Period=FQ","BEST_FPERIOD_OVERRIDE=FQ","FILING_STATUS=MR","Sort=A","Dates=H","DateFormat=P","Fill=—","Direction=H","UseDPDF=Y")</f>
        <v>-0.52</v>
      </c>
      <c r="W51" s="20">
        <f>_xll.BDH("ALNY US Equity","IS_EARN_BEF_XO_ITEMS_PER_SH","FQ2 2024","FQ2 2024","Currency=USD","Period=FQ","BEST_FPERIOD_OVERRIDE=FQ","FILING_STATUS=MR","Sort=A","Dates=H","DateFormat=P","Fill=—","Direction=H","UseDPDF=Y")</f>
        <v>-0.13</v>
      </c>
      <c r="X51" s="20">
        <f>_xll.BDH("ALNY US Equity","IS_EARN_BEF_XO_ITEMS_PER_SH","FQ3 2024","FQ3 2024","Currency=USD","Period=FQ","BEST_FPERIOD_OVERRIDE=FQ","FILING_STATUS=MR","Sort=A","Dates=H","DateFormat=P","Fill=—","Direction=H","UseDPDF=Y")</f>
        <v>-0.87</v>
      </c>
      <c r="Y51" s="20">
        <f>_xll.BDH("ALNY US Equity","IS_EARN_BEF_XO_ITEMS_PER_SH","FQ4 2024","FQ4 2024","Currency=USD","Period=FQ","BEST_FPERIOD_OVERRIDE=FQ","FILING_STATUS=MR","Sort=A","Dates=H","DateFormat=P","Fill=—","Direction=H","UseDPDF=Y")</f>
        <v>-0.65</v>
      </c>
      <c r="Z51" s="20">
        <v>-0.95</v>
      </c>
      <c r="AA51" s="20">
        <v>-0.91500000000000004</v>
      </c>
    </row>
    <row r="52" spans="1:27" x14ac:dyDescent="0.25">
      <c r="A52" s="6" t="s">
        <v>371</v>
      </c>
      <c r="B52" s="6" t="s">
        <v>257</v>
      </c>
      <c r="C52" s="20">
        <f>_xll.BDH("ALNY US Equity","IS_BASIC_EPS_CONT_OPS","FQ2 2019","FQ2 2019","Currency=USD","Period=FQ","BEST_FPERIOD_OVERRIDE=FQ","FILING_STATUS=MR","Sort=A","Dates=H","DateFormat=P","Fill=—","Direction=H","UseDPDF=Y")</f>
        <v>-2.1082000000000001</v>
      </c>
      <c r="D52" s="20">
        <f>_xll.BDH("ALNY US Equity","IS_BASIC_EPS_CONT_OPS","FQ3 2019","FQ3 2019","Currency=USD","Period=FQ","BEST_FPERIOD_OVERRIDE=FQ","FILING_STATUS=MR","Sort=A","Dates=H","DateFormat=P","Fill=—","Direction=H","UseDPDF=Y")</f>
        <v>-1.92</v>
      </c>
      <c r="E52" s="20">
        <f>_xll.BDH("ALNY US Equity","IS_BASIC_EPS_CONT_OPS","FQ4 2019","FQ4 2019","Currency=USD","Period=FQ","BEST_FPERIOD_OVERRIDE=FQ","FILING_STATUS=MR","Sort=A","Dates=H","DateFormat=P","Fill=—","Direction=H","UseDPDF=Y")</f>
        <v>-2.5722999999999998</v>
      </c>
      <c r="F52" s="20">
        <f>_xll.BDH("ALNY US Equity","IS_BASIC_EPS_CONT_OPS","FQ1 2020","FQ1 2020","Currency=USD","Period=FQ","BEST_FPERIOD_OVERRIDE=FQ","FILING_STATUS=MR","Sort=A","Dates=H","DateFormat=P","Fill=—","Direction=H","UseDPDF=Y")</f>
        <v>-1.83</v>
      </c>
      <c r="G52" s="20">
        <f>_xll.BDH("ALNY US Equity","IS_BASIC_EPS_CONT_OPS","FQ2 2020","FQ2 2020","Currency=USD","Period=FQ","BEST_FPERIOD_OVERRIDE=FQ","FILING_STATUS=MR","Sort=A","Dates=H","DateFormat=P","Fill=—","Direction=H","UseDPDF=Y")</f>
        <v>-1.9588000000000001</v>
      </c>
      <c r="H52" s="20">
        <f>_xll.BDH("ALNY US Equity","IS_BASIC_EPS_CONT_OPS","FQ3 2020","FQ3 2020","Currency=USD","Period=FQ","BEST_FPERIOD_OVERRIDE=FQ","FILING_STATUS=MR","Sort=A","Dates=H","DateFormat=P","Fill=—","Direction=H","UseDPDF=Y")</f>
        <v>-1.9041999999999999</v>
      </c>
      <c r="I52" s="20">
        <f>_xll.BDH("ALNY US Equity","IS_BASIC_EPS_CONT_OPS","FQ4 2020","FQ4 2020","Currency=USD","Period=FQ","BEST_FPERIOD_OVERRIDE=FQ","FILING_STATUS=MR","Sort=A","Dates=H","DateFormat=P","Fill=—","Direction=H","UseDPDF=Y")</f>
        <v>-1.8984000000000001</v>
      </c>
      <c r="J52" s="20">
        <f>_xll.BDH("ALNY US Equity","IS_BASIC_EPS_CONT_OPS","FQ1 2021","FQ1 2021","Currency=USD","Period=FQ","BEST_FPERIOD_OVERRIDE=FQ","FILING_STATUS=MR","Sort=A","Dates=H","DateFormat=P","Fill=—","Direction=H","UseDPDF=Y")</f>
        <v>-2.1122999999999998</v>
      </c>
      <c r="K52" s="20">
        <f>_xll.BDH("ALNY US Equity","IS_BASIC_EPS_CONT_OPS","FQ2 2021","FQ2 2021","Currency=USD","Period=FQ","BEST_FPERIOD_OVERRIDE=FQ","FILING_STATUS=MR","Sort=A","Dates=H","DateFormat=P","Fill=—","Direction=H","UseDPDF=Y")</f>
        <v>-1.5719000000000001</v>
      </c>
      <c r="L52" s="20">
        <f>_xll.BDH("ALNY US Equity","IS_BASIC_EPS_CONT_OPS","FQ3 2021","FQ3 2021","Currency=USD","Period=FQ","BEST_FPERIOD_OVERRIDE=FQ","FILING_STATUS=MR","Sort=A","Dates=H","DateFormat=P","Fill=—","Direction=H","UseDPDF=Y")</f>
        <v>-1.7895000000000001</v>
      </c>
      <c r="M52" s="20">
        <f>_xll.BDH("ALNY US Equity","IS_BASIC_EPS_CONT_OPS","FQ4 2021","FQ4 2021","Currency=USD","Period=FQ","BEST_FPERIOD_OVERRIDE=FQ","FILING_STATUS=MR","Sort=A","Dates=H","DateFormat=P","Fill=—","Direction=H","UseDPDF=Y")</f>
        <v>-2.1113</v>
      </c>
      <c r="N52" s="20">
        <f>_xll.BDH("ALNY US Equity","IS_BASIC_EPS_CONT_OPS","FQ1 2022","FQ1 2022","Currency=USD","Period=FQ","BEST_FPERIOD_OVERRIDE=FQ","FILING_STATUS=MR","Sort=A","Dates=H","DateFormat=P","Fill=—","Direction=H","UseDPDF=Y")</f>
        <v>-1.7375</v>
      </c>
      <c r="O52" s="20">
        <f>_xll.BDH("ALNY US Equity","IS_BASIC_EPS_CONT_OPS","FQ2 2022","FQ2 2022","Currency=USD","Period=FQ","BEST_FPERIOD_OVERRIDE=FQ","FILING_STATUS=MR","Sort=A","Dates=H","DateFormat=P","Fill=—","Direction=H","UseDPDF=Y")</f>
        <v>-2.2854999999999999</v>
      </c>
      <c r="P52" s="20">
        <f>_xll.BDH("ALNY US Equity","IS_BASIC_EPS_CONT_OPS","FQ3 2022","FQ3 2022","Currency=USD","Period=FQ","BEST_FPERIOD_OVERRIDE=FQ","FILING_STATUS=MR","Sort=A","Dates=H","DateFormat=P","Fill=—","Direction=H","UseDPDF=Y")</f>
        <v>-2.6315</v>
      </c>
      <c r="Q52" s="20">
        <f>_xll.BDH("ALNY US Equity","IS_BASIC_EPS_CONT_OPS","FQ4 2022","FQ4 2022","Currency=USD","Period=FQ","BEST_FPERIOD_OVERRIDE=FQ","FILING_STATUS=MR","Sort=A","Dates=H","DateFormat=P","Fill=—","Direction=H","UseDPDF=Y")</f>
        <v>-1.7383999999999999</v>
      </c>
      <c r="R52" s="20">
        <f>_xll.BDH("ALNY US Equity","IS_BASIC_EPS_CONT_OPS","FQ1 2023","FQ1 2023","Currency=USD","Period=FQ","BEST_FPERIOD_OVERRIDE=FQ","FILING_STATUS=MR","Sort=A","Dates=H","DateFormat=P","Fill=—","Direction=H","UseDPDF=Y")</f>
        <v>-1.3845000000000001</v>
      </c>
      <c r="S52" s="20">
        <f>_xll.BDH("ALNY US Equity","IS_BASIC_EPS_CONT_OPS","FQ2 2023","FQ2 2023","Currency=USD","Period=FQ","BEST_FPERIOD_OVERRIDE=FQ","FILING_STATUS=MR","Sort=A","Dates=H","DateFormat=P","Fill=—","Direction=H","UseDPDF=Y")</f>
        <v>-2.2254999999999998</v>
      </c>
      <c r="T52" s="20">
        <f>_xll.BDH("ALNY US Equity","IS_BASIC_EPS_CONT_OPS","FQ3 2023","FQ3 2023","Currency=USD","Period=FQ","BEST_FPERIOD_OVERRIDE=FQ","FILING_STATUS=MR","Sort=A","Dates=H","DateFormat=P","Fill=—","Direction=H","UseDPDF=Y")</f>
        <v>1.3145</v>
      </c>
      <c r="U52" s="20">
        <f>_xll.BDH("ALNY US Equity","IS_BASIC_EPS_CONT_OPS","FQ4 2023","FQ4 2023","Currency=USD","Period=FQ","BEST_FPERIOD_OVERRIDE=FQ","FILING_STATUS=MR","Sort=A","Dates=H","DateFormat=P","Fill=—","Direction=H","UseDPDF=Y")</f>
        <v>-1.1036999999999999</v>
      </c>
      <c r="V52" s="20">
        <f>_xll.BDH("ALNY US Equity","IS_BASIC_EPS_CONT_OPS","FQ1 2024","FQ1 2024","Currency=USD","Period=FQ","BEST_FPERIOD_OVERRIDE=FQ","FILING_STATUS=MR","Sort=A","Dates=H","DateFormat=P","Fill=—","Direction=H","UseDPDF=Y")</f>
        <v>-0.52329999999999999</v>
      </c>
      <c r="W52" s="20">
        <f>_xll.BDH("ALNY US Equity","IS_BASIC_EPS_CONT_OPS","FQ2 2024","FQ2 2024","Currency=USD","Period=FQ","BEST_FPERIOD_OVERRIDE=FQ","FILING_STATUS=MR","Sort=A","Dates=H","DateFormat=P","Fill=—","Direction=H","UseDPDF=Y")</f>
        <v>-0.1225</v>
      </c>
      <c r="X52" s="20">
        <f>_xll.BDH("ALNY US Equity","IS_BASIC_EPS_CONT_OPS","FQ3 2024","FQ3 2024","Currency=USD","Period=FQ","BEST_FPERIOD_OVERRIDE=FQ","FILING_STATUS=MR","Sort=A","Dates=H","DateFormat=P","Fill=—","Direction=H","UseDPDF=Y")</f>
        <v>-0.85550000000000004</v>
      </c>
      <c r="Y52" s="20">
        <f>_xll.BDH("ALNY US Equity","IS_BASIC_EPS_CONT_OPS","FQ4 2024","FQ4 2024","Currency=USD","Period=FQ","BEST_FPERIOD_OVERRIDE=FQ","FILING_STATUS=MR","Sort=A","Dates=H","DateFormat=P","Fill=—","Direction=H","UseDPDF=Y")</f>
        <v>-0.64749999999999996</v>
      </c>
      <c r="Z52" s="20">
        <v>-0.46400000000000002</v>
      </c>
      <c r="AA52" s="20">
        <v>-0.39400000000000002</v>
      </c>
    </row>
    <row r="53" spans="1:27" x14ac:dyDescent="0.25">
      <c r="A53" s="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x14ac:dyDescent="0.25">
      <c r="A54" s="10" t="s">
        <v>247</v>
      </c>
      <c r="B54" s="10" t="s">
        <v>108</v>
      </c>
      <c r="C54" s="13">
        <f>_xll.BDH("ALNY US Equity","IS_SH_FOR_DILUTED_EPS","FQ2 2019","FQ2 2019","Currency=USD","Period=FQ","BEST_FPERIOD_OVERRIDE=FQ","FILING_STATUS=MR","Sort=A","Dates=H","DateFormat=P","Fill=—","Direction=H","UseDPDF=Y")</f>
        <v>108.57599999999999</v>
      </c>
      <c r="D54" s="13">
        <f>_xll.BDH("ALNY US Equity","IS_SH_FOR_DILUTED_EPS","FQ3 2019","FQ3 2019","Currency=USD","Period=FQ","BEST_FPERIOD_OVERRIDE=FQ","FILING_STATUS=MR","Sort=A","Dates=H","DateFormat=P","Fill=—","Direction=H","UseDPDF=Y")</f>
        <v>108.70099999999999</v>
      </c>
      <c r="E54" s="13">
        <f>_xll.BDH("ALNY US Equity","IS_SH_FOR_DILUTED_EPS","FQ4 2019","FQ4 2019","Currency=USD","Period=FQ","BEST_FPERIOD_OVERRIDE=FQ","FILING_STATUS=MR","Sort=A","Dates=H","DateFormat=P","Fill=—","Direction=H","UseDPDF=Y")</f>
        <v>111.75</v>
      </c>
      <c r="F54" s="13">
        <f>_xll.BDH("ALNY US Equity","IS_SH_FOR_DILUTED_EPS","FQ1 2020","FQ1 2020","Currency=USD","Period=FQ","BEST_FPERIOD_OVERRIDE=FQ","FILING_STATUS=MR","Sort=A","Dates=H","DateFormat=P","Fill=—","Direction=H","UseDPDF=Y")</f>
        <v>112.748</v>
      </c>
      <c r="G54" s="13">
        <f>_xll.BDH("ALNY US Equity","IS_SH_FOR_DILUTED_EPS","FQ2 2020","FQ2 2020","Currency=USD","Period=FQ","BEST_FPERIOD_OVERRIDE=FQ","FILING_STATUS=MR","Sort=A","Dates=H","DateFormat=P","Fill=—","Direction=H","UseDPDF=Y")</f>
        <v>114.911</v>
      </c>
      <c r="H54" s="13">
        <f>_xll.BDH("ALNY US Equity","IS_SH_FOR_DILUTED_EPS","FQ3 2020","FQ3 2020","Currency=USD","Period=FQ","BEST_FPERIOD_OVERRIDE=FQ","FILING_STATUS=MR","Sort=A","Dates=H","DateFormat=P","Fill=—","Direction=H","UseDPDF=Y")</f>
        <v>115.986</v>
      </c>
      <c r="I54" s="13">
        <f>_xll.BDH("ALNY US Equity","IS_SH_FOR_DILUTED_EPS","FQ4 2020","FQ4 2020","Currency=USD","Period=FQ","BEST_FPERIOD_OVERRIDE=FQ","FILING_STATUS=MR","Sort=A","Dates=H","DateFormat=P","Fill=—","Direction=H","UseDPDF=Y")</f>
        <v>116.274</v>
      </c>
      <c r="J54" s="13">
        <f>_xll.BDH("ALNY US Equity","IS_SH_FOR_DILUTED_EPS","FQ1 2021","FQ1 2021","Currency=USD","Period=FQ","BEST_FPERIOD_OVERRIDE=FQ","FILING_STATUS=MR","Sort=A","Dates=H","DateFormat=P","Fill=—","Direction=H","UseDPDF=Y")</f>
        <v>117.08</v>
      </c>
      <c r="K54" s="13">
        <f>_xll.BDH("ALNY US Equity","IS_SH_FOR_DILUTED_EPS","FQ2 2021","FQ2 2021","Currency=USD","Period=FQ","BEST_FPERIOD_OVERRIDE=FQ","FILING_STATUS=MR","Sort=A","Dates=H","DateFormat=P","Fill=—","Direction=H","UseDPDF=Y")</f>
        <v>117.77200000000001</v>
      </c>
      <c r="L54" s="13">
        <f>_xll.BDH("ALNY US Equity","IS_SH_FOR_DILUTED_EPS","FQ3 2021","FQ3 2021","Currency=USD","Period=FQ","BEST_FPERIOD_OVERRIDE=FQ","FILING_STATUS=MR","Sort=A","Dates=H","DateFormat=P","Fill=—","Direction=H","UseDPDF=Y")</f>
        <v>119.14100000000001</v>
      </c>
      <c r="M54" s="13">
        <f>_xll.BDH("ALNY US Equity","IS_SH_FOR_DILUTED_EPS","FQ4 2021","FQ4 2021","Currency=USD","Period=FQ","BEST_FPERIOD_OVERRIDE=FQ","FILING_STATUS=MR","Sort=A","Dates=H","DateFormat=P","Fill=—","Direction=H","UseDPDF=Y")</f>
        <v>119.773</v>
      </c>
      <c r="N54" s="13">
        <f>_xll.BDH("ALNY US Equity","IS_SH_FOR_DILUTED_EPS","FQ1 2022","FQ1 2022","Currency=USD","Period=FQ","BEST_FPERIOD_OVERRIDE=FQ","FILING_STATUS=MR","Sort=A","Dates=H","DateFormat=P","Fill=—","Direction=H","UseDPDF=Y")</f>
        <v>120.393</v>
      </c>
      <c r="O54" s="13">
        <f>_xll.BDH("ALNY US Equity","IS_SH_FOR_DILUTED_EPS","FQ2 2022","FQ2 2022","Currency=USD","Period=FQ","BEST_FPERIOD_OVERRIDE=FQ","FILING_STATUS=MR","Sort=A","Dates=H","DateFormat=P","Fill=—","Direction=H","UseDPDF=Y")</f>
        <v>120.896</v>
      </c>
      <c r="P54" s="13">
        <f>_xll.BDH("ALNY US Equity","IS_SH_FOR_DILUTED_EPS","FQ3 2022","FQ3 2022","Currency=USD","Period=FQ","BEST_FPERIOD_OVERRIDE=FQ","FILING_STATUS=MR","Sort=A","Dates=H","DateFormat=P","Fill=—","Direction=H","UseDPDF=Y")</f>
        <v>122.166</v>
      </c>
      <c r="Q54" s="13">
        <f>_xll.BDH("ALNY US Equity","IS_SH_FOR_DILUTED_EPS","FQ4 2022","FQ4 2022","Currency=USD","Period=FQ","BEST_FPERIOD_OVERRIDE=FQ","FILING_STATUS=MR","Sort=A","Dates=H","DateFormat=P","Fill=—","Direction=H","UseDPDF=Y")</f>
        <v>123.26600000000001</v>
      </c>
      <c r="R54" s="13">
        <f>_xll.BDH("ALNY US Equity","IS_SH_FOR_DILUTED_EPS","FQ1 2023","FQ1 2023","Currency=USD","Period=FQ","BEST_FPERIOD_OVERRIDE=FQ","FILING_STATUS=MR","Sort=A","Dates=H","DateFormat=P","Fill=—","Direction=H","UseDPDF=Y")</f>
        <v>124.111</v>
      </c>
      <c r="S54" s="13">
        <f>_xll.BDH("ALNY US Equity","IS_SH_FOR_DILUTED_EPS","FQ2 2023","FQ2 2023","Currency=USD","Period=FQ","BEST_FPERIOD_OVERRIDE=FQ","FILING_STATUS=MR","Sort=A","Dates=H","DateFormat=P","Fill=—","Direction=H","UseDPDF=Y")</f>
        <v>124.65900000000001</v>
      </c>
      <c r="T54" s="13">
        <f>_xll.BDH("ALNY US Equity","IS_SH_FOR_DILUTED_EPS","FQ3 2023","FQ3 2023","Currency=USD","Period=FQ","BEST_FPERIOD_OVERRIDE=FQ","FILING_STATUS=MR","Sort=A","Dates=H","DateFormat=P","Fill=—","Direction=H","UseDPDF=Y")</f>
        <v>131.33699999999999</v>
      </c>
      <c r="U54" s="13">
        <f>_xll.BDH("ALNY US Equity","IS_SH_FOR_DILUTED_EPS","FQ4 2023","FQ4 2023","Currency=USD","Period=FQ","BEST_FPERIOD_OVERRIDE=FQ","FILING_STATUS=MR","Sort=A","Dates=H","DateFormat=P","Fill=—","Direction=H","UseDPDF=Y")</f>
        <v>125.613</v>
      </c>
      <c r="V54" s="13">
        <f>_xll.BDH("ALNY US Equity","IS_SH_FOR_DILUTED_EPS","FQ1 2024","FQ1 2024","Currency=USD","Period=FQ","BEST_FPERIOD_OVERRIDE=FQ","FILING_STATUS=MR","Sort=A","Dates=H","DateFormat=P","Fill=—","Direction=H","UseDPDF=Y")</f>
        <v>126.13800000000001</v>
      </c>
      <c r="W54" s="13">
        <f>_xll.BDH("ALNY US Equity","IS_SH_FOR_DILUTED_EPS","FQ2 2024","FQ2 2024","Currency=USD","Period=FQ","BEST_FPERIOD_OVERRIDE=FQ","FILING_STATUS=MR","Sort=A","Dates=H","DateFormat=P","Fill=—","Direction=H","UseDPDF=Y")</f>
        <v>126.733</v>
      </c>
      <c r="X54" s="13">
        <f>_xll.BDH("ALNY US Equity","IS_SH_FOR_DILUTED_EPS","FQ3 2024","FQ3 2024","Currency=USD","Period=FQ","BEST_FPERIOD_OVERRIDE=FQ","FILING_STATUS=MR","Sort=A","Dates=H","DateFormat=P","Fill=—","Direction=H","UseDPDF=Y")</f>
        <v>128.59</v>
      </c>
      <c r="Y54" s="13">
        <f>_xll.BDH("ALNY US Equity","IS_SH_FOR_DILUTED_EPS","FQ4 2024","FQ4 2024","Currency=USD","Period=FQ","BEST_FPERIOD_OVERRIDE=FQ","FILING_STATUS=MR","Sort=A","Dates=H","DateFormat=P","Fill=—","Direction=H","UseDPDF=Y")</f>
        <v>129.11600000000001</v>
      </c>
      <c r="Z54" s="13"/>
      <c r="AA54" s="13"/>
    </row>
    <row r="55" spans="1:27" x14ac:dyDescent="0.25">
      <c r="A55" s="6" t="s">
        <v>103</v>
      </c>
      <c r="B55" s="6" t="s">
        <v>104</v>
      </c>
      <c r="C55" s="20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D55" s="20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E55" s="20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F55" s="20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G55" s="20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H55" s="20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I55" s="20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J55" s="20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K55" s="20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L55" s="20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M55" s="20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N55" s="20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O55" s="20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P55" s="20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Q55" s="20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R55" s="20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S55" s="20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T55" s="20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U55" s="20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V55" s="20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W55" s="20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X55" s="20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Y55" s="20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  <c r="Z55" s="20">
        <v>-0.95</v>
      </c>
      <c r="AA55" s="20">
        <v>-0.91500000000000004</v>
      </c>
    </row>
    <row r="56" spans="1:27" x14ac:dyDescent="0.25">
      <c r="A56" s="6" t="s">
        <v>372</v>
      </c>
      <c r="B56" s="6" t="s">
        <v>260</v>
      </c>
      <c r="C56" s="20">
        <f>_xll.BDH("ALNY US Equity","IS_DIL_EPS_BEF_XO","FQ2 2019","FQ2 2019","Currency=USD","Period=FQ","BEST_FPERIOD_OVERRIDE=FQ","FILING_STATUS=MR","Sort=A","Dates=H","DateFormat=P","Fill=—","Direction=H","UseDPDF=Y")</f>
        <v>-2.02</v>
      </c>
      <c r="D56" s="20">
        <f>_xll.BDH("ALNY US Equity","IS_DIL_EPS_BEF_XO","FQ3 2019","FQ3 2019","Currency=USD","Period=FQ","BEST_FPERIOD_OVERRIDE=FQ","FILING_STATUS=MR","Sort=A","Dates=H","DateFormat=P","Fill=—","Direction=H","UseDPDF=Y")</f>
        <v>-1.92</v>
      </c>
      <c r="E56" s="20">
        <f>_xll.BDH("ALNY US Equity","IS_DIL_EPS_BEF_XO","FQ4 2019","FQ4 2019","Currency=USD","Period=FQ","BEST_FPERIOD_OVERRIDE=FQ","FILING_STATUS=MR","Sort=A","Dates=H","DateFormat=P","Fill=—","Direction=H","UseDPDF=Y")</f>
        <v>-2.4700000000000002</v>
      </c>
      <c r="F56" s="20">
        <f>_xll.BDH("ALNY US Equity","IS_DIL_EPS_BEF_XO","FQ1 2020","FQ1 2020","Currency=USD","Period=FQ","BEST_FPERIOD_OVERRIDE=FQ","FILING_STATUS=MR","Sort=A","Dates=H","DateFormat=P","Fill=—","Direction=H","UseDPDF=Y")</f>
        <v>-1.62</v>
      </c>
      <c r="G56" s="20">
        <f>_xll.BDH("ALNY US Equity","IS_DIL_EPS_BEF_XO","FQ2 2020","FQ2 2020","Currency=USD","Period=FQ","BEST_FPERIOD_OVERRIDE=FQ","FILING_STATUS=MR","Sort=A","Dates=H","DateFormat=P","Fill=—","Direction=H","UseDPDF=Y")</f>
        <v>-1.56</v>
      </c>
      <c r="H56" s="20">
        <f>_xll.BDH("ALNY US Equity","IS_DIL_EPS_BEF_XO","FQ3 2020","FQ3 2020","Currency=USD","Period=FQ","BEST_FPERIOD_OVERRIDE=FQ","FILING_STATUS=MR","Sort=A","Dates=H","DateFormat=P","Fill=—","Direction=H","UseDPDF=Y")</f>
        <v>-2.1800000000000002</v>
      </c>
      <c r="I56" s="20">
        <f>_xll.BDH("ALNY US Equity","IS_DIL_EPS_BEF_XO","FQ4 2020","FQ4 2020","Currency=USD","Period=FQ","BEST_FPERIOD_OVERRIDE=FQ","FILING_STATUS=MR","Sort=A","Dates=H","DateFormat=P","Fill=—","Direction=H","UseDPDF=Y")</f>
        <v>-2.09</v>
      </c>
      <c r="J56" s="20">
        <f>_xll.BDH("ALNY US Equity","IS_DIL_EPS_BEF_XO","FQ1 2021","FQ1 2021","Currency=USD","Period=FQ","BEST_FPERIOD_OVERRIDE=FQ","FILING_STATUS=MR","Sort=A","Dates=H","DateFormat=P","Fill=—","Direction=H","UseDPDF=Y")</f>
        <v>-1.71</v>
      </c>
      <c r="K56" s="20">
        <f>_xll.BDH("ALNY US Equity","IS_DIL_EPS_BEF_XO","FQ2 2021","FQ2 2021","Currency=USD","Period=FQ","BEST_FPERIOD_OVERRIDE=FQ","FILING_STATUS=MR","Sort=A","Dates=H","DateFormat=P","Fill=—","Direction=H","UseDPDF=Y")</f>
        <v>-1.61</v>
      </c>
      <c r="L56" s="20">
        <f>_xll.BDH("ALNY US Equity","IS_DIL_EPS_BEF_XO","FQ3 2021","FQ3 2021","Currency=USD","Period=FQ","BEST_FPERIOD_OVERRIDE=FQ","FILING_STATUS=MR","Sort=A","Dates=H","DateFormat=P","Fill=—","Direction=H","UseDPDF=Y")</f>
        <v>-1.72</v>
      </c>
      <c r="M56" s="20">
        <f>_xll.BDH("ALNY US Equity","IS_DIL_EPS_BEF_XO","FQ4 2021","FQ4 2021","Currency=USD","Period=FQ","BEST_FPERIOD_OVERRIDE=FQ","FILING_STATUS=MR","Sort=A","Dates=H","DateFormat=P","Fill=—","Direction=H","UseDPDF=Y")</f>
        <v>-2.16</v>
      </c>
      <c r="N56" s="20">
        <f>_xll.BDH("ALNY US Equity","IS_DIL_EPS_BEF_XO","FQ1 2022","FQ1 2022","Currency=USD","Period=FQ","BEST_FPERIOD_OVERRIDE=FQ","FILING_STATUS=MR","Sort=A","Dates=H","DateFormat=P","Fill=—","Direction=H","UseDPDF=Y")</f>
        <v>-2</v>
      </c>
      <c r="O56" s="20">
        <f>_xll.BDH("ALNY US Equity","IS_DIL_EPS_BEF_XO","FQ2 2022","FQ2 2022","Currency=USD","Period=FQ","BEST_FPERIOD_OVERRIDE=FQ","FILING_STATUS=MR","Sort=A","Dates=H","DateFormat=P","Fill=—","Direction=H","UseDPDF=Y")</f>
        <v>-2.29</v>
      </c>
      <c r="P56" s="20">
        <f>_xll.BDH("ALNY US Equity","IS_DIL_EPS_BEF_XO","FQ3 2022","FQ3 2022","Currency=USD","Period=FQ","BEST_FPERIOD_OVERRIDE=FQ","FILING_STATUS=MR","Sort=A","Dates=H","DateFormat=P","Fill=—","Direction=H","UseDPDF=Y")</f>
        <v>-3.32</v>
      </c>
      <c r="Q56" s="20">
        <f>_xll.BDH("ALNY US Equity","IS_DIL_EPS_BEF_XO","FQ4 2022","FQ4 2022","Currency=USD","Period=FQ","BEST_FPERIOD_OVERRIDE=FQ","FILING_STATUS=MR","Sort=A","Dates=H","DateFormat=P","Fill=—","Direction=H","UseDPDF=Y")</f>
        <v>-1.68</v>
      </c>
      <c r="R56" s="20">
        <f>_xll.BDH("ALNY US Equity","IS_DIL_EPS_BEF_XO","FQ1 2023","FQ1 2023","Currency=USD","Period=FQ","BEST_FPERIOD_OVERRIDE=FQ","FILING_STATUS=MR","Sort=A","Dates=H","DateFormat=P","Fill=—","Direction=H","UseDPDF=Y")</f>
        <v>-1.4</v>
      </c>
      <c r="S56" s="20">
        <f>_xll.BDH("ALNY US Equity","IS_DIL_EPS_BEF_XO","FQ2 2023","FQ2 2023","Currency=USD","Period=FQ","BEST_FPERIOD_OVERRIDE=FQ","FILING_STATUS=MR","Sort=A","Dates=H","DateFormat=P","Fill=—","Direction=H","UseDPDF=Y")</f>
        <v>-2.21</v>
      </c>
      <c r="T56" s="20">
        <f>_xll.BDH("ALNY US Equity","IS_DIL_EPS_BEF_XO","FQ3 2023","FQ3 2023","Currency=USD","Period=FQ","BEST_FPERIOD_OVERRIDE=FQ","FILING_STATUS=MR","Sort=A","Dates=H","DateFormat=P","Fill=—","Direction=H","UseDPDF=Y")</f>
        <v>1.1499999999999999</v>
      </c>
      <c r="U56" s="20">
        <f>_xll.BDH("ALNY US Equity","IS_DIL_EPS_BEF_XO","FQ4 2023","FQ4 2023","Currency=USD","Period=FQ","BEST_FPERIOD_OVERRIDE=FQ","FILING_STATUS=MR","Sort=A","Dates=H","DateFormat=P","Fill=—","Direction=H","UseDPDF=Y")</f>
        <v>-1.1000000000000001</v>
      </c>
      <c r="V56" s="20">
        <f>_xll.BDH("ALNY US Equity","IS_DIL_EPS_BEF_XO","FQ1 2024","FQ1 2024","Currency=USD","Period=FQ","BEST_FPERIOD_OVERRIDE=FQ","FILING_STATUS=MR","Sort=A","Dates=H","DateFormat=P","Fill=—","Direction=H","UseDPDF=Y")</f>
        <v>-0.52</v>
      </c>
      <c r="W56" s="20">
        <f>_xll.BDH("ALNY US Equity","IS_DIL_EPS_BEF_XO","FQ2 2024","FQ2 2024","Currency=USD","Period=FQ","BEST_FPERIOD_OVERRIDE=FQ","FILING_STATUS=MR","Sort=A","Dates=H","DateFormat=P","Fill=—","Direction=H","UseDPDF=Y")</f>
        <v>-0.13</v>
      </c>
      <c r="X56" s="20">
        <f>_xll.BDH("ALNY US Equity","IS_DIL_EPS_BEF_XO","FQ3 2024","FQ3 2024","Currency=USD","Period=FQ","BEST_FPERIOD_OVERRIDE=FQ","FILING_STATUS=MR","Sort=A","Dates=H","DateFormat=P","Fill=—","Direction=H","UseDPDF=Y")</f>
        <v>-0.87</v>
      </c>
      <c r="Y56" s="20">
        <f>_xll.BDH("ALNY US Equity","IS_DIL_EPS_BEF_XO","FQ4 2024","FQ4 2024","Currency=USD","Period=FQ","BEST_FPERIOD_OVERRIDE=FQ","FILING_STATUS=MR","Sort=A","Dates=H","DateFormat=P","Fill=—","Direction=H","UseDPDF=Y")</f>
        <v>-0.65</v>
      </c>
      <c r="Z56" s="20">
        <v>-0.95</v>
      </c>
      <c r="AA56" s="20">
        <v>-0.91500000000000004</v>
      </c>
    </row>
    <row r="57" spans="1:27" x14ac:dyDescent="0.25">
      <c r="A57" s="6" t="s">
        <v>373</v>
      </c>
      <c r="B57" s="6" t="s">
        <v>82</v>
      </c>
      <c r="C57" s="20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D57" s="20">
        <f>_xll.BDH("ALNY US Equity","IS_DIL_EPS_CONT_OPS","FQ3 2019","FQ3 2019","Currency=USD","Period=FQ","BEST_FPERIOD_OVERRIDE=FQ","FILING_STATUS=MR","Sort=A","Dates=H","DateFormat=P","Fill=—","Direction=H","UseDPDF=Y")</f>
        <v>-1.92</v>
      </c>
      <c r="E57" s="20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F57" s="20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G57" s="20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H57" s="20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I57" s="20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J57" s="20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K57" s="20">
        <f>_xll.BDH("ALNY US Equity","IS_DIL_EPS_CONT_OPS","FQ2 2021","FQ2 2021","Currency=USD","Period=FQ","BEST_FPERIOD_OVERRIDE=FQ","FILING_STATUS=MR","Sort=A","Dates=H","DateFormat=P","Fill=—","Direction=H","UseDPDF=Y")</f>
        <v>-1.5724</v>
      </c>
      <c r="L57" s="20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M57" s="20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N57" s="20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O57" s="20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P57" s="20">
        <f>_xll.BDH("ALNY US Equity","IS_DIL_EPS_CONT_OPS","FQ3 2022","FQ3 2022","Currency=USD","Period=FQ","BEST_FPERIOD_OVERRIDE=FQ","FILING_STATUS=MR","Sort=A","Dates=H","DateFormat=P","Fill=—","Direction=H","UseDPDF=Y")</f>
        <v>-2.6315</v>
      </c>
      <c r="Q57" s="20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R57" s="20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S57" s="20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T57" s="20">
        <f>_xll.BDH("ALNY US Equity","IS_DIL_EPS_CONT_OPS","FQ3 2023","FQ3 2023","Currency=USD","Period=FQ","BEST_FPERIOD_OVERRIDE=FQ","FILING_STATUS=MR","Sort=A","Dates=H","DateFormat=P","Fill=—","Direction=H","UseDPDF=Y")</f>
        <v>1.2783</v>
      </c>
      <c r="U57" s="20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V57" s="20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W57" s="20">
        <f>_xll.BDH("ALNY US Equity","IS_DIL_EPS_CONT_OPS","FQ2 2024","FQ2 2024","Currency=USD","Period=FQ","BEST_FPERIOD_OVERRIDE=FQ","FILING_STATUS=MR","Sort=A","Dates=H","DateFormat=P","Fill=—","Direction=H","UseDPDF=Y")</f>
        <v>-0.1225</v>
      </c>
      <c r="X57" s="20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Y57" s="20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  <c r="Z57" s="20">
        <v>-0.46400000000000002</v>
      </c>
      <c r="AA57" s="20">
        <v>-0.39400000000000002</v>
      </c>
    </row>
    <row r="58" spans="1:27" x14ac:dyDescent="0.25">
      <c r="A58" s="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x14ac:dyDescent="0.25">
      <c r="A59" s="6" t="s">
        <v>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x14ac:dyDescent="0.25">
      <c r="A60" s="10" t="s">
        <v>374</v>
      </c>
      <c r="B60" s="10" t="s">
        <v>375</v>
      </c>
      <c r="C60" s="12" t="s">
        <v>376</v>
      </c>
      <c r="D60" s="12" t="s">
        <v>376</v>
      </c>
      <c r="E60" s="12" t="s">
        <v>376</v>
      </c>
      <c r="F60" s="12" t="s">
        <v>376</v>
      </c>
      <c r="G60" s="12" t="s">
        <v>376</v>
      </c>
      <c r="H60" s="12" t="s">
        <v>376</v>
      </c>
      <c r="I60" s="12" t="s">
        <v>376</v>
      </c>
      <c r="J60" s="12" t="s">
        <v>376</v>
      </c>
      <c r="K60" s="12" t="s">
        <v>376</v>
      </c>
      <c r="L60" s="12" t="s">
        <v>376</v>
      </c>
      <c r="M60" s="12" t="s">
        <v>376</v>
      </c>
      <c r="N60" s="12" t="s">
        <v>376</v>
      </c>
      <c r="O60" s="12" t="s">
        <v>376</v>
      </c>
      <c r="P60" s="12" t="s">
        <v>376</v>
      </c>
      <c r="Q60" s="12" t="s">
        <v>376</v>
      </c>
      <c r="R60" s="12" t="s">
        <v>376</v>
      </c>
      <c r="S60" s="12" t="s">
        <v>376</v>
      </c>
      <c r="T60" s="12" t="s">
        <v>376</v>
      </c>
      <c r="U60" s="12" t="s">
        <v>376</v>
      </c>
      <c r="V60" s="12" t="s">
        <v>376</v>
      </c>
      <c r="W60" s="12" t="s">
        <v>376</v>
      </c>
      <c r="X60" s="12" t="s">
        <v>376</v>
      </c>
      <c r="Y60" s="12" t="s">
        <v>376</v>
      </c>
      <c r="Z60" s="12"/>
      <c r="AA60" s="12"/>
    </row>
    <row r="61" spans="1:27" x14ac:dyDescent="0.25">
      <c r="A61" s="10" t="s">
        <v>78</v>
      </c>
      <c r="B61" s="10" t="s">
        <v>78</v>
      </c>
      <c r="C61" s="13">
        <f>_xll.BDH("ALNY US Equity","EBITDA","FQ2 2019","FQ2 2019","Currency=USD","Period=FQ","BEST_FPERIOD_OVERRIDE=FQ","FILING_STATUS=MR","SCALING_FORMAT=MLN","FA_ADJUSTED=Adjusted","Sort=A","Dates=H","DateFormat=P","Fill=—","Direction=H","UseDPDF=Y")</f>
        <v>-217.23500000000001</v>
      </c>
      <c r="D61" s="13">
        <f>_xll.BDH("ALNY US Equity","EBITDA","FQ3 2019","FQ3 2019","Currency=USD","Period=FQ","BEST_FPERIOD_OVERRIDE=FQ","FILING_STATUS=MR","SCALING_FORMAT=MLN","FA_ADJUSTED=Adjusted","Sort=A","Dates=H","DateFormat=P","Fill=—","Direction=H","UseDPDF=Y")</f>
        <v>-189.36600000000001</v>
      </c>
      <c r="E61" s="13">
        <f>_xll.BDH("ALNY US Equity","EBITDA","FQ4 2019","FQ4 2019","Currency=USD","Period=FQ","BEST_FPERIOD_OVERRIDE=FQ","FILING_STATUS=MR","SCALING_FORMAT=MLN","FA_ADJUSTED=Adjusted","Sort=A","Dates=H","DateFormat=P","Fill=—","Direction=H","UseDPDF=Y")</f>
        <v>-272.56099999999998</v>
      </c>
      <c r="F61" s="13">
        <f>_xll.BDH("ALNY US Equity","EBITDA","FQ1 2020","FQ1 2020","Currency=USD","Period=FQ","BEST_FPERIOD_OVERRIDE=FQ","FILING_STATUS=MR","SCALING_FORMAT=MLN","FA_ADJUSTED=Adjusted","Sort=A","Dates=H","DateFormat=P","Fill=—","Direction=H","UseDPDF=Y")</f>
        <v>-193.15199999999999</v>
      </c>
      <c r="G61" s="13">
        <f>_xll.BDH("ALNY US Equity","EBITDA","FQ2 2020","FQ2 2020","Currency=USD","Period=FQ","BEST_FPERIOD_OVERRIDE=FQ","FILING_STATUS=MR","SCALING_FORMAT=MLN","FA_ADJUSTED=Adjusted","Sort=A","Dates=H","DateFormat=P","Fill=—","Direction=H","UseDPDF=Y")</f>
        <v>-181.8937</v>
      </c>
      <c r="H61" s="13">
        <f>_xll.BDH("ALNY US Equity","EBITDA","FQ3 2020","FQ3 2020","Currency=USD","Period=FQ","BEST_FPERIOD_OVERRIDE=FQ","FILING_STATUS=MR","SCALING_FORMAT=MLN","FA_ADJUSTED=Adjusted","Sort=A","Dates=H","DateFormat=P","Fill=—","Direction=H","UseDPDF=Y")</f>
        <v>-177.01499999999999</v>
      </c>
      <c r="I61" s="13">
        <f>_xll.BDH("ALNY US Equity","EBITDA","FQ4 2020","FQ4 2020","Currency=USD","Period=FQ","BEST_FPERIOD_OVERRIDE=FQ","FILING_STATUS=MR","SCALING_FORMAT=MLN","FA_ADJUSTED=Adjusted","Sort=A","Dates=H","DateFormat=P","Fill=—","Direction=H","UseDPDF=Y")</f>
        <v>-163.126</v>
      </c>
      <c r="J61" s="13">
        <f>_xll.BDH("ALNY US Equity","EBITDA","FQ1 2021","FQ1 2021","Currency=USD","Period=FQ","BEST_FPERIOD_OVERRIDE=FQ","FILING_STATUS=MR","SCALING_FORMAT=MLN","FA_ADJUSTED=Adjusted","Sort=A","Dates=H","DateFormat=P","Fill=—","Direction=H","UseDPDF=Y")</f>
        <v>-163.392</v>
      </c>
      <c r="K61" s="13">
        <f>_xll.BDH("ALNY US Equity","EBITDA","FQ2 2021","FQ2 2021","Currency=USD","Period=FQ","BEST_FPERIOD_OVERRIDE=FQ","FILING_STATUS=MR","SCALING_FORMAT=MLN","FA_ADJUSTED=Adjusted","Sort=A","Dates=H","DateFormat=P","Fill=—","Direction=H","UseDPDF=Y")</f>
        <v>-123.999</v>
      </c>
      <c r="L61" s="13">
        <f>_xll.BDH("ALNY US Equity","EBITDA","FQ3 2021","FQ3 2021","Currency=USD","Period=FQ","BEST_FPERIOD_OVERRIDE=FQ","FILING_STATUS=MR","SCALING_FORMAT=MLN","FA_ADJUSTED=Adjusted","Sort=A","Dates=H","DateFormat=P","Fill=—","Direction=H","UseDPDF=Y")</f>
        <v>-148.45699999999999</v>
      </c>
      <c r="M61" s="13">
        <f>_xll.BDH("ALNY US Equity","EBITDA","FQ4 2021","FQ4 2021","Currency=USD","Period=FQ","BEST_FPERIOD_OVERRIDE=FQ","FILING_STATUS=MR","SCALING_FORMAT=MLN","FA_ADJUSTED=Adjusted","Sort=A","Dates=H","DateFormat=P","Fill=—","Direction=H","UseDPDF=Y")</f>
        <v>-173.11</v>
      </c>
      <c r="N61" s="13">
        <f>_xll.BDH("ALNY US Equity","EBITDA","FQ1 2022","FQ1 2022","Currency=USD","Period=FQ","BEST_FPERIOD_OVERRIDE=FQ","FILING_STATUS=MR","SCALING_FORMAT=MLN","FA_ADJUSTED=Adjusted","Sort=A","Dates=H","DateFormat=P","Fill=—","Direction=H","UseDPDF=Y")</f>
        <v>-126.95399999999999</v>
      </c>
      <c r="O61" s="13">
        <f>_xll.BDH("ALNY US Equity","EBITDA","FQ2 2022","FQ2 2022","Currency=USD","Period=FQ","BEST_FPERIOD_OVERRIDE=FQ","FILING_STATUS=MR","SCALING_FORMAT=MLN","FA_ADJUSTED=Adjusted","Sort=A","Dates=H","DateFormat=P","Fill=—","Direction=H","UseDPDF=Y")</f>
        <v>-171.44900000000001</v>
      </c>
      <c r="P61" s="13">
        <f>_xll.BDH("ALNY US Equity","EBITDA","FQ3 2022","FQ3 2022","Currency=USD","Period=FQ","BEST_FPERIOD_OVERRIDE=FQ","FILING_STATUS=MR","SCALING_FORMAT=MLN","FA_ADJUSTED=Adjusted","Sort=A","Dates=H","DateFormat=P","Fill=—","Direction=H","UseDPDF=Y")</f>
        <v>-237.39</v>
      </c>
      <c r="Q61" s="13">
        <f>_xll.BDH("ALNY US Equity","EBITDA","FQ4 2022","FQ4 2022","Currency=USD","Period=FQ","BEST_FPERIOD_OVERRIDE=FQ","FILING_STATUS=MR","SCALING_FORMAT=MLN","FA_ADJUSTED=Adjusted","Sort=A","Dates=H","DateFormat=P","Fill=—","Direction=H","UseDPDF=Y")</f>
        <v>-163.72900000000001</v>
      </c>
      <c r="R61" s="13">
        <f>_xll.BDH("ALNY US Equity","EBITDA","FQ1 2023","FQ1 2023","Currency=USD","Period=FQ","BEST_FPERIOD_OVERRIDE=FQ","FILING_STATUS=MR","SCALING_FORMAT=MLN","FA_ADJUSTED=Adjusted","Sort=A","Dates=H","DateFormat=P","Fill=—","Direction=H","UseDPDF=Y")</f>
        <v>-123.72799999999999</v>
      </c>
      <c r="S61" s="13">
        <f>_xll.BDH("ALNY US Equity","EBITDA","FQ2 2023","FQ2 2023","Currency=USD","Period=FQ","BEST_FPERIOD_OVERRIDE=FQ","FILING_STATUS=MR","SCALING_FORMAT=MLN","FA_ADJUSTED=Adjusted","Sort=A","Dates=H","DateFormat=P","Fill=—","Direction=H","UseDPDF=Y")</f>
        <v>-206.38399999999999</v>
      </c>
      <c r="T61" s="13">
        <f>_xll.BDH("ALNY US Equity","EBITDA","FQ3 2023","FQ3 2023","Currency=USD","Period=FQ","BEST_FPERIOD_OVERRIDE=FQ","FILING_STATUS=MR","SCALING_FORMAT=MLN","FA_ADJUSTED=Adjusted","Sort=A","Dates=H","DateFormat=P","Fill=—","Direction=H","UseDPDF=Y")</f>
        <v>237.399</v>
      </c>
      <c r="U61" s="13">
        <f>_xll.BDH("ALNY US Equity","EBITDA","FQ4 2023","FQ4 2023","Currency=USD","Period=FQ","BEST_FPERIOD_OVERRIDE=FQ","FILING_STATUS=MR","SCALING_FORMAT=MLN","FA_ADJUSTED=Adjusted","Sort=A","Dates=H","DateFormat=P","Fill=—","Direction=H","UseDPDF=Y")</f>
        <v>-92.430999999999997</v>
      </c>
      <c r="V61" s="13">
        <f>_xll.BDH("ALNY US Equity","EBITDA","FQ1 2024","FQ1 2024","Currency=USD","Period=FQ","BEST_FPERIOD_OVERRIDE=FQ","FILING_STATUS=MR","SCALING_FORMAT=MLN","FA_ADJUSTED=Adjusted","Sort=A","Dates=H","DateFormat=P","Fill=—","Direction=H","UseDPDF=Y")</f>
        <v>-17.949000000000002</v>
      </c>
      <c r="W61" s="13">
        <f>_xll.BDH("ALNY US Equity","EBITDA","FQ2 2024","FQ2 2024","Currency=USD","Period=FQ","BEST_FPERIOD_OVERRIDE=FQ","FILING_STATUS=MR","SCALING_FORMAT=MLN","FA_ADJUSTED=Adjusted","Sort=A","Dates=H","DateFormat=P","Fill=—","Direction=H","UseDPDF=Y")</f>
        <v>73.305999999999997</v>
      </c>
      <c r="X61" s="13">
        <f>_xll.BDH("ALNY US Equity","EBITDA","FQ3 2024","FQ3 2024","Currency=USD","Period=FQ","BEST_FPERIOD_OVERRIDE=FQ","FILING_STATUS=MR","SCALING_FORMAT=MLN","FA_ADJUSTED=Adjusted","Sort=A","Dates=H","DateFormat=P","Fill=—","Direction=H","UseDPDF=Y")</f>
        <v>-49.866999999999997</v>
      </c>
      <c r="Y61" s="13">
        <f>_xll.BDH("ALNY US Equity","EBITDA","FQ4 2024","FQ4 2024","Currency=USD","Period=FQ","BEST_FPERIOD_OVERRIDE=FQ","FILING_STATUS=MR","SCALING_FORMAT=MLN","FA_ADJUSTED=Adjusted","Sort=A","Dates=H","DateFormat=P","Fill=—","Direction=H","UseDPDF=Y")</f>
        <v>-90.991</v>
      </c>
      <c r="Z61" s="13">
        <v>-89.875</v>
      </c>
      <c r="AA61" s="13">
        <v>-68.125</v>
      </c>
    </row>
    <row r="62" spans="1:27" x14ac:dyDescent="0.25">
      <c r="A62" s="10" t="s">
        <v>377</v>
      </c>
      <c r="B62" s="10" t="s">
        <v>378</v>
      </c>
      <c r="C62" s="14">
        <f>_xll.BDH("ALNY US Equity","EBITDA_MARGIN","FQ2 2019","FQ2 2019","Currency=USD","Period=FQ","BEST_FPERIOD_OVERRIDE=FQ","FILING_STATUS=MR","FA_ADJUSTED=Adjusted","Sort=A","Dates=H","DateFormat=P","Fill=—","Direction=H","UseDPDF=Y")</f>
        <v>-848.99519999999995</v>
      </c>
      <c r="D62" s="14">
        <f>_xll.BDH("ALNY US Equity","EBITDA_MARGIN","FQ3 2019","FQ3 2019","Currency=USD","Period=FQ","BEST_FPERIOD_OVERRIDE=FQ","FILING_STATUS=MR","FA_ADJUSTED=Adjusted","Sort=A","Dates=H","DateFormat=P","Fill=—","Direction=H","UseDPDF=Y")</f>
        <v>-471.00150000000002</v>
      </c>
      <c r="E62" s="14">
        <f>_xll.BDH("ALNY US Equity","EBITDA_MARGIN","FQ4 2019","FQ4 2019","Currency=USD","Period=FQ","BEST_FPERIOD_OVERRIDE=FQ","FILING_STATUS=MR","FA_ADJUSTED=Adjusted","Sort=A","Dates=H","DateFormat=P","Fill=—","Direction=H","UseDPDF=Y")</f>
        <v>-385.18770000000001</v>
      </c>
      <c r="F62" s="14">
        <f>_xll.BDH("ALNY US Equity","EBITDA_MARGIN","FQ1 2020","FQ1 2020","Currency=USD","Period=FQ","BEST_FPERIOD_OVERRIDE=FQ","FILING_STATUS=MR","FA_ADJUSTED=Adjusted","Sort=A","Dates=H","DateFormat=P","Fill=—","Direction=H","UseDPDF=Y")</f>
        <v>-305.07740000000001</v>
      </c>
      <c r="G62" s="14">
        <f>_xll.BDH("ALNY US Equity","EBITDA_MARGIN","FQ2 2020","FQ2 2020","Currency=USD","Period=FQ","BEST_FPERIOD_OVERRIDE=FQ","FILING_STATUS=MR","FA_ADJUSTED=Adjusted","Sort=A","Dates=H","DateFormat=P","Fill=—","Direction=H","UseDPDF=Y")</f>
        <v>-242.4743</v>
      </c>
      <c r="H62" s="14">
        <f>_xll.BDH("ALNY US Equity","EBITDA_MARGIN","FQ3 2020","FQ3 2020","Currency=USD","Period=FQ","BEST_FPERIOD_OVERRIDE=FQ","FILING_STATUS=MR","FA_ADJUSTED=Adjusted","Sort=A","Dates=H","DateFormat=P","Fill=—","Direction=H","UseDPDF=Y")</f>
        <v>-205.6557</v>
      </c>
      <c r="I62" s="14">
        <f>_xll.BDH("ALNY US Equity","EBITDA_MARGIN","FQ4 2020","FQ4 2020","Currency=USD","Period=FQ","BEST_FPERIOD_OVERRIDE=FQ","FILING_STATUS=MR","FA_ADJUSTED=Adjusted","Sort=A","Dates=H","DateFormat=P","Fill=—","Direction=H","UseDPDF=Y")</f>
        <v>-145.11160000000001</v>
      </c>
      <c r="J62" s="14">
        <f>_xll.BDH("ALNY US Equity","EBITDA_MARGIN","FQ1 2021","FQ1 2021","Currency=USD","Period=FQ","BEST_FPERIOD_OVERRIDE=FQ","FILING_STATUS=MR","FA_ADJUSTED=Adjusted","Sort=A","Dates=H","DateFormat=P","Fill=—","Direction=H","UseDPDF=Y")</f>
        <v>-120.0517</v>
      </c>
      <c r="K62" s="14">
        <f>_xll.BDH("ALNY US Equity","EBITDA_MARGIN","FQ2 2021","FQ2 2021","Currency=USD","Period=FQ","BEST_FPERIOD_OVERRIDE=FQ","FILING_STATUS=MR","FA_ADJUSTED=Adjusted","Sort=A","Dates=H","DateFormat=P","Fill=—","Direction=H","UseDPDF=Y")</f>
        <v>-91.272900000000007</v>
      </c>
      <c r="L62" s="14">
        <f>_xll.BDH("ALNY US Equity","EBITDA_MARGIN","FQ3 2021","FQ3 2021","Currency=USD","Period=FQ","BEST_FPERIOD_OVERRIDE=FQ","FILING_STATUS=MR","FA_ADJUSTED=Adjusted","Sort=A","Dates=H","DateFormat=P","Fill=—","Direction=H","UseDPDF=Y")</f>
        <v>-79.936300000000003</v>
      </c>
      <c r="M62" s="14">
        <f>_xll.BDH("ALNY US Equity","EBITDA_MARGIN","FQ4 2021","FQ4 2021","Currency=USD","Period=FQ","BEST_FPERIOD_OVERRIDE=FQ","FILING_STATUS=MR","FA_ADJUSTED=Adjusted","Sort=A","Dates=H","DateFormat=P","Fill=—","Direction=H","UseDPDF=Y")</f>
        <v>-72.126900000000006</v>
      </c>
      <c r="N62" s="14">
        <f>_xll.BDH("ALNY US Equity","EBITDA_MARGIN","FQ1 2022","FQ1 2022","Currency=USD","Period=FQ","BEST_FPERIOD_OVERRIDE=FQ","FILING_STATUS=MR","FA_ADJUSTED=Adjusted","Sort=A","Dates=H","DateFormat=P","Fill=—","Direction=H","UseDPDF=Y")</f>
        <v>-65.060599999999994</v>
      </c>
      <c r="O62" s="14">
        <f>_xll.BDH("ALNY US Equity","EBITDA_MARGIN","FQ2 2022","FQ2 2022","Currency=USD","Period=FQ","BEST_FPERIOD_OVERRIDE=FQ","FILING_STATUS=MR","FA_ADJUSTED=Adjusted","Sort=A","Dates=H","DateFormat=P","Fill=—","Direction=H","UseDPDF=Y")</f>
        <v>-70.112899999999996</v>
      </c>
      <c r="P62" s="14">
        <f>_xll.BDH("ALNY US Equity","EBITDA_MARGIN","FQ3 2022","FQ3 2022","Currency=USD","Period=FQ","BEST_FPERIOD_OVERRIDE=FQ","FILING_STATUS=MR","FA_ADJUSTED=Adjusted","Sort=A","Dates=H","DateFormat=P","Fill=—","Direction=H","UseDPDF=Y")</f>
        <v>-73.773499999999999</v>
      </c>
      <c r="Q62" s="14">
        <f>_xll.BDH("ALNY US Equity","EBITDA_MARGIN","FQ4 2022","FQ4 2022","Currency=USD","Period=FQ","BEST_FPERIOD_OVERRIDE=FQ","FILING_STATUS=MR","FA_ADJUSTED=Adjusted","Sort=A","Dates=H","DateFormat=P","Fill=—","Direction=H","UseDPDF=Y")</f>
        <v>-67.429100000000005</v>
      </c>
      <c r="R62" s="14">
        <f>_xll.BDH("ALNY US Equity","EBITDA_MARGIN","FQ1 2023","FQ1 2023","Currency=USD","Period=FQ","BEST_FPERIOD_OVERRIDE=FQ","FILING_STATUS=MR","FA_ADJUSTED=Adjusted","Sort=A","Dates=H","DateFormat=P","Fill=—","Direction=H","UseDPDF=Y")</f>
        <v>-60.894399999999997</v>
      </c>
      <c r="S62" s="14">
        <f>_xll.BDH("ALNY US Equity","EBITDA_MARGIN","FQ2 2023","FQ2 2023","Currency=USD","Period=FQ","BEST_FPERIOD_OVERRIDE=FQ","FILING_STATUS=MR","FA_ADJUSTED=Adjusted","Sort=A","Dates=H","DateFormat=P","Fill=—","Direction=H","UseDPDF=Y")</f>
        <v>-59.094900000000003</v>
      </c>
      <c r="T62" s="14">
        <f>_xll.BDH("ALNY US Equity","EBITDA_MARGIN","FQ3 2023","FQ3 2023","Currency=USD","Period=FQ","BEST_FPERIOD_OVERRIDE=FQ","FILING_STATUS=MR","FA_ADJUSTED=Adjusted","Sort=A","Dates=H","DateFormat=P","Fill=—","Direction=H","UseDPDF=Y")</f>
        <v>-14.8782</v>
      </c>
      <c r="U62" s="14">
        <f>_xll.BDH("ALNY US Equity","EBITDA_MARGIN","FQ4 2023","FQ4 2023","Currency=USD","Period=FQ","BEST_FPERIOD_OVERRIDE=FQ","FILING_STATUS=MR","FA_ADJUSTED=Adjusted","Sort=A","Dates=H","DateFormat=P","Fill=—","Direction=H","UseDPDF=Y")</f>
        <v>-10.1266</v>
      </c>
      <c r="V62" s="14">
        <f>_xll.BDH("ALNY US Equity","EBITDA_MARGIN","FQ1 2024","FQ1 2024","Currency=USD","Period=FQ","BEST_FPERIOD_OVERRIDE=FQ","FILING_STATUS=MR","FA_ADJUSTED=Adjusted","Sort=A","Dates=H","DateFormat=P","Fill=—","Direction=H","UseDPDF=Y")</f>
        <v>-3.9615999999999998</v>
      </c>
      <c r="W62" s="14">
        <f>_xll.BDH("ALNY US Equity","EBITDA_MARGIN","FQ2 2024","FQ2 2024","Currency=USD","Period=FQ","BEST_FPERIOD_OVERRIDE=FQ","FILING_STATUS=MR","FA_ADJUSTED=Adjusted","Sort=A","Dates=H","DateFormat=P","Fill=—","Direction=H","UseDPDF=Y")</f>
        <v>8.5448000000000004</v>
      </c>
      <c r="X62" s="14">
        <f>_xll.BDH("ALNY US Equity","EBITDA_MARGIN","FQ3 2024","FQ3 2024","Currency=USD","Period=FQ","BEST_FPERIOD_OVERRIDE=FQ","FILING_STATUS=MR","FA_ADJUSTED=Adjusted","Sort=A","Dates=H","DateFormat=P","Fill=—","Direction=H","UseDPDF=Y")</f>
        <v>-4.1502999999999997</v>
      </c>
      <c r="Y62" s="14">
        <f>_xll.BDH("ALNY US Equity","EBITDA_MARGIN","FQ4 2024","FQ4 2024","Currency=USD","Period=FQ","BEST_FPERIOD_OVERRIDE=FQ","FILING_STATUS=MR","FA_ADJUSTED=Adjusted","Sort=A","Dates=H","DateFormat=P","Fill=—","Direction=H","UseDPDF=Y")</f>
        <v>-3.8029999999999999</v>
      </c>
      <c r="Z62" s="14">
        <v>1.6282458841610901</v>
      </c>
      <c r="AA62" s="14">
        <v>15.8805500599487</v>
      </c>
    </row>
    <row r="63" spans="1:27" x14ac:dyDescent="0.25">
      <c r="A63" s="10" t="s">
        <v>379</v>
      </c>
      <c r="B63" s="10" t="s">
        <v>379</v>
      </c>
      <c r="C63" s="13" t="str">
        <f>_xll.BDH("ALNY US Equity","EBITA","FQ2 2019","FQ2 2019","Currency=USD","Period=FQ","BEST_FPERIOD_OVERRIDE=FQ","FILING_STATUS=MR","SCALING_FORMAT=MLN","FA_ADJUSTED=Adjusted","Sort=A","Dates=H","DateFormat=P","Fill=—","Direction=H","UseDPDF=Y")</f>
        <v>—</v>
      </c>
      <c r="D63" s="13" t="str">
        <f>_xll.BDH("ALNY US Equity","EBITA","FQ3 2019","FQ3 2019","Currency=USD","Period=FQ","BEST_FPERIOD_OVERRIDE=FQ","FILING_STATUS=MR","SCALING_FORMAT=MLN","FA_ADJUSTED=Adjusted","Sort=A","Dates=H","DateFormat=P","Fill=—","Direction=H","UseDPDF=Y")</f>
        <v>—</v>
      </c>
      <c r="E63" s="13" t="str">
        <f>_xll.BDH("ALNY US Equity","EBITA","FQ4 2019","FQ4 2019","Currency=USD","Period=FQ","BEST_FPERIOD_OVERRIDE=FQ","FILING_STATUS=MR","SCALING_FORMAT=MLN","FA_ADJUSTED=Adjusted","Sort=A","Dates=H","DateFormat=P","Fill=—","Direction=H","UseDPDF=Y")</f>
        <v>—</v>
      </c>
      <c r="F63" s="13" t="str">
        <f>_xll.BDH("ALNY US Equity","EBITA","FQ1 2020","FQ1 2020","Currency=USD","Period=FQ","BEST_FPERIOD_OVERRIDE=FQ","FILING_STATUS=MR","SCALING_FORMAT=MLN","FA_ADJUSTED=Adjusted","Sort=A","Dates=H","DateFormat=P","Fill=—","Direction=H","UseDPDF=Y")</f>
        <v>—</v>
      </c>
      <c r="G63" s="13" t="str">
        <f>_xll.BDH("ALNY US Equity","EBITA","FQ2 2020","FQ2 2020","Currency=USD","Period=FQ","BEST_FPERIOD_OVERRIDE=FQ","FILING_STATUS=MR","SCALING_FORMAT=MLN","FA_ADJUSTED=Adjusted","Sort=A","Dates=H","DateFormat=P","Fill=—","Direction=H","UseDPDF=Y")</f>
        <v>—</v>
      </c>
      <c r="H63" s="13" t="str">
        <f>_xll.BDH("ALNY US Equity","EBITA","FQ3 2020","FQ3 2020","Currency=USD","Period=FQ","BEST_FPERIOD_OVERRIDE=FQ","FILING_STATUS=MR","SCALING_FORMAT=MLN","FA_ADJUSTED=Adjusted","Sort=A","Dates=H","DateFormat=P","Fill=—","Direction=H","UseDPDF=Y")</f>
        <v>—</v>
      </c>
      <c r="I63" s="13" t="str">
        <f>_xll.BDH("ALNY US Equity","EBITA","FQ4 2020","FQ4 2020","Currency=USD","Period=FQ","BEST_FPERIOD_OVERRIDE=FQ","FILING_STATUS=MR","SCALING_FORMAT=MLN","FA_ADJUSTED=Adjusted","Sort=A","Dates=H","DateFormat=P","Fill=—","Direction=H","UseDPDF=Y")</f>
        <v>—</v>
      </c>
      <c r="J63" s="13" t="str">
        <f>_xll.BDH("ALNY US Equity","EBITA","FQ1 2021","FQ1 2021","Currency=USD","Period=FQ","BEST_FPERIOD_OVERRIDE=FQ","FILING_STATUS=MR","SCALING_FORMAT=MLN","FA_ADJUSTED=Adjusted","Sort=A","Dates=H","DateFormat=P","Fill=—","Direction=H","UseDPDF=Y")</f>
        <v>—</v>
      </c>
      <c r="K63" s="13" t="str">
        <f>_xll.BDH("ALNY US Equity","EBITA","FQ2 2021","FQ2 2021","Currency=USD","Period=FQ","BEST_FPERIOD_OVERRIDE=FQ","FILING_STATUS=MR","SCALING_FORMAT=MLN","FA_ADJUSTED=Adjusted","Sort=A","Dates=H","DateFormat=P","Fill=—","Direction=H","UseDPDF=Y")</f>
        <v>—</v>
      </c>
      <c r="L63" s="13" t="str">
        <f>_xll.BDH("ALNY US Equity","EBITA","FQ3 2021","FQ3 2021","Currency=USD","Period=FQ","BEST_FPERIOD_OVERRIDE=FQ","FILING_STATUS=MR","SCALING_FORMAT=MLN","FA_ADJUSTED=Adjusted","Sort=A","Dates=H","DateFormat=P","Fill=—","Direction=H","UseDPDF=Y")</f>
        <v>—</v>
      </c>
      <c r="M63" s="13" t="str">
        <f>_xll.BDH("ALNY US Equity","EBITA","FQ4 2021","FQ4 2021","Currency=USD","Period=FQ","BEST_FPERIOD_OVERRIDE=FQ","FILING_STATUS=MR","SCALING_FORMAT=MLN","FA_ADJUSTED=Adjusted","Sort=A","Dates=H","DateFormat=P","Fill=—","Direction=H","UseDPDF=Y")</f>
        <v>—</v>
      </c>
      <c r="N63" s="13" t="str">
        <f>_xll.BDH("ALNY US Equity","EBITA","FQ1 2022","FQ1 2022","Currency=USD","Period=FQ","BEST_FPERIOD_OVERRIDE=FQ","FILING_STATUS=MR","SCALING_FORMAT=MLN","FA_ADJUSTED=Adjusted","Sort=A","Dates=H","DateFormat=P","Fill=—","Direction=H","UseDPDF=Y")</f>
        <v>—</v>
      </c>
      <c r="O63" s="13" t="str">
        <f>_xll.BDH("ALNY US Equity","EBITA","FQ2 2022","FQ2 2022","Currency=USD","Period=FQ","BEST_FPERIOD_OVERRIDE=FQ","FILING_STATUS=MR","SCALING_FORMAT=MLN","FA_ADJUSTED=Adjusted","Sort=A","Dates=H","DateFormat=P","Fill=—","Direction=H","UseDPDF=Y")</f>
        <v>—</v>
      </c>
      <c r="P63" s="13" t="str">
        <f>_xll.BDH("ALNY US Equity","EBITA","FQ3 2022","FQ3 2022","Currency=USD","Period=FQ","BEST_FPERIOD_OVERRIDE=FQ","FILING_STATUS=MR","SCALING_FORMAT=MLN","FA_ADJUSTED=Adjusted","Sort=A","Dates=H","DateFormat=P","Fill=—","Direction=H","UseDPDF=Y")</f>
        <v>—</v>
      </c>
      <c r="Q63" s="13" t="str">
        <f>_xll.BDH("ALNY US Equity","EBITA","FQ4 2022","FQ4 2022","Currency=USD","Period=FQ","BEST_FPERIOD_OVERRIDE=FQ","FILING_STATUS=MR","SCALING_FORMAT=MLN","FA_ADJUSTED=Adjusted","Sort=A","Dates=H","DateFormat=P","Fill=—","Direction=H","UseDPDF=Y")</f>
        <v>—</v>
      </c>
      <c r="R63" s="13" t="str">
        <f>_xll.BDH("ALNY US Equity","EBITA","FQ1 2023","FQ1 2023","Currency=USD","Period=FQ","BEST_FPERIOD_OVERRIDE=FQ","FILING_STATUS=MR","SCALING_FORMAT=MLN","FA_ADJUSTED=Adjusted","Sort=A","Dates=H","DateFormat=P","Fill=—","Direction=H","UseDPDF=Y")</f>
        <v>—</v>
      </c>
      <c r="S63" s="13">
        <f>_xll.BDH("ALNY US Equity","EBITA","FQ2 2023","FQ2 2023","Currency=USD","Period=FQ","BEST_FPERIOD_OVERRIDE=FQ","FILING_STATUS=MR","SCALING_FORMAT=MLN","FA_ADJUSTED=Adjusted","Sort=A","Dates=H","DateFormat=P","Fill=—","Direction=H","UseDPDF=Y")</f>
        <v>-219.56299999999999</v>
      </c>
      <c r="T63" s="13">
        <f>_xll.BDH("ALNY US Equity","EBITA","FQ3 2023","FQ3 2023","Currency=USD","Period=FQ","BEST_FPERIOD_OVERRIDE=FQ","FILING_STATUS=MR","SCALING_FORMAT=MLN","FA_ADJUSTED=Adjusted","Sort=A","Dates=H","DateFormat=P","Fill=—","Direction=H","UseDPDF=Y")</f>
        <v>224.071</v>
      </c>
      <c r="U63" s="13" t="str">
        <f>_xll.BDH("ALNY US Equity","EBITA","FQ4 2023","FQ4 2023","Currency=USD","Period=FQ","BEST_FPERIOD_OVERRIDE=FQ","FILING_STATUS=MR","SCALING_FORMAT=MLN","FA_ADJUSTED=Adjusted","Sort=A","Dates=H","DateFormat=P","Fill=—","Direction=H","UseDPDF=Y")</f>
        <v>—</v>
      </c>
      <c r="V63" s="13" t="str">
        <f>_xll.BDH("ALNY US Equity","EBITA","FQ1 2024","FQ1 2024","Currency=USD","Period=FQ","BEST_FPERIOD_OVERRIDE=FQ","FILING_STATUS=MR","SCALING_FORMAT=MLN","FA_ADJUSTED=Adjusted","Sort=A","Dates=H","DateFormat=P","Fill=—","Direction=H","UseDPDF=Y")</f>
        <v>—</v>
      </c>
      <c r="W63" s="13">
        <f>_xll.BDH("ALNY US Equity","EBITA","FQ2 2024","FQ2 2024","Currency=USD","Period=FQ","BEST_FPERIOD_OVERRIDE=FQ","FILING_STATUS=MR","SCALING_FORMAT=MLN","FA_ADJUSTED=Adjusted","Sort=A","Dates=H","DateFormat=P","Fill=—","Direction=H","UseDPDF=Y")</f>
        <v>58.302999999999997</v>
      </c>
      <c r="X63" s="13">
        <f>_xll.BDH("ALNY US Equity","EBITA","FQ3 2024","FQ3 2024","Currency=USD","Period=FQ","BEST_FPERIOD_OVERRIDE=FQ","FILING_STATUS=MR","SCALING_FORMAT=MLN","FA_ADJUSTED=Adjusted","Sort=A","Dates=H","DateFormat=P","Fill=—","Direction=H","UseDPDF=Y")</f>
        <v>-63.848999999999997</v>
      </c>
      <c r="Y63" s="13">
        <f>_xll.BDH("ALNY US Equity","EBITA","FQ4 2024","FQ4 2024","Currency=USD","Period=FQ","BEST_FPERIOD_OVERRIDE=FQ","FILING_STATUS=MR","SCALING_FORMAT=MLN","FA_ADJUSTED=Adjusted","Sort=A","Dates=H","DateFormat=P","Fill=—","Direction=H","UseDPDF=Y")</f>
        <v>-105.15900000000001</v>
      </c>
      <c r="Z63" s="13"/>
      <c r="AA63" s="13"/>
    </row>
    <row r="64" spans="1:27" x14ac:dyDescent="0.25">
      <c r="A64" s="10" t="s">
        <v>142</v>
      </c>
      <c r="B64" s="10" t="s">
        <v>142</v>
      </c>
      <c r="C64" s="13">
        <f>_xll.BDH("ALNY US Equity","EBIT","FQ2 2019","FQ2 2019","Currency=USD","Period=FQ","BEST_FPERIOD_OVERRIDE=FQ","FILING_STATUS=MR","SCALING_FORMAT=MLN","FA_ADJUSTED=Adjusted","Sort=A","Dates=H","DateFormat=P","Fill=—","Direction=H","UseDPDF=Y")</f>
        <v>-236.27099999999999</v>
      </c>
      <c r="D64" s="13">
        <f>_xll.BDH("ALNY US Equity","EBIT","FQ3 2019","FQ3 2019","Currency=USD","Period=FQ","BEST_FPERIOD_OVERRIDE=FQ","FILING_STATUS=MR","SCALING_FORMAT=MLN","FA_ADJUSTED=Adjusted","Sort=A","Dates=H","DateFormat=P","Fill=—","Direction=H","UseDPDF=Y")</f>
        <v>-216.29900000000001</v>
      </c>
      <c r="E64" s="13">
        <f>_xll.BDH("ALNY US Equity","EBIT","FQ4 2019","FQ4 2019","Currency=USD","Period=FQ","BEST_FPERIOD_OVERRIDE=FQ","FILING_STATUS=MR","SCALING_FORMAT=MLN","FA_ADJUSTED=Adjusted","Sort=A","Dates=H","DateFormat=P","Fill=—","Direction=H","UseDPDF=Y")</f>
        <v>-298.07299999999998</v>
      </c>
      <c r="F64" s="13">
        <f>_xll.BDH("ALNY US Equity","EBIT","FQ1 2020","FQ1 2020","Currency=USD","Period=FQ","BEST_FPERIOD_OVERRIDE=FQ","FILING_STATUS=MR","SCALING_FORMAT=MLN","FA_ADJUSTED=Adjusted","Sort=A","Dates=H","DateFormat=P","Fill=—","Direction=H","UseDPDF=Y")</f>
        <v>-210.15799999999999</v>
      </c>
      <c r="G64" s="13">
        <f>_xll.BDH("ALNY US Equity","EBIT","FQ2 2020","FQ2 2020","Currency=USD","Period=FQ","BEST_FPERIOD_OVERRIDE=FQ","FILING_STATUS=MR","SCALING_FORMAT=MLN","FA_ADJUSTED=Adjusted","Sort=A","Dates=H","DateFormat=P","Fill=—","Direction=H","UseDPDF=Y")</f>
        <v>-199.67169999999999</v>
      </c>
      <c r="H64" s="13">
        <f>_xll.BDH("ALNY US Equity","EBIT","FQ3 2020","FQ3 2020","Currency=USD","Period=FQ","BEST_FPERIOD_OVERRIDE=FQ","FILING_STATUS=MR","SCALING_FORMAT=MLN","FA_ADJUSTED=Adjusted","Sort=A","Dates=H","DateFormat=P","Fill=—","Direction=H","UseDPDF=Y")</f>
        <v>-195.786</v>
      </c>
      <c r="I64" s="13">
        <f>_xll.BDH("ALNY US Equity","EBIT","FQ4 2020","FQ4 2020","Currency=USD","Period=FQ","BEST_FPERIOD_OVERRIDE=FQ","FILING_STATUS=MR","SCALING_FORMAT=MLN","FA_ADJUSTED=Adjusted","Sort=A","Dates=H","DateFormat=P","Fill=—","Direction=H","UseDPDF=Y")</f>
        <v>-184.006</v>
      </c>
      <c r="J64" s="13">
        <f>_xll.BDH("ALNY US Equity","EBIT","FQ1 2021","FQ1 2021","Currency=USD","Period=FQ","BEST_FPERIOD_OVERRIDE=FQ","FILING_STATUS=MR","SCALING_FORMAT=MLN","FA_ADJUSTED=Adjusted","Sort=A","Dates=H","DateFormat=P","Fill=—","Direction=H","UseDPDF=Y")</f>
        <v>-186.25399999999999</v>
      </c>
      <c r="K64" s="13">
        <f>_xll.BDH("ALNY US Equity","EBIT","FQ2 2021","FQ2 2021","Currency=USD","Period=FQ","BEST_FPERIOD_OVERRIDE=FQ","FILING_STATUS=MR","SCALING_FORMAT=MLN","FA_ADJUSTED=Adjusted","Sort=A","Dates=H","DateFormat=P","Fill=—","Direction=H","UseDPDF=Y")</f>
        <v>-146.16</v>
      </c>
      <c r="L64" s="13">
        <f>_xll.BDH("ALNY US Equity","EBIT","FQ3 2021","FQ3 2021","Currency=USD","Period=FQ","BEST_FPERIOD_OVERRIDE=FQ","FILING_STATUS=MR","SCALING_FORMAT=MLN","FA_ADJUSTED=Adjusted","Sort=A","Dates=H","DateFormat=P","Fill=—","Direction=H","UseDPDF=Y")</f>
        <v>-171.67699999999999</v>
      </c>
      <c r="M64" s="13">
        <f>_xll.BDH("ALNY US Equity","EBIT","FQ4 2021","FQ4 2021","Currency=USD","Period=FQ","BEST_FPERIOD_OVERRIDE=FQ","FILING_STATUS=MR","SCALING_FORMAT=MLN","FA_ADJUSTED=Adjusted","Sort=A","Dates=H","DateFormat=P","Fill=—","Direction=H","UseDPDF=Y")</f>
        <v>-194.56100000000001</v>
      </c>
      <c r="N64" s="13">
        <f>_xll.BDH("ALNY US Equity","EBIT","FQ1 2022","FQ1 2022","Currency=USD","Period=FQ","BEST_FPERIOD_OVERRIDE=FQ","FILING_STATUS=MR","SCALING_FORMAT=MLN","FA_ADJUSTED=Adjusted","Sort=A","Dates=H","DateFormat=P","Fill=—","Direction=H","UseDPDF=Y")</f>
        <v>-146.732</v>
      </c>
      <c r="O64" s="13">
        <f>_xll.BDH("ALNY US Equity","EBIT","FQ2 2022","FQ2 2022","Currency=USD","Period=FQ","BEST_FPERIOD_OVERRIDE=FQ","FILING_STATUS=MR","SCALING_FORMAT=MLN","FA_ADJUSTED=Adjusted","Sort=A","Dates=H","DateFormat=P","Fill=—","Direction=H","UseDPDF=Y")</f>
        <v>-191.68600000000001</v>
      </c>
      <c r="P64" s="13">
        <f>_xll.BDH("ALNY US Equity","EBIT","FQ3 2022","FQ3 2022","Currency=USD","Period=FQ","BEST_FPERIOD_OVERRIDE=FQ","FILING_STATUS=MR","SCALING_FORMAT=MLN","FA_ADJUSTED=Adjusted","Sort=A","Dates=H","DateFormat=P","Fill=—","Direction=H","UseDPDF=Y")</f>
        <v>-258.04000000000002</v>
      </c>
      <c r="Q64" s="13">
        <f>_xll.BDH("ALNY US Equity","EBIT","FQ4 2022","FQ4 2022","Currency=USD","Period=FQ","BEST_FPERIOD_OVERRIDE=FQ","FILING_STATUS=MR","SCALING_FORMAT=MLN","FA_ADJUSTED=Adjusted","Sort=A","Dates=H","DateFormat=P","Fill=—","Direction=H","UseDPDF=Y")</f>
        <v>-188.614</v>
      </c>
      <c r="R64" s="13">
        <f>_xll.BDH("ALNY US Equity","EBIT","FQ1 2023","FQ1 2023","Currency=USD","Period=FQ","BEST_FPERIOD_OVERRIDE=FQ","FILING_STATUS=MR","SCALING_FORMAT=MLN","FA_ADJUSTED=Adjusted","Sort=A","Dates=H","DateFormat=P","Fill=—","Direction=H","UseDPDF=Y")</f>
        <v>-149.80699999999999</v>
      </c>
      <c r="S64" s="13">
        <f>_xll.BDH("ALNY US Equity","EBIT","FQ2 2023","FQ2 2023","Currency=USD","Period=FQ","BEST_FPERIOD_OVERRIDE=FQ","FILING_STATUS=MR","SCALING_FORMAT=MLN","FA_ADJUSTED=Adjusted","Sort=A","Dates=H","DateFormat=P","Fill=—","Direction=H","UseDPDF=Y")</f>
        <v>-229.83099999999999</v>
      </c>
      <c r="T64" s="13">
        <f>_xll.BDH("ALNY US Equity","EBIT","FQ3 2023","FQ3 2023","Currency=USD","Period=FQ","BEST_FPERIOD_OVERRIDE=FQ","FILING_STATUS=MR","SCALING_FORMAT=MLN","FA_ADJUSTED=Adjusted","Sort=A","Dates=H","DateFormat=P","Fill=—","Direction=H","UseDPDF=Y")</f>
        <v>213.86699999999999</v>
      </c>
      <c r="U64" s="13">
        <f>_xll.BDH("ALNY US Equity","EBIT","FQ4 2023","FQ4 2023","Currency=USD","Period=FQ","BEST_FPERIOD_OVERRIDE=FQ","FILING_STATUS=MR","SCALING_FORMAT=MLN","FA_ADJUSTED=Adjusted","Sort=A","Dates=H","DateFormat=P","Fill=—","Direction=H","UseDPDF=Y")</f>
        <v>-116.404</v>
      </c>
      <c r="V64" s="13">
        <f>_xll.BDH("ALNY US Equity","EBIT","FQ1 2024","FQ1 2024","Currency=USD","Period=FQ","BEST_FPERIOD_OVERRIDE=FQ","FILING_STATUS=MR","SCALING_FORMAT=MLN","FA_ADJUSTED=Adjusted","Sort=A","Dates=H","DateFormat=P","Fill=—","Direction=H","UseDPDF=Y")</f>
        <v>-43.435000000000002</v>
      </c>
      <c r="W64" s="13">
        <f>_xll.BDH("ALNY US Equity","EBIT","FQ2 2024","FQ2 2024","Currency=USD","Period=FQ","BEST_FPERIOD_OVERRIDE=FQ","FILING_STATUS=MR","SCALING_FORMAT=MLN","FA_ADJUSTED=Adjusted","Sort=A","Dates=H","DateFormat=P","Fill=—","Direction=H","UseDPDF=Y")</f>
        <v>48.613999999999997</v>
      </c>
      <c r="X64" s="13">
        <f>_xll.BDH("ALNY US Equity","EBIT","FQ3 2024","FQ3 2024","Currency=USD","Period=FQ","BEST_FPERIOD_OVERRIDE=FQ","FILING_STATUS=MR","SCALING_FORMAT=MLN","FA_ADJUSTED=Adjusted","Sort=A","Dates=H","DateFormat=P","Fill=—","Direction=H","UseDPDF=Y")</f>
        <v>-76.905000000000001</v>
      </c>
      <c r="Y64" s="13">
        <f>_xll.BDH("ALNY US Equity","EBIT","FQ4 2024","FQ4 2024","Currency=USD","Period=FQ","BEST_FPERIOD_OVERRIDE=FQ","FILING_STATUS=MR","SCALING_FORMAT=MLN","FA_ADJUSTED=Adjusted","Sort=A","Dates=H","DateFormat=P","Fill=—","Direction=H","UseDPDF=Y")</f>
        <v>-105.15900000000001</v>
      </c>
      <c r="Z64" s="13">
        <v>-77.468999999999994</v>
      </c>
      <c r="AA64" s="13">
        <v>-73.013000000000005</v>
      </c>
    </row>
    <row r="65" spans="1:27" x14ac:dyDescent="0.25">
      <c r="A65" s="10" t="s">
        <v>380</v>
      </c>
      <c r="B65" s="10" t="s">
        <v>153</v>
      </c>
      <c r="C65" s="14">
        <f>_xll.BDH("ALNY US Equity","GROSS_MARGIN","FQ2 2019","FQ2 2019","Currency=USD","Period=FQ","BEST_FPERIOD_OVERRIDE=FQ","FILING_STATUS=MR","FA_ADJUSTED=Adjusted","Sort=A","Dates=H","DateFormat=P","Fill=—","Direction=H","UseDPDF=Y")</f>
        <v>90.325199999999995</v>
      </c>
      <c r="D65" s="14">
        <f>_xll.BDH("ALNY US Equity","GROSS_MARGIN","FQ3 2019","FQ3 2019","Currency=USD","Period=FQ","BEST_FPERIOD_OVERRIDE=FQ","FILING_STATUS=MR","FA_ADJUSTED=Adjusted","Sort=A","Dates=H","DateFormat=P","Fill=—","Direction=H","UseDPDF=Y")</f>
        <v>92.559299999999993</v>
      </c>
      <c r="E65" s="14">
        <f>_xll.BDH("ALNY US Equity","GROSS_MARGIN","FQ4 2019","FQ4 2019","Currency=USD","Period=FQ","BEST_FPERIOD_OVERRIDE=FQ","FILING_STATUS=MR","FA_ADJUSTED=Adjusted","Sort=A","Dates=H","DateFormat=P","Fill=—","Direction=H","UseDPDF=Y")</f>
        <v>83.013599999999997</v>
      </c>
      <c r="F65" s="14">
        <f>_xll.BDH("ALNY US Equity","GROSS_MARGIN","FQ1 2020","FQ1 2020","Currency=USD","Period=FQ","BEST_FPERIOD_OVERRIDE=FQ","FILING_STATUS=MR","FA_ADJUSTED=Adjusted","Sort=A","Dates=H","DateFormat=P","Fill=—","Direction=H","UseDPDF=Y")</f>
        <v>86.627899999999997</v>
      </c>
      <c r="G65" s="14">
        <f>_xll.BDH("ALNY US Equity","GROSS_MARGIN","FQ2 2020","FQ2 2020","Currency=USD","Period=FQ","BEST_FPERIOD_OVERRIDE=FQ","FILING_STATUS=MR","FA_ADJUSTED=Adjusted","Sort=A","Dates=H","DateFormat=P","Fill=—","Direction=H","UseDPDF=Y")</f>
        <v>80.830500000000001</v>
      </c>
      <c r="H65" s="14">
        <f>_xll.BDH("ALNY US Equity","GROSS_MARGIN","FQ3 2020","FQ3 2020","Currency=USD","Period=FQ","BEST_FPERIOD_OVERRIDE=FQ","FILING_STATUS=MR","FA_ADJUSTED=Adjusted","Sort=A","Dates=H","DateFormat=P","Fill=—","Direction=H","UseDPDF=Y")</f>
        <v>82.680599999999998</v>
      </c>
      <c r="I65" s="14">
        <f>_xll.BDH("ALNY US Equity","GROSS_MARGIN","FQ4 2020","FQ4 2020","Currency=USD","Period=FQ","BEST_FPERIOD_OVERRIDE=FQ","FILING_STATUS=MR","FA_ADJUSTED=Adjusted","Sort=A","Dates=H","DateFormat=P","Fill=—","Direction=H","UseDPDF=Y")</f>
        <v>85.923400000000001</v>
      </c>
      <c r="J65" s="14">
        <f>_xll.BDH("ALNY US Equity","GROSS_MARGIN","FQ1 2021","FQ1 2021","Currency=USD","Period=FQ","BEST_FPERIOD_OVERRIDE=FQ","FILING_STATUS=MR","FA_ADJUSTED=Adjusted","Sort=A","Dates=H","DateFormat=P","Fill=—","Direction=H","UseDPDF=Y")</f>
        <v>82.506799999999998</v>
      </c>
      <c r="K65" s="14">
        <f>_xll.BDH("ALNY US Equity","GROSS_MARGIN","FQ2 2021","FQ2 2021","Currency=USD","Period=FQ","BEST_FPERIOD_OVERRIDE=FQ","FILING_STATUS=MR","FA_ADJUSTED=Adjusted","Sort=A","Dates=H","DateFormat=P","Fill=—","Direction=H","UseDPDF=Y")</f>
        <v>82.428299999999993</v>
      </c>
      <c r="L65" s="14">
        <f>_xll.BDH("ALNY US Equity","GROSS_MARGIN","FQ3 2021","FQ3 2021","Currency=USD","Period=FQ","BEST_FPERIOD_OVERRIDE=FQ","FILING_STATUS=MR","FA_ADJUSTED=Adjusted","Sort=A","Dates=H","DateFormat=P","Fill=—","Direction=H","UseDPDF=Y")</f>
        <v>82.592100000000002</v>
      </c>
      <c r="M65" s="14">
        <f>_xll.BDH("ALNY US Equity","GROSS_MARGIN","FQ4 2021","FQ4 2021","Currency=USD","Period=FQ","BEST_FPERIOD_OVERRIDE=FQ","FILING_STATUS=MR","FA_ADJUSTED=Adjusted","Sort=A","Dates=H","DateFormat=P","Fill=—","Direction=H","UseDPDF=Y")</f>
        <v>85.431799999999996</v>
      </c>
      <c r="N65" s="14">
        <f>_xll.BDH("ALNY US Equity","GROSS_MARGIN","FQ1 2022","FQ1 2022","Currency=USD","Period=FQ","BEST_FPERIOD_OVERRIDE=FQ","FILING_STATUS=MR","FA_ADJUSTED=Adjusted","Sort=A","Dates=H","DateFormat=P","Fill=—","Direction=H","UseDPDF=Y")</f>
        <v>83.293999999999997</v>
      </c>
      <c r="O65" s="14">
        <f>_xll.BDH("ALNY US Equity","GROSS_MARGIN","FQ2 2022","FQ2 2022","Currency=USD","Period=FQ","BEST_FPERIOD_OVERRIDE=FQ","FILING_STATUS=MR","FA_ADJUSTED=Adjusted","Sort=A","Dates=H","DateFormat=P","Fill=—","Direction=H","UseDPDF=Y")</f>
        <v>81.848399999999998</v>
      </c>
      <c r="P65" s="14">
        <f>_xll.BDH("ALNY US Equity","GROSS_MARGIN","FQ3 2022","FQ3 2022","Currency=USD","Period=FQ","BEST_FPERIOD_OVERRIDE=FQ","FILING_STATUS=MR","FA_ADJUSTED=Adjusted","Sort=A","Dates=H","DateFormat=P","Fill=—","Direction=H","UseDPDF=Y")</f>
        <v>84.443799999999996</v>
      </c>
      <c r="Q65" s="14">
        <f>_xll.BDH("ALNY US Equity","GROSS_MARGIN","FQ4 2022","FQ4 2022","Currency=USD","Period=FQ","BEST_FPERIOD_OVERRIDE=FQ","FILING_STATUS=MR","FA_ADJUSTED=Adjusted","Sort=A","Dates=H","DateFormat=P","Fill=—","Direction=H","UseDPDF=Y")</f>
        <v>84.698300000000003</v>
      </c>
      <c r="R65" s="14">
        <f>_xll.BDH("ALNY US Equity","GROSS_MARGIN","FQ1 2023","FQ1 2023","Currency=USD","Period=FQ","BEST_FPERIOD_OVERRIDE=FQ","FILING_STATUS=MR","FA_ADJUSTED=Adjusted","Sort=A","Dates=H","DateFormat=P","Fill=—","Direction=H","UseDPDF=Y")</f>
        <v>82.815299999999993</v>
      </c>
      <c r="S65" s="14">
        <f>_xll.BDH("ALNY US Equity","GROSS_MARGIN","FQ2 2023","FQ2 2023","Currency=USD","Period=FQ","BEST_FPERIOD_OVERRIDE=FQ","FILING_STATUS=MR","FA_ADJUSTED=Adjusted","Sort=A","Dates=H","DateFormat=P","Fill=—","Direction=H","UseDPDF=Y")</f>
        <v>73.217600000000004</v>
      </c>
      <c r="T65" s="14">
        <f>_xll.BDH("ALNY US Equity","GROSS_MARGIN","FQ3 2023","FQ3 2023","Currency=USD","Period=FQ","BEST_FPERIOD_OVERRIDE=FQ","FILING_STATUS=MR","FA_ADJUSTED=Adjusted","Sort=A","Dates=H","DateFormat=P","Fill=—","Direction=H","UseDPDF=Y")</f>
        <v>88.7667</v>
      </c>
      <c r="U65" s="14">
        <f>_xll.BDH("ALNY US Equity","GROSS_MARGIN","FQ4 2023","FQ4 2023","Currency=USD","Period=FQ","BEST_FPERIOD_OVERRIDE=FQ","FILING_STATUS=MR","FA_ADJUSTED=Adjusted","Sort=A","Dates=H","DateFormat=P","Fill=—","Direction=H","UseDPDF=Y")</f>
        <v>80.474299999999999</v>
      </c>
      <c r="V65" s="14">
        <f>_xll.BDH("ALNY US Equity","GROSS_MARGIN","FQ1 2024","FQ1 2024","Currency=USD","Period=FQ","BEST_FPERIOD_OVERRIDE=FQ","FILING_STATUS=MR","FA_ADJUSTED=Adjusted","Sort=A","Dates=H","DateFormat=P","Fill=—","Direction=H","UseDPDF=Y")</f>
        <v>86.653499999999994</v>
      </c>
      <c r="W65" s="14">
        <f>_xll.BDH("ALNY US Equity","GROSS_MARGIN","FQ2 2024","FQ2 2024","Currency=USD","Period=FQ","BEST_FPERIOD_OVERRIDE=FQ","FILING_STATUS=MR","FA_ADJUSTED=Adjusted","Sort=A","Dates=H","DateFormat=P","Fill=—","Direction=H","UseDPDF=Y")</f>
        <v>89.592399999999998</v>
      </c>
      <c r="X65" s="14">
        <f>_xll.BDH("ALNY US Equity","GROSS_MARGIN","FQ3 2024","FQ3 2024","Currency=USD","Period=FQ","BEST_FPERIOD_OVERRIDE=FQ","FILING_STATUS=MR","FA_ADJUSTED=Adjusted","Sort=A","Dates=H","DateFormat=P","Fill=—","Direction=H","UseDPDF=Y")</f>
        <v>82.850499999999997</v>
      </c>
      <c r="Y65" s="14">
        <f>_xll.BDH("ALNY US Equity","GROSS_MARGIN","FQ4 2024","FQ4 2024","Currency=USD","Period=FQ","BEST_FPERIOD_OVERRIDE=FQ","FILING_STATUS=MR","FA_ADJUSTED=Adjusted","Sort=A","Dates=H","DateFormat=P","Fill=—","Direction=H","UseDPDF=Y")</f>
        <v>82.666399999999996</v>
      </c>
      <c r="Z65" s="14">
        <v>81.519000000000005</v>
      </c>
      <c r="AA65" s="14">
        <v>81.162000000000006</v>
      </c>
    </row>
    <row r="66" spans="1:27" x14ac:dyDescent="0.25">
      <c r="A66" s="10" t="s">
        <v>381</v>
      </c>
      <c r="B66" s="10" t="s">
        <v>382</v>
      </c>
      <c r="C66" s="14">
        <f>_xll.BDH("ALNY US Equity","OPER_MARGIN","FQ2 2019","FQ2 2019","Currency=USD","Period=FQ","BEST_FPERIOD_OVERRIDE=FQ","FILING_STATUS=MR","FA_ADJUSTED=Adjusted","Sort=A","Dates=H","DateFormat=P","Fill=—","Direction=H","UseDPDF=Y")</f>
        <v>-528.40499999999997</v>
      </c>
      <c r="D66" s="14">
        <f>_xll.BDH("ALNY US Equity","OPER_MARGIN","FQ3 2019","FQ3 2019","Currency=USD","Period=FQ","BEST_FPERIOD_OVERRIDE=FQ","FILING_STATUS=MR","FA_ADJUSTED=Adjusted","Sort=A","Dates=H","DateFormat=P","Fill=—","Direction=H","UseDPDF=Y")</f>
        <v>-308.72949999999997</v>
      </c>
      <c r="E66" s="14">
        <f>_xll.BDH("ALNY US Equity","OPER_MARGIN","FQ4 2019","FQ4 2019","Currency=USD","Period=FQ","BEST_FPERIOD_OVERRIDE=FQ","FILING_STATUS=MR","FA_ADJUSTED=Adjusted","Sort=A","Dates=H","DateFormat=P","Fill=—","Direction=H","UseDPDF=Y")</f>
        <v>-415.83260000000001</v>
      </c>
      <c r="F66" s="14">
        <f>_xll.BDH("ALNY US Equity","OPER_MARGIN","FQ1 2020","FQ1 2020","Currency=USD","Period=FQ","BEST_FPERIOD_OVERRIDE=FQ","FILING_STATUS=MR","FA_ADJUSTED=Adjusted","Sort=A","Dates=H","DateFormat=P","Fill=—","Direction=H","UseDPDF=Y")</f>
        <v>-211.26499999999999</v>
      </c>
      <c r="G66" s="14">
        <f>_xll.BDH("ALNY US Equity","OPER_MARGIN","FQ2 2020","FQ2 2020","Currency=USD","Period=FQ","BEST_FPERIOD_OVERRIDE=FQ","FILING_STATUS=MR","FA_ADJUSTED=Adjusted","Sort=A","Dates=H","DateFormat=P","Fill=—","Direction=H","UseDPDF=Y")</f>
        <v>-192.06219999999999</v>
      </c>
      <c r="H66" s="14">
        <f>_xll.BDH("ALNY US Equity","OPER_MARGIN","FQ3 2020","FQ3 2020","Currency=USD","Period=FQ","BEST_FPERIOD_OVERRIDE=FQ","FILING_STATUS=MR","FA_ADJUSTED=Adjusted","Sort=A","Dates=H","DateFormat=P","Fill=—","Direction=H","UseDPDF=Y")</f>
        <v>-155.56720000000001</v>
      </c>
      <c r="I66" s="14">
        <f>_xll.BDH("ALNY US Equity","OPER_MARGIN","FQ4 2020","FQ4 2020","Currency=USD","Period=FQ","BEST_FPERIOD_OVERRIDE=FQ","FILING_STATUS=MR","FA_ADJUSTED=Adjusted","Sort=A","Dates=H","DateFormat=P","Fill=—","Direction=H","UseDPDF=Y")</f>
        <v>-112.4992</v>
      </c>
      <c r="J66" s="14">
        <f>_xll.BDH("ALNY US Equity","OPER_MARGIN","FQ1 2021","FQ1 2021","Currency=USD","Period=FQ","BEST_FPERIOD_OVERRIDE=FQ","FILING_STATUS=MR","FA_ADJUSTED=Adjusted","Sort=A","Dates=H","DateFormat=P","Fill=—","Direction=H","UseDPDF=Y")</f>
        <v>-104.89279999999999</v>
      </c>
      <c r="K66" s="14">
        <f>_xll.BDH("ALNY US Equity","OPER_MARGIN","FQ2 2021","FQ2 2021","Currency=USD","Period=FQ","BEST_FPERIOD_OVERRIDE=FQ","FILING_STATUS=MR","FA_ADJUSTED=Adjusted","Sort=A","Dates=H","DateFormat=P","Fill=—","Direction=H","UseDPDF=Y")</f>
        <v>-66.269800000000004</v>
      </c>
      <c r="L66" s="14">
        <f>_xll.BDH("ALNY US Equity","OPER_MARGIN","FQ3 2021","FQ3 2021","Currency=USD","Period=FQ","BEST_FPERIOD_OVERRIDE=FQ","FILING_STATUS=MR","FA_ADJUSTED=Adjusted","Sort=A","Dates=H","DateFormat=P","Fill=—","Direction=H","UseDPDF=Y")</f>
        <v>-91.496200000000002</v>
      </c>
      <c r="M66" s="14">
        <f>_xll.BDH("ALNY US Equity","OPER_MARGIN","FQ4 2021","FQ4 2021","Currency=USD","Period=FQ","BEST_FPERIOD_OVERRIDE=FQ","FILING_STATUS=MR","FA_ADJUSTED=Adjusted","Sort=A","Dates=H","DateFormat=P","Fill=—","Direction=H","UseDPDF=Y")</f>
        <v>-75.255200000000002</v>
      </c>
      <c r="N66" s="14">
        <f>_xll.BDH("ALNY US Equity","OPER_MARGIN","FQ1 2022","FQ1 2022","Currency=USD","Period=FQ","BEST_FPERIOD_OVERRIDE=FQ","FILING_STATUS=MR","FA_ADJUSTED=Adjusted","Sort=A","Dates=H","DateFormat=P","Fill=—","Direction=H","UseDPDF=Y")</f>
        <v>-68.804599999999994</v>
      </c>
      <c r="O66" s="14">
        <f>_xll.BDH("ALNY US Equity","OPER_MARGIN","FQ2 2022","FQ2 2022","Currency=USD","Period=FQ","BEST_FPERIOD_OVERRIDE=FQ","FILING_STATUS=MR","FA_ADJUSTED=Adjusted","Sort=A","Dates=H","DateFormat=P","Fill=—","Direction=H","UseDPDF=Y")</f>
        <v>-85.262699999999995</v>
      </c>
      <c r="P66" s="14">
        <f>_xll.BDH("ALNY US Equity","OPER_MARGIN","FQ3 2022","FQ3 2022","Currency=USD","Period=FQ","BEST_FPERIOD_OVERRIDE=FQ","FILING_STATUS=MR","FA_ADJUSTED=Adjusted","Sort=A","Dates=H","DateFormat=P","Fill=—","Direction=H","UseDPDF=Y")</f>
        <v>-97.629300000000001</v>
      </c>
      <c r="Q66" s="14">
        <f>_xll.BDH("ALNY US Equity","OPER_MARGIN","FQ4 2022","FQ4 2022","Currency=USD","Period=FQ","BEST_FPERIOD_OVERRIDE=FQ","FILING_STATUS=MR","FA_ADJUSTED=Adjusted","Sort=A","Dates=H","DateFormat=P","Fill=—","Direction=H","UseDPDF=Y")</f>
        <v>-56.296799999999998</v>
      </c>
      <c r="R66" s="14">
        <f>_xll.BDH("ALNY US Equity","OPER_MARGIN","FQ1 2023","FQ1 2023","Currency=USD","Period=FQ","BEST_FPERIOD_OVERRIDE=FQ","FILING_STATUS=MR","FA_ADJUSTED=Adjusted","Sort=A","Dates=H","DateFormat=P","Fill=—","Direction=H","UseDPDF=Y")</f>
        <v>-46.918799999999997</v>
      </c>
      <c r="S66" s="14">
        <f>_xll.BDH("ALNY US Equity","OPER_MARGIN","FQ2 2023","FQ2 2023","Currency=USD","Period=FQ","BEST_FPERIOD_OVERRIDE=FQ","FILING_STATUS=MR","FA_ADJUSTED=Adjusted","Sort=A","Dates=H","DateFormat=P","Fill=—","Direction=H","UseDPDF=Y")</f>
        <v>-72.102900000000005</v>
      </c>
      <c r="T66" s="14">
        <f>_xll.BDH("ALNY US Equity","OPER_MARGIN","FQ3 2023","FQ3 2023","Currency=USD","Period=FQ","BEST_FPERIOD_OVERRIDE=FQ","FILING_STATUS=MR","FA_ADJUSTED=Adjusted","Sort=A","Dates=H","DateFormat=P","Fill=—","Direction=H","UseDPDF=Y")</f>
        <v>28.4955</v>
      </c>
      <c r="U66" s="14">
        <f>_xll.BDH("ALNY US Equity","OPER_MARGIN","FQ4 2023","FQ4 2023","Currency=USD","Period=FQ","BEST_FPERIOD_OVERRIDE=FQ","FILING_STATUS=MR","FA_ADJUSTED=Adjusted","Sort=A","Dates=H","DateFormat=P","Fill=—","Direction=H","UseDPDF=Y")</f>
        <v>-26.4724</v>
      </c>
      <c r="V66" s="14">
        <f>_xll.BDH("ALNY US Equity","OPER_MARGIN","FQ1 2024","FQ1 2024","Currency=USD","Period=FQ","BEST_FPERIOD_OVERRIDE=FQ","FILING_STATUS=MR","FA_ADJUSTED=Adjusted","Sort=A","Dates=H","DateFormat=P","Fill=—","Direction=H","UseDPDF=Y")</f>
        <v>-8.7866</v>
      </c>
      <c r="W66" s="14">
        <f>_xll.BDH("ALNY US Equity","OPER_MARGIN","FQ2 2024","FQ2 2024","Currency=USD","Period=FQ","BEST_FPERIOD_OVERRIDE=FQ","FILING_STATUS=MR","FA_ADJUSTED=Adjusted","Sort=A","Dates=H","DateFormat=P","Fill=—","Direction=H","UseDPDF=Y")</f>
        <v>7.3677000000000001</v>
      </c>
      <c r="X66" s="14">
        <f>_xll.BDH("ALNY US Equity","OPER_MARGIN","FQ3 2024","FQ3 2024","Currency=USD","Period=FQ","BEST_FPERIOD_OVERRIDE=FQ","FILING_STATUS=MR","FA_ADJUSTED=Adjusted","Sort=A","Dates=H","DateFormat=P","Fill=—","Direction=H","UseDPDF=Y")</f>
        <v>-15.3528</v>
      </c>
      <c r="Y66" s="14">
        <f>_xll.BDH("ALNY US Equity","OPER_MARGIN","FQ4 2024","FQ4 2024","Currency=USD","Period=FQ","BEST_FPERIOD_OVERRIDE=FQ","FILING_STATUS=MR","FA_ADJUSTED=Adjusted","Sort=A","Dates=H","DateFormat=P","Fill=—","Direction=H","UseDPDF=Y")</f>
        <v>-17.728400000000001</v>
      </c>
      <c r="Z66" s="14">
        <v>-13.274490955169099</v>
      </c>
      <c r="AA66" s="14">
        <v>-11.556749364491999</v>
      </c>
    </row>
    <row r="67" spans="1:27" x14ac:dyDescent="0.25">
      <c r="A67" s="10" t="s">
        <v>383</v>
      </c>
      <c r="B67" s="10" t="s">
        <v>384</v>
      </c>
      <c r="C67" s="14">
        <f>_xll.BDH("ALNY US Equity","PROF_MARGIN","FQ2 2019","FQ2 2019","Currency=USD","Period=FQ","BEST_FPERIOD_OVERRIDE=FQ","FILING_STATUS=MR","FA_ADJUSTED=Adjusted","Sort=A","Dates=H","DateFormat=P","Fill=—","Direction=H","UseDPDF=Y")</f>
        <v>-511.92689999999999</v>
      </c>
      <c r="D67" s="14">
        <f>_xll.BDH("ALNY US Equity","PROF_MARGIN","FQ3 2019","FQ3 2019","Currency=USD","Period=FQ","BEST_FPERIOD_OVERRIDE=FQ","FILING_STATUS=MR","FA_ADJUSTED=Adjusted","Sort=A","Dates=H","DateFormat=P","Fill=—","Direction=H","UseDPDF=Y")</f>
        <v>-297.64780000000002</v>
      </c>
      <c r="E67" s="14">
        <f>_xll.BDH("ALNY US Equity","PROF_MARGIN","FQ4 2019","FQ4 2019","Currency=USD","Period=FQ","BEST_FPERIOD_OVERRIDE=FQ","FILING_STATUS=MR","FA_ADJUSTED=Adjusted","Sort=A","Dates=H","DateFormat=P","Fill=—","Direction=H","UseDPDF=Y")</f>
        <v>-401.01560000000001</v>
      </c>
      <c r="F67" s="14">
        <f>_xll.BDH("ALNY US Equity","PROF_MARGIN","FQ1 2020","FQ1 2020","Currency=USD","Period=FQ","BEST_FPERIOD_OVERRIDE=FQ","FILING_STATUS=MR","FA_ADJUSTED=Adjusted","Sort=A","Dates=H","DateFormat=P","Fill=—","Direction=H","UseDPDF=Y")</f>
        <v>-207.41890000000001</v>
      </c>
      <c r="G67" s="14">
        <f>_xll.BDH("ALNY US Equity","PROF_MARGIN","FQ2 2020","FQ2 2020","Currency=USD","Period=FQ","BEST_FPERIOD_OVERRIDE=FQ","FILING_STATUS=MR","FA_ADJUSTED=Adjusted","Sort=A","Dates=H","DateFormat=P","Fill=—","Direction=H","UseDPDF=Y")</f>
        <v>-216.5051</v>
      </c>
      <c r="H67" s="14">
        <f>_xll.BDH("ALNY US Equity","PROF_MARGIN","FQ3 2020","FQ3 2020","Currency=USD","Period=FQ","BEST_FPERIOD_OVERRIDE=FQ","FILING_STATUS=MR","FA_ADJUSTED=Adjusted","Sort=A","Dates=H","DateFormat=P","Fill=—","Direction=H","UseDPDF=Y")</f>
        <v>-175.49119999999999</v>
      </c>
      <c r="I67" s="14">
        <f>_xll.BDH("ALNY US Equity","PROF_MARGIN","FQ4 2020","FQ4 2020","Currency=USD","Period=FQ","BEST_FPERIOD_OVERRIDE=FQ","FILING_STATUS=MR","FA_ADJUSTED=Adjusted","Sort=A","Dates=H","DateFormat=P","Fill=—","Direction=H","UseDPDF=Y")</f>
        <v>-134.958</v>
      </c>
      <c r="J67" s="14">
        <f>_xll.BDH("ALNY US Equity","PROF_MARGIN","FQ1 2021","FQ1 2021","Currency=USD","Period=FQ","BEST_FPERIOD_OVERRIDE=FQ","FILING_STATUS=MR","FA_ADJUSTED=Adjusted","Sort=A","Dates=H","DateFormat=P","Fill=—","Direction=H","UseDPDF=Y")</f>
        <v>-139.27610000000001</v>
      </c>
      <c r="K67" s="14">
        <f>_xll.BDH("ALNY US Equity","PROF_MARGIN","FQ2 2021","FQ2 2021","Currency=USD","Period=FQ","BEST_FPERIOD_OVERRIDE=FQ","FILING_STATUS=MR","FA_ADJUSTED=Adjusted","Sort=A","Dates=H","DateFormat=P","Fill=—","Direction=H","UseDPDF=Y")</f>
        <v>-83.936700000000002</v>
      </c>
      <c r="L67" s="14">
        <f>_xll.BDH("ALNY US Equity","PROF_MARGIN","FQ3 2021","FQ3 2021","Currency=USD","Period=FQ","BEST_FPERIOD_OVERRIDE=FQ","FILING_STATUS=MR","FA_ADJUSTED=Adjusted","Sort=A","Dates=H","DateFormat=P","Fill=—","Direction=H","UseDPDF=Y")</f>
        <v>-113.62869999999999</v>
      </c>
      <c r="M67" s="14">
        <f>_xll.BDH("ALNY US Equity","PROF_MARGIN","FQ4 2021","FQ4 2021","Currency=USD","Period=FQ","BEST_FPERIOD_OVERRIDE=FQ","FILING_STATUS=MR","FA_ADJUSTED=Adjusted","Sort=A","Dates=H","DateFormat=P","Fill=—","Direction=H","UseDPDF=Y")</f>
        <v>-97.813400000000001</v>
      </c>
      <c r="N67" s="14">
        <f>_xll.BDH("ALNY US Equity","PROF_MARGIN","FQ1 2022","FQ1 2022","Currency=USD","Period=FQ","BEST_FPERIOD_OVERRIDE=FQ","FILING_STATUS=MR","FA_ADJUSTED=Adjusted","Sort=A","Dates=H","DateFormat=P","Fill=—","Direction=H","UseDPDF=Y")</f>
        <v>-98.087299999999999</v>
      </c>
      <c r="O67" s="14">
        <f>_xll.BDH("ALNY US Equity","PROF_MARGIN","FQ2 2022","FQ2 2022","Currency=USD","Period=FQ","BEST_FPERIOD_OVERRIDE=FQ","FILING_STATUS=MR","FA_ADJUSTED=Adjusted","Sort=A","Dates=H","DateFormat=P","Fill=—","Direction=H","UseDPDF=Y")</f>
        <v>-122.9016</v>
      </c>
      <c r="P67" s="14">
        <f>_xll.BDH("ALNY US Equity","PROF_MARGIN","FQ3 2022","FQ3 2022","Currency=USD","Period=FQ","BEST_FPERIOD_OVERRIDE=FQ","FILING_STATUS=MR","FA_ADJUSTED=Adjusted","Sort=A","Dates=H","DateFormat=P","Fill=—","Direction=H","UseDPDF=Y")</f>
        <v>-121.63330000000001</v>
      </c>
      <c r="Q67" s="14">
        <f>_xll.BDH("ALNY US Equity","PROF_MARGIN","FQ4 2022","FQ4 2022","Currency=USD","Period=FQ","BEST_FPERIOD_OVERRIDE=FQ","FILING_STATUS=MR","FA_ADJUSTED=Adjusted","Sort=A","Dates=H","DateFormat=P","Fill=—","Direction=H","UseDPDF=Y")</f>
        <v>-63.9602</v>
      </c>
      <c r="R67" s="14">
        <f>_xll.BDH("ALNY US Equity","PROF_MARGIN","FQ1 2023","FQ1 2023","Currency=USD","Period=FQ","BEST_FPERIOD_OVERRIDE=FQ","FILING_STATUS=MR","FA_ADJUSTED=Adjusted","Sort=A","Dates=H","DateFormat=P","Fill=—","Direction=H","UseDPDF=Y")</f>
        <v>-53.817500000000003</v>
      </c>
      <c r="S67" s="14">
        <f>_xll.BDH("ALNY US Equity","PROF_MARGIN","FQ2 2023","FQ2 2023","Currency=USD","Period=FQ","BEST_FPERIOD_OVERRIDE=FQ","FILING_STATUS=MR","FA_ADJUSTED=Adjusted","Sort=A","Dates=H","DateFormat=P","Fill=—","Direction=H","UseDPDF=Y")</f>
        <v>-87.033900000000003</v>
      </c>
      <c r="T67" s="14">
        <f>_xll.BDH("ALNY US Equity","PROF_MARGIN","FQ3 2023","FQ3 2023","Currency=USD","Period=FQ","BEST_FPERIOD_OVERRIDE=FQ","FILING_STATUS=MR","FA_ADJUSTED=Adjusted","Sort=A","Dates=H","DateFormat=P","Fill=—","Direction=H","UseDPDF=Y")</f>
        <v>21.930800000000001</v>
      </c>
      <c r="U67" s="14">
        <f>_xll.BDH("ALNY US Equity","PROF_MARGIN","FQ4 2023","FQ4 2023","Currency=USD","Period=FQ","BEST_FPERIOD_OVERRIDE=FQ","FILING_STATUS=MR","FA_ADJUSTED=Adjusted","Sort=A","Dates=H","DateFormat=P","Fill=—","Direction=H","UseDPDF=Y")</f>
        <v>-31.528600000000001</v>
      </c>
      <c r="V67" s="14">
        <f>_xll.BDH("ALNY US Equity","PROF_MARGIN","FQ1 2024","FQ1 2024","Currency=USD","Period=FQ","BEST_FPERIOD_OVERRIDE=FQ","FILING_STATUS=MR","FA_ADJUSTED=Adjusted","Sort=A","Dates=H","DateFormat=P","Fill=—","Direction=H","UseDPDF=Y")</f>
        <v>-13.353999999999999</v>
      </c>
      <c r="W67" s="14">
        <f>_xll.BDH("ALNY US Equity","PROF_MARGIN","FQ2 2024","FQ2 2024","Currency=USD","Period=FQ","BEST_FPERIOD_OVERRIDE=FQ","FILING_STATUS=MR","FA_ADJUSTED=Adjusted","Sort=A","Dates=H","DateFormat=P","Fill=—","Direction=H","UseDPDF=Y")</f>
        <v>-2.3523999999999998</v>
      </c>
      <c r="X67" s="14">
        <f>_xll.BDH("ALNY US Equity","PROF_MARGIN","FQ3 2024","FQ3 2024","Currency=USD","Period=FQ","BEST_FPERIOD_OVERRIDE=FQ","FILING_STATUS=MR","FA_ADJUSTED=Adjusted","Sort=A","Dates=H","DateFormat=P","Fill=—","Direction=H","UseDPDF=Y")</f>
        <v>-21.9602</v>
      </c>
      <c r="Y67" s="14">
        <f>_xll.BDH("ALNY US Equity","PROF_MARGIN","FQ4 2024","FQ4 2024","Currency=USD","Period=FQ","BEST_FPERIOD_OVERRIDE=FQ","FILING_STATUS=MR","FA_ADJUSTED=Adjusted","Sort=A","Dates=H","DateFormat=P","Fill=—","Direction=H","UseDPDF=Y")</f>
        <v>-14.093400000000001</v>
      </c>
      <c r="Z67" s="14">
        <v>-5.4430056563392597</v>
      </c>
      <c r="AA67" s="14">
        <v>-4.6168116015435796</v>
      </c>
    </row>
    <row r="68" spans="1:27" x14ac:dyDescent="0.25">
      <c r="A68" s="10" t="s">
        <v>385</v>
      </c>
      <c r="B68" s="10" t="s">
        <v>386</v>
      </c>
      <c r="C68" s="14" t="str">
        <f>_xll.BDH("ALNY US Equity","ACTUAL_SALES_PER_EMPL","FQ2 2019","FQ2 2019","Currency=USD","Period=FQ","BEST_FPERIOD_OVERRIDE=FQ","FILING_STATUS=MR","FA_ADJUSTED=Adjusted","Sort=A","Dates=H","DateFormat=P","Fill=—","Direction=H","UseDPDF=Y")</f>
        <v>—</v>
      </c>
      <c r="D68" s="14" t="str">
        <f>_xll.BDH("ALNY US Equity","ACTUAL_SALES_PER_EMPL","FQ3 2019","FQ3 2019","Currency=USD","Period=FQ","BEST_FPERIOD_OVERRIDE=FQ","FILING_STATUS=MR","FA_ADJUSTED=Adjusted","Sort=A","Dates=H","DateFormat=P","Fill=—","Direction=H","UseDPDF=Y")</f>
        <v>—</v>
      </c>
      <c r="E68" s="14">
        <f>_xll.BDH("ALNY US Equity","ACTUAL_SALES_PER_EMPL","FQ4 2019","FQ4 2019","Currency=USD","Period=FQ","BEST_FPERIOD_OVERRIDE=FQ","FILING_STATUS=MR","FA_ADJUSTED=Adjusted","Sort=A","Dates=H","DateFormat=P","Fill=—","Direction=H","UseDPDF=Y")</f>
        <v>54180.65</v>
      </c>
      <c r="F68" s="14" t="str">
        <f>_xll.BDH("ALNY US Equity","ACTUAL_SALES_PER_EMPL","FQ1 2020","FQ1 2020","Currency=USD","Period=FQ","BEST_FPERIOD_OVERRIDE=FQ","FILING_STATUS=MR","FA_ADJUSTED=Adjusted","Sort=A","Dates=H","DateFormat=P","Fill=—","Direction=H","UseDPDF=Y")</f>
        <v>—</v>
      </c>
      <c r="G68" s="14" t="str">
        <f>_xll.BDH("ALNY US Equity","ACTUAL_SALES_PER_EMPL","FQ2 2020","FQ2 2020","Currency=USD","Period=FQ","BEST_FPERIOD_OVERRIDE=FQ","FILING_STATUS=MR","FA_ADJUSTED=Adjusted","Sort=A","Dates=H","DateFormat=P","Fill=—","Direction=H","UseDPDF=Y")</f>
        <v>—</v>
      </c>
      <c r="H68" s="14" t="str">
        <f>_xll.BDH("ALNY US Equity","ACTUAL_SALES_PER_EMPL","FQ3 2020","FQ3 2020","Currency=USD","Period=FQ","BEST_FPERIOD_OVERRIDE=FQ","FILING_STATUS=MR","FA_ADJUSTED=Adjusted","Sort=A","Dates=H","DateFormat=P","Fill=—","Direction=H","UseDPDF=Y")</f>
        <v>—</v>
      </c>
      <c r="I68" s="14">
        <f>_xll.BDH("ALNY US Equity","ACTUAL_SALES_PER_EMPL","FQ4 2020","FQ4 2020","Currency=USD","Period=FQ","BEST_FPERIOD_OVERRIDE=FQ","FILING_STATUS=MR","FA_ADJUSTED=Adjusted","Sort=A","Dates=H","DateFormat=P","Fill=—","Direction=H","UseDPDF=Y")</f>
        <v>112568.47900000001</v>
      </c>
      <c r="J68" s="14" t="str">
        <f>_xll.BDH("ALNY US Equity","ACTUAL_SALES_PER_EMPL","FQ1 2021","FQ1 2021","Currency=USD","Period=FQ","BEST_FPERIOD_OVERRIDE=FQ","FILING_STATUS=MR","FA_ADJUSTED=Adjusted","Sort=A","Dates=H","DateFormat=P","Fill=—","Direction=H","UseDPDF=Y")</f>
        <v>—</v>
      </c>
      <c r="K68" s="14" t="str">
        <f>_xll.BDH("ALNY US Equity","ACTUAL_SALES_PER_EMPL","FQ2 2021","FQ2 2021","Currency=USD","Period=FQ","BEST_FPERIOD_OVERRIDE=FQ","FILING_STATUS=MR","FA_ADJUSTED=Adjusted","Sort=A","Dates=H","DateFormat=P","Fill=—","Direction=H","UseDPDF=Y")</f>
        <v>—</v>
      </c>
      <c r="L68" s="14" t="str">
        <f>_xll.BDH("ALNY US Equity","ACTUAL_SALES_PER_EMPL","FQ3 2021","FQ3 2021","Currency=USD","Period=FQ","BEST_FPERIOD_OVERRIDE=FQ","FILING_STATUS=MR","FA_ADJUSTED=Adjusted","Sort=A","Dates=H","DateFormat=P","Fill=—","Direction=H","UseDPDF=Y")</f>
        <v>—</v>
      </c>
      <c r="M68" s="14">
        <f>_xll.BDH("ALNY US Equity","ACTUAL_SALES_PER_EMPL","FQ4 2021","FQ4 2021","Currency=USD","Period=FQ","BEST_FPERIOD_OVERRIDE=FQ","FILING_STATUS=MR","FA_ADJUSTED=Adjusted","Sort=A","Dates=H","DateFormat=P","Fill=—","Direction=H","UseDPDF=Y")</f>
        <v>155276.2763</v>
      </c>
      <c r="N68" s="14" t="str">
        <f>_xll.BDH("ALNY US Equity","ACTUAL_SALES_PER_EMPL","FQ1 2022","FQ1 2022","Currency=USD","Period=FQ","BEST_FPERIOD_OVERRIDE=FQ","FILING_STATUS=MR","FA_ADJUSTED=Adjusted","Sort=A","Dates=H","DateFormat=P","Fill=—","Direction=H","UseDPDF=Y")</f>
        <v>—</v>
      </c>
      <c r="O68" s="14" t="str">
        <f>_xll.BDH("ALNY US Equity","ACTUAL_SALES_PER_EMPL","FQ2 2022","FQ2 2022","Currency=USD","Period=FQ","BEST_FPERIOD_OVERRIDE=FQ","FILING_STATUS=MR","FA_ADJUSTED=Adjusted","Sort=A","Dates=H","DateFormat=P","Fill=—","Direction=H","UseDPDF=Y")</f>
        <v>—</v>
      </c>
      <c r="P68" s="14" t="str">
        <f>_xll.BDH("ALNY US Equity","ACTUAL_SALES_PER_EMPL","FQ3 2022","FQ3 2022","Currency=USD","Period=FQ","BEST_FPERIOD_OVERRIDE=FQ","FILING_STATUS=MR","FA_ADJUSTED=Adjusted","Sort=A","Dates=H","DateFormat=P","Fill=—","Direction=H","UseDPDF=Y")</f>
        <v>—</v>
      </c>
      <c r="Q68" s="14">
        <f>_xll.BDH("ALNY US Equity","ACTUAL_SALES_PER_EMPL","FQ4 2022","FQ4 2022","Currency=USD","Period=FQ","BEST_FPERIOD_OVERRIDE=FQ","FILING_STATUS=MR","FA_ADJUSTED=Adjusted","Sort=A","Dates=H","DateFormat=P","Fill=—","Direction=H","UseDPDF=Y")</f>
        <v>167350.14989999999</v>
      </c>
      <c r="R68" s="14" t="str">
        <f>_xll.BDH("ALNY US Equity","ACTUAL_SALES_PER_EMPL","FQ1 2023","FQ1 2023","Currency=USD","Period=FQ","BEST_FPERIOD_OVERRIDE=FQ","FILING_STATUS=MR","FA_ADJUSTED=Adjusted","Sort=A","Dates=H","DateFormat=P","Fill=—","Direction=H","UseDPDF=Y")</f>
        <v>—</v>
      </c>
      <c r="S68" s="14" t="str">
        <f>_xll.BDH("ALNY US Equity","ACTUAL_SALES_PER_EMPL","FQ2 2023","FQ2 2023","Currency=USD","Period=FQ","BEST_FPERIOD_OVERRIDE=FQ","FILING_STATUS=MR","FA_ADJUSTED=Adjusted","Sort=A","Dates=H","DateFormat=P","Fill=—","Direction=H","UseDPDF=Y")</f>
        <v>—</v>
      </c>
      <c r="T68" s="14" t="str">
        <f>_xll.BDH("ALNY US Equity","ACTUAL_SALES_PER_EMPL","FQ3 2023","FQ3 2023","Currency=USD","Period=FQ","BEST_FPERIOD_OVERRIDE=FQ","FILING_STATUS=MR","FA_ADJUSTED=Adjusted","Sort=A","Dates=H","DateFormat=P","Fill=—","Direction=H","UseDPDF=Y")</f>
        <v>—</v>
      </c>
      <c r="U68" s="14">
        <f>_xll.BDH("ALNY US Equity","ACTUAL_SALES_PER_EMPL","FQ4 2023","FQ4 2023","Currency=USD","Period=FQ","BEST_FPERIOD_OVERRIDE=FQ","FILING_STATUS=MR","FA_ADJUSTED=Adjusted","Sort=A","Dates=H","DateFormat=P","Fill=—","Direction=H","UseDPDF=Y")</f>
        <v>209389.5238</v>
      </c>
      <c r="V68" s="14" t="str">
        <f>_xll.BDH("ALNY US Equity","ACTUAL_SALES_PER_EMPL","FQ1 2024","FQ1 2024","Currency=USD","Period=FQ","BEST_FPERIOD_OVERRIDE=FQ","FILING_STATUS=MR","FA_ADJUSTED=Adjusted","Sort=A","Dates=H","DateFormat=P","Fill=—","Direction=H","UseDPDF=Y")</f>
        <v>—</v>
      </c>
      <c r="W68" s="14" t="str">
        <f>_xll.BDH("ALNY US Equity","ACTUAL_SALES_PER_EMPL","FQ2 2024","FQ2 2024","Currency=USD","Period=FQ","BEST_FPERIOD_OVERRIDE=FQ","FILING_STATUS=MR","FA_ADJUSTED=Adjusted","Sort=A","Dates=H","DateFormat=P","Fill=—","Direction=H","UseDPDF=Y")</f>
        <v>—</v>
      </c>
      <c r="X68" s="14" t="str">
        <f>_xll.BDH("ALNY US Equity","ACTUAL_SALES_PER_EMPL","FQ3 2024","FQ3 2024","Currency=USD","Period=FQ","BEST_FPERIOD_OVERRIDE=FQ","FILING_STATUS=MR","FA_ADJUSTED=Adjusted","Sort=A","Dates=H","DateFormat=P","Fill=—","Direction=H","UseDPDF=Y")</f>
        <v>—</v>
      </c>
      <c r="Y68" s="14">
        <f>_xll.BDH("ALNY US Equity","ACTUAL_SALES_PER_EMPL","FQ4 2024","FQ4 2024","Currency=USD","Period=FQ","BEST_FPERIOD_OVERRIDE=FQ","FILING_STATUS=MR","FA_ADJUSTED=Adjusted","Sort=A","Dates=H","DateFormat=P","Fill=—","Direction=H","UseDPDF=Y")</f>
        <v>265993.72200000001</v>
      </c>
      <c r="Z68" s="14"/>
      <c r="AA68" s="14"/>
    </row>
    <row r="69" spans="1:27" x14ac:dyDescent="0.25">
      <c r="A69" s="10" t="s">
        <v>387</v>
      </c>
      <c r="B69" s="10" t="s">
        <v>263</v>
      </c>
      <c r="C69" s="14">
        <f>_xll.BDH("ALNY US Equity","EQY_DPS","FQ2 2019","FQ2 2019","Currency=USD","Period=FQ","BEST_FPERIOD_OVERRIDE=FQ","FILING_STATUS=MR","Sort=A","Dates=H","DateFormat=P","Fill=—","Direction=H","UseDPDF=Y")</f>
        <v>0</v>
      </c>
      <c r="D69" s="14">
        <f>_xll.BDH("ALNY US Equity","EQY_DPS","FQ3 2019","FQ3 2019","Currency=USD","Period=FQ","BEST_FPERIOD_OVERRIDE=FQ","FILING_STATUS=MR","Sort=A","Dates=H","DateFormat=P","Fill=—","Direction=H","UseDPDF=Y")</f>
        <v>0</v>
      </c>
      <c r="E69" s="14">
        <f>_xll.BDH("ALNY US Equity","EQY_DPS","FQ4 2019","FQ4 2019","Currency=USD","Period=FQ","BEST_FPERIOD_OVERRIDE=FQ","FILING_STATUS=MR","Sort=A","Dates=H","DateFormat=P","Fill=—","Direction=H","UseDPDF=Y")</f>
        <v>0</v>
      </c>
      <c r="F69" s="14">
        <f>_xll.BDH("ALNY US Equity","EQY_DPS","FQ1 2020","FQ1 2020","Currency=USD","Period=FQ","BEST_FPERIOD_OVERRIDE=FQ","FILING_STATUS=MR","Sort=A","Dates=H","DateFormat=P","Fill=—","Direction=H","UseDPDF=Y")</f>
        <v>0</v>
      </c>
      <c r="G69" s="14">
        <f>_xll.BDH("ALNY US Equity","EQY_DPS","FQ2 2020","FQ2 2020","Currency=USD","Period=FQ","BEST_FPERIOD_OVERRIDE=FQ","FILING_STATUS=MR","Sort=A","Dates=H","DateFormat=P","Fill=—","Direction=H","UseDPDF=Y")</f>
        <v>0</v>
      </c>
      <c r="H69" s="14">
        <f>_xll.BDH("ALNY US Equity","EQY_DPS","FQ3 2020","FQ3 2020","Currency=USD","Period=FQ","BEST_FPERIOD_OVERRIDE=FQ","FILING_STATUS=MR","Sort=A","Dates=H","DateFormat=P","Fill=—","Direction=H","UseDPDF=Y")</f>
        <v>0</v>
      </c>
      <c r="I69" s="14">
        <f>_xll.BDH("ALNY US Equity","EQY_DPS","FQ4 2020","FQ4 2020","Currency=USD","Period=FQ","BEST_FPERIOD_OVERRIDE=FQ","FILING_STATUS=MR","Sort=A","Dates=H","DateFormat=P","Fill=—","Direction=H","UseDPDF=Y")</f>
        <v>0</v>
      </c>
      <c r="J69" s="14">
        <f>_xll.BDH("ALNY US Equity","EQY_DPS","FQ1 2021","FQ1 2021","Currency=USD","Period=FQ","BEST_FPERIOD_OVERRIDE=FQ","FILING_STATUS=MR","Sort=A","Dates=H","DateFormat=P","Fill=—","Direction=H","UseDPDF=Y")</f>
        <v>0</v>
      </c>
      <c r="K69" s="14">
        <f>_xll.BDH("ALNY US Equity","EQY_DPS","FQ2 2021","FQ2 2021","Currency=USD","Period=FQ","BEST_FPERIOD_OVERRIDE=FQ","FILING_STATUS=MR","Sort=A","Dates=H","DateFormat=P","Fill=—","Direction=H","UseDPDF=Y")</f>
        <v>0</v>
      </c>
      <c r="L69" s="14">
        <f>_xll.BDH("ALNY US Equity","EQY_DPS","FQ3 2021","FQ3 2021","Currency=USD","Period=FQ","BEST_FPERIOD_OVERRIDE=FQ","FILING_STATUS=MR","Sort=A","Dates=H","DateFormat=P","Fill=—","Direction=H","UseDPDF=Y")</f>
        <v>0</v>
      </c>
      <c r="M69" s="14">
        <f>_xll.BDH("ALNY US Equity","EQY_DPS","FQ4 2021","FQ4 2021","Currency=USD","Period=FQ","BEST_FPERIOD_OVERRIDE=FQ","FILING_STATUS=MR","Sort=A","Dates=H","DateFormat=P","Fill=—","Direction=H","UseDPDF=Y")</f>
        <v>0</v>
      </c>
      <c r="N69" s="14">
        <f>_xll.BDH("ALNY US Equity","EQY_DPS","FQ1 2022","FQ1 2022","Currency=USD","Period=FQ","BEST_FPERIOD_OVERRIDE=FQ","FILING_STATUS=MR","Sort=A","Dates=H","DateFormat=P","Fill=—","Direction=H","UseDPDF=Y")</f>
        <v>0</v>
      </c>
      <c r="O69" s="14">
        <f>_xll.BDH("ALNY US Equity","EQY_DPS","FQ2 2022","FQ2 2022","Currency=USD","Period=FQ","BEST_FPERIOD_OVERRIDE=FQ","FILING_STATUS=MR","Sort=A","Dates=H","DateFormat=P","Fill=—","Direction=H","UseDPDF=Y")</f>
        <v>0</v>
      </c>
      <c r="P69" s="14">
        <f>_xll.BDH("ALNY US Equity","EQY_DPS","FQ3 2022","FQ3 2022","Currency=USD","Period=FQ","BEST_FPERIOD_OVERRIDE=FQ","FILING_STATUS=MR","Sort=A","Dates=H","DateFormat=P","Fill=—","Direction=H","UseDPDF=Y")</f>
        <v>0</v>
      </c>
      <c r="Q69" s="14">
        <f>_xll.BDH("ALNY US Equity","EQY_DPS","FQ4 2022","FQ4 2022","Currency=USD","Period=FQ","BEST_FPERIOD_OVERRIDE=FQ","FILING_STATUS=MR","Sort=A","Dates=H","DateFormat=P","Fill=—","Direction=H","UseDPDF=Y")</f>
        <v>0</v>
      </c>
      <c r="R69" s="14">
        <f>_xll.BDH("ALNY US Equity","EQY_DPS","FQ1 2023","FQ1 2023","Currency=USD","Period=FQ","BEST_FPERIOD_OVERRIDE=FQ","FILING_STATUS=MR","Sort=A","Dates=H","DateFormat=P","Fill=—","Direction=H","UseDPDF=Y")</f>
        <v>0</v>
      </c>
      <c r="S69" s="14">
        <f>_xll.BDH("ALNY US Equity","EQY_DPS","FQ2 2023","FQ2 2023","Currency=USD","Period=FQ","BEST_FPERIOD_OVERRIDE=FQ","FILING_STATUS=MR","Sort=A","Dates=H","DateFormat=P","Fill=—","Direction=H","UseDPDF=Y")</f>
        <v>0</v>
      </c>
      <c r="T69" s="14">
        <f>_xll.BDH("ALNY US Equity","EQY_DPS","FQ3 2023","FQ3 2023","Currency=USD","Period=FQ","BEST_FPERIOD_OVERRIDE=FQ","FILING_STATUS=MR","Sort=A","Dates=H","DateFormat=P","Fill=—","Direction=H","UseDPDF=Y")</f>
        <v>0</v>
      </c>
      <c r="U69" s="14">
        <f>_xll.BDH("ALNY US Equity","EQY_DPS","FQ4 2023","FQ4 2023","Currency=USD","Period=FQ","BEST_FPERIOD_OVERRIDE=FQ","FILING_STATUS=MR","Sort=A","Dates=H","DateFormat=P","Fill=—","Direction=H","UseDPDF=Y")</f>
        <v>0</v>
      </c>
      <c r="V69" s="14">
        <f>_xll.BDH("ALNY US Equity","EQY_DPS","FQ1 2024","FQ1 2024","Currency=USD","Period=FQ","BEST_FPERIOD_OVERRIDE=FQ","FILING_STATUS=MR","Sort=A","Dates=H","DateFormat=P","Fill=—","Direction=H","UseDPDF=Y")</f>
        <v>0</v>
      </c>
      <c r="W69" s="14">
        <f>_xll.BDH("ALNY US Equity","EQY_DPS","FQ2 2024","FQ2 2024","Currency=USD","Period=FQ","BEST_FPERIOD_OVERRIDE=FQ","FILING_STATUS=MR","Sort=A","Dates=H","DateFormat=P","Fill=—","Direction=H","UseDPDF=Y")</f>
        <v>0</v>
      </c>
      <c r="X69" s="14">
        <f>_xll.BDH("ALNY US Equity","EQY_DPS","FQ3 2024","FQ3 2024","Currency=USD","Period=FQ","BEST_FPERIOD_OVERRIDE=FQ","FILING_STATUS=MR","Sort=A","Dates=H","DateFormat=P","Fill=—","Direction=H","UseDPDF=Y")</f>
        <v>0</v>
      </c>
      <c r="Y69" s="14">
        <f>_xll.BDH("ALNY US Equity","EQY_DPS","FQ4 2024","FQ4 2024","Currency=USD","Period=FQ","BEST_FPERIOD_OVERRIDE=FQ","FILING_STATUS=MR","Sort=A","Dates=H","DateFormat=P","Fill=—","Direction=H","UseDPDF=Y")</f>
        <v>0</v>
      </c>
      <c r="Z69" s="14"/>
      <c r="AA69" s="14"/>
    </row>
    <row r="70" spans="1:27" x14ac:dyDescent="0.25">
      <c r="A70" s="10" t="s">
        <v>388</v>
      </c>
      <c r="B70" s="10" t="s">
        <v>389</v>
      </c>
      <c r="C70" s="13">
        <f>_xll.BDH("ALNY US Equity","IS_TOT_CASH_COM_DVD","FQ2 2019","FQ2 2019","Currency=USD","Period=FQ","BEST_FPERIOD_OVERRIDE=FQ","FILING_STATUS=MR","SCALING_FORMAT=MLN","Sort=A","Dates=H","DateFormat=P","Fill=—","Direction=H","UseDPDF=Y")</f>
        <v>0</v>
      </c>
      <c r="D70" s="13">
        <f>_xll.BDH("ALNY US Equity","IS_TOT_CASH_COM_DVD","FQ3 2019","FQ3 2019","Currency=USD","Period=FQ","BEST_FPERIOD_OVERRIDE=FQ","FILING_STATUS=MR","SCALING_FORMAT=MLN","Sort=A","Dates=H","DateFormat=P","Fill=—","Direction=H","UseDPDF=Y")</f>
        <v>0</v>
      </c>
      <c r="E70" s="13">
        <f>_xll.BDH("ALNY US Equity","IS_TOT_CASH_COM_DVD","FQ4 2019","FQ4 2019","Currency=USD","Period=FQ","BEST_FPERIOD_OVERRIDE=FQ","FILING_STATUS=MR","SCALING_FORMAT=MLN","Sort=A","Dates=H","DateFormat=P","Fill=—","Direction=H","UseDPDF=Y")</f>
        <v>0</v>
      </c>
      <c r="F70" s="13">
        <f>_xll.BDH("ALNY US Equity","IS_TOT_CASH_COM_DVD","FQ1 2020","FQ1 2020","Currency=USD","Period=FQ","BEST_FPERIOD_OVERRIDE=FQ","FILING_STATUS=MR","SCALING_FORMAT=MLN","Sort=A","Dates=H","DateFormat=P","Fill=—","Direction=H","UseDPDF=Y")</f>
        <v>0</v>
      </c>
      <c r="G70" s="13">
        <f>_xll.BDH("ALNY US Equity","IS_TOT_CASH_COM_DVD","FQ2 2020","FQ2 2020","Currency=USD","Period=FQ","BEST_FPERIOD_OVERRIDE=FQ","FILING_STATUS=MR","SCALING_FORMAT=MLN","Sort=A","Dates=H","DateFormat=P","Fill=—","Direction=H","UseDPDF=Y")</f>
        <v>0</v>
      </c>
      <c r="H70" s="13">
        <f>_xll.BDH("ALNY US Equity","IS_TOT_CASH_COM_DVD","FQ3 2020","FQ3 2020","Currency=USD","Period=FQ","BEST_FPERIOD_OVERRIDE=FQ","FILING_STATUS=MR","SCALING_FORMAT=MLN","Sort=A","Dates=H","DateFormat=P","Fill=—","Direction=H","UseDPDF=Y")</f>
        <v>0</v>
      </c>
      <c r="I70" s="13">
        <f>_xll.BDH("ALNY US Equity","IS_TOT_CASH_COM_DVD","FQ4 2020","FQ4 2020","Currency=USD","Period=FQ","BEST_FPERIOD_OVERRIDE=FQ","FILING_STATUS=MR","SCALING_FORMAT=MLN","Sort=A","Dates=H","DateFormat=P","Fill=—","Direction=H","UseDPDF=Y")</f>
        <v>0</v>
      </c>
      <c r="J70" s="13">
        <f>_xll.BDH("ALNY US Equity","IS_TOT_CASH_COM_DVD","FQ1 2021","FQ1 2021","Currency=USD","Period=FQ","BEST_FPERIOD_OVERRIDE=FQ","FILING_STATUS=MR","SCALING_FORMAT=MLN","Sort=A","Dates=H","DateFormat=P","Fill=—","Direction=H","UseDPDF=Y")</f>
        <v>0</v>
      </c>
      <c r="K70" s="13">
        <f>_xll.BDH("ALNY US Equity","IS_TOT_CASH_COM_DVD","FQ2 2021","FQ2 2021","Currency=USD","Period=FQ","BEST_FPERIOD_OVERRIDE=FQ","FILING_STATUS=MR","SCALING_FORMAT=MLN","Sort=A","Dates=H","DateFormat=P","Fill=—","Direction=H","UseDPDF=Y")</f>
        <v>0</v>
      </c>
      <c r="L70" s="13">
        <f>_xll.BDH("ALNY US Equity","IS_TOT_CASH_COM_DVD","FQ3 2021","FQ3 2021","Currency=USD","Period=FQ","BEST_FPERIOD_OVERRIDE=FQ","FILING_STATUS=MR","SCALING_FORMAT=MLN","Sort=A","Dates=H","DateFormat=P","Fill=—","Direction=H","UseDPDF=Y")</f>
        <v>0</v>
      </c>
      <c r="M70" s="13">
        <f>_xll.BDH("ALNY US Equity","IS_TOT_CASH_COM_DVD","FQ4 2021","FQ4 2021","Currency=USD","Period=FQ","BEST_FPERIOD_OVERRIDE=FQ","FILING_STATUS=MR","SCALING_FORMAT=MLN","Sort=A","Dates=H","DateFormat=P","Fill=—","Direction=H","UseDPDF=Y")</f>
        <v>0</v>
      </c>
      <c r="N70" s="13">
        <f>_xll.BDH("ALNY US Equity","IS_TOT_CASH_COM_DVD","FQ1 2022","FQ1 2022","Currency=USD","Period=FQ","BEST_FPERIOD_OVERRIDE=FQ","FILING_STATUS=MR","SCALING_FORMAT=MLN","Sort=A","Dates=H","DateFormat=P","Fill=—","Direction=H","UseDPDF=Y")</f>
        <v>0</v>
      </c>
      <c r="O70" s="13">
        <f>_xll.BDH("ALNY US Equity","IS_TOT_CASH_COM_DVD","FQ2 2022","FQ2 2022","Currency=USD","Period=FQ","BEST_FPERIOD_OVERRIDE=FQ","FILING_STATUS=MR","SCALING_FORMAT=MLN","Sort=A","Dates=H","DateFormat=P","Fill=—","Direction=H","UseDPDF=Y")</f>
        <v>0</v>
      </c>
      <c r="P70" s="13">
        <f>_xll.BDH("ALNY US Equity","IS_TOT_CASH_COM_DVD","FQ3 2022","FQ3 2022","Currency=USD","Period=FQ","BEST_FPERIOD_OVERRIDE=FQ","FILING_STATUS=MR","SCALING_FORMAT=MLN","Sort=A","Dates=H","DateFormat=P","Fill=—","Direction=H","UseDPDF=Y")</f>
        <v>0</v>
      </c>
      <c r="Q70" s="13">
        <f>_xll.BDH("ALNY US Equity","IS_TOT_CASH_COM_DVD","FQ4 2022","FQ4 2022","Currency=USD","Period=FQ","BEST_FPERIOD_OVERRIDE=FQ","FILING_STATUS=MR","SCALING_FORMAT=MLN","Sort=A","Dates=H","DateFormat=P","Fill=—","Direction=H","UseDPDF=Y")</f>
        <v>0</v>
      </c>
      <c r="R70" s="13">
        <f>_xll.BDH("ALNY US Equity","IS_TOT_CASH_COM_DVD","FQ1 2023","FQ1 2023","Currency=USD","Period=FQ","BEST_FPERIOD_OVERRIDE=FQ","FILING_STATUS=MR","SCALING_FORMAT=MLN","Sort=A","Dates=H","DateFormat=P","Fill=—","Direction=H","UseDPDF=Y")</f>
        <v>0</v>
      </c>
      <c r="S70" s="13">
        <f>_xll.BDH("ALNY US Equity","IS_TOT_CASH_COM_DVD","FQ2 2023","FQ2 2023","Currency=USD","Period=FQ","BEST_FPERIOD_OVERRIDE=FQ","FILING_STATUS=MR","SCALING_FORMAT=MLN","Sort=A","Dates=H","DateFormat=P","Fill=—","Direction=H","UseDPDF=Y")</f>
        <v>0</v>
      </c>
      <c r="T70" s="13">
        <f>_xll.BDH("ALNY US Equity","IS_TOT_CASH_COM_DVD","FQ3 2023","FQ3 2023","Currency=USD","Period=FQ","BEST_FPERIOD_OVERRIDE=FQ","FILING_STATUS=MR","SCALING_FORMAT=MLN","Sort=A","Dates=H","DateFormat=P","Fill=—","Direction=H","UseDPDF=Y")</f>
        <v>0</v>
      </c>
      <c r="U70" s="13">
        <f>_xll.BDH("ALNY US Equity","IS_TOT_CASH_COM_DVD","FQ4 2023","FQ4 2023","Currency=USD","Period=FQ","BEST_FPERIOD_OVERRIDE=FQ","FILING_STATUS=MR","SCALING_FORMAT=MLN","Sort=A","Dates=H","DateFormat=P","Fill=—","Direction=H","UseDPDF=Y")</f>
        <v>0</v>
      </c>
      <c r="V70" s="13">
        <f>_xll.BDH("ALNY US Equity","IS_TOT_CASH_COM_DVD","FQ1 2024","FQ1 2024","Currency=USD","Period=FQ","BEST_FPERIOD_OVERRIDE=FQ","FILING_STATUS=MR","SCALING_FORMAT=MLN","Sort=A","Dates=H","DateFormat=P","Fill=—","Direction=H","UseDPDF=Y")</f>
        <v>0</v>
      </c>
      <c r="W70" s="13">
        <f>_xll.BDH("ALNY US Equity","IS_TOT_CASH_COM_DVD","FQ2 2024","FQ2 2024","Currency=USD","Period=FQ","BEST_FPERIOD_OVERRIDE=FQ","FILING_STATUS=MR","SCALING_FORMAT=MLN","Sort=A","Dates=H","DateFormat=P","Fill=—","Direction=H","UseDPDF=Y")</f>
        <v>0</v>
      </c>
      <c r="X70" s="13">
        <f>_xll.BDH("ALNY US Equity","IS_TOT_CASH_COM_DVD","FQ3 2024","FQ3 2024","Currency=USD","Period=FQ","BEST_FPERIOD_OVERRIDE=FQ","FILING_STATUS=MR","SCALING_FORMAT=MLN","Sort=A","Dates=H","DateFormat=P","Fill=—","Direction=H","UseDPDF=Y")</f>
        <v>0</v>
      </c>
      <c r="Y70" s="13">
        <f>_xll.BDH("ALNY US Equity","IS_TOT_CASH_COM_DVD","FQ4 2024","FQ4 2024","Currency=USD","Period=FQ","BEST_FPERIOD_OVERRIDE=FQ","FILING_STATUS=MR","SCALING_FORMAT=MLN","Sort=A","Dates=H","DateFormat=P","Fill=—","Direction=H","UseDPDF=Y")</f>
        <v>0</v>
      </c>
      <c r="Z70" s="13"/>
      <c r="AA70" s="13"/>
    </row>
    <row r="71" spans="1:27" x14ac:dyDescent="0.25">
      <c r="A71" s="10" t="s">
        <v>390</v>
      </c>
      <c r="B71" s="10" t="s">
        <v>391</v>
      </c>
      <c r="C71" s="13" t="str">
        <f>_xll.BDH("ALNY US Equity","IS_DEPR_EXP","FQ2 2019","FQ2 2019","Currency=USD","Period=FQ","BEST_FPERIOD_OVERRIDE=FQ","FILING_STATUS=MR","SCALING_FORMAT=MLN","Sort=A","Dates=H","DateFormat=P","Fill=—","Direction=H","UseDPDF=Y")</f>
        <v>—</v>
      </c>
      <c r="D71" s="13" t="str">
        <f>_xll.BDH("ALNY US Equity","IS_DEPR_EXP","FQ3 2019","FQ3 2019","Currency=USD","Period=FQ","BEST_FPERIOD_OVERRIDE=FQ","FILING_STATUS=MR","SCALING_FORMAT=MLN","Sort=A","Dates=H","DateFormat=P","Fill=—","Direction=H","UseDPDF=Y")</f>
        <v>—</v>
      </c>
      <c r="E71" s="13" t="str">
        <f>_xll.BDH("ALNY US Equity","IS_DEPR_EXP","FQ4 2019","FQ4 2019","Currency=USD","Period=FQ","BEST_FPERIOD_OVERRIDE=FQ","FILING_STATUS=MR","SCALING_FORMAT=MLN","Sort=A","Dates=H","DateFormat=P","Fill=—","Direction=H","UseDPDF=Y")</f>
        <v>—</v>
      </c>
      <c r="F71" s="13" t="str">
        <f>_xll.BDH("ALNY US Equity","IS_DEPR_EXP","FQ1 2020","FQ1 2020","Currency=USD","Period=FQ","BEST_FPERIOD_OVERRIDE=FQ","FILING_STATUS=MR","SCALING_FORMAT=MLN","Sort=A","Dates=H","DateFormat=P","Fill=—","Direction=H","UseDPDF=Y")</f>
        <v>—</v>
      </c>
      <c r="G71" s="13" t="str">
        <f>_xll.BDH("ALNY US Equity","IS_DEPR_EXP","FQ2 2020","FQ2 2020","Currency=USD","Period=FQ","BEST_FPERIOD_OVERRIDE=FQ","FILING_STATUS=MR","SCALING_FORMAT=MLN","Sort=A","Dates=H","DateFormat=P","Fill=—","Direction=H","UseDPDF=Y")</f>
        <v>—</v>
      </c>
      <c r="H71" s="13" t="str">
        <f>_xll.BDH("ALNY US Equity","IS_DEPR_EXP","FQ3 2020","FQ3 2020","Currency=USD","Period=FQ","BEST_FPERIOD_OVERRIDE=FQ","FILING_STATUS=MR","SCALING_FORMAT=MLN","Sort=A","Dates=H","DateFormat=P","Fill=—","Direction=H","UseDPDF=Y")</f>
        <v>—</v>
      </c>
      <c r="I71" s="13" t="str">
        <f>_xll.BDH("ALNY US Equity","IS_DEPR_EXP","FQ4 2020","FQ4 2020","Currency=USD","Period=FQ","BEST_FPERIOD_OVERRIDE=FQ","FILING_STATUS=MR","SCALING_FORMAT=MLN","Sort=A","Dates=H","DateFormat=P","Fill=—","Direction=H","UseDPDF=Y")</f>
        <v>—</v>
      </c>
      <c r="J71" s="13" t="str">
        <f>_xll.BDH("ALNY US Equity","IS_DEPR_EXP","FQ1 2021","FQ1 2021","Currency=USD","Period=FQ","BEST_FPERIOD_OVERRIDE=FQ","FILING_STATUS=MR","SCALING_FORMAT=MLN","Sort=A","Dates=H","DateFormat=P","Fill=—","Direction=H","UseDPDF=Y")</f>
        <v>—</v>
      </c>
      <c r="K71" s="13" t="str">
        <f>_xll.BDH("ALNY US Equity","IS_DEPR_EXP","FQ2 2021","FQ2 2021","Currency=USD","Period=FQ","BEST_FPERIOD_OVERRIDE=FQ","FILING_STATUS=MR","SCALING_FORMAT=MLN","Sort=A","Dates=H","DateFormat=P","Fill=—","Direction=H","UseDPDF=Y")</f>
        <v>—</v>
      </c>
      <c r="L71" s="13" t="str">
        <f>_xll.BDH("ALNY US Equity","IS_DEPR_EXP","FQ3 2021","FQ3 2021","Currency=USD","Period=FQ","BEST_FPERIOD_OVERRIDE=FQ","FILING_STATUS=MR","SCALING_FORMAT=MLN","Sort=A","Dates=H","DateFormat=P","Fill=—","Direction=H","UseDPDF=Y")</f>
        <v>—</v>
      </c>
      <c r="M71" s="13" t="str">
        <f>_xll.BDH("ALNY US Equity","IS_DEPR_EXP","FQ4 2021","FQ4 2021","Currency=USD","Period=FQ","BEST_FPERIOD_OVERRIDE=FQ","FILING_STATUS=MR","SCALING_FORMAT=MLN","Sort=A","Dates=H","DateFormat=P","Fill=—","Direction=H","UseDPDF=Y")</f>
        <v>—</v>
      </c>
      <c r="N71" s="13" t="str">
        <f>_xll.BDH("ALNY US Equity","IS_DEPR_EXP","FQ1 2022","FQ1 2022","Currency=USD","Period=FQ","BEST_FPERIOD_OVERRIDE=FQ","FILING_STATUS=MR","SCALING_FORMAT=MLN","Sort=A","Dates=H","DateFormat=P","Fill=—","Direction=H","UseDPDF=Y")</f>
        <v>—</v>
      </c>
      <c r="O71" s="13" t="str">
        <f>_xll.BDH("ALNY US Equity","IS_DEPR_EXP","FQ2 2022","FQ2 2022","Currency=USD","Period=FQ","BEST_FPERIOD_OVERRIDE=FQ","FILING_STATUS=MR","SCALING_FORMAT=MLN","Sort=A","Dates=H","DateFormat=P","Fill=—","Direction=H","UseDPDF=Y")</f>
        <v>—</v>
      </c>
      <c r="P71" s="13" t="str">
        <f>_xll.BDH("ALNY US Equity","IS_DEPR_EXP","FQ3 2022","FQ3 2022","Currency=USD","Period=FQ","BEST_FPERIOD_OVERRIDE=FQ","FILING_STATUS=MR","SCALING_FORMAT=MLN","Sort=A","Dates=H","DateFormat=P","Fill=—","Direction=H","UseDPDF=Y")</f>
        <v>—</v>
      </c>
      <c r="Q71" s="13" t="str">
        <f>_xll.BDH("ALNY US Equity","IS_DEPR_EXP","FQ4 2022","FQ4 2022","Currency=USD","Period=FQ","BEST_FPERIOD_OVERRIDE=FQ","FILING_STATUS=MR","SCALING_FORMAT=MLN","Sort=A","Dates=H","DateFormat=P","Fill=—","Direction=H","UseDPDF=Y")</f>
        <v>—</v>
      </c>
      <c r="R71" s="13" t="str">
        <f>_xll.BDH("ALNY US Equity","IS_DEPR_EXP","FQ1 2023","FQ1 2023","Currency=USD","Period=FQ","BEST_FPERIOD_OVERRIDE=FQ","FILING_STATUS=MR","SCALING_FORMAT=MLN","Sort=A","Dates=H","DateFormat=P","Fill=—","Direction=H","UseDPDF=Y")</f>
        <v>—</v>
      </c>
      <c r="S71" s="13">
        <f>_xll.BDH("ALNY US Equity","IS_DEPR_EXP","FQ2 2023","FQ2 2023","Currency=USD","Period=FQ","BEST_FPERIOD_OVERRIDE=FQ","FILING_STATUS=MR","SCALING_FORMAT=MLN","Sort=A","Dates=H","DateFormat=P","Fill=—","Direction=H","UseDPDF=Y")</f>
        <v>13.179</v>
      </c>
      <c r="T71" s="13">
        <f>_xll.BDH("ALNY US Equity","IS_DEPR_EXP","FQ3 2023","FQ3 2023","Currency=USD","Period=FQ","BEST_FPERIOD_OVERRIDE=FQ","FILING_STATUS=MR","SCALING_FORMAT=MLN","Sort=A","Dates=H","DateFormat=P","Fill=—","Direction=H","UseDPDF=Y")</f>
        <v>13.327999999999999</v>
      </c>
      <c r="U71" s="13" t="str">
        <f>_xll.BDH("ALNY US Equity","IS_DEPR_EXP","FQ4 2023","FQ4 2023","Currency=USD","Period=FQ","BEST_FPERIOD_OVERRIDE=FQ","FILING_STATUS=MR","SCALING_FORMAT=MLN","Sort=A","Dates=H","DateFormat=P","Fill=—","Direction=H","UseDPDF=Y")</f>
        <v>—</v>
      </c>
      <c r="V71" s="13" t="str">
        <f>_xll.BDH("ALNY US Equity","IS_DEPR_EXP","FQ1 2024","FQ1 2024","Currency=USD","Period=FQ","BEST_FPERIOD_OVERRIDE=FQ","FILING_STATUS=MR","SCALING_FORMAT=MLN","Sort=A","Dates=H","DateFormat=P","Fill=—","Direction=H","UseDPDF=Y")</f>
        <v>—</v>
      </c>
      <c r="W71" s="13">
        <f>_xll.BDH("ALNY US Equity","IS_DEPR_EXP","FQ2 2024","FQ2 2024","Currency=USD","Period=FQ","BEST_FPERIOD_OVERRIDE=FQ","FILING_STATUS=MR","SCALING_FORMAT=MLN","Sort=A","Dates=H","DateFormat=P","Fill=—","Direction=H","UseDPDF=Y")</f>
        <v>15.003</v>
      </c>
      <c r="X71" s="13">
        <f>_xll.BDH("ALNY US Equity","IS_DEPR_EXP","FQ3 2024","FQ3 2024","Currency=USD","Period=FQ","BEST_FPERIOD_OVERRIDE=FQ","FILING_STATUS=MR","SCALING_FORMAT=MLN","Sort=A","Dates=H","DateFormat=P","Fill=—","Direction=H","UseDPDF=Y")</f>
        <v>13.981999999999999</v>
      </c>
      <c r="Y71" s="13">
        <f>_xll.BDH("ALNY US Equity","IS_DEPR_EXP","FQ4 2024","FQ4 2024","Currency=USD","Period=FQ","BEST_FPERIOD_OVERRIDE=FQ","FILING_STATUS=MR","SCALING_FORMAT=MLN","Sort=A","Dates=H","DateFormat=P","Fill=—","Direction=H","UseDPDF=Y")</f>
        <v>14.167999999999999</v>
      </c>
      <c r="Z71" s="13"/>
      <c r="AA71" s="13"/>
    </row>
    <row r="72" spans="1:27" x14ac:dyDescent="0.25">
      <c r="A72" s="10" t="s">
        <v>392</v>
      </c>
      <c r="B72" s="10" t="s">
        <v>393</v>
      </c>
      <c r="C72" s="13">
        <f>_xll.BDH("ALNY US Equity","BS_CURR_RENTAL_EXPENSE","FQ2 2019","FQ2 2019","Currency=USD","Period=FQ","BEST_FPERIOD_OVERRIDE=FQ","FILING_STATUS=MR","SCALING_FORMAT=MLN","Sort=A","Dates=H","DateFormat=P","Fill=—","Direction=H","UseDPDF=Y")</f>
        <v>13.776999999999999</v>
      </c>
      <c r="D72" s="13">
        <f>_xll.BDH("ALNY US Equity","BS_CURR_RENTAL_EXPENSE","FQ3 2019","FQ3 2019","Currency=USD","Period=FQ","BEST_FPERIOD_OVERRIDE=FQ","FILING_STATUS=MR","SCALING_FORMAT=MLN","Sort=A","Dates=H","DateFormat=P","Fill=—","Direction=H","UseDPDF=Y")</f>
        <v>12.742000000000001</v>
      </c>
      <c r="E72" s="13">
        <f>_xll.BDH("ALNY US Equity","BS_CURR_RENTAL_EXPENSE","FQ4 2019","FQ4 2019","Currency=USD","Period=FQ","BEST_FPERIOD_OVERRIDE=FQ","FILING_STATUS=MR","SCALING_FORMAT=MLN","Sort=A","Dates=H","DateFormat=P","Fill=—","Direction=H","UseDPDF=Y")</f>
        <v>12.965999999999999</v>
      </c>
      <c r="F72" s="13" t="str">
        <f>_xll.BDH("ALNY US Equity","BS_CURR_RENTAL_EXPENSE","FQ1 2020","FQ1 2020","Currency=USD","Period=FQ","BEST_FPERIOD_OVERRIDE=FQ","FILING_STATUS=MR","SCALING_FORMAT=MLN","Sort=A","Dates=H","DateFormat=P","Fill=—","Direction=H","UseDPDF=Y")</f>
        <v>—</v>
      </c>
      <c r="G72" s="13" t="str">
        <f>_xll.BDH("ALNY US Equity","BS_CURR_RENTAL_EXPENSE","FQ2 2020","FQ2 2020","Currency=USD","Period=FQ","BEST_FPERIOD_OVERRIDE=FQ","FILING_STATUS=MR","SCALING_FORMAT=MLN","Sort=A","Dates=H","DateFormat=P","Fill=—","Direction=H","UseDPDF=Y")</f>
        <v>—</v>
      </c>
      <c r="H72" s="13" t="str">
        <f>_xll.BDH("ALNY US Equity","BS_CURR_RENTAL_EXPENSE","FQ3 2020","FQ3 2020","Currency=USD","Period=FQ","BEST_FPERIOD_OVERRIDE=FQ","FILING_STATUS=MR","SCALING_FORMAT=MLN","Sort=A","Dates=H","DateFormat=P","Fill=—","Direction=H","UseDPDF=Y")</f>
        <v>—</v>
      </c>
      <c r="I72" s="13" t="str">
        <f>_xll.BDH("ALNY US Equity","BS_CURR_RENTAL_EXPENSE","FQ4 2020","FQ4 2020","Currency=USD","Period=FQ","BEST_FPERIOD_OVERRIDE=FQ","FILING_STATUS=MR","SCALING_FORMAT=MLN","Sort=A","Dates=H","DateFormat=P","Fill=—","Direction=H","UseDPDF=Y")</f>
        <v>—</v>
      </c>
      <c r="J72" s="13" t="str">
        <f>_xll.BDH("ALNY US Equity","BS_CURR_RENTAL_EXPENSE","FQ1 2021","FQ1 2021","Currency=USD","Period=FQ","BEST_FPERIOD_OVERRIDE=FQ","FILING_STATUS=MR","SCALING_FORMAT=MLN","Sort=A","Dates=H","DateFormat=P","Fill=—","Direction=H","UseDPDF=Y")</f>
        <v>—</v>
      </c>
      <c r="K72" s="13" t="str">
        <f>_xll.BDH("ALNY US Equity","BS_CURR_RENTAL_EXPENSE","FQ2 2021","FQ2 2021","Currency=USD","Period=FQ","BEST_FPERIOD_OVERRIDE=FQ","FILING_STATUS=MR","SCALING_FORMAT=MLN","Sort=A","Dates=H","DateFormat=P","Fill=—","Direction=H","UseDPDF=Y")</f>
        <v>—</v>
      </c>
      <c r="L72" s="13" t="str">
        <f>_xll.BDH("ALNY US Equity","BS_CURR_RENTAL_EXPENSE","FQ3 2021","FQ3 2021","Currency=USD","Period=FQ","BEST_FPERIOD_OVERRIDE=FQ","FILING_STATUS=MR","SCALING_FORMAT=MLN","Sort=A","Dates=H","DateFormat=P","Fill=—","Direction=H","UseDPDF=Y")</f>
        <v>—</v>
      </c>
      <c r="M72" s="13" t="str">
        <f>_xll.BDH("ALNY US Equity","BS_CURR_RENTAL_EXPENSE","FQ4 2021","FQ4 2021","Currency=USD","Period=FQ","BEST_FPERIOD_OVERRIDE=FQ","FILING_STATUS=MR","SCALING_FORMAT=MLN","Sort=A","Dates=H","DateFormat=P","Fill=—","Direction=H","UseDPDF=Y")</f>
        <v>—</v>
      </c>
      <c r="N72" s="13" t="str">
        <f>_xll.BDH("ALNY US Equity","BS_CURR_RENTAL_EXPENSE","FQ1 2022","FQ1 2022","Currency=USD","Period=FQ","BEST_FPERIOD_OVERRIDE=FQ","FILING_STATUS=MR","SCALING_FORMAT=MLN","Sort=A","Dates=H","DateFormat=P","Fill=—","Direction=H","UseDPDF=Y")</f>
        <v>—</v>
      </c>
      <c r="O72" s="13" t="str">
        <f>_xll.BDH("ALNY US Equity","BS_CURR_RENTAL_EXPENSE","FQ2 2022","FQ2 2022","Currency=USD","Period=FQ","BEST_FPERIOD_OVERRIDE=FQ","FILING_STATUS=MR","SCALING_FORMAT=MLN","Sort=A","Dates=H","DateFormat=P","Fill=—","Direction=H","UseDPDF=Y")</f>
        <v>—</v>
      </c>
      <c r="P72" s="13" t="str">
        <f>_xll.BDH("ALNY US Equity","BS_CURR_RENTAL_EXPENSE","FQ3 2022","FQ3 2022","Currency=USD","Period=FQ","BEST_FPERIOD_OVERRIDE=FQ","FILING_STATUS=MR","SCALING_FORMAT=MLN","Sort=A","Dates=H","DateFormat=P","Fill=—","Direction=H","UseDPDF=Y")</f>
        <v>—</v>
      </c>
      <c r="Q72" s="13" t="str">
        <f>_xll.BDH("ALNY US Equity","BS_CURR_RENTAL_EXPENSE","FQ4 2022","FQ4 2022","Currency=USD","Period=FQ","BEST_FPERIOD_OVERRIDE=FQ","FILING_STATUS=MR","SCALING_FORMAT=MLN","Sort=A","Dates=H","DateFormat=P","Fill=—","Direction=H","UseDPDF=Y")</f>
        <v>—</v>
      </c>
      <c r="R72" s="13" t="str">
        <f>_xll.BDH("ALNY US Equity","BS_CURR_RENTAL_EXPENSE","FQ1 2023","FQ1 2023","Currency=USD","Period=FQ","BEST_FPERIOD_OVERRIDE=FQ","FILING_STATUS=MR","SCALING_FORMAT=MLN","Sort=A","Dates=H","DateFormat=P","Fill=—","Direction=H","UseDPDF=Y")</f>
        <v>—</v>
      </c>
      <c r="S72" s="13" t="str">
        <f>_xll.BDH("ALNY US Equity","BS_CURR_RENTAL_EXPENSE","FQ2 2023","FQ2 2023","Currency=USD","Period=FQ","BEST_FPERIOD_OVERRIDE=FQ","FILING_STATUS=MR","SCALING_FORMAT=MLN","Sort=A","Dates=H","DateFormat=P","Fill=—","Direction=H","UseDPDF=Y")</f>
        <v>—</v>
      </c>
      <c r="T72" s="13" t="str">
        <f>_xll.BDH("ALNY US Equity","BS_CURR_RENTAL_EXPENSE","FQ3 2023","FQ3 2023","Currency=USD","Period=FQ","BEST_FPERIOD_OVERRIDE=FQ","FILING_STATUS=MR","SCALING_FORMAT=MLN","Sort=A","Dates=H","DateFormat=P","Fill=—","Direction=H","UseDPDF=Y")</f>
        <v>—</v>
      </c>
      <c r="U72" s="13" t="str">
        <f>_xll.BDH("ALNY US Equity","BS_CURR_RENTAL_EXPENSE","FQ4 2023","FQ4 2023","Currency=USD","Period=FQ","BEST_FPERIOD_OVERRIDE=FQ","FILING_STATUS=MR","SCALING_FORMAT=MLN","Sort=A","Dates=H","DateFormat=P","Fill=—","Direction=H","UseDPDF=Y")</f>
        <v>—</v>
      </c>
      <c r="V72" s="13" t="str">
        <f>_xll.BDH("ALNY US Equity","BS_CURR_RENTAL_EXPENSE","FQ1 2024","FQ1 2024","Currency=USD","Period=FQ","BEST_FPERIOD_OVERRIDE=FQ","FILING_STATUS=MR","SCALING_FORMAT=MLN","Sort=A","Dates=H","DateFormat=P","Fill=—","Direction=H","UseDPDF=Y")</f>
        <v>—</v>
      </c>
      <c r="W72" s="13" t="str">
        <f>_xll.BDH("ALNY US Equity","BS_CURR_RENTAL_EXPENSE","FQ2 2024","FQ2 2024","Currency=USD","Period=FQ","BEST_FPERIOD_OVERRIDE=FQ","FILING_STATUS=MR","SCALING_FORMAT=MLN","Sort=A","Dates=H","DateFormat=P","Fill=—","Direction=H","UseDPDF=Y")</f>
        <v>—</v>
      </c>
      <c r="X72" s="13" t="str">
        <f>_xll.BDH("ALNY US Equity","BS_CURR_RENTAL_EXPENSE","FQ3 2024","FQ3 2024","Currency=USD","Period=FQ","BEST_FPERIOD_OVERRIDE=FQ","FILING_STATUS=MR","SCALING_FORMAT=MLN","Sort=A","Dates=H","DateFormat=P","Fill=—","Direction=H","UseDPDF=Y")</f>
        <v>—</v>
      </c>
      <c r="Y72" s="13" t="str">
        <f>_xll.BDH("ALNY US Equity","BS_CURR_RENTAL_EXPENSE","FQ4 2024","FQ4 2024","Currency=USD","Period=FQ","BEST_FPERIOD_OVERRIDE=FQ","FILING_STATUS=MR","SCALING_FORMAT=MLN","Sort=A","Dates=H","DateFormat=P","Fill=—","Direction=H","UseDPDF=Y")</f>
        <v>—</v>
      </c>
      <c r="Z72" s="13"/>
      <c r="AA72" s="13"/>
    </row>
    <row r="73" spans="1:27" x14ac:dyDescent="0.25">
      <c r="A73" s="7" t="s">
        <v>90</v>
      </c>
      <c r="B73" s="7"/>
      <c r="C73" s="7" t="s">
        <v>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6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394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0</v>
      </c>
      <c r="B6" s="6" t="s">
        <v>71</v>
      </c>
      <c r="C6" s="19">
        <f>_xll.BDH("ALNY US Equity","SALES_REV_TURN","FQ2 2019","FQ2 2019","Currency=USD","Period=FQ","BEST_FPERIOD_OVERRIDE=FQ","FILING_STATUS=MR","SCALING_FORMAT=MLN","FA_ADJUSTED=GAAP","Sort=A","Dates=H","DateFormat=P","Fill=—","Direction=H","UseDPDF=Y")</f>
        <v>44.713999999999999</v>
      </c>
      <c r="D6" s="19">
        <f>_xll.BDH("ALNY US Equity","SALES_REV_TURN","FQ3 2019","FQ3 2019","Currency=USD","Period=FQ","BEST_FPERIOD_OVERRIDE=FQ","FILING_STATUS=MR","SCALING_FORMAT=MLN","FA_ADJUSTED=GAAP","Sort=A","Dates=H","DateFormat=P","Fill=—","Direction=H","UseDPDF=Y")</f>
        <v>70.061000000000007</v>
      </c>
      <c r="E6" s="19">
        <f>_xll.BDH("ALNY US Equity","SALES_REV_TURN","FQ4 2019","FQ4 2019","Currency=USD","Period=FQ","BEST_FPERIOD_OVERRIDE=FQ","FILING_STATUS=MR","SCALING_FORMAT=MLN","FA_ADJUSTED=GAAP","Sort=A","Dates=H","DateFormat=P","Fill=—","Direction=H","UseDPDF=Y")</f>
        <v>71.680999999999997</v>
      </c>
      <c r="F6" s="19">
        <f>_xll.BDH("ALNY US Equity","SALES_REV_TURN","FQ1 2020","FQ1 2020","Currency=USD","Period=FQ","BEST_FPERIOD_OVERRIDE=FQ","FILING_STATUS=MR","SCALING_FORMAT=MLN","FA_ADJUSTED=GAAP","Sort=A","Dates=H","DateFormat=P","Fill=—","Direction=H","UseDPDF=Y")</f>
        <v>99.475999999999999</v>
      </c>
      <c r="G6" s="19">
        <f>_xll.BDH("ALNY US Equity","SALES_REV_TURN","FQ2 2020","FQ2 2020","Currency=USD","Period=FQ","BEST_FPERIOD_OVERRIDE=FQ","FILING_STATUS=MR","SCALING_FORMAT=MLN","FA_ADJUSTED=GAAP","Sort=A","Dates=H","DateFormat=P","Fill=—","Direction=H","UseDPDF=Y")</f>
        <v>103.962</v>
      </c>
      <c r="H6" s="19">
        <f>_xll.BDH("ALNY US Equity","SALES_REV_TURN","FQ3 2020","FQ3 2020","Currency=USD","Period=FQ","BEST_FPERIOD_OVERRIDE=FQ","FILING_STATUS=MR","SCALING_FORMAT=MLN","FA_ADJUSTED=GAAP","Sort=A","Dates=H","DateFormat=P","Fill=—","Direction=H","UseDPDF=Y")</f>
        <v>125.85299999999999</v>
      </c>
      <c r="I6" s="19">
        <f>_xll.BDH("ALNY US Equity","SALES_REV_TURN","FQ4 2020","FQ4 2020","Currency=USD","Period=FQ","BEST_FPERIOD_OVERRIDE=FQ","FILING_STATUS=MR","SCALING_FORMAT=MLN","FA_ADJUSTED=GAAP","Sort=A","Dates=H","DateFormat=P","Fill=—","Direction=H","UseDPDF=Y")</f>
        <v>163.56200000000001</v>
      </c>
      <c r="J6" s="19">
        <f>_xll.BDH("ALNY US Equity","SALES_REV_TURN","FQ1 2021","FQ1 2021","Currency=USD","Period=FQ","BEST_FPERIOD_OVERRIDE=FQ","FILING_STATUS=MR","SCALING_FORMAT=MLN","FA_ADJUSTED=GAAP","Sort=A","Dates=H","DateFormat=P","Fill=—","Direction=H","UseDPDF=Y")</f>
        <v>177.566</v>
      </c>
      <c r="K6" s="19">
        <f>_xll.BDH("ALNY US Equity","SALES_REV_TURN","FQ2 2021","FQ2 2021","Currency=USD","Period=FQ","BEST_FPERIOD_OVERRIDE=FQ","FILING_STATUS=MR","SCALING_FORMAT=MLN","FA_ADJUSTED=GAAP","Sort=A","Dates=H","DateFormat=P","Fill=—","Direction=H","UseDPDF=Y")</f>
        <v>220.553</v>
      </c>
      <c r="L6" s="19">
        <f>_xll.BDH("ALNY US Equity","SALES_REV_TURN","FQ3 2021","FQ3 2021","Currency=USD","Period=FQ","BEST_FPERIOD_OVERRIDE=FQ","FILING_STATUS=MR","SCALING_FORMAT=MLN","FA_ADJUSTED=GAAP","Sort=A","Dates=H","DateFormat=P","Fill=—","Direction=H","UseDPDF=Y")</f>
        <v>187.63300000000001</v>
      </c>
      <c r="M6" s="19">
        <f>_xll.BDH("ALNY US Equity","SALES_REV_TURN","FQ4 2021","FQ4 2021","Currency=USD","Period=FQ","BEST_FPERIOD_OVERRIDE=FQ","FILING_STATUS=MR","SCALING_FORMAT=MLN","FA_ADJUSTED=GAAP","Sort=A","Dates=H","DateFormat=P","Fill=—","Direction=H","UseDPDF=Y")</f>
        <v>258.53500000000003</v>
      </c>
      <c r="N6" s="19">
        <f>_xll.BDH("ALNY US Equity","SALES_REV_TURN","FQ1 2022","FQ1 2022","Currency=USD","Period=FQ","BEST_FPERIOD_OVERRIDE=FQ","FILING_STATUS=MR","SCALING_FORMAT=MLN","FA_ADJUSTED=GAAP","Sort=A","Dates=H","DateFormat=P","Fill=—","Direction=H","UseDPDF=Y")</f>
        <v>213.25899999999999</v>
      </c>
      <c r="O6" s="19">
        <f>_xll.BDH("ALNY US Equity","SALES_REV_TURN","FQ2 2022","FQ2 2022","Currency=USD","Period=FQ","BEST_FPERIOD_OVERRIDE=FQ","FILING_STATUS=MR","SCALING_FORMAT=MLN","FA_ADJUSTED=GAAP","Sort=A","Dates=H","DateFormat=P","Fill=—","Direction=H","UseDPDF=Y")</f>
        <v>224.81800000000001</v>
      </c>
      <c r="P6" s="19">
        <f>_xll.BDH("ALNY US Equity","SALES_REV_TURN","FQ3 2022","FQ3 2022","Currency=USD","Period=FQ","BEST_FPERIOD_OVERRIDE=FQ","FILING_STATUS=MR","SCALING_FORMAT=MLN","FA_ADJUSTED=GAAP","Sort=A","Dates=H","DateFormat=P","Fill=—","Direction=H","UseDPDF=Y")</f>
        <v>264.30599999999998</v>
      </c>
      <c r="Q6" s="19">
        <f>_xll.BDH("ALNY US Equity","SALES_REV_TURN","FQ4 2022","FQ4 2022","Currency=USD","Period=FQ","BEST_FPERIOD_OVERRIDE=FQ","FILING_STATUS=MR","SCALING_FORMAT=MLN","FA_ADJUSTED=GAAP","Sort=A","Dates=H","DateFormat=P","Fill=—","Direction=H","UseDPDF=Y")</f>
        <v>335.03500000000003</v>
      </c>
      <c r="R6" s="19">
        <f>_xll.BDH("ALNY US Equity","SALES_REV_TURN","FQ1 2023","FQ1 2023","Currency=USD","Period=FQ","BEST_FPERIOD_OVERRIDE=FQ","FILING_STATUS=MR","SCALING_FORMAT=MLN","FA_ADJUSTED=GAAP","Sort=A","Dates=H","DateFormat=P","Fill=—","Direction=H","UseDPDF=Y")</f>
        <v>319.29000000000002</v>
      </c>
      <c r="S6" s="19">
        <f>_xll.BDH("ALNY US Equity","SALES_REV_TURN","FQ2 2023","FQ2 2023","Currency=USD","Period=FQ","BEST_FPERIOD_OVERRIDE=FQ","FILING_STATUS=MR","SCALING_FORMAT=MLN","FA_ADJUSTED=GAAP","Sort=A","Dates=H","DateFormat=P","Fill=—","Direction=H","UseDPDF=Y")</f>
        <v>318.75400000000002</v>
      </c>
      <c r="T6" s="19">
        <f>_xll.BDH("ALNY US Equity","SALES_REV_TURN","FQ3 2023","FQ3 2023","Currency=USD","Period=FQ","BEST_FPERIOD_OVERRIDE=FQ","FILING_STATUS=MR","SCALING_FORMAT=MLN","FA_ADJUSTED=GAAP","Sort=A","Dates=H","DateFormat=P","Fill=—","Direction=H","UseDPDF=Y")</f>
        <v>750.53</v>
      </c>
      <c r="U6" s="19">
        <f>_xll.BDH("ALNY US Equity","SALES_REV_TURN","FQ4 2023","FQ4 2023","Currency=USD","Period=FQ","BEST_FPERIOD_OVERRIDE=FQ","FILING_STATUS=MR","SCALING_FORMAT=MLN","FA_ADJUSTED=GAAP","Sort=A","Dates=H","DateFormat=P","Fill=—","Direction=H","UseDPDF=Y")</f>
        <v>439.71800000000002</v>
      </c>
      <c r="V6" s="19">
        <f>_xll.BDH("ALNY US Equity","SALES_REV_TURN","FQ1 2024","FQ1 2024","Currency=USD","Period=FQ","BEST_FPERIOD_OVERRIDE=FQ","FILING_STATUS=MR","SCALING_FORMAT=MLN","FA_ADJUSTED=GAAP","Sort=A","Dates=H","DateFormat=P","Fill=—","Direction=H","UseDPDF=Y")</f>
        <v>494.33300000000003</v>
      </c>
      <c r="W6" s="19">
        <f>_xll.BDH("ALNY US Equity","SALES_REV_TURN","FQ2 2024","FQ2 2024","Currency=USD","Period=FQ","BEST_FPERIOD_OVERRIDE=FQ","FILING_STATUS=MR","SCALING_FORMAT=MLN","FA_ADJUSTED=GAAP","Sort=A","Dates=H","DateFormat=P","Fill=—","Direction=H","UseDPDF=Y")</f>
        <v>659.82500000000005</v>
      </c>
      <c r="X6" s="19">
        <f>_xll.BDH("ALNY US Equity","SALES_REV_TURN","FQ3 2024","FQ3 2024","Currency=USD","Period=FQ","BEST_FPERIOD_OVERRIDE=FQ","FILING_STATUS=MR","SCALING_FORMAT=MLN","FA_ADJUSTED=GAAP","Sort=A","Dates=H","DateFormat=P","Fill=—","Direction=H","UseDPDF=Y")</f>
        <v>500.91899999999998</v>
      </c>
      <c r="Y6" s="19">
        <f>_xll.BDH("ALNY US Equity","SALES_REV_TURN","FQ4 2024","FQ4 2024","Currency=USD","Period=FQ","BEST_FPERIOD_OVERRIDE=FQ","FILING_STATUS=MR","SCALING_FORMAT=MLN","FA_ADJUSTED=GAAP","Sort=A","Dates=H","DateFormat=P","Fill=—","Direction=H","UseDPDF=Y")</f>
        <v>593.16600000000005</v>
      </c>
      <c r="Z6" s="19">
        <v>583.59299999999996</v>
      </c>
      <c r="AA6" s="19">
        <v>631.77800000000002</v>
      </c>
    </row>
    <row r="7" spans="1:27" x14ac:dyDescent="0.25">
      <c r="A7" s="10" t="s">
        <v>298</v>
      </c>
      <c r="B7" s="10" t="s">
        <v>299</v>
      </c>
      <c r="C7" s="13">
        <f>_xll.BDH("ALNY US Equity","IS_SALES_AND_SERVICES_REVENUES","FQ2 2019","FQ2 2019","Currency=USD","Period=FQ","BEST_FPERIOD_OVERRIDE=FQ","FILING_STATUS=MR","SCALING_FORMAT=MLN","FA_ADJUSTED=GAAP","Sort=A","Dates=H","DateFormat=P","Fill=—","Direction=H","UseDPDF=Y")</f>
        <v>44.713999999999999</v>
      </c>
      <c r="D7" s="13">
        <f>_xll.BDH("ALNY US Equity","IS_SALES_AND_SERVICES_REVENUES","FQ3 2019","FQ3 2019","Currency=USD","Period=FQ","BEST_FPERIOD_OVERRIDE=FQ","FILING_STATUS=MR","SCALING_FORMAT=MLN","FA_ADJUSTED=GAAP","Sort=A","Dates=H","DateFormat=P","Fill=—","Direction=H","UseDPDF=Y")</f>
        <v>70.061000000000007</v>
      </c>
      <c r="E7" s="13">
        <f>_xll.BDH("ALNY US Equity","IS_SALES_AND_SERVICES_REVENUES","FQ4 2019","FQ4 2019","Currency=USD","Period=FQ","BEST_FPERIOD_OVERRIDE=FQ","FILING_STATUS=MR","SCALING_FORMAT=MLN","FA_ADJUSTED=GAAP","Sort=A","Dates=H","DateFormat=P","Fill=—","Direction=H","UseDPDF=Y")</f>
        <v>71.680999999999997</v>
      </c>
      <c r="F7" s="13">
        <f>_xll.BDH("ALNY US Equity","IS_SALES_AND_SERVICES_REVENUES","FQ1 2020","FQ1 2020","Currency=USD","Period=FQ","BEST_FPERIOD_OVERRIDE=FQ","FILING_STATUS=MR","SCALING_FORMAT=MLN","FA_ADJUSTED=GAAP","Sort=A","Dates=H","DateFormat=P","Fill=—","Direction=H","UseDPDF=Y")</f>
        <v>99.475999999999999</v>
      </c>
      <c r="G7" s="13">
        <f>_xll.BDH("ALNY US Equity","IS_SALES_AND_SERVICES_REVENUES","FQ2 2020","FQ2 2020","Currency=USD","Period=FQ","BEST_FPERIOD_OVERRIDE=FQ","FILING_STATUS=MR","SCALING_FORMAT=MLN","FA_ADJUSTED=GAAP","Sort=A","Dates=H","DateFormat=P","Fill=—","Direction=H","UseDPDF=Y")</f>
        <v>103.962</v>
      </c>
      <c r="H7" s="13">
        <f>_xll.BDH("ALNY US Equity","IS_SALES_AND_SERVICES_REVENUES","FQ3 2020","FQ3 2020","Currency=USD","Period=FQ","BEST_FPERIOD_OVERRIDE=FQ","FILING_STATUS=MR","SCALING_FORMAT=MLN","FA_ADJUSTED=GAAP","Sort=A","Dates=H","DateFormat=P","Fill=—","Direction=H","UseDPDF=Y")</f>
        <v>125.85299999999999</v>
      </c>
      <c r="I7" s="13">
        <f>_xll.BDH("ALNY US Equity","IS_SALES_AND_SERVICES_REVENUES","FQ4 2020","FQ4 2020","Currency=USD","Period=FQ","BEST_FPERIOD_OVERRIDE=FQ","FILING_STATUS=MR","SCALING_FORMAT=MLN","FA_ADJUSTED=GAAP","Sort=A","Dates=H","DateFormat=P","Fill=—","Direction=H","UseDPDF=Y")</f>
        <v>163.56200000000001</v>
      </c>
      <c r="J7" s="13">
        <f>_xll.BDH("ALNY US Equity","IS_SALES_AND_SERVICES_REVENUES","FQ1 2021","FQ1 2021","Currency=USD","Period=FQ","BEST_FPERIOD_OVERRIDE=FQ","FILING_STATUS=MR","SCALING_FORMAT=MLN","FA_ADJUSTED=GAAP","Sort=A","Dates=H","DateFormat=P","Fill=—","Direction=H","UseDPDF=Y")</f>
        <v>177.566</v>
      </c>
      <c r="K7" s="13">
        <f>_xll.BDH("ALNY US Equity","IS_SALES_AND_SERVICES_REVENUES","FQ2 2021","FQ2 2021","Currency=USD","Period=FQ","BEST_FPERIOD_OVERRIDE=FQ","FILING_STATUS=MR","SCALING_FORMAT=MLN","FA_ADJUSTED=GAAP","Sort=A","Dates=H","DateFormat=P","Fill=—","Direction=H","UseDPDF=Y")</f>
        <v>220.20599999999999</v>
      </c>
      <c r="L7" s="13">
        <f>_xll.BDH("ALNY US Equity","IS_SALES_AND_SERVICES_REVENUES","FQ3 2021","FQ3 2021","Currency=USD","Period=FQ","BEST_FPERIOD_OVERRIDE=FQ","FILING_STATUS=MR","SCALING_FORMAT=MLN","FA_ADJUSTED=GAAP","Sort=A","Dates=H","DateFormat=P","Fill=—","Direction=H","UseDPDF=Y")</f>
        <v>187.18</v>
      </c>
      <c r="M7" s="13">
        <f>_xll.BDH("ALNY US Equity","IS_SALES_AND_SERVICES_REVENUES","FQ4 2021","FQ4 2021","Currency=USD","Period=FQ","BEST_FPERIOD_OVERRIDE=FQ","FILING_STATUS=MR","SCALING_FORMAT=MLN","FA_ADJUSTED=GAAP","Sort=A","Dates=H","DateFormat=P","Fill=—","Direction=H","UseDPDF=Y")</f>
        <v>258.13900000000001</v>
      </c>
      <c r="N7" s="13">
        <f>_xll.BDH("ALNY US Equity","IS_SALES_AND_SERVICES_REVENUES","FQ1 2022","FQ1 2022","Currency=USD","Period=FQ","BEST_FPERIOD_OVERRIDE=FQ","FILING_STATUS=MR","SCALING_FORMAT=MLN","FA_ADJUSTED=GAAP","Sort=A","Dates=H","DateFormat=P","Fill=—","Direction=H","UseDPDF=Y")</f>
        <v>212.81700000000001</v>
      </c>
      <c r="O7" s="13">
        <f>_xll.BDH("ALNY US Equity","IS_SALES_AND_SERVICES_REVENUES","FQ2 2022","FQ2 2022","Currency=USD","Period=FQ","BEST_FPERIOD_OVERRIDE=FQ","FILING_STATUS=MR","SCALING_FORMAT=MLN","FA_ADJUSTED=GAAP","Sort=A","Dates=H","DateFormat=P","Fill=—","Direction=H","UseDPDF=Y")</f>
        <v>222.54</v>
      </c>
      <c r="P7" s="13">
        <f>_xll.BDH("ALNY US Equity","IS_SALES_AND_SERVICES_REVENUES","FQ3 2022","FQ3 2022","Currency=USD","Period=FQ","BEST_FPERIOD_OVERRIDE=FQ","FILING_STATUS=MR","SCALING_FORMAT=MLN","FA_ADJUSTED=GAAP","Sort=A","Dates=H","DateFormat=P","Fill=—","Direction=H","UseDPDF=Y")</f>
        <v>261.56400000000002</v>
      </c>
      <c r="Q7" s="13">
        <f>_xll.BDH("ALNY US Equity","IS_SALES_AND_SERVICES_REVENUES","FQ4 2022","FQ4 2022","Currency=USD","Period=FQ","BEST_FPERIOD_OVERRIDE=FQ","FILING_STATUS=MR","SCALING_FORMAT=MLN","FA_ADJUSTED=GAAP","Sort=A","Dates=H","DateFormat=P","Fill=—","Direction=H","UseDPDF=Y")</f>
        <v>332.32</v>
      </c>
      <c r="R7" s="13">
        <f>_xll.BDH("ALNY US Equity","IS_SALES_AND_SERVICES_REVENUES","FQ1 2023","FQ1 2023","Currency=USD","Period=FQ","BEST_FPERIOD_OVERRIDE=FQ","FILING_STATUS=MR","SCALING_FORMAT=MLN","FA_ADJUSTED=GAAP","Sort=A","Dates=H","DateFormat=P","Fill=—","Direction=H","UseDPDF=Y")</f>
        <v>312.79000000000002</v>
      </c>
      <c r="S7" s="13">
        <f>_xll.BDH("ALNY US Equity","IS_SALES_AND_SERVICES_REVENUES","FQ2 2023","FQ2 2023","Currency=USD","Period=FQ","BEST_FPERIOD_OVERRIDE=FQ","FILING_STATUS=MR","SCALING_FORMAT=MLN","FA_ADJUSTED=GAAP","Sort=A","Dates=H","DateFormat=P","Fill=—","Direction=H","UseDPDF=Y")</f>
        <v>311.54899999999998</v>
      </c>
      <c r="T7" s="13">
        <f>_xll.BDH("ALNY US Equity","IS_SALES_AND_SERVICES_REVENUES","FQ3 2023","FQ3 2023","Currency=USD","Period=FQ","BEST_FPERIOD_OVERRIDE=FQ","FILING_STATUS=MR","SCALING_FORMAT=MLN","FA_ADJUSTED=GAAP","Sort=A","Dates=H","DateFormat=P","Fill=—","Direction=H","UseDPDF=Y")</f>
        <v>740.625</v>
      </c>
      <c r="U7" s="13">
        <f>_xll.BDH("ALNY US Equity","IS_SALES_AND_SERVICES_REVENUES","FQ4 2023","FQ4 2023","Currency=USD","Period=FQ","BEST_FPERIOD_OVERRIDE=FQ","FILING_STATUS=MR","SCALING_FORMAT=MLN","FA_ADJUSTED=GAAP","Sort=A","Dates=H","DateFormat=P","Fill=—","Direction=H","UseDPDF=Y")</f>
        <v>422.69499999999999</v>
      </c>
      <c r="V7" s="13">
        <f>_xll.BDH("ALNY US Equity","IS_SALES_AND_SERVICES_REVENUES","FQ1 2024","FQ1 2024","Currency=USD","Period=FQ","BEST_FPERIOD_OVERRIDE=FQ","FILING_STATUS=MR","SCALING_FORMAT=MLN","FA_ADJUSTED=GAAP","Sort=A","Dates=H","DateFormat=P","Fill=—","Direction=H","UseDPDF=Y")</f>
        <v>483.71100000000001</v>
      </c>
      <c r="W7" s="13">
        <f>_xll.BDH("ALNY US Equity","IS_SALES_AND_SERVICES_REVENUES","FQ2 2024","FQ2 2024","Currency=USD","Period=FQ","BEST_FPERIOD_OVERRIDE=FQ","FILING_STATUS=MR","SCALING_FORMAT=MLN","FA_ADJUSTED=GAAP","Sort=A","Dates=H","DateFormat=P","Fill=—","Direction=H","UseDPDF=Y")</f>
        <v>637.42600000000004</v>
      </c>
      <c r="X7" s="13">
        <f>_xll.BDH("ALNY US Equity","IS_SALES_AND_SERVICES_REVENUES","FQ3 2024","FQ3 2024","Currency=USD","Period=FQ","BEST_FPERIOD_OVERRIDE=FQ","FILING_STATUS=MR","SCALING_FORMAT=MLN","FA_ADJUSTED=GAAP","Sort=A","Dates=H","DateFormat=P","Fill=—","Direction=H","UseDPDF=Y")</f>
        <v>477.53300000000002</v>
      </c>
      <c r="Y7" s="13">
        <f>_xll.BDH("ALNY US Equity","IS_SALES_AND_SERVICES_REVENUES","FQ4 2024","FQ4 2024","Currency=USD","Period=FQ","BEST_FPERIOD_OVERRIDE=FQ","FILING_STATUS=MR","SCALING_FORMAT=MLN","FA_ADJUSTED=GAAP","Sort=A","Dates=H","DateFormat=P","Fill=—","Direction=H","UseDPDF=Y")</f>
        <v>557.779</v>
      </c>
      <c r="Z7" s="13"/>
      <c r="AA7" s="13"/>
    </row>
    <row r="8" spans="1:27" x14ac:dyDescent="0.25">
      <c r="A8" s="10" t="s">
        <v>300</v>
      </c>
      <c r="B8" s="10" t="s">
        <v>301</v>
      </c>
      <c r="C8" s="13" t="str">
        <f>_xll.BDH("ALNY US Equity","IS_OTHER_REVENUE","FQ2 2019","FQ2 2019","Currency=USD","Period=FQ","BEST_FPERIOD_OVERRIDE=FQ","FILING_STATUS=MR","SCALING_FORMAT=MLN","FA_ADJUSTED=GAAP","Sort=A","Dates=H","DateFormat=P","Fill=—","Direction=H","UseDPDF=Y")</f>
        <v>—</v>
      </c>
      <c r="D8" s="13" t="str">
        <f>_xll.BDH("ALNY US Equity","IS_OTHER_REVENUE","FQ3 2019","FQ3 2019","Currency=USD","Period=FQ","BEST_FPERIOD_OVERRIDE=FQ","FILING_STATUS=MR","SCALING_FORMAT=MLN","FA_ADJUSTED=GAAP","Sort=A","Dates=H","DateFormat=P","Fill=—","Direction=H","UseDPDF=Y")</f>
        <v>—</v>
      </c>
      <c r="E8" s="13" t="str">
        <f>_xll.BDH("ALNY US Equity","IS_OTHER_REVENUE","FQ4 2019","FQ4 2019","Currency=USD","Period=FQ","BEST_FPERIOD_OVERRIDE=FQ","FILING_STATUS=MR","SCALING_FORMAT=MLN","FA_ADJUSTED=GAAP","Sort=A","Dates=H","DateFormat=P","Fill=—","Direction=H","UseDPDF=Y")</f>
        <v>—</v>
      </c>
      <c r="F8" s="13" t="str">
        <f>_xll.BDH("ALNY US Equity","IS_OTHER_REVENUE","FQ1 2020","FQ1 2020","Currency=USD","Period=FQ","BEST_FPERIOD_OVERRIDE=FQ","FILING_STATUS=MR","SCALING_FORMAT=MLN","FA_ADJUSTED=GAAP","Sort=A","Dates=H","DateFormat=P","Fill=—","Direction=H","UseDPDF=Y")</f>
        <v>—</v>
      </c>
      <c r="G8" s="13" t="str">
        <f>_xll.BDH("ALNY US Equity","IS_OTHER_REVENUE","FQ2 2020","FQ2 2020","Currency=USD","Period=FQ","BEST_FPERIOD_OVERRIDE=FQ","FILING_STATUS=MR","SCALING_FORMAT=MLN","FA_ADJUSTED=GAAP","Sort=A","Dates=H","DateFormat=P","Fill=—","Direction=H","UseDPDF=Y")</f>
        <v>—</v>
      </c>
      <c r="H8" s="13" t="str">
        <f>_xll.BDH("ALNY US Equity","IS_OTHER_REVENUE","FQ3 2020","FQ3 2020","Currency=USD","Period=FQ","BEST_FPERIOD_OVERRIDE=FQ","FILING_STATUS=MR","SCALING_FORMAT=MLN","FA_ADJUSTED=GAAP","Sort=A","Dates=H","DateFormat=P","Fill=—","Direction=H","UseDPDF=Y")</f>
        <v>—</v>
      </c>
      <c r="I8" s="13" t="str">
        <f>_xll.BDH("ALNY US Equity","IS_OTHER_REVENUE","FQ4 2020","FQ4 2020","Currency=USD","Period=FQ","BEST_FPERIOD_OVERRIDE=FQ","FILING_STATUS=MR","SCALING_FORMAT=MLN","FA_ADJUSTED=GAAP","Sort=A","Dates=H","DateFormat=P","Fill=—","Direction=H","UseDPDF=Y")</f>
        <v>—</v>
      </c>
      <c r="J8" s="13" t="str">
        <f>_xll.BDH("ALNY US Equity","IS_OTHER_REVENUE","FQ1 2021","FQ1 2021","Currency=USD","Period=FQ","BEST_FPERIOD_OVERRIDE=FQ","FILING_STATUS=MR","SCALING_FORMAT=MLN","FA_ADJUSTED=GAAP","Sort=A","Dates=H","DateFormat=P","Fill=—","Direction=H","UseDPDF=Y")</f>
        <v>—</v>
      </c>
      <c r="K8" s="13">
        <f>_xll.BDH("ALNY US Equity","IS_OTHER_REVENUE","FQ2 2021","FQ2 2021","Currency=USD","Period=FQ","BEST_FPERIOD_OVERRIDE=FQ","FILING_STATUS=MR","SCALING_FORMAT=MLN","FA_ADJUSTED=GAAP","Sort=A","Dates=H","DateFormat=P","Fill=—","Direction=H","UseDPDF=Y")</f>
        <v>0.34699999999999998</v>
      </c>
      <c r="L8" s="13">
        <f>_xll.BDH("ALNY US Equity","IS_OTHER_REVENUE","FQ3 2021","FQ3 2021","Currency=USD","Period=FQ","BEST_FPERIOD_OVERRIDE=FQ","FILING_STATUS=MR","SCALING_FORMAT=MLN","FA_ADJUSTED=GAAP","Sort=A","Dates=H","DateFormat=P","Fill=—","Direction=H","UseDPDF=Y")</f>
        <v>0.45300000000000001</v>
      </c>
      <c r="M8" s="13">
        <f>_xll.BDH("ALNY US Equity","IS_OTHER_REVENUE","FQ4 2021","FQ4 2021","Currency=USD","Period=FQ","BEST_FPERIOD_OVERRIDE=FQ","FILING_STATUS=MR","SCALING_FORMAT=MLN","FA_ADJUSTED=GAAP","Sort=A","Dates=H","DateFormat=P","Fill=—","Direction=H","UseDPDF=Y")</f>
        <v>0.39600000000000002</v>
      </c>
      <c r="N8" s="13">
        <f>_xll.BDH("ALNY US Equity","IS_OTHER_REVENUE","FQ1 2022","FQ1 2022","Currency=USD","Period=FQ","BEST_FPERIOD_OVERRIDE=FQ","FILING_STATUS=MR","SCALING_FORMAT=MLN","FA_ADJUSTED=GAAP","Sort=A","Dates=H","DateFormat=P","Fill=—","Direction=H","UseDPDF=Y")</f>
        <v>0.442</v>
      </c>
      <c r="O8" s="13">
        <f>_xll.BDH("ALNY US Equity","IS_OTHER_REVENUE","FQ2 2022","FQ2 2022","Currency=USD","Period=FQ","BEST_FPERIOD_OVERRIDE=FQ","FILING_STATUS=MR","SCALING_FORMAT=MLN","FA_ADJUSTED=GAAP","Sort=A","Dates=H","DateFormat=P","Fill=—","Direction=H","UseDPDF=Y")</f>
        <v>2.278</v>
      </c>
      <c r="P8" s="13">
        <f>_xll.BDH("ALNY US Equity","IS_OTHER_REVENUE","FQ3 2022","FQ3 2022","Currency=USD","Period=FQ","BEST_FPERIOD_OVERRIDE=FQ","FILING_STATUS=MR","SCALING_FORMAT=MLN","FA_ADJUSTED=GAAP","Sort=A","Dates=H","DateFormat=P","Fill=—","Direction=H","UseDPDF=Y")</f>
        <v>2.742</v>
      </c>
      <c r="Q8" s="13">
        <f>_xll.BDH("ALNY US Equity","IS_OTHER_REVENUE","FQ4 2022","FQ4 2022","Currency=USD","Period=FQ","BEST_FPERIOD_OVERRIDE=FQ","FILING_STATUS=MR","SCALING_FORMAT=MLN","FA_ADJUSTED=GAAP","Sort=A","Dates=H","DateFormat=P","Fill=—","Direction=H","UseDPDF=Y")</f>
        <v>2.7149999999999999</v>
      </c>
      <c r="R8" s="13">
        <f>_xll.BDH("ALNY US Equity","IS_OTHER_REVENUE","FQ1 2023","FQ1 2023","Currency=USD","Period=FQ","BEST_FPERIOD_OVERRIDE=FQ","FILING_STATUS=MR","SCALING_FORMAT=MLN","FA_ADJUSTED=GAAP","Sort=A","Dates=H","DateFormat=P","Fill=—","Direction=H","UseDPDF=Y")</f>
        <v>6.5</v>
      </c>
      <c r="S8" s="13">
        <f>_xll.BDH("ALNY US Equity","IS_OTHER_REVENUE","FQ2 2023","FQ2 2023","Currency=USD","Period=FQ","BEST_FPERIOD_OVERRIDE=FQ","FILING_STATUS=MR","SCALING_FORMAT=MLN","FA_ADJUSTED=GAAP","Sort=A","Dates=H","DateFormat=P","Fill=—","Direction=H","UseDPDF=Y")</f>
        <v>7.2050000000000001</v>
      </c>
      <c r="T8" s="13">
        <f>_xll.BDH("ALNY US Equity","IS_OTHER_REVENUE","FQ3 2023","FQ3 2023","Currency=USD","Period=FQ","BEST_FPERIOD_OVERRIDE=FQ","FILING_STATUS=MR","SCALING_FORMAT=MLN","FA_ADJUSTED=GAAP","Sort=A","Dates=H","DateFormat=P","Fill=—","Direction=H","UseDPDF=Y")</f>
        <v>9.9049999999999994</v>
      </c>
      <c r="U8" s="13">
        <f>_xll.BDH("ALNY US Equity","IS_OTHER_REVENUE","FQ4 2023","FQ4 2023","Currency=USD","Period=FQ","BEST_FPERIOD_OVERRIDE=FQ","FILING_STATUS=MR","SCALING_FORMAT=MLN","FA_ADJUSTED=GAAP","Sort=A","Dates=H","DateFormat=P","Fill=—","Direction=H","UseDPDF=Y")</f>
        <v>17.023</v>
      </c>
      <c r="V8" s="13">
        <f>_xll.BDH("ALNY US Equity","IS_OTHER_REVENUE","FQ1 2024","FQ1 2024","Currency=USD","Period=FQ","BEST_FPERIOD_OVERRIDE=FQ","FILING_STATUS=MR","SCALING_FORMAT=MLN","FA_ADJUSTED=GAAP","Sort=A","Dates=H","DateFormat=P","Fill=—","Direction=H","UseDPDF=Y")</f>
        <v>10.622</v>
      </c>
      <c r="W8" s="13">
        <f>_xll.BDH("ALNY US Equity","IS_OTHER_REVENUE","FQ2 2024","FQ2 2024","Currency=USD","Period=FQ","BEST_FPERIOD_OVERRIDE=FQ","FILING_STATUS=MR","SCALING_FORMAT=MLN","FA_ADJUSTED=GAAP","Sort=A","Dates=H","DateFormat=P","Fill=—","Direction=H","UseDPDF=Y")</f>
        <v>22.399000000000001</v>
      </c>
      <c r="X8" s="13">
        <f>_xll.BDH("ALNY US Equity","IS_OTHER_REVENUE","FQ3 2024","FQ3 2024","Currency=USD","Period=FQ","BEST_FPERIOD_OVERRIDE=FQ","FILING_STATUS=MR","SCALING_FORMAT=MLN","FA_ADJUSTED=GAAP","Sort=A","Dates=H","DateFormat=P","Fill=—","Direction=H","UseDPDF=Y")</f>
        <v>23.385999999999999</v>
      </c>
      <c r="Y8" s="13">
        <f>_xll.BDH("ALNY US Equity","IS_OTHER_REVENUE","FQ4 2024","FQ4 2024","Currency=USD","Period=FQ","BEST_FPERIOD_OVERRIDE=FQ","FILING_STATUS=MR","SCALING_FORMAT=MLN","FA_ADJUSTED=GAAP","Sort=A","Dates=H","DateFormat=P","Fill=—","Direction=H","UseDPDF=Y")</f>
        <v>35.387</v>
      </c>
      <c r="Z8" s="13"/>
      <c r="AA8" s="13"/>
    </row>
    <row r="9" spans="1:27" x14ac:dyDescent="0.25">
      <c r="A9" s="10" t="s">
        <v>302</v>
      </c>
      <c r="B9" s="10" t="s">
        <v>303</v>
      </c>
      <c r="C9" s="13">
        <f>_xll.BDH("ALNY US Equity","IS_COGS_TO_FE_AND_PP_AND_G","FQ2 2019","FQ2 2019","Currency=USD","Period=FQ","BEST_FPERIOD_OVERRIDE=FQ","FILING_STATUS=MR","SCALING_FORMAT=MLN","FA_ADJUSTED=GAAP","Sort=A","Dates=H","DateFormat=P","Fill=—","Direction=H","UseDPDF=Y")</f>
        <v>4.3259999999999996</v>
      </c>
      <c r="D9" s="13">
        <f>_xll.BDH("ALNY US Equity","IS_COGS_TO_FE_AND_PP_AND_G","FQ3 2019","FQ3 2019","Currency=USD","Period=FQ","BEST_FPERIOD_OVERRIDE=FQ","FILING_STATUS=MR","SCALING_FORMAT=MLN","FA_ADJUSTED=GAAP","Sort=A","Dates=H","DateFormat=P","Fill=—","Direction=H","UseDPDF=Y")</f>
        <v>5.2130000000000001</v>
      </c>
      <c r="E9" s="13">
        <f>_xll.BDH("ALNY US Equity","IS_COGS_TO_FE_AND_PP_AND_G","FQ4 2019","FQ4 2019","Currency=USD","Period=FQ","BEST_FPERIOD_OVERRIDE=FQ","FILING_STATUS=MR","SCALING_FORMAT=MLN","FA_ADJUSTED=GAAP","Sort=A","Dates=H","DateFormat=P","Fill=—","Direction=H","UseDPDF=Y")</f>
        <v>12.176</v>
      </c>
      <c r="F9" s="13">
        <f>_xll.BDH("ALNY US Equity","IS_COGS_TO_FE_AND_PP_AND_G","FQ1 2020","FQ1 2020","Currency=USD","Period=FQ","BEST_FPERIOD_OVERRIDE=FQ","FILING_STATUS=MR","SCALING_FORMAT=MLN","FA_ADJUSTED=GAAP","Sort=A","Dates=H","DateFormat=P","Fill=—","Direction=H","UseDPDF=Y")</f>
        <v>13.302</v>
      </c>
      <c r="G9" s="13">
        <f>_xll.BDH("ALNY US Equity","IS_COGS_TO_FE_AND_PP_AND_G","FQ2 2020","FQ2 2020","Currency=USD","Period=FQ","BEST_FPERIOD_OVERRIDE=FQ","FILING_STATUS=MR","SCALING_FORMAT=MLN","FA_ADJUSTED=GAAP","Sort=A","Dates=H","DateFormat=P","Fill=—","Direction=H","UseDPDF=Y")</f>
        <v>19.928999999999998</v>
      </c>
      <c r="H9" s="13">
        <f>_xll.BDH("ALNY US Equity","IS_COGS_TO_FE_AND_PP_AND_G","FQ3 2020","FQ3 2020","Currency=USD","Period=FQ","BEST_FPERIOD_OVERRIDE=FQ","FILING_STATUS=MR","SCALING_FORMAT=MLN","FA_ADJUSTED=GAAP","Sort=A","Dates=H","DateFormat=P","Fill=—","Direction=H","UseDPDF=Y")</f>
        <v>21.797000000000001</v>
      </c>
      <c r="I9" s="13">
        <f>_xll.BDH("ALNY US Equity","IS_COGS_TO_FE_AND_PP_AND_G","FQ4 2020","FQ4 2020","Currency=USD","Period=FQ","BEST_FPERIOD_OVERRIDE=FQ","FILING_STATUS=MR","SCALING_FORMAT=MLN","FA_ADJUSTED=GAAP","Sort=A","Dates=H","DateFormat=P","Fill=—","Direction=H","UseDPDF=Y")</f>
        <v>23.024000000000001</v>
      </c>
      <c r="J9" s="13">
        <f>_xll.BDH("ALNY US Equity","IS_COGS_TO_FE_AND_PP_AND_G","FQ1 2021","FQ1 2021","Currency=USD","Period=FQ","BEST_FPERIOD_OVERRIDE=FQ","FILING_STATUS=MR","SCALING_FORMAT=MLN","FA_ADJUSTED=GAAP","Sort=A","Dates=H","DateFormat=P","Fill=—","Direction=H","UseDPDF=Y")</f>
        <v>31.062000000000001</v>
      </c>
      <c r="K9" s="13">
        <f>_xll.BDH("ALNY US Equity","IS_COGS_TO_FE_AND_PP_AND_G","FQ2 2021","FQ2 2021","Currency=USD","Period=FQ","BEST_FPERIOD_OVERRIDE=FQ","FILING_STATUS=MR","SCALING_FORMAT=MLN","FA_ADJUSTED=GAAP","Sort=A","Dates=H","DateFormat=P","Fill=—","Direction=H","UseDPDF=Y")</f>
        <v>38.755000000000003</v>
      </c>
      <c r="L9" s="13">
        <f>_xll.BDH("ALNY US Equity","IS_COGS_TO_FE_AND_PP_AND_G","FQ3 2021","FQ3 2021","Currency=USD","Period=FQ","BEST_FPERIOD_OVERRIDE=FQ","FILING_STATUS=MR","SCALING_FORMAT=MLN","FA_ADJUSTED=GAAP","Sort=A","Dates=H","DateFormat=P","Fill=—","Direction=H","UseDPDF=Y")</f>
        <v>32.662999999999997</v>
      </c>
      <c r="M9" s="13">
        <f>_xll.BDH("ALNY US Equity","IS_COGS_TO_FE_AND_PP_AND_G","FQ4 2021","FQ4 2021","Currency=USD","Period=FQ","BEST_FPERIOD_OVERRIDE=FQ","FILING_STATUS=MR","SCALING_FORMAT=MLN","FA_ADJUSTED=GAAP","Sort=A","Dates=H","DateFormat=P","Fill=—","Direction=H","UseDPDF=Y")</f>
        <v>37.664000000000001</v>
      </c>
      <c r="N9" s="13">
        <f>_xll.BDH("ALNY US Equity","IS_COGS_TO_FE_AND_PP_AND_G","FQ1 2022","FQ1 2022","Currency=USD","Period=FQ","BEST_FPERIOD_OVERRIDE=FQ","FILING_STATUS=MR","SCALING_FORMAT=MLN","FA_ADJUSTED=GAAP","Sort=A","Dates=H","DateFormat=P","Fill=—","Direction=H","UseDPDF=Y")</f>
        <v>35.627000000000002</v>
      </c>
      <c r="O9" s="13">
        <f>_xll.BDH("ALNY US Equity","IS_COGS_TO_FE_AND_PP_AND_G","FQ2 2022","FQ2 2022","Currency=USD","Period=FQ","BEST_FPERIOD_OVERRIDE=FQ","FILING_STATUS=MR","SCALING_FORMAT=MLN","FA_ADJUSTED=GAAP","Sort=A","Dates=H","DateFormat=P","Fill=—","Direction=H","UseDPDF=Y")</f>
        <v>40.808</v>
      </c>
      <c r="P9" s="13">
        <f>_xll.BDH("ALNY US Equity","IS_COGS_TO_FE_AND_PP_AND_G","FQ3 2022","FQ3 2022","Currency=USD","Period=FQ","BEST_FPERIOD_OVERRIDE=FQ","FILING_STATUS=MR","SCALING_FORMAT=MLN","FA_ADJUSTED=GAAP","Sort=A","Dates=H","DateFormat=P","Fill=—","Direction=H","UseDPDF=Y")</f>
        <v>41.116</v>
      </c>
      <c r="Q9" s="13">
        <f>_xll.BDH("ALNY US Equity","IS_COGS_TO_FE_AND_PP_AND_G","FQ4 2022","FQ4 2022","Currency=USD","Period=FQ","BEST_FPERIOD_OVERRIDE=FQ","FILING_STATUS=MR","SCALING_FORMAT=MLN","FA_ADJUSTED=GAAP","Sort=A","Dates=H","DateFormat=P","Fill=—","Direction=H","UseDPDF=Y")</f>
        <v>51.265999999999998</v>
      </c>
      <c r="R9" s="13">
        <f>_xll.BDH("ALNY US Equity","IS_COGS_TO_FE_AND_PP_AND_G","FQ1 2023","FQ1 2023","Currency=USD","Period=FQ","BEST_FPERIOD_OVERRIDE=FQ","FILING_STATUS=MR","SCALING_FORMAT=MLN","FA_ADJUSTED=GAAP","Sort=A","Dates=H","DateFormat=P","Fill=—","Direction=H","UseDPDF=Y")</f>
        <v>54.869</v>
      </c>
      <c r="S9" s="13">
        <f>_xll.BDH("ALNY US Equity","IS_COGS_TO_FE_AND_PP_AND_G","FQ2 2023","FQ2 2023","Currency=USD","Period=FQ","BEST_FPERIOD_OVERRIDE=FQ","FILING_STATUS=MR","SCALING_FORMAT=MLN","FA_ADJUSTED=GAAP","Sort=A","Dates=H","DateFormat=P","Fill=—","Direction=H","UseDPDF=Y")</f>
        <v>85.37</v>
      </c>
      <c r="T9" s="13">
        <f>_xll.BDH("ALNY US Equity","IS_COGS_TO_FE_AND_PP_AND_G","FQ3 2023","FQ3 2023","Currency=USD","Period=FQ","BEST_FPERIOD_OVERRIDE=FQ","FILING_STATUS=MR","SCALING_FORMAT=MLN","FA_ADJUSTED=GAAP","Sort=A","Dates=H","DateFormat=P","Fill=—","Direction=H","UseDPDF=Y")</f>
        <v>84.308999999999997</v>
      </c>
      <c r="U9" s="13">
        <f>_xll.BDH("ALNY US Equity","IS_COGS_TO_FE_AND_PP_AND_G","FQ4 2023","FQ4 2023","Currency=USD","Period=FQ","BEST_FPERIOD_OVERRIDE=FQ","FILING_STATUS=MR","SCALING_FORMAT=MLN","FA_ADJUSTED=GAAP","Sort=A","Dates=H","DateFormat=P","Fill=—","Direction=H","UseDPDF=Y")</f>
        <v>85.858000000000004</v>
      </c>
      <c r="V9" s="13">
        <f>_xll.BDH("ALNY US Equity","IS_COGS_TO_FE_AND_PP_AND_G","FQ1 2024","FQ1 2024","Currency=USD","Period=FQ","BEST_FPERIOD_OVERRIDE=FQ","FILING_STATUS=MR","SCALING_FORMAT=MLN","FA_ADJUSTED=GAAP","Sort=A","Dates=H","DateFormat=P","Fill=—","Direction=H","UseDPDF=Y")</f>
        <v>65.975999999999999</v>
      </c>
      <c r="W9" s="13">
        <f>_xll.BDH("ALNY US Equity","IS_COGS_TO_FE_AND_PP_AND_G","FQ2 2024","FQ2 2024","Currency=USD","Period=FQ","BEST_FPERIOD_OVERRIDE=FQ","FILING_STATUS=MR","SCALING_FORMAT=MLN","FA_ADJUSTED=GAAP","Sort=A","Dates=H","DateFormat=P","Fill=—","Direction=H","UseDPDF=Y")</f>
        <v>68.671999999999997</v>
      </c>
      <c r="X9" s="13">
        <f>_xll.BDH("ALNY US Equity","IS_COGS_TO_FE_AND_PP_AND_G","FQ3 2024","FQ3 2024","Currency=USD","Period=FQ","BEST_FPERIOD_OVERRIDE=FQ","FILING_STATUS=MR","SCALING_FORMAT=MLN","FA_ADJUSTED=GAAP","Sort=A","Dates=H","DateFormat=P","Fill=—","Direction=H","UseDPDF=Y")</f>
        <v>85.905000000000001</v>
      </c>
      <c r="Y9" s="13">
        <f>_xll.BDH("ALNY US Equity","IS_COGS_TO_FE_AND_PP_AND_G","FQ4 2024","FQ4 2024","Currency=USD","Period=FQ","BEST_FPERIOD_OVERRIDE=FQ","FILING_STATUS=MR","SCALING_FORMAT=MLN","FA_ADJUSTED=GAAP","Sort=A","Dates=H","DateFormat=P","Fill=—","Direction=H","UseDPDF=Y")</f>
        <v>102.81699999999999</v>
      </c>
      <c r="Z9" s="13"/>
      <c r="AA9" s="13"/>
    </row>
    <row r="10" spans="1:27" x14ac:dyDescent="0.25">
      <c r="A10" s="10" t="s">
        <v>304</v>
      </c>
      <c r="B10" s="10" t="s">
        <v>305</v>
      </c>
      <c r="C10" s="13">
        <f>_xll.BDH("ALNY US Equity","IS_COG_AND_SERVICES_SOLD","FQ2 2019","FQ2 2019","Currency=USD","Period=FQ","BEST_FPERIOD_OVERRIDE=FQ","FILING_STATUS=MR","SCALING_FORMAT=MLN","FA_ADJUSTED=GAAP","Sort=A","Dates=H","DateFormat=P","Fill=—","Direction=H","UseDPDF=Y")</f>
        <v>4.3259999999999996</v>
      </c>
      <c r="D10" s="13">
        <f>_xll.BDH("ALNY US Equity","IS_COG_AND_SERVICES_SOLD","FQ3 2019","FQ3 2019","Currency=USD","Period=FQ","BEST_FPERIOD_OVERRIDE=FQ","FILING_STATUS=MR","SCALING_FORMAT=MLN","FA_ADJUSTED=GAAP","Sort=A","Dates=H","DateFormat=P","Fill=—","Direction=H","UseDPDF=Y")</f>
        <v>5.2130000000000001</v>
      </c>
      <c r="E10" s="13">
        <f>_xll.BDH("ALNY US Equity","IS_COG_AND_SERVICES_SOLD","FQ4 2019","FQ4 2019","Currency=USD","Period=FQ","BEST_FPERIOD_OVERRIDE=FQ","FILING_STATUS=MR","SCALING_FORMAT=MLN","FA_ADJUSTED=GAAP","Sort=A","Dates=H","DateFormat=P","Fill=—","Direction=H","UseDPDF=Y")</f>
        <v>12.176</v>
      </c>
      <c r="F10" s="13">
        <f>_xll.BDH("ALNY US Equity","IS_COG_AND_SERVICES_SOLD","FQ1 2020","FQ1 2020","Currency=USD","Period=FQ","BEST_FPERIOD_OVERRIDE=FQ","FILING_STATUS=MR","SCALING_FORMAT=MLN","FA_ADJUSTED=GAAP","Sort=A","Dates=H","DateFormat=P","Fill=—","Direction=H","UseDPDF=Y")</f>
        <v>13.302</v>
      </c>
      <c r="G10" s="13">
        <f>_xll.BDH("ALNY US Equity","IS_COG_AND_SERVICES_SOLD","FQ2 2020","FQ2 2020","Currency=USD","Period=FQ","BEST_FPERIOD_OVERRIDE=FQ","FILING_STATUS=MR","SCALING_FORMAT=MLN","FA_ADJUSTED=GAAP","Sort=A","Dates=H","DateFormat=P","Fill=—","Direction=H","UseDPDF=Y")</f>
        <v>19.928999999999998</v>
      </c>
      <c r="H10" s="13">
        <f>_xll.BDH("ALNY US Equity","IS_COG_AND_SERVICES_SOLD","FQ3 2020","FQ3 2020","Currency=USD","Period=FQ","BEST_FPERIOD_OVERRIDE=FQ","FILING_STATUS=MR","SCALING_FORMAT=MLN","FA_ADJUSTED=GAAP","Sort=A","Dates=H","DateFormat=P","Fill=—","Direction=H","UseDPDF=Y")</f>
        <v>21.797000000000001</v>
      </c>
      <c r="I10" s="13">
        <f>_xll.BDH("ALNY US Equity","IS_COG_AND_SERVICES_SOLD","FQ4 2020","FQ4 2020","Currency=USD","Period=FQ","BEST_FPERIOD_OVERRIDE=FQ","FILING_STATUS=MR","SCALING_FORMAT=MLN","FA_ADJUSTED=GAAP","Sort=A","Dates=H","DateFormat=P","Fill=—","Direction=H","UseDPDF=Y")</f>
        <v>23.024000000000001</v>
      </c>
      <c r="J10" s="13">
        <f>_xll.BDH("ALNY US Equity","IS_COG_AND_SERVICES_SOLD","FQ1 2021","FQ1 2021","Currency=USD","Period=FQ","BEST_FPERIOD_OVERRIDE=FQ","FILING_STATUS=MR","SCALING_FORMAT=MLN","FA_ADJUSTED=GAAP","Sort=A","Dates=H","DateFormat=P","Fill=—","Direction=H","UseDPDF=Y")</f>
        <v>31.062000000000001</v>
      </c>
      <c r="K10" s="13">
        <f>_xll.BDH("ALNY US Equity","IS_COG_AND_SERVICES_SOLD","FQ2 2021","FQ2 2021","Currency=USD","Period=FQ","BEST_FPERIOD_OVERRIDE=FQ","FILING_STATUS=MR","SCALING_FORMAT=MLN","FA_ADJUSTED=GAAP","Sort=A","Dates=H","DateFormat=P","Fill=—","Direction=H","UseDPDF=Y")</f>
        <v>38.755000000000003</v>
      </c>
      <c r="L10" s="13">
        <f>_xll.BDH("ALNY US Equity","IS_COG_AND_SERVICES_SOLD","FQ3 2021","FQ3 2021","Currency=USD","Period=FQ","BEST_FPERIOD_OVERRIDE=FQ","FILING_STATUS=MR","SCALING_FORMAT=MLN","FA_ADJUSTED=GAAP","Sort=A","Dates=H","DateFormat=P","Fill=—","Direction=H","UseDPDF=Y")</f>
        <v>32.662999999999997</v>
      </c>
      <c r="M10" s="13">
        <f>_xll.BDH("ALNY US Equity","IS_COG_AND_SERVICES_SOLD","FQ4 2021","FQ4 2021","Currency=USD","Period=FQ","BEST_FPERIOD_OVERRIDE=FQ","FILING_STATUS=MR","SCALING_FORMAT=MLN","FA_ADJUSTED=GAAP","Sort=A","Dates=H","DateFormat=P","Fill=—","Direction=H","UseDPDF=Y")</f>
        <v>37.664000000000001</v>
      </c>
      <c r="N10" s="13">
        <f>_xll.BDH("ALNY US Equity","IS_COG_AND_SERVICES_SOLD","FQ1 2022","FQ1 2022","Currency=USD","Period=FQ","BEST_FPERIOD_OVERRIDE=FQ","FILING_STATUS=MR","SCALING_FORMAT=MLN","FA_ADJUSTED=GAAP","Sort=A","Dates=H","DateFormat=P","Fill=—","Direction=H","UseDPDF=Y")</f>
        <v>35.627000000000002</v>
      </c>
      <c r="O10" s="13">
        <f>_xll.BDH("ALNY US Equity","IS_COG_AND_SERVICES_SOLD","FQ2 2022","FQ2 2022","Currency=USD","Period=FQ","BEST_FPERIOD_OVERRIDE=FQ","FILING_STATUS=MR","SCALING_FORMAT=MLN","FA_ADJUSTED=GAAP","Sort=A","Dates=H","DateFormat=P","Fill=—","Direction=H","UseDPDF=Y")</f>
        <v>40.808</v>
      </c>
      <c r="P10" s="13">
        <f>_xll.BDH("ALNY US Equity","IS_COG_AND_SERVICES_SOLD","FQ3 2022","FQ3 2022","Currency=USD","Period=FQ","BEST_FPERIOD_OVERRIDE=FQ","FILING_STATUS=MR","SCALING_FORMAT=MLN","FA_ADJUSTED=GAAP","Sort=A","Dates=H","DateFormat=P","Fill=—","Direction=H","UseDPDF=Y")</f>
        <v>41.116</v>
      </c>
      <c r="Q10" s="13">
        <f>_xll.BDH("ALNY US Equity","IS_COG_AND_SERVICES_SOLD","FQ4 2022","FQ4 2022","Currency=USD","Period=FQ","BEST_FPERIOD_OVERRIDE=FQ","FILING_STATUS=MR","SCALING_FORMAT=MLN","FA_ADJUSTED=GAAP","Sort=A","Dates=H","DateFormat=P","Fill=—","Direction=H","UseDPDF=Y")</f>
        <v>51.265999999999998</v>
      </c>
      <c r="R10" s="13">
        <f>_xll.BDH("ALNY US Equity","IS_COG_AND_SERVICES_SOLD","FQ1 2023","FQ1 2023","Currency=USD","Period=FQ","BEST_FPERIOD_OVERRIDE=FQ","FILING_STATUS=MR","SCALING_FORMAT=MLN","FA_ADJUSTED=GAAP","Sort=A","Dates=H","DateFormat=P","Fill=—","Direction=H","UseDPDF=Y")</f>
        <v>54.869</v>
      </c>
      <c r="S10" s="13">
        <f>_xll.BDH("ALNY US Equity","IS_COG_AND_SERVICES_SOLD","FQ2 2023","FQ2 2023","Currency=USD","Period=FQ","BEST_FPERIOD_OVERRIDE=FQ","FILING_STATUS=MR","SCALING_FORMAT=MLN","FA_ADJUSTED=GAAP","Sort=A","Dates=H","DateFormat=P","Fill=—","Direction=H","UseDPDF=Y")</f>
        <v>85.37</v>
      </c>
      <c r="T10" s="13">
        <f>_xll.BDH("ALNY US Equity","IS_COG_AND_SERVICES_SOLD","FQ3 2023","FQ3 2023","Currency=USD","Period=FQ","BEST_FPERIOD_OVERRIDE=FQ","FILING_STATUS=MR","SCALING_FORMAT=MLN","FA_ADJUSTED=GAAP","Sort=A","Dates=H","DateFormat=P","Fill=—","Direction=H","UseDPDF=Y")</f>
        <v>84.308999999999997</v>
      </c>
      <c r="U10" s="13">
        <f>_xll.BDH("ALNY US Equity","IS_COG_AND_SERVICES_SOLD","FQ4 2023","FQ4 2023","Currency=USD","Period=FQ","BEST_FPERIOD_OVERRIDE=FQ","FILING_STATUS=MR","SCALING_FORMAT=MLN","FA_ADJUSTED=GAAP","Sort=A","Dates=H","DateFormat=P","Fill=—","Direction=H","UseDPDF=Y")</f>
        <v>85.858000000000004</v>
      </c>
      <c r="V10" s="13">
        <f>_xll.BDH("ALNY US Equity","IS_COG_AND_SERVICES_SOLD","FQ1 2024","FQ1 2024","Currency=USD","Period=FQ","BEST_FPERIOD_OVERRIDE=FQ","FILING_STATUS=MR","SCALING_FORMAT=MLN","FA_ADJUSTED=GAAP","Sort=A","Dates=H","DateFormat=P","Fill=—","Direction=H","UseDPDF=Y")</f>
        <v>65.975999999999999</v>
      </c>
      <c r="W10" s="13">
        <f>_xll.BDH("ALNY US Equity","IS_COG_AND_SERVICES_SOLD","FQ2 2024","FQ2 2024","Currency=USD","Period=FQ","BEST_FPERIOD_OVERRIDE=FQ","FILING_STATUS=MR","SCALING_FORMAT=MLN","FA_ADJUSTED=GAAP","Sort=A","Dates=H","DateFormat=P","Fill=—","Direction=H","UseDPDF=Y")</f>
        <v>68.671999999999997</v>
      </c>
      <c r="X10" s="13">
        <f>_xll.BDH("ALNY US Equity","IS_COG_AND_SERVICES_SOLD","FQ3 2024","FQ3 2024","Currency=USD","Period=FQ","BEST_FPERIOD_OVERRIDE=FQ","FILING_STATUS=MR","SCALING_FORMAT=MLN","FA_ADJUSTED=GAAP","Sort=A","Dates=H","DateFormat=P","Fill=—","Direction=H","UseDPDF=Y")</f>
        <v>85.905000000000001</v>
      </c>
      <c r="Y10" s="13">
        <f>_xll.BDH("ALNY US Equity","IS_COG_AND_SERVICES_SOLD","FQ4 2024","FQ4 2024","Currency=USD","Period=FQ","BEST_FPERIOD_OVERRIDE=FQ","FILING_STATUS=MR","SCALING_FORMAT=MLN","FA_ADJUSTED=GAAP","Sort=A","Dates=H","DateFormat=P","Fill=—","Direction=H","UseDPDF=Y")</f>
        <v>102.81699999999999</v>
      </c>
      <c r="Z10" s="13"/>
      <c r="AA10" s="13"/>
    </row>
    <row r="11" spans="1:27" x14ac:dyDescent="0.25">
      <c r="A11" s="6" t="s">
        <v>2</v>
      </c>
      <c r="B11" s="6" t="s">
        <v>75</v>
      </c>
      <c r="C11" s="19">
        <f>_xll.BDH("ALNY US Equity","GROSS_PROFIT","FQ2 2019","FQ2 2019","Currency=USD","Period=FQ","BEST_FPERIOD_OVERRIDE=FQ","FILING_STATUS=MR","SCALING_FORMAT=MLN","FA_ADJUSTED=GAAP","Sort=A","Dates=H","DateFormat=P","Fill=—","Direction=H","UseDPDF=Y")</f>
        <v>40.387999999999998</v>
      </c>
      <c r="D11" s="19">
        <f>_xll.BDH("ALNY US Equity","GROSS_PROFIT","FQ3 2019","FQ3 2019","Currency=USD","Period=FQ","BEST_FPERIOD_OVERRIDE=FQ","FILING_STATUS=MR","SCALING_FORMAT=MLN","FA_ADJUSTED=GAAP","Sort=A","Dates=H","DateFormat=P","Fill=—","Direction=H","UseDPDF=Y")</f>
        <v>64.847999999999999</v>
      </c>
      <c r="E11" s="19">
        <f>_xll.BDH("ALNY US Equity","GROSS_PROFIT","FQ4 2019","FQ4 2019","Currency=USD","Period=FQ","BEST_FPERIOD_OVERRIDE=FQ","FILING_STATUS=MR","SCALING_FORMAT=MLN","FA_ADJUSTED=GAAP","Sort=A","Dates=H","DateFormat=P","Fill=—","Direction=H","UseDPDF=Y")</f>
        <v>59.505000000000003</v>
      </c>
      <c r="F11" s="19">
        <f>_xll.BDH("ALNY US Equity","GROSS_PROFIT","FQ1 2020","FQ1 2020","Currency=USD","Period=FQ","BEST_FPERIOD_OVERRIDE=FQ","FILING_STATUS=MR","SCALING_FORMAT=MLN","FA_ADJUSTED=GAAP","Sort=A","Dates=H","DateFormat=P","Fill=—","Direction=H","UseDPDF=Y")</f>
        <v>86.174000000000007</v>
      </c>
      <c r="G11" s="19">
        <f>_xll.BDH("ALNY US Equity","GROSS_PROFIT","FQ2 2020","FQ2 2020","Currency=USD","Period=FQ","BEST_FPERIOD_OVERRIDE=FQ","FILING_STATUS=MR","SCALING_FORMAT=MLN","FA_ADJUSTED=GAAP","Sort=A","Dates=H","DateFormat=P","Fill=—","Direction=H","UseDPDF=Y")</f>
        <v>84.033000000000001</v>
      </c>
      <c r="H11" s="19">
        <f>_xll.BDH("ALNY US Equity","GROSS_PROFIT","FQ3 2020","FQ3 2020","Currency=USD","Period=FQ","BEST_FPERIOD_OVERRIDE=FQ","FILING_STATUS=MR","SCALING_FORMAT=MLN","FA_ADJUSTED=GAAP","Sort=A","Dates=H","DateFormat=P","Fill=—","Direction=H","UseDPDF=Y")</f>
        <v>104.056</v>
      </c>
      <c r="I11" s="19">
        <f>_xll.BDH("ALNY US Equity","GROSS_PROFIT","FQ4 2020","FQ4 2020","Currency=USD","Period=FQ","BEST_FPERIOD_OVERRIDE=FQ","FILING_STATUS=MR","SCALING_FORMAT=MLN","FA_ADJUSTED=GAAP","Sort=A","Dates=H","DateFormat=P","Fill=—","Direction=H","UseDPDF=Y")</f>
        <v>140.53800000000001</v>
      </c>
      <c r="J11" s="19">
        <f>_xll.BDH("ALNY US Equity","GROSS_PROFIT","FQ1 2021","FQ1 2021","Currency=USD","Period=FQ","BEST_FPERIOD_OVERRIDE=FQ","FILING_STATUS=MR","SCALING_FORMAT=MLN","FA_ADJUSTED=GAAP","Sort=A","Dates=H","DateFormat=P","Fill=—","Direction=H","UseDPDF=Y")</f>
        <v>146.50399999999999</v>
      </c>
      <c r="K11" s="19">
        <f>_xll.BDH("ALNY US Equity","GROSS_PROFIT","FQ2 2021","FQ2 2021","Currency=USD","Period=FQ","BEST_FPERIOD_OVERRIDE=FQ","FILING_STATUS=MR","SCALING_FORMAT=MLN","FA_ADJUSTED=GAAP","Sort=A","Dates=H","DateFormat=P","Fill=—","Direction=H","UseDPDF=Y")</f>
        <v>181.798</v>
      </c>
      <c r="L11" s="19">
        <f>_xll.BDH("ALNY US Equity","GROSS_PROFIT","FQ3 2021","FQ3 2021","Currency=USD","Period=FQ","BEST_FPERIOD_OVERRIDE=FQ","FILING_STATUS=MR","SCALING_FORMAT=MLN","FA_ADJUSTED=GAAP","Sort=A","Dates=H","DateFormat=P","Fill=—","Direction=H","UseDPDF=Y")</f>
        <v>154.97</v>
      </c>
      <c r="M11" s="19">
        <f>_xll.BDH("ALNY US Equity","GROSS_PROFIT","FQ4 2021","FQ4 2021","Currency=USD","Period=FQ","BEST_FPERIOD_OVERRIDE=FQ","FILING_STATUS=MR","SCALING_FORMAT=MLN","FA_ADJUSTED=GAAP","Sort=A","Dates=H","DateFormat=P","Fill=—","Direction=H","UseDPDF=Y")</f>
        <v>220.87100000000001</v>
      </c>
      <c r="N11" s="19">
        <f>_xll.BDH("ALNY US Equity","GROSS_PROFIT","FQ1 2022","FQ1 2022","Currency=USD","Period=FQ","BEST_FPERIOD_OVERRIDE=FQ","FILING_STATUS=MR","SCALING_FORMAT=MLN","FA_ADJUSTED=GAAP","Sort=A","Dates=H","DateFormat=P","Fill=—","Direction=H","UseDPDF=Y")</f>
        <v>177.63200000000001</v>
      </c>
      <c r="O11" s="19">
        <f>_xll.BDH("ALNY US Equity","GROSS_PROFIT","FQ2 2022","FQ2 2022","Currency=USD","Period=FQ","BEST_FPERIOD_OVERRIDE=FQ","FILING_STATUS=MR","SCALING_FORMAT=MLN","FA_ADJUSTED=GAAP","Sort=A","Dates=H","DateFormat=P","Fill=—","Direction=H","UseDPDF=Y")</f>
        <v>184.01</v>
      </c>
      <c r="P11" s="19">
        <f>_xll.BDH("ALNY US Equity","GROSS_PROFIT","FQ3 2022","FQ3 2022","Currency=USD","Period=FQ","BEST_FPERIOD_OVERRIDE=FQ","FILING_STATUS=MR","SCALING_FORMAT=MLN","FA_ADJUSTED=GAAP","Sort=A","Dates=H","DateFormat=P","Fill=—","Direction=H","UseDPDF=Y")</f>
        <v>223.19</v>
      </c>
      <c r="Q11" s="19">
        <f>_xll.BDH("ALNY US Equity","GROSS_PROFIT","FQ4 2022","FQ4 2022","Currency=USD","Period=FQ","BEST_FPERIOD_OVERRIDE=FQ","FILING_STATUS=MR","SCALING_FORMAT=MLN","FA_ADJUSTED=GAAP","Sort=A","Dates=H","DateFormat=P","Fill=—","Direction=H","UseDPDF=Y")</f>
        <v>283.76900000000001</v>
      </c>
      <c r="R11" s="19">
        <f>_xll.BDH("ALNY US Equity","GROSS_PROFIT","FQ1 2023","FQ1 2023","Currency=USD","Period=FQ","BEST_FPERIOD_OVERRIDE=FQ","FILING_STATUS=MR","SCALING_FORMAT=MLN","FA_ADJUSTED=GAAP","Sort=A","Dates=H","DateFormat=P","Fill=—","Direction=H","UseDPDF=Y")</f>
        <v>264.42099999999999</v>
      </c>
      <c r="S11" s="19">
        <f>_xll.BDH("ALNY US Equity","GROSS_PROFIT","FQ2 2023","FQ2 2023","Currency=USD","Period=FQ","BEST_FPERIOD_OVERRIDE=FQ","FILING_STATUS=MR","SCALING_FORMAT=MLN","FA_ADJUSTED=GAAP","Sort=A","Dates=H","DateFormat=P","Fill=—","Direction=H","UseDPDF=Y")</f>
        <v>233.38399999999999</v>
      </c>
      <c r="T11" s="19">
        <f>_xll.BDH("ALNY US Equity","GROSS_PROFIT","FQ3 2023","FQ3 2023","Currency=USD","Period=FQ","BEST_FPERIOD_OVERRIDE=FQ","FILING_STATUS=MR","SCALING_FORMAT=MLN","FA_ADJUSTED=GAAP","Sort=A","Dates=H","DateFormat=P","Fill=—","Direction=H","UseDPDF=Y")</f>
        <v>666.221</v>
      </c>
      <c r="U11" s="19">
        <f>_xll.BDH("ALNY US Equity","GROSS_PROFIT","FQ4 2023","FQ4 2023","Currency=USD","Period=FQ","BEST_FPERIOD_OVERRIDE=FQ","FILING_STATUS=MR","SCALING_FORMAT=MLN","FA_ADJUSTED=GAAP","Sort=A","Dates=H","DateFormat=P","Fill=—","Direction=H","UseDPDF=Y")</f>
        <v>353.86</v>
      </c>
      <c r="V11" s="19">
        <f>_xll.BDH("ALNY US Equity","GROSS_PROFIT","FQ1 2024","FQ1 2024","Currency=USD","Period=FQ","BEST_FPERIOD_OVERRIDE=FQ","FILING_STATUS=MR","SCALING_FORMAT=MLN","FA_ADJUSTED=GAAP","Sort=A","Dates=H","DateFormat=P","Fill=—","Direction=H","UseDPDF=Y")</f>
        <v>428.35700000000003</v>
      </c>
      <c r="W11" s="19">
        <f>_xll.BDH("ALNY US Equity","GROSS_PROFIT","FQ2 2024","FQ2 2024","Currency=USD","Period=FQ","BEST_FPERIOD_OVERRIDE=FQ","FILING_STATUS=MR","SCALING_FORMAT=MLN","FA_ADJUSTED=GAAP","Sort=A","Dates=H","DateFormat=P","Fill=—","Direction=H","UseDPDF=Y")</f>
        <v>591.15300000000002</v>
      </c>
      <c r="X11" s="19">
        <f>_xll.BDH("ALNY US Equity","GROSS_PROFIT","FQ3 2024","FQ3 2024","Currency=USD","Period=FQ","BEST_FPERIOD_OVERRIDE=FQ","FILING_STATUS=MR","SCALING_FORMAT=MLN","FA_ADJUSTED=GAAP","Sort=A","Dates=H","DateFormat=P","Fill=—","Direction=H","UseDPDF=Y")</f>
        <v>415.01400000000001</v>
      </c>
      <c r="Y11" s="19">
        <f>_xll.BDH("ALNY US Equity","GROSS_PROFIT","FQ4 2024","FQ4 2024","Currency=USD","Period=FQ","BEST_FPERIOD_OVERRIDE=FQ","FILING_STATUS=MR","SCALING_FORMAT=MLN","FA_ADJUSTED=GAAP","Sort=A","Dates=H","DateFormat=P","Fill=—","Direction=H","UseDPDF=Y")</f>
        <v>490.34899999999999</v>
      </c>
      <c r="Z11" s="19">
        <v>475.73917767</v>
      </c>
      <c r="AA11" s="19">
        <v>512.76366036000002</v>
      </c>
    </row>
    <row r="12" spans="1:27" x14ac:dyDescent="0.25">
      <c r="A12" s="10" t="s">
        <v>306</v>
      </c>
      <c r="B12" s="10" t="s">
        <v>307</v>
      </c>
      <c r="C12" s="13">
        <f>_xll.BDH("ALNY US Equity","IS_OTHER_OPER_INC","FQ2 2019","FQ2 2019","Currency=USD","Period=FQ","BEST_FPERIOD_OVERRIDE=FQ","FILING_STATUS=MR","SCALING_FORMAT=MLN","FA_ADJUSTED=GAAP","Sort=A","Dates=H","DateFormat=P","Fill=—","Direction=H","UseDPDF=Y")</f>
        <v>0</v>
      </c>
      <c r="D12" s="13">
        <f>_xll.BDH("ALNY US Equity","IS_OTHER_OPER_INC","FQ3 2019","FQ3 2019","Currency=USD","Period=FQ","BEST_FPERIOD_OVERRIDE=FQ","FILING_STATUS=MR","SCALING_FORMAT=MLN","FA_ADJUSTED=GAAP","Sort=A","Dates=H","DateFormat=P","Fill=—","Direction=H","UseDPDF=Y")</f>
        <v>0</v>
      </c>
      <c r="E12" s="13">
        <f>_xll.BDH("ALNY US Equity","IS_OTHER_OPER_INC","FQ4 2019","FQ4 2019","Currency=USD","Period=FQ","BEST_FPERIOD_OVERRIDE=FQ","FILING_STATUS=MR","SCALING_FORMAT=MLN","FA_ADJUSTED=GAAP","Sort=A","Dates=H","DateFormat=P","Fill=—","Direction=H","UseDPDF=Y")</f>
        <v>0</v>
      </c>
      <c r="F12" s="13">
        <f>_xll.BDH("ALNY US Equity","IS_OTHER_OPER_INC","FQ1 2020","FQ1 2020","Currency=USD","Period=FQ","BEST_FPERIOD_OVERRIDE=FQ","FILING_STATUS=MR","SCALING_FORMAT=MLN","FA_ADJUSTED=GAAP","Sort=A","Dates=H","DateFormat=P","Fill=—","Direction=H","UseDPDF=Y")</f>
        <v>0</v>
      </c>
      <c r="G12" s="13">
        <f>_xll.BDH("ALNY US Equity","IS_OTHER_OPER_INC","FQ2 2020","FQ2 2020","Currency=USD","Period=FQ","BEST_FPERIOD_OVERRIDE=FQ","FILING_STATUS=MR","SCALING_FORMAT=MLN","FA_ADJUSTED=GAAP","Sort=A","Dates=H","DateFormat=P","Fill=—","Direction=H","UseDPDF=Y")</f>
        <v>0</v>
      </c>
      <c r="H12" s="13">
        <f>_xll.BDH("ALNY US Equity","IS_OTHER_OPER_INC","FQ3 2020","FQ3 2020","Currency=USD","Period=FQ","BEST_FPERIOD_OVERRIDE=FQ","FILING_STATUS=MR","SCALING_FORMAT=MLN","FA_ADJUSTED=GAAP","Sort=A","Dates=H","DateFormat=P","Fill=—","Direction=H","UseDPDF=Y")</f>
        <v>0</v>
      </c>
      <c r="I12" s="13">
        <f>_xll.BDH("ALNY US Equity","IS_OTHER_OPER_INC","FQ4 2020","FQ4 2020","Currency=USD","Period=FQ","BEST_FPERIOD_OVERRIDE=FQ","FILING_STATUS=MR","SCALING_FORMAT=MLN","FA_ADJUSTED=GAAP","Sort=A","Dates=H","DateFormat=P","Fill=—","Direction=H","UseDPDF=Y")</f>
        <v>0</v>
      </c>
      <c r="J12" s="13">
        <f>_xll.BDH("ALNY US Equity","IS_OTHER_OPER_INC","FQ1 2021","FQ1 2021","Currency=USD","Period=FQ","BEST_FPERIOD_OVERRIDE=FQ","FILING_STATUS=MR","SCALING_FORMAT=MLN","FA_ADJUSTED=GAAP","Sort=A","Dates=H","DateFormat=P","Fill=—","Direction=H","UseDPDF=Y")</f>
        <v>0</v>
      </c>
      <c r="K12" s="13">
        <f>_xll.BDH("ALNY US Equity","IS_OTHER_OPER_INC","FQ2 2021","FQ2 2021","Currency=USD","Period=FQ","BEST_FPERIOD_OVERRIDE=FQ","FILING_STATUS=MR","SCALING_FORMAT=MLN","FA_ADJUSTED=GAAP","Sort=A","Dates=H","DateFormat=P","Fill=—","Direction=H","UseDPDF=Y")</f>
        <v>0</v>
      </c>
      <c r="L12" s="13">
        <f>_xll.BDH("ALNY US Equity","IS_OTHER_OPER_INC","FQ3 2021","FQ3 2021","Currency=USD","Period=FQ","BEST_FPERIOD_OVERRIDE=FQ","FILING_STATUS=MR","SCALING_FORMAT=MLN","FA_ADJUSTED=GAAP","Sort=A","Dates=H","DateFormat=P","Fill=—","Direction=H","UseDPDF=Y")</f>
        <v>0</v>
      </c>
      <c r="M12" s="13">
        <f>_xll.BDH("ALNY US Equity","IS_OTHER_OPER_INC","FQ4 2021","FQ4 2021","Currency=USD","Period=FQ","BEST_FPERIOD_OVERRIDE=FQ","FILING_STATUS=MR","SCALING_FORMAT=MLN","FA_ADJUSTED=GAAP","Sort=A","Dates=H","DateFormat=P","Fill=—","Direction=H","UseDPDF=Y")</f>
        <v>0</v>
      </c>
      <c r="N12" s="13">
        <f>_xll.BDH("ALNY US Equity","IS_OTHER_OPER_INC","FQ1 2022","FQ1 2022","Currency=USD","Period=FQ","BEST_FPERIOD_OVERRIDE=FQ","FILING_STATUS=MR","SCALING_FORMAT=MLN","FA_ADJUSTED=GAAP","Sort=A","Dates=H","DateFormat=P","Fill=—","Direction=H","UseDPDF=Y")</f>
        <v>0</v>
      </c>
      <c r="O12" s="13">
        <f>_xll.BDH("ALNY US Equity","IS_OTHER_OPER_INC","FQ2 2022","FQ2 2022","Currency=USD","Period=FQ","BEST_FPERIOD_OVERRIDE=FQ","FILING_STATUS=MR","SCALING_FORMAT=MLN","FA_ADJUSTED=GAAP","Sort=A","Dates=H","DateFormat=P","Fill=—","Direction=H","UseDPDF=Y")</f>
        <v>0</v>
      </c>
      <c r="P12" s="13">
        <f>_xll.BDH("ALNY US Equity","IS_OTHER_OPER_INC","FQ3 2022","FQ3 2022","Currency=USD","Period=FQ","BEST_FPERIOD_OVERRIDE=FQ","FILING_STATUS=MR","SCALING_FORMAT=MLN","FA_ADJUSTED=GAAP","Sort=A","Dates=H","DateFormat=P","Fill=—","Direction=H","UseDPDF=Y")</f>
        <v>0</v>
      </c>
      <c r="Q12" s="13">
        <f>_xll.BDH("ALNY US Equity","IS_OTHER_OPER_INC","FQ4 2022","FQ4 2022","Currency=USD","Period=FQ","BEST_FPERIOD_OVERRIDE=FQ","FILING_STATUS=MR","SCALING_FORMAT=MLN","FA_ADJUSTED=GAAP","Sort=A","Dates=H","DateFormat=P","Fill=—","Direction=H","UseDPDF=Y")</f>
        <v>0</v>
      </c>
      <c r="R12" s="13">
        <f>_xll.BDH("ALNY US Equity","IS_OTHER_OPER_INC","FQ1 2023","FQ1 2023","Currency=USD","Period=FQ","BEST_FPERIOD_OVERRIDE=FQ","FILING_STATUS=MR","SCALING_FORMAT=MLN","FA_ADJUSTED=GAAP","Sort=A","Dates=H","DateFormat=P","Fill=—","Direction=H","UseDPDF=Y")</f>
        <v>0</v>
      </c>
      <c r="S12" s="13">
        <f>_xll.BDH("ALNY US Equity","IS_OTHER_OPER_INC","FQ2 2023","FQ2 2023","Currency=USD","Period=FQ","BEST_FPERIOD_OVERRIDE=FQ","FILING_STATUS=MR","SCALING_FORMAT=MLN","FA_ADJUSTED=GAAP","Sort=A","Dates=H","DateFormat=P","Fill=—","Direction=H","UseDPDF=Y")</f>
        <v>0</v>
      </c>
      <c r="T12" s="13">
        <f>_xll.BDH("ALNY US Equity","IS_OTHER_OPER_INC","FQ3 2023","FQ3 2023","Currency=USD","Period=FQ","BEST_FPERIOD_OVERRIDE=FQ","FILING_STATUS=MR","SCALING_FORMAT=MLN","FA_ADJUSTED=GAAP","Sort=A","Dates=H","DateFormat=P","Fill=—","Direction=H","UseDPDF=Y")</f>
        <v>0</v>
      </c>
      <c r="U12" s="13">
        <f>_xll.BDH("ALNY US Equity","IS_OTHER_OPER_INC","FQ4 2023","FQ4 2023","Currency=USD","Period=FQ","BEST_FPERIOD_OVERRIDE=FQ","FILING_STATUS=MR","SCALING_FORMAT=MLN","FA_ADJUSTED=GAAP","Sort=A","Dates=H","DateFormat=P","Fill=—","Direction=H","UseDPDF=Y")</f>
        <v>0</v>
      </c>
      <c r="V12" s="13">
        <f>_xll.BDH("ALNY US Equity","IS_OTHER_OPER_INC","FQ1 2024","FQ1 2024","Currency=USD","Period=FQ","BEST_FPERIOD_OVERRIDE=FQ","FILING_STATUS=MR","SCALING_FORMAT=MLN","FA_ADJUSTED=GAAP","Sort=A","Dates=H","DateFormat=P","Fill=—","Direction=H","UseDPDF=Y")</f>
        <v>0</v>
      </c>
      <c r="W12" s="13">
        <f>_xll.BDH("ALNY US Equity","IS_OTHER_OPER_INC","FQ2 2024","FQ2 2024","Currency=USD","Period=FQ","BEST_FPERIOD_OVERRIDE=FQ","FILING_STATUS=MR","SCALING_FORMAT=MLN","FA_ADJUSTED=GAAP","Sort=A","Dates=H","DateFormat=P","Fill=—","Direction=H","UseDPDF=Y")</f>
        <v>0</v>
      </c>
      <c r="X12" s="13">
        <f>_xll.BDH("ALNY US Equity","IS_OTHER_OPER_INC","FQ3 2024","FQ3 2024","Currency=USD","Period=FQ","BEST_FPERIOD_OVERRIDE=FQ","FILING_STATUS=MR","SCALING_FORMAT=MLN","FA_ADJUSTED=GAAP","Sort=A","Dates=H","DateFormat=P","Fill=—","Direction=H","UseDPDF=Y")</f>
        <v>0</v>
      </c>
      <c r="Y12" s="13">
        <f>_xll.BDH("ALNY US Equity","IS_OTHER_OPER_INC","FQ4 2024","FQ4 2024","Currency=USD","Period=FQ","BEST_FPERIOD_OVERRIDE=FQ","FILING_STATUS=MR","SCALING_FORMAT=MLN","FA_ADJUSTED=GAAP","Sort=A","Dates=H","DateFormat=P","Fill=—","Direction=H","UseDPDF=Y")</f>
        <v>0</v>
      </c>
      <c r="Z12" s="13"/>
      <c r="AA12" s="13"/>
    </row>
    <row r="13" spans="1:27" x14ac:dyDescent="0.25">
      <c r="A13" s="10" t="s">
        <v>308</v>
      </c>
      <c r="B13" s="10" t="s">
        <v>309</v>
      </c>
      <c r="C13" s="13">
        <f>_xll.BDH("ALNY US Equity","IS_OPERATING_EXPN","FQ2 2019","FQ2 2019","Currency=USD","Period=FQ","BEST_FPERIOD_OVERRIDE=FQ","FILING_STATUS=MR","SCALING_FORMAT=MLN","FA_ADJUSTED=GAAP","Sort=A","Dates=H","DateFormat=P","Fill=—","Direction=H","UseDPDF=Y")</f>
        <v>276.65899999999999</v>
      </c>
      <c r="D13" s="13">
        <f>_xll.BDH("ALNY US Equity","IS_OPERATING_EXPN","FQ3 2019","FQ3 2019","Currency=USD","Period=FQ","BEST_FPERIOD_OVERRIDE=FQ","FILING_STATUS=MR","SCALING_FORMAT=MLN","FA_ADJUSTED=GAAP","Sort=A","Dates=H","DateFormat=P","Fill=—","Direction=H","UseDPDF=Y")</f>
        <v>281.14699999999999</v>
      </c>
      <c r="E13" s="13">
        <f>_xll.BDH("ALNY US Equity","IS_OPERATING_EXPN","FQ4 2019","FQ4 2019","Currency=USD","Period=FQ","BEST_FPERIOD_OVERRIDE=FQ","FILING_STATUS=MR","SCALING_FORMAT=MLN","FA_ADJUSTED=GAAP","Sort=A","Dates=H","DateFormat=P","Fill=—","Direction=H","UseDPDF=Y")</f>
        <v>357.57799999999997</v>
      </c>
      <c r="F13" s="13">
        <f>_xll.BDH("ALNY US Equity","IS_OPERATING_EXPN","FQ1 2020","FQ1 2020","Currency=USD","Period=FQ","BEST_FPERIOD_OVERRIDE=FQ","FILING_STATUS=MR","SCALING_FORMAT=MLN","FA_ADJUSTED=GAAP","Sort=A","Dates=H","DateFormat=P","Fill=—","Direction=H","UseDPDF=Y")</f>
        <v>296.33199999999999</v>
      </c>
      <c r="G13" s="13">
        <f>_xll.BDH("ALNY US Equity","IS_OPERATING_EXPN","FQ2 2020","FQ2 2020","Currency=USD","Period=FQ","BEST_FPERIOD_OVERRIDE=FQ","FILING_STATUS=MR","SCALING_FORMAT=MLN","FA_ADJUSTED=GAAP","Sort=A","Dates=H","DateFormat=P","Fill=—","Direction=H","UseDPDF=Y")</f>
        <v>282.892</v>
      </c>
      <c r="H13" s="13">
        <f>_xll.BDH("ALNY US Equity","IS_OPERATING_EXPN","FQ3 2020","FQ3 2020","Currency=USD","Period=FQ","BEST_FPERIOD_OVERRIDE=FQ","FILING_STATUS=MR","SCALING_FORMAT=MLN","FA_ADJUSTED=GAAP","Sort=A","Dates=H","DateFormat=P","Fill=—","Direction=H","UseDPDF=Y")</f>
        <v>329.255</v>
      </c>
      <c r="I13" s="13">
        <f>_xll.BDH("ALNY US Equity","IS_OPERATING_EXPN","FQ4 2020","FQ4 2020","Currency=USD","Period=FQ","BEST_FPERIOD_OVERRIDE=FQ","FILING_STATUS=MR","SCALING_FORMAT=MLN","FA_ADJUSTED=GAAP","Sort=A","Dates=H","DateFormat=P","Fill=—","Direction=H","UseDPDF=Y")</f>
        <v>334.76</v>
      </c>
      <c r="J13" s="13">
        <f>_xll.BDH("ALNY US Equity","IS_OPERATING_EXPN","FQ1 2021","FQ1 2021","Currency=USD","Period=FQ","BEST_FPERIOD_OVERRIDE=FQ","FILING_STATUS=MR","SCALING_FORMAT=MLN","FA_ADJUSTED=GAAP","Sort=A","Dates=H","DateFormat=P","Fill=—","Direction=H","UseDPDF=Y")</f>
        <v>332.75799999999998</v>
      </c>
      <c r="K13" s="13">
        <f>_xll.BDH("ALNY US Equity","IS_OPERATING_EXPN","FQ2 2021","FQ2 2021","Currency=USD","Period=FQ","BEST_FPERIOD_OVERRIDE=FQ","FILING_STATUS=MR","SCALING_FORMAT=MLN","FA_ADJUSTED=GAAP","Sort=A","Dates=H","DateFormat=P","Fill=—","Direction=H","UseDPDF=Y")</f>
        <v>327.95800000000003</v>
      </c>
      <c r="L13" s="13">
        <f>_xll.BDH("ALNY US Equity","IS_OPERATING_EXPN","FQ3 2021","FQ3 2021","Currency=USD","Period=FQ","BEST_FPERIOD_OVERRIDE=FQ","FILING_STATUS=MR","SCALING_FORMAT=MLN","FA_ADJUSTED=GAAP","Sort=A","Dates=H","DateFormat=P","Fill=—","Direction=H","UseDPDF=Y")</f>
        <v>336.64699999999999</v>
      </c>
      <c r="M13" s="13">
        <f>_xll.BDH("ALNY US Equity","IS_OPERATING_EXPN","FQ4 2021","FQ4 2021","Currency=USD","Period=FQ","BEST_FPERIOD_OVERRIDE=FQ","FILING_STATUS=MR","SCALING_FORMAT=MLN","FA_ADJUSTED=GAAP","Sort=A","Dates=H","DateFormat=P","Fill=—","Direction=H","UseDPDF=Y")</f>
        <v>415.43200000000002</v>
      </c>
      <c r="N13" s="13">
        <f>_xll.BDH("ALNY US Equity","IS_OPERATING_EXPN","FQ1 2022","FQ1 2022","Currency=USD","Period=FQ","BEST_FPERIOD_OVERRIDE=FQ","FILING_STATUS=MR","SCALING_FORMAT=MLN","FA_ADJUSTED=GAAP","Sort=A","Dates=H","DateFormat=P","Fill=—","Direction=H","UseDPDF=Y")</f>
        <v>324.36399999999998</v>
      </c>
      <c r="O13" s="13">
        <f>_xll.BDH("ALNY US Equity","IS_OPERATING_EXPN","FQ2 2022","FQ2 2022","Currency=USD","Period=FQ","BEST_FPERIOD_OVERRIDE=FQ","FILING_STATUS=MR","SCALING_FORMAT=MLN","FA_ADJUSTED=GAAP","Sort=A","Dates=H","DateFormat=P","Fill=—","Direction=H","UseDPDF=Y")</f>
        <v>375.69600000000003</v>
      </c>
      <c r="P13" s="13">
        <f>_xll.BDH("ALNY US Equity","IS_OPERATING_EXPN","FQ3 2022","FQ3 2022","Currency=USD","Period=FQ","BEST_FPERIOD_OVERRIDE=FQ","FILING_STATUS=MR","SCALING_FORMAT=MLN","FA_ADJUSTED=GAAP","Sort=A","Dates=H","DateFormat=P","Fill=—","Direction=H","UseDPDF=Y")</f>
        <v>481.23</v>
      </c>
      <c r="Q13" s="13">
        <f>_xll.BDH("ALNY US Equity","IS_OPERATING_EXPN","FQ4 2022","FQ4 2022","Currency=USD","Period=FQ","BEST_FPERIOD_OVERRIDE=FQ","FILING_STATUS=MR","SCALING_FORMAT=MLN","FA_ADJUSTED=GAAP","Sort=A","Dates=H","DateFormat=P","Fill=—","Direction=H","UseDPDF=Y")</f>
        <v>472.38299999999998</v>
      </c>
      <c r="R13" s="13">
        <f>_xll.BDH("ALNY US Equity","IS_OPERATING_EXPN","FQ1 2023","FQ1 2023","Currency=USD","Period=FQ","BEST_FPERIOD_OVERRIDE=FQ","FILING_STATUS=MR","SCALING_FORMAT=MLN","FA_ADJUSTED=GAAP","Sort=A","Dates=H","DateFormat=P","Fill=—","Direction=H","UseDPDF=Y")</f>
        <v>414.22800000000001</v>
      </c>
      <c r="S13" s="13">
        <f>_xll.BDH("ALNY US Equity","IS_OPERATING_EXPN","FQ2 2023","FQ2 2023","Currency=USD","Period=FQ","BEST_FPERIOD_OVERRIDE=FQ","FILING_STATUS=MR","SCALING_FORMAT=MLN","FA_ADJUSTED=GAAP","Sort=A","Dates=H","DateFormat=P","Fill=—","Direction=H","UseDPDF=Y")</f>
        <v>463.21499999999997</v>
      </c>
      <c r="T13" s="13">
        <f>_xll.BDH("ALNY US Equity","IS_OPERATING_EXPN","FQ3 2023","FQ3 2023","Currency=USD","Period=FQ","BEST_FPERIOD_OVERRIDE=FQ","FILING_STATUS=MR","SCALING_FORMAT=MLN","FA_ADJUSTED=GAAP","Sort=A","Dates=H","DateFormat=P","Fill=—","Direction=H","UseDPDF=Y")</f>
        <v>452.35399999999998</v>
      </c>
      <c r="U13" s="13">
        <f>_xll.BDH("ALNY US Equity","IS_OPERATING_EXPN","FQ4 2023","FQ4 2023","Currency=USD","Period=FQ","BEST_FPERIOD_OVERRIDE=FQ","FILING_STATUS=MR","SCALING_FORMAT=MLN","FA_ADJUSTED=GAAP","Sort=A","Dates=H","DateFormat=P","Fill=—","Direction=H","UseDPDF=Y")</f>
        <v>470.26400000000001</v>
      </c>
      <c r="V13" s="13">
        <f>_xll.BDH("ALNY US Equity","IS_OPERATING_EXPN","FQ1 2024","FQ1 2024","Currency=USD","Period=FQ","BEST_FPERIOD_OVERRIDE=FQ","FILING_STATUS=MR","SCALING_FORMAT=MLN","FA_ADJUSTED=GAAP","Sort=A","Dates=H","DateFormat=P","Fill=—","Direction=H","UseDPDF=Y")</f>
        <v>471.79199999999997</v>
      </c>
      <c r="W13" s="13">
        <f>_xll.BDH("ALNY US Equity","IS_OPERATING_EXPN","FQ2 2024","FQ2 2024","Currency=USD","Period=FQ","BEST_FPERIOD_OVERRIDE=FQ","FILING_STATUS=MR","SCALING_FORMAT=MLN","FA_ADJUSTED=GAAP","Sort=A","Dates=H","DateFormat=P","Fill=—","Direction=H","UseDPDF=Y")</f>
        <v>542.53899999999999</v>
      </c>
      <c r="X13" s="13">
        <f>_xll.BDH("ALNY US Equity","IS_OPERATING_EXPN","FQ3 2024","FQ3 2024","Currency=USD","Period=FQ","BEST_FPERIOD_OVERRIDE=FQ","FILING_STATUS=MR","SCALING_FORMAT=MLN","FA_ADJUSTED=GAAP","Sort=A","Dates=H","DateFormat=P","Fill=—","Direction=H","UseDPDF=Y")</f>
        <v>491.91899999999998</v>
      </c>
      <c r="Y13" s="13">
        <f>_xll.BDH("ALNY US Equity","IS_OPERATING_EXPN","FQ4 2024","FQ4 2024","Currency=USD","Period=FQ","BEST_FPERIOD_OVERRIDE=FQ","FILING_STATUS=MR","SCALING_FORMAT=MLN","FA_ADJUSTED=GAAP","Sort=A","Dates=H","DateFormat=P","Fill=—","Direction=H","UseDPDF=Y")</f>
        <v>595.50800000000004</v>
      </c>
      <c r="Z13" s="13"/>
      <c r="AA13" s="13"/>
    </row>
    <row r="14" spans="1:27" x14ac:dyDescent="0.25">
      <c r="A14" s="10" t="s">
        <v>310</v>
      </c>
      <c r="B14" s="10" t="s">
        <v>311</v>
      </c>
      <c r="C14" s="13">
        <f>_xll.BDH("ALNY US Equity","IS_SGA_EXPENSE","FQ2 2019","FQ2 2019","Currency=USD","Period=FQ","BEST_FPERIOD_OVERRIDE=FQ","FILING_STATUS=MR","SCALING_FORMAT=MLN","FA_ADJUSTED=GAAP","Sort=A","Dates=H","DateFormat=P","Fill=—","Direction=H","UseDPDF=Y")</f>
        <v>112.76900000000001</v>
      </c>
      <c r="D14" s="13">
        <f>_xll.BDH("ALNY US Equity","IS_SGA_EXPENSE","FQ3 2019","FQ3 2019","Currency=USD","Period=FQ","BEST_FPERIOD_OVERRIDE=FQ","FILING_STATUS=MR","SCALING_FORMAT=MLN","FA_ADJUSTED=GAAP","Sort=A","Dates=H","DateFormat=P","Fill=—","Direction=H","UseDPDF=Y")</f>
        <v>120.351</v>
      </c>
      <c r="E14" s="13">
        <f>_xll.BDH("ALNY US Equity","IS_SGA_EXPENSE","FQ4 2019","FQ4 2019","Currency=USD","Period=FQ","BEST_FPERIOD_OVERRIDE=FQ","FILING_STATUS=MR","SCALING_FORMAT=MLN","FA_ADJUSTED=GAAP","Sort=A","Dates=H","DateFormat=P","Fill=—","Direction=H","UseDPDF=Y")</f>
        <v>156.27699999999999</v>
      </c>
      <c r="F14" s="13">
        <f>_xll.BDH("ALNY US Equity","IS_SGA_EXPENSE","FQ1 2020","FQ1 2020","Currency=USD","Period=FQ","BEST_FPERIOD_OVERRIDE=FQ","FILING_STATUS=MR","SCALING_FORMAT=MLN","FA_ADJUSTED=GAAP","Sort=A","Dates=H","DateFormat=P","Fill=—","Direction=H","UseDPDF=Y")</f>
        <v>126.761</v>
      </c>
      <c r="G14" s="13">
        <f>_xll.BDH("ALNY US Equity","IS_SGA_EXPENSE","FQ2 2020","FQ2 2020","Currency=USD","Period=FQ","BEST_FPERIOD_OVERRIDE=FQ","FILING_STATUS=MR","SCALING_FORMAT=MLN","FA_ADJUSTED=GAAP","Sort=A","Dates=H","DateFormat=P","Fill=—","Direction=H","UseDPDF=Y")</f>
        <v>127.896</v>
      </c>
      <c r="H14" s="13">
        <f>_xll.BDH("ALNY US Equity","IS_SGA_EXPENSE","FQ3 2020","FQ3 2020","Currency=USD","Period=FQ","BEST_FPERIOD_OVERRIDE=FQ","FILING_STATUS=MR","SCALING_FORMAT=MLN","FA_ADJUSTED=GAAP","Sort=A","Dates=H","DateFormat=P","Fill=—","Direction=H","UseDPDF=Y")</f>
        <v>167.47200000000001</v>
      </c>
      <c r="I14" s="13">
        <f>_xll.BDH("ALNY US Equity","IS_SGA_EXPENSE","FQ4 2020","FQ4 2020","Currency=USD","Period=FQ","BEST_FPERIOD_OVERRIDE=FQ","FILING_STATUS=MR","SCALING_FORMAT=MLN","FA_ADJUSTED=GAAP","Sort=A","Dates=H","DateFormat=P","Fill=—","Direction=H","UseDPDF=Y")</f>
        <v>166.291</v>
      </c>
      <c r="J14" s="13">
        <f>_xll.BDH("ALNY US Equity","IS_SGA_EXPENSE","FQ1 2021","FQ1 2021","Currency=USD","Period=FQ","BEST_FPERIOD_OVERRIDE=FQ","FILING_STATUS=MR","SCALING_FORMAT=MLN","FA_ADJUSTED=GAAP","Sort=A","Dates=H","DateFormat=P","Fill=—","Direction=H","UseDPDF=Y")</f>
        <v>146.85900000000001</v>
      </c>
      <c r="K14" s="13">
        <f>_xll.BDH("ALNY US Equity","IS_SGA_EXPENSE","FQ2 2021","FQ2 2021","Currency=USD","Period=FQ","BEST_FPERIOD_OVERRIDE=FQ","FILING_STATUS=MR","SCALING_FORMAT=MLN","FA_ADJUSTED=GAAP","Sort=A","Dates=H","DateFormat=P","Fill=—","Direction=H","UseDPDF=Y")</f>
        <v>145.32300000000001</v>
      </c>
      <c r="L14" s="13">
        <f>_xll.BDH("ALNY US Equity","IS_SGA_EXPENSE","FQ3 2021","FQ3 2021","Currency=USD","Period=FQ","BEST_FPERIOD_OVERRIDE=FQ","FILING_STATUS=MR","SCALING_FORMAT=MLN","FA_ADJUSTED=GAAP","Sort=A","Dates=H","DateFormat=P","Fill=—","Direction=H","UseDPDF=Y")</f>
        <v>142.07499999999999</v>
      </c>
      <c r="M14" s="13">
        <f>_xll.BDH("ALNY US Equity","IS_SGA_EXPENSE","FQ4 2021","FQ4 2021","Currency=USD","Period=FQ","BEST_FPERIOD_OVERRIDE=FQ","FILING_STATUS=MR","SCALING_FORMAT=MLN","FA_ADJUSTED=GAAP","Sort=A","Dates=H","DateFormat=P","Fill=—","Direction=H","UseDPDF=Y")</f>
        <v>186.38200000000001</v>
      </c>
      <c r="N14" s="13">
        <f>_xll.BDH("ALNY US Equity","IS_SGA_EXPENSE","FQ1 2022","FQ1 2022","Currency=USD","Period=FQ","BEST_FPERIOD_OVERRIDE=FQ","FILING_STATUS=MR","SCALING_FORMAT=MLN","FA_ADJUSTED=GAAP","Sort=A","Dates=H","DateFormat=P","Fill=—","Direction=H","UseDPDF=Y")</f>
        <v>154.471</v>
      </c>
      <c r="O14" s="13">
        <f>_xll.BDH("ALNY US Equity","IS_SGA_EXPENSE","FQ2 2022","FQ2 2022","Currency=USD","Period=FQ","BEST_FPERIOD_OVERRIDE=FQ","FILING_STATUS=MR","SCALING_FORMAT=MLN","FA_ADJUSTED=GAAP","Sort=A","Dates=H","DateFormat=P","Fill=—","Direction=H","UseDPDF=Y")</f>
        <v>169.98400000000001</v>
      </c>
      <c r="P14" s="13">
        <f>_xll.BDH("ALNY US Equity","IS_SGA_EXPENSE","FQ3 2022","FQ3 2022","Currency=USD","Period=FQ","BEST_FPERIOD_OVERRIDE=FQ","FILING_STATUS=MR","SCALING_FORMAT=MLN","FA_ADJUSTED=GAAP","Sort=A","Dates=H","DateFormat=P","Fill=—","Direction=H","UseDPDF=Y")</f>
        <v>235.85900000000001</v>
      </c>
      <c r="Q14" s="13">
        <f>_xll.BDH("ALNY US Equity","IS_SGA_EXPENSE","FQ4 2022","FQ4 2022","Currency=USD","Period=FQ","BEST_FPERIOD_OVERRIDE=FQ","FILING_STATUS=MR","SCALING_FORMAT=MLN","FA_ADJUSTED=GAAP","Sort=A","Dates=H","DateFormat=P","Fill=—","Direction=H","UseDPDF=Y")</f>
        <v>210.34399999999999</v>
      </c>
      <c r="R14" s="13">
        <f>_xll.BDH("ALNY US Equity","IS_SGA_EXPENSE","FQ1 2023","FQ1 2023","Currency=USD","Period=FQ","BEST_FPERIOD_OVERRIDE=FQ","FILING_STATUS=MR","SCALING_FORMAT=MLN","FA_ADJUSTED=GAAP","Sort=A","Dates=H","DateFormat=P","Fill=—","Direction=H","UseDPDF=Y")</f>
        <v>183.65899999999999</v>
      </c>
      <c r="S14" s="13">
        <f>_xll.BDH("ALNY US Equity","IS_SGA_EXPENSE","FQ2 2023","FQ2 2023","Currency=USD","Period=FQ","BEST_FPERIOD_OVERRIDE=FQ","FILING_STATUS=MR","SCALING_FORMAT=MLN","FA_ADJUSTED=GAAP","Sort=A","Dates=H","DateFormat=P","Fill=—","Direction=H","UseDPDF=Y")</f>
        <v>214.68899999999999</v>
      </c>
      <c r="T14" s="13">
        <f>_xll.BDH("ALNY US Equity","IS_SGA_EXPENSE","FQ3 2023","FQ3 2023","Currency=USD","Period=FQ","BEST_FPERIOD_OVERRIDE=FQ","FILING_STATUS=MR","SCALING_FORMAT=MLN","FA_ADJUSTED=GAAP","Sort=A","Dates=H","DateFormat=P","Fill=—","Direction=H","UseDPDF=Y")</f>
        <v>199.17500000000001</v>
      </c>
      <c r="U14" s="13">
        <f>_xll.BDH("ALNY US Equity","IS_SGA_EXPENSE","FQ4 2023","FQ4 2023","Currency=USD","Period=FQ","BEST_FPERIOD_OVERRIDE=FQ","FILING_STATUS=MR","SCALING_FORMAT=MLN","FA_ADJUSTED=GAAP","Sort=A","Dates=H","DateFormat=P","Fill=—","Direction=H","UseDPDF=Y")</f>
        <v>198.12299999999999</v>
      </c>
      <c r="V14" s="13">
        <f>_xll.BDH("ALNY US Equity","IS_SGA_EXPENSE","FQ1 2024","FQ1 2024","Currency=USD","Period=FQ","BEST_FPERIOD_OVERRIDE=FQ","FILING_STATUS=MR","SCALING_FORMAT=MLN","FA_ADJUSTED=GAAP","Sort=A","Dates=H","DateFormat=P","Fill=—","Direction=H","UseDPDF=Y")</f>
        <v>210.797</v>
      </c>
      <c r="W14" s="13">
        <f>_xll.BDH("ALNY US Equity","IS_SGA_EXPENSE","FQ2 2024","FQ2 2024","Currency=USD","Period=FQ","BEST_FPERIOD_OVERRIDE=FQ","FILING_STATUS=MR","SCALING_FORMAT=MLN","FA_ADJUSTED=GAAP","Sort=A","Dates=H","DateFormat=P","Fill=—","Direction=H","UseDPDF=Y")</f>
        <v>248.39699999999999</v>
      </c>
      <c r="X14" s="13">
        <f>_xll.BDH("ALNY US Equity","IS_SGA_EXPENSE","FQ3 2024","FQ3 2024","Currency=USD","Period=FQ","BEST_FPERIOD_OVERRIDE=FQ","FILING_STATUS=MR","SCALING_FORMAT=MLN","FA_ADJUSTED=GAAP","Sort=A","Dates=H","DateFormat=P","Fill=—","Direction=H","UseDPDF=Y")</f>
        <v>220.99299999999999</v>
      </c>
      <c r="Y14" s="13">
        <f>_xll.BDH("ALNY US Equity","IS_SGA_EXPENSE","FQ4 2024","FQ4 2024","Currency=USD","Period=FQ","BEST_FPERIOD_OVERRIDE=FQ","FILING_STATUS=MR","SCALING_FORMAT=MLN","FA_ADJUSTED=GAAP","Sort=A","Dates=H","DateFormat=P","Fill=—","Direction=H","UseDPDF=Y")</f>
        <v>295.339</v>
      </c>
      <c r="Z14" s="13"/>
      <c r="AA14" s="13"/>
    </row>
    <row r="15" spans="1:27" x14ac:dyDescent="0.25">
      <c r="A15" s="11" t="s">
        <v>312</v>
      </c>
      <c r="B15" s="11" t="s">
        <v>313</v>
      </c>
      <c r="C15" s="25">
        <f>_xll.BDH("ALNY US Equity","IS_GENERAL_AND_ADMINISTRATIVE","FQ2 2019","FQ2 2019","Currency=USD","Period=FQ","BEST_FPERIOD_OVERRIDE=FQ","FILING_STATUS=MR","SCALING_FORMAT=MLN","FA_ADJUSTED=GAAP","Sort=A","Dates=H","DateFormat=P","Fill=—","Direction=H","UseDPDF=Y")</f>
        <v>112.76900000000001</v>
      </c>
      <c r="D15" s="25">
        <f>_xll.BDH("ALNY US Equity","IS_GENERAL_AND_ADMINISTRATIVE","FQ3 2019","FQ3 2019","Currency=USD","Period=FQ","BEST_FPERIOD_OVERRIDE=FQ","FILING_STATUS=MR","SCALING_FORMAT=MLN","FA_ADJUSTED=GAAP","Sort=A","Dates=H","DateFormat=P","Fill=—","Direction=H","UseDPDF=Y")</f>
        <v>120.351</v>
      </c>
      <c r="E15" s="25" t="str">
        <f>_xll.BDH("ALNY US Equity","IS_GENERAL_AND_ADMINISTRATIVE","FQ4 2019","FQ4 2019","Currency=USD","Period=FQ","BEST_FPERIOD_OVERRIDE=FQ","FILING_STATUS=MR","SCALING_FORMAT=MLN","FA_ADJUSTED=GAAP","Sort=A","Dates=H","DateFormat=P","Fill=—","Direction=H","UseDPDF=Y")</f>
        <v>—</v>
      </c>
      <c r="F15" s="25" t="str">
        <f>_xll.BDH("ALNY US Equity","IS_GENERAL_AND_ADMINISTRATIVE","FQ1 2020","FQ1 2020","Currency=USD","Period=FQ","BEST_FPERIOD_OVERRIDE=FQ","FILING_STATUS=MR","SCALING_FORMAT=MLN","FA_ADJUSTED=GAAP","Sort=A","Dates=H","DateFormat=P","Fill=—","Direction=H","UseDPDF=Y")</f>
        <v>—</v>
      </c>
      <c r="G15" s="25">
        <f>_xll.BDH("ALNY US Equity","IS_GENERAL_AND_ADMINISTRATIVE","FQ2 2020","FQ2 2020","Currency=USD","Period=FQ","BEST_FPERIOD_OVERRIDE=FQ","FILING_STATUS=MR","SCALING_FORMAT=MLN","FA_ADJUSTED=GAAP","Sort=A","Dates=H","DateFormat=P","Fill=—","Direction=H","UseDPDF=Y")</f>
        <v>127.896</v>
      </c>
      <c r="H15" s="25" t="str">
        <f>_xll.BDH("ALNY US Equity","IS_GENERAL_AND_ADMINISTRATIVE","FQ3 2020","FQ3 2020","Currency=USD","Period=FQ","BEST_FPERIOD_OVERRIDE=FQ","FILING_STATUS=MR","SCALING_FORMAT=MLN","FA_ADJUSTED=GAAP","Sort=A","Dates=H","DateFormat=P","Fill=—","Direction=H","UseDPDF=Y")</f>
        <v>—</v>
      </c>
      <c r="I15" s="25" t="str">
        <f>_xll.BDH("ALNY US Equity","IS_GENERAL_AND_ADMINISTRATIVE","FQ4 2020","FQ4 2020","Currency=USD","Period=FQ","BEST_FPERIOD_OVERRIDE=FQ","FILING_STATUS=MR","SCALING_FORMAT=MLN","FA_ADJUSTED=GAAP","Sort=A","Dates=H","DateFormat=P","Fill=—","Direction=H","UseDPDF=Y")</f>
        <v>—</v>
      </c>
      <c r="J15" s="25" t="str">
        <f>_xll.BDH("ALNY US Equity","IS_GENERAL_AND_ADMINISTRATIVE","FQ1 2021","FQ1 2021","Currency=USD","Period=FQ","BEST_FPERIOD_OVERRIDE=FQ","FILING_STATUS=MR","SCALING_FORMAT=MLN","FA_ADJUSTED=GAAP","Sort=A","Dates=H","DateFormat=P","Fill=—","Direction=H","UseDPDF=Y")</f>
        <v>—</v>
      </c>
      <c r="K15" s="25" t="str">
        <f>_xll.BDH("ALNY US Equity","IS_GENERAL_AND_ADMINISTRATIVE","FQ2 2021","FQ2 2021","Currency=USD","Period=FQ","BEST_FPERIOD_OVERRIDE=FQ","FILING_STATUS=MR","SCALING_FORMAT=MLN","FA_ADJUSTED=GAAP","Sort=A","Dates=H","DateFormat=P","Fill=—","Direction=H","UseDPDF=Y")</f>
        <v>—</v>
      </c>
      <c r="L15" s="25" t="str">
        <f>_xll.BDH("ALNY US Equity","IS_GENERAL_AND_ADMINISTRATIVE","FQ3 2021","FQ3 2021","Currency=USD","Period=FQ","BEST_FPERIOD_OVERRIDE=FQ","FILING_STATUS=MR","SCALING_FORMAT=MLN","FA_ADJUSTED=GAAP","Sort=A","Dates=H","DateFormat=P","Fill=—","Direction=H","UseDPDF=Y")</f>
        <v>—</v>
      </c>
      <c r="M15" s="25" t="str">
        <f>_xll.BDH("ALNY US Equity","IS_GENERAL_AND_ADMINISTRATIVE","FQ4 2021","FQ4 2021","Currency=USD","Period=FQ","BEST_FPERIOD_OVERRIDE=FQ","FILING_STATUS=MR","SCALING_FORMAT=MLN","FA_ADJUSTED=GAAP","Sort=A","Dates=H","DateFormat=P","Fill=—","Direction=H","UseDPDF=Y")</f>
        <v>—</v>
      </c>
      <c r="N15" s="25" t="str">
        <f>_xll.BDH("ALNY US Equity","IS_GENERAL_AND_ADMINISTRATIVE","FQ1 2022","FQ1 2022","Currency=USD","Period=FQ","BEST_FPERIOD_OVERRIDE=FQ","FILING_STATUS=MR","SCALING_FORMAT=MLN","FA_ADJUSTED=GAAP","Sort=A","Dates=H","DateFormat=P","Fill=—","Direction=H","UseDPDF=Y")</f>
        <v>—</v>
      </c>
      <c r="O15" s="25" t="str">
        <f>_xll.BDH("ALNY US Equity","IS_GENERAL_AND_ADMINISTRATIVE","FQ2 2022","FQ2 2022","Currency=USD","Period=FQ","BEST_FPERIOD_OVERRIDE=FQ","FILING_STATUS=MR","SCALING_FORMAT=MLN","FA_ADJUSTED=GAAP","Sort=A","Dates=H","DateFormat=P","Fill=—","Direction=H","UseDPDF=Y")</f>
        <v>—</v>
      </c>
      <c r="P15" s="25" t="str">
        <f>_xll.BDH("ALNY US Equity","IS_GENERAL_AND_ADMINISTRATIVE","FQ3 2022","FQ3 2022","Currency=USD","Period=FQ","BEST_FPERIOD_OVERRIDE=FQ","FILING_STATUS=MR","SCALING_FORMAT=MLN","FA_ADJUSTED=GAAP","Sort=A","Dates=H","DateFormat=P","Fill=—","Direction=H","UseDPDF=Y")</f>
        <v>—</v>
      </c>
      <c r="Q15" s="25" t="str">
        <f>_xll.BDH("ALNY US Equity","IS_GENERAL_AND_ADMINISTRATIVE","FQ4 2022","FQ4 2022","Currency=USD","Period=FQ","BEST_FPERIOD_OVERRIDE=FQ","FILING_STATUS=MR","SCALING_FORMAT=MLN","FA_ADJUSTED=GAAP","Sort=A","Dates=H","DateFormat=P","Fill=—","Direction=H","UseDPDF=Y")</f>
        <v>—</v>
      </c>
      <c r="R15" s="25" t="str">
        <f>_xll.BDH("ALNY US Equity","IS_GENERAL_AND_ADMINISTRATIVE","FQ1 2023","FQ1 2023","Currency=USD","Period=FQ","BEST_FPERIOD_OVERRIDE=FQ","FILING_STATUS=MR","SCALING_FORMAT=MLN","FA_ADJUSTED=GAAP","Sort=A","Dates=H","DateFormat=P","Fill=—","Direction=H","UseDPDF=Y")</f>
        <v>—</v>
      </c>
      <c r="S15" s="25" t="str">
        <f>_xll.BDH("ALNY US Equity","IS_GENERAL_AND_ADMINISTRATIVE","FQ2 2023","FQ2 2023","Currency=USD","Period=FQ","BEST_FPERIOD_OVERRIDE=FQ","FILING_STATUS=MR","SCALING_FORMAT=MLN","FA_ADJUSTED=GAAP","Sort=A","Dates=H","DateFormat=P","Fill=—","Direction=H","UseDPDF=Y")</f>
        <v>—</v>
      </c>
      <c r="T15" s="25" t="str">
        <f>_xll.BDH("ALNY US Equity","IS_GENERAL_AND_ADMINISTRATIVE","FQ3 2023","FQ3 2023","Currency=USD","Period=FQ","BEST_FPERIOD_OVERRIDE=FQ","FILING_STATUS=MR","SCALING_FORMAT=MLN","FA_ADJUSTED=GAAP","Sort=A","Dates=H","DateFormat=P","Fill=—","Direction=H","UseDPDF=Y")</f>
        <v>—</v>
      </c>
      <c r="U15" s="25" t="str">
        <f>_xll.BDH("ALNY US Equity","IS_GENERAL_AND_ADMINISTRATIVE","FQ4 2023","FQ4 2023","Currency=USD","Period=FQ","BEST_FPERIOD_OVERRIDE=FQ","FILING_STATUS=MR","SCALING_FORMAT=MLN","FA_ADJUSTED=GAAP","Sort=A","Dates=H","DateFormat=P","Fill=—","Direction=H","UseDPDF=Y")</f>
        <v>—</v>
      </c>
      <c r="V15" s="25" t="str">
        <f>_xll.BDH("ALNY US Equity","IS_GENERAL_AND_ADMINISTRATIVE","FQ1 2024","FQ1 2024","Currency=USD","Period=FQ","BEST_FPERIOD_OVERRIDE=FQ","FILING_STATUS=MR","SCALING_FORMAT=MLN","FA_ADJUSTED=GAAP","Sort=A","Dates=H","DateFormat=P","Fill=—","Direction=H","UseDPDF=Y")</f>
        <v>—</v>
      </c>
      <c r="W15" s="25" t="str">
        <f>_xll.BDH("ALNY US Equity","IS_GENERAL_AND_ADMINISTRATIVE","FQ2 2024","FQ2 2024","Currency=USD","Period=FQ","BEST_FPERIOD_OVERRIDE=FQ","FILING_STATUS=MR","SCALING_FORMAT=MLN","FA_ADJUSTED=GAAP","Sort=A","Dates=H","DateFormat=P","Fill=—","Direction=H","UseDPDF=Y")</f>
        <v>—</v>
      </c>
      <c r="X15" s="25" t="str">
        <f>_xll.BDH("ALNY US Equity","IS_GENERAL_AND_ADMINISTRATIVE","FQ3 2024","FQ3 2024","Currency=USD","Period=FQ","BEST_FPERIOD_OVERRIDE=FQ","FILING_STATUS=MR","SCALING_FORMAT=MLN","FA_ADJUSTED=GAAP","Sort=A","Dates=H","DateFormat=P","Fill=—","Direction=H","UseDPDF=Y")</f>
        <v>—</v>
      </c>
      <c r="Y15" s="25" t="str">
        <f>_xll.BDH("ALNY US Equity","IS_GENERAL_AND_ADMINISTRATIVE","FQ4 2024","FQ4 2024","Currency=USD","Period=FQ","BEST_FPERIOD_OVERRIDE=FQ","FILING_STATUS=MR","SCALING_FORMAT=MLN","FA_ADJUSTED=GAAP","Sort=A","Dates=H","DateFormat=P","Fill=—","Direction=H","UseDPDF=Y")</f>
        <v>—</v>
      </c>
      <c r="Z15" s="25"/>
      <c r="AA15" s="25"/>
    </row>
    <row r="16" spans="1:27" x14ac:dyDescent="0.25">
      <c r="A16" s="10" t="s">
        <v>314</v>
      </c>
      <c r="B16" s="10" t="s">
        <v>395</v>
      </c>
      <c r="C16" s="13">
        <f>_xll.BDH("ALNY US Equity","IS_OPER_EXPENSES_RD_GAAP","FQ2 2019","FQ2 2019","Currency=USD","Period=FQ","BEST_FPERIOD_OVERRIDE=FQ","FILING_STATUS=MR","SCALING_FORMAT=MLN","FA_ADJUSTED=GAAP","Sort=A","Dates=H","DateFormat=P","Fill=—","Direction=H","UseDPDF=Y")</f>
        <v>163.89</v>
      </c>
      <c r="D16" s="13">
        <f>_xll.BDH("ALNY US Equity","IS_OPER_EXPENSES_RD_GAAP","FQ3 2019","FQ3 2019","Currency=USD","Period=FQ","BEST_FPERIOD_OVERRIDE=FQ","FILING_STATUS=MR","SCALING_FORMAT=MLN","FA_ADJUSTED=GAAP","Sort=A","Dates=H","DateFormat=P","Fill=—","Direction=H","UseDPDF=Y")</f>
        <v>160.79599999999999</v>
      </c>
      <c r="E16" s="13">
        <f>_xll.BDH("ALNY US Equity","IS_OPER_EXPENSES_RD_GAAP","FQ4 2019","FQ4 2019","Currency=USD","Period=FQ","BEST_FPERIOD_OVERRIDE=FQ","FILING_STATUS=MR","SCALING_FORMAT=MLN","FA_ADJUSTED=GAAP","Sort=A","Dates=H","DateFormat=P","Fill=—","Direction=H","UseDPDF=Y")</f>
        <v>201.30099999999999</v>
      </c>
      <c r="F16" s="13">
        <f>_xll.BDH("ALNY US Equity","IS_OPER_EXPENSES_RD_GAAP","FQ1 2020","FQ1 2020","Currency=USD","Period=FQ","BEST_FPERIOD_OVERRIDE=FQ","FILING_STATUS=MR","SCALING_FORMAT=MLN","FA_ADJUSTED=GAAP","Sort=A","Dates=H","DateFormat=P","Fill=—","Direction=H","UseDPDF=Y")</f>
        <v>169.571</v>
      </c>
      <c r="G16" s="13">
        <f>_xll.BDH("ALNY US Equity","IS_OPER_EXPENSES_RD_GAAP","FQ2 2020","FQ2 2020","Currency=USD","Period=FQ","BEST_FPERIOD_OVERRIDE=FQ","FILING_STATUS=MR","SCALING_FORMAT=MLN","FA_ADJUSTED=GAAP","Sort=A","Dates=H","DateFormat=P","Fill=—","Direction=H","UseDPDF=Y")</f>
        <v>154.99600000000001</v>
      </c>
      <c r="H16" s="13">
        <f>_xll.BDH("ALNY US Equity","IS_OPER_EXPENSES_RD_GAAP","FQ3 2020","FQ3 2020","Currency=USD","Period=FQ","BEST_FPERIOD_OVERRIDE=FQ","FILING_STATUS=MR","SCALING_FORMAT=MLN","FA_ADJUSTED=GAAP","Sort=A","Dates=H","DateFormat=P","Fill=—","Direction=H","UseDPDF=Y")</f>
        <v>161.78299999999999</v>
      </c>
      <c r="I16" s="13">
        <f>_xll.BDH("ALNY US Equity","IS_OPER_EXPENSES_RD_GAAP","FQ4 2020","FQ4 2020","Currency=USD","Period=FQ","BEST_FPERIOD_OVERRIDE=FQ","FILING_STATUS=MR","SCALING_FORMAT=MLN","FA_ADJUSTED=GAAP","Sort=A","Dates=H","DateFormat=P","Fill=—","Direction=H","UseDPDF=Y")</f>
        <v>168.46899999999999</v>
      </c>
      <c r="J16" s="13">
        <f>_xll.BDH("ALNY US Equity","IS_OPER_EXPENSES_RD_GAAP","FQ1 2021","FQ1 2021","Currency=USD","Period=FQ","BEST_FPERIOD_OVERRIDE=FQ","FILING_STATUS=MR","SCALING_FORMAT=MLN","FA_ADJUSTED=GAAP","Sort=A","Dates=H","DateFormat=P","Fill=—","Direction=H","UseDPDF=Y")</f>
        <v>185.899</v>
      </c>
      <c r="K16" s="13">
        <f>_xll.BDH("ALNY US Equity","IS_OPER_EXPENSES_RD_GAAP","FQ2 2021","FQ2 2021","Currency=USD","Period=FQ","BEST_FPERIOD_OVERRIDE=FQ","FILING_STATUS=MR","SCALING_FORMAT=MLN","FA_ADJUSTED=GAAP","Sort=A","Dates=H","DateFormat=P","Fill=—","Direction=H","UseDPDF=Y")</f>
        <v>182.63499999999999</v>
      </c>
      <c r="L16" s="13">
        <f>_xll.BDH("ALNY US Equity","IS_OPER_EXPENSES_RD_GAAP","FQ3 2021","FQ3 2021","Currency=USD","Period=FQ","BEST_FPERIOD_OVERRIDE=FQ","FILING_STATUS=MR","SCALING_FORMAT=MLN","FA_ADJUSTED=GAAP","Sort=A","Dates=H","DateFormat=P","Fill=—","Direction=H","UseDPDF=Y")</f>
        <v>194.572</v>
      </c>
      <c r="M16" s="13">
        <f>_xll.BDH("ALNY US Equity","IS_OPER_EXPENSES_RD_GAAP","FQ4 2021","FQ4 2021","Currency=USD","Period=FQ","BEST_FPERIOD_OVERRIDE=FQ","FILING_STATUS=MR","SCALING_FORMAT=MLN","FA_ADJUSTED=GAAP","Sort=A","Dates=H","DateFormat=P","Fill=—","Direction=H","UseDPDF=Y")</f>
        <v>229.05</v>
      </c>
      <c r="N16" s="13">
        <f>_xll.BDH("ALNY US Equity","IS_OPER_EXPENSES_RD_GAAP","FQ1 2022","FQ1 2022","Currency=USD","Period=FQ","BEST_FPERIOD_OVERRIDE=FQ","FILING_STATUS=MR","SCALING_FORMAT=MLN","FA_ADJUSTED=GAAP","Sort=A","Dates=H","DateFormat=P","Fill=—","Direction=H","UseDPDF=Y")</f>
        <v>169.893</v>
      </c>
      <c r="O16" s="13">
        <f>_xll.BDH("ALNY US Equity","IS_OPER_EXPENSES_RD_GAAP","FQ2 2022","FQ2 2022","Currency=USD","Period=FQ","BEST_FPERIOD_OVERRIDE=FQ","FILING_STATUS=MR","SCALING_FORMAT=MLN","FA_ADJUSTED=GAAP","Sort=A","Dates=H","DateFormat=P","Fill=—","Direction=H","UseDPDF=Y")</f>
        <v>205.71199999999999</v>
      </c>
      <c r="P16" s="13">
        <f>_xll.BDH("ALNY US Equity","IS_OPER_EXPENSES_RD_GAAP","FQ3 2022","FQ3 2022","Currency=USD","Period=FQ","BEST_FPERIOD_OVERRIDE=FQ","FILING_STATUS=MR","SCALING_FORMAT=MLN","FA_ADJUSTED=GAAP","Sort=A","Dates=H","DateFormat=P","Fill=—","Direction=H","UseDPDF=Y")</f>
        <v>245.37100000000001</v>
      </c>
      <c r="Q16" s="13">
        <f>_xll.BDH("ALNY US Equity","IS_OPER_EXPENSES_RD_GAAP","FQ4 2022","FQ4 2022","Currency=USD","Period=FQ","BEST_FPERIOD_OVERRIDE=FQ","FILING_STATUS=MR","SCALING_FORMAT=MLN","FA_ADJUSTED=GAAP","Sort=A","Dates=H","DateFormat=P","Fill=—","Direction=H","UseDPDF=Y")</f>
        <v>262.03899999999999</v>
      </c>
      <c r="R16" s="13">
        <f>_xll.BDH("ALNY US Equity","IS_OPER_EXPENSES_RD_GAAP","FQ1 2023","FQ1 2023","Currency=USD","Period=FQ","BEST_FPERIOD_OVERRIDE=FQ","FILING_STATUS=MR","SCALING_FORMAT=MLN","FA_ADJUSTED=GAAP","Sort=A","Dates=H","DateFormat=P","Fill=—","Direction=H","UseDPDF=Y")</f>
        <v>230.56899999999999</v>
      </c>
      <c r="S16" s="13">
        <f>_xll.BDH("ALNY US Equity","IS_OPER_EXPENSES_RD_GAAP","FQ2 2023","FQ2 2023","Currency=USD","Period=FQ","BEST_FPERIOD_OVERRIDE=FQ","FILING_STATUS=MR","SCALING_FORMAT=MLN","FA_ADJUSTED=GAAP","Sort=A","Dates=H","DateFormat=P","Fill=—","Direction=H","UseDPDF=Y")</f>
        <v>248.52600000000001</v>
      </c>
      <c r="T16" s="13">
        <f>_xll.BDH("ALNY US Equity","IS_OPER_EXPENSES_RD_GAAP","FQ3 2023","FQ3 2023","Currency=USD","Period=FQ","BEST_FPERIOD_OVERRIDE=FQ","FILING_STATUS=MR","SCALING_FORMAT=MLN","FA_ADJUSTED=GAAP","Sort=A","Dates=H","DateFormat=P","Fill=—","Direction=H","UseDPDF=Y")</f>
        <v>253.179</v>
      </c>
      <c r="U16" s="13">
        <f>_xll.BDH("ALNY US Equity","IS_OPER_EXPENSES_RD_GAAP","FQ4 2023","FQ4 2023","Currency=USD","Period=FQ","BEST_FPERIOD_OVERRIDE=FQ","FILING_STATUS=MR","SCALING_FORMAT=MLN","FA_ADJUSTED=GAAP","Sort=A","Dates=H","DateFormat=P","Fill=—","Direction=H","UseDPDF=Y")</f>
        <v>272.14100000000002</v>
      </c>
      <c r="V16" s="13">
        <f>_xll.BDH("ALNY US Equity","IS_OPER_EXPENSES_RD_GAAP","FQ1 2024","FQ1 2024","Currency=USD","Period=FQ","BEST_FPERIOD_OVERRIDE=FQ","FILING_STATUS=MR","SCALING_FORMAT=MLN","FA_ADJUSTED=GAAP","Sort=A","Dates=H","DateFormat=P","Fill=—","Direction=H","UseDPDF=Y")</f>
        <v>260.995</v>
      </c>
      <c r="W16" s="13">
        <f>_xll.BDH("ALNY US Equity","IS_OPER_EXPENSES_RD_GAAP","FQ2 2024","FQ2 2024","Currency=USD","Period=FQ","BEST_FPERIOD_OVERRIDE=FQ","FILING_STATUS=MR","SCALING_FORMAT=MLN","FA_ADJUSTED=GAAP","Sort=A","Dates=H","DateFormat=P","Fill=—","Direction=H","UseDPDF=Y")</f>
        <v>294.142</v>
      </c>
      <c r="X16" s="13">
        <f>_xll.BDH("ALNY US Equity","IS_OPER_EXPENSES_RD_GAAP","FQ3 2024","FQ3 2024","Currency=USD","Period=FQ","BEST_FPERIOD_OVERRIDE=FQ","FILING_STATUS=MR","SCALING_FORMAT=MLN","FA_ADJUSTED=GAAP","Sort=A","Dates=H","DateFormat=P","Fill=—","Direction=H","UseDPDF=Y")</f>
        <v>270.92599999999999</v>
      </c>
      <c r="Y16" s="13">
        <f>_xll.BDH("ALNY US Equity","IS_OPER_EXPENSES_RD_GAAP","FQ4 2024","FQ4 2024","Currency=USD","Period=FQ","BEST_FPERIOD_OVERRIDE=FQ","FILING_STATUS=MR","SCALING_FORMAT=MLN","FA_ADJUSTED=GAAP","Sort=A","Dates=H","DateFormat=P","Fill=—","Direction=H","UseDPDF=Y")</f>
        <v>300.16899999999998</v>
      </c>
      <c r="Z16" s="13"/>
      <c r="AA16" s="13"/>
    </row>
    <row r="17" spans="1:27" x14ac:dyDescent="0.25">
      <c r="A17" s="10" t="s">
        <v>316</v>
      </c>
      <c r="B17" s="10" t="s">
        <v>396</v>
      </c>
      <c r="C17" s="13">
        <f>_xll.BDH("ALNY US Equity","OTHER_OPERATING_EXPENSES_RATIO","FQ2 2019","FQ2 2019","Currency=USD","Period=FQ","BEST_FPERIOD_OVERRIDE=FQ","FILING_STATUS=MR","SCALING_FORMAT=MLN","FA_ADJUSTED=GAAP","Sort=A","Dates=H","DateFormat=P","Fill=—","Direction=H","UseDPDF=Y")</f>
        <v>0</v>
      </c>
      <c r="D17" s="13">
        <f>_xll.BDH("ALNY US Equity","OTHER_OPERATING_EXPENSES_RATIO","FQ3 2019","FQ3 2019","Currency=USD","Period=FQ","BEST_FPERIOD_OVERRIDE=FQ","FILING_STATUS=MR","SCALING_FORMAT=MLN","FA_ADJUSTED=GAAP","Sort=A","Dates=H","DateFormat=P","Fill=—","Direction=H","UseDPDF=Y")</f>
        <v>0</v>
      </c>
      <c r="E17" s="13">
        <f>_xll.BDH("ALNY US Equity","OTHER_OPERATING_EXPENSES_RATIO","FQ4 2019","FQ4 2019","Currency=USD","Period=FQ","BEST_FPERIOD_OVERRIDE=FQ","FILING_STATUS=MR","SCALING_FORMAT=MLN","FA_ADJUSTED=GAAP","Sort=A","Dates=H","DateFormat=P","Fill=—","Direction=H","UseDPDF=Y")</f>
        <v>0</v>
      </c>
      <c r="F17" s="13">
        <f>_xll.BDH("ALNY US Equity","OTHER_OPERATING_EXPENSES_RATIO","FQ1 2020","FQ1 2020","Currency=USD","Period=FQ","BEST_FPERIOD_OVERRIDE=FQ","FILING_STATUS=MR","SCALING_FORMAT=MLN","FA_ADJUSTED=GAAP","Sort=A","Dates=H","DateFormat=P","Fill=—","Direction=H","UseDPDF=Y")</f>
        <v>0</v>
      </c>
      <c r="G17" s="13">
        <f>_xll.BDH("ALNY US Equity","OTHER_OPERATING_EXPENSES_RATIO","FQ2 2020","FQ2 2020","Currency=USD","Period=FQ","BEST_FPERIOD_OVERRIDE=FQ","FILING_STATUS=MR","SCALING_FORMAT=MLN","FA_ADJUSTED=GAAP","Sort=A","Dates=H","DateFormat=P","Fill=—","Direction=H","UseDPDF=Y")</f>
        <v>0</v>
      </c>
      <c r="H17" s="13">
        <f>_xll.BDH("ALNY US Equity","OTHER_OPERATING_EXPENSES_RATIO","FQ3 2020","FQ3 2020","Currency=USD","Period=FQ","BEST_FPERIOD_OVERRIDE=FQ","FILING_STATUS=MR","SCALING_FORMAT=MLN","FA_ADJUSTED=GAAP","Sort=A","Dates=H","DateFormat=P","Fill=—","Direction=H","UseDPDF=Y")</f>
        <v>0</v>
      </c>
      <c r="I17" s="13">
        <f>_xll.BDH("ALNY US Equity","OTHER_OPERATING_EXPENSES_RATIO","FQ4 2020","FQ4 2020","Currency=USD","Period=FQ","BEST_FPERIOD_OVERRIDE=FQ","FILING_STATUS=MR","SCALING_FORMAT=MLN","FA_ADJUSTED=GAAP","Sort=A","Dates=H","DateFormat=P","Fill=—","Direction=H","UseDPDF=Y")</f>
        <v>0</v>
      </c>
      <c r="J17" s="13">
        <f>_xll.BDH("ALNY US Equity","OTHER_OPERATING_EXPENSES_RATIO","FQ1 2021","FQ1 2021","Currency=USD","Period=FQ","BEST_FPERIOD_OVERRIDE=FQ","FILING_STATUS=MR","SCALING_FORMAT=MLN","FA_ADJUSTED=GAAP","Sort=A","Dates=H","DateFormat=P","Fill=—","Direction=H","UseDPDF=Y")</f>
        <v>0</v>
      </c>
      <c r="K17" s="13">
        <f>_xll.BDH("ALNY US Equity","OTHER_OPERATING_EXPENSES_RATIO","FQ2 2021","FQ2 2021","Currency=USD","Period=FQ","BEST_FPERIOD_OVERRIDE=FQ","FILING_STATUS=MR","SCALING_FORMAT=MLN","FA_ADJUSTED=GAAP","Sort=A","Dates=H","DateFormat=P","Fill=—","Direction=H","UseDPDF=Y")</f>
        <v>0</v>
      </c>
      <c r="L17" s="13">
        <f>_xll.BDH("ALNY US Equity","OTHER_OPERATING_EXPENSES_RATIO","FQ3 2021","FQ3 2021","Currency=USD","Period=FQ","BEST_FPERIOD_OVERRIDE=FQ","FILING_STATUS=MR","SCALING_FORMAT=MLN","FA_ADJUSTED=GAAP","Sort=A","Dates=H","DateFormat=P","Fill=—","Direction=H","UseDPDF=Y")</f>
        <v>0</v>
      </c>
      <c r="M17" s="13">
        <f>_xll.BDH("ALNY US Equity","OTHER_OPERATING_EXPENSES_RATIO","FQ4 2021","FQ4 2021","Currency=USD","Period=FQ","BEST_FPERIOD_OVERRIDE=FQ","FILING_STATUS=MR","SCALING_FORMAT=MLN","FA_ADJUSTED=GAAP","Sort=A","Dates=H","DateFormat=P","Fill=—","Direction=H","UseDPDF=Y")</f>
        <v>0</v>
      </c>
      <c r="N17" s="13">
        <f>_xll.BDH("ALNY US Equity","OTHER_OPERATING_EXPENSES_RATIO","FQ1 2022","FQ1 2022","Currency=USD","Period=FQ","BEST_FPERIOD_OVERRIDE=FQ","FILING_STATUS=MR","SCALING_FORMAT=MLN","FA_ADJUSTED=GAAP","Sort=A","Dates=H","DateFormat=P","Fill=—","Direction=H","UseDPDF=Y")</f>
        <v>0</v>
      </c>
      <c r="O17" s="13">
        <f>_xll.BDH("ALNY US Equity","OTHER_OPERATING_EXPENSES_RATIO","FQ2 2022","FQ2 2022","Currency=USD","Period=FQ","BEST_FPERIOD_OVERRIDE=FQ","FILING_STATUS=MR","SCALING_FORMAT=MLN","FA_ADJUSTED=GAAP","Sort=A","Dates=H","DateFormat=P","Fill=—","Direction=H","UseDPDF=Y")</f>
        <v>0</v>
      </c>
      <c r="P17" s="13">
        <f>_xll.BDH("ALNY US Equity","OTHER_OPERATING_EXPENSES_RATIO","FQ3 2022","FQ3 2022","Currency=USD","Period=FQ","BEST_FPERIOD_OVERRIDE=FQ","FILING_STATUS=MR","SCALING_FORMAT=MLN","FA_ADJUSTED=GAAP","Sort=A","Dates=H","DateFormat=P","Fill=—","Direction=H","UseDPDF=Y")</f>
        <v>0</v>
      </c>
      <c r="Q17" s="13">
        <f>_xll.BDH("ALNY US Equity","OTHER_OPERATING_EXPENSES_RATIO","FQ4 2022","FQ4 2022","Currency=USD","Period=FQ","BEST_FPERIOD_OVERRIDE=FQ","FILING_STATUS=MR","SCALING_FORMAT=MLN","FA_ADJUSTED=GAAP","Sort=A","Dates=H","DateFormat=P","Fill=—","Direction=H","UseDPDF=Y")</f>
        <v>0</v>
      </c>
      <c r="R17" s="13">
        <f>_xll.BDH("ALNY US Equity","OTHER_OPERATING_EXPENSES_RATIO","FQ1 2023","FQ1 2023","Currency=USD","Period=FQ","BEST_FPERIOD_OVERRIDE=FQ","FILING_STATUS=MR","SCALING_FORMAT=MLN","FA_ADJUSTED=GAAP","Sort=A","Dates=H","DateFormat=P","Fill=—","Direction=H","UseDPDF=Y")</f>
        <v>0</v>
      </c>
      <c r="S17" s="13">
        <f>_xll.BDH("ALNY US Equity","OTHER_OPERATING_EXPENSES_RATIO","FQ2 2023","FQ2 2023","Currency=USD","Period=FQ","BEST_FPERIOD_OVERRIDE=FQ","FILING_STATUS=MR","SCALING_FORMAT=MLN","FA_ADJUSTED=GAAP","Sort=A","Dates=H","DateFormat=P","Fill=—","Direction=H","UseDPDF=Y")</f>
        <v>0</v>
      </c>
      <c r="T17" s="13">
        <f>_xll.BDH("ALNY US Equity","OTHER_OPERATING_EXPENSES_RATIO","FQ3 2023","FQ3 2023","Currency=USD","Period=FQ","BEST_FPERIOD_OVERRIDE=FQ","FILING_STATUS=MR","SCALING_FORMAT=MLN","FA_ADJUSTED=GAAP","Sort=A","Dates=H","DateFormat=P","Fill=—","Direction=H","UseDPDF=Y")</f>
        <v>0</v>
      </c>
      <c r="U17" s="13">
        <f>_xll.BDH("ALNY US Equity","OTHER_OPERATING_EXPENSES_RATIO","FQ4 2023","FQ4 2023","Currency=USD","Period=FQ","BEST_FPERIOD_OVERRIDE=FQ","FILING_STATUS=MR","SCALING_FORMAT=MLN","FA_ADJUSTED=GAAP","Sort=A","Dates=H","DateFormat=P","Fill=—","Direction=H","UseDPDF=Y")</f>
        <v>0</v>
      </c>
      <c r="V17" s="13">
        <f>_xll.BDH("ALNY US Equity","OTHER_OPERATING_EXPENSES_RATIO","FQ1 2024","FQ1 2024","Currency=USD","Period=FQ","BEST_FPERIOD_OVERRIDE=FQ","FILING_STATUS=MR","SCALING_FORMAT=MLN","FA_ADJUSTED=GAAP","Sort=A","Dates=H","DateFormat=P","Fill=—","Direction=H","UseDPDF=Y")</f>
        <v>0</v>
      </c>
      <c r="W17" s="13">
        <f>_xll.BDH("ALNY US Equity","OTHER_OPERATING_EXPENSES_RATIO","FQ2 2024","FQ2 2024","Currency=USD","Period=FQ","BEST_FPERIOD_OVERRIDE=FQ","FILING_STATUS=MR","SCALING_FORMAT=MLN","FA_ADJUSTED=GAAP","Sort=A","Dates=H","DateFormat=P","Fill=—","Direction=H","UseDPDF=Y")</f>
        <v>0</v>
      </c>
      <c r="X17" s="13">
        <f>_xll.BDH("ALNY US Equity","OTHER_OPERATING_EXPENSES_RATIO","FQ3 2024","FQ3 2024","Currency=USD","Period=FQ","BEST_FPERIOD_OVERRIDE=FQ","FILING_STATUS=MR","SCALING_FORMAT=MLN","FA_ADJUSTED=GAAP","Sort=A","Dates=H","DateFormat=P","Fill=—","Direction=H","UseDPDF=Y")</f>
        <v>0</v>
      </c>
      <c r="Y17" s="13">
        <f>_xll.BDH("ALNY US Equity","OTHER_OPERATING_EXPENSES_RATIO","FQ4 2024","FQ4 2024","Currency=USD","Period=FQ","BEST_FPERIOD_OVERRIDE=FQ","FILING_STATUS=MR","SCALING_FORMAT=MLN","FA_ADJUSTED=GAAP","Sort=A","Dates=H","DateFormat=P","Fill=—","Direction=H","UseDPDF=Y")</f>
        <v>0</v>
      </c>
      <c r="Z17" s="13"/>
      <c r="AA17" s="13"/>
    </row>
    <row r="18" spans="1:27" x14ac:dyDescent="0.25">
      <c r="A18" s="6" t="s">
        <v>318</v>
      </c>
      <c r="B18" s="6" t="s">
        <v>99</v>
      </c>
      <c r="C18" s="19">
        <f>_xll.BDH("ALNY US Equity","IS_OPER_INC","FQ2 2019","FQ2 2019","Currency=USD","Period=FQ","BEST_FPERIOD_OVERRIDE=FQ","FILING_STATUS=MR","SCALING_FORMAT=MLN","FA_ADJUSTED=GAAP","Sort=A","Dates=H","DateFormat=P","Fill=—","Direction=H","UseDPDF=Y")</f>
        <v>-236.27099999999999</v>
      </c>
      <c r="D18" s="19">
        <f>_xll.BDH("ALNY US Equity","IS_OPER_INC","FQ3 2019","FQ3 2019","Currency=USD","Period=FQ","BEST_FPERIOD_OVERRIDE=FQ","FILING_STATUS=MR","SCALING_FORMAT=MLN","FA_ADJUSTED=GAAP","Sort=A","Dates=H","DateFormat=P","Fill=—","Direction=H","UseDPDF=Y")</f>
        <v>-216.29900000000001</v>
      </c>
      <c r="E18" s="19">
        <f>_xll.BDH("ALNY US Equity","IS_OPER_INC","FQ4 2019","FQ4 2019","Currency=USD","Period=FQ","BEST_FPERIOD_OVERRIDE=FQ","FILING_STATUS=MR","SCALING_FORMAT=MLN","FA_ADJUSTED=GAAP","Sort=A","Dates=H","DateFormat=P","Fill=—","Direction=H","UseDPDF=Y")</f>
        <v>-298.07299999999998</v>
      </c>
      <c r="F18" s="19">
        <f>_xll.BDH("ALNY US Equity","IS_OPER_INC","FQ1 2020","FQ1 2020","Currency=USD","Period=FQ","BEST_FPERIOD_OVERRIDE=FQ","FILING_STATUS=MR","SCALING_FORMAT=MLN","FA_ADJUSTED=GAAP","Sort=A","Dates=H","DateFormat=P","Fill=—","Direction=H","UseDPDF=Y")</f>
        <v>-210.15799999999999</v>
      </c>
      <c r="G18" s="19">
        <f>_xll.BDH("ALNY US Equity","IS_OPER_INC","FQ2 2020","FQ2 2020","Currency=USD","Period=FQ","BEST_FPERIOD_OVERRIDE=FQ","FILING_STATUS=MR","SCALING_FORMAT=MLN","FA_ADJUSTED=GAAP","Sort=A","Dates=H","DateFormat=P","Fill=—","Direction=H","UseDPDF=Y")</f>
        <v>-198.85900000000001</v>
      </c>
      <c r="H18" s="19">
        <f>_xll.BDH("ALNY US Equity","IS_OPER_INC","FQ3 2020","FQ3 2020","Currency=USD","Period=FQ","BEST_FPERIOD_OVERRIDE=FQ","FILING_STATUS=MR","SCALING_FORMAT=MLN","FA_ADJUSTED=GAAP","Sort=A","Dates=H","DateFormat=P","Fill=—","Direction=H","UseDPDF=Y")</f>
        <v>-225.19900000000001</v>
      </c>
      <c r="I18" s="19">
        <f>_xll.BDH("ALNY US Equity","IS_OPER_INC","FQ4 2020","FQ4 2020","Currency=USD","Period=FQ","BEST_FPERIOD_OVERRIDE=FQ","FILING_STATUS=MR","SCALING_FORMAT=MLN","FA_ADJUSTED=GAAP","Sort=A","Dates=H","DateFormat=P","Fill=—","Direction=H","UseDPDF=Y")</f>
        <v>-194.22200000000001</v>
      </c>
      <c r="J18" s="19">
        <f>_xll.BDH("ALNY US Equity","IS_OPER_INC","FQ1 2021","FQ1 2021","Currency=USD","Period=FQ","BEST_FPERIOD_OVERRIDE=FQ","FILING_STATUS=MR","SCALING_FORMAT=MLN","FA_ADJUSTED=GAAP","Sort=A","Dates=H","DateFormat=P","Fill=—","Direction=H","UseDPDF=Y")</f>
        <v>-186.25399999999999</v>
      </c>
      <c r="K18" s="19">
        <f>_xll.BDH("ALNY US Equity","IS_OPER_INC","FQ2 2021","FQ2 2021","Currency=USD","Period=FQ","BEST_FPERIOD_OVERRIDE=FQ","FILING_STATUS=MR","SCALING_FORMAT=MLN","FA_ADJUSTED=GAAP","Sort=A","Dates=H","DateFormat=P","Fill=—","Direction=H","UseDPDF=Y")</f>
        <v>-146.16</v>
      </c>
      <c r="L18" s="19">
        <f>_xll.BDH("ALNY US Equity","IS_OPER_INC","FQ3 2021","FQ3 2021","Currency=USD","Period=FQ","BEST_FPERIOD_OVERRIDE=FQ","FILING_STATUS=MR","SCALING_FORMAT=MLN","FA_ADJUSTED=GAAP","Sort=A","Dates=H","DateFormat=P","Fill=—","Direction=H","UseDPDF=Y")</f>
        <v>-181.67699999999999</v>
      </c>
      <c r="M18" s="19">
        <f>_xll.BDH("ALNY US Equity","IS_OPER_INC","FQ4 2021","FQ4 2021","Currency=USD","Period=FQ","BEST_FPERIOD_OVERRIDE=FQ","FILING_STATUS=MR","SCALING_FORMAT=MLN","FA_ADJUSTED=GAAP","Sort=A","Dates=H","DateFormat=P","Fill=—","Direction=H","UseDPDF=Y")</f>
        <v>-194.56100000000001</v>
      </c>
      <c r="N18" s="19">
        <f>_xll.BDH("ALNY US Equity","IS_OPER_INC","FQ1 2022","FQ1 2022","Currency=USD","Period=FQ","BEST_FPERIOD_OVERRIDE=FQ","FILING_STATUS=MR","SCALING_FORMAT=MLN","FA_ADJUSTED=GAAP","Sort=A","Dates=H","DateFormat=P","Fill=—","Direction=H","UseDPDF=Y")</f>
        <v>-146.732</v>
      </c>
      <c r="O18" s="19">
        <f>_xll.BDH("ALNY US Equity","IS_OPER_INC","FQ2 2022","FQ2 2022","Currency=USD","Period=FQ","BEST_FPERIOD_OVERRIDE=FQ","FILING_STATUS=MR","SCALING_FORMAT=MLN","FA_ADJUSTED=GAAP","Sort=A","Dates=H","DateFormat=P","Fill=—","Direction=H","UseDPDF=Y")</f>
        <v>-191.68600000000001</v>
      </c>
      <c r="P18" s="19">
        <f>_xll.BDH("ALNY US Equity","IS_OPER_INC","FQ3 2022","FQ3 2022","Currency=USD","Period=FQ","BEST_FPERIOD_OVERRIDE=FQ","FILING_STATUS=MR","SCALING_FORMAT=MLN","FA_ADJUSTED=GAAP","Sort=A","Dates=H","DateFormat=P","Fill=—","Direction=H","UseDPDF=Y")</f>
        <v>-258.04000000000002</v>
      </c>
      <c r="Q18" s="19">
        <f>_xll.BDH("ALNY US Equity","IS_OPER_INC","FQ4 2022","FQ4 2022","Currency=USD","Period=FQ","BEST_FPERIOD_OVERRIDE=FQ","FILING_STATUS=MR","SCALING_FORMAT=MLN","FA_ADJUSTED=GAAP","Sort=A","Dates=H","DateFormat=P","Fill=—","Direction=H","UseDPDF=Y")</f>
        <v>-188.614</v>
      </c>
      <c r="R18" s="19">
        <f>_xll.BDH("ALNY US Equity","IS_OPER_INC","FQ1 2023","FQ1 2023","Currency=USD","Period=FQ","BEST_FPERIOD_OVERRIDE=FQ","FILING_STATUS=MR","SCALING_FORMAT=MLN","FA_ADJUSTED=GAAP","Sort=A","Dates=H","DateFormat=P","Fill=—","Direction=H","UseDPDF=Y")</f>
        <v>-149.80699999999999</v>
      </c>
      <c r="S18" s="19">
        <f>_xll.BDH("ALNY US Equity","IS_OPER_INC","FQ2 2023","FQ2 2023","Currency=USD","Period=FQ","BEST_FPERIOD_OVERRIDE=FQ","FILING_STATUS=MR","SCALING_FORMAT=MLN","FA_ADJUSTED=GAAP","Sort=A","Dates=H","DateFormat=P","Fill=—","Direction=H","UseDPDF=Y")</f>
        <v>-229.83099999999999</v>
      </c>
      <c r="T18" s="19">
        <f>_xll.BDH("ALNY US Equity","IS_OPER_INC","FQ3 2023","FQ3 2023","Currency=USD","Period=FQ","BEST_FPERIOD_OVERRIDE=FQ","FILING_STATUS=MR","SCALING_FORMAT=MLN","FA_ADJUSTED=GAAP","Sort=A","Dates=H","DateFormat=P","Fill=—","Direction=H","UseDPDF=Y")</f>
        <v>213.86699999999999</v>
      </c>
      <c r="U18" s="19">
        <f>_xll.BDH("ALNY US Equity","IS_OPER_INC","FQ4 2023","FQ4 2023","Currency=USD","Period=FQ","BEST_FPERIOD_OVERRIDE=FQ","FILING_STATUS=MR","SCALING_FORMAT=MLN","FA_ADJUSTED=GAAP","Sort=A","Dates=H","DateFormat=P","Fill=—","Direction=H","UseDPDF=Y")</f>
        <v>-116.404</v>
      </c>
      <c r="V18" s="19">
        <f>_xll.BDH("ALNY US Equity","IS_OPER_INC","FQ1 2024","FQ1 2024","Currency=USD","Period=FQ","BEST_FPERIOD_OVERRIDE=FQ","FILING_STATUS=MR","SCALING_FORMAT=MLN","FA_ADJUSTED=GAAP","Sort=A","Dates=H","DateFormat=P","Fill=—","Direction=H","UseDPDF=Y")</f>
        <v>-43.435000000000002</v>
      </c>
      <c r="W18" s="19">
        <f>_xll.BDH("ALNY US Equity","IS_OPER_INC","FQ2 2024","FQ2 2024","Currency=USD","Period=FQ","BEST_FPERIOD_OVERRIDE=FQ","FILING_STATUS=MR","SCALING_FORMAT=MLN","FA_ADJUSTED=GAAP","Sort=A","Dates=H","DateFormat=P","Fill=—","Direction=H","UseDPDF=Y")</f>
        <v>48.613999999999997</v>
      </c>
      <c r="X18" s="19">
        <f>_xll.BDH("ALNY US Equity","IS_OPER_INC","FQ3 2024","FQ3 2024","Currency=USD","Period=FQ","BEST_FPERIOD_OVERRIDE=FQ","FILING_STATUS=MR","SCALING_FORMAT=MLN","FA_ADJUSTED=GAAP","Sort=A","Dates=H","DateFormat=P","Fill=—","Direction=H","UseDPDF=Y")</f>
        <v>-76.905000000000001</v>
      </c>
      <c r="Y18" s="19">
        <f>_xll.BDH("ALNY US Equity","IS_OPER_INC","FQ4 2024","FQ4 2024","Currency=USD","Period=FQ","BEST_FPERIOD_OVERRIDE=FQ","FILING_STATUS=MR","SCALING_FORMAT=MLN","FA_ADJUSTED=GAAP","Sort=A","Dates=H","DateFormat=P","Fill=—","Direction=H","UseDPDF=Y")</f>
        <v>-105.15900000000001</v>
      </c>
      <c r="Z18" s="19">
        <v>-77.468999999999994</v>
      </c>
      <c r="AA18" s="19">
        <v>-73.013000000000005</v>
      </c>
    </row>
    <row r="19" spans="1:27" x14ac:dyDescent="0.25">
      <c r="A19" s="10" t="s">
        <v>319</v>
      </c>
      <c r="B19" s="10" t="s">
        <v>397</v>
      </c>
      <c r="C19" s="13">
        <f>_xll.BDH("ALNY US Equity","NONOP_INCOME_LOSS","FQ2 2019","FQ2 2019","Currency=USD","Period=FQ","BEST_FPERIOD_OVERRIDE=FQ","FILING_STATUS=MR","SCALING_FORMAT=MLN","FA_ADJUSTED=GAAP","Sort=A","Dates=H","DateFormat=P","Fill=—","Direction=H","UseDPDF=Y")</f>
        <v>-17.75</v>
      </c>
      <c r="D19" s="13">
        <f>_xll.BDH("ALNY US Equity","NONOP_INCOME_LOSS","FQ3 2019","FQ3 2019","Currency=USD","Period=FQ","BEST_FPERIOD_OVERRIDE=FQ","FILING_STATUS=MR","SCALING_FORMAT=MLN","FA_ADJUSTED=GAAP","Sort=A","Dates=H","DateFormat=P","Fill=—","Direction=H","UseDPDF=Y")</f>
        <v>-7.37</v>
      </c>
      <c r="E19" s="13">
        <f>_xll.BDH("ALNY US Equity","NONOP_INCOME_LOSS","FQ4 2019","FQ4 2019","Currency=USD","Period=FQ","BEST_FPERIOD_OVERRIDE=FQ","FILING_STATUS=MR","SCALING_FORMAT=MLN","FA_ADJUSTED=GAAP","Sort=A","Dates=H","DateFormat=P","Fill=—","Direction=H","UseDPDF=Y")</f>
        <v>-21.49</v>
      </c>
      <c r="F19" s="13">
        <f>_xll.BDH("ALNY US Equity","NONOP_INCOME_LOSS","FQ1 2020","FQ1 2020","Currency=USD","Period=FQ","BEST_FPERIOD_OVERRIDE=FQ","FILING_STATUS=MR","SCALING_FORMAT=MLN","FA_ADJUSTED=GAAP","Sort=A","Dates=H","DateFormat=P","Fill=—","Direction=H","UseDPDF=Y")</f>
        <v>-28.512</v>
      </c>
      <c r="G19" s="13">
        <f>_xll.BDH("ALNY US Equity","NONOP_INCOME_LOSS","FQ2 2020","FQ2 2020","Currency=USD","Period=FQ","BEST_FPERIOD_OVERRIDE=FQ","FILING_STATUS=MR","SCALING_FORMAT=MLN","FA_ADJUSTED=GAAP","Sort=A","Dates=H","DateFormat=P","Fill=—","Direction=H","UseDPDF=Y")</f>
        <v>-20.956</v>
      </c>
      <c r="H19" s="13">
        <f>_xll.BDH("ALNY US Equity","NONOP_INCOME_LOSS","FQ3 2020","FQ3 2020","Currency=USD","Period=FQ","BEST_FPERIOD_OVERRIDE=FQ","FILING_STATUS=MR","SCALING_FORMAT=MLN","FA_ADJUSTED=GAAP","Sort=A","Dates=H","DateFormat=P","Fill=—","Direction=H","UseDPDF=Y")</f>
        <v>27.253</v>
      </c>
      <c r="I19" s="13">
        <f>_xll.BDH("ALNY US Equity","NONOP_INCOME_LOSS","FQ4 2020","FQ4 2020","Currency=USD","Period=FQ","BEST_FPERIOD_OVERRIDE=FQ","FILING_STATUS=MR","SCALING_FORMAT=MLN","FA_ADJUSTED=GAAP","Sort=A","Dates=H","DateFormat=P","Fill=—","Direction=H","UseDPDF=Y")</f>
        <v>49.377000000000002</v>
      </c>
      <c r="J19" s="13">
        <f>_xll.BDH("ALNY US Equity","NONOP_INCOME_LOSS","FQ1 2021","FQ1 2021","Currency=USD","Period=FQ","BEST_FPERIOD_OVERRIDE=FQ","FILING_STATUS=MR","SCALING_FORMAT=MLN","FA_ADJUSTED=GAAP","Sort=A","Dates=H","DateFormat=P","Fill=—","Direction=H","UseDPDF=Y")</f>
        <v>13.021000000000001</v>
      </c>
      <c r="K19" s="13">
        <f>_xll.BDH("ALNY US Equity","NONOP_INCOME_LOSS","FQ2 2021","FQ2 2021","Currency=USD","Period=FQ","BEST_FPERIOD_OVERRIDE=FQ","FILING_STATUS=MR","SCALING_FORMAT=MLN","FA_ADJUSTED=GAAP","Sort=A","Dates=H","DateFormat=P","Fill=—","Direction=H","UseDPDF=Y")</f>
        <v>42.170999999999999</v>
      </c>
      <c r="L19" s="13">
        <f>_xll.BDH("ALNY US Equity","NONOP_INCOME_LOSS","FQ3 2021","FQ3 2021","Currency=USD","Period=FQ","BEST_FPERIOD_OVERRIDE=FQ","FILING_STATUS=MR","SCALING_FORMAT=MLN","FA_ADJUSTED=GAAP","Sort=A","Dates=H","DateFormat=P","Fill=—","Direction=H","UseDPDF=Y")</f>
        <v>22.559000000000001</v>
      </c>
      <c r="M19" s="13">
        <f>_xll.BDH("ALNY US Equity","NONOP_INCOME_LOSS","FQ4 2021","FQ4 2021","Currency=USD","Period=FQ","BEST_FPERIOD_OVERRIDE=FQ","FILING_STATUS=MR","SCALING_FORMAT=MLN","FA_ADJUSTED=GAAP","Sort=A","Dates=H","DateFormat=P","Fill=—","Direction=H","UseDPDF=Y")</f>
        <v>65.741</v>
      </c>
      <c r="N19" s="13">
        <f>_xll.BDH("ALNY US Equity","NONOP_INCOME_LOSS","FQ1 2022","FQ1 2022","Currency=USD","Period=FQ","BEST_FPERIOD_OVERRIDE=FQ","FILING_STATUS=MR","SCALING_FORMAT=MLN","FA_ADJUSTED=GAAP","Sort=A","Dates=H","DateFormat=P","Fill=—","Direction=H","UseDPDF=Y")</f>
        <v>92.623999999999995</v>
      </c>
      <c r="O19" s="13">
        <f>_xll.BDH("ALNY US Equity","NONOP_INCOME_LOSS","FQ2 2022","FQ2 2022","Currency=USD","Period=FQ","BEST_FPERIOD_OVERRIDE=FQ","FILING_STATUS=MR","SCALING_FORMAT=MLN","FA_ADJUSTED=GAAP","Sort=A","Dates=H","DateFormat=P","Fill=—","Direction=H","UseDPDF=Y")</f>
        <v>82.986999999999995</v>
      </c>
      <c r="P19" s="13">
        <f>_xll.BDH("ALNY US Equity","NONOP_INCOME_LOSS","FQ3 2022","FQ3 2022","Currency=USD","Period=FQ","BEST_FPERIOD_OVERRIDE=FQ","FILING_STATUS=MR","SCALING_FORMAT=MLN","FA_ADJUSTED=GAAP","Sort=A","Dates=H","DateFormat=P","Fill=—","Direction=H","UseDPDF=Y")</f>
        <v>147.90299999999999</v>
      </c>
      <c r="Q19" s="13">
        <f>_xll.BDH("ALNY US Equity","NONOP_INCOME_LOSS","FQ4 2022","FQ4 2022","Currency=USD","Period=FQ","BEST_FPERIOD_OVERRIDE=FQ","FILING_STATUS=MR","SCALING_FORMAT=MLN","FA_ADJUSTED=GAAP","Sort=A","Dates=H","DateFormat=P","Fill=—","Direction=H","UseDPDF=Y")</f>
        <v>18.407</v>
      </c>
      <c r="R19" s="13">
        <f>_xll.BDH("ALNY US Equity","NONOP_INCOME_LOSS","FQ1 2023","FQ1 2023","Currency=USD","Period=FQ","BEST_FPERIOD_OVERRIDE=FQ","FILING_STATUS=MR","SCALING_FORMAT=MLN","FA_ADJUSTED=GAAP","Sort=A","Dates=H","DateFormat=P","Fill=—","Direction=H","UseDPDF=Y")</f>
        <v>22.555</v>
      </c>
      <c r="S19" s="13">
        <f>_xll.BDH("ALNY US Equity","NONOP_INCOME_LOSS","FQ2 2023","FQ2 2023","Currency=USD","Period=FQ","BEST_FPERIOD_OVERRIDE=FQ","FILING_STATUS=MR","SCALING_FORMAT=MLN","FA_ADJUSTED=GAAP","Sort=A","Dates=H","DateFormat=P","Fill=—","Direction=H","UseDPDF=Y")</f>
        <v>44.378</v>
      </c>
      <c r="T19" s="13">
        <f>_xll.BDH("ALNY US Equity","NONOP_INCOME_LOSS","FQ3 2023","FQ3 2023","Currency=USD","Period=FQ","BEST_FPERIOD_OVERRIDE=FQ","FILING_STATUS=MR","SCALING_FORMAT=MLN","FA_ADJUSTED=GAAP","Sort=A","Dates=H","DateFormat=P","Fill=—","Direction=H","UseDPDF=Y")</f>
        <v>63.125999999999998</v>
      </c>
      <c r="U19" s="13">
        <f>_xll.BDH("ALNY US Equity","NONOP_INCOME_LOSS","FQ4 2023","FQ4 2023","Currency=USD","Period=FQ","BEST_FPERIOD_OVERRIDE=FQ","FILING_STATUS=MR","SCALING_FORMAT=MLN","FA_ADJUSTED=GAAP","Sort=A","Dates=H","DateFormat=P","Fill=—","Direction=H","UseDPDF=Y")</f>
        <v>21.283000000000001</v>
      </c>
      <c r="V19" s="13">
        <f>_xll.BDH("ALNY US Equity","NONOP_INCOME_LOSS","FQ1 2024","FQ1 2024","Currency=USD","Period=FQ","BEST_FPERIOD_OVERRIDE=FQ","FILING_STATUS=MR","SCALING_FORMAT=MLN","FA_ADJUSTED=GAAP","Sort=A","Dates=H","DateFormat=P","Fill=—","Direction=H","UseDPDF=Y")</f>
        <v>20.152000000000001</v>
      </c>
      <c r="W19" s="13">
        <f>_xll.BDH("ALNY US Equity","NONOP_INCOME_LOSS","FQ2 2024","FQ2 2024","Currency=USD","Period=FQ","BEST_FPERIOD_OVERRIDE=FQ","FILING_STATUS=MR","SCALING_FORMAT=MLN","FA_ADJUSTED=GAAP","Sort=A","Dates=H","DateFormat=P","Fill=—","Direction=H","UseDPDF=Y")</f>
        <v>59.780999999999999</v>
      </c>
      <c r="X19" s="13">
        <f>_xll.BDH("ALNY US Equity","NONOP_INCOME_LOSS","FQ3 2024","FQ3 2024","Currency=USD","Period=FQ","BEST_FPERIOD_OVERRIDE=FQ","FILING_STATUS=MR","SCALING_FORMAT=MLN","FA_ADJUSTED=GAAP","Sort=A","Dates=H","DateFormat=P","Fill=—","Direction=H","UseDPDF=Y")</f>
        <v>31.757999999999999</v>
      </c>
      <c r="Y19" s="13">
        <f>_xll.BDH("ALNY US Equity","NONOP_INCOME_LOSS","FQ4 2024","FQ4 2024","Currency=USD","Period=FQ","BEST_FPERIOD_OVERRIDE=FQ","FILING_STATUS=MR","SCALING_FORMAT=MLN","FA_ADJUSTED=GAAP","Sort=A","Dates=H","DateFormat=P","Fill=—","Direction=H","UseDPDF=Y")</f>
        <v>88.799000000000007</v>
      </c>
      <c r="Z19" s="13"/>
      <c r="AA19" s="13"/>
    </row>
    <row r="20" spans="1:27" x14ac:dyDescent="0.25">
      <c r="A20" s="10" t="s">
        <v>321</v>
      </c>
      <c r="B20" s="10" t="s">
        <v>322</v>
      </c>
      <c r="C20" s="13" t="str">
        <f>_xll.BDH("ALNY US Equity","IS_NET_INTEREST_EXPENSE","FQ2 2019","FQ2 2019","Currency=USD","Period=FQ","BEST_FPERIOD_OVERRIDE=FQ","FILING_STATUS=MR","SCALING_FORMAT=MLN","FA_ADJUSTED=GAAP","Sort=A","Dates=H","DateFormat=P","Fill=—","Direction=H","UseDPDF=Y")</f>
        <v>—</v>
      </c>
      <c r="D20" s="13" t="str">
        <f>_xll.BDH("ALNY US Equity","IS_NET_INTEREST_EXPENSE","FQ3 2019","FQ3 2019","Currency=USD","Period=FQ","BEST_FPERIOD_OVERRIDE=FQ","FILING_STATUS=MR","SCALING_FORMAT=MLN","FA_ADJUSTED=GAAP","Sort=A","Dates=H","DateFormat=P","Fill=—","Direction=H","UseDPDF=Y")</f>
        <v>—</v>
      </c>
      <c r="E20" s="13" t="str">
        <f>_xll.BDH("ALNY US Equity","IS_NET_INTEREST_EXPENSE","FQ4 2019","FQ4 2019","Currency=USD","Period=FQ","BEST_FPERIOD_OVERRIDE=FQ","FILING_STATUS=MR","SCALING_FORMAT=MLN","FA_ADJUSTED=GAAP","Sort=A","Dates=H","DateFormat=P","Fill=—","Direction=H","UseDPDF=Y")</f>
        <v>—</v>
      </c>
      <c r="F20" s="13" t="str">
        <f>_xll.BDH("ALNY US Equity","IS_NET_INTEREST_EXPENSE","FQ1 2020","FQ1 2020","Currency=USD","Period=FQ","BEST_FPERIOD_OVERRIDE=FQ","FILING_STATUS=MR","SCALING_FORMAT=MLN","FA_ADJUSTED=GAAP","Sort=A","Dates=H","DateFormat=P","Fill=—","Direction=H","UseDPDF=Y")</f>
        <v>—</v>
      </c>
      <c r="G20" s="13">
        <f>_xll.BDH("ALNY US Equity","IS_NET_INTEREST_EXPENSE","FQ2 2020","FQ2 2020","Currency=USD","Period=FQ","BEST_FPERIOD_OVERRIDE=FQ","FILING_STATUS=MR","SCALING_FORMAT=MLN","FA_ADJUSTED=GAAP","Sort=A","Dates=H","DateFormat=P","Fill=—","Direction=H","UseDPDF=Y")</f>
        <v>24.082999999999998</v>
      </c>
      <c r="H20" s="13">
        <f>_xll.BDH("ALNY US Equity","IS_NET_INTEREST_EXPENSE","FQ3 2020","FQ3 2020","Currency=USD","Period=FQ","BEST_FPERIOD_OVERRIDE=FQ","FILING_STATUS=MR","SCALING_FORMAT=MLN","FA_ADJUSTED=GAAP","Sort=A","Dates=H","DateFormat=P","Fill=—","Direction=H","UseDPDF=Y")</f>
        <v>26.658999999999999</v>
      </c>
      <c r="I20" s="13">
        <f>_xll.BDH("ALNY US Equity","IS_NET_INTEREST_EXPENSE","FQ4 2020","FQ4 2020","Currency=USD","Period=FQ","BEST_FPERIOD_OVERRIDE=FQ","FILING_STATUS=MR","SCALING_FORMAT=MLN","FA_ADJUSTED=GAAP","Sort=A","Dates=H","DateFormat=P","Fill=—","Direction=H","UseDPDF=Y")</f>
        <v>27.425000000000001</v>
      </c>
      <c r="J20" s="13">
        <f>_xll.BDH("ALNY US Equity","IS_NET_INTEREST_EXPENSE","FQ1 2021","FQ1 2021","Currency=USD","Period=FQ","BEST_FPERIOD_OVERRIDE=FQ","FILING_STATUS=MR","SCALING_FORMAT=MLN","FA_ADJUSTED=GAAP","Sort=A","Dates=H","DateFormat=P","Fill=—","Direction=H","UseDPDF=Y")</f>
        <v>32.064999999999998</v>
      </c>
      <c r="K20" s="13">
        <f>_xll.BDH("ALNY US Equity","IS_NET_INTEREST_EXPENSE","FQ2 2021","FQ2 2021","Currency=USD","Period=FQ","BEST_FPERIOD_OVERRIDE=FQ","FILING_STATUS=MR","SCALING_FORMAT=MLN","FA_ADJUSTED=GAAP","Sort=A","Dates=H","DateFormat=P","Fill=—","Direction=H","UseDPDF=Y")</f>
        <v>33.006999999999998</v>
      </c>
      <c r="L20" s="13">
        <f>_xll.BDH("ALNY US Equity","IS_NET_INTEREST_EXPENSE","FQ3 2021","FQ3 2021","Currency=USD","Period=FQ","BEST_FPERIOD_OVERRIDE=FQ","FILING_STATUS=MR","SCALING_FORMAT=MLN","FA_ADJUSTED=GAAP","Sort=A","Dates=H","DateFormat=P","Fill=—","Direction=H","UseDPDF=Y")</f>
        <v>40.048999999999999</v>
      </c>
      <c r="M20" s="13">
        <f>_xll.BDH("ALNY US Equity","IS_NET_INTEREST_EXPENSE","FQ4 2021","FQ4 2021","Currency=USD","Period=FQ","BEST_FPERIOD_OVERRIDE=FQ","FILING_STATUS=MR","SCALING_FORMAT=MLN","FA_ADJUSTED=GAAP","Sort=A","Dates=H","DateFormat=P","Fill=—","Direction=H","UseDPDF=Y")</f>
        <v>36.320999999999998</v>
      </c>
      <c r="N20" s="13">
        <f>_xll.BDH("ALNY US Equity","IS_NET_INTEREST_EXPENSE","FQ1 2022","FQ1 2022","Currency=USD","Period=FQ","BEST_FPERIOD_OVERRIDE=FQ","FILING_STATUS=MR","SCALING_FORMAT=MLN","FA_ADJUSTED=GAAP","Sort=A","Dates=H","DateFormat=P","Fill=—","Direction=H","UseDPDF=Y")</f>
        <v>41.35</v>
      </c>
      <c r="O20" s="13">
        <f>_xll.BDH("ALNY US Equity","IS_NET_INTEREST_EXPENSE","FQ2 2022","FQ2 2022","Currency=USD","Period=FQ","BEST_FPERIOD_OVERRIDE=FQ","FILING_STATUS=MR","SCALING_FORMAT=MLN","FA_ADJUSTED=GAAP","Sort=A","Dates=H","DateFormat=P","Fill=—","Direction=H","UseDPDF=Y")</f>
        <v>42.609000000000002</v>
      </c>
      <c r="P20" s="13">
        <f>_xll.BDH("ALNY US Equity","IS_NET_INTEREST_EXPENSE","FQ3 2022","FQ3 2022","Currency=USD","Period=FQ","BEST_FPERIOD_OVERRIDE=FQ","FILING_STATUS=MR","SCALING_FORMAT=MLN","FA_ADJUSTED=GAAP","Sort=A","Dates=H","DateFormat=P","Fill=—","Direction=H","UseDPDF=Y")</f>
        <v>41.084000000000003</v>
      </c>
      <c r="Q20" s="13">
        <f>_xll.BDH("ALNY US Equity","IS_NET_INTEREST_EXPENSE","FQ4 2022","FQ4 2022","Currency=USD","Period=FQ","BEST_FPERIOD_OVERRIDE=FQ","FILING_STATUS=MR","SCALING_FORMAT=MLN","FA_ADJUSTED=GAAP","Sort=A","Dates=H","DateFormat=P","Fill=—","Direction=H","UseDPDF=Y")</f>
        <v>15.836</v>
      </c>
      <c r="R20" s="13">
        <f>_xll.BDH("ALNY US Equity","IS_NET_INTEREST_EXPENSE","FQ1 2023","FQ1 2023","Currency=USD","Period=FQ","BEST_FPERIOD_OVERRIDE=FQ","FILING_STATUS=MR","SCALING_FORMAT=MLN","FA_ADJUSTED=GAAP","Sort=A","Dates=H","DateFormat=P","Fill=—","Direction=H","UseDPDF=Y")</f>
        <v>10.3</v>
      </c>
      <c r="S20" s="13">
        <f>_xll.BDH("ALNY US Equity","IS_NET_INTEREST_EXPENSE","FQ2 2023","FQ2 2023","Currency=USD","Period=FQ","BEST_FPERIOD_OVERRIDE=FQ","FILING_STATUS=MR","SCALING_FORMAT=MLN","FA_ADJUSTED=GAAP","Sort=A","Dates=H","DateFormat=P","Fill=—","Direction=H","UseDPDF=Y")</f>
        <v>8.9600000000000009</v>
      </c>
      <c r="T20" s="13">
        <f>_xll.BDH("ALNY US Equity","IS_NET_INTEREST_EXPENSE","FQ3 2023","FQ3 2023","Currency=USD","Period=FQ","BEST_FPERIOD_OVERRIDE=FQ","FILING_STATUS=MR","SCALING_FORMAT=MLN","FA_ADJUSTED=GAAP","Sort=A","Dates=H","DateFormat=P","Fill=—","Direction=H","UseDPDF=Y")</f>
        <v>5.468</v>
      </c>
      <c r="U20" s="13">
        <f>_xll.BDH("ALNY US Equity","IS_NET_INTEREST_EXPENSE","FQ4 2023","FQ4 2023","Currency=USD","Period=FQ","BEST_FPERIOD_OVERRIDE=FQ","FILING_STATUS=MR","SCALING_FORMAT=MLN","FA_ADJUSTED=GAAP","Sort=A","Dates=H","DateFormat=P","Fill=—","Direction=H","UseDPDF=Y")</f>
        <v>0.93200000000000005</v>
      </c>
      <c r="V20" s="13">
        <f>_xll.BDH("ALNY US Equity","IS_NET_INTEREST_EXPENSE","FQ1 2024","FQ1 2024","Currency=USD","Period=FQ","BEST_FPERIOD_OVERRIDE=FQ","FILING_STATUS=MR","SCALING_FORMAT=MLN","FA_ADJUSTED=GAAP","Sort=A","Dates=H","DateFormat=P","Fill=—","Direction=H","UseDPDF=Y")</f>
        <v>5.6079999999999997</v>
      </c>
      <c r="W20" s="13">
        <f>_xll.BDH("ALNY US Equity","IS_NET_INTEREST_EXPENSE","FQ2 2024","FQ2 2024","Currency=USD","Period=FQ","BEST_FPERIOD_OVERRIDE=FQ","FILING_STATUS=MR","SCALING_FORMAT=MLN","FA_ADJUSTED=GAAP","Sort=A","Dates=H","DateFormat=P","Fill=—","Direction=H","UseDPDF=Y")</f>
        <v>4.0759999999999996</v>
      </c>
      <c r="X20" s="13">
        <f>_xll.BDH("ALNY US Equity","IS_NET_INTEREST_EXPENSE","FQ3 2024","FQ3 2024","Currency=USD","Period=FQ","BEST_FPERIOD_OVERRIDE=FQ","FILING_STATUS=MR","SCALING_FORMAT=MLN","FA_ADJUSTED=GAAP","Sort=A","Dates=H","DateFormat=P","Fill=—","Direction=H","UseDPDF=Y")</f>
        <v>2.23</v>
      </c>
      <c r="Y20" s="13">
        <f>_xll.BDH("ALNY US Equity","IS_NET_INTEREST_EXPENSE","FQ4 2024","FQ4 2024","Currency=USD","Period=FQ","BEST_FPERIOD_OVERRIDE=FQ","FILING_STATUS=MR","SCALING_FORMAT=MLN","FA_ADJUSTED=GAAP","Sort=A","Dates=H","DateFormat=P","Fill=—","Direction=H","UseDPDF=Y")</f>
        <v>7.952</v>
      </c>
      <c r="Z20" s="13"/>
      <c r="AA20" s="13"/>
    </row>
    <row r="21" spans="1:27" x14ac:dyDescent="0.25">
      <c r="A21" s="11" t="s">
        <v>323</v>
      </c>
      <c r="B21" s="11" t="s">
        <v>324</v>
      </c>
      <c r="C21" s="25" t="str">
        <f>_xll.BDH("ALNY US Equity","IS_INT_EXPENSE","FQ2 2019","FQ2 2019","Currency=USD","Period=FQ","BEST_FPERIOD_OVERRIDE=FQ","FILING_STATUS=MR","SCALING_FORMAT=MLN","FA_ADJUSTED=GAAP","Sort=A","Dates=H","DateFormat=P","Fill=—","Direction=H","UseDPDF=Y")</f>
        <v>—</v>
      </c>
      <c r="D21" s="25" t="str">
        <f>_xll.BDH("ALNY US Equity","IS_INT_EXPENSE","FQ3 2019","FQ3 2019","Currency=USD","Period=FQ","BEST_FPERIOD_OVERRIDE=FQ","FILING_STATUS=MR","SCALING_FORMAT=MLN","FA_ADJUSTED=GAAP","Sort=A","Dates=H","DateFormat=P","Fill=—","Direction=H","UseDPDF=Y")</f>
        <v>—</v>
      </c>
      <c r="E21" s="25" t="str">
        <f>_xll.BDH("ALNY US Equity","IS_INT_EXPENSE","FQ4 2019","FQ4 2019","Currency=USD","Period=FQ","BEST_FPERIOD_OVERRIDE=FQ","FILING_STATUS=MR","SCALING_FORMAT=MLN","FA_ADJUSTED=GAAP","Sort=A","Dates=H","DateFormat=P","Fill=—","Direction=H","UseDPDF=Y")</f>
        <v>—</v>
      </c>
      <c r="F21" s="25" t="str">
        <f>_xll.BDH("ALNY US Equity","IS_INT_EXPENSE","FQ1 2020","FQ1 2020","Currency=USD","Period=FQ","BEST_FPERIOD_OVERRIDE=FQ","FILING_STATUS=MR","SCALING_FORMAT=MLN","FA_ADJUSTED=GAAP","Sort=A","Dates=H","DateFormat=P","Fill=—","Direction=H","UseDPDF=Y")</f>
        <v>—</v>
      </c>
      <c r="G21" s="25">
        <f>_xll.BDH("ALNY US Equity","IS_INT_EXPENSE","FQ2 2020","FQ2 2020","Currency=USD","Period=FQ","BEST_FPERIOD_OVERRIDE=FQ","FILING_STATUS=MR","SCALING_FORMAT=MLN","FA_ADJUSTED=GAAP","Sort=A","Dates=H","DateFormat=P","Fill=—","Direction=H","UseDPDF=Y")</f>
        <v>27.248000000000001</v>
      </c>
      <c r="H21" s="25">
        <f>_xll.BDH("ALNY US Equity","IS_INT_EXPENSE","FQ3 2020","FQ3 2020","Currency=USD","Period=FQ","BEST_FPERIOD_OVERRIDE=FQ","FILING_STATUS=MR","SCALING_FORMAT=MLN","FA_ADJUSTED=GAAP","Sort=A","Dates=H","DateFormat=P","Fill=—","Direction=H","UseDPDF=Y")</f>
        <v>28.731000000000002</v>
      </c>
      <c r="I21" s="25">
        <f>_xll.BDH("ALNY US Equity","IS_INT_EXPENSE","FQ4 2020","FQ4 2020","Currency=USD","Period=FQ","BEST_FPERIOD_OVERRIDE=FQ","FILING_STATUS=MR","SCALING_FORMAT=MLN","FA_ADJUSTED=GAAP","Sort=A","Dates=H","DateFormat=P","Fill=—","Direction=H","UseDPDF=Y")</f>
        <v>28.516999999999999</v>
      </c>
      <c r="J21" s="25">
        <f>_xll.BDH("ALNY US Equity","IS_INT_EXPENSE","FQ1 2021","FQ1 2021","Currency=USD","Period=FQ","BEST_FPERIOD_OVERRIDE=FQ","FILING_STATUS=MR","SCALING_FORMAT=MLN","FA_ADJUSTED=GAAP","Sort=A","Dates=H","DateFormat=P","Fill=—","Direction=H","UseDPDF=Y")</f>
        <v>32.515000000000001</v>
      </c>
      <c r="K21" s="25">
        <f>_xll.BDH("ALNY US Equity","IS_INT_EXPENSE","FQ2 2021","FQ2 2021","Currency=USD","Period=FQ","BEST_FPERIOD_OVERRIDE=FQ","FILING_STATUS=MR","SCALING_FORMAT=MLN","FA_ADJUSTED=GAAP","Sort=A","Dates=H","DateFormat=P","Fill=—","Direction=H","UseDPDF=Y")</f>
        <v>33.415999999999997</v>
      </c>
      <c r="L21" s="25">
        <f>_xll.BDH("ALNY US Equity","IS_INT_EXPENSE","FQ3 2021","FQ3 2021","Currency=USD","Period=FQ","BEST_FPERIOD_OVERRIDE=FQ","FILING_STATUS=MR","SCALING_FORMAT=MLN","FA_ADJUSTED=GAAP","Sort=A","Dates=H","DateFormat=P","Fill=—","Direction=H","UseDPDF=Y")</f>
        <v>40.274000000000001</v>
      </c>
      <c r="M21" s="25">
        <f>_xll.BDH("ALNY US Equity","IS_INT_EXPENSE","FQ4 2021","FQ4 2021","Currency=USD","Period=FQ","BEST_FPERIOD_OVERRIDE=FQ","FILING_STATUS=MR","SCALING_FORMAT=MLN","FA_ADJUSTED=GAAP","Sort=A","Dates=H","DateFormat=P","Fill=—","Direction=H","UseDPDF=Y")</f>
        <v>36.816000000000003</v>
      </c>
      <c r="N21" s="25">
        <f>_xll.BDH("ALNY US Equity","IS_INT_EXPENSE","FQ1 2022","FQ1 2022","Currency=USD","Period=FQ","BEST_FPERIOD_OVERRIDE=FQ","FILING_STATUS=MR","SCALING_FORMAT=MLN","FA_ADJUSTED=GAAP","Sort=A","Dates=H","DateFormat=P","Fill=—","Direction=H","UseDPDF=Y")</f>
        <v>42.362000000000002</v>
      </c>
      <c r="O21" s="25">
        <f>_xll.BDH("ALNY US Equity","IS_INT_EXPENSE","FQ2 2022","FQ2 2022","Currency=USD","Period=FQ","BEST_FPERIOD_OVERRIDE=FQ","FILING_STATUS=MR","SCALING_FORMAT=MLN","FA_ADJUSTED=GAAP","Sort=A","Dates=H","DateFormat=P","Fill=—","Direction=H","UseDPDF=Y")</f>
        <v>42.609000000000002</v>
      </c>
      <c r="P21" s="25">
        <f>_xll.BDH("ALNY US Equity","IS_INT_EXPENSE","FQ3 2022","FQ3 2022","Currency=USD","Period=FQ","BEST_FPERIOD_OVERRIDE=FQ","FILING_STATUS=MR","SCALING_FORMAT=MLN","FA_ADJUSTED=GAAP","Sort=A","Dates=H","DateFormat=P","Fill=—","Direction=H","UseDPDF=Y")</f>
        <v>41.084000000000003</v>
      </c>
      <c r="Q21" s="25">
        <f>_xll.BDH("ALNY US Equity","IS_INT_EXPENSE","FQ4 2022","FQ4 2022","Currency=USD","Period=FQ","BEST_FPERIOD_OVERRIDE=FQ","FILING_STATUS=MR","SCALING_FORMAT=MLN","FA_ADJUSTED=GAAP","Sort=A","Dates=H","DateFormat=P","Fill=—","Direction=H","UseDPDF=Y")</f>
        <v>29.913</v>
      </c>
      <c r="R21" s="25">
        <f>_xll.BDH("ALNY US Equity","IS_INT_EXPENSE","FQ1 2023","FQ1 2023","Currency=USD","Period=FQ","BEST_FPERIOD_OVERRIDE=FQ","FILING_STATUS=MR","SCALING_FORMAT=MLN","FA_ADJUSTED=GAAP","Sort=A","Dates=H","DateFormat=P","Fill=—","Direction=H","UseDPDF=Y")</f>
        <v>28.954999999999998</v>
      </c>
      <c r="S21" s="25">
        <f>_xll.BDH("ALNY US Equity","IS_INT_EXPENSE","FQ2 2023","FQ2 2023","Currency=USD","Period=FQ","BEST_FPERIOD_OVERRIDE=FQ","FILING_STATUS=MR","SCALING_FORMAT=MLN","FA_ADJUSTED=GAAP","Sort=A","Dates=H","DateFormat=P","Fill=—","Direction=H","UseDPDF=Y")</f>
        <v>30.035</v>
      </c>
      <c r="T21" s="25">
        <f>_xll.BDH("ALNY US Equity","IS_INT_EXPENSE","FQ3 2023","FQ3 2023","Currency=USD","Period=FQ","BEST_FPERIOD_OVERRIDE=FQ","FILING_STATUS=MR","SCALING_FORMAT=MLN","FA_ADJUSTED=GAAP","Sort=A","Dates=H","DateFormat=P","Fill=—","Direction=H","UseDPDF=Y")</f>
        <v>30.893000000000001</v>
      </c>
      <c r="U21" s="25">
        <f>_xll.BDH("ALNY US Equity","IS_INT_EXPENSE","FQ4 2023","FQ4 2023","Currency=USD","Period=FQ","BEST_FPERIOD_OVERRIDE=FQ","FILING_STATUS=MR","SCALING_FORMAT=MLN","FA_ADJUSTED=GAAP","Sort=A","Dates=H","DateFormat=P","Fill=—","Direction=H","UseDPDF=Y")</f>
        <v>31.338000000000001</v>
      </c>
      <c r="V21" s="25">
        <f>_xll.BDH("ALNY US Equity","IS_INT_EXPENSE","FQ1 2024","FQ1 2024","Currency=USD","Period=FQ","BEST_FPERIOD_OVERRIDE=FQ","FILING_STATUS=MR","SCALING_FORMAT=MLN","FA_ADJUSTED=GAAP","Sort=A","Dates=H","DateFormat=P","Fill=—","Direction=H","UseDPDF=Y")</f>
        <v>35.253</v>
      </c>
      <c r="W21" s="25">
        <f>_xll.BDH("ALNY US Equity","IS_INT_EXPENSE","FQ2 2024","FQ2 2024","Currency=USD","Period=FQ","BEST_FPERIOD_OVERRIDE=FQ","FILING_STATUS=MR","SCALING_FORMAT=MLN","FA_ADJUSTED=GAAP","Sort=A","Dates=H","DateFormat=P","Fill=—","Direction=H","UseDPDF=Y")</f>
        <v>33.258000000000003</v>
      </c>
      <c r="X21" s="25">
        <f>_xll.BDH("ALNY US Equity","IS_INT_EXPENSE","FQ3 2024","FQ3 2024","Currency=USD","Period=FQ","BEST_FPERIOD_OVERRIDE=FQ","FILING_STATUS=MR","SCALING_FORMAT=MLN","FA_ADJUSTED=GAAP","Sort=A","Dates=H","DateFormat=P","Fill=—","Direction=H","UseDPDF=Y")</f>
        <v>34.375999999999998</v>
      </c>
      <c r="Y21" s="25">
        <f>_xll.BDH("ALNY US Equity","IS_INT_EXPENSE","FQ4 2024","FQ4 2024","Currency=USD","Period=FQ","BEST_FPERIOD_OVERRIDE=FQ","FILING_STATUS=MR","SCALING_FORMAT=MLN","FA_ADJUSTED=GAAP","Sort=A","Dates=H","DateFormat=P","Fill=—","Direction=H","UseDPDF=Y")</f>
        <v>38.970999999999997</v>
      </c>
      <c r="Z21" s="25"/>
      <c r="AA21" s="25"/>
    </row>
    <row r="22" spans="1:27" x14ac:dyDescent="0.25">
      <c r="A22" s="11" t="s">
        <v>325</v>
      </c>
      <c r="B22" s="11" t="s">
        <v>326</v>
      </c>
      <c r="C22" s="25">
        <f>_xll.BDH("ALNY US Equity","IS_INT_INC","FQ2 2019","FQ2 2019","Currency=USD","Period=FQ","BEST_FPERIOD_OVERRIDE=FQ","FILING_STATUS=MR","SCALING_FORMAT=MLN","FA_ADJUSTED=GAAP","Sort=A","Dates=H","DateFormat=P","Fill=—","Direction=H","UseDPDF=Y")</f>
        <v>8.7810000000000006</v>
      </c>
      <c r="D22" s="25">
        <f>_xll.BDH("ALNY US Equity","IS_INT_INC","FQ3 2019","FQ3 2019","Currency=USD","Period=FQ","BEST_FPERIOD_OVERRIDE=FQ","FILING_STATUS=MR","SCALING_FORMAT=MLN","FA_ADJUSTED=GAAP","Sort=A","Dates=H","DateFormat=P","Fill=—","Direction=H","UseDPDF=Y")</f>
        <v>9.8889999999999993</v>
      </c>
      <c r="E22" s="25">
        <f>_xll.BDH("ALNY US Equity","IS_INT_INC","FQ4 2019","FQ4 2019","Currency=USD","Period=FQ","BEST_FPERIOD_OVERRIDE=FQ","FILING_STATUS=MR","SCALING_FORMAT=MLN","FA_ADJUSTED=GAAP","Sort=A","Dates=H","DateFormat=P","Fill=—","Direction=H","UseDPDF=Y")</f>
        <v>7.2530000000000001</v>
      </c>
      <c r="F22" s="25">
        <f>_xll.BDH("ALNY US Equity","IS_INT_INC","FQ1 2020","FQ1 2020","Currency=USD","Period=FQ","BEST_FPERIOD_OVERRIDE=FQ","FILING_STATUS=MR","SCALING_FORMAT=MLN","FA_ADJUSTED=GAAP","Sort=A","Dates=H","DateFormat=P","Fill=—","Direction=H","UseDPDF=Y")</f>
        <v>5.48</v>
      </c>
      <c r="G22" s="25">
        <f>_xll.BDH("ALNY US Equity","IS_INT_INC","FQ2 2020","FQ2 2020","Currency=USD","Period=FQ","BEST_FPERIOD_OVERRIDE=FQ","FILING_STATUS=MR","SCALING_FORMAT=MLN","FA_ADJUSTED=GAAP","Sort=A","Dates=H","DateFormat=P","Fill=—","Direction=H","UseDPDF=Y")</f>
        <v>3.165</v>
      </c>
      <c r="H22" s="25">
        <f>_xll.BDH("ALNY US Equity","IS_INT_INC","FQ3 2020","FQ3 2020","Currency=USD","Period=FQ","BEST_FPERIOD_OVERRIDE=FQ","FILING_STATUS=MR","SCALING_FORMAT=MLN","FA_ADJUSTED=GAAP","Sort=A","Dates=H","DateFormat=P","Fill=—","Direction=H","UseDPDF=Y")</f>
        <v>2.0720000000000001</v>
      </c>
      <c r="I22" s="25">
        <f>_xll.BDH("ALNY US Equity","IS_INT_INC","FQ4 2020","FQ4 2020","Currency=USD","Period=FQ","BEST_FPERIOD_OVERRIDE=FQ","FILING_STATUS=MR","SCALING_FORMAT=MLN","FA_ADJUSTED=GAAP","Sort=A","Dates=H","DateFormat=P","Fill=—","Direction=H","UseDPDF=Y")</f>
        <v>1.0920000000000001</v>
      </c>
      <c r="J22" s="25">
        <f>_xll.BDH("ALNY US Equity","IS_INT_INC","FQ1 2021","FQ1 2021","Currency=USD","Period=FQ","BEST_FPERIOD_OVERRIDE=FQ","FILING_STATUS=MR","SCALING_FORMAT=MLN","FA_ADJUSTED=GAAP","Sort=A","Dates=H","DateFormat=P","Fill=—","Direction=H","UseDPDF=Y")</f>
        <v>0.45</v>
      </c>
      <c r="K22" s="25">
        <f>_xll.BDH("ALNY US Equity","IS_INT_INC","FQ2 2021","FQ2 2021","Currency=USD","Period=FQ","BEST_FPERIOD_OVERRIDE=FQ","FILING_STATUS=MR","SCALING_FORMAT=MLN","FA_ADJUSTED=GAAP","Sort=A","Dates=H","DateFormat=P","Fill=—","Direction=H","UseDPDF=Y")</f>
        <v>0.40899999999999997</v>
      </c>
      <c r="L22" s="25">
        <f>_xll.BDH("ALNY US Equity","IS_INT_INC","FQ3 2021","FQ3 2021","Currency=USD","Period=FQ","BEST_FPERIOD_OVERRIDE=FQ","FILING_STATUS=MR","SCALING_FORMAT=MLN","FA_ADJUSTED=GAAP","Sort=A","Dates=H","DateFormat=P","Fill=—","Direction=H","UseDPDF=Y")</f>
        <v>0.22500000000000001</v>
      </c>
      <c r="M22" s="25">
        <f>_xll.BDH("ALNY US Equity","IS_INT_INC","FQ4 2021","FQ4 2021","Currency=USD","Period=FQ","BEST_FPERIOD_OVERRIDE=FQ","FILING_STATUS=MR","SCALING_FORMAT=MLN","FA_ADJUSTED=GAAP","Sort=A","Dates=H","DateFormat=P","Fill=—","Direction=H","UseDPDF=Y")</f>
        <v>0.495</v>
      </c>
      <c r="N22" s="25">
        <f>_xll.BDH("ALNY US Equity","IS_INT_INC","FQ1 2022","FQ1 2022","Currency=USD","Period=FQ","BEST_FPERIOD_OVERRIDE=FQ","FILING_STATUS=MR","SCALING_FORMAT=MLN","FA_ADJUSTED=GAAP","Sort=A","Dates=H","DateFormat=P","Fill=—","Direction=H","UseDPDF=Y")</f>
        <v>1.012</v>
      </c>
      <c r="O22" s="25">
        <f>_xll.BDH("ALNY US Equity","IS_INT_INC","FQ2 2022","FQ2 2022","Currency=USD","Period=FQ","BEST_FPERIOD_OVERRIDE=FQ","FILING_STATUS=MR","SCALING_FORMAT=MLN","FA_ADJUSTED=GAAP","Sort=A","Dates=H","DateFormat=P","Fill=—","Direction=H","UseDPDF=Y")</f>
        <v>0</v>
      </c>
      <c r="P22" s="25">
        <f>_xll.BDH("ALNY US Equity","IS_INT_INC","FQ3 2022","FQ3 2022","Currency=USD","Period=FQ","BEST_FPERIOD_OVERRIDE=FQ","FILING_STATUS=MR","SCALING_FORMAT=MLN","FA_ADJUSTED=GAAP","Sort=A","Dates=H","DateFormat=P","Fill=—","Direction=H","UseDPDF=Y")</f>
        <v>0</v>
      </c>
      <c r="Q22" s="25">
        <f>_xll.BDH("ALNY US Equity","IS_INT_INC","FQ4 2022","FQ4 2022","Currency=USD","Period=FQ","BEST_FPERIOD_OVERRIDE=FQ","FILING_STATUS=MR","SCALING_FORMAT=MLN","FA_ADJUSTED=GAAP","Sort=A","Dates=H","DateFormat=P","Fill=—","Direction=H","UseDPDF=Y")</f>
        <v>14.077</v>
      </c>
      <c r="R22" s="25">
        <f>_xll.BDH("ALNY US Equity","IS_INT_INC","FQ1 2023","FQ1 2023","Currency=USD","Period=FQ","BEST_FPERIOD_OVERRIDE=FQ","FILING_STATUS=MR","SCALING_FORMAT=MLN","FA_ADJUSTED=GAAP","Sort=A","Dates=H","DateFormat=P","Fill=—","Direction=H","UseDPDF=Y")</f>
        <v>18.655000000000001</v>
      </c>
      <c r="S22" s="25">
        <f>_xll.BDH("ALNY US Equity","IS_INT_INC","FQ2 2023","FQ2 2023","Currency=USD","Period=FQ","BEST_FPERIOD_OVERRIDE=FQ","FILING_STATUS=MR","SCALING_FORMAT=MLN","FA_ADJUSTED=GAAP","Sort=A","Dates=H","DateFormat=P","Fill=—","Direction=H","UseDPDF=Y")</f>
        <v>21.074999999999999</v>
      </c>
      <c r="T22" s="25">
        <f>_xll.BDH("ALNY US Equity","IS_INT_INC","FQ3 2023","FQ3 2023","Currency=USD","Period=FQ","BEST_FPERIOD_OVERRIDE=FQ","FILING_STATUS=MR","SCALING_FORMAT=MLN","FA_ADJUSTED=GAAP","Sort=A","Dates=H","DateFormat=P","Fill=—","Direction=H","UseDPDF=Y")</f>
        <v>25.425000000000001</v>
      </c>
      <c r="U22" s="25">
        <f>_xll.BDH("ALNY US Equity","IS_INT_INC","FQ4 2023","FQ4 2023","Currency=USD","Period=FQ","BEST_FPERIOD_OVERRIDE=FQ","FILING_STATUS=MR","SCALING_FORMAT=MLN","FA_ADJUSTED=GAAP","Sort=A","Dates=H","DateFormat=P","Fill=—","Direction=H","UseDPDF=Y")</f>
        <v>30.405999999999999</v>
      </c>
      <c r="V22" s="25">
        <f>_xll.BDH("ALNY US Equity","IS_INT_INC","FQ1 2024","FQ1 2024","Currency=USD","Period=FQ","BEST_FPERIOD_OVERRIDE=FQ","FILING_STATUS=MR","SCALING_FORMAT=MLN","FA_ADJUSTED=GAAP","Sort=A","Dates=H","DateFormat=P","Fill=—","Direction=H","UseDPDF=Y")</f>
        <v>29.645</v>
      </c>
      <c r="W22" s="25">
        <f>_xll.BDH("ALNY US Equity","IS_INT_INC","FQ2 2024","FQ2 2024","Currency=USD","Period=FQ","BEST_FPERIOD_OVERRIDE=FQ","FILING_STATUS=MR","SCALING_FORMAT=MLN","FA_ADJUSTED=GAAP","Sort=A","Dates=H","DateFormat=P","Fill=—","Direction=H","UseDPDF=Y")</f>
        <v>29.181999999999999</v>
      </c>
      <c r="X22" s="25">
        <f>_xll.BDH("ALNY US Equity","IS_INT_INC","FQ3 2024","FQ3 2024","Currency=USD","Period=FQ","BEST_FPERIOD_OVERRIDE=FQ","FILING_STATUS=MR","SCALING_FORMAT=MLN","FA_ADJUSTED=GAAP","Sort=A","Dates=H","DateFormat=P","Fill=—","Direction=H","UseDPDF=Y")</f>
        <v>32.146000000000001</v>
      </c>
      <c r="Y22" s="25">
        <f>_xll.BDH("ALNY US Equity","IS_INT_INC","FQ4 2024","FQ4 2024","Currency=USD","Period=FQ","BEST_FPERIOD_OVERRIDE=FQ","FILING_STATUS=MR","SCALING_FORMAT=MLN","FA_ADJUSTED=GAAP","Sort=A","Dates=H","DateFormat=P","Fill=—","Direction=H","UseDPDF=Y")</f>
        <v>31.018999999999998</v>
      </c>
      <c r="Z22" s="25"/>
      <c r="AA22" s="25"/>
    </row>
    <row r="23" spans="1:27" x14ac:dyDescent="0.25">
      <c r="A23" s="10" t="s">
        <v>327</v>
      </c>
      <c r="B23" s="10" t="s">
        <v>398</v>
      </c>
      <c r="C23" s="13">
        <f>_xll.BDH("ALNY US Equity","OTHER_NONOP_INCOME_LOSS","FQ2 2019","FQ2 2019","Currency=USD","Period=FQ","BEST_FPERIOD_OVERRIDE=FQ","FILING_STATUS=MR","SCALING_FORMAT=MLN","FA_ADJUSTED=GAAP","Sort=A","Dates=H","DateFormat=P","Fill=—","Direction=H","UseDPDF=Y")</f>
        <v>-8.9689999999999994</v>
      </c>
      <c r="D23" s="13">
        <f>_xll.BDH("ALNY US Equity","OTHER_NONOP_INCOME_LOSS","FQ3 2019","FQ3 2019","Currency=USD","Period=FQ","BEST_FPERIOD_OVERRIDE=FQ","FILING_STATUS=MR","SCALING_FORMAT=MLN","FA_ADJUSTED=GAAP","Sort=A","Dates=H","DateFormat=P","Fill=—","Direction=H","UseDPDF=Y")</f>
        <v>2.5190000000000001</v>
      </c>
      <c r="E23" s="13">
        <f>_xll.BDH("ALNY US Equity","OTHER_NONOP_INCOME_LOSS","FQ4 2019","FQ4 2019","Currency=USD","Period=FQ","BEST_FPERIOD_OVERRIDE=FQ","FILING_STATUS=MR","SCALING_FORMAT=MLN","FA_ADJUSTED=GAAP","Sort=A","Dates=H","DateFormat=P","Fill=—","Direction=H","UseDPDF=Y")</f>
        <v>-14.237</v>
      </c>
      <c r="F23" s="13">
        <f>_xll.BDH("ALNY US Equity","OTHER_NONOP_INCOME_LOSS","FQ1 2020","FQ1 2020","Currency=USD","Period=FQ","BEST_FPERIOD_OVERRIDE=FQ","FILING_STATUS=MR","SCALING_FORMAT=MLN","FA_ADJUSTED=GAAP","Sort=A","Dates=H","DateFormat=P","Fill=—","Direction=H","UseDPDF=Y")</f>
        <v>-23.032</v>
      </c>
      <c r="G23" s="13">
        <f>_xll.BDH("ALNY US Equity","OTHER_NONOP_INCOME_LOSS","FQ2 2020","FQ2 2020","Currency=USD","Period=FQ","BEST_FPERIOD_OVERRIDE=FQ","FILING_STATUS=MR","SCALING_FORMAT=MLN","FA_ADJUSTED=GAAP","Sort=A","Dates=H","DateFormat=P","Fill=—","Direction=H","UseDPDF=Y")</f>
        <v>-45.039000000000001</v>
      </c>
      <c r="H23" s="13">
        <f>_xll.BDH("ALNY US Equity","OTHER_NONOP_INCOME_LOSS","FQ3 2020","FQ3 2020","Currency=USD","Period=FQ","BEST_FPERIOD_OVERRIDE=FQ","FILING_STATUS=MR","SCALING_FORMAT=MLN","FA_ADJUSTED=GAAP","Sort=A","Dates=H","DateFormat=P","Fill=—","Direction=H","UseDPDF=Y")</f>
        <v>0.59399999999999997</v>
      </c>
      <c r="I23" s="13">
        <f>_xll.BDH("ALNY US Equity","OTHER_NONOP_INCOME_LOSS","FQ4 2020","FQ4 2020","Currency=USD","Period=FQ","BEST_FPERIOD_OVERRIDE=FQ","FILING_STATUS=MR","SCALING_FORMAT=MLN","FA_ADJUSTED=GAAP","Sort=A","Dates=H","DateFormat=P","Fill=—","Direction=H","UseDPDF=Y")</f>
        <v>21.952000000000002</v>
      </c>
      <c r="J23" s="13">
        <f>_xll.BDH("ALNY US Equity","OTHER_NONOP_INCOME_LOSS","FQ1 2021","FQ1 2021","Currency=USD","Period=FQ","BEST_FPERIOD_OVERRIDE=FQ","FILING_STATUS=MR","SCALING_FORMAT=MLN","FA_ADJUSTED=GAAP","Sort=A","Dates=H","DateFormat=P","Fill=—","Direction=H","UseDPDF=Y")</f>
        <v>-19.044</v>
      </c>
      <c r="K23" s="13">
        <f>_xll.BDH("ALNY US Equity","OTHER_NONOP_INCOME_LOSS","FQ2 2021","FQ2 2021","Currency=USD","Period=FQ","BEST_FPERIOD_OVERRIDE=FQ","FILING_STATUS=MR","SCALING_FORMAT=MLN","FA_ADJUSTED=GAAP","Sort=A","Dates=H","DateFormat=P","Fill=—","Direction=H","UseDPDF=Y")</f>
        <v>9.1639999999999997</v>
      </c>
      <c r="L23" s="13">
        <f>_xll.BDH("ALNY US Equity","OTHER_NONOP_INCOME_LOSS","FQ3 2021","FQ3 2021","Currency=USD","Period=FQ","BEST_FPERIOD_OVERRIDE=FQ","FILING_STATUS=MR","SCALING_FORMAT=MLN","FA_ADJUSTED=GAAP","Sort=A","Dates=H","DateFormat=P","Fill=—","Direction=H","UseDPDF=Y")</f>
        <v>-17.489999999999998</v>
      </c>
      <c r="M23" s="13">
        <f>_xll.BDH("ALNY US Equity","OTHER_NONOP_INCOME_LOSS","FQ4 2021","FQ4 2021","Currency=USD","Period=FQ","BEST_FPERIOD_OVERRIDE=FQ","FILING_STATUS=MR","SCALING_FORMAT=MLN","FA_ADJUSTED=GAAP","Sort=A","Dates=H","DateFormat=P","Fill=—","Direction=H","UseDPDF=Y")</f>
        <v>29.42</v>
      </c>
      <c r="N23" s="13">
        <f>_xll.BDH("ALNY US Equity","OTHER_NONOP_INCOME_LOSS","FQ1 2022","FQ1 2022","Currency=USD","Period=FQ","BEST_FPERIOD_OVERRIDE=FQ","FILING_STATUS=MR","SCALING_FORMAT=MLN","FA_ADJUSTED=GAAP","Sort=A","Dates=H","DateFormat=P","Fill=—","Direction=H","UseDPDF=Y")</f>
        <v>51.274000000000001</v>
      </c>
      <c r="O23" s="13">
        <f>_xll.BDH("ALNY US Equity","OTHER_NONOP_INCOME_LOSS","FQ2 2022","FQ2 2022","Currency=USD","Period=FQ","BEST_FPERIOD_OVERRIDE=FQ","FILING_STATUS=MR","SCALING_FORMAT=MLN","FA_ADJUSTED=GAAP","Sort=A","Dates=H","DateFormat=P","Fill=—","Direction=H","UseDPDF=Y")</f>
        <v>40.378</v>
      </c>
      <c r="P23" s="13">
        <f>_xll.BDH("ALNY US Equity","OTHER_NONOP_INCOME_LOSS","FQ3 2022","FQ3 2022","Currency=USD","Period=FQ","BEST_FPERIOD_OVERRIDE=FQ","FILING_STATUS=MR","SCALING_FORMAT=MLN","FA_ADJUSTED=GAAP","Sort=A","Dates=H","DateFormat=P","Fill=—","Direction=H","UseDPDF=Y")</f>
        <v>106.819</v>
      </c>
      <c r="Q23" s="13">
        <f>_xll.BDH("ALNY US Equity","OTHER_NONOP_INCOME_LOSS","FQ4 2022","FQ4 2022","Currency=USD","Period=FQ","BEST_FPERIOD_OVERRIDE=FQ","FILING_STATUS=MR","SCALING_FORMAT=MLN","FA_ADJUSTED=GAAP","Sort=A","Dates=H","DateFormat=P","Fill=—","Direction=H","UseDPDF=Y")</f>
        <v>2.5710000000000002</v>
      </c>
      <c r="R23" s="13">
        <f>_xll.BDH("ALNY US Equity","OTHER_NONOP_INCOME_LOSS","FQ1 2023","FQ1 2023","Currency=USD","Period=FQ","BEST_FPERIOD_OVERRIDE=FQ","FILING_STATUS=MR","SCALING_FORMAT=MLN","FA_ADJUSTED=GAAP","Sort=A","Dates=H","DateFormat=P","Fill=—","Direction=H","UseDPDF=Y")</f>
        <v>12.255000000000001</v>
      </c>
      <c r="S23" s="13">
        <f>_xll.BDH("ALNY US Equity","OTHER_NONOP_INCOME_LOSS","FQ2 2023","FQ2 2023","Currency=USD","Period=FQ","BEST_FPERIOD_OVERRIDE=FQ","FILING_STATUS=MR","SCALING_FORMAT=MLN","FA_ADJUSTED=GAAP","Sort=A","Dates=H","DateFormat=P","Fill=—","Direction=H","UseDPDF=Y")</f>
        <v>35.417999999999999</v>
      </c>
      <c r="T23" s="13">
        <f>_xll.BDH("ALNY US Equity","OTHER_NONOP_INCOME_LOSS","FQ3 2023","FQ3 2023","Currency=USD","Period=FQ","BEST_FPERIOD_OVERRIDE=FQ","FILING_STATUS=MR","SCALING_FORMAT=MLN","FA_ADJUSTED=GAAP","Sort=A","Dates=H","DateFormat=P","Fill=—","Direction=H","UseDPDF=Y")</f>
        <v>57.658000000000001</v>
      </c>
      <c r="U23" s="13">
        <f>_xll.BDH("ALNY US Equity","OTHER_NONOP_INCOME_LOSS","FQ4 2023","FQ4 2023","Currency=USD","Period=FQ","BEST_FPERIOD_OVERRIDE=FQ","FILING_STATUS=MR","SCALING_FORMAT=MLN","FA_ADJUSTED=GAAP","Sort=A","Dates=H","DateFormat=P","Fill=—","Direction=H","UseDPDF=Y")</f>
        <v>20.350999999999999</v>
      </c>
      <c r="V23" s="13">
        <f>_xll.BDH("ALNY US Equity","OTHER_NONOP_INCOME_LOSS","FQ1 2024","FQ1 2024","Currency=USD","Period=FQ","BEST_FPERIOD_OVERRIDE=FQ","FILING_STATUS=MR","SCALING_FORMAT=MLN","FA_ADJUSTED=GAAP","Sort=A","Dates=H","DateFormat=P","Fill=—","Direction=H","UseDPDF=Y")</f>
        <v>14.544</v>
      </c>
      <c r="W23" s="13">
        <f>_xll.BDH("ALNY US Equity","OTHER_NONOP_INCOME_LOSS","FQ2 2024","FQ2 2024","Currency=USD","Period=FQ","BEST_FPERIOD_OVERRIDE=FQ","FILING_STATUS=MR","SCALING_FORMAT=MLN","FA_ADJUSTED=GAAP","Sort=A","Dates=H","DateFormat=P","Fill=—","Direction=H","UseDPDF=Y")</f>
        <v>55.704999999999998</v>
      </c>
      <c r="X23" s="13">
        <f>_xll.BDH("ALNY US Equity","OTHER_NONOP_INCOME_LOSS","FQ3 2024","FQ3 2024","Currency=USD","Period=FQ","BEST_FPERIOD_OVERRIDE=FQ","FILING_STATUS=MR","SCALING_FORMAT=MLN","FA_ADJUSTED=GAAP","Sort=A","Dates=H","DateFormat=P","Fill=—","Direction=H","UseDPDF=Y")</f>
        <v>29.527999999999999</v>
      </c>
      <c r="Y23" s="13">
        <f>_xll.BDH("ALNY US Equity","OTHER_NONOP_INCOME_LOSS","FQ4 2024","FQ4 2024","Currency=USD","Period=FQ","BEST_FPERIOD_OVERRIDE=FQ","FILING_STATUS=MR","SCALING_FORMAT=MLN","FA_ADJUSTED=GAAP","Sort=A","Dates=H","DateFormat=P","Fill=—","Direction=H","UseDPDF=Y")</f>
        <v>80.846999999999994</v>
      </c>
      <c r="Z23" s="13"/>
      <c r="AA23" s="13"/>
    </row>
    <row r="24" spans="1:27" x14ac:dyDescent="0.25">
      <c r="A24" s="6" t="s">
        <v>399</v>
      </c>
      <c r="B24" s="6" t="s">
        <v>158</v>
      </c>
      <c r="C24" s="19">
        <f>_xll.BDH("ALNY US Equity","PRETAX_INC","FQ2 2019","FQ2 2019","Currency=USD","Period=FQ","BEST_FPERIOD_OVERRIDE=FQ","FILING_STATUS=MR","SCALING_FORMAT=MLN","FA_ADJUSTED=GAAP","Sort=A","Dates=H","DateFormat=P","Fill=—","Direction=H","UseDPDF=Y")</f>
        <v>-218.52099999999999</v>
      </c>
      <c r="D24" s="19">
        <f>_xll.BDH("ALNY US Equity","PRETAX_INC","FQ3 2019","FQ3 2019","Currency=USD","Period=FQ","BEST_FPERIOD_OVERRIDE=FQ","FILING_STATUS=MR","SCALING_FORMAT=MLN","FA_ADJUSTED=GAAP","Sort=A","Dates=H","DateFormat=P","Fill=—","Direction=H","UseDPDF=Y")</f>
        <v>-208.929</v>
      </c>
      <c r="E24" s="19">
        <f>_xll.BDH("ALNY US Equity","PRETAX_INC","FQ4 2019","FQ4 2019","Currency=USD","Period=FQ","BEST_FPERIOD_OVERRIDE=FQ","FILING_STATUS=MR","SCALING_FORMAT=MLN","FA_ADJUSTED=GAAP","Sort=A","Dates=H","DateFormat=P","Fill=—","Direction=H","UseDPDF=Y")</f>
        <v>-276.58300000000003</v>
      </c>
      <c r="F24" s="19">
        <f>_xll.BDH("ALNY US Equity","PRETAX_INC","FQ1 2020","FQ1 2020","Currency=USD","Period=FQ","BEST_FPERIOD_OVERRIDE=FQ","FILING_STATUS=MR","SCALING_FORMAT=MLN","FA_ADJUSTED=GAAP","Sort=A","Dates=H","DateFormat=P","Fill=—","Direction=H","UseDPDF=Y")</f>
        <v>-181.64599999999999</v>
      </c>
      <c r="G24" s="19">
        <f>_xll.BDH("ALNY US Equity","PRETAX_INC","FQ2 2020","FQ2 2020","Currency=USD","Period=FQ","BEST_FPERIOD_OVERRIDE=FQ","FILING_STATUS=MR","SCALING_FORMAT=MLN","FA_ADJUSTED=GAAP","Sort=A","Dates=H","DateFormat=P","Fill=—","Direction=H","UseDPDF=Y")</f>
        <v>-177.90299999999999</v>
      </c>
      <c r="H24" s="19">
        <f>_xll.BDH("ALNY US Equity","PRETAX_INC","FQ3 2020","FQ3 2020","Currency=USD","Period=FQ","BEST_FPERIOD_OVERRIDE=FQ","FILING_STATUS=MR","SCALING_FORMAT=MLN","FA_ADJUSTED=GAAP","Sort=A","Dates=H","DateFormat=P","Fill=—","Direction=H","UseDPDF=Y")</f>
        <v>-252.452</v>
      </c>
      <c r="I24" s="19">
        <f>_xll.BDH("ALNY US Equity","PRETAX_INC","FQ4 2020","FQ4 2020","Currency=USD","Period=FQ","BEST_FPERIOD_OVERRIDE=FQ","FILING_STATUS=MR","SCALING_FORMAT=MLN","FA_ADJUSTED=GAAP","Sort=A","Dates=H","DateFormat=P","Fill=—","Direction=H","UseDPDF=Y")</f>
        <v>-243.59899999999999</v>
      </c>
      <c r="J24" s="19">
        <f>_xll.BDH("ALNY US Equity","PRETAX_INC","FQ1 2021","FQ1 2021","Currency=USD","Period=FQ","BEST_FPERIOD_OVERRIDE=FQ","FILING_STATUS=MR","SCALING_FORMAT=MLN","FA_ADJUSTED=GAAP","Sort=A","Dates=H","DateFormat=P","Fill=—","Direction=H","UseDPDF=Y")</f>
        <v>-199.27500000000001</v>
      </c>
      <c r="K24" s="19">
        <f>_xll.BDH("ALNY US Equity","PRETAX_INC","FQ2 2021","FQ2 2021","Currency=USD","Period=FQ","BEST_FPERIOD_OVERRIDE=FQ","FILING_STATUS=MR","SCALING_FORMAT=MLN","FA_ADJUSTED=GAAP","Sort=A","Dates=H","DateFormat=P","Fill=—","Direction=H","UseDPDF=Y")</f>
        <v>-188.33099999999999</v>
      </c>
      <c r="L24" s="19">
        <f>_xll.BDH("ALNY US Equity","PRETAX_INC","FQ3 2021","FQ3 2021","Currency=USD","Period=FQ","BEST_FPERIOD_OVERRIDE=FQ","FILING_STATUS=MR","SCALING_FORMAT=MLN","FA_ADJUSTED=GAAP","Sort=A","Dates=H","DateFormat=P","Fill=—","Direction=H","UseDPDF=Y")</f>
        <v>-204.23599999999999</v>
      </c>
      <c r="M24" s="19">
        <f>_xll.BDH("ALNY US Equity","PRETAX_INC","FQ4 2021","FQ4 2021","Currency=USD","Period=FQ","BEST_FPERIOD_OVERRIDE=FQ","FILING_STATUS=MR","SCALING_FORMAT=MLN","FA_ADJUSTED=GAAP","Sort=A","Dates=H","DateFormat=P","Fill=—","Direction=H","UseDPDF=Y")</f>
        <v>-260.30200000000002</v>
      </c>
      <c r="N24" s="19">
        <f>_xll.BDH("ALNY US Equity","PRETAX_INC","FQ1 2022","FQ1 2022","Currency=USD","Period=FQ","BEST_FPERIOD_OVERRIDE=FQ","FILING_STATUS=MR","SCALING_FORMAT=MLN","FA_ADJUSTED=GAAP","Sort=A","Dates=H","DateFormat=P","Fill=—","Direction=H","UseDPDF=Y")</f>
        <v>-239.35599999999999</v>
      </c>
      <c r="O24" s="19">
        <f>_xll.BDH("ALNY US Equity","PRETAX_INC","FQ2 2022","FQ2 2022","Currency=USD","Period=FQ","BEST_FPERIOD_OVERRIDE=FQ","FILING_STATUS=MR","SCALING_FORMAT=MLN","FA_ADJUSTED=GAAP","Sort=A","Dates=H","DateFormat=P","Fill=—","Direction=H","UseDPDF=Y")</f>
        <v>-274.673</v>
      </c>
      <c r="P24" s="19">
        <f>_xll.BDH("ALNY US Equity","PRETAX_INC","FQ3 2022","FQ3 2022","Currency=USD","Period=FQ","BEST_FPERIOD_OVERRIDE=FQ","FILING_STATUS=MR","SCALING_FORMAT=MLN","FA_ADJUSTED=GAAP","Sort=A","Dates=H","DateFormat=P","Fill=—","Direction=H","UseDPDF=Y")</f>
        <v>-405.94299999999998</v>
      </c>
      <c r="Q24" s="19">
        <f>_xll.BDH("ALNY US Equity","PRETAX_INC","FQ4 2022","FQ4 2022","Currency=USD","Period=FQ","BEST_FPERIOD_OVERRIDE=FQ","FILING_STATUS=MR","SCALING_FORMAT=MLN","FA_ADJUSTED=GAAP","Sort=A","Dates=H","DateFormat=P","Fill=—","Direction=H","UseDPDF=Y")</f>
        <v>-207.02099999999999</v>
      </c>
      <c r="R24" s="19">
        <f>_xll.BDH("ALNY US Equity","PRETAX_INC","FQ1 2023","FQ1 2023","Currency=USD","Period=FQ","BEST_FPERIOD_OVERRIDE=FQ","FILING_STATUS=MR","SCALING_FORMAT=MLN","FA_ADJUSTED=GAAP","Sort=A","Dates=H","DateFormat=P","Fill=—","Direction=H","UseDPDF=Y")</f>
        <v>-172.36199999999999</v>
      </c>
      <c r="S24" s="19">
        <f>_xll.BDH("ALNY US Equity","PRETAX_INC","FQ2 2023","FQ2 2023","Currency=USD","Period=FQ","BEST_FPERIOD_OVERRIDE=FQ","FILING_STATUS=MR","SCALING_FORMAT=MLN","FA_ADJUSTED=GAAP","Sort=A","Dates=H","DateFormat=P","Fill=—","Direction=H","UseDPDF=Y")</f>
        <v>-274.209</v>
      </c>
      <c r="T24" s="19">
        <f>_xll.BDH("ALNY US Equity","PRETAX_INC","FQ3 2023","FQ3 2023","Currency=USD","Period=FQ","BEST_FPERIOD_OVERRIDE=FQ","FILING_STATUS=MR","SCALING_FORMAT=MLN","FA_ADJUSTED=GAAP","Sort=A","Dates=H","DateFormat=P","Fill=—","Direction=H","UseDPDF=Y")</f>
        <v>150.74100000000001</v>
      </c>
      <c r="U24" s="19">
        <f>_xll.BDH("ALNY US Equity","PRETAX_INC","FQ4 2023","FQ4 2023","Currency=USD","Period=FQ","BEST_FPERIOD_OVERRIDE=FQ","FILING_STATUS=MR","SCALING_FORMAT=MLN","FA_ADJUSTED=GAAP","Sort=A","Dates=H","DateFormat=P","Fill=—","Direction=H","UseDPDF=Y")</f>
        <v>-137.68700000000001</v>
      </c>
      <c r="V24" s="19">
        <f>_xll.BDH("ALNY US Equity","PRETAX_INC","FQ1 2024","FQ1 2024","Currency=USD","Period=FQ","BEST_FPERIOD_OVERRIDE=FQ","FILING_STATUS=MR","SCALING_FORMAT=MLN","FA_ADJUSTED=GAAP","Sort=A","Dates=H","DateFormat=P","Fill=—","Direction=H","UseDPDF=Y")</f>
        <v>-63.587000000000003</v>
      </c>
      <c r="W24" s="19">
        <f>_xll.BDH("ALNY US Equity","PRETAX_INC","FQ2 2024","FQ2 2024","Currency=USD","Period=FQ","BEST_FPERIOD_OVERRIDE=FQ","FILING_STATUS=MR","SCALING_FORMAT=MLN","FA_ADJUSTED=GAAP","Sort=A","Dates=H","DateFormat=P","Fill=—","Direction=H","UseDPDF=Y")</f>
        <v>-11.167</v>
      </c>
      <c r="X24" s="19">
        <f>_xll.BDH("ALNY US Equity","PRETAX_INC","FQ3 2024","FQ3 2024","Currency=USD","Period=FQ","BEST_FPERIOD_OVERRIDE=FQ","FILING_STATUS=MR","SCALING_FORMAT=MLN","FA_ADJUSTED=GAAP","Sort=A","Dates=H","DateFormat=P","Fill=—","Direction=H","UseDPDF=Y")</f>
        <v>-108.663</v>
      </c>
      <c r="Y24" s="19">
        <f>_xll.BDH("ALNY US Equity","PRETAX_INC","FQ4 2024","FQ4 2024","Currency=USD","Period=FQ","BEST_FPERIOD_OVERRIDE=FQ","FILING_STATUS=MR","SCALING_FORMAT=MLN","FA_ADJUSTED=GAAP","Sort=A","Dates=H","DateFormat=P","Fill=—","Direction=H","UseDPDF=Y")</f>
        <v>-193.958</v>
      </c>
      <c r="Z24" s="19">
        <v>-99.003</v>
      </c>
      <c r="AA24" s="19">
        <v>-108.08499999999999</v>
      </c>
    </row>
    <row r="25" spans="1:27" x14ac:dyDescent="0.25">
      <c r="A25" s="10" t="s">
        <v>345</v>
      </c>
      <c r="B25" s="10" t="s">
        <v>346</v>
      </c>
      <c r="C25" s="13">
        <f>_xll.BDH("ALNY US Equity","IS_INC_TAX_EXP","FQ2 2019","FQ2 2019","Currency=USD","Period=FQ","BEST_FPERIOD_OVERRIDE=FQ","FILING_STATUS=MR","SCALING_FORMAT=MLN","FA_ADJUSTED=GAAP","Sort=A","Dates=H","DateFormat=P","Fill=—","Direction=H","UseDPDF=Y")</f>
        <v>0.96</v>
      </c>
      <c r="D25" s="13">
        <f>_xll.BDH("ALNY US Equity","IS_INC_TAX_EXP","FQ3 2019","FQ3 2019","Currency=USD","Period=FQ","BEST_FPERIOD_OVERRIDE=FQ","FILING_STATUS=MR","SCALING_FORMAT=MLN","FA_ADJUSTED=GAAP","Sort=A","Dates=H","DateFormat=P","Fill=—","Direction=H","UseDPDF=Y")</f>
        <v>-0.39400000000000002</v>
      </c>
      <c r="E25" s="13">
        <f>_xll.BDH("ALNY US Equity","IS_INC_TAX_EXP","FQ4 2019","FQ4 2019","Currency=USD","Period=FQ","BEST_FPERIOD_OVERRIDE=FQ","FILING_STATUS=MR","SCALING_FORMAT=MLN","FA_ADJUSTED=GAAP","Sort=A","Dates=H","DateFormat=P","Fill=—","Direction=H","UseDPDF=Y")</f>
        <v>-0.39800000000000002</v>
      </c>
      <c r="F25" s="13">
        <f>_xll.BDH("ALNY US Equity","IS_INC_TAX_EXP","FQ1 2020","FQ1 2020","Currency=USD","Period=FQ","BEST_FPERIOD_OVERRIDE=FQ","FILING_STATUS=MR","SCALING_FORMAT=MLN","FA_ADJUSTED=GAAP","Sort=A","Dates=H","DateFormat=P","Fill=—","Direction=H","UseDPDF=Y")</f>
        <v>0.57499999999999996</v>
      </c>
      <c r="G25" s="13">
        <f>_xll.BDH("ALNY US Equity","IS_INC_TAX_EXP","FQ2 2020","FQ2 2020","Currency=USD","Period=FQ","BEST_FPERIOD_OVERRIDE=FQ","FILING_STATUS=MR","SCALING_FORMAT=MLN","FA_ADJUSTED=GAAP","Sort=A","Dates=H","DateFormat=P","Fill=—","Direction=H","UseDPDF=Y")</f>
        <v>1.3260000000000001</v>
      </c>
      <c r="H25" s="13">
        <f>_xll.BDH("ALNY US Equity","IS_INC_TAX_EXP","FQ3 2020","FQ3 2020","Currency=USD","Period=FQ","BEST_FPERIOD_OVERRIDE=FQ","FILING_STATUS=MR","SCALING_FORMAT=MLN","FA_ADJUSTED=GAAP","Sort=A","Dates=H","DateFormat=P","Fill=—","Direction=H","UseDPDF=Y")</f>
        <v>0.83899999999999997</v>
      </c>
      <c r="I25" s="13">
        <f>_xll.BDH("ALNY US Equity","IS_INC_TAX_EXP","FQ4 2020","FQ4 2020","Currency=USD","Period=FQ","BEST_FPERIOD_OVERRIDE=FQ","FILING_STATUS=MR","SCALING_FORMAT=MLN","FA_ADJUSTED=GAAP","Sort=A","Dates=H","DateFormat=P","Fill=—","Direction=H","UseDPDF=Y")</f>
        <v>-5.8999999999999997E-2</v>
      </c>
      <c r="J25" s="13">
        <f>_xll.BDH("ALNY US Equity","IS_INC_TAX_EXP","FQ1 2021","FQ1 2021","Currency=USD","Period=FQ","BEST_FPERIOD_OVERRIDE=FQ","FILING_STATUS=MR","SCALING_FORMAT=MLN","FA_ADJUSTED=GAAP","Sort=A","Dates=H","DateFormat=P","Fill=—","Direction=H","UseDPDF=Y")</f>
        <v>1.016</v>
      </c>
      <c r="K25" s="13">
        <f>_xll.BDH("ALNY US Equity","IS_INC_TAX_EXP","FQ2 2021","FQ2 2021","Currency=USD","Period=FQ","BEST_FPERIOD_OVERRIDE=FQ","FILING_STATUS=MR","SCALING_FORMAT=MLN","FA_ADJUSTED=GAAP","Sort=A","Dates=H","DateFormat=P","Fill=—","Direction=H","UseDPDF=Y")</f>
        <v>1.228</v>
      </c>
      <c r="L25" s="13">
        <f>_xll.BDH("ALNY US Equity","IS_INC_TAX_EXP","FQ3 2021","FQ3 2021","Currency=USD","Period=FQ","BEST_FPERIOD_OVERRIDE=FQ","FILING_STATUS=MR","SCALING_FORMAT=MLN","FA_ADJUSTED=GAAP","Sort=A","Dates=H","DateFormat=P","Fill=—","Direction=H","UseDPDF=Y")</f>
        <v>0.27800000000000002</v>
      </c>
      <c r="M25" s="13">
        <f>_xll.BDH("ALNY US Equity","IS_INC_TAX_EXP","FQ4 2021","FQ4 2021","Currency=USD","Period=FQ","BEST_FPERIOD_OVERRIDE=FQ","FILING_STATUS=MR","SCALING_FORMAT=MLN","FA_ADJUSTED=GAAP","Sort=A","Dates=H","DateFormat=P","Fill=—","Direction=H","UseDPDF=Y")</f>
        <v>-1.8420000000000001</v>
      </c>
      <c r="N25" s="13">
        <f>_xll.BDH("ALNY US Equity","IS_INC_TAX_EXP","FQ1 2022","FQ1 2022","Currency=USD","Period=FQ","BEST_FPERIOD_OVERRIDE=FQ","FILING_STATUS=MR","SCALING_FORMAT=MLN","FA_ADJUSTED=GAAP","Sort=A","Dates=H","DateFormat=P","Fill=—","Direction=H","UseDPDF=Y")</f>
        <v>0.98499999999999999</v>
      </c>
      <c r="O25" s="13">
        <f>_xll.BDH("ALNY US Equity","IS_INC_TAX_EXP","FQ2 2022","FQ2 2022","Currency=USD","Period=FQ","BEST_FPERIOD_OVERRIDE=FQ","FILING_STATUS=MR","SCALING_FORMAT=MLN","FA_ADJUSTED=GAAP","Sort=A","Dates=H","DateFormat=P","Fill=—","Direction=H","UseDPDF=Y")</f>
        <v>2.7290000000000001</v>
      </c>
      <c r="P25" s="13">
        <f>_xll.BDH("ALNY US Equity","IS_INC_TAX_EXP","FQ3 2022","FQ3 2022","Currency=USD","Period=FQ","BEST_FPERIOD_OVERRIDE=FQ","FILING_STATUS=MR","SCALING_FORMAT=MLN","FA_ADJUSTED=GAAP","Sort=A","Dates=H","DateFormat=P","Fill=—","Direction=H","UseDPDF=Y")</f>
        <v>-2.3E-2</v>
      </c>
      <c r="Q25" s="13">
        <f>_xll.BDH("ALNY US Equity","IS_INC_TAX_EXP","FQ4 2022","FQ4 2022","Currency=USD","Period=FQ","BEST_FPERIOD_OVERRIDE=FQ","FILING_STATUS=MR","SCALING_FORMAT=MLN","FA_ADJUSTED=GAAP","Sort=A","Dates=H","DateFormat=P","Fill=—","Direction=H","UseDPDF=Y")</f>
        <v>0.47199999999999998</v>
      </c>
      <c r="R25" s="13">
        <f>_xll.BDH("ALNY US Equity","IS_INC_TAX_EXP","FQ1 2023","FQ1 2023","Currency=USD","Period=FQ","BEST_FPERIOD_OVERRIDE=FQ","FILING_STATUS=MR","SCALING_FORMAT=MLN","FA_ADJUSTED=GAAP","Sort=A","Dates=H","DateFormat=P","Fill=—","Direction=H","UseDPDF=Y")</f>
        <v>1.7390000000000001</v>
      </c>
      <c r="S25" s="13">
        <f>_xll.BDH("ALNY US Equity","IS_INC_TAX_EXP","FQ2 2023","FQ2 2023","Currency=USD","Period=FQ","BEST_FPERIOD_OVERRIDE=FQ","FILING_STATUS=MR","SCALING_FORMAT=MLN","FA_ADJUSTED=GAAP","Sort=A","Dates=H","DateFormat=P","Fill=—","Direction=H","UseDPDF=Y")</f>
        <v>1.8149999999999999</v>
      </c>
      <c r="T25" s="13">
        <f>_xll.BDH("ALNY US Equity","IS_INC_TAX_EXP","FQ3 2023","FQ3 2023","Currency=USD","Period=FQ","BEST_FPERIOD_OVERRIDE=FQ","FILING_STATUS=MR","SCALING_FORMAT=MLN","FA_ADJUSTED=GAAP","Sort=A","Dates=H","DateFormat=P","Fill=—","Direction=H","UseDPDF=Y")</f>
        <v>2.988</v>
      </c>
      <c r="U25" s="13">
        <f>_xll.BDH("ALNY US Equity","IS_INC_TAX_EXP","FQ4 2023","FQ4 2023","Currency=USD","Period=FQ","BEST_FPERIOD_OVERRIDE=FQ","FILING_STATUS=MR","SCALING_FORMAT=MLN","FA_ADJUSTED=GAAP","Sort=A","Dates=H","DateFormat=P","Fill=—","Direction=H","UseDPDF=Y")</f>
        <v>0.183</v>
      </c>
      <c r="V25" s="13">
        <f>_xll.BDH("ALNY US Equity","IS_INC_TAX_EXP","FQ1 2024","FQ1 2024","Currency=USD","Period=FQ","BEST_FPERIOD_OVERRIDE=FQ","FILING_STATUS=MR","SCALING_FORMAT=MLN","FA_ADJUSTED=GAAP","Sort=A","Dates=H","DateFormat=P","Fill=—","Direction=H","UseDPDF=Y")</f>
        <v>2.3479999999999999</v>
      </c>
      <c r="W25" s="13">
        <f>_xll.BDH("ALNY US Equity","IS_INC_TAX_EXP","FQ2 2024","FQ2 2024","Currency=USD","Period=FQ","BEST_FPERIOD_OVERRIDE=FQ","FILING_STATUS=MR","SCALING_FORMAT=MLN","FA_ADJUSTED=GAAP","Sort=A","Dates=H","DateFormat=P","Fill=—","Direction=H","UseDPDF=Y")</f>
        <v>5.7220000000000004</v>
      </c>
      <c r="X25" s="13">
        <f>_xll.BDH("ALNY US Equity","IS_INC_TAX_EXP","FQ3 2024","FQ3 2024","Currency=USD","Period=FQ","BEST_FPERIOD_OVERRIDE=FQ","FILING_STATUS=MR","SCALING_FORMAT=MLN","FA_ADJUSTED=GAAP","Sort=A","Dates=H","DateFormat=P","Fill=—","Direction=H","UseDPDF=Y")</f>
        <v>2.907</v>
      </c>
      <c r="Y25" s="13">
        <f>_xll.BDH("ALNY US Equity","IS_INC_TAX_EXP","FQ4 2024","FQ4 2024","Currency=USD","Period=FQ","BEST_FPERIOD_OVERRIDE=FQ","FILING_STATUS=MR","SCALING_FORMAT=MLN","FA_ADJUSTED=GAAP","Sort=A","Dates=H","DateFormat=P","Fill=—","Direction=H","UseDPDF=Y")</f>
        <v>-110.19499999999999</v>
      </c>
      <c r="Z25" s="13"/>
      <c r="AA25" s="13"/>
    </row>
    <row r="26" spans="1:27" x14ac:dyDescent="0.25">
      <c r="A26" s="6" t="s">
        <v>347</v>
      </c>
      <c r="B26" s="6" t="s">
        <v>348</v>
      </c>
      <c r="C26" s="19">
        <f>_xll.BDH("ALNY US Equity","IS_INC_BEF_XO_ITEM","FQ2 2019","FQ2 2019","Currency=USD","Period=FQ","BEST_FPERIOD_OVERRIDE=FQ","FILING_STATUS=MR","SCALING_FORMAT=MLN","Sort=A","Dates=H","DateFormat=P","Fill=—","Direction=H","UseDPDF=Y")</f>
        <v>-219.48099999999999</v>
      </c>
      <c r="D26" s="19">
        <f>_xll.BDH("ALNY US Equity","IS_INC_BEF_XO_ITEM","FQ3 2019","FQ3 2019","Currency=USD","Period=FQ","BEST_FPERIOD_OVERRIDE=FQ","FILING_STATUS=MR","SCALING_FORMAT=MLN","Sort=A","Dates=H","DateFormat=P","Fill=—","Direction=H","UseDPDF=Y")</f>
        <v>-208.535</v>
      </c>
      <c r="E26" s="19">
        <f>_xll.BDH("ALNY US Equity","IS_INC_BEF_XO_ITEM","FQ4 2019","FQ4 2019","Currency=USD","Period=FQ","BEST_FPERIOD_OVERRIDE=FQ","FILING_STATUS=MR","SCALING_FORMAT=MLN","Sort=A","Dates=H","DateFormat=P","Fill=—","Direction=H","UseDPDF=Y")</f>
        <v>-276.185</v>
      </c>
      <c r="F26" s="19">
        <f>_xll.BDH("ALNY US Equity","IS_INC_BEF_XO_ITEM","FQ1 2020","FQ1 2020","Currency=USD","Period=FQ","BEST_FPERIOD_OVERRIDE=FQ","FILING_STATUS=MR","SCALING_FORMAT=MLN","Sort=A","Dates=H","DateFormat=P","Fill=—","Direction=H","UseDPDF=Y")</f>
        <v>-182.221</v>
      </c>
      <c r="G26" s="19">
        <f>_xll.BDH("ALNY US Equity","IS_INC_BEF_XO_ITEM","FQ2 2020","FQ2 2020","Currency=USD","Period=FQ","BEST_FPERIOD_OVERRIDE=FQ","FILING_STATUS=MR","SCALING_FORMAT=MLN","Sort=A","Dates=H","DateFormat=P","Fill=—","Direction=H","UseDPDF=Y")</f>
        <v>-179.22900000000001</v>
      </c>
      <c r="H26" s="19">
        <f>_xll.BDH("ALNY US Equity","IS_INC_BEF_XO_ITEM","FQ3 2020","FQ3 2020","Currency=USD","Period=FQ","BEST_FPERIOD_OVERRIDE=FQ","FILING_STATUS=MR","SCALING_FORMAT=MLN","Sort=A","Dates=H","DateFormat=P","Fill=—","Direction=H","UseDPDF=Y")</f>
        <v>-253.291</v>
      </c>
      <c r="I26" s="19">
        <f>_xll.BDH("ALNY US Equity","IS_INC_BEF_XO_ITEM","FQ4 2020","FQ4 2020","Currency=USD","Period=FQ","BEST_FPERIOD_OVERRIDE=FQ","FILING_STATUS=MR","SCALING_FORMAT=MLN","Sort=A","Dates=H","DateFormat=P","Fill=—","Direction=H","UseDPDF=Y")</f>
        <v>-243.54</v>
      </c>
      <c r="J26" s="19">
        <f>_xll.BDH("ALNY US Equity","IS_INC_BEF_XO_ITEM","FQ1 2021","FQ1 2021","Currency=USD","Period=FQ","BEST_FPERIOD_OVERRIDE=FQ","FILING_STATUS=MR","SCALING_FORMAT=MLN","Sort=A","Dates=H","DateFormat=P","Fill=—","Direction=H","UseDPDF=Y")</f>
        <v>-200.291</v>
      </c>
      <c r="K26" s="19">
        <f>_xll.BDH("ALNY US Equity","IS_INC_BEF_XO_ITEM","FQ2 2021","FQ2 2021","Currency=USD","Period=FQ","BEST_FPERIOD_OVERRIDE=FQ","FILING_STATUS=MR","SCALING_FORMAT=MLN","Sort=A","Dates=H","DateFormat=P","Fill=—","Direction=H","UseDPDF=Y")</f>
        <v>-189.559</v>
      </c>
      <c r="L26" s="19">
        <f>_xll.BDH("ALNY US Equity","IS_INC_BEF_XO_ITEM","FQ3 2021","FQ3 2021","Currency=USD","Period=FQ","BEST_FPERIOD_OVERRIDE=FQ","FILING_STATUS=MR","SCALING_FORMAT=MLN","Sort=A","Dates=H","DateFormat=P","Fill=—","Direction=H","UseDPDF=Y")</f>
        <v>-204.51400000000001</v>
      </c>
      <c r="M26" s="19">
        <f>_xll.BDH("ALNY US Equity","IS_INC_BEF_XO_ITEM","FQ4 2021","FQ4 2021","Currency=USD","Period=FQ","BEST_FPERIOD_OVERRIDE=FQ","FILING_STATUS=MR","SCALING_FORMAT=MLN","Sort=A","Dates=H","DateFormat=P","Fill=—","Direction=H","UseDPDF=Y")</f>
        <v>-258.45999999999998</v>
      </c>
      <c r="N26" s="19">
        <f>_xll.BDH("ALNY US Equity","IS_INC_BEF_XO_ITEM","FQ1 2022","FQ1 2022","Currency=USD","Period=FQ","BEST_FPERIOD_OVERRIDE=FQ","FILING_STATUS=MR","SCALING_FORMAT=MLN","Sort=A","Dates=H","DateFormat=P","Fill=—","Direction=H","UseDPDF=Y")</f>
        <v>-240.34100000000001</v>
      </c>
      <c r="O26" s="19">
        <f>_xll.BDH("ALNY US Equity","IS_INC_BEF_XO_ITEM","FQ2 2022","FQ2 2022","Currency=USD","Period=FQ","BEST_FPERIOD_OVERRIDE=FQ","FILING_STATUS=MR","SCALING_FORMAT=MLN","Sort=A","Dates=H","DateFormat=P","Fill=—","Direction=H","UseDPDF=Y")</f>
        <v>-277.40199999999999</v>
      </c>
      <c r="P26" s="19">
        <f>_xll.BDH("ALNY US Equity","IS_INC_BEF_XO_ITEM","FQ3 2022","FQ3 2022","Currency=USD","Period=FQ","BEST_FPERIOD_OVERRIDE=FQ","FILING_STATUS=MR","SCALING_FORMAT=MLN","Sort=A","Dates=H","DateFormat=P","Fill=—","Direction=H","UseDPDF=Y")</f>
        <v>-405.92</v>
      </c>
      <c r="Q26" s="19">
        <f>_xll.BDH("ALNY US Equity","IS_INC_BEF_XO_ITEM","FQ4 2022","FQ4 2022","Currency=USD","Period=FQ","BEST_FPERIOD_OVERRIDE=FQ","FILING_STATUS=MR","SCALING_FORMAT=MLN","Sort=A","Dates=H","DateFormat=P","Fill=—","Direction=H","UseDPDF=Y")</f>
        <v>-207.49299999999999</v>
      </c>
      <c r="R26" s="19">
        <f>_xll.BDH("ALNY US Equity","IS_INC_BEF_XO_ITEM","FQ1 2023","FQ1 2023","Currency=USD","Period=FQ","BEST_FPERIOD_OVERRIDE=FQ","FILING_STATUS=MR","SCALING_FORMAT=MLN","Sort=A","Dates=H","DateFormat=P","Fill=—","Direction=H","UseDPDF=Y")</f>
        <v>-174.101</v>
      </c>
      <c r="S26" s="19">
        <f>_xll.BDH("ALNY US Equity","IS_INC_BEF_XO_ITEM","FQ2 2023","FQ2 2023","Currency=USD","Period=FQ","BEST_FPERIOD_OVERRIDE=FQ","FILING_STATUS=MR","SCALING_FORMAT=MLN","Sort=A","Dates=H","DateFormat=P","Fill=—","Direction=H","UseDPDF=Y")</f>
        <v>-276.024</v>
      </c>
      <c r="T26" s="19">
        <f>_xll.BDH("ALNY US Equity","IS_INC_BEF_XO_ITEM","FQ3 2023","FQ3 2023","Currency=USD","Period=FQ","BEST_FPERIOD_OVERRIDE=FQ","FILING_STATUS=MR","SCALING_FORMAT=MLN","Sort=A","Dates=H","DateFormat=P","Fill=—","Direction=H","UseDPDF=Y")</f>
        <v>147.75299999999999</v>
      </c>
      <c r="U26" s="19">
        <f>_xll.BDH("ALNY US Equity","IS_INC_BEF_XO_ITEM","FQ4 2023","FQ4 2023","Currency=USD","Period=FQ","BEST_FPERIOD_OVERRIDE=FQ","FILING_STATUS=MR","SCALING_FORMAT=MLN","Sort=A","Dates=H","DateFormat=P","Fill=—","Direction=H","UseDPDF=Y")</f>
        <v>-137.87</v>
      </c>
      <c r="V26" s="19">
        <f>_xll.BDH("ALNY US Equity","IS_INC_BEF_XO_ITEM","FQ1 2024","FQ1 2024","Currency=USD","Period=FQ","BEST_FPERIOD_OVERRIDE=FQ","FILING_STATUS=MR","SCALING_FORMAT=MLN","Sort=A","Dates=H","DateFormat=P","Fill=—","Direction=H","UseDPDF=Y")</f>
        <v>-65.935000000000002</v>
      </c>
      <c r="W26" s="19">
        <f>_xll.BDH("ALNY US Equity","IS_INC_BEF_XO_ITEM","FQ2 2024","FQ2 2024","Currency=USD","Period=FQ","BEST_FPERIOD_OVERRIDE=FQ","FILING_STATUS=MR","SCALING_FORMAT=MLN","Sort=A","Dates=H","DateFormat=P","Fill=—","Direction=H","UseDPDF=Y")</f>
        <v>-16.888999999999999</v>
      </c>
      <c r="X26" s="19">
        <f>_xll.BDH("ALNY US Equity","IS_INC_BEF_XO_ITEM","FQ3 2024","FQ3 2024","Currency=USD","Period=FQ","BEST_FPERIOD_OVERRIDE=FQ","FILING_STATUS=MR","SCALING_FORMAT=MLN","Sort=A","Dates=H","DateFormat=P","Fill=—","Direction=H","UseDPDF=Y")</f>
        <v>-111.57</v>
      </c>
      <c r="Y26" s="19">
        <f>_xll.BDH("ALNY US Equity","IS_INC_BEF_XO_ITEM","FQ4 2024","FQ4 2024","Currency=USD","Period=FQ","BEST_FPERIOD_OVERRIDE=FQ","FILING_STATUS=MR","SCALING_FORMAT=MLN","Sort=A","Dates=H","DateFormat=P","Fill=—","Direction=H","UseDPDF=Y")</f>
        <v>-83.763000000000005</v>
      </c>
      <c r="Z26" s="19">
        <v>-123.455</v>
      </c>
      <c r="AA26" s="19">
        <v>-122.946</v>
      </c>
    </row>
    <row r="27" spans="1:27" x14ac:dyDescent="0.25">
      <c r="A27" s="10" t="s">
        <v>349</v>
      </c>
      <c r="B27" s="10" t="s">
        <v>350</v>
      </c>
      <c r="C27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D27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E27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F27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G27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H27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I27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J27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K27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L27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M27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N27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O27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P27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Q27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R27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S27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T27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U27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V27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W27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X27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Y27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  <c r="Z27" s="13"/>
      <c r="AA27" s="13"/>
    </row>
    <row r="28" spans="1:27" x14ac:dyDescent="0.25">
      <c r="A28" s="10" t="s">
        <v>351</v>
      </c>
      <c r="B28" s="10" t="s">
        <v>352</v>
      </c>
      <c r="C28" s="13">
        <f>_xll.BDH("ALNY US Equity","IS_DISCONTINUED_OPERATIONS","FQ2 2019","FQ2 2019","Currency=USD","Period=FQ","BEST_FPERIOD_OVERRIDE=FQ","FILING_STATUS=MR","SCALING_FORMAT=MLN","Sort=A","Dates=H","DateFormat=P","Fill=—","Direction=H","UseDPDF=Y")</f>
        <v>0</v>
      </c>
      <c r="D28" s="13">
        <f>_xll.BDH("ALNY US Equity","IS_DISCONTINUED_OPERATIONS","FQ3 2019","FQ3 2019","Currency=USD","Period=FQ","BEST_FPERIOD_OVERRIDE=FQ","FILING_STATUS=MR","SCALING_FORMAT=MLN","Sort=A","Dates=H","DateFormat=P","Fill=—","Direction=H","UseDPDF=Y")</f>
        <v>0</v>
      </c>
      <c r="E28" s="13">
        <f>_xll.BDH("ALNY US Equity","IS_DISCONTINUED_OPERATIONS","FQ4 2019","FQ4 2019","Currency=USD","Period=FQ","BEST_FPERIOD_OVERRIDE=FQ","FILING_STATUS=MR","SCALING_FORMAT=MLN","Sort=A","Dates=H","DateFormat=P","Fill=—","Direction=H","UseDPDF=Y")</f>
        <v>0</v>
      </c>
      <c r="F28" s="13">
        <f>_xll.BDH("ALNY US Equity","IS_DISCONTINUED_OPERATIONS","FQ1 2020","FQ1 2020","Currency=USD","Period=FQ","BEST_FPERIOD_OVERRIDE=FQ","FILING_STATUS=MR","SCALING_FORMAT=MLN","Sort=A","Dates=H","DateFormat=P","Fill=—","Direction=H","UseDPDF=Y")</f>
        <v>0</v>
      </c>
      <c r="G28" s="13">
        <f>_xll.BDH("ALNY US Equity","IS_DISCONTINUED_OPERATIONS","FQ2 2020","FQ2 2020","Currency=USD","Period=FQ","BEST_FPERIOD_OVERRIDE=FQ","FILING_STATUS=MR","SCALING_FORMAT=MLN","Sort=A","Dates=H","DateFormat=P","Fill=—","Direction=H","UseDPDF=Y")</f>
        <v>0</v>
      </c>
      <c r="H28" s="13">
        <f>_xll.BDH("ALNY US Equity","IS_DISCONTINUED_OPERATIONS","FQ3 2020","FQ3 2020","Currency=USD","Period=FQ","BEST_FPERIOD_OVERRIDE=FQ","FILING_STATUS=MR","SCALING_FORMAT=MLN","Sort=A","Dates=H","DateFormat=P","Fill=—","Direction=H","UseDPDF=Y")</f>
        <v>0</v>
      </c>
      <c r="I28" s="13">
        <f>_xll.BDH("ALNY US Equity","IS_DISCONTINUED_OPERATIONS","FQ4 2020","FQ4 2020","Currency=USD","Period=FQ","BEST_FPERIOD_OVERRIDE=FQ","FILING_STATUS=MR","SCALING_FORMAT=MLN","Sort=A","Dates=H","DateFormat=P","Fill=—","Direction=H","UseDPDF=Y")</f>
        <v>0</v>
      </c>
      <c r="J28" s="13">
        <f>_xll.BDH("ALNY US Equity","IS_DISCONTINUED_OPERATIONS","FQ1 2021","FQ1 2021","Currency=USD","Period=FQ","BEST_FPERIOD_OVERRIDE=FQ","FILING_STATUS=MR","SCALING_FORMAT=MLN","Sort=A","Dates=H","DateFormat=P","Fill=—","Direction=H","UseDPDF=Y")</f>
        <v>0</v>
      </c>
      <c r="K28" s="13">
        <f>_xll.BDH("ALNY US Equity","IS_DISCONTINUED_OPERATIONS","FQ2 2021","FQ2 2021","Currency=USD","Period=FQ","BEST_FPERIOD_OVERRIDE=FQ","FILING_STATUS=MR","SCALING_FORMAT=MLN","Sort=A","Dates=H","DateFormat=P","Fill=—","Direction=H","UseDPDF=Y")</f>
        <v>0</v>
      </c>
      <c r="L28" s="13">
        <f>_xll.BDH("ALNY US Equity","IS_DISCONTINUED_OPERATIONS","FQ3 2021","FQ3 2021","Currency=USD","Period=FQ","BEST_FPERIOD_OVERRIDE=FQ","FILING_STATUS=MR","SCALING_FORMAT=MLN","Sort=A","Dates=H","DateFormat=P","Fill=—","Direction=H","UseDPDF=Y")</f>
        <v>0</v>
      </c>
      <c r="M28" s="13">
        <f>_xll.BDH("ALNY US Equity","IS_DISCONTINUED_OPERATIONS","FQ4 2021","FQ4 2021","Currency=USD","Period=FQ","BEST_FPERIOD_OVERRIDE=FQ","FILING_STATUS=MR","SCALING_FORMAT=MLN","Sort=A","Dates=H","DateFormat=P","Fill=—","Direction=H","UseDPDF=Y")</f>
        <v>0</v>
      </c>
      <c r="N28" s="13">
        <f>_xll.BDH("ALNY US Equity","IS_DISCONTINUED_OPERATIONS","FQ1 2022","FQ1 2022","Currency=USD","Period=FQ","BEST_FPERIOD_OVERRIDE=FQ","FILING_STATUS=MR","SCALING_FORMAT=MLN","Sort=A","Dates=H","DateFormat=P","Fill=—","Direction=H","UseDPDF=Y")</f>
        <v>0</v>
      </c>
      <c r="O28" s="13">
        <f>_xll.BDH("ALNY US Equity","IS_DISCONTINUED_OPERATIONS","FQ2 2022","FQ2 2022","Currency=USD","Period=FQ","BEST_FPERIOD_OVERRIDE=FQ","FILING_STATUS=MR","SCALING_FORMAT=MLN","Sort=A","Dates=H","DateFormat=P","Fill=—","Direction=H","UseDPDF=Y")</f>
        <v>0</v>
      </c>
      <c r="P28" s="13">
        <f>_xll.BDH("ALNY US Equity","IS_DISCONTINUED_OPERATIONS","FQ3 2022","FQ3 2022","Currency=USD","Period=FQ","BEST_FPERIOD_OVERRIDE=FQ","FILING_STATUS=MR","SCALING_FORMAT=MLN","Sort=A","Dates=H","DateFormat=P","Fill=—","Direction=H","UseDPDF=Y")</f>
        <v>0</v>
      </c>
      <c r="Q28" s="13">
        <f>_xll.BDH("ALNY US Equity","IS_DISCONTINUED_OPERATIONS","FQ4 2022","FQ4 2022","Currency=USD","Period=FQ","BEST_FPERIOD_OVERRIDE=FQ","FILING_STATUS=MR","SCALING_FORMAT=MLN","Sort=A","Dates=H","DateFormat=P","Fill=—","Direction=H","UseDPDF=Y")</f>
        <v>0</v>
      </c>
      <c r="R28" s="13">
        <f>_xll.BDH("ALNY US Equity","IS_DISCONTINUED_OPERATIONS","FQ1 2023","FQ1 2023","Currency=USD","Period=FQ","BEST_FPERIOD_OVERRIDE=FQ","FILING_STATUS=MR","SCALING_FORMAT=MLN","Sort=A","Dates=H","DateFormat=P","Fill=—","Direction=H","UseDPDF=Y")</f>
        <v>0</v>
      </c>
      <c r="S28" s="13">
        <f>_xll.BDH("ALNY US Equity","IS_DISCONTINUED_OPERATIONS","FQ2 2023","FQ2 2023","Currency=USD","Period=FQ","BEST_FPERIOD_OVERRIDE=FQ","FILING_STATUS=MR","SCALING_FORMAT=MLN","Sort=A","Dates=H","DateFormat=P","Fill=—","Direction=H","UseDPDF=Y")</f>
        <v>0</v>
      </c>
      <c r="T28" s="13">
        <f>_xll.BDH("ALNY US Equity","IS_DISCONTINUED_OPERATIONS","FQ3 2023","FQ3 2023","Currency=USD","Period=FQ","BEST_FPERIOD_OVERRIDE=FQ","FILING_STATUS=MR","SCALING_FORMAT=MLN","Sort=A","Dates=H","DateFormat=P","Fill=—","Direction=H","UseDPDF=Y")</f>
        <v>0</v>
      </c>
      <c r="U28" s="13">
        <f>_xll.BDH("ALNY US Equity","IS_DISCONTINUED_OPERATIONS","FQ4 2023","FQ4 2023","Currency=USD","Period=FQ","BEST_FPERIOD_OVERRIDE=FQ","FILING_STATUS=MR","SCALING_FORMAT=MLN","Sort=A","Dates=H","DateFormat=P","Fill=—","Direction=H","UseDPDF=Y")</f>
        <v>0</v>
      </c>
      <c r="V28" s="13">
        <f>_xll.BDH("ALNY US Equity","IS_DISCONTINUED_OPERATIONS","FQ1 2024","FQ1 2024","Currency=USD","Period=FQ","BEST_FPERIOD_OVERRIDE=FQ","FILING_STATUS=MR","SCALING_FORMAT=MLN","Sort=A","Dates=H","DateFormat=P","Fill=—","Direction=H","UseDPDF=Y")</f>
        <v>0</v>
      </c>
      <c r="W28" s="13">
        <f>_xll.BDH("ALNY US Equity","IS_DISCONTINUED_OPERATIONS","FQ2 2024","FQ2 2024","Currency=USD","Period=FQ","BEST_FPERIOD_OVERRIDE=FQ","FILING_STATUS=MR","SCALING_FORMAT=MLN","Sort=A","Dates=H","DateFormat=P","Fill=—","Direction=H","UseDPDF=Y")</f>
        <v>0</v>
      </c>
      <c r="X28" s="13">
        <f>_xll.BDH("ALNY US Equity","IS_DISCONTINUED_OPERATIONS","FQ3 2024","FQ3 2024","Currency=USD","Period=FQ","BEST_FPERIOD_OVERRIDE=FQ","FILING_STATUS=MR","SCALING_FORMAT=MLN","Sort=A","Dates=H","DateFormat=P","Fill=—","Direction=H","UseDPDF=Y")</f>
        <v>0</v>
      </c>
      <c r="Y28" s="13">
        <f>_xll.BDH("ALNY US Equity","IS_DISCONTINUED_OPERATIONS","FQ4 2024","FQ4 2024","Currency=USD","Period=FQ","BEST_FPERIOD_OVERRIDE=FQ","FILING_STATUS=MR","SCALING_FORMAT=MLN","Sort=A","Dates=H","DateFormat=P","Fill=—","Direction=H","UseDPDF=Y")</f>
        <v>0</v>
      </c>
      <c r="Z28" s="13"/>
      <c r="AA28" s="13"/>
    </row>
    <row r="29" spans="1:27" x14ac:dyDescent="0.25">
      <c r="A29" s="10" t="s">
        <v>353</v>
      </c>
      <c r="B29" s="10" t="s">
        <v>354</v>
      </c>
      <c r="C29" s="13">
        <f>_xll.BDH("ALNY US Equity","EXTRAORD_ITEMS_ACCOUNTING_CHANGS","FQ2 2019","FQ2 2019","Currency=USD","Period=FQ","BEST_FPERIOD_OVERRIDE=FQ","FILING_STATUS=MR","SCALING_FORMAT=MLN","Sort=A","Dates=H","DateFormat=P","Fill=—","Direction=H","UseDPDF=Y")</f>
        <v>0</v>
      </c>
      <c r="D29" s="13">
        <f>_xll.BDH("ALNY US Equity","EXTRAORD_ITEMS_ACCOUNTING_CHANGS","FQ3 2019","FQ3 2019","Currency=USD","Period=FQ","BEST_FPERIOD_OVERRIDE=FQ","FILING_STATUS=MR","SCALING_FORMAT=MLN","Sort=A","Dates=H","DateFormat=P","Fill=—","Direction=H","UseDPDF=Y")</f>
        <v>0</v>
      </c>
      <c r="E29" s="13">
        <f>_xll.BDH("ALNY US Equity","EXTRAORD_ITEMS_ACCOUNTING_CHANGS","FQ4 2019","FQ4 2019","Currency=USD","Period=FQ","BEST_FPERIOD_OVERRIDE=FQ","FILING_STATUS=MR","SCALING_FORMAT=MLN","Sort=A","Dates=H","DateFormat=P","Fill=—","Direction=H","UseDPDF=Y")</f>
        <v>0</v>
      </c>
      <c r="F29" s="13">
        <f>_xll.BDH("ALNY US Equity","EXTRAORD_ITEMS_ACCOUNTING_CHANGS","FQ1 2020","FQ1 2020","Currency=USD","Period=FQ","BEST_FPERIOD_OVERRIDE=FQ","FILING_STATUS=MR","SCALING_FORMAT=MLN","Sort=A","Dates=H","DateFormat=P","Fill=—","Direction=H","UseDPDF=Y")</f>
        <v>0</v>
      </c>
      <c r="G29" s="13">
        <f>_xll.BDH("ALNY US Equity","EXTRAORD_ITEMS_ACCOUNTING_CHANGS","FQ2 2020","FQ2 2020","Currency=USD","Period=FQ","BEST_FPERIOD_OVERRIDE=FQ","FILING_STATUS=MR","SCALING_FORMAT=MLN","Sort=A","Dates=H","DateFormat=P","Fill=—","Direction=H","UseDPDF=Y")</f>
        <v>0</v>
      </c>
      <c r="H29" s="13">
        <f>_xll.BDH("ALNY US Equity","EXTRAORD_ITEMS_ACCOUNTING_CHANGS","FQ3 2020","FQ3 2020","Currency=USD","Period=FQ","BEST_FPERIOD_OVERRIDE=FQ","FILING_STATUS=MR","SCALING_FORMAT=MLN","Sort=A","Dates=H","DateFormat=P","Fill=—","Direction=H","UseDPDF=Y")</f>
        <v>0</v>
      </c>
      <c r="I29" s="13">
        <f>_xll.BDH("ALNY US Equity","EXTRAORD_ITEMS_ACCOUNTING_CHANGS","FQ4 2020","FQ4 2020","Currency=USD","Period=FQ","BEST_FPERIOD_OVERRIDE=FQ","FILING_STATUS=MR","SCALING_FORMAT=MLN","Sort=A","Dates=H","DateFormat=P","Fill=—","Direction=H","UseDPDF=Y")</f>
        <v>0</v>
      </c>
      <c r="J29" s="13">
        <f>_xll.BDH("ALNY US Equity","EXTRAORD_ITEMS_ACCOUNTING_CHANGS","FQ1 2021","FQ1 2021","Currency=USD","Period=FQ","BEST_FPERIOD_OVERRIDE=FQ","FILING_STATUS=MR","SCALING_FORMAT=MLN","Sort=A","Dates=H","DateFormat=P","Fill=—","Direction=H","UseDPDF=Y")</f>
        <v>0</v>
      </c>
      <c r="K29" s="13">
        <f>_xll.BDH("ALNY US Equity","EXTRAORD_ITEMS_ACCOUNTING_CHANGS","FQ2 2021","FQ2 2021","Currency=USD","Period=FQ","BEST_FPERIOD_OVERRIDE=FQ","FILING_STATUS=MR","SCALING_FORMAT=MLN","Sort=A","Dates=H","DateFormat=P","Fill=—","Direction=H","UseDPDF=Y")</f>
        <v>0</v>
      </c>
      <c r="L29" s="13">
        <f>_xll.BDH("ALNY US Equity","EXTRAORD_ITEMS_ACCOUNTING_CHANGS","FQ3 2021","FQ3 2021","Currency=USD","Period=FQ","BEST_FPERIOD_OVERRIDE=FQ","FILING_STATUS=MR","SCALING_FORMAT=MLN","Sort=A","Dates=H","DateFormat=P","Fill=—","Direction=H","UseDPDF=Y")</f>
        <v>0</v>
      </c>
      <c r="M29" s="13">
        <f>_xll.BDH("ALNY US Equity","EXTRAORD_ITEMS_ACCOUNTING_CHANGS","FQ4 2021","FQ4 2021","Currency=USD","Period=FQ","BEST_FPERIOD_OVERRIDE=FQ","FILING_STATUS=MR","SCALING_FORMAT=MLN","Sort=A","Dates=H","DateFormat=P","Fill=—","Direction=H","UseDPDF=Y")</f>
        <v>0</v>
      </c>
      <c r="N29" s="13">
        <f>_xll.BDH("ALNY US Equity","EXTRAORD_ITEMS_ACCOUNTING_CHANGS","FQ1 2022","FQ1 2022","Currency=USD","Period=FQ","BEST_FPERIOD_OVERRIDE=FQ","FILING_STATUS=MR","SCALING_FORMAT=MLN","Sort=A","Dates=H","DateFormat=P","Fill=—","Direction=H","UseDPDF=Y")</f>
        <v>0</v>
      </c>
      <c r="O29" s="13">
        <f>_xll.BDH("ALNY US Equity","EXTRAORD_ITEMS_ACCOUNTING_CHANGS","FQ2 2022","FQ2 2022","Currency=USD","Period=FQ","BEST_FPERIOD_OVERRIDE=FQ","FILING_STATUS=MR","SCALING_FORMAT=MLN","Sort=A","Dates=H","DateFormat=P","Fill=—","Direction=H","UseDPDF=Y")</f>
        <v>0</v>
      </c>
      <c r="P29" s="13">
        <f>_xll.BDH("ALNY US Equity","EXTRAORD_ITEMS_ACCOUNTING_CHANGS","FQ3 2022","FQ3 2022","Currency=USD","Period=FQ","BEST_FPERIOD_OVERRIDE=FQ","FILING_STATUS=MR","SCALING_FORMAT=MLN","Sort=A","Dates=H","DateFormat=P","Fill=—","Direction=H","UseDPDF=Y")</f>
        <v>0</v>
      </c>
      <c r="Q29" s="13">
        <f>_xll.BDH("ALNY US Equity","EXTRAORD_ITEMS_ACCOUNTING_CHANGS","FQ4 2022","FQ4 2022","Currency=USD","Period=FQ","BEST_FPERIOD_OVERRIDE=FQ","FILING_STATUS=MR","SCALING_FORMAT=MLN","Sort=A","Dates=H","DateFormat=P","Fill=—","Direction=H","UseDPDF=Y")</f>
        <v>0</v>
      </c>
      <c r="R29" s="13">
        <f>_xll.BDH("ALNY US Equity","EXTRAORD_ITEMS_ACCOUNTING_CHANGS","FQ1 2023","FQ1 2023","Currency=USD","Period=FQ","BEST_FPERIOD_OVERRIDE=FQ","FILING_STATUS=MR","SCALING_FORMAT=MLN","Sort=A","Dates=H","DateFormat=P","Fill=—","Direction=H","UseDPDF=Y")</f>
        <v>0</v>
      </c>
      <c r="S29" s="13">
        <f>_xll.BDH("ALNY US Equity","EXTRAORD_ITEMS_ACCOUNTING_CHANGS","FQ2 2023","FQ2 2023","Currency=USD","Period=FQ","BEST_FPERIOD_OVERRIDE=FQ","FILING_STATUS=MR","SCALING_FORMAT=MLN","Sort=A","Dates=H","DateFormat=P","Fill=—","Direction=H","UseDPDF=Y")</f>
        <v>0</v>
      </c>
      <c r="T29" s="13">
        <f>_xll.BDH("ALNY US Equity","EXTRAORD_ITEMS_ACCOUNTING_CHANGS","FQ3 2023","FQ3 2023","Currency=USD","Period=FQ","BEST_FPERIOD_OVERRIDE=FQ","FILING_STATUS=MR","SCALING_FORMAT=MLN","Sort=A","Dates=H","DateFormat=P","Fill=—","Direction=H","UseDPDF=Y")</f>
        <v>0</v>
      </c>
      <c r="U29" s="13">
        <f>_xll.BDH("ALNY US Equity","EXTRAORD_ITEMS_ACCOUNTING_CHANGS","FQ4 2023","FQ4 2023","Currency=USD","Period=FQ","BEST_FPERIOD_OVERRIDE=FQ","FILING_STATUS=MR","SCALING_FORMAT=MLN","Sort=A","Dates=H","DateFormat=P","Fill=—","Direction=H","UseDPDF=Y")</f>
        <v>0</v>
      </c>
      <c r="V29" s="13">
        <f>_xll.BDH("ALNY US Equity","EXTRAORD_ITEMS_ACCOUNTING_CHANGS","FQ1 2024","FQ1 2024","Currency=USD","Period=FQ","BEST_FPERIOD_OVERRIDE=FQ","FILING_STATUS=MR","SCALING_FORMAT=MLN","Sort=A","Dates=H","DateFormat=P","Fill=—","Direction=H","UseDPDF=Y")</f>
        <v>0</v>
      </c>
      <c r="W29" s="13">
        <f>_xll.BDH("ALNY US Equity","EXTRAORD_ITEMS_ACCOUNTING_CHANGS","FQ2 2024","FQ2 2024","Currency=USD","Period=FQ","BEST_FPERIOD_OVERRIDE=FQ","FILING_STATUS=MR","SCALING_FORMAT=MLN","Sort=A","Dates=H","DateFormat=P","Fill=—","Direction=H","UseDPDF=Y")</f>
        <v>0</v>
      </c>
      <c r="X29" s="13">
        <f>_xll.BDH("ALNY US Equity","EXTRAORD_ITEMS_ACCOUNTING_CHANGS","FQ3 2024","FQ3 2024","Currency=USD","Period=FQ","BEST_FPERIOD_OVERRIDE=FQ","FILING_STATUS=MR","SCALING_FORMAT=MLN","Sort=A","Dates=H","DateFormat=P","Fill=—","Direction=H","UseDPDF=Y")</f>
        <v>0</v>
      </c>
      <c r="Y29" s="13">
        <f>_xll.BDH("ALNY US Equity","EXTRAORD_ITEMS_ACCOUNTING_CHANGS","FQ4 2024","FQ4 2024","Currency=USD","Period=FQ","BEST_FPERIOD_OVERRIDE=FQ","FILING_STATUS=MR","SCALING_FORMAT=MLN","Sort=A","Dates=H","DateFormat=P","Fill=—","Direction=H","UseDPDF=Y")</f>
        <v>0</v>
      </c>
      <c r="Z29" s="13"/>
      <c r="AA29" s="13"/>
    </row>
    <row r="30" spans="1:27" x14ac:dyDescent="0.25">
      <c r="A30" s="6" t="s">
        <v>355</v>
      </c>
      <c r="B30" s="6" t="s">
        <v>356</v>
      </c>
      <c r="C30" s="19">
        <f>_xll.BDH("ALNY US Equity","NI_INCLUDING_MINORITY_INT_RATIO","FQ2 2019","FQ2 2019","Currency=USD","Period=FQ","BEST_FPERIOD_OVERRIDE=FQ","FILING_STATUS=MR","SCALING_FORMAT=MLN","FA_ADJUSTED=GAAP","Sort=A","Dates=H","DateFormat=P","Fill=—","Direction=H","UseDPDF=Y")</f>
        <v>-219.48099999999999</v>
      </c>
      <c r="D30" s="19">
        <f>_xll.BDH("ALNY US Equity","NI_INCLUDING_MINORITY_INT_RATIO","FQ3 2019","FQ3 2019","Currency=USD","Period=FQ","BEST_FPERIOD_OVERRIDE=FQ","FILING_STATUS=MR","SCALING_FORMAT=MLN","FA_ADJUSTED=GAAP","Sort=A","Dates=H","DateFormat=P","Fill=—","Direction=H","UseDPDF=Y")</f>
        <v>-208.535</v>
      </c>
      <c r="E30" s="19">
        <f>_xll.BDH("ALNY US Equity","NI_INCLUDING_MINORITY_INT_RATIO","FQ4 2019","FQ4 2019","Currency=USD","Period=FQ","BEST_FPERIOD_OVERRIDE=FQ","FILING_STATUS=MR","SCALING_FORMAT=MLN","FA_ADJUSTED=GAAP","Sort=A","Dates=H","DateFormat=P","Fill=—","Direction=H","UseDPDF=Y")</f>
        <v>-276.185</v>
      </c>
      <c r="F30" s="19">
        <f>_xll.BDH("ALNY US Equity","NI_INCLUDING_MINORITY_INT_RATIO","FQ1 2020","FQ1 2020","Currency=USD","Period=FQ","BEST_FPERIOD_OVERRIDE=FQ","FILING_STATUS=MR","SCALING_FORMAT=MLN","FA_ADJUSTED=GAAP","Sort=A","Dates=H","DateFormat=P","Fill=—","Direction=H","UseDPDF=Y")</f>
        <v>-182.221</v>
      </c>
      <c r="G30" s="19">
        <f>_xll.BDH("ALNY US Equity","NI_INCLUDING_MINORITY_INT_RATIO","FQ2 2020","FQ2 2020","Currency=USD","Period=FQ","BEST_FPERIOD_OVERRIDE=FQ","FILING_STATUS=MR","SCALING_FORMAT=MLN","FA_ADJUSTED=GAAP","Sort=A","Dates=H","DateFormat=P","Fill=—","Direction=H","UseDPDF=Y")</f>
        <v>-179.22900000000001</v>
      </c>
      <c r="H30" s="19">
        <f>_xll.BDH("ALNY US Equity","NI_INCLUDING_MINORITY_INT_RATIO","FQ3 2020","FQ3 2020","Currency=USD","Period=FQ","BEST_FPERIOD_OVERRIDE=FQ","FILING_STATUS=MR","SCALING_FORMAT=MLN","FA_ADJUSTED=GAAP","Sort=A","Dates=H","DateFormat=P","Fill=—","Direction=H","UseDPDF=Y")</f>
        <v>-253.291</v>
      </c>
      <c r="I30" s="19">
        <f>_xll.BDH("ALNY US Equity","NI_INCLUDING_MINORITY_INT_RATIO","FQ4 2020","FQ4 2020","Currency=USD","Period=FQ","BEST_FPERIOD_OVERRIDE=FQ","FILING_STATUS=MR","SCALING_FORMAT=MLN","FA_ADJUSTED=GAAP","Sort=A","Dates=H","DateFormat=P","Fill=—","Direction=H","UseDPDF=Y")</f>
        <v>-243.54</v>
      </c>
      <c r="J30" s="19">
        <f>_xll.BDH("ALNY US Equity","NI_INCLUDING_MINORITY_INT_RATIO","FQ1 2021","FQ1 2021","Currency=USD","Period=FQ","BEST_FPERIOD_OVERRIDE=FQ","FILING_STATUS=MR","SCALING_FORMAT=MLN","FA_ADJUSTED=GAAP","Sort=A","Dates=H","DateFormat=P","Fill=—","Direction=H","UseDPDF=Y")</f>
        <v>-200.291</v>
      </c>
      <c r="K30" s="19">
        <f>_xll.BDH("ALNY US Equity","NI_INCLUDING_MINORITY_INT_RATIO","FQ2 2021","FQ2 2021","Currency=USD","Period=FQ","BEST_FPERIOD_OVERRIDE=FQ","FILING_STATUS=MR","SCALING_FORMAT=MLN","FA_ADJUSTED=GAAP","Sort=A","Dates=H","DateFormat=P","Fill=—","Direction=H","UseDPDF=Y")</f>
        <v>-189.559</v>
      </c>
      <c r="L30" s="19">
        <f>_xll.BDH("ALNY US Equity","NI_INCLUDING_MINORITY_INT_RATIO","FQ3 2021","FQ3 2021","Currency=USD","Period=FQ","BEST_FPERIOD_OVERRIDE=FQ","FILING_STATUS=MR","SCALING_FORMAT=MLN","FA_ADJUSTED=GAAP","Sort=A","Dates=H","DateFormat=P","Fill=—","Direction=H","UseDPDF=Y")</f>
        <v>-204.51400000000001</v>
      </c>
      <c r="M30" s="19">
        <f>_xll.BDH("ALNY US Equity","NI_INCLUDING_MINORITY_INT_RATIO","FQ4 2021","FQ4 2021","Currency=USD","Period=FQ","BEST_FPERIOD_OVERRIDE=FQ","FILING_STATUS=MR","SCALING_FORMAT=MLN","FA_ADJUSTED=GAAP","Sort=A","Dates=H","DateFormat=P","Fill=—","Direction=H","UseDPDF=Y")</f>
        <v>-258.45999999999998</v>
      </c>
      <c r="N30" s="19">
        <f>_xll.BDH("ALNY US Equity","NI_INCLUDING_MINORITY_INT_RATIO","FQ1 2022","FQ1 2022","Currency=USD","Period=FQ","BEST_FPERIOD_OVERRIDE=FQ","FILING_STATUS=MR","SCALING_FORMAT=MLN","FA_ADJUSTED=GAAP","Sort=A","Dates=H","DateFormat=P","Fill=—","Direction=H","UseDPDF=Y")</f>
        <v>-240.34100000000001</v>
      </c>
      <c r="O30" s="19">
        <f>_xll.BDH("ALNY US Equity","NI_INCLUDING_MINORITY_INT_RATIO","FQ2 2022","FQ2 2022","Currency=USD","Period=FQ","BEST_FPERIOD_OVERRIDE=FQ","FILING_STATUS=MR","SCALING_FORMAT=MLN","FA_ADJUSTED=GAAP","Sort=A","Dates=H","DateFormat=P","Fill=—","Direction=H","UseDPDF=Y")</f>
        <v>-277.40199999999999</v>
      </c>
      <c r="P30" s="19">
        <f>_xll.BDH("ALNY US Equity","NI_INCLUDING_MINORITY_INT_RATIO","FQ3 2022","FQ3 2022","Currency=USD","Period=FQ","BEST_FPERIOD_OVERRIDE=FQ","FILING_STATUS=MR","SCALING_FORMAT=MLN","FA_ADJUSTED=GAAP","Sort=A","Dates=H","DateFormat=P","Fill=—","Direction=H","UseDPDF=Y")</f>
        <v>-405.92</v>
      </c>
      <c r="Q30" s="19">
        <f>_xll.BDH("ALNY US Equity","NI_INCLUDING_MINORITY_INT_RATIO","FQ4 2022","FQ4 2022","Currency=USD","Period=FQ","BEST_FPERIOD_OVERRIDE=FQ","FILING_STATUS=MR","SCALING_FORMAT=MLN","FA_ADJUSTED=GAAP","Sort=A","Dates=H","DateFormat=P","Fill=—","Direction=H","UseDPDF=Y")</f>
        <v>-207.49299999999999</v>
      </c>
      <c r="R30" s="19">
        <f>_xll.BDH("ALNY US Equity","NI_INCLUDING_MINORITY_INT_RATIO","FQ1 2023","FQ1 2023","Currency=USD","Period=FQ","BEST_FPERIOD_OVERRIDE=FQ","FILING_STATUS=MR","SCALING_FORMAT=MLN","FA_ADJUSTED=GAAP","Sort=A","Dates=H","DateFormat=P","Fill=—","Direction=H","UseDPDF=Y")</f>
        <v>-174.101</v>
      </c>
      <c r="S30" s="19">
        <f>_xll.BDH("ALNY US Equity","NI_INCLUDING_MINORITY_INT_RATIO","FQ2 2023","FQ2 2023","Currency=USD","Period=FQ","BEST_FPERIOD_OVERRIDE=FQ","FILING_STATUS=MR","SCALING_FORMAT=MLN","FA_ADJUSTED=GAAP","Sort=A","Dates=H","DateFormat=P","Fill=—","Direction=H","UseDPDF=Y")</f>
        <v>-276.024</v>
      </c>
      <c r="T30" s="19">
        <f>_xll.BDH("ALNY US Equity","NI_INCLUDING_MINORITY_INT_RATIO","FQ3 2023","FQ3 2023","Currency=USD","Period=FQ","BEST_FPERIOD_OVERRIDE=FQ","FILING_STATUS=MR","SCALING_FORMAT=MLN","FA_ADJUSTED=GAAP","Sort=A","Dates=H","DateFormat=P","Fill=—","Direction=H","UseDPDF=Y")</f>
        <v>147.75299999999999</v>
      </c>
      <c r="U30" s="19">
        <f>_xll.BDH("ALNY US Equity","NI_INCLUDING_MINORITY_INT_RATIO","FQ4 2023","FQ4 2023","Currency=USD","Period=FQ","BEST_FPERIOD_OVERRIDE=FQ","FILING_STATUS=MR","SCALING_FORMAT=MLN","FA_ADJUSTED=GAAP","Sort=A","Dates=H","DateFormat=P","Fill=—","Direction=H","UseDPDF=Y")</f>
        <v>-137.87</v>
      </c>
      <c r="V30" s="19">
        <f>_xll.BDH("ALNY US Equity","NI_INCLUDING_MINORITY_INT_RATIO","FQ1 2024","FQ1 2024","Currency=USD","Period=FQ","BEST_FPERIOD_OVERRIDE=FQ","FILING_STATUS=MR","SCALING_FORMAT=MLN","FA_ADJUSTED=GAAP","Sort=A","Dates=H","DateFormat=P","Fill=—","Direction=H","UseDPDF=Y")</f>
        <v>-65.935000000000002</v>
      </c>
      <c r="W30" s="19">
        <f>_xll.BDH("ALNY US Equity","NI_INCLUDING_MINORITY_INT_RATIO","FQ2 2024","FQ2 2024","Currency=USD","Period=FQ","BEST_FPERIOD_OVERRIDE=FQ","FILING_STATUS=MR","SCALING_FORMAT=MLN","FA_ADJUSTED=GAAP","Sort=A","Dates=H","DateFormat=P","Fill=—","Direction=H","UseDPDF=Y")</f>
        <v>-16.888999999999999</v>
      </c>
      <c r="X30" s="19">
        <f>_xll.BDH("ALNY US Equity","NI_INCLUDING_MINORITY_INT_RATIO","FQ3 2024","FQ3 2024","Currency=USD","Period=FQ","BEST_FPERIOD_OVERRIDE=FQ","FILING_STATUS=MR","SCALING_FORMAT=MLN","FA_ADJUSTED=GAAP","Sort=A","Dates=H","DateFormat=P","Fill=—","Direction=H","UseDPDF=Y")</f>
        <v>-111.57</v>
      </c>
      <c r="Y30" s="19">
        <f>_xll.BDH("ALNY US Equity","NI_INCLUDING_MINORITY_INT_RATIO","FQ4 2024","FQ4 2024","Currency=USD","Period=FQ","BEST_FPERIOD_OVERRIDE=FQ","FILING_STATUS=MR","SCALING_FORMAT=MLN","FA_ADJUSTED=GAAP","Sort=A","Dates=H","DateFormat=P","Fill=—","Direction=H","UseDPDF=Y")</f>
        <v>-83.763000000000005</v>
      </c>
      <c r="Z30" s="19"/>
      <c r="AA30" s="19"/>
    </row>
    <row r="31" spans="1:27" x14ac:dyDescent="0.25">
      <c r="A31" s="10" t="s">
        <v>357</v>
      </c>
      <c r="B31" s="10" t="s">
        <v>358</v>
      </c>
      <c r="C31" s="13">
        <f>_xll.BDH("ALNY US Equity","MIN_NONCONTROL_INTEREST_CREDITS","FQ2 2019","FQ2 2019","Currency=USD","Period=FQ","BEST_FPERIOD_OVERRIDE=FQ","FILING_STATUS=MR","SCALING_FORMAT=MLN","FA_ADJUSTED=GAAP","Sort=A","Dates=H","DateFormat=P","Fill=—","Direction=H","UseDPDF=Y")</f>
        <v>0</v>
      </c>
      <c r="D31" s="13">
        <f>_xll.BDH("ALNY US Equity","MIN_NONCONTROL_INTEREST_CREDITS","FQ3 2019","FQ3 2019","Currency=USD","Period=FQ","BEST_FPERIOD_OVERRIDE=FQ","FILING_STATUS=MR","SCALING_FORMAT=MLN","FA_ADJUSTED=GAAP","Sort=A","Dates=H","DateFormat=P","Fill=—","Direction=H","UseDPDF=Y")</f>
        <v>0</v>
      </c>
      <c r="E31" s="13">
        <f>_xll.BDH("ALNY US Equity","MIN_NONCONTROL_INTEREST_CREDITS","FQ4 2019","FQ4 2019","Currency=USD","Period=FQ","BEST_FPERIOD_OVERRIDE=FQ","FILING_STATUS=MR","SCALING_FORMAT=MLN","FA_ADJUSTED=GAAP","Sort=A","Dates=H","DateFormat=P","Fill=—","Direction=H","UseDPDF=Y")</f>
        <v>0</v>
      </c>
      <c r="F31" s="13">
        <f>_xll.BDH("ALNY US Equity","MIN_NONCONTROL_INTEREST_CREDITS","FQ1 2020","FQ1 2020","Currency=USD","Period=FQ","BEST_FPERIOD_OVERRIDE=FQ","FILING_STATUS=MR","SCALING_FORMAT=MLN","FA_ADJUSTED=GAAP","Sort=A","Dates=H","DateFormat=P","Fill=—","Direction=H","UseDPDF=Y")</f>
        <v>0</v>
      </c>
      <c r="G31" s="13">
        <f>_xll.BDH("ALNY US Equity","MIN_NONCONTROL_INTEREST_CREDITS","FQ2 2020","FQ2 2020","Currency=USD","Period=FQ","BEST_FPERIOD_OVERRIDE=FQ","FILING_STATUS=MR","SCALING_FORMAT=MLN","FA_ADJUSTED=GAAP","Sort=A","Dates=H","DateFormat=P","Fill=—","Direction=H","UseDPDF=Y")</f>
        <v>0</v>
      </c>
      <c r="H31" s="13">
        <f>_xll.BDH("ALNY US Equity","MIN_NONCONTROL_INTEREST_CREDITS","FQ3 2020","FQ3 2020","Currency=USD","Period=FQ","BEST_FPERIOD_OVERRIDE=FQ","FILING_STATUS=MR","SCALING_FORMAT=MLN","FA_ADJUSTED=GAAP","Sort=A","Dates=H","DateFormat=P","Fill=—","Direction=H","UseDPDF=Y")</f>
        <v>0</v>
      </c>
      <c r="I31" s="13">
        <f>_xll.BDH("ALNY US Equity","MIN_NONCONTROL_INTEREST_CREDITS","FQ4 2020","FQ4 2020","Currency=USD","Period=FQ","BEST_FPERIOD_OVERRIDE=FQ","FILING_STATUS=MR","SCALING_FORMAT=MLN","FA_ADJUSTED=GAAP","Sort=A","Dates=H","DateFormat=P","Fill=—","Direction=H","UseDPDF=Y")</f>
        <v>0</v>
      </c>
      <c r="J31" s="13">
        <f>_xll.BDH("ALNY US Equity","MIN_NONCONTROL_INTEREST_CREDITS","FQ1 2021","FQ1 2021","Currency=USD","Period=FQ","BEST_FPERIOD_OVERRIDE=FQ","FILING_STATUS=MR","SCALING_FORMAT=MLN","FA_ADJUSTED=GAAP","Sort=A","Dates=H","DateFormat=P","Fill=—","Direction=H","UseDPDF=Y")</f>
        <v>0</v>
      </c>
      <c r="K31" s="13">
        <f>_xll.BDH("ALNY US Equity","MIN_NONCONTROL_INTEREST_CREDITS","FQ2 2021","FQ2 2021","Currency=USD","Period=FQ","BEST_FPERIOD_OVERRIDE=FQ","FILING_STATUS=MR","SCALING_FORMAT=MLN","FA_ADJUSTED=GAAP","Sort=A","Dates=H","DateFormat=P","Fill=—","Direction=H","UseDPDF=Y")</f>
        <v>0</v>
      </c>
      <c r="L31" s="13">
        <f>_xll.BDH("ALNY US Equity","MIN_NONCONTROL_INTEREST_CREDITS","FQ3 2021","FQ3 2021","Currency=USD","Period=FQ","BEST_FPERIOD_OVERRIDE=FQ","FILING_STATUS=MR","SCALING_FORMAT=MLN","FA_ADJUSTED=GAAP","Sort=A","Dates=H","DateFormat=P","Fill=—","Direction=H","UseDPDF=Y")</f>
        <v>0</v>
      </c>
      <c r="M31" s="13">
        <f>_xll.BDH("ALNY US Equity","MIN_NONCONTROL_INTEREST_CREDITS","FQ4 2021","FQ4 2021","Currency=USD","Period=FQ","BEST_FPERIOD_OVERRIDE=FQ","FILING_STATUS=MR","SCALING_FORMAT=MLN","FA_ADJUSTED=GAAP","Sort=A","Dates=H","DateFormat=P","Fill=—","Direction=H","UseDPDF=Y")</f>
        <v>0</v>
      </c>
      <c r="N31" s="13">
        <f>_xll.BDH("ALNY US Equity","MIN_NONCONTROL_INTEREST_CREDITS","FQ1 2022","FQ1 2022","Currency=USD","Period=FQ","BEST_FPERIOD_OVERRIDE=FQ","FILING_STATUS=MR","SCALING_FORMAT=MLN","FA_ADJUSTED=GAAP","Sort=A","Dates=H","DateFormat=P","Fill=—","Direction=H","UseDPDF=Y")</f>
        <v>0</v>
      </c>
      <c r="O31" s="13">
        <f>_xll.BDH("ALNY US Equity","MIN_NONCONTROL_INTEREST_CREDITS","FQ2 2022","FQ2 2022","Currency=USD","Period=FQ","BEST_FPERIOD_OVERRIDE=FQ","FILING_STATUS=MR","SCALING_FORMAT=MLN","FA_ADJUSTED=GAAP","Sort=A","Dates=H","DateFormat=P","Fill=—","Direction=H","UseDPDF=Y")</f>
        <v>0</v>
      </c>
      <c r="P31" s="13">
        <f>_xll.BDH("ALNY US Equity","MIN_NONCONTROL_INTEREST_CREDITS","FQ3 2022","FQ3 2022","Currency=USD","Period=FQ","BEST_FPERIOD_OVERRIDE=FQ","FILING_STATUS=MR","SCALING_FORMAT=MLN","FA_ADJUSTED=GAAP","Sort=A","Dates=H","DateFormat=P","Fill=—","Direction=H","UseDPDF=Y")</f>
        <v>0</v>
      </c>
      <c r="Q31" s="13">
        <f>_xll.BDH("ALNY US Equity","MIN_NONCONTROL_INTEREST_CREDITS","FQ4 2022","FQ4 2022","Currency=USD","Period=FQ","BEST_FPERIOD_OVERRIDE=FQ","FILING_STATUS=MR","SCALING_FORMAT=MLN","FA_ADJUSTED=GAAP","Sort=A","Dates=H","DateFormat=P","Fill=—","Direction=H","UseDPDF=Y")</f>
        <v>0</v>
      </c>
      <c r="R31" s="13">
        <f>_xll.BDH("ALNY US Equity","MIN_NONCONTROL_INTEREST_CREDITS","FQ1 2023","FQ1 2023","Currency=USD","Period=FQ","BEST_FPERIOD_OVERRIDE=FQ","FILING_STATUS=MR","SCALING_FORMAT=MLN","FA_ADJUSTED=GAAP","Sort=A","Dates=H","DateFormat=P","Fill=—","Direction=H","UseDPDF=Y")</f>
        <v>0</v>
      </c>
      <c r="S31" s="13">
        <f>_xll.BDH("ALNY US Equity","MIN_NONCONTROL_INTEREST_CREDITS","FQ2 2023","FQ2 2023","Currency=USD","Period=FQ","BEST_FPERIOD_OVERRIDE=FQ","FILING_STATUS=MR","SCALING_FORMAT=MLN","FA_ADJUSTED=GAAP","Sort=A","Dates=H","DateFormat=P","Fill=—","Direction=H","UseDPDF=Y")</f>
        <v>0</v>
      </c>
      <c r="T31" s="13">
        <f>_xll.BDH("ALNY US Equity","MIN_NONCONTROL_INTEREST_CREDITS","FQ3 2023","FQ3 2023","Currency=USD","Period=FQ","BEST_FPERIOD_OVERRIDE=FQ","FILING_STATUS=MR","SCALING_FORMAT=MLN","FA_ADJUSTED=GAAP","Sort=A","Dates=H","DateFormat=P","Fill=—","Direction=H","UseDPDF=Y")</f>
        <v>0</v>
      </c>
      <c r="U31" s="13">
        <f>_xll.BDH("ALNY US Equity","MIN_NONCONTROL_INTEREST_CREDITS","FQ4 2023","FQ4 2023","Currency=USD","Period=FQ","BEST_FPERIOD_OVERRIDE=FQ","FILING_STATUS=MR","SCALING_FORMAT=MLN","FA_ADJUSTED=GAAP","Sort=A","Dates=H","DateFormat=P","Fill=—","Direction=H","UseDPDF=Y")</f>
        <v>0</v>
      </c>
      <c r="V31" s="13">
        <f>_xll.BDH("ALNY US Equity","MIN_NONCONTROL_INTEREST_CREDITS","FQ1 2024","FQ1 2024","Currency=USD","Period=FQ","BEST_FPERIOD_OVERRIDE=FQ","FILING_STATUS=MR","SCALING_FORMAT=MLN","FA_ADJUSTED=GAAP","Sort=A","Dates=H","DateFormat=P","Fill=—","Direction=H","UseDPDF=Y")</f>
        <v>0</v>
      </c>
      <c r="W31" s="13">
        <f>_xll.BDH("ALNY US Equity","MIN_NONCONTROL_INTEREST_CREDITS","FQ2 2024","FQ2 2024","Currency=USD","Period=FQ","BEST_FPERIOD_OVERRIDE=FQ","FILING_STATUS=MR","SCALING_FORMAT=MLN","FA_ADJUSTED=GAAP","Sort=A","Dates=H","DateFormat=P","Fill=—","Direction=H","UseDPDF=Y")</f>
        <v>0</v>
      </c>
      <c r="X31" s="13">
        <f>_xll.BDH("ALNY US Equity","MIN_NONCONTROL_INTEREST_CREDITS","FQ3 2024","FQ3 2024","Currency=USD","Period=FQ","BEST_FPERIOD_OVERRIDE=FQ","FILING_STATUS=MR","SCALING_FORMAT=MLN","FA_ADJUSTED=GAAP","Sort=A","Dates=H","DateFormat=P","Fill=—","Direction=H","UseDPDF=Y")</f>
        <v>0</v>
      </c>
      <c r="Y31" s="13">
        <f>_xll.BDH("ALNY US Equity","MIN_NONCONTROL_INTEREST_CREDITS","FQ4 2024","FQ4 2024","Currency=USD","Period=FQ","BEST_FPERIOD_OVERRIDE=FQ","FILING_STATUS=MR","SCALING_FORMAT=MLN","FA_ADJUSTED=GAAP","Sort=A","Dates=H","DateFormat=P","Fill=—","Direction=H","UseDPDF=Y")</f>
        <v>0</v>
      </c>
      <c r="Z31" s="13"/>
      <c r="AA31" s="13"/>
    </row>
    <row r="32" spans="1:27" x14ac:dyDescent="0.25">
      <c r="A32" s="6" t="s">
        <v>359</v>
      </c>
      <c r="B32" s="6" t="s">
        <v>360</v>
      </c>
      <c r="C32" s="19">
        <f>_xll.BDH("ALNY US Equity","NET_INCOME","FQ2 2019","FQ2 2019","Currency=USD","Period=FQ","BEST_FPERIOD_OVERRIDE=FQ","FILING_STATUS=MR","SCALING_FORMAT=MLN","FA_ADJUSTED=GAAP","Sort=A","Dates=H","DateFormat=P","Fill=—","Direction=H","UseDPDF=Y")</f>
        <v>-219.48099999999999</v>
      </c>
      <c r="D32" s="19">
        <f>_xll.BDH("ALNY US Equity","NET_INCOME","FQ3 2019","FQ3 2019","Currency=USD","Period=FQ","BEST_FPERIOD_OVERRIDE=FQ","FILING_STATUS=MR","SCALING_FORMAT=MLN","FA_ADJUSTED=GAAP","Sort=A","Dates=H","DateFormat=P","Fill=—","Direction=H","UseDPDF=Y")</f>
        <v>-208.535</v>
      </c>
      <c r="E32" s="19">
        <f>_xll.BDH("ALNY US Equity","NET_INCOME","FQ4 2019","FQ4 2019","Currency=USD","Period=FQ","BEST_FPERIOD_OVERRIDE=FQ","FILING_STATUS=MR","SCALING_FORMAT=MLN","FA_ADJUSTED=GAAP","Sort=A","Dates=H","DateFormat=P","Fill=—","Direction=H","UseDPDF=Y")</f>
        <v>-276.185</v>
      </c>
      <c r="F32" s="19">
        <f>_xll.BDH("ALNY US Equity","NET_INCOME","FQ1 2020","FQ1 2020","Currency=USD","Period=FQ","BEST_FPERIOD_OVERRIDE=FQ","FILING_STATUS=MR","SCALING_FORMAT=MLN","FA_ADJUSTED=GAAP","Sort=A","Dates=H","DateFormat=P","Fill=—","Direction=H","UseDPDF=Y")</f>
        <v>-182.221</v>
      </c>
      <c r="G32" s="19">
        <f>_xll.BDH("ALNY US Equity","NET_INCOME","FQ2 2020","FQ2 2020","Currency=USD","Period=FQ","BEST_FPERIOD_OVERRIDE=FQ","FILING_STATUS=MR","SCALING_FORMAT=MLN","FA_ADJUSTED=GAAP","Sort=A","Dates=H","DateFormat=P","Fill=—","Direction=H","UseDPDF=Y")</f>
        <v>-179.22900000000001</v>
      </c>
      <c r="H32" s="19">
        <f>_xll.BDH("ALNY US Equity","NET_INCOME","FQ3 2020","FQ3 2020","Currency=USD","Period=FQ","BEST_FPERIOD_OVERRIDE=FQ","FILING_STATUS=MR","SCALING_FORMAT=MLN","FA_ADJUSTED=GAAP","Sort=A","Dates=H","DateFormat=P","Fill=—","Direction=H","UseDPDF=Y")</f>
        <v>-253.291</v>
      </c>
      <c r="I32" s="19">
        <f>_xll.BDH("ALNY US Equity","NET_INCOME","FQ4 2020","FQ4 2020","Currency=USD","Period=FQ","BEST_FPERIOD_OVERRIDE=FQ","FILING_STATUS=MR","SCALING_FORMAT=MLN","FA_ADJUSTED=GAAP","Sort=A","Dates=H","DateFormat=P","Fill=—","Direction=H","UseDPDF=Y")</f>
        <v>-243.54</v>
      </c>
      <c r="J32" s="19">
        <f>_xll.BDH("ALNY US Equity","NET_INCOME","FQ1 2021","FQ1 2021","Currency=USD","Period=FQ","BEST_FPERIOD_OVERRIDE=FQ","FILING_STATUS=MR","SCALING_FORMAT=MLN","FA_ADJUSTED=GAAP","Sort=A","Dates=H","DateFormat=P","Fill=—","Direction=H","UseDPDF=Y")</f>
        <v>-200.291</v>
      </c>
      <c r="K32" s="19">
        <f>_xll.BDH("ALNY US Equity","NET_INCOME","FQ2 2021","FQ2 2021","Currency=USD","Period=FQ","BEST_FPERIOD_OVERRIDE=FQ","FILING_STATUS=MR","SCALING_FORMAT=MLN","FA_ADJUSTED=GAAP","Sort=A","Dates=H","DateFormat=P","Fill=—","Direction=H","UseDPDF=Y")</f>
        <v>-189.559</v>
      </c>
      <c r="L32" s="19">
        <f>_xll.BDH("ALNY US Equity","NET_INCOME","FQ3 2021","FQ3 2021","Currency=USD","Period=FQ","BEST_FPERIOD_OVERRIDE=FQ","FILING_STATUS=MR","SCALING_FORMAT=MLN","FA_ADJUSTED=GAAP","Sort=A","Dates=H","DateFormat=P","Fill=—","Direction=H","UseDPDF=Y")</f>
        <v>-204.51400000000001</v>
      </c>
      <c r="M32" s="19">
        <f>_xll.BDH("ALNY US Equity","NET_INCOME","FQ4 2021","FQ4 2021","Currency=USD","Period=FQ","BEST_FPERIOD_OVERRIDE=FQ","FILING_STATUS=MR","SCALING_FORMAT=MLN","FA_ADJUSTED=GAAP","Sort=A","Dates=H","DateFormat=P","Fill=—","Direction=H","UseDPDF=Y")</f>
        <v>-258.45999999999998</v>
      </c>
      <c r="N32" s="19">
        <f>_xll.BDH("ALNY US Equity","NET_INCOME","FQ1 2022","FQ1 2022","Currency=USD","Period=FQ","BEST_FPERIOD_OVERRIDE=FQ","FILING_STATUS=MR","SCALING_FORMAT=MLN","FA_ADJUSTED=GAAP","Sort=A","Dates=H","DateFormat=P","Fill=—","Direction=H","UseDPDF=Y")</f>
        <v>-240.34100000000001</v>
      </c>
      <c r="O32" s="19">
        <f>_xll.BDH("ALNY US Equity","NET_INCOME","FQ2 2022","FQ2 2022","Currency=USD","Period=FQ","BEST_FPERIOD_OVERRIDE=FQ","FILING_STATUS=MR","SCALING_FORMAT=MLN","FA_ADJUSTED=GAAP","Sort=A","Dates=H","DateFormat=P","Fill=—","Direction=H","UseDPDF=Y")</f>
        <v>-277.40199999999999</v>
      </c>
      <c r="P32" s="19">
        <f>_xll.BDH("ALNY US Equity","NET_INCOME","FQ3 2022","FQ3 2022","Currency=USD","Period=FQ","BEST_FPERIOD_OVERRIDE=FQ","FILING_STATUS=MR","SCALING_FORMAT=MLN","FA_ADJUSTED=GAAP","Sort=A","Dates=H","DateFormat=P","Fill=—","Direction=H","UseDPDF=Y")</f>
        <v>-405.92</v>
      </c>
      <c r="Q32" s="19">
        <f>_xll.BDH("ALNY US Equity","NET_INCOME","FQ4 2022","FQ4 2022","Currency=USD","Period=FQ","BEST_FPERIOD_OVERRIDE=FQ","FILING_STATUS=MR","SCALING_FORMAT=MLN","FA_ADJUSTED=GAAP","Sort=A","Dates=H","DateFormat=P","Fill=—","Direction=H","UseDPDF=Y")</f>
        <v>-207.49299999999999</v>
      </c>
      <c r="R32" s="19">
        <f>_xll.BDH("ALNY US Equity","NET_INCOME","FQ1 2023","FQ1 2023","Currency=USD","Period=FQ","BEST_FPERIOD_OVERRIDE=FQ","FILING_STATUS=MR","SCALING_FORMAT=MLN","FA_ADJUSTED=GAAP","Sort=A","Dates=H","DateFormat=P","Fill=—","Direction=H","UseDPDF=Y")</f>
        <v>-174.101</v>
      </c>
      <c r="S32" s="19">
        <f>_xll.BDH("ALNY US Equity","NET_INCOME","FQ2 2023","FQ2 2023","Currency=USD","Period=FQ","BEST_FPERIOD_OVERRIDE=FQ","FILING_STATUS=MR","SCALING_FORMAT=MLN","FA_ADJUSTED=GAAP","Sort=A","Dates=H","DateFormat=P","Fill=—","Direction=H","UseDPDF=Y")</f>
        <v>-276.024</v>
      </c>
      <c r="T32" s="19">
        <f>_xll.BDH("ALNY US Equity","NET_INCOME","FQ3 2023","FQ3 2023","Currency=USD","Period=FQ","BEST_FPERIOD_OVERRIDE=FQ","FILING_STATUS=MR","SCALING_FORMAT=MLN","FA_ADJUSTED=GAAP","Sort=A","Dates=H","DateFormat=P","Fill=—","Direction=H","UseDPDF=Y")</f>
        <v>147.75299999999999</v>
      </c>
      <c r="U32" s="19">
        <f>_xll.BDH("ALNY US Equity","NET_INCOME","FQ4 2023","FQ4 2023","Currency=USD","Period=FQ","BEST_FPERIOD_OVERRIDE=FQ","FILING_STATUS=MR","SCALING_FORMAT=MLN","FA_ADJUSTED=GAAP","Sort=A","Dates=H","DateFormat=P","Fill=—","Direction=H","UseDPDF=Y")</f>
        <v>-137.87</v>
      </c>
      <c r="V32" s="19">
        <f>_xll.BDH("ALNY US Equity","NET_INCOME","FQ1 2024","FQ1 2024","Currency=USD","Period=FQ","BEST_FPERIOD_OVERRIDE=FQ","FILING_STATUS=MR","SCALING_FORMAT=MLN","FA_ADJUSTED=GAAP","Sort=A","Dates=H","DateFormat=P","Fill=—","Direction=H","UseDPDF=Y")</f>
        <v>-65.935000000000002</v>
      </c>
      <c r="W32" s="19">
        <f>_xll.BDH("ALNY US Equity","NET_INCOME","FQ2 2024","FQ2 2024","Currency=USD","Period=FQ","BEST_FPERIOD_OVERRIDE=FQ","FILING_STATUS=MR","SCALING_FORMAT=MLN","FA_ADJUSTED=GAAP","Sort=A","Dates=H","DateFormat=P","Fill=—","Direction=H","UseDPDF=Y")</f>
        <v>-16.888999999999999</v>
      </c>
      <c r="X32" s="19">
        <f>_xll.BDH("ALNY US Equity","NET_INCOME","FQ3 2024","FQ3 2024","Currency=USD","Period=FQ","BEST_FPERIOD_OVERRIDE=FQ","FILING_STATUS=MR","SCALING_FORMAT=MLN","FA_ADJUSTED=GAAP","Sort=A","Dates=H","DateFormat=P","Fill=—","Direction=H","UseDPDF=Y")</f>
        <v>-111.57</v>
      </c>
      <c r="Y32" s="19">
        <f>_xll.BDH("ALNY US Equity","NET_INCOME","FQ4 2024","FQ4 2024","Currency=USD","Period=FQ","BEST_FPERIOD_OVERRIDE=FQ","FILING_STATUS=MR","SCALING_FORMAT=MLN","FA_ADJUSTED=GAAP","Sort=A","Dates=H","DateFormat=P","Fill=—","Direction=H","UseDPDF=Y")</f>
        <v>-83.763000000000005</v>
      </c>
      <c r="Z32" s="19">
        <v>-123.455</v>
      </c>
      <c r="AA32" s="19">
        <v>-122.946</v>
      </c>
    </row>
    <row r="33" spans="1:27" x14ac:dyDescent="0.25">
      <c r="A33" s="10" t="s">
        <v>361</v>
      </c>
      <c r="B33" s="10" t="s">
        <v>362</v>
      </c>
      <c r="C33" s="13">
        <f>_xll.BDH("ALNY US Equity","IS_TOT_CASH_PFD_DVD","FQ2 2019","FQ2 2019","Currency=USD","Period=FQ","BEST_FPERIOD_OVERRIDE=FQ","FILING_STATUS=MR","SCALING_FORMAT=MLN","Sort=A","Dates=H","DateFormat=P","Fill=—","Direction=H","UseDPDF=Y")</f>
        <v>0</v>
      </c>
      <c r="D33" s="13">
        <f>_xll.BDH("ALNY US Equity","IS_TOT_CASH_PFD_DVD","FQ3 2019","FQ3 2019","Currency=USD","Period=FQ","BEST_FPERIOD_OVERRIDE=FQ","FILING_STATUS=MR","SCALING_FORMAT=MLN","Sort=A","Dates=H","DateFormat=P","Fill=—","Direction=H","UseDPDF=Y")</f>
        <v>0</v>
      </c>
      <c r="E33" s="13">
        <f>_xll.BDH("ALNY US Equity","IS_TOT_CASH_PFD_DVD","FQ4 2019","FQ4 2019","Currency=USD","Period=FQ","BEST_FPERIOD_OVERRIDE=FQ","FILING_STATUS=MR","SCALING_FORMAT=MLN","Sort=A","Dates=H","DateFormat=P","Fill=—","Direction=H","UseDPDF=Y")</f>
        <v>0</v>
      </c>
      <c r="F33" s="13">
        <f>_xll.BDH("ALNY US Equity","IS_TOT_CASH_PFD_DVD","FQ1 2020","FQ1 2020","Currency=USD","Period=FQ","BEST_FPERIOD_OVERRIDE=FQ","FILING_STATUS=MR","SCALING_FORMAT=MLN","Sort=A","Dates=H","DateFormat=P","Fill=—","Direction=H","UseDPDF=Y")</f>
        <v>0</v>
      </c>
      <c r="G33" s="13">
        <f>_xll.BDH("ALNY US Equity","IS_TOT_CASH_PFD_DVD","FQ2 2020","FQ2 2020","Currency=USD","Period=FQ","BEST_FPERIOD_OVERRIDE=FQ","FILING_STATUS=MR","SCALING_FORMAT=MLN","Sort=A","Dates=H","DateFormat=P","Fill=—","Direction=H","UseDPDF=Y")</f>
        <v>0</v>
      </c>
      <c r="H33" s="13">
        <f>_xll.BDH("ALNY US Equity","IS_TOT_CASH_PFD_DVD","FQ3 2020","FQ3 2020","Currency=USD","Period=FQ","BEST_FPERIOD_OVERRIDE=FQ","FILING_STATUS=MR","SCALING_FORMAT=MLN","Sort=A","Dates=H","DateFormat=P","Fill=—","Direction=H","UseDPDF=Y")</f>
        <v>0</v>
      </c>
      <c r="I33" s="13">
        <f>_xll.BDH("ALNY US Equity","IS_TOT_CASH_PFD_DVD","FQ4 2020","FQ4 2020","Currency=USD","Period=FQ","BEST_FPERIOD_OVERRIDE=FQ","FILING_STATUS=MR","SCALING_FORMAT=MLN","Sort=A","Dates=H","DateFormat=P","Fill=—","Direction=H","UseDPDF=Y")</f>
        <v>0</v>
      </c>
      <c r="J33" s="13">
        <f>_xll.BDH("ALNY US Equity","IS_TOT_CASH_PFD_DVD","FQ1 2021","FQ1 2021","Currency=USD","Period=FQ","BEST_FPERIOD_OVERRIDE=FQ","FILING_STATUS=MR","SCALING_FORMAT=MLN","Sort=A","Dates=H","DateFormat=P","Fill=—","Direction=H","UseDPDF=Y")</f>
        <v>0</v>
      </c>
      <c r="K33" s="13">
        <f>_xll.BDH("ALNY US Equity","IS_TOT_CASH_PFD_DVD","FQ2 2021","FQ2 2021","Currency=USD","Period=FQ","BEST_FPERIOD_OVERRIDE=FQ","FILING_STATUS=MR","SCALING_FORMAT=MLN","Sort=A","Dates=H","DateFormat=P","Fill=—","Direction=H","UseDPDF=Y")</f>
        <v>0</v>
      </c>
      <c r="L33" s="13">
        <f>_xll.BDH("ALNY US Equity","IS_TOT_CASH_PFD_DVD","FQ3 2021","FQ3 2021","Currency=USD","Period=FQ","BEST_FPERIOD_OVERRIDE=FQ","FILING_STATUS=MR","SCALING_FORMAT=MLN","Sort=A","Dates=H","DateFormat=P","Fill=—","Direction=H","UseDPDF=Y")</f>
        <v>0</v>
      </c>
      <c r="M33" s="13">
        <f>_xll.BDH("ALNY US Equity","IS_TOT_CASH_PFD_DVD","FQ4 2021","FQ4 2021","Currency=USD","Period=FQ","BEST_FPERIOD_OVERRIDE=FQ","FILING_STATUS=MR","SCALING_FORMAT=MLN","Sort=A","Dates=H","DateFormat=P","Fill=—","Direction=H","UseDPDF=Y")</f>
        <v>0</v>
      </c>
      <c r="N33" s="13">
        <f>_xll.BDH("ALNY US Equity","IS_TOT_CASH_PFD_DVD","FQ1 2022","FQ1 2022","Currency=USD","Period=FQ","BEST_FPERIOD_OVERRIDE=FQ","FILING_STATUS=MR","SCALING_FORMAT=MLN","Sort=A","Dates=H","DateFormat=P","Fill=—","Direction=H","UseDPDF=Y")</f>
        <v>0</v>
      </c>
      <c r="O33" s="13">
        <f>_xll.BDH("ALNY US Equity","IS_TOT_CASH_PFD_DVD","FQ2 2022","FQ2 2022","Currency=USD","Period=FQ","BEST_FPERIOD_OVERRIDE=FQ","FILING_STATUS=MR","SCALING_FORMAT=MLN","Sort=A","Dates=H","DateFormat=P","Fill=—","Direction=H","UseDPDF=Y")</f>
        <v>0</v>
      </c>
      <c r="P33" s="13">
        <f>_xll.BDH("ALNY US Equity","IS_TOT_CASH_PFD_DVD","FQ3 2022","FQ3 2022","Currency=USD","Period=FQ","BEST_FPERIOD_OVERRIDE=FQ","FILING_STATUS=MR","SCALING_FORMAT=MLN","Sort=A","Dates=H","DateFormat=P","Fill=—","Direction=H","UseDPDF=Y")</f>
        <v>0</v>
      </c>
      <c r="Q33" s="13">
        <f>_xll.BDH("ALNY US Equity","IS_TOT_CASH_PFD_DVD","FQ4 2022","FQ4 2022","Currency=USD","Period=FQ","BEST_FPERIOD_OVERRIDE=FQ","FILING_STATUS=MR","SCALING_FORMAT=MLN","Sort=A","Dates=H","DateFormat=P","Fill=—","Direction=H","UseDPDF=Y")</f>
        <v>0</v>
      </c>
      <c r="R33" s="13">
        <f>_xll.BDH("ALNY US Equity","IS_TOT_CASH_PFD_DVD","FQ1 2023","FQ1 2023","Currency=USD","Period=FQ","BEST_FPERIOD_OVERRIDE=FQ","FILING_STATUS=MR","SCALING_FORMAT=MLN","Sort=A","Dates=H","DateFormat=P","Fill=—","Direction=H","UseDPDF=Y")</f>
        <v>0</v>
      </c>
      <c r="S33" s="13">
        <f>_xll.BDH("ALNY US Equity","IS_TOT_CASH_PFD_DVD","FQ2 2023","FQ2 2023","Currency=USD","Period=FQ","BEST_FPERIOD_OVERRIDE=FQ","FILING_STATUS=MR","SCALING_FORMAT=MLN","Sort=A","Dates=H","DateFormat=P","Fill=—","Direction=H","UseDPDF=Y")</f>
        <v>0</v>
      </c>
      <c r="T33" s="13">
        <f>_xll.BDH("ALNY US Equity","IS_TOT_CASH_PFD_DVD","FQ3 2023","FQ3 2023","Currency=USD","Period=FQ","BEST_FPERIOD_OVERRIDE=FQ","FILING_STATUS=MR","SCALING_FORMAT=MLN","Sort=A","Dates=H","DateFormat=P","Fill=—","Direction=H","UseDPDF=Y")</f>
        <v>0</v>
      </c>
      <c r="U33" s="13">
        <f>_xll.BDH("ALNY US Equity","IS_TOT_CASH_PFD_DVD","FQ4 2023","FQ4 2023","Currency=USD","Period=FQ","BEST_FPERIOD_OVERRIDE=FQ","FILING_STATUS=MR","SCALING_FORMAT=MLN","Sort=A","Dates=H","DateFormat=P","Fill=—","Direction=H","UseDPDF=Y")</f>
        <v>0</v>
      </c>
      <c r="V33" s="13">
        <f>_xll.BDH("ALNY US Equity","IS_TOT_CASH_PFD_DVD","FQ1 2024","FQ1 2024","Currency=USD","Period=FQ","BEST_FPERIOD_OVERRIDE=FQ","FILING_STATUS=MR","SCALING_FORMAT=MLN","Sort=A","Dates=H","DateFormat=P","Fill=—","Direction=H","UseDPDF=Y")</f>
        <v>0</v>
      </c>
      <c r="W33" s="13">
        <f>_xll.BDH("ALNY US Equity","IS_TOT_CASH_PFD_DVD","FQ2 2024","FQ2 2024","Currency=USD","Period=FQ","BEST_FPERIOD_OVERRIDE=FQ","FILING_STATUS=MR","SCALING_FORMAT=MLN","Sort=A","Dates=H","DateFormat=P","Fill=—","Direction=H","UseDPDF=Y")</f>
        <v>0</v>
      </c>
      <c r="X33" s="13">
        <f>_xll.BDH("ALNY US Equity","IS_TOT_CASH_PFD_DVD","FQ3 2024","FQ3 2024","Currency=USD","Period=FQ","BEST_FPERIOD_OVERRIDE=FQ","FILING_STATUS=MR","SCALING_FORMAT=MLN","Sort=A","Dates=H","DateFormat=P","Fill=—","Direction=H","UseDPDF=Y")</f>
        <v>0</v>
      </c>
      <c r="Y33" s="13">
        <f>_xll.BDH("ALNY US Equity","IS_TOT_CASH_PFD_DVD","FQ4 2024","FQ4 2024","Currency=USD","Period=FQ","BEST_FPERIOD_OVERRIDE=FQ","FILING_STATUS=MR","SCALING_FORMAT=MLN","Sort=A","Dates=H","DateFormat=P","Fill=—","Direction=H","UseDPDF=Y")</f>
        <v>0</v>
      </c>
      <c r="Z33" s="13"/>
      <c r="AA33" s="13"/>
    </row>
    <row r="34" spans="1:27" x14ac:dyDescent="0.25">
      <c r="A34" s="10" t="s">
        <v>363</v>
      </c>
      <c r="B34" s="10" t="s">
        <v>364</v>
      </c>
      <c r="C34" s="13">
        <f>_xll.BDH("ALNY US Equity","OTHER_ADJUSTMENTS","FQ2 2019","FQ2 2019","Currency=USD","Period=FQ","BEST_FPERIOD_OVERRIDE=FQ","FILING_STATUS=MR","SCALING_FORMAT=MLN","Sort=A","Dates=H","DateFormat=P","Fill=—","Direction=H","UseDPDF=Y")</f>
        <v>0</v>
      </c>
      <c r="D34" s="13">
        <f>_xll.BDH("ALNY US Equity","OTHER_ADJUSTMENTS","FQ3 2019","FQ3 2019","Currency=USD","Period=FQ","BEST_FPERIOD_OVERRIDE=FQ","FILING_STATUS=MR","SCALING_FORMAT=MLN","Sort=A","Dates=H","DateFormat=P","Fill=—","Direction=H","UseDPDF=Y")</f>
        <v>0</v>
      </c>
      <c r="E34" s="13">
        <f>_xll.BDH("ALNY US Equity","OTHER_ADJUSTMENTS","FQ4 2019","FQ4 2019","Currency=USD","Period=FQ","BEST_FPERIOD_OVERRIDE=FQ","FILING_STATUS=MR","SCALING_FORMAT=MLN","Sort=A","Dates=H","DateFormat=P","Fill=—","Direction=H","UseDPDF=Y")</f>
        <v>0</v>
      </c>
      <c r="F34" s="13">
        <f>_xll.BDH("ALNY US Equity","OTHER_ADJUSTMENTS","FQ1 2020","FQ1 2020","Currency=USD","Period=FQ","BEST_FPERIOD_OVERRIDE=FQ","FILING_STATUS=MR","SCALING_FORMAT=MLN","Sort=A","Dates=H","DateFormat=P","Fill=—","Direction=H","UseDPDF=Y")</f>
        <v>0</v>
      </c>
      <c r="G34" s="13">
        <f>_xll.BDH("ALNY US Equity","OTHER_ADJUSTMENTS","FQ2 2020","FQ2 2020","Currency=USD","Period=FQ","BEST_FPERIOD_OVERRIDE=FQ","FILING_STATUS=MR","SCALING_FORMAT=MLN","Sort=A","Dates=H","DateFormat=P","Fill=—","Direction=H","UseDPDF=Y")</f>
        <v>0</v>
      </c>
      <c r="H34" s="13">
        <f>_xll.BDH("ALNY US Equity","OTHER_ADJUSTMENTS","FQ3 2020","FQ3 2020","Currency=USD","Period=FQ","BEST_FPERIOD_OVERRIDE=FQ","FILING_STATUS=MR","SCALING_FORMAT=MLN","Sort=A","Dates=H","DateFormat=P","Fill=—","Direction=H","UseDPDF=Y")</f>
        <v>0</v>
      </c>
      <c r="I34" s="13">
        <f>_xll.BDH("ALNY US Equity","OTHER_ADJUSTMENTS","FQ4 2020","FQ4 2020","Currency=USD","Period=FQ","BEST_FPERIOD_OVERRIDE=FQ","FILING_STATUS=MR","SCALING_FORMAT=MLN","Sort=A","Dates=H","DateFormat=P","Fill=—","Direction=H","UseDPDF=Y")</f>
        <v>0</v>
      </c>
      <c r="J34" s="13">
        <f>_xll.BDH("ALNY US Equity","OTHER_ADJUSTMENTS","FQ1 2021","FQ1 2021","Currency=USD","Period=FQ","BEST_FPERIOD_OVERRIDE=FQ","FILING_STATUS=MR","SCALING_FORMAT=MLN","Sort=A","Dates=H","DateFormat=P","Fill=—","Direction=H","UseDPDF=Y")</f>
        <v>0</v>
      </c>
      <c r="K34" s="13">
        <f>_xll.BDH("ALNY US Equity","OTHER_ADJUSTMENTS","FQ2 2021","FQ2 2021","Currency=USD","Period=FQ","BEST_FPERIOD_OVERRIDE=FQ","FILING_STATUS=MR","SCALING_FORMAT=MLN","Sort=A","Dates=H","DateFormat=P","Fill=—","Direction=H","UseDPDF=Y")</f>
        <v>0</v>
      </c>
      <c r="L34" s="13">
        <f>_xll.BDH("ALNY US Equity","OTHER_ADJUSTMENTS","FQ3 2021","FQ3 2021","Currency=USD","Period=FQ","BEST_FPERIOD_OVERRIDE=FQ","FILING_STATUS=MR","SCALING_FORMAT=MLN","Sort=A","Dates=H","DateFormat=P","Fill=—","Direction=H","UseDPDF=Y")</f>
        <v>0</v>
      </c>
      <c r="M34" s="13">
        <f>_xll.BDH("ALNY US Equity","OTHER_ADJUSTMENTS","FQ4 2021","FQ4 2021","Currency=USD","Period=FQ","BEST_FPERIOD_OVERRIDE=FQ","FILING_STATUS=MR","SCALING_FORMAT=MLN","Sort=A","Dates=H","DateFormat=P","Fill=—","Direction=H","UseDPDF=Y")</f>
        <v>0</v>
      </c>
      <c r="N34" s="13">
        <f>_xll.BDH("ALNY US Equity","OTHER_ADJUSTMENTS","FQ1 2022","FQ1 2022","Currency=USD","Period=FQ","BEST_FPERIOD_OVERRIDE=FQ","FILING_STATUS=MR","SCALING_FORMAT=MLN","Sort=A","Dates=H","DateFormat=P","Fill=—","Direction=H","UseDPDF=Y")</f>
        <v>0</v>
      </c>
      <c r="O34" s="13">
        <f>_xll.BDH("ALNY US Equity","OTHER_ADJUSTMENTS","FQ2 2022","FQ2 2022","Currency=USD","Period=FQ","BEST_FPERIOD_OVERRIDE=FQ","FILING_STATUS=MR","SCALING_FORMAT=MLN","Sort=A","Dates=H","DateFormat=P","Fill=—","Direction=H","UseDPDF=Y")</f>
        <v>0</v>
      </c>
      <c r="P34" s="13">
        <f>_xll.BDH("ALNY US Equity","OTHER_ADJUSTMENTS","FQ3 2022","FQ3 2022","Currency=USD","Period=FQ","BEST_FPERIOD_OVERRIDE=FQ","FILING_STATUS=MR","SCALING_FORMAT=MLN","Sort=A","Dates=H","DateFormat=P","Fill=—","Direction=H","UseDPDF=Y")</f>
        <v>0</v>
      </c>
      <c r="Q34" s="13">
        <f>_xll.BDH("ALNY US Equity","OTHER_ADJUSTMENTS","FQ4 2022","FQ4 2022","Currency=USD","Period=FQ","BEST_FPERIOD_OVERRIDE=FQ","FILING_STATUS=MR","SCALING_FORMAT=MLN","Sort=A","Dates=H","DateFormat=P","Fill=—","Direction=H","UseDPDF=Y")</f>
        <v>0</v>
      </c>
      <c r="R34" s="13">
        <f>_xll.BDH("ALNY US Equity","OTHER_ADJUSTMENTS","FQ1 2023","FQ1 2023","Currency=USD","Period=FQ","BEST_FPERIOD_OVERRIDE=FQ","FILING_STATUS=MR","SCALING_FORMAT=MLN","Sort=A","Dates=H","DateFormat=P","Fill=—","Direction=H","UseDPDF=Y")</f>
        <v>0</v>
      </c>
      <c r="S34" s="13">
        <f>_xll.BDH("ALNY US Equity","OTHER_ADJUSTMENTS","FQ2 2023","FQ2 2023","Currency=USD","Period=FQ","BEST_FPERIOD_OVERRIDE=FQ","FILING_STATUS=MR","SCALING_FORMAT=MLN","Sort=A","Dates=H","DateFormat=P","Fill=—","Direction=H","UseDPDF=Y")</f>
        <v>0</v>
      </c>
      <c r="T34" s="13">
        <f>_xll.BDH("ALNY US Equity","OTHER_ADJUSTMENTS","FQ3 2023","FQ3 2023","Currency=USD","Period=FQ","BEST_FPERIOD_OVERRIDE=FQ","FILING_STATUS=MR","SCALING_FORMAT=MLN","Sort=A","Dates=H","DateFormat=P","Fill=—","Direction=H","UseDPDF=Y")</f>
        <v>0</v>
      </c>
      <c r="U34" s="13">
        <f>_xll.BDH("ALNY US Equity","OTHER_ADJUSTMENTS","FQ4 2023","FQ4 2023","Currency=USD","Period=FQ","BEST_FPERIOD_OVERRIDE=FQ","FILING_STATUS=MR","SCALING_FORMAT=MLN","Sort=A","Dates=H","DateFormat=P","Fill=—","Direction=H","UseDPDF=Y")</f>
        <v>0</v>
      </c>
      <c r="V34" s="13">
        <f>_xll.BDH("ALNY US Equity","OTHER_ADJUSTMENTS","FQ1 2024","FQ1 2024","Currency=USD","Period=FQ","BEST_FPERIOD_OVERRIDE=FQ","FILING_STATUS=MR","SCALING_FORMAT=MLN","Sort=A","Dates=H","DateFormat=P","Fill=—","Direction=H","UseDPDF=Y")</f>
        <v>0</v>
      </c>
      <c r="W34" s="13">
        <f>_xll.BDH("ALNY US Equity","OTHER_ADJUSTMENTS","FQ2 2024","FQ2 2024","Currency=USD","Period=FQ","BEST_FPERIOD_OVERRIDE=FQ","FILING_STATUS=MR","SCALING_FORMAT=MLN","Sort=A","Dates=H","DateFormat=P","Fill=—","Direction=H","UseDPDF=Y")</f>
        <v>0</v>
      </c>
      <c r="X34" s="13">
        <f>_xll.BDH("ALNY US Equity","OTHER_ADJUSTMENTS","FQ3 2024","FQ3 2024","Currency=USD","Period=FQ","BEST_FPERIOD_OVERRIDE=FQ","FILING_STATUS=MR","SCALING_FORMAT=MLN","Sort=A","Dates=H","DateFormat=P","Fill=—","Direction=H","UseDPDF=Y")</f>
        <v>0</v>
      </c>
      <c r="Y34" s="13">
        <f>_xll.BDH("ALNY US Equity","OTHER_ADJUSTMENTS","FQ4 2024","FQ4 2024","Currency=USD","Period=FQ","BEST_FPERIOD_OVERRIDE=FQ","FILING_STATUS=MR","SCALING_FORMAT=MLN","Sort=A","Dates=H","DateFormat=P","Fill=—","Direction=H","UseDPDF=Y")</f>
        <v>0</v>
      </c>
      <c r="Z34" s="13"/>
      <c r="AA34" s="13"/>
    </row>
    <row r="35" spans="1:27" x14ac:dyDescent="0.25">
      <c r="A35" s="6" t="s">
        <v>365</v>
      </c>
      <c r="B35" s="6" t="s">
        <v>80</v>
      </c>
      <c r="C35" s="19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D35" s="19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E35" s="19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F35" s="19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G35" s="19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H35" s="19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I35" s="19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J35" s="19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K35" s="19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L35" s="19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M35" s="19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N35" s="19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O35" s="19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P35" s="19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Q35" s="19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R35" s="19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S35" s="19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T35" s="19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U35" s="19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V35" s="19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W35" s="19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X35" s="19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Y35" s="19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  <c r="Z35" s="19">
        <v>-123.455</v>
      </c>
      <c r="AA35" s="19">
        <v>-122.946</v>
      </c>
    </row>
    <row r="36" spans="1:27" x14ac:dyDescent="0.25">
      <c r="A36" s="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5">
      <c r="A37" s="6" t="s">
        <v>366</v>
      </c>
      <c r="B37" s="6" t="s">
        <v>80</v>
      </c>
      <c r="C37" s="19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D37" s="19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E37" s="19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F37" s="19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G37" s="19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H37" s="19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I37" s="19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J37" s="19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K37" s="19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L37" s="19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M37" s="19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N37" s="19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O37" s="19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P37" s="19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Q37" s="19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R37" s="19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S37" s="19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T37" s="19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U37" s="19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V37" s="19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W37" s="19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X37" s="19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Y37" s="19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  <c r="Z37" s="19">
        <v>-31.765000000000001</v>
      </c>
      <c r="AA37" s="19">
        <v>-29.167999999999999</v>
      </c>
    </row>
    <row r="38" spans="1:27" x14ac:dyDescent="0.25">
      <c r="A38" s="10" t="s">
        <v>367</v>
      </c>
      <c r="B38" s="10" t="s">
        <v>368</v>
      </c>
      <c r="C38" s="13">
        <f>_xll.BDH("ALNY US Equity","IS_NET_ABNORMAL_ITEMS","FQ2 2019","FQ2 2019","Currency=USD","Period=FQ","BEST_FPERIOD_OVERRIDE=FQ","FILING_STATUS=MR","SCALING_FORMAT=MLN","Sort=A","Dates=H","DateFormat=P","Fill=—","Direction=H","UseDPDF=Y")</f>
        <v>-9.4220000000000006</v>
      </c>
      <c r="D38" s="13">
        <f>_xll.BDH("ALNY US Equity","IS_NET_ABNORMAL_ITEMS","FQ3 2019","FQ3 2019","Currency=USD","Period=FQ","BEST_FPERIOD_OVERRIDE=FQ","FILING_STATUS=MR","SCALING_FORMAT=MLN","Sort=A","Dates=H","DateFormat=P","Fill=—","Direction=H","UseDPDF=Y")</f>
        <v>0</v>
      </c>
      <c r="E38" s="13">
        <f>_xll.BDH("ALNY US Equity","IS_NET_ABNORMAL_ITEMS","FQ4 2019","FQ4 2019","Currency=USD","Period=FQ","BEST_FPERIOD_OVERRIDE=FQ","FILING_STATUS=MR","SCALING_FORMAT=MLN","Sort=A","Dates=H","DateFormat=P","Fill=—","Direction=H","UseDPDF=Y")</f>
        <v>-11.266999999999999</v>
      </c>
      <c r="F38" s="13">
        <f>_xll.BDH("ALNY US Equity","IS_NET_ABNORMAL_ITEMS","FQ1 2020","FQ1 2020","Currency=USD","Period=FQ","BEST_FPERIOD_OVERRIDE=FQ","FILING_STATUS=MR","SCALING_FORMAT=MLN","Sort=A","Dates=H","DateFormat=P","Fill=—","Direction=H","UseDPDF=Y")</f>
        <v>-24.111000000000001</v>
      </c>
      <c r="G38" s="13">
        <f>_xll.BDH("ALNY US Equity","IS_NET_ABNORMAL_ITEMS","FQ2 2020","FQ2 2020","Currency=USD","Period=FQ","BEST_FPERIOD_OVERRIDE=FQ","FILING_STATUS=MR","SCALING_FORMAT=MLN","Sort=A","Dates=H","DateFormat=P","Fill=—","Direction=H","UseDPDF=Y")</f>
        <v>-45.853999999999999</v>
      </c>
      <c r="H38" s="13">
        <f>_xll.BDH("ALNY US Equity","IS_NET_ABNORMAL_ITEMS","FQ3 2020","FQ3 2020","Currency=USD","Period=FQ","BEST_FPERIOD_OVERRIDE=FQ","FILING_STATUS=MR","SCALING_FORMAT=MLN","Sort=A","Dates=H","DateFormat=P","Fill=—","Direction=H","UseDPDF=Y")</f>
        <v>32.43</v>
      </c>
      <c r="I38" s="13">
        <f>_xll.BDH("ALNY US Equity","IS_NET_ABNORMAL_ITEMS","FQ4 2020","FQ4 2020","Currency=USD","Period=FQ","BEST_FPERIOD_OVERRIDE=FQ","FILING_STATUS=MR","SCALING_FORMAT=MLN","Sort=A","Dates=H","DateFormat=P","Fill=—","Direction=H","UseDPDF=Y")</f>
        <v>22.8</v>
      </c>
      <c r="J38" s="13">
        <f>_xll.BDH("ALNY US Equity","IS_NET_ABNORMAL_ITEMS","FQ1 2021","FQ1 2021","Currency=USD","Period=FQ","BEST_FPERIOD_OVERRIDE=FQ","FILING_STATUS=MR","SCALING_FORMAT=MLN","Sort=A","Dates=H","DateFormat=P","Fill=—","Direction=H","UseDPDF=Y")</f>
        <v>-47.015999999999998</v>
      </c>
      <c r="K38" s="13">
        <f>_xll.BDH("ALNY US Equity","IS_NET_ABNORMAL_ITEMS","FQ2 2021","FQ2 2021","Currency=USD","Period=FQ","BEST_FPERIOD_OVERRIDE=FQ","FILING_STATUS=MR","SCALING_FORMAT=MLN","Sort=A","Dates=H","DateFormat=P","Fill=—","Direction=H","UseDPDF=Y")</f>
        <v>4.4340000000000002</v>
      </c>
      <c r="L38" s="13">
        <f>_xll.BDH("ALNY US Equity","IS_NET_ABNORMAL_ITEMS","FQ3 2021","FQ3 2021","Currency=USD","Period=FQ","BEST_FPERIOD_OVERRIDE=FQ","FILING_STATUS=MR","SCALING_FORMAT=MLN","Sort=A","Dates=H","DateFormat=P","Fill=—","Direction=H","UseDPDF=Y")</f>
        <v>-8.6910000000000007</v>
      </c>
      <c r="M38" s="13">
        <f>_xll.BDH("ALNY US Equity","IS_NET_ABNORMAL_ITEMS","FQ4 2021","FQ4 2021","Currency=USD","Period=FQ","BEST_FPERIOD_OVERRIDE=FQ","FILING_STATUS=MR","SCALING_FORMAT=MLN","Sort=A","Dates=H","DateFormat=P","Fill=—","Direction=H","UseDPDF=Y")</f>
        <v>5.5780000000000003</v>
      </c>
      <c r="N38" s="13">
        <f>_xll.BDH("ALNY US Equity","IS_NET_ABNORMAL_ITEMS","FQ1 2022","FQ1 2022","Currency=USD","Period=FQ","BEST_FPERIOD_OVERRIDE=FQ","FILING_STATUS=MR","SCALING_FORMAT=MLN","Sort=A","Dates=H","DateFormat=P","Fill=—","Direction=H","UseDPDF=Y")</f>
        <v>31.161000000000001</v>
      </c>
      <c r="O38" s="13">
        <f>_xll.BDH("ALNY US Equity","IS_NET_ABNORMAL_ITEMS","FQ2 2022","FQ2 2022","Currency=USD","Period=FQ","BEST_FPERIOD_OVERRIDE=FQ","FILING_STATUS=MR","SCALING_FORMAT=MLN","Sort=A","Dates=H","DateFormat=P","Fill=—","Direction=H","UseDPDF=Y")</f>
        <v>1.097</v>
      </c>
      <c r="P38" s="13">
        <f>_xll.BDH("ALNY US Equity","IS_NET_ABNORMAL_ITEMS","FQ3 2022","FQ3 2022","Currency=USD","Period=FQ","BEST_FPERIOD_OVERRIDE=FQ","FILING_STATUS=MR","SCALING_FORMAT=MLN","Sort=A","Dates=H","DateFormat=P","Fill=—","Direction=H","UseDPDF=Y")</f>
        <v>84.436000000000007</v>
      </c>
      <c r="Q38" s="13">
        <f>_xll.BDH("ALNY US Equity","IS_NET_ABNORMAL_ITEMS","FQ4 2022","FQ4 2022","Currency=USD","Period=FQ","BEST_FPERIOD_OVERRIDE=FQ","FILING_STATUS=MR","SCALING_FORMAT=MLN","Sort=A","Dates=H","DateFormat=P","Fill=—","Direction=H","UseDPDF=Y")</f>
        <v>-6.7960000000000003</v>
      </c>
      <c r="R38" s="13">
        <f>_xll.BDH("ALNY US Equity","IS_NET_ABNORMAL_ITEMS","FQ1 2023","FQ1 2023","Currency=USD","Period=FQ","BEST_FPERIOD_OVERRIDE=FQ","FILING_STATUS=MR","SCALING_FORMAT=MLN","Sort=A","Dates=H","DateFormat=P","Fill=—","Direction=H","UseDPDF=Y")</f>
        <v>2.2669999999999999</v>
      </c>
      <c r="S38" s="13">
        <f>_xll.BDH("ALNY US Equity","IS_NET_ABNORMAL_ITEMS","FQ2 2023","FQ2 2023","Currency=USD","Period=FQ","BEST_FPERIOD_OVERRIDE=FQ","FILING_STATUS=MR","SCALING_FORMAT=MLN","Sort=A","Dates=H","DateFormat=P","Fill=—","Direction=H","UseDPDF=Y")</f>
        <v>-1.4</v>
      </c>
      <c r="T38" s="13">
        <f>_xll.BDH("ALNY US Equity","IS_NET_ABNORMAL_ITEMS","FQ3 2023","FQ3 2023","Currency=USD","Period=FQ","BEST_FPERIOD_OVERRIDE=FQ","FILING_STATUS=MR","SCALING_FORMAT=MLN","Sort=A","Dates=H","DateFormat=P","Fill=—","Direction=H","UseDPDF=Y")</f>
        <v>16.844000000000001</v>
      </c>
      <c r="U38" s="13">
        <f>_xll.BDH("ALNY US Equity","IS_NET_ABNORMAL_ITEMS","FQ4 2023","FQ4 2023","Currency=USD","Period=FQ","BEST_FPERIOD_OVERRIDE=FQ","FILING_STATUS=MR","SCALING_FORMAT=MLN","Sort=A","Dates=H","DateFormat=P","Fill=—","Direction=H","UseDPDF=Y")</f>
        <v>-0.76700000000000002</v>
      </c>
      <c r="V38" s="13">
        <f>_xll.BDH("ALNY US Equity","IS_NET_ABNORMAL_ITEMS","FQ1 2024","FQ1 2024","Currency=USD","Period=FQ","BEST_FPERIOD_OVERRIDE=FQ","FILING_STATUS=MR","SCALING_FORMAT=MLN","Sort=A","Dates=H","DateFormat=P","Fill=—","Direction=H","UseDPDF=Y")</f>
        <v>-7.8E-2</v>
      </c>
      <c r="W38" s="13">
        <f>_xll.BDH("ALNY US Equity","IS_NET_ABNORMAL_ITEMS","FQ2 2024","FQ2 2024","Currency=USD","Period=FQ","BEST_FPERIOD_OVERRIDE=FQ","FILING_STATUS=MR","SCALING_FORMAT=MLN","Sort=A","Dates=H","DateFormat=P","Fill=—","Direction=H","UseDPDF=Y")</f>
        <v>1.367</v>
      </c>
      <c r="X38" s="13">
        <f>_xll.BDH("ALNY US Equity","IS_NET_ABNORMAL_ITEMS","FQ3 2024","FQ3 2024","Currency=USD","Period=FQ","BEST_FPERIOD_OVERRIDE=FQ","FILING_STATUS=MR","SCALING_FORMAT=MLN","Sort=A","Dates=H","DateFormat=P","Fill=—","Direction=H","UseDPDF=Y")</f>
        <v>1.5669999999999999</v>
      </c>
      <c r="Y38" s="13">
        <f>_xll.BDH("ALNY US Equity","IS_NET_ABNORMAL_ITEMS","FQ4 2024","FQ4 2024","Currency=USD","Period=FQ","BEST_FPERIOD_OVERRIDE=FQ","FILING_STATUS=MR","SCALING_FORMAT=MLN","Sort=A","Dates=H","DateFormat=P","Fill=—","Direction=H","UseDPDF=Y")</f>
        <v>0.16600000000000001</v>
      </c>
      <c r="Z38" s="13"/>
      <c r="AA38" s="13"/>
    </row>
    <row r="39" spans="1:27" x14ac:dyDescent="0.25">
      <c r="A39" s="10" t="s">
        <v>369</v>
      </c>
      <c r="B39" s="10" t="s">
        <v>350</v>
      </c>
      <c r="C39" s="13">
        <f>_xll.BDH("ALNY US Equity","XO_GL_NET_OF_TAX","FQ2 2019","FQ2 2019","Currency=USD","Period=FQ","BEST_FPERIOD_OVERRIDE=FQ","FILING_STATUS=MR","SCALING_FORMAT=MLN","Sort=A","Dates=H","DateFormat=P","Fill=—","Direction=H","UseDPDF=Y")</f>
        <v>0</v>
      </c>
      <c r="D39" s="13">
        <f>_xll.BDH("ALNY US Equity","XO_GL_NET_OF_TAX","FQ3 2019","FQ3 2019","Currency=USD","Period=FQ","BEST_FPERIOD_OVERRIDE=FQ","FILING_STATUS=MR","SCALING_FORMAT=MLN","Sort=A","Dates=H","DateFormat=P","Fill=—","Direction=H","UseDPDF=Y")</f>
        <v>0</v>
      </c>
      <c r="E39" s="13">
        <f>_xll.BDH("ALNY US Equity","XO_GL_NET_OF_TAX","FQ4 2019","FQ4 2019","Currency=USD","Period=FQ","BEST_FPERIOD_OVERRIDE=FQ","FILING_STATUS=MR","SCALING_FORMAT=MLN","Sort=A","Dates=H","DateFormat=P","Fill=—","Direction=H","UseDPDF=Y")</f>
        <v>0</v>
      </c>
      <c r="F39" s="13">
        <f>_xll.BDH("ALNY US Equity","XO_GL_NET_OF_TAX","FQ1 2020","FQ1 2020","Currency=USD","Period=FQ","BEST_FPERIOD_OVERRIDE=FQ","FILING_STATUS=MR","SCALING_FORMAT=MLN","Sort=A","Dates=H","DateFormat=P","Fill=—","Direction=H","UseDPDF=Y")</f>
        <v>0</v>
      </c>
      <c r="G39" s="13">
        <f>_xll.BDH("ALNY US Equity","XO_GL_NET_OF_TAX","FQ2 2020","FQ2 2020","Currency=USD","Period=FQ","BEST_FPERIOD_OVERRIDE=FQ","FILING_STATUS=MR","SCALING_FORMAT=MLN","Sort=A","Dates=H","DateFormat=P","Fill=—","Direction=H","UseDPDF=Y")</f>
        <v>0</v>
      </c>
      <c r="H39" s="13">
        <f>_xll.BDH("ALNY US Equity","XO_GL_NET_OF_TAX","FQ3 2020","FQ3 2020","Currency=USD","Period=FQ","BEST_FPERIOD_OVERRIDE=FQ","FILING_STATUS=MR","SCALING_FORMAT=MLN","Sort=A","Dates=H","DateFormat=P","Fill=—","Direction=H","UseDPDF=Y")</f>
        <v>0</v>
      </c>
      <c r="I39" s="13">
        <f>_xll.BDH("ALNY US Equity","XO_GL_NET_OF_TAX","FQ4 2020","FQ4 2020","Currency=USD","Period=FQ","BEST_FPERIOD_OVERRIDE=FQ","FILING_STATUS=MR","SCALING_FORMAT=MLN","Sort=A","Dates=H","DateFormat=P","Fill=—","Direction=H","UseDPDF=Y")</f>
        <v>0</v>
      </c>
      <c r="J39" s="13">
        <f>_xll.BDH("ALNY US Equity","XO_GL_NET_OF_TAX","FQ1 2021","FQ1 2021","Currency=USD","Period=FQ","BEST_FPERIOD_OVERRIDE=FQ","FILING_STATUS=MR","SCALING_FORMAT=MLN","Sort=A","Dates=H","DateFormat=P","Fill=—","Direction=H","UseDPDF=Y")</f>
        <v>0</v>
      </c>
      <c r="K39" s="13">
        <f>_xll.BDH("ALNY US Equity","XO_GL_NET_OF_TAX","FQ2 2021","FQ2 2021","Currency=USD","Period=FQ","BEST_FPERIOD_OVERRIDE=FQ","FILING_STATUS=MR","SCALING_FORMAT=MLN","Sort=A","Dates=H","DateFormat=P","Fill=—","Direction=H","UseDPDF=Y")</f>
        <v>0</v>
      </c>
      <c r="L39" s="13">
        <f>_xll.BDH("ALNY US Equity","XO_GL_NET_OF_TAX","FQ3 2021","FQ3 2021","Currency=USD","Period=FQ","BEST_FPERIOD_OVERRIDE=FQ","FILING_STATUS=MR","SCALING_FORMAT=MLN","Sort=A","Dates=H","DateFormat=P","Fill=—","Direction=H","UseDPDF=Y")</f>
        <v>0</v>
      </c>
      <c r="M39" s="13">
        <f>_xll.BDH("ALNY US Equity","XO_GL_NET_OF_TAX","FQ4 2021","FQ4 2021","Currency=USD","Period=FQ","BEST_FPERIOD_OVERRIDE=FQ","FILING_STATUS=MR","SCALING_FORMAT=MLN","Sort=A","Dates=H","DateFormat=P","Fill=—","Direction=H","UseDPDF=Y")</f>
        <v>0</v>
      </c>
      <c r="N39" s="13">
        <f>_xll.BDH("ALNY US Equity","XO_GL_NET_OF_TAX","FQ1 2022","FQ1 2022","Currency=USD","Period=FQ","BEST_FPERIOD_OVERRIDE=FQ","FILING_STATUS=MR","SCALING_FORMAT=MLN","Sort=A","Dates=H","DateFormat=P","Fill=—","Direction=H","UseDPDF=Y")</f>
        <v>0</v>
      </c>
      <c r="O39" s="13">
        <f>_xll.BDH("ALNY US Equity","XO_GL_NET_OF_TAX","FQ2 2022","FQ2 2022","Currency=USD","Period=FQ","BEST_FPERIOD_OVERRIDE=FQ","FILING_STATUS=MR","SCALING_FORMAT=MLN","Sort=A","Dates=H","DateFormat=P","Fill=—","Direction=H","UseDPDF=Y")</f>
        <v>0</v>
      </c>
      <c r="P39" s="13">
        <f>_xll.BDH("ALNY US Equity","XO_GL_NET_OF_TAX","FQ3 2022","FQ3 2022","Currency=USD","Period=FQ","BEST_FPERIOD_OVERRIDE=FQ","FILING_STATUS=MR","SCALING_FORMAT=MLN","Sort=A","Dates=H","DateFormat=P","Fill=—","Direction=H","UseDPDF=Y")</f>
        <v>0</v>
      </c>
      <c r="Q39" s="13">
        <f>_xll.BDH("ALNY US Equity","XO_GL_NET_OF_TAX","FQ4 2022","FQ4 2022","Currency=USD","Period=FQ","BEST_FPERIOD_OVERRIDE=FQ","FILING_STATUS=MR","SCALING_FORMAT=MLN","Sort=A","Dates=H","DateFormat=P","Fill=—","Direction=H","UseDPDF=Y")</f>
        <v>0</v>
      </c>
      <c r="R39" s="13">
        <f>_xll.BDH("ALNY US Equity","XO_GL_NET_OF_TAX","FQ1 2023","FQ1 2023","Currency=USD","Period=FQ","BEST_FPERIOD_OVERRIDE=FQ","FILING_STATUS=MR","SCALING_FORMAT=MLN","Sort=A","Dates=H","DateFormat=P","Fill=—","Direction=H","UseDPDF=Y")</f>
        <v>0</v>
      </c>
      <c r="S39" s="13">
        <f>_xll.BDH("ALNY US Equity","XO_GL_NET_OF_TAX","FQ2 2023","FQ2 2023","Currency=USD","Period=FQ","BEST_FPERIOD_OVERRIDE=FQ","FILING_STATUS=MR","SCALING_FORMAT=MLN","Sort=A","Dates=H","DateFormat=P","Fill=—","Direction=H","UseDPDF=Y")</f>
        <v>0</v>
      </c>
      <c r="T39" s="13">
        <f>_xll.BDH("ALNY US Equity","XO_GL_NET_OF_TAX","FQ3 2023","FQ3 2023","Currency=USD","Period=FQ","BEST_FPERIOD_OVERRIDE=FQ","FILING_STATUS=MR","SCALING_FORMAT=MLN","Sort=A","Dates=H","DateFormat=P","Fill=—","Direction=H","UseDPDF=Y")</f>
        <v>0</v>
      </c>
      <c r="U39" s="13">
        <f>_xll.BDH("ALNY US Equity","XO_GL_NET_OF_TAX","FQ4 2023","FQ4 2023","Currency=USD","Period=FQ","BEST_FPERIOD_OVERRIDE=FQ","FILING_STATUS=MR","SCALING_FORMAT=MLN","Sort=A","Dates=H","DateFormat=P","Fill=—","Direction=H","UseDPDF=Y")</f>
        <v>0</v>
      </c>
      <c r="V39" s="13">
        <f>_xll.BDH("ALNY US Equity","XO_GL_NET_OF_TAX","FQ1 2024","FQ1 2024","Currency=USD","Period=FQ","BEST_FPERIOD_OVERRIDE=FQ","FILING_STATUS=MR","SCALING_FORMAT=MLN","Sort=A","Dates=H","DateFormat=P","Fill=—","Direction=H","UseDPDF=Y")</f>
        <v>0</v>
      </c>
      <c r="W39" s="13">
        <f>_xll.BDH("ALNY US Equity","XO_GL_NET_OF_TAX","FQ2 2024","FQ2 2024","Currency=USD","Period=FQ","BEST_FPERIOD_OVERRIDE=FQ","FILING_STATUS=MR","SCALING_FORMAT=MLN","Sort=A","Dates=H","DateFormat=P","Fill=—","Direction=H","UseDPDF=Y")</f>
        <v>0</v>
      </c>
      <c r="X39" s="13">
        <f>_xll.BDH("ALNY US Equity","XO_GL_NET_OF_TAX","FQ3 2024","FQ3 2024","Currency=USD","Period=FQ","BEST_FPERIOD_OVERRIDE=FQ","FILING_STATUS=MR","SCALING_FORMAT=MLN","Sort=A","Dates=H","DateFormat=P","Fill=—","Direction=H","UseDPDF=Y")</f>
        <v>0</v>
      </c>
      <c r="Y39" s="13">
        <f>_xll.BDH("ALNY US Equity","XO_GL_NET_OF_TAX","FQ4 2024","FQ4 2024","Currency=USD","Period=FQ","BEST_FPERIOD_OVERRIDE=FQ","FILING_STATUS=MR","SCALING_FORMAT=MLN","Sort=A","Dates=H","DateFormat=P","Fill=—","Direction=H","UseDPDF=Y")</f>
        <v>0</v>
      </c>
      <c r="Z39" s="13"/>
      <c r="AA39" s="13"/>
    </row>
    <row r="40" spans="1:27" x14ac:dyDescent="0.25">
      <c r="A40" s="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5">
      <c r="A41" s="10" t="s">
        <v>248</v>
      </c>
      <c r="B41" s="10" t="s">
        <v>106</v>
      </c>
      <c r="C41" s="13">
        <f>_xll.BDH("ALNY US Equity","IS_AVG_NUM_SH_FOR_EPS","FQ2 2019","FQ2 2019","Currency=USD","Period=FQ","BEST_FPERIOD_OVERRIDE=FQ","FILING_STATUS=MR","Sort=A","Dates=H","DateFormat=P","Fill=—","Direction=H","UseDPDF=Y")</f>
        <v>108.57599999999999</v>
      </c>
      <c r="D41" s="13">
        <f>_xll.BDH("ALNY US Equity","IS_AVG_NUM_SH_FOR_EPS","FQ3 2019","FQ3 2019","Currency=USD","Period=FQ","BEST_FPERIOD_OVERRIDE=FQ","FILING_STATUS=MR","Sort=A","Dates=H","DateFormat=P","Fill=—","Direction=H","UseDPDF=Y")</f>
        <v>108.70099999999999</v>
      </c>
      <c r="E41" s="13">
        <f>_xll.BDH("ALNY US Equity","IS_AVG_NUM_SH_FOR_EPS","FQ4 2019","FQ4 2019","Currency=USD","Period=FQ","BEST_FPERIOD_OVERRIDE=FQ","FILING_STATUS=MR","Sort=A","Dates=H","DateFormat=P","Fill=—","Direction=H","UseDPDF=Y")</f>
        <v>111.75</v>
      </c>
      <c r="F41" s="13">
        <f>_xll.BDH("ALNY US Equity","IS_AVG_NUM_SH_FOR_EPS","FQ1 2020","FQ1 2020","Currency=USD","Period=FQ","BEST_FPERIOD_OVERRIDE=FQ","FILING_STATUS=MR","Sort=A","Dates=H","DateFormat=P","Fill=—","Direction=H","UseDPDF=Y")</f>
        <v>112.748</v>
      </c>
      <c r="G41" s="13">
        <f>_xll.BDH("ALNY US Equity","IS_AVG_NUM_SH_FOR_EPS","FQ2 2020","FQ2 2020","Currency=USD","Period=FQ","BEST_FPERIOD_OVERRIDE=FQ","FILING_STATUS=MR","Sort=A","Dates=H","DateFormat=P","Fill=—","Direction=H","UseDPDF=Y")</f>
        <v>114.911</v>
      </c>
      <c r="H41" s="13">
        <f>_xll.BDH("ALNY US Equity","IS_AVG_NUM_SH_FOR_EPS","FQ3 2020","FQ3 2020","Currency=USD","Period=FQ","BEST_FPERIOD_OVERRIDE=FQ","FILING_STATUS=MR","Sort=A","Dates=H","DateFormat=P","Fill=—","Direction=H","UseDPDF=Y")</f>
        <v>115.986</v>
      </c>
      <c r="I41" s="13">
        <f>_xll.BDH("ALNY US Equity","IS_AVG_NUM_SH_FOR_EPS","FQ4 2020","FQ4 2020","Currency=USD","Period=FQ","BEST_FPERIOD_OVERRIDE=FQ","FILING_STATUS=MR","Sort=A","Dates=H","DateFormat=P","Fill=—","Direction=H","UseDPDF=Y")</f>
        <v>116.274</v>
      </c>
      <c r="J41" s="13">
        <f>_xll.BDH("ALNY US Equity","IS_AVG_NUM_SH_FOR_EPS","FQ1 2021","FQ1 2021","Currency=USD","Period=FQ","BEST_FPERIOD_OVERRIDE=FQ","FILING_STATUS=MR","Sort=A","Dates=H","DateFormat=P","Fill=—","Direction=H","UseDPDF=Y")</f>
        <v>117.08</v>
      </c>
      <c r="K41" s="13">
        <f>_xll.BDH("ALNY US Equity","IS_AVG_NUM_SH_FOR_EPS","FQ2 2021","FQ2 2021","Currency=USD","Period=FQ","BEST_FPERIOD_OVERRIDE=FQ","FILING_STATUS=MR","Sort=A","Dates=H","DateFormat=P","Fill=—","Direction=H","UseDPDF=Y")</f>
        <v>117.77200000000001</v>
      </c>
      <c r="L41" s="13">
        <f>_xll.BDH("ALNY US Equity","IS_AVG_NUM_SH_FOR_EPS","FQ3 2021","FQ3 2021","Currency=USD","Period=FQ","BEST_FPERIOD_OVERRIDE=FQ","FILING_STATUS=MR","Sort=A","Dates=H","DateFormat=P","Fill=—","Direction=H","UseDPDF=Y")</f>
        <v>119.14100000000001</v>
      </c>
      <c r="M41" s="13">
        <f>_xll.BDH("ALNY US Equity","IS_AVG_NUM_SH_FOR_EPS","FQ4 2021","FQ4 2021","Currency=USD","Period=FQ","BEST_FPERIOD_OVERRIDE=FQ","FILING_STATUS=MR","Sort=A","Dates=H","DateFormat=P","Fill=—","Direction=H","UseDPDF=Y")</f>
        <v>119.773</v>
      </c>
      <c r="N41" s="13">
        <f>_xll.BDH("ALNY US Equity","IS_AVG_NUM_SH_FOR_EPS","FQ1 2022","FQ1 2022","Currency=USD","Period=FQ","BEST_FPERIOD_OVERRIDE=FQ","FILING_STATUS=MR","Sort=A","Dates=H","DateFormat=P","Fill=—","Direction=H","UseDPDF=Y")</f>
        <v>120.393</v>
      </c>
      <c r="O41" s="13">
        <f>_xll.BDH("ALNY US Equity","IS_AVG_NUM_SH_FOR_EPS","FQ2 2022","FQ2 2022","Currency=USD","Period=FQ","BEST_FPERIOD_OVERRIDE=FQ","FILING_STATUS=MR","Sort=A","Dates=H","DateFormat=P","Fill=—","Direction=H","UseDPDF=Y")</f>
        <v>120.896</v>
      </c>
      <c r="P41" s="13">
        <f>_xll.BDH("ALNY US Equity","IS_AVG_NUM_SH_FOR_EPS","FQ3 2022","FQ3 2022","Currency=USD","Period=FQ","BEST_FPERIOD_OVERRIDE=FQ","FILING_STATUS=MR","Sort=A","Dates=H","DateFormat=P","Fill=—","Direction=H","UseDPDF=Y")</f>
        <v>122.166</v>
      </c>
      <c r="Q41" s="13">
        <f>_xll.BDH("ALNY US Equity","IS_AVG_NUM_SH_FOR_EPS","FQ4 2022","FQ4 2022","Currency=USD","Period=FQ","BEST_FPERIOD_OVERRIDE=FQ","FILING_STATUS=MR","Sort=A","Dates=H","DateFormat=P","Fill=—","Direction=H","UseDPDF=Y")</f>
        <v>123.26600000000001</v>
      </c>
      <c r="R41" s="13">
        <f>_xll.BDH("ALNY US Equity","IS_AVG_NUM_SH_FOR_EPS","FQ1 2023","FQ1 2023","Currency=USD","Period=FQ","BEST_FPERIOD_OVERRIDE=FQ","FILING_STATUS=MR","Sort=A","Dates=H","DateFormat=P","Fill=—","Direction=H","UseDPDF=Y")</f>
        <v>124.111</v>
      </c>
      <c r="S41" s="13">
        <f>_xll.BDH("ALNY US Equity","IS_AVG_NUM_SH_FOR_EPS","FQ2 2023","FQ2 2023","Currency=USD","Period=FQ","BEST_FPERIOD_OVERRIDE=FQ","FILING_STATUS=MR","Sort=A","Dates=H","DateFormat=P","Fill=—","Direction=H","UseDPDF=Y")</f>
        <v>124.65900000000001</v>
      </c>
      <c r="T41" s="13">
        <f>_xll.BDH("ALNY US Equity","IS_AVG_NUM_SH_FOR_EPS","FQ3 2023","FQ3 2023","Currency=USD","Period=FQ","BEST_FPERIOD_OVERRIDE=FQ","FILING_STATUS=MR","Sort=A","Dates=H","DateFormat=P","Fill=—","Direction=H","UseDPDF=Y")</f>
        <v>125.22</v>
      </c>
      <c r="U41" s="13">
        <f>_xll.BDH("ALNY US Equity","IS_AVG_NUM_SH_FOR_EPS","FQ4 2023","FQ4 2023","Currency=USD","Period=FQ","BEST_FPERIOD_OVERRIDE=FQ","FILING_STATUS=MR","Sort=A","Dates=H","DateFormat=P","Fill=—","Direction=H","UseDPDF=Y")</f>
        <v>125.613</v>
      </c>
      <c r="V41" s="13">
        <f>_xll.BDH("ALNY US Equity","IS_AVG_NUM_SH_FOR_EPS","FQ1 2024","FQ1 2024","Currency=USD","Period=FQ","BEST_FPERIOD_OVERRIDE=FQ","FILING_STATUS=MR","Sort=A","Dates=H","DateFormat=P","Fill=—","Direction=H","UseDPDF=Y")</f>
        <v>126.13800000000001</v>
      </c>
      <c r="W41" s="13">
        <f>_xll.BDH("ALNY US Equity","IS_AVG_NUM_SH_FOR_EPS","FQ2 2024","FQ2 2024","Currency=USD","Period=FQ","BEST_FPERIOD_OVERRIDE=FQ","FILING_STATUS=MR","Sort=A","Dates=H","DateFormat=P","Fill=—","Direction=H","UseDPDF=Y")</f>
        <v>126.733</v>
      </c>
      <c r="X41" s="13">
        <f>_xll.BDH("ALNY US Equity","IS_AVG_NUM_SH_FOR_EPS","FQ3 2024","FQ3 2024","Currency=USD","Period=FQ","BEST_FPERIOD_OVERRIDE=FQ","FILING_STATUS=MR","Sort=A","Dates=H","DateFormat=P","Fill=—","Direction=H","UseDPDF=Y")</f>
        <v>128.59</v>
      </c>
      <c r="Y41" s="13">
        <f>_xll.BDH("ALNY US Equity","IS_AVG_NUM_SH_FOR_EPS","FQ4 2024","FQ4 2024","Currency=USD","Period=FQ","BEST_FPERIOD_OVERRIDE=FQ","FILING_STATUS=MR","Sort=A","Dates=H","DateFormat=P","Fill=—","Direction=H","UseDPDF=Y")</f>
        <v>129.11600000000001</v>
      </c>
      <c r="Z41" s="13"/>
      <c r="AA41" s="13"/>
    </row>
    <row r="42" spans="1:27" x14ac:dyDescent="0.25">
      <c r="A42" s="6" t="s">
        <v>101</v>
      </c>
      <c r="B42" s="6" t="s">
        <v>102</v>
      </c>
      <c r="C42" s="20">
        <f>_xll.BDH("ALNY US Equity","IS_EPS","FQ2 2019","FQ2 2019","Currency=USD","Period=FQ","BEST_FPERIOD_OVERRIDE=FQ","FILING_STATUS=MR","FA_ADJUSTED=GAAP","Sort=A","Dates=H","DateFormat=P","Fill=—","Direction=H","UseDPDF=Y")</f>
        <v>-2.02</v>
      </c>
      <c r="D42" s="20">
        <f>_xll.BDH("ALNY US Equity","IS_EPS","FQ3 2019","FQ3 2019","Currency=USD","Period=FQ","BEST_FPERIOD_OVERRIDE=FQ","FILING_STATUS=MR","FA_ADJUSTED=GAAP","Sort=A","Dates=H","DateFormat=P","Fill=—","Direction=H","UseDPDF=Y")</f>
        <v>-1.92</v>
      </c>
      <c r="E42" s="20">
        <f>_xll.BDH("ALNY US Equity","IS_EPS","FQ4 2019","FQ4 2019","Currency=USD","Period=FQ","BEST_FPERIOD_OVERRIDE=FQ","FILING_STATUS=MR","FA_ADJUSTED=GAAP","Sort=A","Dates=H","DateFormat=P","Fill=—","Direction=H","UseDPDF=Y")</f>
        <v>-2.4700000000000002</v>
      </c>
      <c r="F42" s="20">
        <f>_xll.BDH("ALNY US Equity","IS_EPS","FQ1 2020","FQ1 2020","Currency=USD","Period=FQ","BEST_FPERIOD_OVERRIDE=FQ","FILING_STATUS=MR","FA_ADJUSTED=GAAP","Sort=A","Dates=H","DateFormat=P","Fill=—","Direction=H","UseDPDF=Y")</f>
        <v>-1.62</v>
      </c>
      <c r="G42" s="20">
        <f>_xll.BDH("ALNY US Equity","IS_EPS","FQ2 2020","FQ2 2020","Currency=USD","Period=FQ","BEST_FPERIOD_OVERRIDE=FQ","FILING_STATUS=MR","FA_ADJUSTED=GAAP","Sort=A","Dates=H","DateFormat=P","Fill=—","Direction=H","UseDPDF=Y")</f>
        <v>-1.56</v>
      </c>
      <c r="H42" s="20">
        <f>_xll.BDH("ALNY US Equity","IS_EPS","FQ3 2020","FQ3 2020","Currency=USD","Period=FQ","BEST_FPERIOD_OVERRIDE=FQ","FILING_STATUS=MR","FA_ADJUSTED=GAAP","Sort=A","Dates=H","DateFormat=P","Fill=—","Direction=H","UseDPDF=Y")</f>
        <v>-2.1800000000000002</v>
      </c>
      <c r="I42" s="20">
        <f>_xll.BDH("ALNY US Equity","IS_EPS","FQ4 2020","FQ4 2020","Currency=USD","Period=FQ","BEST_FPERIOD_OVERRIDE=FQ","FILING_STATUS=MR","FA_ADJUSTED=GAAP","Sort=A","Dates=H","DateFormat=P","Fill=—","Direction=H","UseDPDF=Y")</f>
        <v>-2.09</v>
      </c>
      <c r="J42" s="20">
        <f>_xll.BDH("ALNY US Equity","IS_EPS","FQ1 2021","FQ1 2021","Currency=USD","Period=FQ","BEST_FPERIOD_OVERRIDE=FQ","FILING_STATUS=MR","FA_ADJUSTED=GAAP","Sort=A","Dates=H","DateFormat=P","Fill=—","Direction=H","UseDPDF=Y")</f>
        <v>-1.71</v>
      </c>
      <c r="K42" s="20">
        <f>_xll.BDH("ALNY US Equity","IS_EPS","FQ2 2021","FQ2 2021","Currency=USD","Period=FQ","BEST_FPERIOD_OVERRIDE=FQ","FILING_STATUS=MR","FA_ADJUSTED=GAAP","Sort=A","Dates=H","DateFormat=P","Fill=—","Direction=H","UseDPDF=Y")</f>
        <v>-1.61</v>
      </c>
      <c r="L42" s="20">
        <f>_xll.BDH("ALNY US Equity","IS_EPS","FQ3 2021","FQ3 2021","Currency=USD","Period=FQ","BEST_FPERIOD_OVERRIDE=FQ","FILING_STATUS=MR","FA_ADJUSTED=GAAP","Sort=A","Dates=H","DateFormat=P","Fill=—","Direction=H","UseDPDF=Y")</f>
        <v>-1.72</v>
      </c>
      <c r="M42" s="20">
        <f>_xll.BDH("ALNY US Equity","IS_EPS","FQ4 2021","FQ4 2021","Currency=USD","Period=FQ","BEST_FPERIOD_OVERRIDE=FQ","FILING_STATUS=MR","FA_ADJUSTED=GAAP","Sort=A","Dates=H","DateFormat=P","Fill=—","Direction=H","UseDPDF=Y")</f>
        <v>-2.16</v>
      </c>
      <c r="N42" s="20">
        <f>_xll.BDH("ALNY US Equity","IS_EPS","FQ1 2022","FQ1 2022","Currency=USD","Period=FQ","BEST_FPERIOD_OVERRIDE=FQ","FILING_STATUS=MR","FA_ADJUSTED=GAAP","Sort=A","Dates=H","DateFormat=P","Fill=—","Direction=H","UseDPDF=Y")</f>
        <v>-2</v>
      </c>
      <c r="O42" s="20">
        <f>_xll.BDH("ALNY US Equity","IS_EPS","FQ2 2022","FQ2 2022","Currency=USD","Period=FQ","BEST_FPERIOD_OVERRIDE=FQ","FILING_STATUS=MR","FA_ADJUSTED=GAAP","Sort=A","Dates=H","DateFormat=P","Fill=—","Direction=H","UseDPDF=Y")</f>
        <v>-2.29</v>
      </c>
      <c r="P42" s="20">
        <f>_xll.BDH("ALNY US Equity","IS_EPS","FQ3 2022","FQ3 2022","Currency=USD","Period=FQ","BEST_FPERIOD_OVERRIDE=FQ","FILING_STATUS=MR","FA_ADJUSTED=GAAP","Sort=A","Dates=H","DateFormat=P","Fill=—","Direction=H","UseDPDF=Y")</f>
        <v>-3.32</v>
      </c>
      <c r="Q42" s="20">
        <f>_xll.BDH("ALNY US Equity","IS_EPS","FQ4 2022","FQ4 2022","Currency=USD","Period=FQ","BEST_FPERIOD_OVERRIDE=FQ","FILING_STATUS=MR","FA_ADJUSTED=GAAP","Sort=A","Dates=H","DateFormat=P","Fill=—","Direction=H","UseDPDF=Y")</f>
        <v>-1.68</v>
      </c>
      <c r="R42" s="20">
        <f>_xll.BDH("ALNY US Equity","IS_EPS","FQ1 2023","FQ1 2023","Currency=USD","Period=FQ","BEST_FPERIOD_OVERRIDE=FQ","FILING_STATUS=MR","FA_ADJUSTED=GAAP","Sort=A","Dates=H","DateFormat=P","Fill=—","Direction=H","UseDPDF=Y")</f>
        <v>-1.4</v>
      </c>
      <c r="S42" s="20">
        <f>_xll.BDH("ALNY US Equity","IS_EPS","FQ2 2023","FQ2 2023","Currency=USD","Period=FQ","BEST_FPERIOD_OVERRIDE=FQ","FILING_STATUS=MR","FA_ADJUSTED=GAAP","Sort=A","Dates=H","DateFormat=P","Fill=—","Direction=H","UseDPDF=Y")</f>
        <v>-2.21</v>
      </c>
      <c r="T42" s="20">
        <f>_xll.BDH("ALNY US Equity","IS_EPS","FQ3 2023","FQ3 2023","Currency=USD","Period=FQ","BEST_FPERIOD_OVERRIDE=FQ","FILING_STATUS=MR","FA_ADJUSTED=GAAP","Sort=A","Dates=H","DateFormat=P","Fill=—","Direction=H","UseDPDF=Y")</f>
        <v>1.18</v>
      </c>
      <c r="U42" s="20">
        <f>_xll.BDH("ALNY US Equity","IS_EPS","FQ4 2023","FQ4 2023","Currency=USD","Period=FQ","BEST_FPERIOD_OVERRIDE=FQ","FILING_STATUS=MR","FA_ADJUSTED=GAAP","Sort=A","Dates=H","DateFormat=P","Fill=—","Direction=H","UseDPDF=Y")</f>
        <v>-1.1000000000000001</v>
      </c>
      <c r="V42" s="20">
        <f>_xll.BDH("ALNY US Equity","IS_EPS","FQ1 2024","FQ1 2024","Currency=USD","Period=FQ","BEST_FPERIOD_OVERRIDE=FQ","FILING_STATUS=MR","FA_ADJUSTED=GAAP","Sort=A","Dates=H","DateFormat=P","Fill=—","Direction=H","UseDPDF=Y")</f>
        <v>-0.52</v>
      </c>
      <c r="W42" s="20">
        <f>_xll.BDH("ALNY US Equity","IS_EPS","FQ2 2024","FQ2 2024","Currency=USD","Period=FQ","BEST_FPERIOD_OVERRIDE=FQ","FILING_STATUS=MR","FA_ADJUSTED=GAAP","Sort=A","Dates=H","DateFormat=P","Fill=—","Direction=H","UseDPDF=Y")</f>
        <v>-0.13</v>
      </c>
      <c r="X42" s="20">
        <f>_xll.BDH("ALNY US Equity","IS_EPS","FQ3 2024","FQ3 2024","Currency=USD","Period=FQ","BEST_FPERIOD_OVERRIDE=FQ","FILING_STATUS=MR","FA_ADJUSTED=GAAP","Sort=A","Dates=H","DateFormat=P","Fill=—","Direction=H","UseDPDF=Y")</f>
        <v>-0.87</v>
      </c>
      <c r="Y42" s="20">
        <f>_xll.BDH("ALNY US Equity","IS_EPS","FQ4 2024","FQ4 2024","Currency=USD","Period=FQ","BEST_FPERIOD_OVERRIDE=FQ","FILING_STATUS=MR","FA_ADJUSTED=GAAP","Sort=A","Dates=H","DateFormat=P","Fill=—","Direction=H","UseDPDF=Y")</f>
        <v>-0.65</v>
      </c>
      <c r="Z42" s="20">
        <v>-0.95</v>
      </c>
      <c r="AA42" s="20">
        <v>-0.91500000000000004</v>
      </c>
    </row>
    <row r="43" spans="1:27" x14ac:dyDescent="0.25">
      <c r="A43" s="6" t="s">
        <v>370</v>
      </c>
      <c r="B43" s="6" t="s">
        <v>255</v>
      </c>
      <c r="C43" s="20">
        <f>_xll.BDH("ALNY US Equity","IS_EARN_BEF_XO_ITEMS_PER_SH","FQ2 2019","FQ2 2019","Currency=USD","Period=FQ","BEST_FPERIOD_OVERRIDE=FQ","FILING_STATUS=MR","Sort=A","Dates=H","DateFormat=P","Fill=—","Direction=H","UseDPDF=Y")</f>
        <v>-2.02</v>
      </c>
      <c r="D43" s="20">
        <f>_xll.BDH("ALNY US Equity","IS_EARN_BEF_XO_ITEMS_PER_SH","FQ3 2019","FQ3 2019","Currency=USD","Period=FQ","BEST_FPERIOD_OVERRIDE=FQ","FILING_STATUS=MR","Sort=A","Dates=H","DateFormat=P","Fill=—","Direction=H","UseDPDF=Y")</f>
        <v>-1.92</v>
      </c>
      <c r="E43" s="20">
        <f>_xll.BDH("ALNY US Equity","IS_EARN_BEF_XO_ITEMS_PER_SH","FQ4 2019","FQ4 2019","Currency=USD","Period=FQ","BEST_FPERIOD_OVERRIDE=FQ","FILING_STATUS=MR","Sort=A","Dates=H","DateFormat=P","Fill=—","Direction=H","UseDPDF=Y")</f>
        <v>-2.4700000000000002</v>
      </c>
      <c r="F43" s="20">
        <f>_xll.BDH("ALNY US Equity","IS_EARN_BEF_XO_ITEMS_PER_SH","FQ1 2020","FQ1 2020","Currency=USD","Period=FQ","BEST_FPERIOD_OVERRIDE=FQ","FILING_STATUS=MR","Sort=A","Dates=H","DateFormat=P","Fill=—","Direction=H","UseDPDF=Y")</f>
        <v>-1.62</v>
      </c>
      <c r="G43" s="20">
        <f>_xll.BDH("ALNY US Equity","IS_EARN_BEF_XO_ITEMS_PER_SH","FQ2 2020","FQ2 2020","Currency=USD","Period=FQ","BEST_FPERIOD_OVERRIDE=FQ","FILING_STATUS=MR","Sort=A","Dates=H","DateFormat=P","Fill=—","Direction=H","UseDPDF=Y")</f>
        <v>-1.56</v>
      </c>
      <c r="H43" s="20">
        <f>_xll.BDH("ALNY US Equity","IS_EARN_BEF_XO_ITEMS_PER_SH","FQ3 2020","FQ3 2020","Currency=USD","Period=FQ","BEST_FPERIOD_OVERRIDE=FQ","FILING_STATUS=MR","Sort=A","Dates=H","DateFormat=P","Fill=—","Direction=H","UseDPDF=Y")</f>
        <v>-2.1800000000000002</v>
      </c>
      <c r="I43" s="20">
        <f>_xll.BDH("ALNY US Equity","IS_EARN_BEF_XO_ITEMS_PER_SH","FQ4 2020","FQ4 2020","Currency=USD","Period=FQ","BEST_FPERIOD_OVERRIDE=FQ","FILING_STATUS=MR","Sort=A","Dates=H","DateFormat=P","Fill=—","Direction=H","UseDPDF=Y")</f>
        <v>-2.09</v>
      </c>
      <c r="J43" s="20">
        <f>_xll.BDH("ALNY US Equity","IS_EARN_BEF_XO_ITEMS_PER_SH","FQ1 2021","FQ1 2021","Currency=USD","Period=FQ","BEST_FPERIOD_OVERRIDE=FQ","FILING_STATUS=MR","Sort=A","Dates=H","DateFormat=P","Fill=—","Direction=H","UseDPDF=Y")</f>
        <v>-1.71</v>
      </c>
      <c r="K43" s="20">
        <f>_xll.BDH("ALNY US Equity","IS_EARN_BEF_XO_ITEMS_PER_SH","FQ2 2021","FQ2 2021","Currency=USD","Period=FQ","BEST_FPERIOD_OVERRIDE=FQ","FILING_STATUS=MR","Sort=A","Dates=H","DateFormat=P","Fill=—","Direction=H","UseDPDF=Y")</f>
        <v>-1.61</v>
      </c>
      <c r="L43" s="20">
        <f>_xll.BDH("ALNY US Equity","IS_EARN_BEF_XO_ITEMS_PER_SH","FQ3 2021","FQ3 2021","Currency=USD","Period=FQ","BEST_FPERIOD_OVERRIDE=FQ","FILING_STATUS=MR","Sort=A","Dates=H","DateFormat=P","Fill=—","Direction=H","UseDPDF=Y")</f>
        <v>-1.72</v>
      </c>
      <c r="M43" s="20">
        <f>_xll.BDH("ALNY US Equity","IS_EARN_BEF_XO_ITEMS_PER_SH","FQ4 2021","FQ4 2021","Currency=USD","Period=FQ","BEST_FPERIOD_OVERRIDE=FQ","FILING_STATUS=MR","Sort=A","Dates=H","DateFormat=P","Fill=—","Direction=H","UseDPDF=Y")</f>
        <v>-2.16</v>
      </c>
      <c r="N43" s="20">
        <f>_xll.BDH("ALNY US Equity","IS_EARN_BEF_XO_ITEMS_PER_SH","FQ1 2022","FQ1 2022","Currency=USD","Period=FQ","BEST_FPERIOD_OVERRIDE=FQ","FILING_STATUS=MR","Sort=A","Dates=H","DateFormat=P","Fill=—","Direction=H","UseDPDF=Y")</f>
        <v>-2</v>
      </c>
      <c r="O43" s="20">
        <f>_xll.BDH("ALNY US Equity","IS_EARN_BEF_XO_ITEMS_PER_SH","FQ2 2022","FQ2 2022","Currency=USD","Period=FQ","BEST_FPERIOD_OVERRIDE=FQ","FILING_STATUS=MR","Sort=A","Dates=H","DateFormat=P","Fill=—","Direction=H","UseDPDF=Y")</f>
        <v>-2.29</v>
      </c>
      <c r="P43" s="20">
        <f>_xll.BDH("ALNY US Equity","IS_EARN_BEF_XO_ITEMS_PER_SH","FQ3 2022","FQ3 2022","Currency=USD","Period=FQ","BEST_FPERIOD_OVERRIDE=FQ","FILING_STATUS=MR","Sort=A","Dates=H","DateFormat=P","Fill=—","Direction=H","UseDPDF=Y")</f>
        <v>-3.32</v>
      </c>
      <c r="Q43" s="20">
        <f>_xll.BDH("ALNY US Equity","IS_EARN_BEF_XO_ITEMS_PER_SH","FQ4 2022","FQ4 2022","Currency=USD","Period=FQ","BEST_FPERIOD_OVERRIDE=FQ","FILING_STATUS=MR","Sort=A","Dates=H","DateFormat=P","Fill=—","Direction=H","UseDPDF=Y")</f>
        <v>-1.68</v>
      </c>
      <c r="R43" s="20">
        <f>_xll.BDH("ALNY US Equity","IS_EARN_BEF_XO_ITEMS_PER_SH","FQ1 2023","FQ1 2023","Currency=USD","Period=FQ","BEST_FPERIOD_OVERRIDE=FQ","FILING_STATUS=MR","Sort=A","Dates=H","DateFormat=P","Fill=—","Direction=H","UseDPDF=Y")</f>
        <v>-1.4</v>
      </c>
      <c r="S43" s="20">
        <f>_xll.BDH("ALNY US Equity","IS_EARN_BEF_XO_ITEMS_PER_SH","FQ2 2023","FQ2 2023","Currency=USD","Period=FQ","BEST_FPERIOD_OVERRIDE=FQ","FILING_STATUS=MR","Sort=A","Dates=H","DateFormat=P","Fill=—","Direction=H","UseDPDF=Y")</f>
        <v>-2.21</v>
      </c>
      <c r="T43" s="20">
        <f>_xll.BDH("ALNY US Equity","IS_EARN_BEF_XO_ITEMS_PER_SH","FQ3 2023","FQ3 2023","Currency=USD","Period=FQ","BEST_FPERIOD_OVERRIDE=FQ","FILING_STATUS=MR","Sort=A","Dates=H","DateFormat=P","Fill=—","Direction=H","UseDPDF=Y")</f>
        <v>1.18</v>
      </c>
      <c r="U43" s="20">
        <f>_xll.BDH("ALNY US Equity","IS_EARN_BEF_XO_ITEMS_PER_SH","FQ4 2023","FQ4 2023","Currency=USD","Period=FQ","BEST_FPERIOD_OVERRIDE=FQ","FILING_STATUS=MR","Sort=A","Dates=H","DateFormat=P","Fill=—","Direction=H","UseDPDF=Y")</f>
        <v>-1.1000000000000001</v>
      </c>
      <c r="V43" s="20">
        <f>_xll.BDH("ALNY US Equity","IS_EARN_BEF_XO_ITEMS_PER_SH","FQ1 2024","FQ1 2024","Currency=USD","Period=FQ","BEST_FPERIOD_OVERRIDE=FQ","FILING_STATUS=MR","Sort=A","Dates=H","DateFormat=P","Fill=—","Direction=H","UseDPDF=Y")</f>
        <v>-0.52</v>
      </c>
      <c r="W43" s="20">
        <f>_xll.BDH("ALNY US Equity","IS_EARN_BEF_XO_ITEMS_PER_SH","FQ2 2024","FQ2 2024","Currency=USD","Period=FQ","BEST_FPERIOD_OVERRIDE=FQ","FILING_STATUS=MR","Sort=A","Dates=H","DateFormat=P","Fill=—","Direction=H","UseDPDF=Y")</f>
        <v>-0.13</v>
      </c>
      <c r="X43" s="20">
        <f>_xll.BDH("ALNY US Equity","IS_EARN_BEF_XO_ITEMS_PER_SH","FQ3 2024","FQ3 2024","Currency=USD","Period=FQ","BEST_FPERIOD_OVERRIDE=FQ","FILING_STATUS=MR","Sort=A","Dates=H","DateFormat=P","Fill=—","Direction=H","UseDPDF=Y")</f>
        <v>-0.87</v>
      </c>
      <c r="Y43" s="20">
        <f>_xll.BDH("ALNY US Equity","IS_EARN_BEF_XO_ITEMS_PER_SH","FQ4 2024","FQ4 2024","Currency=USD","Period=FQ","BEST_FPERIOD_OVERRIDE=FQ","FILING_STATUS=MR","Sort=A","Dates=H","DateFormat=P","Fill=—","Direction=H","UseDPDF=Y")</f>
        <v>-0.65</v>
      </c>
      <c r="Z43" s="20">
        <v>-0.95</v>
      </c>
      <c r="AA43" s="20">
        <v>-0.91500000000000004</v>
      </c>
    </row>
    <row r="44" spans="1:27" x14ac:dyDescent="0.25">
      <c r="A44" s="6" t="s">
        <v>371</v>
      </c>
      <c r="B44" s="6" t="s">
        <v>257</v>
      </c>
      <c r="C44" s="20">
        <f>_xll.BDH("ALNY US Equity","IS_BASIC_EPS_CONT_OPS","FQ2 2019","FQ2 2019","Currency=USD","Period=FQ","BEST_FPERIOD_OVERRIDE=FQ","FILING_STATUS=MR","Sort=A","Dates=H","DateFormat=P","Fill=—","Direction=H","UseDPDF=Y")</f>
        <v>-2.1082000000000001</v>
      </c>
      <c r="D44" s="20">
        <f>_xll.BDH("ALNY US Equity","IS_BASIC_EPS_CONT_OPS","FQ3 2019","FQ3 2019","Currency=USD","Period=FQ","BEST_FPERIOD_OVERRIDE=FQ","FILING_STATUS=MR","Sort=A","Dates=H","DateFormat=P","Fill=—","Direction=H","UseDPDF=Y")</f>
        <v>-1.92</v>
      </c>
      <c r="E44" s="20">
        <f>_xll.BDH("ALNY US Equity","IS_BASIC_EPS_CONT_OPS","FQ4 2019","FQ4 2019","Currency=USD","Period=FQ","BEST_FPERIOD_OVERRIDE=FQ","FILING_STATUS=MR","Sort=A","Dates=H","DateFormat=P","Fill=—","Direction=H","UseDPDF=Y")</f>
        <v>-2.5722999999999998</v>
      </c>
      <c r="F44" s="20">
        <f>_xll.BDH("ALNY US Equity","IS_BASIC_EPS_CONT_OPS","FQ1 2020","FQ1 2020","Currency=USD","Period=FQ","BEST_FPERIOD_OVERRIDE=FQ","FILING_STATUS=MR","Sort=A","Dates=H","DateFormat=P","Fill=—","Direction=H","UseDPDF=Y")</f>
        <v>-1.83</v>
      </c>
      <c r="G44" s="20">
        <f>_xll.BDH("ALNY US Equity","IS_BASIC_EPS_CONT_OPS","FQ2 2020","FQ2 2020","Currency=USD","Period=FQ","BEST_FPERIOD_OVERRIDE=FQ","FILING_STATUS=MR","Sort=A","Dates=H","DateFormat=P","Fill=—","Direction=H","UseDPDF=Y")</f>
        <v>-1.9588000000000001</v>
      </c>
      <c r="H44" s="20">
        <f>_xll.BDH("ALNY US Equity","IS_BASIC_EPS_CONT_OPS","FQ3 2020","FQ3 2020","Currency=USD","Period=FQ","BEST_FPERIOD_OVERRIDE=FQ","FILING_STATUS=MR","Sort=A","Dates=H","DateFormat=P","Fill=—","Direction=H","UseDPDF=Y")</f>
        <v>-1.9041999999999999</v>
      </c>
      <c r="I44" s="20">
        <f>_xll.BDH("ALNY US Equity","IS_BASIC_EPS_CONT_OPS","FQ4 2020","FQ4 2020","Currency=USD","Period=FQ","BEST_FPERIOD_OVERRIDE=FQ","FILING_STATUS=MR","Sort=A","Dates=H","DateFormat=P","Fill=—","Direction=H","UseDPDF=Y")</f>
        <v>-1.8984000000000001</v>
      </c>
      <c r="J44" s="20">
        <f>_xll.BDH("ALNY US Equity","IS_BASIC_EPS_CONT_OPS","FQ1 2021","FQ1 2021","Currency=USD","Period=FQ","BEST_FPERIOD_OVERRIDE=FQ","FILING_STATUS=MR","Sort=A","Dates=H","DateFormat=P","Fill=—","Direction=H","UseDPDF=Y")</f>
        <v>-2.1122999999999998</v>
      </c>
      <c r="K44" s="20">
        <f>_xll.BDH("ALNY US Equity","IS_BASIC_EPS_CONT_OPS","FQ2 2021","FQ2 2021","Currency=USD","Period=FQ","BEST_FPERIOD_OVERRIDE=FQ","FILING_STATUS=MR","Sort=A","Dates=H","DateFormat=P","Fill=—","Direction=H","UseDPDF=Y")</f>
        <v>-1.5719000000000001</v>
      </c>
      <c r="L44" s="20">
        <f>_xll.BDH("ALNY US Equity","IS_BASIC_EPS_CONT_OPS","FQ3 2021","FQ3 2021","Currency=USD","Period=FQ","BEST_FPERIOD_OVERRIDE=FQ","FILING_STATUS=MR","Sort=A","Dates=H","DateFormat=P","Fill=—","Direction=H","UseDPDF=Y")</f>
        <v>-1.7895000000000001</v>
      </c>
      <c r="M44" s="20">
        <f>_xll.BDH("ALNY US Equity","IS_BASIC_EPS_CONT_OPS","FQ4 2021","FQ4 2021","Currency=USD","Period=FQ","BEST_FPERIOD_OVERRIDE=FQ","FILING_STATUS=MR","Sort=A","Dates=H","DateFormat=P","Fill=—","Direction=H","UseDPDF=Y")</f>
        <v>-2.1113</v>
      </c>
      <c r="N44" s="20">
        <f>_xll.BDH("ALNY US Equity","IS_BASIC_EPS_CONT_OPS","FQ1 2022","FQ1 2022","Currency=USD","Period=FQ","BEST_FPERIOD_OVERRIDE=FQ","FILING_STATUS=MR","Sort=A","Dates=H","DateFormat=P","Fill=—","Direction=H","UseDPDF=Y")</f>
        <v>-1.7375</v>
      </c>
      <c r="O44" s="20">
        <f>_xll.BDH("ALNY US Equity","IS_BASIC_EPS_CONT_OPS","FQ2 2022","FQ2 2022","Currency=USD","Period=FQ","BEST_FPERIOD_OVERRIDE=FQ","FILING_STATUS=MR","Sort=A","Dates=H","DateFormat=P","Fill=—","Direction=H","UseDPDF=Y")</f>
        <v>-2.2854999999999999</v>
      </c>
      <c r="P44" s="20">
        <f>_xll.BDH("ALNY US Equity","IS_BASIC_EPS_CONT_OPS","FQ3 2022","FQ3 2022","Currency=USD","Period=FQ","BEST_FPERIOD_OVERRIDE=FQ","FILING_STATUS=MR","Sort=A","Dates=H","DateFormat=P","Fill=—","Direction=H","UseDPDF=Y")</f>
        <v>-2.6315</v>
      </c>
      <c r="Q44" s="20">
        <f>_xll.BDH("ALNY US Equity","IS_BASIC_EPS_CONT_OPS","FQ4 2022","FQ4 2022","Currency=USD","Period=FQ","BEST_FPERIOD_OVERRIDE=FQ","FILING_STATUS=MR","Sort=A","Dates=H","DateFormat=P","Fill=—","Direction=H","UseDPDF=Y")</f>
        <v>-1.7383999999999999</v>
      </c>
      <c r="R44" s="20">
        <f>_xll.BDH("ALNY US Equity","IS_BASIC_EPS_CONT_OPS","FQ1 2023","FQ1 2023","Currency=USD","Period=FQ","BEST_FPERIOD_OVERRIDE=FQ","FILING_STATUS=MR","Sort=A","Dates=H","DateFormat=P","Fill=—","Direction=H","UseDPDF=Y")</f>
        <v>-1.3845000000000001</v>
      </c>
      <c r="S44" s="20">
        <f>_xll.BDH("ALNY US Equity","IS_BASIC_EPS_CONT_OPS","FQ2 2023","FQ2 2023","Currency=USD","Period=FQ","BEST_FPERIOD_OVERRIDE=FQ","FILING_STATUS=MR","Sort=A","Dates=H","DateFormat=P","Fill=—","Direction=H","UseDPDF=Y")</f>
        <v>-2.2254999999999998</v>
      </c>
      <c r="T44" s="20">
        <f>_xll.BDH("ALNY US Equity","IS_BASIC_EPS_CONT_OPS","FQ3 2023","FQ3 2023","Currency=USD","Period=FQ","BEST_FPERIOD_OVERRIDE=FQ","FILING_STATUS=MR","Sort=A","Dates=H","DateFormat=P","Fill=—","Direction=H","UseDPDF=Y")</f>
        <v>1.3145</v>
      </c>
      <c r="U44" s="20">
        <f>_xll.BDH("ALNY US Equity","IS_BASIC_EPS_CONT_OPS","FQ4 2023","FQ4 2023","Currency=USD","Period=FQ","BEST_FPERIOD_OVERRIDE=FQ","FILING_STATUS=MR","Sort=A","Dates=H","DateFormat=P","Fill=—","Direction=H","UseDPDF=Y")</f>
        <v>-1.1036999999999999</v>
      </c>
      <c r="V44" s="20">
        <f>_xll.BDH("ALNY US Equity","IS_BASIC_EPS_CONT_OPS","FQ1 2024","FQ1 2024","Currency=USD","Period=FQ","BEST_FPERIOD_OVERRIDE=FQ","FILING_STATUS=MR","Sort=A","Dates=H","DateFormat=P","Fill=—","Direction=H","UseDPDF=Y")</f>
        <v>-0.52329999999999999</v>
      </c>
      <c r="W44" s="20">
        <f>_xll.BDH("ALNY US Equity","IS_BASIC_EPS_CONT_OPS","FQ2 2024","FQ2 2024","Currency=USD","Period=FQ","BEST_FPERIOD_OVERRIDE=FQ","FILING_STATUS=MR","Sort=A","Dates=H","DateFormat=P","Fill=—","Direction=H","UseDPDF=Y")</f>
        <v>-0.1225</v>
      </c>
      <c r="X44" s="20">
        <f>_xll.BDH("ALNY US Equity","IS_BASIC_EPS_CONT_OPS","FQ3 2024","FQ3 2024","Currency=USD","Period=FQ","BEST_FPERIOD_OVERRIDE=FQ","FILING_STATUS=MR","Sort=A","Dates=H","DateFormat=P","Fill=—","Direction=H","UseDPDF=Y")</f>
        <v>-0.85550000000000004</v>
      </c>
      <c r="Y44" s="20">
        <f>_xll.BDH("ALNY US Equity","IS_BASIC_EPS_CONT_OPS","FQ4 2024","FQ4 2024","Currency=USD","Period=FQ","BEST_FPERIOD_OVERRIDE=FQ","FILING_STATUS=MR","Sort=A","Dates=H","DateFormat=P","Fill=—","Direction=H","UseDPDF=Y")</f>
        <v>-0.64749999999999996</v>
      </c>
      <c r="Z44" s="20">
        <v>-0.46400000000000002</v>
      </c>
      <c r="AA44" s="20">
        <v>-0.39400000000000002</v>
      </c>
    </row>
    <row r="45" spans="1:27" x14ac:dyDescent="0.25">
      <c r="A45" s="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5">
      <c r="A46" s="10" t="s">
        <v>247</v>
      </c>
      <c r="B46" s="10" t="s">
        <v>108</v>
      </c>
      <c r="C46" s="13">
        <f>_xll.BDH("ALNY US Equity","IS_SH_FOR_DILUTED_EPS","FQ2 2019","FQ2 2019","Currency=USD","Period=FQ","BEST_FPERIOD_OVERRIDE=FQ","FILING_STATUS=MR","Sort=A","Dates=H","DateFormat=P","Fill=—","Direction=H","UseDPDF=Y")</f>
        <v>108.57599999999999</v>
      </c>
      <c r="D46" s="13">
        <f>_xll.BDH("ALNY US Equity","IS_SH_FOR_DILUTED_EPS","FQ3 2019","FQ3 2019","Currency=USD","Period=FQ","BEST_FPERIOD_OVERRIDE=FQ","FILING_STATUS=MR","Sort=A","Dates=H","DateFormat=P","Fill=—","Direction=H","UseDPDF=Y")</f>
        <v>108.70099999999999</v>
      </c>
      <c r="E46" s="13">
        <f>_xll.BDH("ALNY US Equity","IS_SH_FOR_DILUTED_EPS","FQ4 2019","FQ4 2019","Currency=USD","Period=FQ","BEST_FPERIOD_OVERRIDE=FQ","FILING_STATUS=MR","Sort=A","Dates=H","DateFormat=P","Fill=—","Direction=H","UseDPDF=Y")</f>
        <v>111.75</v>
      </c>
      <c r="F46" s="13">
        <f>_xll.BDH("ALNY US Equity","IS_SH_FOR_DILUTED_EPS","FQ1 2020","FQ1 2020","Currency=USD","Period=FQ","BEST_FPERIOD_OVERRIDE=FQ","FILING_STATUS=MR","Sort=A","Dates=H","DateFormat=P","Fill=—","Direction=H","UseDPDF=Y")</f>
        <v>112.748</v>
      </c>
      <c r="G46" s="13">
        <f>_xll.BDH("ALNY US Equity","IS_SH_FOR_DILUTED_EPS","FQ2 2020","FQ2 2020","Currency=USD","Period=FQ","BEST_FPERIOD_OVERRIDE=FQ","FILING_STATUS=MR","Sort=A","Dates=H","DateFormat=P","Fill=—","Direction=H","UseDPDF=Y")</f>
        <v>114.911</v>
      </c>
      <c r="H46" s="13">
        <f>_xll.BDH("ALNY US Equity","IS_SH_FOR_DILUTED_EPS","FQ3 2020","FQ3 2020","Currency=USD","Period=FQ","BEST_FPERIOD_OVERRIDE=FQ","FILING_STATUS=MR","Sort=A","Dates=H","DateFormat=P","Fill=—","Direction=H","UseDPDF=Y")</f>
        <v>115.986</v>
      </c>
      <c r="I46" s="13">
        <f>_xll.BDH("ALNY US Equity","IS_SH_FOR_DILUTED_EPS","FQ4 2020","FQ4 2020","Currency=USD","Period=FQ","BEST_FPERIOD_OVERRIDE=FQ","FILING_STATUS=MR","Sort=A","Dates=H","DateFormat=P","Fill=—","Direction=H","UseDPDF=Y")</f>
        <v>116.274</v>
      </c>
      <c r="J46" s="13">
        <f>_xll.BDH("ALNY US Equity","IS_SH_FOR_DILUTED_EPS","FQ1 2021","FQ1 2021","Currency=USD","Period=FQ","BEST_FPERIOD_OVERRIDE=FQ","FILING_STATUS=MR","Sort=A","Dates=H","DateFormat=P","Fill=—","Direction=H","UseDPDF=Y")</f>
        <v>117.08</v>
      </c>
      <c r="K46" s="13">
        <f>_xll.BDH("ALNY US Equity","IS_SH_FOR_DILUTED_EPS","FQ2 2021","FQ2 2021","Currency=USD","Period=FQ","BEST_FPERIOD_OVERRIDE=FQ","FILING_STATUS=MR","Sort=A","Dates=H","DateFormat=P","Fill=—","Direction=H","UseDPDF=Y")</f>
        <v>117.77200000000001</v>
      </c>
      <c r="L46" s="13">
        <f>_xll.BDH("ALNY US Equity","IS_SH_FOR_DILUTED_EPS","FQ3 2021","FQ3 2021","Currency=USD","Period=FQ","BEST_FPERIOD_OVERRIDE=FQ","FILING_STATUS=MR","Sort=A","Dates=H","DateFormat=P","Fill=—","Direction=H","UseDPDF=Y")</f>
        <v>119.14100000000001</v>
      </c>
      <c r="M46" s="13">
        <f>_xll.BDH("ALNY US Equity","IS_SH_FOR_DILUTED_EPS","FQ4 2021","FQ4 2021","Currency=USD","Period=FQ","BEST_FPERIOD_OVERRIDE=FQ","FILING_STATUS=MR","Sort=A","Dates=H","DateFormat=P","Fill=—","Direction=H","UseDPDF=Y")</f>
        <v>119.773</v>
      </c>
      <c r="N46" s="13">
        <f>_xll.BDH("ALNY US Equity","IS_SH_FOR_DILUTED_EPS","FQ1 2022","FQ1 2022","Currency=USD","Period=FQ","BEST_FPERIOD_OVERRIDE=FQ","FILING_STATUS=MR","Sort=A","Dates=H","DateFormat=P","Fill=—","Direction=H","UseDPDF=Y")</f>
        <v>120.393</v>
      </c>
      <c r="O46" s="13">
        <f>_xll.BDH("ALNY US Equity","IS_SH_FOR_DILUTED_EPS","FQ2 2022","FQ2 2022","Currency=USD","Period=FQ","BEST_FPERIOD_OVERRIDE=FQ","FILING_STATUS=MR","Sort=A","Dates=H","DateFormat=P","Fill=—","Direction=H","UseDPDF=Y")</f>
        <v>120.896</v>
      </c>
      <c r="P46" s="13">
        <f>_xll.BDH("ALNY US Equity","IS_SH_FOR_DILUTED_EPS","FQ3 2022","FQ3 2022","Currency=USD","Period=FQ","BEST_FPERIOD_OVERRIDE=FQ","FILING_STATUS=MR","Sort=A","Dates=H","DateFormat=P","Fill=—","Direction=H","UseDPDF=Y")</f>
        <v>122.166</v>
      </c>
      <c r="Q46" s="13">
        <f>_xll.BDH("ALNY US Equity","IS_SH_FOR_DILUTED_EPS","FQ4 2022","FQ4 2022","Currency=USD","Period=FQ","BEST_FPERIOD_OVERRIDE=FQ","FILING_STATUS=MR","Sort=A","Dates=H","DateFormat=P","Fill=—","Direction=H","UseDPDF=Y")</f>
        <v>123.26600000000001</v>
      </c>
      <c r="R46" s="13">
        <f>_xll.BDH("ALNY US Equity","IS_SH_FOR_DILUTED_EPS","FQ1 2023","FQ1 2023","Currency=USD","Period=FQ","BEST_FPERIOD_OVERRIDE=FQ","FILING_STATUS=MR","Sort=A","Dates=H","DateFormat=P","Fill=—","Direction=H","UseDPDF=Y")</f>
        <v>124.111</v>
      </c>
      <c r="S46" s="13">
        <f>_xll.BDH("ALNY US Equity","IS_SH_FOR_DILUTED_EPS","FQ2 2023","FQ2 2023","Currency=USD","Period=FQ","BEST_FPERIOD_OVERRIDE=FQ","FILING_STATUS=MR","Sort=A","Dates=H","DateFormat=P","Fill=—","Direction=H","UseDPDF=Y")</f>
        <v>124.65900000000001</v>
      </c>
      <c r="T46" s="13">
        <f>_xll.BDH("ALNY US Equity","IS_SH_FOR_DILUTED_EPS","FQ3 2023","FQ3 2023","Currency=USD","Period=FQ","BEST_FPERIOD_OVERRIDE=FQ","FILING_STATUS=MR","Sort=A","Dates=H","DateFormat=P","Fill=—","Direction=H","UseDPDF=Y")</f>
        <v>131.33699999999999</v>
      </c>
      <c r="U46" s="13">
        <f>_xll.BDH("ALNY US Equity","IS_SH_FOR_DILUTED_EPS","FQ4 2023","FQ4 2023","Currency=USD","Period=FQ","BEST_FPERIOD_OVERRIDE=FQ","FILING_STATUS=MR","Sort=A","Dates=H","DateFormat=P","Fill=—","Direction=H","UseDPDF=Y")</f>
        <v>125.613</v>
      </c>
      <c r="V46" s="13">
        <f>_xll.BDH("ALNY US Equity","IS_SH_FOR_DILUTED_EPS","FQ1 2024","FQ1 2024","Currency=USD","Period=FQ","BEST_FPERIOD_OVERRIDE=FQ","FILING_STATUS=MR","Sort=A","Dates=H","DateFormat=P","Fill=—","Direction=H","UseDPDF=Y")</f>
        <v>126.13800000000001</v>
      </c>
      <c r="W46" s="13">
        <f>_xll.BDH("ALNY US Equity","IS_SH_FOR_DILUTED_EPS","FQ2 2024","FQ2 2024","Currency=USD","Period=FQ","BEST_FPERIOD_OVERRIDE=FQ","FILING_STATUS=MR","Sort=A","Dates=H","DateFormat=P","Fill=—","Direction=H","UseDPDF=Y")</f>
        <v>126.733</v>
      </c>
      <c r="X46" s="13">
        <f>_xll.BDH("ALNY US Equity","IS_SH_FOR_DILUTED_EPS","FQ3 2024","FQ3 2024","Currency=USD","Period=FQ","BEST_FPERIOD_OVERRIDE=FQ","FILING_STATUS=MR","Sort=A","Dates=H","DateFormat=P","Fill=—","Direction=H","UseDPDF=Y")</f>
        <v>128.59</v>
      </c>
      <c r="Y46" s="13">
        <f>_xll.BDH("ALNY US Equity","IS_SH_FOR_DILUTED_EPS","FQ4 2024","FQ4 2024","Currency=USD","Period=FQ","BEST_FPERIOD_OVERRIDE=FQ","FILING_STATUS=MR","Sort=A","Dates=H","DateFormat=P","Fill=—","Direction=H","UseDPDF=Y")</f>
        <v>129.11600000000001</v>
      </c>
      <c r="Z46" s="13"/>
      <c r="AA46" s="13"/>
    </row>
    <row r="47" spans="1:27" x14ac:dyDescent="0.25">
      <c r="A47" s="6" t="s">
        <v>103</v>
      </c>
      <c r="B47" s="6" t="s">
        <v>104</v>
      </c>
      <c r="C47" s="20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D47" s="20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E47" s="20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F47" s="20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G47" s="20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H47" s="20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I47" s="20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J47" s="20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K47" s="20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L47" s="20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M47" s="20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N47" s="20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O47" s="20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P47" s="20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Q47" s="20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R47" s="20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S47" s="20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T47" s="20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U47" s="20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V47" s="20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W47" s="20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X47" s="20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Y47" s="20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  <c r="Z47" s="20">
        <v>-0.95</v>
      </c>
      <c r="AA47" s="20">
        <v>-0.91500000000000004</v>
      </c>
    </row>
    <row r="48" spans="1:27" x14ac:dyDescent="0.25">
      <c r="A48" s="6" t="s">
        <v>372</v>
      </c>
      <c r="B48" s="6" t="s">
        <v>260</v>
      </c>
      <c r="C48" s="20">
        <f>_xll.BDH("ALNY US Equity","IS_DIL_EPS_BEF_XO","FQ2 2019","FQ2 2019","Currency=USD","Period=FQ","BEST_FPERIOD_OVERRIDE=FQ","FILING_STATUS=MR","Sort=A","Dates=H","DateFormat=P","Fill=—","Direction=H","UseDPDF=Y")</f>
        <v>-2.02</v>
      </c>
      <c r="D48" s="20">
        <f>_xll.BDH("ALNY US Equity","IS_DIL_EPS_BEF_XO","FQ3 2019","FQ3 2019","Currency=USD","Period=FQ","BEST_FPERIOD_OVERRIDE=FQ","FILING_STATUS=MR","Sort=A","Dates=H","DateFormat=P","Fill=—","Direction=H","UseDPDF=Y")</f>
        <v>-1.92</v>
      </c>
      <c r="E48" s="20">
        <f>_xll.BDH("ALNY US Equity","IS_DIL_EPS_BEF_XO","FQ4 2019","FQ4 2019","Currency=USD","Period=FQ","BEST_FPERIOD_OVERRIDE=FQ","FILING_STATUS=MR","Sort=A","Dates=H","DateFormat=P","Fill=—","Direction=H","UseDPDF=Y")</f>
        <v>-2.4700000000000002</v>
      </c>
      <c r="F48" s="20">
        <f>_xll.BDH("ALNY US Equity","IS_DIL_EPS_BEF_XO","FQ1 2020","FQ1 2020","Currency=USD","Period=FQ","BEST_FPERIOD_OVERRIDE=FQ","FILING_STATUS=MR","Sort=A","Dates=H","DateFormat=P","Fill=—","Direction=H","UseDPDF=Y")</f>
        <v>-1.62</v>
      </c>
      <c r="G48" s="20">
        <f>_xll.BDH("ALNY US Equity","IS_DIL_EPS_BEF_XO","FQ2 2020","FQ2 2020","Currency=USD","Period=FQ","BEST_FPERIOD_OVERRIDE=FQ","FILING_STATUS=MR","Sort=A","Dates=H","DateFormat=P","Fill=—","Direction=H","UseDPDF=Y")</f>
        <v>-1.56</v>
      </c>
      <c r="H48" s="20">
        <f>_xll.BDH("ALNY US Equity","IS_DIL_EPS_BEF_XO","FQ3 2020","FQ3 2020","Currency=USD","Period=FQ","BEST_FPERIOD_OVERRIDE=FQ","FILING_STATUS=MR","Sort=A","Dates=H","DateFormat=P","Fill=—","Direction=H","UseDPDF=Y")</f>
        <v>-2.1800000000000002</v>
      </c>
      <c r="I48" s="20">
        <f>_xll.BDH("ALNY US Equity","IS_DIL_EPS_BEF_XO","FQ4 2020","FQ4 2020","Currency=USD","Period=FQ","BEST_FPERIOD_OVERRIDE=FQ","FILING_STATUS=MR","Sort=A","Dates=H","DateFormat=P","Fill=—","Direction=H","UseDPDF=Y")</f>
        <v>-2.09</v>
      </c>
      <c r="J48" s="20">
        <f>_xll.BDH("ALNY US Equity","IS_DIL_EPS_BEF_XO","FQ1 2021","FQ1 2021","Currency=USD","Period=FQ","BEST_FPERIOD_OVERRIDE=FQ","FILING_STATUS=MR","Sort=A","Dates=H","DateFormat=P","Fill=—","Direction=H","UseDPDF=Y")</f>
        <v>-1.71</v>
      </c>
      <c r="K48" s="20">
        <f>_xll.BDH("ALNY US Equity","IS_DIL_EPS_BEF_XO","FQ2 2021","FQ2 2021","Currency=USD","Period=FQ","BEST_FPERIOD_OVERRIDE=FQ","FILING_STATUS=MR","Sort=A","Dates=H","DateFormat=P","Fill=—","Direction=H","UseDPDF=Y")</f>
        <v>-1.61</v>
      </c>
      <c r="L48" s="20">
        <f>_xll.BDH("ALNY US Equity","IS_DIL_EPS_BEF_XO","FQ3 2021","FQ3 2021","Currency=USD","Period=FQ","BEST_FPERIOD_OVERRIDE=FQ","FILING_STATUS=MR","Sort=A","Dates=H","DateFormat=P","Fill=—","Direction=H","UseDPDF=Y")</f>
        <v>-1.72</v>
      </c>
      <c r="M48" s="20">
        <f>_xll.BDH("ALNY US Equity","IS_DIL_EPS_BEF_XO","FQ4 2021","FQ4 2021","Currency=USD","Period=FQ","BEST_FPERIOD_OVERRIDE=FQ","FILING_STATUS=MR","Sort=A","Dates=H","DateFormat=P","Fill=—","Direction=H","UseDPDF=Y")</f>
        <v>-2.16</v>
      </c>
      <c r="N48" s="20">
        <f>_xll.BDH("ALNY US Equity","IS_DIL_EPS_BEF_XO","FQ1 2022","FQ1 2022","Currency=USD","Period=FQ","BEST_FPERIOD_OVERRIDE=FQ","FILING_STATUS=MR","Sort=A","Dates=H","DateFormat=P","Fill=—","Direction=H","UseDPDF=Y")</f>
        <v>-2</v>
      </c>
      <c r="O48" s="20">
        <f>_xll.BDH("ALNY US Equity","IS_DIL_EPS_BEF_XO","FQ2 2022","FQ2 2022","Currency=USD","Period=FQ","BEST_FPERIOD_OVERRIDE=FQ","FILING_STATUS=MR","Sort=A","Dates=H","DateFormat=P","Fill=—","Direction=H","UseDPDF=Y")</f>
        <v>-2.29</v>
      </c>
      <c r="P48" s="20">
        <f>_xll.BDH("ALNY US Equity","IS_DIL_EPS_BEF_XO","FQ3 2022","FQ3 2022","Currency=USD","Period=FQ","BEST_FPERIOD_OVERRIDE=FQ","FILING_STATUS=MR","Sort=A","Dates=H","DateFormat=P","Fill=—","Direction=H","UseDPDF=Y")</f>
        <v>-3.32</v>
      </c>
      <c r="Q48" s="20">
        <f>_xll.BDH("ALNY US Equity","IS_DIL_EPS_BEF_XO","FQ4 2022","FQ4 2022","Currency=USD","Period=FQ","BEST_FPERIOD_OVERRIDE=FQ","FILING_STATUS=MR","Sort=A","Dates=H","DateFormat=P","Fill=—","Direction=H","UseDPDF=Y")</f>
        <v>-1.68</v>
      </c>
      <c r="R48" s="20">
        <f>_xll.BDH("ALNY US Equity","IS_DIL_EPS_BEF_XO","FQ1 2023","FQ1 2023","Currency=USD","Period=FQ","BEST_FPERIOD_OVERRIDE=FQ","FILING_STATUS=MR","Sort=A","Dates=H","DateFormat=P","Fill=—","Direction=H","UseDPDF=Y")</f>
        <v>-1.4</v>
      </c>
      <c r="S48" s="20">
        <f>_xll.BDH("ALNY US Equity","IS_DIL_EPS_BEF_XO","FQ2 2023","FQ2 2023","Currency=USD","Period=FQ","BEST_FPERIOD_OVERRIDE=FQ","FILING_STATUS=MR","Sort=A","Dates=H","DateFormat=P","Fill=—","Direction=H","UseDPDF=Y")</f>
        <v>-2.21</v>
      </c>
      <c r="T48" s="20">
        <f>_xll.BDH("ALNY US Equity","IS_DIL_EPS_BEF_XO","FQ3 2023","FQ3 2023","Currency=USD","Period=FQ","BEST_FPERIOD_OVERRIDE=FQ","FILING_STATUS=MR","Sort=A","Dates=H","DateFormat=P","Fill=—","Direction=H","UseDPDF=Y")</f>
        <v>1.1499999999999999</v>
      </c>
      <c r="U48" s="20">
        <f>_xll.BDH("ALNY US Equity","IS_DIL_EPS_BEF_XO","FQ4 2023","FQ4 2023","Currency=USD","Period=FQ","BEST_FPERIOD_OVERRIDE=FQ","FILING_STATUS=MR","Sort=A","Dates=H","DateFormat=P","Fill=—","Direction=H","UseDPDF=Y")</f>
        <v>-1.1000000000000001</v>
      </c>
      <c r="V48" s="20">
        <f>_xll.BDH("ALNY US Equity","IS_DIL_EPS_BEF_XO","FQ1 2024","FQ1 2024","Currency=USD","Period=FQ","BEST_FPERIOD_OVERRIDE=FQ","FILING_STATUS=MR","Sort=A","Dates=H","DateFormat=P","Fill=—","Direction=H","UseDPDF=Y")</f>
        <v>-0.52</v>
      </c>
      <c r="W48" s="20">
        <f>_xll.BDH("ALNY US Equity","IS_DIL_EPS_BEF_XO","FQ2 2024","FQ2 2024","Currency=USD","Period=FQ","BEST_FPERIOD_OVERRIDE=FQ","FILING_STATUS=MR","Sort=A","Dates=H","DateFormat=P","Fill=—","Direction=H","UseDPDF=Y")</f>
        <v>-0.13</v>
      </c>
      <c r="X48" s="20">
        <f>_xll.BDH("ALNY US Equity","IS_DIL_EPS_BEF_XO","FQ3 2024","FQ3 2024","Currency=USD","Period=FQ","BEST_FPERIOD_OVERRIDE=FQ","FILING_STATUS=MR","Sort=A","Dates=H","DateFormat=P","Fill=—","Direction=H","UseDPDF=Y")</f>
        <v>-0.87</v>
      </c>
      <c r="Y48" s="20">
        <f>_xll.BDH("ALNY US Equity","IS_DIL_EPS_BEF_XO","FQ4 2024","FQ4 2024","Currency=USD","Period=FQ","BEST_FPERIOD_OVERRIDE=FQ","FILING_STATUS=MR","Sort=A","Dates=H","DateFormat=P","Fill=—","Direction=H","UseDPDF=Y")</f>
        <v>-0.65</v>
      </c>
      <c r="Z48" s="20">
        <v>-0.95</v>
      </c>
      <c r="AA48" s="20">
        <v>-0.91500000000000004</v>
      </c>
    </row>
    <row r="49" spans="1:27" x14ac:dyDescent="0.25">
      <c r="A49" s="6" t="s">
        <v>373</v>
      </c>
      <c r="B49" s="6" t="s">
        <v>82</v>
      </c>
      <c r="C49" s="20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D49" s="20">
        <f>_xll.BDH("ALNY US Equity","IS_DIL_EPS_CONT_OPS","FQ3 2019","FQ3 2019","Currency=USD","Period=FQ","BEST_FPERIOD_OVERRIDE=FQ","FILING_STATUS=MR","Sort=A","Dates=H","DateFormat=P","Fill=—","Direction=H","UseDPDF=Y")</f>
        <v>-1.92</v>
      </c>
      <c r="E49" s="20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F49" s="20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G49" s="20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H49" s="20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I49" s="20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J49" s="20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K49" s="20">
        <f>_xll.BDH("ALNY US Equity","IS_DIL_EPS_CONT_OPS","FQ2 2021","FQ2 2021","Currency=USD","Period=FQ","BEST_FPERIOD_OVERRIDE=FQ","FILING_STATUS=MR","Sort=A","Dates=H","DateFormat=P","Fill=—","Direction=H","UseDPDF=Y")</f>
        <v>-1.5724</v>
      </c>
      <c r="L49" s="20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M49" s="20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N49" s="20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O49" s="20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P49" s="20">
        <f>_xll.BDH("ALNY US Equity","IS_DIL_EPS_CONT_OPS","FQ3 2022","FQ3 2022","Currency=USD","Period=FQ","BEST_FPERIOD_OVERRIDE=FQ","FILING_STATUS=MR","Sort=A","Dates=H","DateFormat=P","Fill=—","Direction=H","UseDPDF=Y")</f>
        <v>-2.6315</v>
      </c>
      <c r="Q49" s="20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R49" s="20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S49" s="20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T49" s="20">
        <f>_xll.BDH("ALNY US Equity","IS_DIL_EPS_CONT_OPS","FQ3 2023","FQ3 2023","Currency=USD","Period=FQ","BEST_FPERIOD_OVERRIDE=FQ","FILING_STATUS=MR","Sort=A","Dates=H","DateFormat=P","Fill=—","Direction=H","UseDPDF=Y")</f>
        <v>1.2783</v>
      </c>
      <c r="U49" s="20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V49" s="20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W49" s="20">
        <f>_xll.BDH("ALNY US Equity","IS_DIL_EPS_CONT_OPS","FQ2 2024","FQ2 2024","Currency=USD","Period=FQ","BEST_FPERIOD_OVERRIDE=FQ","FILING_STATUS=MR","Sort=A","Dates=H","DateFormat=P","Fill=—","Direction=H","UseDPDF=Y")</f>
        <v>-0.1225</v>
      </c>
      <c r="X49" s="20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Y49" s="20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  <c r="Z49" s="20">
        <v>-0.46400000000000002</v>
      </c>
      <c r="AA49" s="20">
        <v>-0.39400000000000002</v>
      </c>
    </row>
    <row r="50" spans="1:27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x14ac:dyDescent="0.25">
      <c r="A51" s="6" t="s">
        <v>4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x14ac:dyDescent="0.25">
      <c r="A52" s="10" t="s">
        <v>374</v>
      </c>
      <c r="B52" s="10" t="s">
        <v>375</v>
      </c>
      <c r="C52" s="12" t="s">
        <v>376</v>
      </c>
      <c r="D52" s="12" t="s">
        <v>376</v>
      </c>
      <c r="E52" s="12" t="s">
        <v>376</v>
      </c>
      <c r="F52" s="12" t="s">
        <v>376</v>
      </c>
      <c r="G52" s="12" t="s">
        <v>376</v>
      </c>
      <c r="H52" s="12" t="s">
        <v>376</v>
      </c>
      <c r="I52" s="12" t="s">
        <v>376</v>
      </c>
      <c r="J52" s="12" t="s">
        <v>376</v>
      </c>
      <c r="K52" s="12" t="s">
        <v>376</v>
      </c>
      <c r="L52" s="12" t="s">
        <v>376</v>
      </c>
      <c r="M52" s="12" t="s">
        <v>376</v>
      </c>
      <c r="N52" s="12" t="s">
        <v>376</v>
      </c>
      <c r="O52" s="12" t="s">
        <v>376</v>
      </c>
      <c r="P52" s="12" t="s">
        <v>376</v>
      </c>
      <c r="Q52" s="12" t="s">
        <v>376</v>
      </c>
      <c r="R52" s="12" t="s">
        <v>376</v>
      </c>
      <c r="S52" s="12" t="s">
        <v>376</v>
      </c>
      <c r="T52" s="12" t="s">
        <v>376</v>
      </c>
      <c r="U52" s="12" t="s">
        <v>376</v>
      </c>
      <c r="V52" s="12" t="s">
        <v>376</v>
      </c>
      <c r="W52" s="12" t="s">
        <v>376</v>
      </c>
      <c r="X52" s="12" t="s">
        <v>376</v>
      </c>
      <c r="Y52" s="12" t="s">
        <v>376</v>
      </c>
      <c r="Z52" s="12"/>
      <c r="AA52" s="12"/>
    </row>
    <row r="53" spans="1:27" x14ac:dyDescent="0.25">
      <c r="A53" s="10" t="s">
        <v>78</v>
      </c>
      <c r="B53" s="10" t="s">
        <v>78</v>
      </c>
      <c r="C53" s="13">
        <f>_xll.BDH("ALNY US Equity","EBITDA","FQ2 2019","FQ2 2019","Currency=USD","Period=FQ","BEST_FPERIOD_OVERRIDE=FQ","FILING_STATUS=MR","SCALING_FORMAT=MLN","FA_ADJUSTED=GAAP","Sort=A","Dates=H","DateFormat=P","Fill=—","Direction=H","UseDPDF=Y")</f>
        <v>-217.23500000000001</v>
      </c>
      <c r="D53" s="13">
        <f>_xll.BDH("ALNY US Equity","EBITDA","FQ3 2019","FQ3 2019","Currency=USD","Period=FQ","BEST_FPERIOD_OVERRIDE=FQ","FILING_STATUS=MR","SCALING_FORMAT=MLN","FA_ADJUSTED=GAAP","Sort=A","Dates=H","DateFormat=P","Fill=—","Direction=H","UseDPDF=Y")</f>
        <v>-189.36600000000001</v>
      </c>
      <c r="E53" s="13">
        <f>_xll.BDH("ALNY US Equity","EBITDA","FQ4 2019","FQ4 2019","Currency=USD","Period=FQ","BEST_FPERIOD_OVERRIDE=FQ","FILING_STATUS=MR","SCALING_FORMAT=MLN","FA_ADJUSTED=GAAP","Sort=A","Dates=H","DateFormat=P","Fill=—","Direction=H","UseDPDF=Y")</f>
        <v>-272.56099999999998</v>
      </c>
      <c r="F53" s="13">
        <f>_xll.BDH("ALNY US Equity","EBITDA","FQ1 2020","FQ1 2020","Currency=USD","Period=FQ","BEST_FPERIOD_OVERRIDE=FQ","FILING_STATUS=MR","SCALING_FORMAT=MLN","FA_ADJUSTED=GAAP","Sort=A","Dates=H","DateFormat=P","Fill=—","Direction=H","UseDPDF=Y")</f>
        <v>-193.15199999999999</v>
      </c>
      <c r="G53" s="13">
        <f>_xll.BDH("ALNY US Equity","EBITDA","FQ2 2020","FQ2 2020","Currency=USD","Period=FQ","BEST_FPERIOD_OVERRIDE=FQ","FILING_STATUS=MR","SCALING_FORMAT=MLN","FA_ADJUSTED=GAAP","Sort=A","Dates=H","DateFormat=P","Fill=—","Direction=H","UseDPDF=Y")</f>
        <v>-181.08099999999999</v>
      </c>
      <c r="H53" s="13">
        <f>_xll.BDH("ALNY US Equity","EBITDA","FQ3 2020","FQ3 2020","Currency=USD","Period=FQ","BEST_FPERIOD_OVERRIDE=FQ","FILING_STATUS=MR","SCALING_FORMAT=MLN","FA_ADJUSTED=GAAP","Sort=A","Dates=H","DateFormat=P","Fill=—","Direction=H","UseDPDF=Y")</f>
        <v>-206.428</v>
      </c>
      <c r="I53" s="13">
        <f>_xll.BDH("ALNY US Equity","EBITDA","FQ4 2020","FQ4 2020","Currency=USD","Period=FQ","BEST_FPERIOD_OVERRIDE=FQ","FILING_STATUS=MR","SCALING_FORMAT=MLN","FA_ADJUSTED=GAAP","Sort=A","Dates=H","DateFormat=P","Fill=—","Direction=H","UseDPDF=Y")</f>
        <v>-173.34200000000001</v>
      </c>
      <c r="J53" s="13">
        <f>_xll.BDH("ALNY US Equity","EBITDA","FQ1 2021","FQ1 2021","Currency=USD","Period=FQ","BEST_FPERIOD_OVERRIDE=FQ","FILING_STATUS=MR","SCALING_FORMAT=MLN","FA_ADJUSTED=GAAP","Sort=A","Dates=H","DateFormat=P","Fill=—","Direction=H","UseDPDF=Y")</f>
        <v>-163.392</v>
      </c>
      <c r="K53" s="13">
        <f>_xll.BDH("ALNY US Equity","EBITDA","FQ2 2021","FQ2 2021","Currency=USD","Period=FQ","BEST_FPERIOD_OVERRIDE=FQ","FILING_STATUS=MR","SCALING_FORMAT=MLN","FA_ADJUSTED=GAAP","Sort=A","Dates=H","DateFormat=P","Fill=—","Direction=H","UseDPDF=Y")</f>
        <v>-123.999</v>
      </c>
      <c r="L53" s="13">
        <f>_xll.BDH("ALNY US Equity","EBITDA","FQ3 2021","FQ3 2021","Currency=USD","Period=FQ","BEST_FPERIOD_OVERRIDE=FQ","FILING_STATUS=MR","SCALING_FORMAT=MLN","FA_ADJUSTED=GAAP","Sort=A","Dates=H","DateFormat=P","Fill=—","Direction=H","UseDPDF=Y")</f>
        <v>-158.45699999999999</v>
      </c>
      <c r="M53" s="13">
        <f>_xll.BDH("ALNY US Equity","EBITDA","FQ4 2021","FQ4 2021","Currency=USD","Period=FQ","BEST_FPERIOD_OVERRIDE=FQ","FILING_STATUS=MR","SCALING_FORMAT=MLN","FA_ADJUSTED=GAAP","Sort=A","Dates=H","DateFormat=P","Fill=—","Direction=H","UseDPDF=Y")</f>
        <v>-173.11</v>
      </c>
      <c r="N53" s="13">
        <f>_xll.BDH("ALNY US Equity","EBITDA","FQ1 2022","FQ1 2022","Currency=USD","Period=FQ","BEST_FPERIOD_OVERRIDE=FQ","FILING_STATUS=MR","SCALING_FORMAT=MLN","FA_ADJUSTED=GAAP","Sort=A","Dates=H","DateFormat=P","Fill=—","Direction=H","UseDPDF=Y")</f>
        <v>-126.95399999999999</v>
      </c>
      <c r="O53" s="13">
        <f>_xll.BDH("ALNY US Equity","EBITDA","FQ2 2022","FQ2 2022","Currency=USD","Period=FQ","BEST_FPERIOD_OVERRIDE=FQ","FILING_STATUS=MR","SCALING_FORMAT=MLN","FA_ADJUSTED=GAAP","Sort=A","Dates=H","DateFormat=P","Fill=—","Direction=H","UseDPDF=Y")</f>
        <v>-171.44900000000001</v>
      </c>
      <c r="P53" s="13">
        <f>_xll.BDH("ALNY US Equity","EBITDA","FQ3 2022","FQ3 2022","Currency=USD","Period=FQ","BEST_FPERIOD_OVERRIDE=FQ","FILING_STATUS=MR","SCALING_FORMAT=MLN","FA_ADJUSTED=GAAP","Sort=A","Dates=H","DateFormat=P","Fill=—","Direction=H","UseDPDF=Y")</f>
        <v>-237.39</v>
      </c>
      <c r="Q53" s="13">
        <f>_xll.BDH("ALNY US Equity","EBITDA","FQ4 2022","FQ4 2022","Currency=USD","Period=FQ","BEST_FPERIOD_OVERRIDE=FQ","FILING_STATUS=MR","SCALING_FORMAT=MLN","FA_ADJUSTED=GAAP","Sort=A","Dates=H","DateFormat=P","Fill=—","Direction=H","UseDPDF=Y")</f>
        <v>-163.72900000000001</v>
      </c>
      <c r="R53" s="13">
        <f>_xll.BDH("ALNY US Equity","EBITDA","FQ1 2023","FQ1 2023","Currency=USD","Period=FQ","BEST_FPERIOD_OVERRIDE=FQ","FILING_STATUS=MR","SCALING_FORMAT=MLN","FA_ADJUSTED=GAAP","Sort=A","Dates=H","DateFormat=P","Fill=—","Direction=H","UseDPDF=Y")</f>
        <v>-123.72799999999999</v>
      </c>
      <c r="S53" s="13">
        <f>_xll.BDH("ALNY US Equity","EBITDA","FQ2 2023","FQ2 2023","Currency=USD","Period=FQ","BEST_FPERIOD_OVERRIDE=FQ","FILING_STATUS=MR","SCALING_FORMAT=MLN","FA_ADJUSTED=GAAP","Sort=A","Dates=H","DateFormat=P","Fill=—","Direction=H","UseDPDF=Y")</f>
        <v>-206.38399999999999</v>
      </c>
      <c r="T53" s="13">
        <f>_xll.BDH("ALNY US Equity","EBITDA","FQ3 2023","FQ3 2023","Currency=USD","Period=FQ","BEST_FPERIOD_OVERRIDE=FQ","FILING_STATUS=MR","SCALING_FORMAT=MLN","FA_ADJUSTED=GAAP","Sort=A","Dates=H","DateFormat=P","Fill=—","Direction=H","UseDPDF=Y")</f>
        <v>237.399</v>
      </c>
      <c r="U53" s="13">
        <f>_xll.BDH("ALNY US Equity","EBITDA","FQ4 2023","FQ4 2023","Currency=USD","Period=FQ","BEST_FPERIOD_OVERRIDE=FQ","FILING_STATUS=MR","SCALING_FORMAT=MLN","FA_ADJUSTED=GAAP","Sort=A","Dates=H","DateFormat=P","Fill=—","Direction=H","UseDPDF=Y")</f>
        <v>-92.430999999999997</v>
      </c>
      <c r="V53" s="13">
        <f>_xll.BDH("ALNY US Equity","EBITDA","FQ1 2024","FQ1 2024","Currency=USD","Period=FQ","BEST_FPERIOD_OVERRIDE=FQ","FILING_STATUS=MR","SCALING_FORMAT=MLN","FA_ADJUSTED=GAAP","Sort=A","Dates=H","DateFormat=P","Fill=—","Direction=H","UseDPDF=Y")</f>
        <v>-17.949000000000002</v>
      </c>
      <c r="W53" s="13">
        <f>_xll.BDH("ALNY US Equity","EBITDA","FQ2 2024","FQ2 2024","Currency=USD","Period=FQ","BEST_FPERIOD_OVERRIDE=FQ","FILING_STATUS=MR","SCALING_FORMAT=MLN","FA_ADJUSTED=GAAP","Sort=A","Dates=H","DateFormat=P","Fill=—","Direction=H","UseDPDF=Y")</f>
        <v>73.305999999999997</v>
      </c>
      <c r="X53" s="13">
        <f>_xll.BDH("ALNY US Equity","EBITDA","FQ3 2024","FQ3 2024","Currency=USD","Period=FQ","BEST_FPERIOD_OVERRIDE=FQ","FILING_STATUS=MR","SCALING_FORMAT=MLN","FA_ADJUSTED=GAAP","Sort=A","Dates=H","DateFormat=P","Fill=—","Direction=H","UseDPDF=Y")</f>
        <v>-49.866999999999997</v>
      </c>
      <c r="Y53" s="13">
        <f>_xll.BDH("ALNY US Equity","EBITDA","FQ4 2024","FQ4 2024","Currency=USD","Period=FQ","BEST_FPERIOD_OVERRIDE=FQ","FILING_STATUS=MR","SCALING_FORMAT=MLN","FA_ADJUSTED=GAAP","Sort=A","Dates=H","DateFormat=P","Fill=—","Direction=H","UseDPDF=Y")</f>
        <v>-90.991</v>
      </c>
      <c r="Z53" s="13">
        <v>-89.875</v>
      </c>
      <c r="AA53" s="13">
        <v>-68.125</v>
      </c>
    </row>
    <row r="54" spans="1:27" x14ac:dyDescent="0.25">
      <c r="A54" s="10" t="s">
        <v>377</v>
      </c>
      <c r="B54" s="10" t="s">
        <v>378</v>
      </c>
      <c r="C54" s="14">
        <f>_xll.BDH("ALNY US Equity","EBITDA_MARGIN","FQ2 2019","FQ2 2019","Currency=USD","Period=FQ","BEST_FPERIOD_OVERRIDE=FQ","FILING_STATUS=MR","FA_ADJUSTED=GAAP","Sort=A","Dates=H","DateFormat=P","Fill=—","Direction=H","UseDPDF=Y")</f>
        <v>-848.99519999999995</v>
      </c>
      <c r="D54" s="14">
        <f>_xll.BDH("ALNY US Equity","EBITDA_MARGIN","FQ3 2019","FQ3 2019","Currency=USD","Period=FQ","BEST_FPERIOD_OVERRIDE=FQ","FILING_STATUS=MR","FA_ADJUSTED=GAAP","Sort=A","Dates=H","DateFormat=P","Fill=—","Direction=H","UseDPDF=Y")</f>
        <v>-471.00150000000002</v>
      </c>
      <c r="E54" s="14">
        <f>_xll.BDH("ALNY US Equity","EBITDA_MARGIN","FQ4 2019","FQ4 2019","Currency=USD","Period=FQ","BEST_FPERIOD_OVERRIDE=FQ","FILING_STATUS=MR","FA_ADJUSTED=GAAP","Sort=A","Dates=H","DateFormat=P","Fill=—","Direction=H","UseDPDF=Y")</f>
        <v>-385.18770000000001</v>
      </c>
      <c r="F54" s="14">
        <f>_xll.BDH("ALNY US Equity","EBITDA_MARGIN","FQ1 2020","FQ1 2020","Currency=USD","Period=FQ","BEST_FPERIOD_OVERRIDE=FQ","FILING_STATUS=MR","FA_ADJUSTED=GAAP","Sort=A","Dates=H","DateFormat=P","Fill=—","Direction=H","UseDPDF=Y")</f>
        <v>-305.07740000000001</v>
      </c>
      <c r="G54" s="14">
        <f>_xll.BDH("ALNY US Equity","EBITDA_MARGIN","FQ2 2020","FQ2 2020","Currency=USD","Period=FQ","BEST_FPERIOD_OVERRIDE=FQ","FILING_STATUS=MR","FA_ADJUSTED=GAAP","Sort=A","Dates=H","DateFormat=P","Fill=—","Direction=H","UseDPDF=Y")</f>
        <v>-242.2388</v>
      </c>
      <c r="H54" s="14">
        <f>_xll.BDH("ALNY US Equity","EBITDA_MARGIN","FQ3 2020","FQ3 2020","Currency=USD","Period=FQ","BEST_FPERIOD_OVERRIDE=FQ","FILING_STATUS=MR","FA_ADJUSTED=GAAP","Sort=A","Dates=H","DateFormat=P","Fill=—","Direction=H","UseDPDF=Y")</f>
        <v>-212.7884</v>
      </c>
      <c r="I54" s="14">
        <f>_xll.BDH("ALNY US Equity","EBITDA_MARGIN","FQ4 2020","FQ4 2020","Currency=USD","Period=FQ","BEST_FPERIOD_OVERRIDE=FQ","FILING_STATUS=MR","FA_ADJUSTED=GAAP","Sort=A","Dates=H","DateFormat=P","Fill=—","Direction=H","UseDPDF=Y")</f>
        <v>-152.98740000000001</v>
      </c>
      <c r="J54" s="14">
        <f>_xll.BDH("ALNY US Equity","EBITDA_MARGIN","FQ1 2021","FQ1 2021","Currency=USD","Period=FQ","BEST_FPERIOD_OVERRIDE=FQ","FILING_STATUS=MR","FA_ADJUSTED=GAAP","Sort=A","Dates=H","DateFormat=P","Fill=—","Direction=H","UseDPDF=Y")</f>
        <v>-126.8503</v>
      </c>
      <c r="K54" s="14">
        <f>_xll.BDH("ALNY US Equity","EBITDA_MARGIN","FQ2 2021","FQ2 2021","Currency=USD","Period=FQ","BEST_FPERIOD_OVERRIDE=FQ","FILING_STATUS=MR","FA_ADJUSTED=GAAP","Sort=A","Dates=H","DateFormat=P","Fill=—","Direction=H","UseDPDF=Y")</f>
        <v>-97.036799999999999</v>
      </c>
      <c r="L54" s="14">
        <f>_xll.BDH("ALNY US Equity","EBITDA_MARGIN","FQ3 2021","FQ3 2021","Currency=USD","Period=FQ","BEST_FPERIOD_OVERRIDE=FQ","FILING_STATUS=MR","FA_ADJUSTED=GAAP","Sort=A","Dates=H","DateFormat=P","Fill=—","Direction=H","UseDPDF=Y")</f>
        <v>-82.634200000000007</v>
      </c>
      <c r="M54" s="14">
        <f>_xll.BDH("ALNY US Equity","EBITDA_MARGIN","FQ4 2021","FQ4 2021","Currency=USD","Period=FQ","BEST_FPERIOD_OVERRIDE=FQ","FILING_STATUS=MR","FA_ADJUSTED=GAAP","Sort=A","Dates=H","DateFormat=P","Fill=—","Direction=H","UseDPDF=Y")</f>
        <v>-73.311300000000003</v>
      </c>
      <c r="N54" s="14">
        <f>_xll.BDH("ALNY US Equity","EBITDA_MARGIN","FQ1 2022","FQ1 2022","Currency=USD","Period=FQ","BEST_FPERIOD_OVERRIDE=FQ","FILING_STATUS=MR","FA_ADJUSTED=GAAP","Sort=A","Dates=H","DateFormat=P","Fill=—","Direction=H","UseDPDF=Y")</f>
        <v>-66.197000000000003</v>
      </c>
      <c r="O54" s="14">
        <f>_xll.BDH("ALNY US Equity","EBITDA_MARGIN","FQ2 2022","FQ2 2022","Currency=USD","Period=FQ","BEST_FPERIOD_OVERRIDE=FQ","FILING_STATUS=MR","FA_ADJUSTED=GAAP","Sort=A","Dates=H","DateFormat=P","Fill=—","Direction=H","UseDPDF=Y")</f>
        <v>-71.243799999999993</v>
      </c>
      <c r="P54" s="14">
        <f>_xll.BDH("ALNY US Equity","EBITDA_MARGIN","FQ3 2022","FQ3 2022","Currency=USD","Period=FQ","BEST_FPERIOD_OVERRIDE=FQ","FILING_STATUS=MR","FA_ADJUSTED=GAAP","Sort=A","Dates=H","DateFormat=P","Fill=—","Direction=H","UseDPDF=Y")</f>
        <v>-73.773499999999999</v>
      </c>
      <c r="Q54" s="14">
        <f>_xll.BDH("ALNY US Equity","EBITDA_MARGIN","FQ4 2022","FQ4 2022","Currency=USD","Period=FQ","BEST_FPERIOD_OVERRIDE=FQ","FILING_STATUS=MR","FA_ADJUSTED=GAAP","Sort=A","Dates=H","DateFormat=P","Fill=—","Direction=H","UseDPDF=Y")</f>
        <v>-67.429100000000005</v>
      </c>
      <c r="R54" s="14">
        <f>_xll.BDH("ALNY US Equity","EBITDA_MARGIN","FQ1 2023","FQ1 2023","Currency=USD","Period=FQ","BEST_FPERIOD_OVERRIDE=FQ","FILING_STATUS=MR","FA_ADJUSTED=GAAP","Sort=A","Dates=H","DateFormat=P","Fill=—","Direction=H","UseDPDF=Y")</f>
        <v>-60.894399999999997</v>
      </c>
      <c r="S54" s="14">
        <f>_xll.BDH("ALNY US Equity","EBITDA_MARGIN","FQ2 2023","FQ2 2023","Currency=USD","Period=FQ","BEST_FPERIOD_OVERRIDE=FQ","FILING_STATUS=MR","FA_ADJUSTED=GAAP","Sort=A","Dates=H","DateFormat=P","Fill=—","Direction=H","UseDPDF=Y")</f>
        <v>-59.094900000000003</v>
      </c>
      <c r="T54" s="14">
        <f>_xll.BDH("ALNY US Equity","EBITDA_MARGIN","FQ3 2023","FQ3 2023","Currency=USD","Period=FQ","BEST_FPERIOD_OVERRIDE=FQ","FILING_STATUS=MR","FA_ADJUSTED=GAAP","Sort=A","Dates=H","DateFormat=P","Fill=—","Direction=H","UseDPDF=Y")</f>
        <v>-14.8782</v>
      </c>
      <c r="U54" s="14">
        <f>_xll.BDH("ALNY US Equity","EBITDA_MARGIN","FQ4 2023","FQ4 2023","Currency=USD","Period=FQ","BEST_FPERIOD_OVERRIDE=FQ","FILING_STATUS=MR","FA_ADJUSTED=GAAP","Sort=A","Dates=H","DateFormat=P","Fill=—","Direction=H","UseDPDF=Y")</f>
        <v>-10.1266</v>
      </c>
      <c r="V54" s="14">
        <f>_xll.BDH("ALNY US Equity","EBITDA_MARGIN","FQ1 2024","FQ1 2024","Currency=USD","Period=FQ","BEST_FPERIOD_OVERRIDE=FQ","FILING_STATUS=MR","FA_ADJUSTED=GAAP","Sort=A","Dates=H","DateFormat=P","Fill=—","Direction=H","UseDPDF=Y")</f>
        <v>-3.9615999999999998</v>
      </c>
      <c r="W54" s="14">
        <f>_xll.BDH("ALNY US Equity","EBITDA_MARGIN","FQ2 2024","FQ2 2024","Currency=USD","Period=FQ","BEST_FPERIOD_OVERRIDE=FQ","FILING_STATUS=MR","FA_ADJUSTED=GAAP","Sort=A","Dates=H","DateFormat=P","Fill=—","Direction=H","UseDPDF=Y")</f>
        <v>8.5448000000000004</v>
      </c>
      <c r="X54" s="14">
        <f>_xll.BDH("ALNY US Equity","EBITDA_MARGIN","FQ3 2024","FQ3 2024","Currency=USD","Period=FQ","BEST_FPERIOD_OVERRIDE=FQ","FILING_STATUS=MR","FA_ADJUSTED=GAAP","Sort=A","Dates=H","DateFormat=P","Fill=—","Direction=H","UseDPDF=Y")</f>
        <v>-4.1502999999999997</v>
      </c>
      <c r="Y54" s="14">
        <f>_xll.BDH("ALNY US Equity","EBITDA_MARGIN","FQ4 2024","FQ4 2024","Currency=USD","Period=FQ","BEST_FPERIOD_OVERRIDE=FQ","FILING_STATUS=MR","FA_ADJUSTED=GAAP","Sort=A","Dates=H","DateFormat=P","Fill=—","Direction=H","UseDPDF=Y")</f>
        <v>-3.8029999999999999</v>
      </c>
      <c r="Z54" s="14">
        <v>1.6282458841610901</v>
      </c>
      <c r="AA54" s="14">
        <v>15.8805500599487</v>
      </c>
    </row>
    <row r="55" spans="1:27" x14ac:dyDescent="0.25">
      <c r="A55" s="10" t="s">
        <v>379</v>
      </c>
      <c r="B55" s="10" t="s">
        <v>379</v>
      </c>
      <c r="C55" s="13" t="str">
        <f>_xll.BDH("ALNY US Equity","EBITA","FQ2 2019","FQ2 2019","Currency=USD","Period=FQ","BEST_FPERIOD_OVERRIDE=FQ","FILING_STATUS=MR","SCALING_FORMAT=MLN","FA_ADJUSTED=GAAP","Sort=A","Dates=H","DateFormat=P","Fill=—","Direction=H","UseDPDF=Y")</f>
        <v>—</v>
      </c>
      <c r="D55" s="13" t="str">
        <f>_xll.BDH("ALNY US Equity","EBITA","FQ3 2019","FQ3 2019","Currency=USD","Period=FQ","BEST_FPERIOD_OVERRIDE=FQ","FILING_STATUS=MR","SCALING_FORMAT=MLN","FA_ADJUSTED=GAAP","Sort=A","Dates=H","DateFormat=P","Fill=—","Direction=H","UseDPDF=Y")</f>
        <v>—</v>
      </c>
      <c r="E55" s="13" t="str">
        <f>_xll.BDH("ALNY US Equity","EBITA","FQ4 2019","FQ4 2019","Currency=USD","Period=FQ","BEST_FPERIOD_OVERRIDE=FQ","FILING_STATUS=MR","SCALING_FORMAT=MLN","FA_ADJUSTED=GAAP","Sort=A","Dates=H","DateFormat=P","Fill=—","Direction=H","UseDPDF=Y")</f>
        <v>—</v>
      </c>
      <c r="F55" s="13" t="str">
        <f>_xll.BDH("ALNY US Equity","EBITA","FQ1 2020","FQ1 2020","Currency=USD","Period=FQ","BEST_FPERIOD_OVERRIDE=FQ","FILING_STATUS=MR","SCALING_FORMAT=MLN","FA_ADJUSTED=GAAP","Sort=A","Dates=H","DateFormat=P","Fill=—","Direction=H","UseDPDF=Y")</f>
        <v>—</v>
      </c>
      <c r="G55" s="13" t="str">
        <f>_xll.BDH("ALNY US Equity","EBITA","FQ2 2020","FQ2 2020","Currency=USD","Period=FQ","BEST_FPERIOD_OVERRIDE=FQ","FILING_STATUS=MR","SCALING_FORMAT=MLN","FA_ADJUSTED=GAAP","Sort=A","Dates=H","DateFormat=P","Fill=—","Direction=H","UseDPDF=Y")</f>
        <v>—</v>
      </c>
      <c r="H55" s="13" t="str">
        <f>_xll.BDH("ALNY US Equity","EBITA","FQ3 2020","FQ3 2020","Currency=USD","Period=FQ","BEST_FPERIOD_OVERRIDE=FQ","FILING_STATUS=MR","SCALING_FORMAT=MLN","FA_ADJUSTED=GAAP","Sort=A","Dates=H","DateFormat=P","Fill=—","Direction=H","UseDPDF=Y")</f>
        <v>—</v>
      </c>
      <c r="I55" s="13" t="str">
        <f>_xll.BDH("ALNY US Equity","EBITA","FQ4 2020","FQ4 2020","Currency=USD","Period=FQ","BEST_FPERIOD_OVERRIDE=FQ","FILING_STATUS=MR","SCALING_FORMAT=MLN","FA_ADJUSTED=GAAP","Sort=A","Dates=H","DateFormat=P","Fill=—","Direction=H","UseDPDF=Y")</f>
        <v>—</v>
      </c>
      <c r="J55" s="13" t="str">
        <f>_xll.BDH("ALNY US Equity","EBITA","FQ1 2021","FQ1 2021","Currency=USD","Period=FQ","BEST_FPERIOD_OVERRIDE=FQ","FILING_STATUS=MR","SCALING_FORMAT=MLN","FA_ADJUSTED=GAAP","Sort=A","Dates=H","DateFormat=P","Fill=—","Direction=H","UseDPDF=Y")</f>
        <v>—</v>
      </c>
      <c r="K55" s="13" t="str">
        <f>_xll.BDH("ALNY US Equity","EBITA","FQ2 2021","FQ2 2021","Currency=USD","Period=FQ","BEST_FPERIOD_OVERRIDE=FQ","FILING_STATUS=MR","SCALING_FORMAT=MLN","FA_ADJUSTED=GAAP","Sort=A","Dates=H","DateFormat=P","Fill=—","Direction=H","UseDPDF=Y")</f>
        <v>—</v>
      </c>
      <c r="L55" s="13" t="str">
        <f>_xll.BDH("ALNY US Equity","EBITA","FQ3 2021","FQ3 2021","Currency=USD","Period=FQ","BEST_FPERIOD_OVERRIDE=FQ","FILING_STATUS=MR","SCALING_FORMAT=MLN","FA_ADJUSTED=GAAP","Sort=A","Dates=H","DateFormat=P","Fill=—","Direction=H","UseDPDF=Y")</f>
        <v>—</v>
      </c>
      <c r="M55" s="13" t="str">
        <f>_xll.BDH("ALNY US Equity","EBITA","FQ4 2021","FQ4 2021","Currency=USD","Period=FQ","BEST_FPERIOD_OVERRIDE=FQ","FILING_STATUS=MR","SCALING_FORMAT=MLN","FA_ADJUSTED=GAAP","Sort=A","Dates=H","DateFormat=P","Fill=—","Direction=H","UseDPDF=Y")</f>
        <v>—</v>
      </c>
      <c r="N55" s="13" t="str">
        <f>_xll.BDH("ALNY US Equity","EBITA","FQ1 2022","FQ1 2022","Currency=USD","Period=FQ","BEST_FPERIOD_OVERRIDE=FQ","FILING_STATUS=MR","SCALING_FORMAT=MLN","FA_ADJUSTED=GAAP","Sort=A","Dates=H","DateFormat=P","Fill=—","Direction=H","UseDPDF=Y")</f>
        <v>—</v>
      </c>
      <c r="O55" s="13" t="str">
        <f>_xll.BDH("ALNY US Equity","EBITA","FQ2 2022","FQ2 2022","Currency=USD","Period=FQ","BEST_FPERIOD_OVERRIDE=FQ","FILING_STATUS=MR","SCALING_FORMAT=MLN","FA_ADJUSTED=GAAP","Sort=A","Dates=H","DateFormat=P","Fill=—","Direction=H","UseDPDF=Y")</f>
        <v>—</v>
      </c>
      <c r="P55" s="13" t="str">
        <f>_xll.BDH("ALNY US Equity","EBITA","FQ3 2022","FQ3 2022","Currency=USD","Period=FQ","BEST_FPERIOD_OVERRIDE=FQ","FILING_STATUS=MR","SCALING_FORMAT=MLN","FA_ADJUSTED=GAAP","Sort=A","Dates=H","DateFormat=P","Fill=—","Direction=H","UseDPDF=Y")</f>
        <v>—</v>
      </c>
      <c r="Q55" s="13" t="str">
        <f>_xll.BDH("ALNY US Equity","EBITA","FQ4 2022","FQ4 2022","Currency=USD","Period=FQ","BEST_FPERIOD_OVERRIDE=FQ","FILING_STATUS=MR","SCALING_FORMAT=MLN","FA_ADJUSTED=GAAP","Sort=A","Dates=H","DateFormat=P","Fill=—","Direction=H","UseDPDF=Y")</f>
        <v>—</v>
      </c>
      <c r="R55" s="13" t="str">
        <f>_xll.BDH("ALNY US Equity","EBITA","FQ1 2023","FQ1 2023","Currency=USD","Period=FQ","BEST_FPERIOD_OVERRIDE=FQ","FILING_STATUS=MR","SCALING_FORMAT=MLN","FA_ADJUSTED=GAAP","Sort=A","Dates=H","DateFormat=P","Fill=—","Direction=H","UseDPDF=Y")</f>
        <v>—</v>
      </c>
      <c r="S55" s="13">
        <f>_xll.BDH("ALNY US Equity","EBITA","FQ2 2023","FQ2 2023","Currency=USD","Period=FQ","BEST_FPERIOD_OVERRIDE=FQ","FILING_STATUS=MR","SCALING_FORMAT=MLN","FA_ADJUSTED=GAAP","Sort=A","Dates=H","DateFormat=P","Fill=—","Direction=H","UseDPDF=Y")</f>
        <v>-219.56299999999999</v>
      </c>
      <c r="T55" s="13">
        <f>_xll.BDH("ALNY US Equity","EBITA","FQ3 2023","FQ3 2023","Currency=USD","Period=FQ","BEST_FPERIOD_OVERRIDE=FQ","FILING_STATUS=MR","SCALING_FORMAT=MLN","FA_ADJUSTED=GAAP","Sort=A","Dates=H","DateFormat=P","Fill=—","Direction=H","UseDPDF=Y")</f>
        <v>224.071</v>
      </c>
      <c r="U55" s="13" t="str">
        <f>_xll.BDH("ALNY US Equity","EBITA","FQ4 2023","FQ4 2023","Currency=USD","Period=FQ","BEST_FPERIOD_OVERRIDE=FQ","FILING_STATUS=MR","SCALING_FORMAT=MLN","FA_ADJUSTED=GAAP","Sort=A","Dates=H","DateFormat=P","Fill=—","Direction=H","UseDPDF=Y")</f>
        <v>—</v>
      </c>
      <c r="V55" s="13" t="str">
        <f>_xll.BDH("ALNY US Equity","EBITA","FQ1 2024","FQ1 2024","Currency=USD","Period=FQ","BEST_FPERIOD_OVERRIDE=FQ","FILING_STATUS=MR","SCALING_FORMAT=MLN","FA_ADJUSTED=GAAP","Sort=A","Dates=H","DateFormat=P","Fill=—","Direction=H","UseDPDF=Y")</f>
        <v>—</v>
      </c>
      <c r="W55" s="13">
        <f>_xll.BDH("ALNY US Equity","EBITA","FQ2 2024","FQ2 2024","Currency=USD","Period=FQ","BEST_FPERIOD_OVERRIDE=FQ","FILING_STATUS=MR","SCALING_FORMAT=MLN","FA_ADJUSTED=GAAP","Sort=A","Dates=H","DateFormat=P","Fill=—","Direction=H","UseDPDF=Y")</f>
        <v>58.302999999999997</v>
      </c>
      <c r="X55" s="13">
        <f>_xll.BDH("ALNY US Equity","EBITA","FQ3 2024","FQ3 2024","Currency=USD","Period=FQ","BEST_FPERIOD_OVERRIDE=FQ","FILING_STATUS=MR","SCALING_FORMAT=MLN","FA_ADJUSTED=GAAP","Sort=A","Dates=H","DateFormat=P","Fill=—","Direction=H","UseDPDF=Y")</f>
        <v>-63.848999999999997</v>
      </c>
      <c r="Y55" s="13">
        <f>_xll.BDH("ALNY US Equity","EBITA","FQ4 2024","FQ4 2024","Currency=USD","Period=FQ","BEST_FPERIOD_OVERRIDE=FQ","FILING_STATUS=MR","SCALING_FORMAT=MLN","FA_ADJUSTED=GAAP","Sort=A","Dates=H","DateFormat=P","Fill=—","Direction=H","UseDPDF=Y")</f>
        <v>-105.15900000000001</v>
      </c>
      <c r="Z55" s="13"/>
      <c r="AA55" s="13"/>
    </row>
    <row r="56" spans="1:27" x14ac:dyDescent="0.25">
      <c r="A56" s="10" t="s">
        <v>142</v>
      </c>
      <c r="B56" s="10" t="s">
        <v>142</v>
      </c>
      <c r="C56" s="13">
        <f>_xll.BDH("ALNY US Equity","EBIT","FQ2 2019","FQ2 2019","Currency=USD","Period=FQ","BEST_FPERIOD_OVERRIDE=FQ","FILING_STATUS=MR","SCALING_FORMAT=MLN","FA_ADJUSTED=GAAP","Sort=A","Dates=H","DateFormat=P","Fill=—","Direction=H","UseDPDF=Y")</f>
        <v>-236.27099999999999</v>
      </c>
      <c r="D56" s="13">
        <f>_xll.BDH("ALNY US Equity","EBIT","FQ3 2019","FQ3 2019","Currency=USD","Period=FQ","BEST_FPERIOD_OVERRIDE=FQ","FILING_STATUS=MR","SCALING_FORMAT=MLN","FA_ADJUSTED=GAAP","Sort=A","Dates=H","DateFormat=P","Fill=—","Direction=H","UseDPDF=Y")</f>
        <v>-216.29900000000001</v>
      </c>
      <c r="E56" s="13">
        <f>_xll.BDH("ALNY US Equity","EBIT","FQ4 2019","FQ4 2019","Currency=USD","Period=FQ","BEST_FPERIOD_OVERRIDE=FQ","FILING_STATUS=MR","SCALING_FORMAT=MLN","FA_ADJUSTED=GAAP","Sort=A","Dates=H","DateFormat=P","Fill=—","Direction=H","UseDPDF=Y")</f>
        <v>-298.07299999999998</v>
      </c>
      <c r="F56" s="13">
        <f>_xll.BDH("ALNY US Equity","EBIT","FQ1 2020","FQ1 2020","Currency=USD","Period=FQ","BEST_FPERIOD_OVERRIDE=FQ","FILING_STATUS=MR","SCALING_FORMAT=MLN","FA_ADJUSTED=GAAP","Sort=A","Dates=H","DateFormat=P","Fill=—","Direction=H","UseDPDF=Y")</f>
        <v>-210.15799999999999</v>
      </c>
      <c r="G56" s="13">
        <f>_xll.BDH("ALNY US Equity","EBIT","FQ2 2020","FQ2 2020","Currency=USD","Period=FQ","BEST_FPERIOD_OVERRIDE=FQ","FILING_STATUS=MR","SCALING_FORMAT=MLN","FA_ADJUSTED=GAAP","Sort=A","Dates=H","DateFormat=P","Fill=—","Direction=H","UseDPDF=Y")</f>
        <v>-198.85900000000001</v>
      </c>
      <c r="H56" s="13">
        <f>_xll.BDH("ALNY US Equity","EBIT","FQ3 2020","FQ3 2020","Currency=USD","Period=FQ","BEST_FPERIOD_OVERRIDE=FQ","FILING_STATUS=MR","SCALING_FORMAT=MLN","FA_ADJUSTED=GAAP","Sort=A","Dates=H","DateFormat=P","Fill=—","Direction=H","UseDPDF=Y")</f>
        <v>-225.19900000000001</v>
      </c>
      <c r="I56" s="13">
        <f>_xll.BDH("ALNY US Equity","EBIT","FQ4 2020","FQ4 2020","Currency=USD","Period=FQ","BEST_FPERIOD_OVERRIDE=FQ","FILING_STATUS=MR","SCALING_FORMAT=MLN","FA_ADJUSTED=GAAP","Sort=A","Dates=H","DateFormat=P","Fill=—","Direction=H","UseDPDF=Y")</f>
        <v>-194.22200000000001</v>
      </c>
      <c r="J56" s="13">
        <f>_xll.BDH("ALNY US Equity","EBIT","FQ1 2021","FQ1 2021","Currency=USD","Period=FQ","BEST_FPERIOD_OVERRIDE=FQ","FILING_STATUS=MR","SCALING_FORMAT=MLN","FA_ADJUSTED=GAAP","Sort=A","Dates=H","DateFormat=P","Fill=—","Direction=H","UseDPDF=Y")</f>
        <v>-186.25399999999999</v>
      </c>
      <c r="K56" s="13">
        <f>_xll.BDH("ALNY US Equity","EBIT","FQ2 2021","FQ2 2021","Currency=USD","Period=FQ","BEST_FPERIOD_OVERRIDE=FQ","FILING_STATUS=MR","SCALING_FORMAT=MLN","FA_ADJUSTED=GAAP","Sort=A","Dates=H","DateFormat=P","Fill=—","Direction=H","UseDPDF=Y")</f>
        <v>-146.16</v>
      </c>
      <c r="L56" s="13">
        <f>_xll.BDH("ALNY US Equity","EBIT","FQ3 2021","FQ3 2021","Currency=USD","Period=FQ","BEST_FPERIOD_OVERRIDE=FQ","FILING_STATUS=MR","SCALING_FORMAT=MLN","FA_ADJUSTED=GAAP","Sort=A","Dates=H","DateFormat=P","Fill=—","Direction=H","UseDPDF=Y")</f>
        <v>-181.67699999999999</v>
      </c>
      <c r="M56" s="13">
        <f>_xll.BDH("ALNY US Equity","EBIT","FQ4 2021","FQ4 2021","Currency=USD","Period=FQ","BEST_FPERIOD_OVERRIDE=FQ","FILING_STATUS=MR","SCALING_FORMAT=MLN","FA_ADJUSTED=GAAP","Sort=A","Dates=H","DateFormat=P","Fill=—","Direction=H","UseDPDF=Y")</f>
        <v>-194.56100000000001</v>
      </c>
      <c r="N56" s="13">
        <f>_xll.BDH("ALNY US Equity","EBIT","FQ1 2022","FQ1 2022","Currency=USD","Period=FQ","BEST_FPERIOD_OVERRIDE=FQ","FILING_STATUS=MR","SCALING_FORMAT=MLN","FA_ADJUSTED=GAAP","Sort=A","Dates=H","DateFormat=P","Fill=—","Direction=H","UseDPDF=Y")</f>
        <v>-146.732</v>
      </c>
      <c r="O56" s="13">
        <f>_xll.BDH("ALNY US Equity","EBIT","FQ2 2022","FQ2 2022","Currency=USD","Period=FQ","BEST_FPERIOD_OVERRIDE=FQ","FILING_STATUS=MR","SCALING_FORMAT=MLN","FA_ADJUSTED=GAAP","Sort=A","Dates=H","DateFormat=P","Fill=—","Direction=H","UseDPDF=Y")</f>
        <v>-191.68600000000001</v>
      </c>
      <c r="P56" s="13">
        <f>_xll.BDH("ALNY US Equity","EBIT","FQ3 2022","FQ3 2022","Currency=USD","Period=FQ","BEST_FPERIOD_OVERRIDE=FQ","FILING_STATUS=MR","SCALING_FORMAT=MLN","FA_ADJUSTED=GAAP","Sort=A","Dates=H","DateFormat=P","Fill=—","Direction=H","UseDPDF=Y")</f>
        <v>-258.04000000000002</v>
      </c>
      <c r="Q56" s="13">
        <f>_xll.BDH("ALNY US Equity","EBIT","FQ4 2022","FQ4 2022","Currency=USD","Period=FQ","BEST_FPERIOD_OVERRIDE=FQ","FILING_STATUS=MR","SCALING_FORMAT=MLN","FA_ADJUSTED=GAAP","Sort=A","Dates=H","DateFormat=P","Fill=—","Direction=H","UseDPDF=Y")</f>
        <v>-188.614</v>
      </c>
      <c r="R56" s="13">
        <f>_xll.BDH("ALNY US Equity","EBIT","FQ1 2023","FQ1 2023","Currency=USD","Period=FQ","BEST_FPERIOD_OVERRIDE=FQ","FILING_STATUS=MR","SCALING_FORMAT=MLN","FA_ADJUSTED=GAAP","Sort=A","Dates=H","DateFormat=P","Fill=—","Direction=H","UseDPDF=Y")</f>
        <v>-149.80699999999999</v>
      </c>
      <c r="S56" s="13">
        <f>_xll.BDH("ALNY US Equity","EBIT","FQ2 2023","FQ2 2023","Currency=USD","Period=FQ","BEST_FPERIOD_OVERRIDE=FQ","FILING_STATUS=MR","SCALING_FORMAT=MLN","FA_ADJUSTED=GAAP","Sort=A","Dates=H","DateFormat=P","Fill=—","Direction=H","UseDPDF=Y")</f>
        <v>-229.83099999999999</v>
      </c>
      <c r="T56" s="13">
        <f>_xll.BDH("ALNY US Equity","EBIT","FQ3 2023","FQ3 2023","Currency=USD","Period=FQ","BEST_FPERIOD_OVERRIDE=FQ","FILING_STATUS=MR","SCALING_FORMAT=MLN","FA_ADJUSTED=GAAP","Sort=A","Dates=H","DateFormat=P","Fill=—","Direction=H","UseDPDF=Y")</f>
        <v>213.86699999999999</v>
      </c>
      <c r="U56" s="13">
        <f>_xll.BDH("ALNY US Equity","EBIT","FQ4 2023","FQ4 2023","Currency=USD","Period=FQ","BEST_FPERIOD_OVERRIDE=FQ","FILING_STATUS=MR","SCALING_FORMAT=MLN","FA_ADJUSTED=GAAP","Sort=A","Dates=H","DateFormat=P","Fill=—","Direction=H","UseDPDF=Y")</f>
        <v>-116.404</v>
      </c>
      <c r="V56" s="13">
        <f>_xll.BDH("ALNY US Equity","EBIT","FQ1 2024","FQ1 2024","Currency=USD","Period=FQ","BEST_FPERIOD_OVERRIDE=FQ","FILING_STATUS=MR","SCALING_FORMAT=MLN","FA_ADJUSTED=GAAP","Sort=A","Dates=H","DateFormat=P","Fill=—","Direction=H","UseDPDF=Y")</f>
        <v>-43.435000000000002</v>
      </c>
      <c r="W56" s="13">
        <f>_xll.BDH("ALNY US Equity","EBIT","FQ2 2024","FQ2 2024","Currency=USD","Period=FQ","BEST_FPERIOD_OVERRIDE=FQ","FILING_STATUS=MR","SCALING_FORMAT=MLN","FA_ADJUSTED=GAAP","Sort=A","Dates=H","DateFormat=P","Fill=—","Direction=H","UseDPDF=Y")</f>
        <v>48.613999999999997</v>
      </c>
      <c r="X56" s="13">
        <f>_xll.BDH("ALNY US Equity","EBIT","FQ3 2024","FQ3 2024","Currency=USD","Period=FQ","BEST_FPERIOD_OVERRIDE=FQ","FILING_STATUS=MR","SCALING_FORMAT=MLN","FA_ADJUSTED=GAAP","Sort=A","Dates=H","DateFormat=P","Fill=—","Direction=H","UseDPDF=Y")</f>
        <v>-76.905000000000001</v>
      </c>
      <c r="Y56" s="13">
        <f>_xll.BDH("ALNY US Equity","EBIT","FQ4 2024","FQ4 2024","Currency=USD","Period=FQ","BEST_FPERIOD_OVERRIDE=FQ","FILING_STATUS=MR","SCALING_FORMAT=MLN","FA_ADJUSTED=GAAP","Sort=A","Dates=H","DateFormat=P","Fill=—","Direction=H","UseDPDF=Y")</f>
        <v>-105.15900000000001</v>
      </c>
      <c r="Z56" s="13">
        <v>-77.468999999999994</v>
      </c>
      <c r="AA56" s="13">
        <v>-73.013000000000005</v>
      </c>
    </row>
    <row r="57" spans="1:27" x14ac:dyDescent="0.25">
      <c r="A57" s="10" t="s">
        <v>380</v>
      </c>
      <c r="B57" s="10" t="s">
        <v>153</v>
      </c>
      <c r="C57" s="14">
        <f>_xll.BDH("ALNY US Equity","GROSS_MARGIN","FQ2 2019","FQ2 2019","Currency=USD","Period=FQ","BEST_FPERIOD_OVERRIDE=FQ","FILING_STATUS=MR","FA_ADJUSTED=GAAP","Sort=A","Dates=H","DateFormat=P","Fill=—","Direction=H","UseDPDF=Y")</f>
        <v>90.325199999999995</v>
      </c>
      <c r="D57" s="14">
        <f>_xll.BDH("ALNY US Equity","GROSS_MARGIN","FQ3 2019","FQ3 2019","Currency=USD","Period=FQ","BEST_FPERIOD_OVERRIDE=FQ","FILING_STATUS=MR","FA_ADJUSTED=GAAP","Sort=A","Dates=H","DateFormat=P","Fill=—","Direction=H","UseDPDF=Y")</f>
        <v>92.559299999999993</v>
      </c>
      <c r="E57" s="14">
        <f>_xll.BDH("ALNY US Equity","GROSS_MARGIN","FQ4 2019","FQ4 2019","Currency=USD","Period=FQ","BEST_FPERIOD_OVERRIDE=FQ","FILING_STATUS=MR","FA_ADJUSTED=GAAP","Sort=A","Dates=H","DateFormat=P","Fill=—","Direction=H","UseDPDF=Y")</f>
        <v>83.013599999999997</v>
      </c>
      <c r="F57" s="14">
        <f>_xll.BDH("ALNY US Equity","GROSS_MARGIN","FQ1 2020","FQ1 2020","Currency=USD","Period=FQ","BEST_FPERIOD_OVERRIDE=FQ","FILING_STATUS=MR","FA_ADJUSTED=GAAP","Sort=A","Dates=H","DateFormat=P","Fill=—","Direction=H","UseDPDF=Y")</f>
        <v>86.627899999999997</v>
      </c>
      <c r="G57" s="14">
        <f>_xll.BDH("ALNY US Equity","GROSS_MARGIN","FQ2 2020","FQ2 2020","Currency=USD","Period=FQ","BEST_FPERIOD_OVERRIDE=FQ","FILING_STATUS=MR","FA_ADJUSTED=GAAP","Sort=A","Dates=H","DateFormat=P","Fill=—","Direction=H","UseDPDF=Y")</f>
        <v>80.830500000000001</v>
      </c>
      <c r="H57" s="14">
        <f>_xll.BDH("ALNY US Equity","GROSS_MARGIN","FQ3 2020","FQ3 2020","Currency=USD","Period=FQ","BEST_FPERIOD_OVERRIDE=FQ","FILING_STATUS=MR","FA_ADJUSTED=GAAP","Sort=A","Dates=H","DateFormat=P","Fill=—","Direction=H","UseDPDF=Y")</f>
        <v>82.680599999999998</v>
      </c>
      <c r="I57" s="14">
        <f>_xll.BDH("ALNY US Equity","GROSS_MARGIN","FQ4 2020","FQ4 2020","Currency=USD","Period=FQ","BEST_FPERIOD_OVERRIDE=FQ","FILING_STATUS=MR","FA_ADJUSTED=GAAP","Sort=A","Dates=H","DateFormat=P","Fill=—","Direction=H","UseDPDF=Y")</f>
        <v>85.923400000000001</v>
      </c>
      <c r="J57" s="14">
        <f>_xll.BDH("ALNY US Equity","GROSS_MARGIN","FQ1 2021","FQ1 2021","Currency=USD","Period=FQ","BEST_FPERIOD_OVERRIDE=FQ","FILING_STATUS=MR","FA_ADJUSTED=GAAP","Sort=A","Dates=H","DateFormat=P","Fill=—","Direction=H","UseDPDF=Y")</f>
        <v>82.506799999999998</v>
      </c>
      <c r="K57" s="14">
        <f>_xll.BDH("ALNY US Equity","GROSS_MARGIN","FQ2 2021","FQ2 2021","Currency=USD","Period=FQ","BEST_FPERIOD_OVERRIDE=FQ","FILING_STATUS=MR","FA_ADJUSTED=GAAP","Sort=A","Dates=H","DateFormat=P","Fill=—","Direction=H","UseDPDF=Y")</f>
        <v>82.428299999999993</v>
      </c>
      <c r="L57" s="14">
        <f>_xll.BDH("ALNY US Equity","GROSS_MARGIN","FQ3 2021","FQ3 2021","Currency=USD","Period=FQ","BEST_FPERIOD_OVERRIDE=FQ","FILING_STATUS=MR","FA_ADJUSTED=GAAP","Sort=A","Dates=H","DateFormat=P","Fill=—","Direction=H","UseDPDF=Y")</f>
        <v>82.592100000000002</v>
      </c>
      <c r="M57" s="14">
        <f>_xll.BDH("ALNY US Equity","GROSS_MARGIN","FQ4 2021","FQ4 2021","Currency=USD","Period=FQ","BEST_FPERIOD_OVERRIDE=FQ","FILING_STATUS=MR","FA_ADJUSTED=GAAP","Sort=A","Dates=H","DateFormat=P","Fill=—","Direction=H","UseDPDF=Y")</f>
        <v>85.431799999999996</v>
      </c>
      <c r="N57" s="14">
        <f>_xll.BDH("ALNY US Equity","GROSS_MARGIN","FQ1 2022","FQ1 2022","Currency=USD","Period=FQ","BEST_FPERIOD_OVERRIDE=FQ","FILING_STATUS=MR","FA_ADJUSTED=GAAP","Sort=A","Dates=H","DateFormat=P","Fill=—","Direction=H","UseDPDF=Y")</f>
        <v>83.293999999999997</v>
      </c>
      <c r="O57" s="14">
        <f>_xll.BDH("ALNY US Equity","GROSS_MARGIN","FQ2 2022","FQ2 2022","Currency=USD","Period=FQ","BEST_FPERIOD_OVERRIDE=FQ","FILING_STATUS=MR","FA_ADJUSTED=GAAP","Sort=A","Dates=H","DateFormat=P","Fill=—","Direction=H","UseDPDF=Y")</f>
        <v>81.848399999999998</v>
      </c>
      <c r="P57" s="14">
        <f>_xll.BDH("ALNY US Equity","GROSS_MARGIN","FQ3 2022","FQ3 2022","Currency=USD","Period=FQ","BEST_FPERIOD_OVERRIDE=FQ","FILING_STATUS=MR","FA_ADJUSTED=GAAP","Sort=A","Dates=H","DateFormat=P","Fill=—","Direction=H","UseDPDF=Y")</f>
        <v>84.443799999999996</v>
      </c>
      <c r="Q57" s="14">
        <f>_xll.BDH("ALNY US Equity","GROSS_MARGIN","FQ4 2022","FQ4 2022","Currency=USD","Period=FQ","BEST_FPERIOD_OVERRIDE=FQ","FILING_STATUS=MR","FA_ADJUSTED=GAAP","Sort=A","Dates=H","DateFormat=P","Fill=—","Direction=H","UseDPDF=Y")</f>
        <v>84.698300000000003</v>
      </c>
      <c r="R57" s="14">
        <f>_xll.BDH("ALNY US Equity","GROSS_MARGIN","FQ1 2023","FQ1 2023","Currency=USD","Period=FQ","BEST_FPERIOD_OVERRIDE=FQ","FILING_STATUS=MR","FA_ADJUSTED=GAAP","Sort=A","Dates=H","DateFormat=P","Fill=—","Direction=H","UseDPDF=Y")</f>
        <v>82.815299999999993</v>
      </c>
      <c r="S57" s="14">
        <f>_xll.BDH("ALNY US Equity","GROSS_MARGIN","FQ2 2023","FQ2 2023","Currency=USD","Period=FQ","BEST_FPERIOD_OVERRIDE=FQ","FILING_STATUS=MR","FA_ADJUSTED=GAAP","Sort=A","Dates=H","DateFormat=P","Fill=—","Direction=H","UseDPDF=Y")</f>
        <v>73.217600000000004</v>
      </c>
      <c r="T57" s="14">
        <f>_xll.BDH("ALNY US Equity","GROSS_MARGIN","FQ3 2023","FQ3 2023","Currency=USD","Period=FQ","BEST_FPERIOD_OVERRIDE=FQ","FILING_STATUS=MR","FA_ADJUSTED=GAAP","Sort=A","Dates=H","DateFormat=P","Fill=—","Direction=H","UseDPDF=Y")</f>
        <v>88.7667</v>
      </c>
      <c r="U57" s="14">
        <f>_xll.BDH("ALNY US Equity","GROSS_MARGIN","FQ4 2023","FQ4 2023","Currency=USD","Period=FQ","BEST_FPERIOD_OVERRIDE=FQ","FILING_STATUS=MR","FA_ADJUSTED=GAAP","Sort=A","Dates=H","DateFormat=P","Fill=—","Direction=H","UseDPDF=Y")</f>
        <v>80.474299999999999</v>
      </c>
      <c r="V57" s="14">
        <f>_xll.BDH("ALNY US Equity","GROSS_MARGIN","FQ1 2024","FQ1 2024","Currency=USD","Period=FQ","BEST_FPERIOD_OVERRIDE=FQ","FILING_STATUS=MR","FA_ADJUSTED=GAAP","Sort=A","Dates=H","DateFormat=P","Fill=—","Direction=H","UseDPDF=Y")</f>
        <v>86.653499999999994</v>
      </c>
      <c r="W57" s="14">
        <f>_xll.BDH("ALNY US Equity","GROSS_MARGIN","FQ2 2024","FQ2 2024","Currency=USD","Period=FQ","BEST_FPERIOD_OVERRIDE=FQ","FILING_STATUS=MR","FA_ADJUSTED=GAAP","Sort=A","Dates=H","DateFormat=P","Fill=—","Direction=H","UseDPDF=Y")</f>
        <v>89.592399999999998</v>
      </c>
      <c r="X57" s="14">
        <f>_xll.BDH("ALNY US Equity","GROSS_MARGIN","FQ3 2024","FQ3 2024","Currency=USD","Period=FQ","BEST_FPERIOD_OVERRIDE=FQ","FILING_STATUS=MR","FA_ADJUSTED=GAAP","Sort=A","Dates=H","DateFormat=P","Fill=—","Direction=H","UseDPDF=Y")</f>
        <v>82.850499999999997</v>
      </c>
      <c r="Y57" s="14">
        <f>_xll.BDH("ALNY US Equity","GROSS_MARGIN","FQ4 2024","FQ4 2024","Currency=USD","Period=FQ","BEST_FPERIOD_OVERRIDE=FQ","FILING_STATUS=MR","FA_ADJUSTED=GAAP","Sort=A","Dates=H","DateFormat=P","Fill=—","Direction=H","UseDPDF=Y")</f>
        <v>82.666399999999996</v>
      </c>
      <c r="Z57" s="14"/>
      <c r="AA57" s="14"/>
    </row>
    <row r="58" spans="1:27" x14ac:dyDescent="0.25">
      <c r="A58" s="10" t="s">
        <v>381</v>
      </c>
      <c r="B58" s="10" t="s">
        <v>382</v>
      </c>
      <c r="C58" s="14">
        <f>_xll.BDH("ALNY US Equity","OPER_MARGIN","FQ2 2019","FQ2 2019","Currency=USD","Period=FQ","BEST_FPERIOD_OVERRIDE=FQ","FILING_STATUS=MR","FA_ADJUSTED=GAAP","Sort=A","Dates=H","DateFormat=P","Fill=—","Direction=H","UseDPDF=Y")</f>
        <v>-528.40499999999997</v>
      </c>
      <c r="D58" s="14">
        <f>_xll.BDH("ALNY US Equity","OPER_MARGIN","FQ3 2019","FQ3 2019","Currency=USD","Period=FQ","BEST_FPERIOD_OVERRIDE=FQ","FILING_STATUS=MR","FA_ADJUSTED=GAAP","Sort=A","Dates=H","DateFormat=P","Fill=—","Direction=H","UseDPDF=Y")</f>
        <v>-308.72949999999997</v>
      </c>
      <c r="E58" s="14">
        <f>_xll.BDH("ALNY US Equity","OPER_MARGIN","FQ4 2019","FQ4 2019","Currency=USD","Period=FQ","BEST_FPERIOD_OVERRIDE=FQ","FILING_STATUS=MR","FA_ADJUSTED=GAAP","Sort=A","Dates=H","DateFormat=P","Fill=—","Direction=H","UseDPDF=Y")</f>
        <v>-415.83260000000001</v>
      </c>
      <c r="F58" s="14">
        <f>_xll.BDH("ALNY US Equity","OPER_MARGIN","FQ1 2020","FQ1 2020","Currency=USD","Period=FQ","BEST_FPERIOD_OVERRIDE=FQ","FILING_STATUS=MR","FA_ADJUSTED=GAAP","Sort=A","Dates=H","DateFormat=P","Fill=—","Direction=H","UseDPDF=Y")</f>
        <v>-211.26499999999999</v>
      </c>
      <c r="G58" s="14">
        <f>_xll.BDH("ALNY US Equity","OPER_MARGIN","FQ2 2020","FQ2 2020","Currency=USD","Period=FQ","BEST_FPERIOD_OVERRIDE=FQ","FILING_STATUS=MR","FA_ADJUSTED=GAAP","Sort=A","Dates=H","DateFormat=P","Fill=—","Direction=H","UseDPDF=Y")</f>
        <v>-191.28049999999999</v>
      </c>
      <c r="H58" s="14">
        <f>_xll.BDH("ALNY US Equity","OPER_MARGIN","FQ3 2020","FQ3 2020","Currency=USD","Period=FQ","BEST_FPERIOD_OVERRIDE=FQ","FILING_STATUS=MR","FA_ADJUSTED=GAAP","Sort=A","Dates=H","DateFormat=P","Fill=—","Direction=H","UseDPDF=Y")</f>
        <v>-178.93809999999999</v>
      </c>
      <c r="I58" s="14">
        <f>_xll.BDH("ALNY US Equity","OPER_MARGIN","FQ4 2020","FQ4 2020","Currency=USD","Period=FQ","BEST_FPERIOD_OVERRIDE=FQ","FILING_STATUS=MR","FA_ADJUSTED=GAAP","Sort=A","Dates=H","DateFormat=P","Fill=—","Direction=H","UseDPDF=Y")</f>
        <v>-118.7452</v>
      </c>
      <c r="J58" s="14">
        <f>_xll.BDH("ALNY US Equity","OPER_MARGIN","FQ1 2021","FQ1 2021","Currency=USD","Period=FQ","BEST_FPERIOD_OVERRIDE=FQ","FILING_STATUS=MR","FA_ADJUSTED=GAAP","Sort=A","Dates=H","DateFormat=P","Fill=—","Direction=H","UseDPDF=Y")</f>
        <v>-104.89279999999999</v>
      </c>
      <c r="K58" s="14">
        <f>_xll.BDH("ALNY US Equity","OPER_MARGIN","FQ2 2021","FQ2 2021","Currency=USD","Period=FQ","BEST_FPERIOD_OVERRIDE=FQ","FILING_STATUS=MR","FA_ADJUSTED=GAAP","Sort=A","Dates=H","DateFormat=P","Fill=—","Direction=H","UseDPDF=Y")</f>
        <v>-66.269800000000004</v>
      </c>
      <c r="L58" s="14">
        <f>_xll.BDH("ALNY US Equity","OPER_MARGIN","FQ3 2021","FQ3 2021","Currency=USD","Period=FQ","BEST_FPERIOD_OVERRIDE=FQ","FILING_STATUS=MR","FA_ADJUSTED=GAAP","Sort=A","Dates=H","DateFormat=P","Fill=—","Direction=H","UseDPDF=Y")</f>
        <v>-96.825699999999998</v>
      </c>
      <c r="M58" s="14">
        <f>_xll.BDH("ALNY US Equity","OPER_MARGIN","FQ4 2021","FQ4 2021","Currency=USD","Period=FQ","BEST_FPERIOD_OVERRIDE=FQ","FILING_STATUS=MR","FA_ADJUSTED=GAAP","Sort=A","Dates=H","DateFormat=P","Fill=—","Direction=H","UseDPDF=Y")</f>
        <v>-75.255200000000002</v>
      </c>
      <c r="N58" s="14">
        <f>_xll.BDH("ALNY US Equity","OPER_MARGIN","FQ1 2022","FQ1 2022","Currency=USD","Period=FQ","BEST_FPERIOD_OVERRIDE=FQ","FILING_STATUS=MR","FA_ADJUSTED=GAAP","Sort=A","Dates=H","DateFormat=P","Fill=—","Direction=H","UseDPDF=Y")</f>
        <v>-68.804599999999994</v>
      </c>
      <c r="O58" s="14">
        <f>_xll.BDH("ALNY US Equity","OPER_MARGIN","FQ2 2022","FQ2 2022","Currency=USD","Period=FQ","BEST_FPERIOD_OVERRIDE=FQ","FILING_STATUS=MR","FA_ADJUSTED=GAAP","Sort=A","Dates=H","DateFormat=P","Fill=—","Direction=H","UseDPDF=Y")</f>
        <v>-85.262699999999995</v>
      </c>
      <c r="P58" s="14">
        <f>_xll.BDH("ALNY US Equity","OPER_MARGIN","FQ3 2022","FQ3 2022","Currency=USD","Period=FQ","BEST_FPERIOD_OVERRIDE=FQ","FILING_STATUS=MR","FA_ADJUSTED=GAAP","Sort=A","Dates=H","DateFormat=P","Fill=—","Direction=H","UseDPDF=Y")</f>
        <v>-97.629300000000001</v>
      </c>
      <c r="Q58" s="14">
        <f>_xll.BDH("ALNY US Equity","OPER_MARGIN","FQ4 2022","FQ4 2022","Currency=USD","Period=FQ","BEST_FPERIOD_OVERRIDE=FQ","FILING_STATUS=MR","FA_ADJUSTED=GAAP","Sort=A","Dates=H","DateFormat=P","Fill=—","Direction=H","UseDPDF=Y")</f>
        <v>-56.296799999999998</v>
      </c>
      <c r="R58" s="14">
        <f>_xll.BDH("ALNY US Equity","OPER_MARGIN","FQ1 2023","FQ1 2023","Currency=USD","Period=FQ","BEST_FPERIOD_OVERRIDE=FQ","FILING_STATUS=MR","FA_ADJUSTED=GAAP","Sort=A","Dates=H","DateFormat=P","Fill=—","Direction=H","UseDPDF=Y")</f>
        <v>-46.918799999999997</v>
      </c>
      <c r="S58" s="14">
        <f>_xll.BDH("ALNY US Equity","OPER_MARGIN","FQ2 2023","FQ2 2023","Currency=USD","Period=FQ","BEST_FPERIOD_OVERRIDE=FQ","FILING_STATUS=MR","FA_ADJUSTED=GAAP","Sort=A","Dates=H","DateFormat=P","Fill=—","Direction=H","UseDPDF=Y")</f>
        <v>-72.102900000000005</v>
      </c>
      <c r="T58" s="14">
        <f>_xll.BDH("ALNY US Equity","OPER_MARGIN","FQ3 2023","FQ3 2023","Currency=USD","Period=FQ","BEST_FPERIOD_OVERRIDE=FQ","FILING_STATUS=MR","FA_ADJUSTED=GAAP","Sort=A","Dates=H","DateFormat=P","Fill=—","Direction=H","UseDPDF=Y")</f>
        <v>28.4955</v>
      </c>
      <c r="U58" s="14">
        <f>_xll.BDH("ALNY US Equity","OPER_MARGIN","FQ4 2023","FQ4 2023","Currency=USD","Period=FQ","BEST_FPERIOD_OVERRIDE=FQ","FILING_STATUS=MR","FA_ADJUSTED=GAAP","Sort=A","Dates=H","DateFormat=P","Fill=—","Direction=H","UseDPDF=Y")</f>
        <v>-26.4724</v>
      </c>
      <c r="V58" s="14">
        <f>_xll.BDH("ALNY US Equity","OPER_MARGIN","FQ1 2024","FQ1 2024","Currency=USD","Period=FQ","BEST_FPERIOD_OVERRIDE=FQ","FILING_STATUS=MR","FA_ADJUSTED=GAAP","Sort=A","Dates=H","DateFormat=P","Fill=—","Direction=H","UseDPDF=Y")</f>
        <v>-8.7866</v>
      </c>
      <c r="W58" s="14">
        <f>_xll.BDH("ALNY US Equity","OPER_MARGIN","FQ2 2024","FQ2 2024","Currency=USD","Period=FQ","BEST_FPERIOD_OVERRIDE=FQ","FILING_STATUS=MR","FA_ADJUSTED=GAAP","Sort=A","Dates=H","DateFormat=P","Fill=—","Direction=H","UseDPDF=Y")</f>
        <v>7.3677000000000001</v>
      </c>
      <c r="X58" s="14">
        <f>_xll.BDH("ALNY US Equity","OPER_MARGIN","FQ3 2024","FQ3 2024","Currency=USD","Period=FQ","BEST_FPERIOD_OVERRIDE=FQ","FILING_STATUS=MR","FA_ADJUSTED=GAAP","Sort=A","Dates=H","DateFormat=P","Fill=—","Direction=H","UseDPDF=Y")</f>
        <v>-15.3528</v>
      </c>
      <c r="Y58" s="14">
        <f>_xll.BDH("ALNY US Equity","OPER_MARGIN","FQ4 2024","FQ4 2024","Currency=USD","Period=FQ","BEST_FPERIOD_OVERRIDE=FQ","FILING_STATUS=MR","FA_ADJUSTED=GAAP","Sort=A","Dates=H","DateFormat=P","Fill=—","Direction=H","UseDPDF=Y")</f>
        <v>-17.728400000000001</v>
      </c>
      <c r="Z58" s="14">
        <v>-13.274490955169099</v>
      </c>
      <c r="AA58" s="14">
        <v>-11.556749364491999</v>
      </c>
    </row>
    <row r="59" spans="1:27" x14ac:dyDescent="0.25">
      <c r="A59" s="10" t="s">
        <v>383</v>
      </c>
      <c r="B59" s="10" t="s">
        <v>384</v>
      </c>
      <c r="C59" s="14">
        <f>_xll.BDH("ALNY US Equity","PROF_MARGIN","FQ2 2019","FQ2 2019","Currency=USD","Period=FQ","BEST_FPERIOD_OVERRIDE=FQ","FILING_STATUS=MR","FA_ADJUSTED=GAAP","Sort=A","Dates=H","DateFormat=P","Fill=—","Direction=H","UseDPDF=Y")</f>
        <v>-490.85520000000002</v>
      </c>
      <c r="D59" s="14">
        <f>_xll.BDH("ALNY US Equity","PROF_MARGIN","FQ3 2019","FQ3 2019","Currency=USD","Period=FQ","BEST_FPERIOD_OVERRIDE=FQ","FILING_STATUS=MR","FA_ADJUSTED=GAAP","Sort=A","Dates=H","DateFormat=P","Fill=—","Direction=H","UseDPDF=Y")</f>
        <v>-297.64780000000002</v>
      </c>
      <c r="E59" s="14">
        <f>_xll.BDH("ALNY US Equity","PROF_MARGIN","FQ4 2019","FQ4 2019","Currency=USD","Period=FQ","BEST_FPERIOD_OVERRIDE=FQ","FILING_STATUS=MR","FA_ADJUSTED=GAAP","Sort=A","Dates=H","DateFormat=P","Fill=—","Direction=H","UseDPDF=Y")</f>
        <v>-385.29739999999998</v>
      </c>
      <c r="F59" s="14">
        <f>_xll.BDH("ALNY US Equity","PROF_MARGIN","FQ1 2020","FQ1 2020","Currency=USD","Period=FQ","BEST_FPERIOD_OVERRIDE=FQ","FILING_STATUS=MR","FA_ADJUSTED=GAAP","Sort=A","Dates=H","DateFormat=P","Fill=—","Direction=H","UseDPDF=Y")</f>
        <v>-183.18090000000001</v>
      </c>
      <c r="G59" s="14">
        <f>_xll.BDH("ALNY US Equity","PROF_MARGIN","FQ2 2020","FQ2 2020","Currency=USD","Period=FQ","BEST_FPERIOD_OVERRIDE=FQ","FILING_STATUS=MR","FA_ADJUSTED=GAAP","Sort=A","Dates=H","DateFormat=P","Fill=—","Direction=H","UseDPDF=Y")</f>
        <v>-172.39859999999999</v>
      </c>
      <c r="H59" s="14">
        <f>_xll.BDH("ALNY US Equity","PROF_MARGIN","FQ3 2020","FQ3 2020","Currency=USD","Period=FQ","BEST_FPERIOD_OVERRIDE=FQ","FILING_STATUS=MR","FA_ADJUSTED=GAAP","Sort=A","Dates=H","DateFormat=P","Fill=—","Direction=H","UseDPDF=Y")</f>
        <v>-201.2594</v>
      </c>
      <c r="I59" s="14">
        <f>_xll.BDH("ALNY US Equity","PROF_MARGIN","FQ4 2020","FQ4 2020","Currency=USD","Period=FQ","BEST_FPERIOD_OVERRIDE=FQ","FILING_STATUS=MR","FA_ADJUSTED=GAAP","Sort=A","Dates=H","DateFormat=P","Fill=—","Direction=H","UseDPDF=Y")</f>
        <v>-148.89769999999999</v>
      </c>
      <c r="J59" s="14">
        <f>_xll.BDH("ALNY US Equity","PROF_MARGIN","FQ1 2021","FQ1 2021","Currency=USD","Period=FQ","BEST_FPERIOD_OVERRIDE=FQ","FILING_STATUS=MR","FA_ADJUSTED=GAAP","Sort=A","Dates=H","DateFormat=P","Fill=—","Direction=H","UseDPDF=Y")</f>
        <v>-112.79810000000001</v>
      </c>
      <c r="K59" s="14">
        <f>_xll.BDH("ALNY US Equity","PROF_MARGIN","FQ2 2021","FQ2 2021","Currency=USD","Period=FQ","BEST_FPERIOD_OVERRIDE=FQ","FILING_STATUS=MR","FA_ADJUSTED=GAAP","Sort=A","Dates=H","DateFormat=P","Fill=—","Direction=H","UseDPDF=Y")</f>
        <v>-85.947100000000006</v>
      </c>
      <c r="L59" s="14">
        <f>_xll.BDH("ALNY US Equity","PROF_MARGIN","FQ3 2021","FQ3 2021","Currency=USD","Period=FQ","BEST_FPERIOD_OVERRIDE=FQ","FILING_STATUS=MR","FA_ADJUSTED=GAAP","Sort=A","Dates=H","DateFormat=P","Fill=—","Direction=H","UseDPDF=Y")</f>
        <v>-108.99679999999999</v>
      </c>
      <c r="M59" s="14">
        <f>_xll.BDH("ALNY US Equity","PROF_MARGIN","FQ4 2021","FQ4 2021","Currency=USD","Period=FQ","BEST_FPERIOD_OVERRIDE=FQ","FILING_STATUS=MR","FA_ADJUSTED=GAAP","Sort=A","Dates=H","DateFormat=P","Fill=—","Direction=H","UseDPDF=Y")</f>
        <v>-99.971000000000004</v>
      </c>
      <c r="N59" s="14">
        <f>_xll.BDH("ALNY US Equity","PROF_MARGIN","FQ1 2022","FQ1 2022","Currency=USD","Period=FQ","BEST_FPERIOD_OVERRIDE=FQ","FILING_STATUS=MR","FA_ADJUSTED=GAAP","Sort=A","Dates=H","DateFormat=P","Fill=—","Direction=H","UseDPDF=Y")</f>
        <v>-112.6991</v>
      </c>
      <c r="O59" s="14">
        <f>_xll.BDH("ALNY US Equity","PROF_MARGIN","FQ2 2022","FQ2 2022","Currency=USD","Period=FQ","BEST_FPERIOD_OVERRIDE=FQ","FILING_STATUS=MR","FA_ADJUSTED=GAAP","Sort=A","Dates=H","DateFormat=P","Fill=—","Direction=H","UseDPDF=Y")</f>
        <v>-123.3896</v>
      </c>
      <c r="P59" s="14">
        <f>_xll.BDH("ALNY US Equity","PROF_MARGIN","FQ3 2022","FQ3 2022","Currency=USD","Period=FQ","BEST_FPERIOD_OVERRIDE=FQ","FILING_STATUS=MR","FA_ADJUSTED=GAAP","Sort=A","Dates=H","DateFormat=P","Fill=—","Direction=H","UseDPDF=Y")</f>
        <v>-153.5796</v>
      </c>
      <c r="Q59" s="14">
        <f>_xll.BDH("ALNY US Equity","PROF_MARGIN","FQ4 2022","FQ4 2022","Currency=USD","Period=FQ","BEST_FPERIOD_OVERRIDE=FQ","FILING_STATUS=MR","FA_ADJUSTED=GAAP","Sort=A","Dates=H","DateFormat=P","Fill=—","Direction=H","UseDPDF=Y")</f>
        <v>-61.931699999999999</v>
      </c>
      <c r="R59" s="14">
        <f>_xll.BDH("ALNY US Equity","PROF_MARGIN","FQ1 2023","FQ1 2023","Currency=USD","Period=FQ","BEST_FPERIOD_OVERRIDE=FQ","FILING_STATUS=MR","FA_ADJUSTED=GAAP","Sort=A","Dates=H","DateFormat=P","Fill=—","Direction=H","UseDPDF=Y")</f>
        <v>-54.527500000000003</v>
      </c>
      <c r="S59" s="14">
        <f>_xll.BDH("ALNY US Equity","PROF_MARGIN","FQ2 2023","FQ2 2023","Currency=USD","Period=FQ","BEST_FPERIOD_OVERRIDE=FQ","FILING_STATUS=MR","FA_ADJUSTED=GAAP","Sort=A","Dates=H","DateFormat=P","Fill=—","Direction=H","UseDPDF=Y")</f>
        <v>-86.594700000000003</v>
      </c>
      <c r="T59" s="14">
        <f>_xll.BDH("ALNY US Equity","PROF_MARGIN","FQ3 2023","FQ3 2023","Currency=USD","Period=FQ","BEST_FPERIOD_OVERRIDE=FQ","FILING_STATUS=MR","FA_ADJUSTED=GAAP","Sort=A","Dates=H","DateFormat=P","Fill=—","Direction=H","UseDPDF=Y")</f>
        <v>19.686499999999999</v>
      </c>
      <c r="U59" s="14">
        <f>_xll.BDH("ALNY US Equity","PROF_MARGIN","FQ4 2023","FQ4 2023","Currency=USD","Period=FQ","BEST_FPERIOD_OVERRIDE=FQ","FILING_STATUS=MR","FA_ADJUSTED=GAAP","Sort=A","Dates=H","DateFormat=P","Fill=—","Direction=H","UseDPDF=Y")</f>
        <v>-31.354199999999999</v>
      </c>
      <c r="V59" s="14">
        <f>_xll.BDH("ALNY US Equity","PROF_MARGIN","FQ1 2024","FQ1 2024","Currency=USD","Period=FQ","BEST_FPERIOD_OVERRIDE=FQ","FILING_STATUS=MR","FA_ADJUSTED=GAAP","Sort=A","Dates=H","DateFormat=P","Fill=—","Direction=H","UseDPDF=Y")</f>
        <v>-13.338200000000001</v>
      </c>
      <c r="W59" s="14">
        <f>_xll.BDH("ALNY US Equity","PROF_MARGIN","FQ2 2024","FQ2 2024","Currency=USD","Period=FQ","BEST_FPERIOD_OVERRIDE=FQ","FILING_STATUS=MR","FA_ADJUSTED=GAAP","Sort=A","Dates=H","DateFormat=P","Fill=—","Direction=H","UseDPDF=Y")</f>
        <v>-2.5596000000000001</v>
      </c>
      <c r="X59" s="14">
        <f>_xll.BDH("ALNY US Equity","PROF_MARGIN","FQ3 2024","FQ3 2024","Currency=USD","Period=FQ","BEST_FPERIOD_OVERRIDE=FQ","FILING_STATUS=MR","FA_ADJUSTED=GAAP","Sort=A","Dates=H","DateFormat=P","Fill=—","Direction=H","UseDPDF=Y")</f>
        <v>-22.273099999999999</v>
      </c>
      <c r="Y59" s="14">
        <f>_xll.BDH("ALNY US Equity","PROF_MARGIN","FQ4 2024","FQ4 2024","Currency=USD","Period=FQ","BEST_FPERIOD_OVERRIDE=FQ","FILING_STATUS=MR","FA_ADJUSTED=GAAP","Sort=A","Dates=H","DateFormat=P","Fill=—","Direction=H","UseDPDF=Y")</f>
        <v>-14.1213</v>
      </c>
      <c r="Z59" s="14">
        <v>-5.4430056563392597</v>
      </c>
      <c r="AA59" s="14">
        <v>-4.6168116015435796</v>
      </c>
    </row>
    <row r="60" spans="1:27" x14ac:dyDescent="0.25">
      <c r="A60" s="10" t="s">
        <v>385</v>
      </c>
      <c r="B60" s="10" t="s">
        <v>386</v>
      </c>
      <c r="C60" s="14" t="str">
        <f>_xll.BDH("ALNY US Equity","ACTUAL_SALES_PER_EMPL","FQ2 2019","FQ2 2019","Currency=USD","Period=FQ","BEST_FPERIOD_OVERRIDE=FQ","FILING_STATUS=MR","FA_ADJUSTED=GAAP","Sort=A","Dates=H","DateFormat=P","Fill=—","Direction=H","UseDPDF=Y")</f>
        <v>—</v>
      </c>
      <c r="D60" s="14" t="str">
        <f>_xll.BDH("ALNY US Equity","ACTUAL_SALES_PER_EMPL","FQ3 2019","FQ3 2019","Currency=USD","Period=FQ","BEST_FPERIOD_OVERRIDE=FQ","FILING_STATUS=MR","FA_ADJUSTED=GAAP","Sort=A","Dates=H","DateFormat=P","Fill=—","Direction=H","UseDPDF=Y")</f>
        <v>—</v>
      </c>
      <c r="E60" s="14">
        <f>_xll.BDH("ALNY US Equity","ACTUAL_SALES_PER_EMPL","FQ4 2019","FQ4 2019","Currency=USD","Period=FQ","BEST_FPERIOD_OVERRIDE=FQ","FILING_STATUS=MR","FA_ADJUSTED=GAAP","Sort=A","Dates=H","DateFormat=P","Fill=—","Direction=H","UseDPDF=Y")</f>
        <v>54180.65</v>
      </c>
      <c r="F60" s="14" t="str">
        <f>_xll.BDH("ALNY US Equity","ACTUAL_SALES_PER_EMPL","FQ1 2020","FQ1 2020","Currency=USD","Period=FQ","BEST_FPERIOD_OVERRIDE=FQ","FILING_STATUS=MR","FA_ADJUSTED=GAAP","Sort=A","Dates=H","DateFormat=P","Fill=—","Direction=H","UseDPDF=Y")</f>
        <v>—</v>
      </c>
      <c r="G60" s="14" t="str">
        <f>_xll.BDH("ALNY US Equity","ACTUAL_SALES_PER_EMPL","FQ2 2020","FQ2 2020","Currency=USD","Period=FQ","BEST_FPERIOD_OVERRIDE=FQ","FILING_STATUS=MR","FA_ADJUSTED=GAAP","Sort=A","Dates=H","DateFormat=P","Fill=—","Direction=H","UseDPDF=Y")</f>
        <v>—</v>
      </c>
      <c r="H60" s="14" t="str">
        <f>_xll.BDH("ALNY US Equity","ACTUAL_SALES_PER_EMPL","FQ3 2020","FQ3 2020","Currency=USD","Period=FQ","BEST_FPERIOD_OVERRIDE=FQ","FILING_STATUS=MR","FA_ADJUSTED=GAAP","Sort=A","Dates=H","DateFormat=P","Fill=—","Direction=H","UseDPDF=Y")</f>
        <v>—</v>
      </c>
      <c r="I60" s="14">
        <f>_xll.BDH("ALNY US Equity","ACTUAL_SALES_PER_EMPL","FQ4 2020","FQ4 2020","Currency=USD","Period=FQ","BEST_FPERIOD_OVERRIDE=FQ","FILING_STATUS=MR","FA_ADJUSTED=GAAP","Sort=A","Dates=H","DateFormat=P","Fill=—","Direction=H","UseDPDF=Y")</f>
        <v>112568.47900000001</v>
      </c>
      <c r="J60" s="14" t="str">
        <f>_xll.BDH("ALNY US Equity","ACTUAL_SALES_PER_EMPL","FQ1 2021","FQ1 2021","Currency=USD","Period=FQ","BEST_FPERIOD_OVERRIDE=FQ","FILING_STATUS=MR","FA_ADJUSTED=GAAP","Sort=A","Dates=H","DateFormat=P","Fill=—","Direction=H","UseDPDF=Y")</f>
        <v>—</v>
      </c>
      <c r="K60" s="14" t="str">
        <f>_xll.BDH("ALNY US Equity","ACTUAL_SALES_PER_EMPL","FQ2 2021","FQ2 2021","Currency=USD","Period=FQ","BEST_FPERIOD_OVERRIDE=FQ","FILING_STATUS=MR","FA_ADJUSTED=GAAP","Sort=A","Dates=H","DateFormat=P","Fill=—","Direction=H","UseDPDF=Y")</f>
        <v>—</v>
      </c>
      <c r="L60" s="14" t="str">
        <f>_xll.BDH("ALNY US Equity","ACTUAL_SALES_PER_EMPL","FQ3 2021","FQ3 2021","Currency=USD","Period=FQ","BEST_FPERIOD_OVERRIDE=FQ","FILING_STATUS=MR","FA_ADJUSTED=GAAP","Sort=A","Dates=H","DateFormat=P","Fill=—","Direction=H","UseDPDF=Y")</f>
        <v>—</v>
      </c>
      <c r="M60" s="14">
        <f>_xll.BDH("ALNY US Equity","ACTUAL_SALES_PER_EMPL","FQ4 2021","FQ4 2021","Currency=USD","Period=FQ","BEST_FPERIOD_OVERRIDE=FQ","FILING_STATUS=MR","FA_ADJUSTED=GAAP","Sort=A","Dates=H","DateFormat=P","Fill=—","Direction=H","UseDPDF=Y")</f>
        <v>155276.2763</v>
      </c>
      <c r="N60" s="14" t="str">
        <f>_xll.BDH("ALNY US Equity","ACTUAL_SALES_PER_EMPL","FQ1 2022","FQ1 2022","Currency=USD","Period=FQ","BEST_FPERIOD_OVERRIDE=FQ","FILING_STATUS=MR","FA_ADJUSTED=GAAP","Sort=A","Dates=H","DateFormat=P","Fill=—","Direction=H","UseDPDF=Y")</f>
        <v>—</v>
      </c>
      <c r="O60" s="14" t="str">
        <f>_xll.BDH("ALNY US Equity","ACTUAL_SALES_PER_EMPL","FQ2 2022","FQ2 2022","Currency=USD","Period=FQ","BEST_FPERIOD_OVERRIDE=FQ","FILING_STATUS=MR","FA_ADJUSTED=GAAP","Sort=A","Dates=H","DateFormat=P","Fill=—","Direction=H","UseDPDF=Y")</f>
        <v>—</v>
      </c>
      <c r="P60" s="14" t="str">
        <f>_xll.BDH("ALNY US Equity","ACTUAL_SALES_PER_EMPL","FQ3 2022","FQ3 2022","Currency=USD","Period=FQ","BEST_FPERIOD_OVERRIDE=FQ","FILING_STATUS=MR","FA_ADJUSTED=GAAP","Sort=A","Dates=H","DateFormat=P","Fill=—","Direction=H","UseDPDF=Y")</f>
        <v>—</v>
      </c>
      <c r="Q60" s="14">
        <f>_xll.BDH("ALNY US Equity","ACTUAL_SALES_PER_EMPL","FQ4 2022","FQ4 2022","Currency=USD","Period=FQ","BEST_FPERIOD_OVERRIDE=FQ","FILING_STATUS=MR","FA_ADJUSTED=GAAP","Sort=A","Dates=H","DateFormat=P","Fill=—","Direction=H","UseDPDF=Y")</f>
        <v>167350.14989999999</v>
      </c>
      <c r="R60" s="14" t="str">
        <f>_xll.BDH("ALNY US Equity","ACTUAL_SALES_PER_EMPL","FQ1 2023","FQ1 2023","Currency=USD","Period=FQ","BEST_FPERIOD_OVERRIDE=FQ","FILING_STATUS=MR","FA_ADJUSTED=GAAP","Sort=A","Dates=H","DateFormat=P","Fill=—","Direction=H","UseDPDF=Y")</f>
        <v>—</v>
      </c>
      <c r="S60" s="14" t="str">
        <f>_xll.BDH("ALNY US Equity","ACTUAL_SALES_PER_EMPL","FQ2 2023","FQ2 2023","Currency=USD","Period=FQ","BEST_FPERIOD_OVERRIDE=FQ","FILING_STATUS=MR","FA_ADJUSTED=GAAP","Sort=A","Dates=H","DateFormat=P","Fill=—","Direction=H","UseDPDF=Y")</f>
        <v>—</v>
      </c>
      <c r="T60" s="14" t="str">
        <f>_xll.BDH("ALNY US Equity","ACTUAL_SALES_PER_EMPL","FQ3 2023","FQ3 2023","Currency=USD","Period=FQ","BEST_FPERIOD_OVERRIDE=FQ","FILING_STATUS=MR","FA_ADJUSTED=GAAP","Sort=A","Dates=H","DateFormat=P","Fill=—","Direction=H","UseDPDF=Y")</f>
        <v>—</v>
      </c>
      <c r="U60" s="14">
        <f>_xll.BDH("ALNY US Equity","ACTUAL_SALES_PER_EMPL","FQ4 2023","FQ4 2023","Currency=USD","Period=FQ","BEST_FPERIOD_OVERRIDE=FQ","FILING_STATUS=MR","FA_ADJUSTED=GAAP","Sort=A","Dates=H","DateFormat=P","Fill=—","Direction=H","UseDPDF=Y")</f>
        <v>209389.5238</v>
      </c>
      <c r="V60" s="14" t="str">
        <f>_xll.BDH("ALNY US Equity","ACTUAL_SALES_PER_EMPL","FQ1 2024","FQ1 2024","Currency=USD","Period=FQ","BEST_FPERIOD_OVERRIDE=FQ","FILING_STATUS=MR","FA_ADJUSTED=GAAP","Sort=A","Dates=H","DateFormat=P","Fill=—","Direction=H","UseDPDF=Y")</f>
        <v>—</v>
      </c>
      <c r="W60" s="14" t="str">
        <f>_xll.BDH("ALNY US Equity","ACTUAL_SALES_PER_EMPL","FQ2 2024","FQ2 2024","Currency=USD","Period=FQ","BEST_FPERIOD_OVERRIDE=FQ","FILING_STATUS=MR","FA_ADJUSTED=GAAP","Sort=A","Dates=H","DateFormat=P","Fill=—","Direction=H","UseDPDF=Y")</f>
        <v>—</v>
      </c>
      <c r="X60" s="14" t="str">
        <f>_xll.BDH("ALNY US Equity","ACTUAL_SALES_PER_EMPL","FQ3 2024","FQ3 2024","Currency=USD","Period=FQ","BEST_FPERIOD_OVERRIDE=FQ","FILING_STATUS=MR","FA_ADJUSTED=GAAP","Sort=A","Dates=H","DateFormat=P","Fill=—","Direction=H","UseDPDF=Y")</f>
        <v>—</v>
      </c>
      <c r="Y60" s="14">
        <f>_xll.BDH("ALNY US Equity","ACTUAL_SALES_PER_EMPL","FQ4 2024","FQ4 2024","Currency=USD","Period=FQ","BEST_FPERIOD_OVERRIDE=FQ","FILING_STATUS=MR","FA_ADJUSTED=GAAP","Sort=A","Dates=H","DateFormat=P","Fill=—","Direction=H","UseDPDF=Y")</f>
        <v>265993.72200000001</v>
      </c>
      <c r="Z60" s="14"/>
      <c r="AA60" s="14"/>
    </row>
    <row r="61" spans="1:27" x14ac:dyDescent="0.25">
      <c r="A61" s="10" t="s">
        <v>387</v>
      </c>
      <c r="B61" s="10" t="s">
        <v>263</v>
      </c>
      <c r="C61" s="14">
        <f>_xll.BDH("ALNY US Equity","EQY_DPS","FQ2 2019","FQ2 2019","Currency=USD","Period=FQ","BEST_FPERIOD_OVERRIDE=FQ","FILING_STATUS=MR","Sort=A","Dates=H","DateFormat=P","Fill=—","Direction=H","UseDPDF=Y")</f>
        <v>0</v>
      </c>
      <c r="D61" s="14">
        <f>_xll.BDH("ALNY US Equity","EQY_DPS","FQ3 2019","FQ3 2019","Currency=USD","Period=FQ","BEST_FPERIOD_OVERRIDE=FQ","FILING_STATUS=MR","Sort=A","Dates=H","DateFormat=P","Fill=—","Direction=H","UseDPDF=Y")</f>
        <v>0</v>
      </c>
      <c r="E61" s="14">
        <f>_xll.BDH("ALNY US Equity","EQY_DPS","FQ4 2019","FQ4 2019","Currency=USD","Period=FQ","BEST_FPERIOD_OVERRIDE=FQ","FILING_STATUS=MR","Sort=A","Dates=H","DateFormat=P","Fill=—","Direction=H","UseDPDF=Y")</f>
        <v>0</v>
      </c>
      <c r="F61" s="14">
        <f>_xll.BDH("ALNY US Equity","EQY_DPS","FQ1 2020","FQ1 2020","Currency=USD","Period=FQ","BEST_FPERIOD_OVERRIDE=FQ","FILING_STATUS=MR","Sort=A","Dates=H","DateFormat=P","Fill=—","Direction=H","UseDPDF=Y")</f>
        <v>0</v>
      </c>
      <c r="G61" s="14">
        <f>_xll.BDH("ALNY US Equity","EQY_DPS","FQ2 2020","FQ2 2020","Currency=USD","Period=FQ","BEST_FPERIOD_OVERRIDE=FQ","FILING_STATUS=MR","Sort=A","Dates=H","DateFormat=P","Fill=—","Direction=H","UseDPDF=Y")</f>
        <v>0</v>
      </c>
      <c r="H61" s="14">
        <f>_xll.BDH("ALNY US Equity","EQY_DPS","FQ3 2020","FQ3 2020","Currency=USD","Period=FQ","BEST_FPERIOD_OVERRIDE=FQ","FILING_STATUS=MR","Sort=A","Dates=H","DateFormat=P","Fill=—","Direction=H","UseDPDF=Y")</f>
        <v>0</v>
      </c>
      <c r="I61" s="14">
        <f>_xll.BDH("ALNY US Equity","EQY_DPS","FQ4 2020","FQ4 2020","Currency=USD","Period=FQ","BEST_FPERIOD_OVERRIDE=FQ","FILING_STATUS=MR","Sort=A","Dates=H","DateFormat=P","Fill=—","Direction=H","UseDPDF=Y")</f>
        <v>0</v>
      </c>
      <c r="J61" s="14">
        <f>_xll.BDH("ALNY US Equity","EQY_DPS","FQ1 2021","FQ1 2021","Currency=USD","Period=FQ","BEST_FPERIOD_OVERRIDE=FQ","FILING_STATUS=MR","Sort=A","Dates=H","DateFormat=P","Fill=—","Direction=H","UseDPDF=Y")</f>
        <v>0</v>
      </c>
      <c r="K61" s="14">
        <f>_xll.BDH("ALNY US Equity","EQY_DPS","FQ2 2021","FQ2 2021","Currency=USD","Period=FQ","BEST_FPERIOD_OVERRIDE=FQ","FILING_STATUS=MR","Sort=A","Dates=H","DateFormat=P","Fill=—","Direction=H","UseDPDF=Y")</f>
        <v>0</v>
      </c>
      <c r="L61" s="14">
        <f>_xll.BDH("ALNY US Equity","EQY_DPS","FQ3 2021","FQ3 2021","Currency=USD","Period=FQ","BEST_FPERIOD_OVERRIDE=FQ","FILING_STATUS=MR","Sort=A","Dates=H","DateFormat=P","Fill=—","Direction=H","UseDPDF=Y")</f>
        <v>0</v>
      </c>
      <c r="M61" s="14">
        <f>_xll.BDH("ALNY US Equity","EQY_DPS","FQ4 2021","FQ4 2021","Currency=USD","Period=FQ","BEST_FPERIOD_OVERRIDE=FQ","FILING_STATUS=MR","Sort=A","Dates=H","DateFormat=P","Fill=—","Direction=H","UseDPDF=Y")</f>
        <v>0</v>
      </c>
      <c r="N61" s="14">
        <f>_xll.BDH("ALNY US Equity","EQY_DPS","FQ1 2022","FQ1 2022","Currency=USD","Period=FQ","BEST_FPERIOD_OVERRIDE=FQ","FILING_STATUS=MR","Sort=A","Dates=H","DateFormat=P","Fill=—","Direction=H","UseDPDF=Y")</f>
        <v>0</v>
      </c>
      <c r="O61" s="14">
        <f>_xll.BDH("ALNY US Equity","EQY_DPS","FQ2 2022","FQ2 2022","Currency=USD","Period=FQ","BEST_FPERIOD_OVERRIDE=FQ","FILING_STATUS=MR","Sort=A","Dates=H","DateFormat=P","Fill=—","Direction=H","UseDPDF=Y")</f>
        <v>0</v>
      </c>
      <c r="P61" s="14">
        <f>_xll.BDH("ALNY US Equity","EQY_DPS","FQ3 2022","FQ3 2022","Currency=USD","Period=FQ","BEST_FPERIOD_OVERRIDE=FQ","FILING_STATUS=MR","Sort=A","Dates=H","DateFormat=P","Fill=—","Direction=H","UseDPDF=Y")</f>
        <v>0</v>
      </c>
      <c r="Q61" s="14">
        <f>_xll.BDH("ALNY US Equity","EQY_DPS","FQ4 2022","FQ4 2022","Currency=USD","Period=FQ","BEST_FPERIOD_OVERRIDE=FQ","FILING_STATUS=MR","Sort=A","Dates=H","DateFormat=P","Fill=—","Direction=H","UseDPDF=Y")</f>
        <v>0</v>
      </c>
      <c r="R61" s="14">
        <f>_xll.BDH("ALNY US Equity","EQY_DPS","FQ1 2023","FQ1 2023","Currency=USD","Period=FQ","BEST_FPERIOD_OVERRIDE=FQ","FILING_STATUS=MR","Sort=A","Dates=H","DateFormat=P","Fill=—","Direction=H","UseDPDF=Y")</f>
        <v>0</v>
      </c>
      <c r="S61" s="14">
        <f>_xll.BDH("ALNY US Equity","EQY_DPS","FQ2 2023","FQ2 2023","Currency=USD","Period=FQ","BEST_FPERIOD_OVERRIDE=FQ","FILING_STATUS=MR","Sort=A","Dates=H","DateFormat=P","Fill=—","Direction=H","UseDPDF=Y")</f>
        <v>0</v>
      </c>
      <c r="T61" s="14">
        <f>_xll.BDH("ALNY US Equity","EQY_DPS","FQ3 2023","FQ3 2023","Currency=USD","Period=FQ","BEST_FPERIOD_OVERRIDE=FQ","FILING_STATUS=MR","Sort=A","Dates=H","DateFormat=P","Fill=—","Direction=H","UseDPDF=Y")</f>
        <v>0</v>
      </c>
      <c r="U61" s="14">
        <f>_xll.BDH("ALNY US Equity","EQY_DPS","FQ4 2023","FQ4 2023","Currency=USD","Period=FQ","BEST_FPERIOD_OVERRIDE=FQ","FILING_STATUS=MR","Sort=A","Dates=H","DateFormat=P","Fill=—","Direction=H","UseDPDF=Y")</f>
        <v>0</v>
      </c>
      <c r="V61" s="14">
        <f>_xll.BDH("ALNY US Equity","EQY_DPS","FQ1 2024","FQ1 2024","Currency=USD","Period=FQ","BEST_FPERIOD_OVERRIDE=FQ","FILING_STATUS=MR","Sort=A","Dates=H","DateFormat=P","Fill=—","Direction=H","UseDPDF=Y")</f>
        <v>0</v>
      </c>
      <c r="W61" s="14">
        <f>_xll.BDH("ALNY US Equity","EQY_DPS","FQ2 2024","FQ2 2024","Currency=USD","Period=FQ","BEST_FPERIOD_OVERRIDE=FQ","FILING_STATUS=MR","Sort=A","Dates=H","DateFormat=P","Fill=—","Direction=H","UseDPDF=Y")</f>
        <v>0</v>
      </c>
      <c r="X61" s="14">
        <f>_xll.BDH("ALNY US Equity","EQY_DPS","FQ3 2024","FQ3 2024","Currency=USD","Period=FQ","BEST_FPERIOD_OVERRIDE=FQ","FILING_STATUS=MR","Sort=A","Dates=H","DateFormat=P","Fill=—","Direction=H","UseDPDF=Y")</f>
        <v>0</v>
      </c>
      <c r="Y61" s="14">
        <f>_xll.BDH("ALNY US Equity","EQY_DPS","FQ4 2024","FQ4 2024","Currency=USD","Period=FQ","BEST_FPERIOD_OVERRIDE=FQ","FILING_STATUS=MR","Sort=A","Dates=H","DateFormat=P","Fill=—","Direction=H","UseDPDF=Y")</f>
        <v>0</v>
      </c>
      <c r="Z61" s="14"/>
      <c r="AA61" s="14"/>
    </row>
    <row r="62" spans="1:27" x14ac:dyDescent="0.25">
      <c r="A62" s="10" t="s">
        <v>388</v>
      </c>
      <c r="B62" s="10" t="s">
        <v>389</v>
      </c>
      <c r="C62" s="13">
        <f>_xll.BDH("ALNY US Equity","IS_TOT_CASH_COM_DVD","FQ2 2019","FQ2 2019","Currency=USD","Period=FQ","BEST_FPERIOD_OVERRIDE=FQ","FILING_STATUS=MR","SCALING_FORMAT=MLN","Sort=A","Dates=H","DateFormat=P","Fill=—","Direction=H","UseDPDF=Y")</f>
        <v>0</v>
      </c>
      <c r="D62" s="13">
        <f>_xll.BDH("ALNY US Equity","IS_TOT_CASH_COM_DVD","FQ3 2019","FQ3 2019","Currency=USD","Period=FQ","BEST_FPERIOD_OVERRIDE=FQ","FILING_STATUS=MR","SCALING_FORMAT=MLN","Sort=A","Dates=H","DateFormat=P","Fill=—","Direction=H","UseDPDF=Y")</f>
        <v>0</v>
      </c>
      <c r="E62" s="13">
        <f>_xll.BDH("ALNY US Equity","IS_TOT_CASH_COM_DVD","FQ4 2019","FQ4 2019","Currency=USD","Period=FQ","BEST_FPERIOD_OVERRIDE=FQ","FILING_STATUS=MR","SCALING_FORMAT=MLN","Sort=A","Dates=H","DateFormat=P","Fill=—","Direction=H","UseDPDF=Y")</f>
        <v>0</v>
      </c>
      <c r="F62" s="13">
        <f>_xll.BDH("ALNY US Equity","IS_TOT_CASH_COM_DVD","FQ1 2020","FQ1 2020","Currency=USD","Period=FQ","BEST_FPERIOD_OVERRIDE=FQ","FILING_STATUS=MR","SCALING_FORMAT=MLN","Sort=A","Dates=H","DateFormat=P","Fill=—","Direction=H","UseDPDF=Y")</f>
        <v>0</v>
      </c>
      <c r="G62" s="13">
        <f>_xll.BDH("ALNY US Equity","IS_TOT_CASH_COM_DVD","FQ2 2020","FQ2 2020","Currency=USD","Period=FQ","BEST_FPERIOD_OVERRIDE=FQ","FILING_STATUS=MR","SCALING_FORMAT=MLN","Sort=A","Dates=H","DateFormat=P","Fill=—","Direction=H","UseDPDF=Y")</f>
        <v>0</v>
      </c>
      <c r="H62" s="13">
        <f>_xll.BDH("ALNY US Equity","IS_TOT_CASH_COM_DVD","FQ3 2020","FQ3 2020","Currency=USD","Period=FQ","BEST_FPERIOD_OVERRIDE=FQ","FILING_STATUS=MR","SCALING_FORMAT=MLN","Sort=A","Dates=H","DateFormat=P","Fill=—","Direction=H","UseDPDF=Y")</f>
        <v>0</v>
      </c>
      <c r="I62" s="13">
        <f>_xll.BDH("ALNY US Equity","IS_TOT_CASH_COM_DVD","FQ4 2020","FQ4 2020","Currency=USD","Period=FQ","BEST_FPERIOD_OVERRIDE=FQ","FILING_STATUS=MR","SCALING_FORMAT=MLN","Sort=A","Dates=H","DateFormat=P","Fill=—","Direction=H","UseDPDF=Y")</f>
        <v>0</v>
      </c>
      <c r="J62" s="13">
        <f>_xll.BDH("ALNY US Equity","IS_TOT_CASH_COM_DVD","FQ1 2021","FQ1 2021","Currency=USD","Period=FQ","BEST_FPERIOD_OVERRIDE=FQ","FILING_STATUS=MR","SCALING_FORMAT=MLN","Sort=A","Dates=H","DateFormat=P","Fill=—","Direction=H","UseDPDF=Y")</f>
        <v>0</v>
      </c>
      <c r="K62" s="13">
        <f>_xll.BDH("ALNY US Equity","IS_TOT_CASH_COM_DVD","FQ2 2021","FQ2 2021","Currency=USD","Period=FQ","BEST_FPERIOD_OVERRIDE=FQ","FILING_STATUS=MR","SCALING_FORMAT=MLN","Sort=A","Dates=H","DateFormat=P","Fill=—","Direction=H","UseDPDF=Y")</f>
        <v>0</v>
      </c>
      <c r="L62" s="13">
        <f>_xll.BDH("ALNY US Equity","IS_TOT_CASH_COM_DVD","FQ3 2021","FQ3 2021","Currency=USD","Period=FQ","BEST_FPERIOD_OVERRIDE=FQ","FILING_STATUS=MR","SCALING_FORMAT=MLN","Sort=A","Dates=H","DateFormat=P","Fill=—","Direction=H","UseDPDF=Y")</f>
        <v>0</v>
      </c>
      <c r="M62" s="13">
        <f>_xll.BDH("ALNY US Equity","IS_TOT_CASH_COM_DVD","FQ4 2021","FQ4 2021","Currency=USD","Period=FQ","BEST_FPERIOD_OVERRIDE=FQ","FILING_STATUS=MR","SCALING_FORMAT=MLN","Sort=A","Dates=H","DateFormat=P","Fill=—","Direction=H","UseDPDF=Y")</f>
        <v>0</v>
      </c>
      <c r="N62" s="13">
        <f>_xll.BDH("ALNY US Equity","IS_TOT_CASH_COM_DVD","FQ1 2022","FQ1 2022","Currency=USD","Period=FQ","BEST_FPERIOD_OVERRIDE=FQ","FILING_STATUS=MR","SCALING_FORMAT=MLN","Sort=A","Dates=H","DateFormat=P","Fill=—","Direction=H","UseDPDF=Y")</f>
        <v>0</v>
      </c>
      <c r="O62" s="13">
        <f>_xll.BDH("ALNY US Equity","IS_TOT_CASH_COM_DVD","FQ2 2022","FQ2 2022","Currency=USD","Period=FQ","BEST_FPERIOD_OVERRIDE=FQ","FILING_STATUS=MR","SCALING_FORMAT=MLN","Sort=A","Dates=H","DateFormat=P","Fill=—","Direction=H","UseDPDF=Y")</f>
        <v>0</v>
      </c>
      <c r="P62" s="13">
        <f>_xll.BDH("ALNY US Equity","IS_TOT_CASH_COM_DVD","FQ3 2022","FQ3 2022","Currency=USD","Period=FQ","BEST_FPERIOD_OVERRIDE=FQ","FILING_STATUS=MR","SCALING_FORMAT=MLN","Sort=A","Dates=H","DateFormat=P","Fill=—","Direction=H","UseDPDF=Y")</f>
        <v>0</v>
      </c>
      <c r="Q62" s="13">
        <f>_xll.BDH("ALNY US Equity","IS_TOT_CASH_COM_DVD","FQ4 2022","FQ4 2022","Currency=USD","Period=FQ","BEST_FPERIOD_OVERRIDE=FQ","FILING_STATUS=MR","SCALING_FORMAT=MLN","Sort=A","Dates=H","DateFormat=P","Fill=—","Direction=H","UseDPDF=Y")</f>
        <v>0</v>
      </c>
      <c r="R62" s="13">
        <f>_xll.BDH("ALNY US Equity","IS_TOT_CASH_COM_DVD","FQ1 2023","FQ1 2023","Currency=USD","Period=FQ","BEST_FPERIOD_OVERRIDE=FQ","FILING_STATUS=MR","SCALING_FORMAT=MLN","Sort=A","Dates=H","DateFormat=P","Fill=—","Direction=H","UseDPDF=Y")</f>
        <v>0</v>
      </c>
      <c r="S62" s="13">
        <f>_xll.BDH("ALNY US Equity","IS_TOT_CASH_COM_DVD","FQ2 2023","FQ2 2023","Currency=USD","Period=FQ","BEST_FPERIOD_OVERRIDE=FQ","FILING_STATUS=MR","SCALING_FORMAT=MLN","Sort=A","Dates=H","DateFormat=P","Fill=—","Direction=H","UseDPDF=Y")</f>
        <v>0</v>
      </c>
      <c r="T62" s="13">
        <f>_xll.BDH("ALNY US Equity","IS_TOT_CASH_COM_DVD","FQ3 2023","FQ3 2023","Currency=USD","Period=FQ","BEST_FPERIOD_OVERRIDE=FQ","FILING_STATUS=MR","SCALING_FORMAT=MLN","Sort=A","Dates=H","DateFormat=P","Fill=—","Direction=H","UseDPDF=Y")</f>
        <v>0</v>
      </c>
      <c r="U62" s="13">
        <f>_xll.BDH("ALNY US Equity","IS_TOT_CASH_COM_DVD","FQ4 2023","FQ4 2023","Currency=USD","Period=FQ","BEST_FPERIOD_OVERRIDE=FQ","FILING_STATUS=MR","SCALING_FORMAT=MLN","Sort=A","Dates=H","DateFormat=P","Fill=—","Direction=H","UseDPDF=Y")</f>
        <v>0</v>
      </c>
      <c r="V62" s="13">
        <f>_xll.BDH("ALNY US Equity","IS_TOT_CASH_COM_DVD","FQ1 2024","FQ1 2024","Currency=USD","Period=FQ","BEST_FPERIOD_OVERRIDE=FQ","FILING_STATUS=MR","SCALING_FORMAT=MLN","Sort=A","Dates=H","DateFormat=P","Fill=—","Direction=H","UseDPDF=Y")</f>
        <v>0</v>
      </c>
      <c r="W62" s="13">
        <f>_xll.BDH("ALNY US Equity","IS_TOT_CASH_COM_DVD","FQ2 2024","FQ2 2024","Currency=USD","Period=FQ","BEST_FPERIOD_OVERRIDE=FQ","FILING_STATUS=MR","SCALING_FORMAT=MLN","Sort=A","Dates=H","DateFormat=P","Fill=—","Direction=H","UseDPDF=Y")</f>
        <v>0</v>
      </c>
      <c r="X62" s="13">
        <f>_xll.BDH("ALNY US Equity","IS_TOT_CASH_COM_DVD","FQ3 2024","FQ3 2024","Currency=USD","Period=FQ","BEST_FPERIOD_OVERRIDE=FQ","FILING_STATUS=MR","SCALING_FORMAT=MLN","Sort=A","Dates=H","DateFormat=P","Fill=—","Direction=H","UseDPDF=Y")</f>
        <v>0</v>
      </c>
      <c r="Y62" s="13">
        <f>_xll.BDH("ALNY US Equity","IS_TOT_CASH_COM_DVD","FQ4 2024","FQ4 2024","Currency=USD","Period=FQ","BEST_FPERIOD_OVERRIDE=FQ","FILING_STATUS=MR","SCALING_FORMAT=MLN","Sort=A","Dates=H","DateFormat=P","Fill=—","Direction=H","UseDPDF=Y")</f>
        <v>0</v>
      </c>
      <c r="Z62" s="13"/>
      <c r="AA62" s="13"/>
    </row>
    <row r="63" spans="1:27" x14ac:dyDescent="0.25">
      <c r="A63" s="10" t="s">
        <v>390</v>
      </c>
      <c r="B63" s="10" t="s">
        <v>391</v>
      </c>
      <c r="C63" s="13" t="str">
        <f>_xll.BDH("ALNY US Equity","IS_DEPR_EXP","FQ2 2019","FQ2 2019","Currency=USD","Period=FQ","BEST_FPERIOD_OVERRIDE=FQ","FILING_STATUS=MR","SCALING_FORMAT=MLN","Sort=A","Dates=H","DateFormat=P","Fill=—","Direction=H","UseDPDF=Y")</f>
        <v>—</v>
      </c>
      <c r="D63" s="13" t="str">
        <f>_xll.BDH("ALNY US Equity","IS_DEPR_EXP","FQ3 2019","FQ3 2019","Currency=USD","Period=FQ","BEST_FPERIOD_OVERRIDE=FQ","FILING_STATUS=MR","SCALING_FORMAT=MLN","Sort=A","Dates=H","DateFormat=P","Fill=—","Direction=H","UseDPDF=Y")</f>
        <v>—</v>
      </c>
      <c r="E63" s="13" t="str">
        <f>_xll.BDH("ALNY US Equity","IS_DEPR_EXP","FQ4 2019","FQ4 2019","Currency=USD","Period=FQ","BEST_FPERIOD_OVERRIDE=FQ","FILING_STATUS=MR","SCALING_FORMAT=MLN","Sort=A","Dates=H","DateFormat=P","Fill=—","Direction=H","UseDPDF=Y")</f>
        <v>—</v>
      </c>
      <c r="F63" s="13" t="str">
        <f>_xll.BDH("ALNY US Equity","IS_DEPR_EXP","FQ1 2020","FQ1 2020","Currency=USD","Period=FQ","BEST_FPERIOD_OVERRIDE=FQ","FILING_STATUS=MR","SCALING_FORMAT=MLN","Sort=A","Dates=H","DateFormat=P","Fill=—","Direction=H","UseDPDF=Y")</f>
        <v>—</v>
      </c>
      <c r="G63" s="13" t="str">
        <f>_xll.BDH("ALNY US Equity","IS_DEPR_EXP","FQ2 2020","FQ2 2020","Currency=USD","Period=FQ","BEST_FPERIOD_OVERRIDE=FQ","FILING_STATUS=MR","SCALING_FORMAT=MLN","Sort=A","Dates=H","DateFormat=P","Fill=—","Direction=H","UseDPDF=Y")</f>
        <v>—</v>
      </c>
      <c r="H63" s="13" t="str">
        <f>_xll.BDH("ALNY US Equity","IS_DEPR_EXP","FQ3 2020","FQ3 2020","Currency=USD","Period=FQ","BEST_FPERIOD_OVERRIDE=FQ","FILING_STATUS=MR","SCALING_FORMAT=MLN","Sort=A","Dates=H","DateFormat=P","Fill=—","Direction=H","UseDPDF=Y")</f>
        <v>—</v>
      </c>
      <c r="I63" s="13" t="str">
        <f>_xll.BDH("ALNY US Equity","IS_DEPR_EXP","FQ4 2020","FQ4 2020","Currency=USD","Period=FQ","BEST_FPERIOD_OVERRIDE=FQ","FILING_STATUS=MR","SCALING_FORMAT=MLN","Sort=A","Dates=H","DateFormat=P","Fill=—","Direction=H","UseDPDF=Y")</f>
        <v>—</v>
      </c>
      <c r="J63" s="13" t="str">
        <f>_xll.BDH("ALNY US Equity","IS_DEPR_EXP","FQ1 2021","FQ1 2021","Currency=USD","Period=FQ","BEST_FPERIOD_OVERRIDE=FQ","FILING_STATUS=MR","SCALING_FORMAT=MLN","Sort=A","Dates=H","DateFormat=P","Fill=—","Direction=H","UseDPDF=Y")</f>
        <v>—</v>
      </c>
      <c r="K63" s="13" t="str">
        <f>_xll.BDH("ALNY US Equity","IS_DEPR_EXP","FQ2 2021","FQ2 2021","Currency=USD","Period=FQ","BEST_FPERIOD_OVERRIDE=FQ","FILING_STATUS=MR","SCALING_FORMAT=MLN","Sort=A","Dates=H","DateFormat=P","Fill=—","Direction=H","UseDPDF=Y")</f>
        <v>—</v>
      </c>
      <c r="L63" s="13" t="str">
        <f>_xll.BDH("ALNY US Equity","IS_DEPR_EXP","FQ3 2021","FQ3 2021","Currency=USD","Period=FQ","BEST_FPERIOD_OVERRIDE=FQ","FILING_STATUS=MR","SCALING_FORMAT=MLN","Sort=A","Dates=H","DateFormat=P","Fill=—","Direction=H","UseDPDF=Y")</f>
        <v>—</v>
      </c>
      <c r="M63" s="13" t="str">
        <f>_xll.BDH("ALNY US Equity","IS_DEPR_EXP","FQ4 2021","FQ4 2021","Currency=USD","Period=FQ","BEST_FPERIOD_OVERRIDE=FQ","FILING_STATUS=MR","SCALING_FORMAT=MLN","Sort=A","Dates=H","DateFormat=P","Fill=—","Direction=H","UseDPDF=Y")</f>
        <v>—</v>
      </c>
      <c r="N63" s="13" t="str">
        <f>_xll.BDH("ALNY US Equity","IS_DEPR_EXP","FQ1 2022","FQ1 2022","Currency=USD","Period=FQ","BEST_FPERIOD_OVERRIDE=FQ","FILING_STATUS=MR","SCALING_FORMAT=MLN","Sort=A","Dates=H","DateFormat=P","Fill=—","Direction=H","UseDPDF=Y")</f>
        <v>—</v>
      </c>
      <c r="O63" s="13" t="str">
        <f>_xll.BDH("ALNY US Equity","IS_DEPR_EXP","FQ2 2022","FQ2 2022","Currency=USD","Period=FQ","BEST_FPERIOD_OVERRIDE=FQ","FILING_STATUS=MR","SCALING_FORMAT=MLN","Sort=A","Dates=H","DateFormat=P","Fill=—","Direction=H","UseDPDF=Y")</f>
        <v>—</v>
      </c>
      <c r="P63" s="13" t="str">
        <f>_xll.BDH("ALNY US Equity","IS_DEPR_EXP","FQ3 2022","FQ3 2022","Currency=USD","Period=FQ","BEST_FPERIOD_OVERRIDE=FQ","FILING_STATUS=MR","SCALING_FORMAT=MLN","Sort=A","Dates=H","DateFormat=P","Fill=—","Direction=H","UseDPDF=Y")</f>
        <v>—</v>
      </c>
      <c r="Q63" s="13" t="str">
        <f>_xll.BDH("ALNY US Equity","IS_DEPR_EXP","FQ4 2022","FQ4 2022","Currency=USD","Period=FQ","BEST_FPERIOD_OVERRIDE=FQ","FILING_STATUS=MR","SCALING_FORMAT=MLN","Sort=A","Dates=H","DateFormat=P","Fill=—","Direction=H","UseDPDF=Y")</f>
        <v>—</v>
      </c>
      <c r="R63" s="13" t="str">
        <f>_xll.BDH("ALNY US Equity","IS_DEPR_EXP","FQ1 2023","FQ1 2023","Currency=USD","Period=FQ","BEST_FPERIOD_OVERRIDE=FQ","FILING_STATUS=MR","SCALING_FORMAT=MLN","Sort=A","Dates=H","DateFormat=P","Fill=—","Direction=H","UseDPDF=Y")</f>
        <v>—</v>
      </c>
      <c r="S63" s="13">
        <f>_xll.BDH("ALNY US Equity","IS_DEPR_EXP","FQ2 2023","FQ2 2023","Currency=USD","Period=FQ","BEST_FPERIOD_OVERRIDE=FQ","FILING_STATUS=MR","SCALING_FORMAT=MLN","Sort=A","Dates=H","DateFormat=P","Fill=—","Direction=H","UseDPDF=Y")</f>
        <v>13.179</v>
      </c>
      <c r="T63" s="13">
        <f>_xll.BDH("ALNY US Equity","IS_DEPR_EXP","FQ3 2023","FQ3 2023","Currency=USD","Period=FQ","BEST_FPERIOD_OVERRIDE=FQ","FILING_STATUS=MR","SCALING_FORMAT=MLN","Sort=A","Dates=H","DateFormat=P","Fill=—","Direction=H","UseDPDF=Y")</f>
        <v>13.327999999999999</v>
      </c>
      <c r="U63" s="13" t="str">
        <f>_xll.BDH("ALNY US Equity","IS_DEPR_EXP","FQ4 2023","FQ4 2023","Currency=USD","Period=FQ","BEST_FPERIOD_OVERRIDE=FQ","FILING_STATUS=MR","SCALING_FORMAT=MLN","Sort=A","Dates=H","DateFormat=P","Fill=—","Direction=H","UseDPDF=Y")</f>
        <v>—</v>
      </c>
      <c r="V63" s="13" t="str">
        <f>_xll.BDH("ALNY US Equity","IS_DEPR_EXP","FQ1 2024","FQ1 2024","Currency=USD","Period=FQ","BEST_FPERIOD_OVERRIDE=FQ","FILING_STATUS=MR","SCALING_FORMAT=MLN","Sort=A","Dates=H","DateFormat=P","Fill=—","Direction=H","UseDPDF=Y")</f>
        <v>—</v>
      </c>
      <c r="W63" s="13">
        <f>_xll.BDH("ALNY US Equity","IS_DEPR_EXP","FQ2 2024","FQ2 2024","Currency=USD","Period=FQ","BEST_FPERIOD_OVERRIDE=FQ","FILING_STATUS=MR","SCALING_FORMAT=MLN","Sort=A","Dates=H","DateFormat=P","Fill=—","Direction=H","UseDPDF=Y")</f>
        <v>15.003</v>
      </c>
      <c r="X63" s="13">
        <f>_xll.BDH("ALNY US Equity","IS_DEPR_EXP","FQ3 2024","FQ3 2024","Currency=USD","Period=FQ","BEST_FPERIOD_OVERRIDE=FQ","FILING_STATUS=MR","SCALING_FORMAT=MLN","Sort=A","Dates=H","DateFormat=P","Fill=—","Direction=H","UseDPDF=Y")</f>
        <v>13.981999999999999</v>
      </c>
      <c r="Y63" s="13">
        <f>_xll.BDH("ALNY US Equity","IS_DEPR_EXP","FQ4 2024","FQ4 2024","Currency=USD","Period=FQ","BEST_FPERIOD_OVERRIDE=FQ","FILING_STATUS=MR","SCALING_FORMAT=MLN","Sort=A","Dates=H","DateFormat=P","Fill=—","Direction=H","UseDPDF=Y")</f>
        <v>14.167999999999999</v>
      </c>
      <c r="Z63" s="13"/>
      <c r="AA63" s="13"/>
    </row>
    <row r="64" spans="1:27" x14ac:dyDescent="0.25">
      <c r="A64" s="10" t="s">
        <v>392</v>
      </c>
      <c r="B64" s="10" t="s">
        <v>393</v>
      </c>
      <c r="C64" s="13">
        <f>_xll.BDH("ALNY US Equity","BS_CURR_RENTAL_EXPENSE","FQ2 2019","FQ2 2019","Currency=USD","Period=FQ","BEST_FPERIOD_OVERRIDE=FQ","FILING_STATUS=MR","SCALING_FORMAT=MLN","Sort=A","Dates=H","DateFormat=P","Fill=—","Direction=H","UseDPDF=Y")</f>
        <v>13.776999999999999</v>
      </c>
      <c r="D64" s="13">
        <f>_xll.BDH("ALNY US Equity","BS_CURR_RENTAL_EXPENSE","FQ3 2019","FQ3 2019","Currency=USD","Period=FQ","BEST_FPERIOD_OVERRIDE=FQ","FILING_STATUS=MR","SCALING_FORMAT=MLN","Sort=A","Dates=H","DateFormat=P","Fill=—","Direction=H","UseDPDF=Y")</f>
        <v>12.742000000000001</v>
      </c>
      <c r="E64" s="13">
        <f>_xll.BDH("ALNY US Equity","BS_CURR_RENTAL_EXPENSE","FQ4 2019","FQ4 2019","Currency=USD","Period=FQ","BEST_FPERIOD_OVERRIDE=FQ","FILING_STATUS=MR","SCALING_FORMAT=MLN","Sort=A","Dates=H","DateFormat=P","Fill=—","Direction=H","UseDPDF=Y")</f>
        <v>12.965999999999999</v>
      </c>
      <c r="F64" s="13" t="str">
        <f>_xll.BDH("ALNY US Equity","BS_CURR_RENTAL_EXPENSE","FQ1 2020","FQ1 2020","Currency=USD","Period=FQ","BEST_FPERIOD_OVERRIDE=FQ","FILING_STATUS=MR","SCALING_FORMAT=MLN","Sort=A","Dates=H","DateFormat=P","Fill=—","Direction=H","UseDPDF=Y")</f>
        <v>—</v>
      </c>
      <c r="G64" s="13" t="str">
        <f>_xll.BDH("ALNY US Equity","BS_CURR_RENTAL_EXPENSE","FQ2 2020","FQ2 2020","Currency=USD","Period=FQ","BEST_FPERIOD_OVERRIDE=FQ","FILING_STATUS=MR","SCALING_FORMAT=MLN","Sort=A","Dates=H","DateFormat=P","Fill=—","Direction=H","UseDPDF=Y")</f>
        <v>—</v>
      </c>
      <c r="H64" s="13" t="str">
        <f>_xll.BDH("ALNY US Equity","BS_CURR_RENTAL_EXPENSE","FQ3 2020","FQ3 2020","Currency=USD","Period=FQ","BEST_FPERIOD_OVERRIDE=FQ","FILING_STATUS=MR","SCALING_FORMAT=MLN","Sort=A","Dates=H","DateFormat=P","Fill=—","Direction=H","UseDPDF=Y")</f>
        <v>—</v>
      </c>
      <c r="I64" s="13" t="str">
        <f>_xll.BDH("ALNY US Equity","BS_CURR_RENTAL_EXPENSE","FQ4 2020","FQ4 2020","Currency=USD","Period=FQ","BEST_FPERIOD_OVERRIDE=FQ","FILING_STATUS=MR","SCALING_FORMAT=MLN","Sort=A","Dates=H","DateFormat=P","Fill=—","Direction=H","UseDPDF=Y")</f>
        <v>—</v>
      </c>
      <c r="J64" s="13" t="str">
        <f>_xll.BDH("ALNY US Equity","BS_CURR_RENTAL_EXPENSE","FQ1 2021","FQ1 2021","Currency=USD","Period=FQ","BEST_FPERIOD_OVERRIDE=FQ","FILING_STATUS=MR","SCALING_FORMAT=MLN","Sort=A","Dates=H","DateFormat=P","Fill=—","Direction=H","UseDPDF=Y")</f>
        <v>—</v>
      </c>
      <c r="K64" s="13" t="str">
        <f>_xll.BDH("ALNY US Equity","BS_CURR_RENTAL_EXPENSE","FQ2 2021","FQ2 2021","Currency=USD","Period=FQ","BEST_FPERIOD_OVERRIDE=FQ","FILING_STATUS=MR","SCALING_FORMAT=MLN","Sort=A","Dates=H","DateFormat=P","Fill=—","Direction=H","UseDPDF=Y")</f>
        <v>—</v>
      </c>
      <c r="L64" s="13" t="str">
        <f>_xll.BDH("ALNY US Equity","BS_CURR_RENTAL_EXPENSE","FQ3 2021","FQ3 2021","Currency=USD","Period=FQ","BEST_FPERIOD_OVERRIDE=FQ","FILING_STATUS=MR","SCALING_FORMAT=MLN","Sort=A","Dates=H","DateFormat=P","Fill=—","Direction=H","UseDPDF=Y")</f>
        <v>—</v>
      </c>
      <c r="M64" s="13" t="str">
        <f>_xll.BDH("ALNY US Equity","BS_CURR_RENTAL_EXPENSE","FQ4 2021","FQ4 2021","Currency=USD","Period=FQ","BEST_FPERIOD_OVERRIDE=FQ","FILING_STATUS=MR","SCALING_FORMAT=MLN","Sort=A","Dates=H","DateFormat=P","Fill=—","Direction=H","UseDPDF=Y")</f>
        <v>—</v>
      </c>
      <c r="N64" s="13" t="str">
        <f>_xll.BDH("ALNY US Equity","BS_CURR_RENTAL_EXPENSE","FQ1 2022","FQ1 2022","Currency=USD","Period=FQ","BEST_FPERIOD_OVERRIDE=FQ","FILING_STATUS=MR","SCALING_FORMAT=MLN","Sort=A","Dates=H","DateFormat=P","Fill=—","Direction=H","UseDPDF=Y")</f>
        <v>—</v>
      </c>
      <c r="O64" s="13" t="str">
        <f>_xll.BDH("ALNY US Equity","BS_CURR_RENTAL_EXPENSE","FQ2 2022","FQ2 2022","Currency=USD","Period=FQ","BEST_FPERIOD_OVERRIDE=FQ","FILING_STATUS=MR","SCALING_FORMAT=MLN","Sort=A","Dates=H","DateFormat=P","Fill=—","Direction=H","UseDPDF=Y")</f>
        <v>—</v>
      </c>
      <c r="P64" s="13" t="str">
        <f>_xll.BDH("ALNY US Equity","BS_CURR_RENTAL_EXPENSE","FQ3 2022","FQ3 2022","Currency=USD","Period=FQ","BEST_FPERIOD_OVERRIDE=FQ","FILING_STATUS=MR","SCALING_FORMAT=MLN","Sort=A","Dates=H","DateFormat=P","Fill=—","Direction=H","UseDPDF=Y")</f>
        <v>—</v>
      </c>
      <c r="Q64" s="13" t="str">
        <f>_xll.BDH("ALNY US Equity","BS_CURR_RENTAL_EXPENSE","FQ4 2022","FQ4 2022","Currency=USD","Period=FQ","BEST_FPERIOD_OVERRIDE=FQ","FILING_STATUS=MR","SCALING_FORMAT=MLN","Sort=A","Dates=H","DateFormat=P","Fill=—","Direction=H","UseDPDF=Y")</f>
        <v>—</v>
      </c>
      <c r="R64" s="13" t="str">
        <f>_xll.BDH("ALNY US Equity","BS_CURR_RENTAL_EXPENSE","FQ1 2023","FQ1 2023","Currency=USD","Period=FQ","BEST_FPERIOD_OVERRIDE=FQ","FILING_STATUS=MR","SCALING_FORMAT=MLN","Sort=A","Dates=H","DateFormat=P","Fill=—","Direction=H","UseDPDF=Y")</f>
        <v>—</v>
      </c>
      <c r="S64" s="13" t="str">
        <f>_xll.BDH("ALNY US Equity","BS_CURR_RENTAL_EXPENSE","FQ2 2023","FQ2 2023","Currency=USD","Period=FQ","BEST_FPERIOD_OVERRIDE=FQ","FILING_STATUS=MR","SCALING_FORMAT=MLN","Sort=A","Dates=H","DateFormat=P","Fill=—","Direction=H","UseDPDF=Y")</f>
        <v>—</v>
      </c>
      <c r="T64" s="13" t="str">
        <f>_xll.BDH("ALNY US Equity","BS_CURR_RENTAL_EXPENSE","FQ3 2023","FQ3 2023","Currency=USD","Period=FQ","BEST_FPERIOD_OVERRIDE=FQ","FILING_STATUS=MR","SCALING_FORMAT=MLN","Sort=A","Dates=H","DateFormat=P","Fill=—","Direction=H","UseDPDF=Y")</f>
        <v>—</v>
      </c>
      <c r="U64" s="13" t="str">
        <f>_xll.BDH("ALNY US Equity","BS_CURR_RENTAL_EXPENSE","FQ4 2023","FQ4 2023","Currency=USD","Period=FQ","BEST_FPERIOD_OVERRIDE=FQ","FILING_STATUS=MR","SCALING_FORMAT=MLN","Sort=A","Dates=H","DateFormat=P","Fill=—","Direction=H","UseDPDF=Y")</f>
        <v>—</v>
      </c>
      <c r="V64" s="13" t="str">
        <f>_xll.BDH("ALNY US Equity","BS_CURR_RENTAL_EXPENSE","FQ1 2024","FQ1 2024","Currency=USD","Period=FQ","BEST_FPERIOD_OVERRIDE=FQ","FILING_STATUS=MR","SCALING_FORMAT=MLN","Sort=A","Dates=H","DateFormat=P","Fill=—","Direction=H","UseDPDF=Y")</f>
        <v>—</v>
      </c>
      <c r="W64" s="13" t="str">
        <f>_xll.BDH("ALNY US Equity","BS_CURR_RENTAL_EXPENSE","FQ2 2024","FQ2 2024","Currency=USD","Period=FQ","BEST_FPERIOD_OVERRIDE=FQ","FILING_STATUS=MR","SCALING_FORMAT=MLN","Sort=A","Dates=H","DateFormat=P","Fill=—","Direction=H","UseDPDF=Y")</f>
        <v>—</v>
      </c>
      <c r="X64" s="13" t="str">
        <f>_xll.BDH("ALNY US Equity","BS_CURR_RENTAL_EXPENSE","FQ3 2024","FQ3 2024","Currency=USD","Period=FQ","BEST_FPERIOD_OVERRIDE=FQ","FILING_STATUS=MR","SCALING_FORMAT=MLN","Sort=A","Dates=H","DateFormat=P","Fill=—","Direction=H","UseDPDF=Y")</f>
        <v>—</v>
      </c>
      <c r="Y64" s="13" t="str">
        <f>_xll.BDH("ALNY US Equity","BS_CURR_RENTAL_EXPENSE","FQ4 2024","FQ4 2024","Currency=USD","Period=FQ","BEST_FPERIOD_OVERRIDE=FQ","FILING_STATUS=MR","SCALING_FORMAT=MLN","Sort=A","Dates=H","DateFormat=P","Fill=—","Direction=H","UseDPDF=Y")</f>
        <v>—</v>
      </c>
      <c r="Z64" s="13"/>
      <c r="AA64" s="13"/>
    </row>
    <row r="65" spans="1:27" x14ac:dyDescent="0.25">
      <c r="A65" s="7" t="s">
        <v>90</v>
      </c>
      <c r="B65" s="7"/>
      <c r="C65" s="7" t="s">
        <v>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400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401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402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0" t="s">
        <v>403</v>
      </c>
      <c r="B8" s="10" t="s">
        <v>404</v>
      </c>
      <c r="C8" s="13">
        <f>_xll.BDH("ALNY US Equity","ARD_REVENUES","FQ4 2018","FQ4 2018","Currency=USD","Period=FQ","BEST_FPERIOD_OVERRIDE=FQ","FILING_STATUS=MR","SCALING_FORMAT=MLN","Sort=A","Dates=H","DateFormat=P","Fill=—","Direction=H","UseDPDF=Y")</f>
        <v>8.9580000000000002</v>
      </c>
      <c r="D8" s="13">
        <f>_xll.BDH("ALNY US Equity","ARD_REVENUES","FQ1 2019","FQ1 2019","Currency=USD","Period=FQ","BEST_FPERIOD_OVERRIDE=FQ","FILING_STATUS=MR","SCALING_FORMAT=MLN","Sort=A","Dates=H","DateFormat=P","Fill=—","Direction=H","UseDPDF=Y")</f>
        <v>33.293999999999997</v>
      </c>
      <c r="E8" s="13" t="str">
        <f>_xll.BDH("ALNY US Equity","ARD_REVENUES","FQ2 2019","FQ2 2019","Currency=USD","Period=FQ","BEST_FPERIOD_OVERRIDE=FQ","FILING_STATUS=MR","SCALING_FORMAT=MLN","Sort=A","Dates=H","DateFormat=P","Fill=—","Direction=H","UseDPDF=Y")</f>
        <v>—</v>
      </c>
      <c r="F8" s="13" t="str">
        <f>_xll.BDH("ALNY US Equity","ARD_REVENUES","FQ3 2019","FQ3 2019","Currency=USD","Period=FQ","BEST_FPERIOD_OVERRIDE=FQ","FILING_STATUS=MR","SCALING_FORMAT=MLN","Sort=A","Dates=H","DateFormat=P","Fill=—","Direction=H","UseDPDF=Y")</f>
        <v>—</v>
      </c>
      <c r="G8" s="13" t="str">
        <f>_xll.BDH("ALNY US Equity","ARD_REVENUES","FQ4 2019","FQ4 2019","Currency=USD","Period=FQ","BEST_FPERIOD_OVERRIDE=FQ","FILING_STATUS=MR","SCALING_FORMAT=MLN","Sort=A","Dates=H","DateFormat=P","Fill=—","Direction=H","UseDPDF=Y")</f>
        <v>—</v>
      </c>
      <c r="H8" s="13" t="str">
        <f>_xll.BDH("ALNY US Equity","ARD_REVENUES","FQ1 2020","FQ1 2020","Currency=USD","Period=FQ","BEST_FPERIOD_OVERRIDE=FQ","FILING_STATUS=MR","SCALING_FORMAT=MLN","Sort=A","Dates=H","DateFormat=P","Fill=—","Direction=H","UseDPDF=Y")</f>
        <v>—</v>
      </c>
      <c r="I8" s="13" t="str">
        <f>_xll.BDH("ALNY US Equity","ARD_REVENUES","FQ2 2020","FQ2 2020","Currency=USD","Period=FQ","BEST_FPERIOD_OVERRIDE=FQ","FILING_STATUS=MR","SCALING_FORMAT=MLN","Sort=A","Dates=H","DateFormat=P","Fill=—","Direction=H","UseDPDF=Y")</f>
        <v>—</v>
      </c>
      <c r="J8" s="13" t="str">
        <f>_xll.BDH("ALNY US Equity","ARD_REVENUES","FQ3 2020","FQ3 2020","Currency=USD","Period=FQ","BEST_FPERIOD_OVERRIDE=FQ","FILING_STATUS=MR","SCALING_FORMAT=MLN","Sort=A","Dates=H","DateFormat=P","Fill=—","Direction=H","UseDPDF=Y")</f>
        <v>—</v>
      </c>
      <c r="K8" s="13" t="str">
        <f>_xll.BDH("ALNY US Equity","ARD_REVENUES","FQ4 2020","FQ4 2020","Currency=USD","Period=FQ","BEST_FPERIOD_OVERRIDE=FQ","FILING_STATUS=MR","SCALING_FORMAT=MLN","Sort=A","Dates=H","DateFormat=P","Fill=—","Direction=H","UseDPDF=Y")</f>
        <v>—</v>
      </c>
      <c r="L8" s="13" t="str">
        <f>_xll.BDH("ALNY US Equity","ARD_REVENUES","FQ1 2021","FQ1 2021","Currency=USD","Period=FQ","BEST_FPERIOD_OVERRIDE=FQ","FILING_STATUS=MR","SCALING_FORMAT=MLN","Sort=A","Dates=H","DateFormat=P","Fill=—","Direction=H","UseDPDF=Y")</f>
        <v>—</v>
      </c>
      <c r="M8" s="13" t="str">
        <f>_xll.BDH("ALNY US Equity","ARD_REVENUES","FQ2 2021","FQ2 2021","Currency=USD","Period=FQ","BEST_FPERIOD_OVERRIDE=FQ","FILING_STATUS=MR","SCALING_FORMAT=MLN","Sort=A","Dates=H","DateFormat=P","Fill=—","Direction=H","UseDPDF=Y")</f>
        <v>—</v>
      </c>
      <c r="N8" s="13" t="str">
        <f>_xll.BDH("ALNY US Equity","ARD_REVENUES","FQ3 2021","FQ3 2021","Currency=USD","Period=FQ","BEST_FPERIOD_OVERRIDE=FQ","FILING_STATUS=MR","SCALING_FORMAT=MLN","Sort=A","Dates=H","DateFormat=P","Fill=—","Direction=H","UseDPDF=Y")</f>
        <v>—</v>
      </c>
      <c r="O8" s="13" t="str">
        <f>_xll.BDH("ALNY US Equity","ARD_REVENUES","FQ4 2021","FQ4 2021","Currency=USD","Period=FQ","BEST_FPERIOD_OVERRIDE=FQ","FILING_STATUS=MR","SCALING_FORMAT=MLN","Sort=A","Dates=H","DateFormat=P","Fill=—","Direction=H","UseDPDF=Y")</f>
        <v>—</v>
      </c>
      <c r="P8" s="13" t="str">
        <f>_xll.BDH("ALNY US Equity","ARD_REVENUES","FQ1 2022","FQ1 2022","Currency=USD","Period=FQ","BEST_FPERIOD_OVERRIDE=FQ","FILING_STATUS=MR","SCALING_FORMAT=MLN","Sort=A","Dates=H","DateFormat=P","Fill=—","Direction=H","UseDPDF=Y")</f>
        <v>—</v>
      </c>
      <c r="Q8" s="13" t="str">
        <f>_xll.BDH("ALNY US Equity","ARD_REVENUES","FQ2 2022","FQ2 2022","Currency=USD","Period=FQ","BEST_FPERIOD_OVERRIDE=FQ","FILING_STATUS=MR","SCALING_FORMAT=MLN","Sort=A","Dates=H","DateFormat=P","Fill=—","Direction=H","UseDPDF=Y")</f>
        <v>—</v>
      </c>
      <c r="R8" s="13" t="str">
        <f>_xll.BDH("ALNY US Equity","ARD_REVENUES","FQ3 2022","FQ3 2022","Currency=USD","Period=FQ","BEST_FPERIOD_OVERRIDE=FQ","FILING_STATUS=MR","SCALING_FORMAT=MLN","Sort=A","Dates=H","DateFormat=P","Fill=—","Direction=H","UseDPDF=Y")</f>
        <v>—</v>
      </c>
      <c r="S8" s="13" t="str">
        <f>_xll.BDH("ALNY US Equity","ARD_REVENUES","FQ4 2022","FQ4 2022","Currency=USD","Period=FQ","BEST_FPERIOD_OVERRIDE=FQ","FILING_STATUS=MR","SCALING_FORMAT=MLN","Sort=A","Dates=H","DateFormat=P","Fill=—","Direction=H","UseDPDF=Y")</f>
        <v>—</v>
      </c>
      <c r="T8" s="13" t="str">
        <f>_xll.BDH("ALNY US Equity","ARD_REVENUES","FQ1 2023","FQ1 2023","Currency=USD","Period=FQ","BEST_FPERIOD_OVERRIDE=FQ","FILING_STATUS=MR","SCALING_FORMAT=MLN","Sort=A","Dates=H","DateFormat=P","Fill=—","Direction=H","UseDPDF=Y")</f>
        <v>—</v>
      </c>
      <c r="U8" s="13" t="str">
        <f>_xll.BDH("ALNY US Equity","ARD_REVENUES","FQ2 2023","FQ2 2023","Currency=USD","Period=FQ","BEST_FPERIOD_OVERRIDE=FQ","FILING_STATUS=MR","SCALING_FORMAT=MLN","Sort=A","Dates=H","DateFormat=P","Fill=—","Direction=H","UseDPDF=Y")</f>
        <v>—</v>
      </c>
      <c r="V8" s="13" t="str">
        <f>_xll.BDH("ALNY US Equity","ARD_REVENUES","FQ3 2023","FQ3 2023","Currency=USD","Period=FQ","BEST_FPERIOD_OVERRIDE=FQ","FILING_STATUS=MR","SCALING_FORMAT=MLN","Sort=A","Dates=H","DateFormat=P","Fill=—","Direction=H","UseDPDF=Y")</f>
        <v>—</v>
      </c>
      <c r="W8" s="13" t="str">
        <f>_xll.BDH("ALNY US Equity","ARD_REVENUES","FQ4 2023","FQ4 2023","Currency=USD","Period=FQ","BEST_FPERIOD_OVERRIDE=FQ","FILING_STATUS=MR","SCALING_FORMAT=MLN","Sort=A","Dates=H","DateFormat=P","Fill=—","Direction=H","UseDPDF=Y")</f>
        <v>—</v>
      </c>
      <c r="X8" s="13" t="str">
        <f>_xll.BDH("ALNY US Equity","ARD_REVENUES","FQ1 2024","FQ1 2024","Currency=USD","Period=FQ","BEST_FPERIOD_OVERRIDE=FQ","FILING_STATUS=MR","SCALING_FORMAT=MLN","Sort=A","Dates=H","DateFormat=P","Fill=—","Direction=H","UseDPDF=Y")</f>
        <v>—</v>
      </c>
      <c r="Y8" s="13" t="str">
        <f>_xll.BDH("ALNY US Equity","ARD_REVENUES","FQ2 2024","FQ2 2024","Currency=USD","Period=FQ","BEST_FPERIOD_OVERRIDE=FQ","FILING_STATUS=MR","SCALING_FORMAT=MLN","Sort=A","Dates=H","DateFormat=P","Fill=—","Direction=H","UseDPDF=Y")</f>
        <v>—</v>
      </c>
      <c r="Z8" s="13" t="str">
        <f>_xll.BDH("ALNY US Equity","ARD_REVENUES","FQ3 2024","FQ3 2024","Currency=USD","Period=FQ","BEST_FPERIOD_OVERRIDE=FQ","FILING_STATUS=MR","SCALING_FORMAT=MLN","Sort=A","Dates=H","DateFormat=P","Fill=—","Direction=H","UseDPDF=Y")</f>
        <v>—</v>
      </c>
      <c r="AA8" s="13" t="str">
        <f>_xll.BDH("ALNY US Equity","ARD_REVENUES","FQ4 2024","FQ4 2024","Currency=USD","Period=FQ","BEST_FPERIOD_OVERRIDE=FQ","FILING_STATUS=MR","SCALING_FORMAT=MLN","Sort=A","Dates=H","DateFormat=P","Fill=—","Direction=H","UseDPDF=Y")</f>
        <v>—</v>
      </c>
    </row>
    <row r="9" spans="1:27" x14ac:dyDescent="0.25">
      <c r="A9" s="10" t="s">
        <v>405</v>
      </c>
      <c r="B9" s="10" t="s">
        <v>406</v>
      </c>
      <c r="C9" s="13" t="str">
        <f>_xll.BDH("ALNY US Equity","ARD_OTHER_REV","FQ4 2018","FQ4 2018","Currency=USD","Period=FQ","BEST_FPERIOD_OVERRIDE=FQ","FILING_STATUS=MR","SCALING_FORMAT=MLN","Sort=A","Dates=H","DateFormat=P","Fill=—","Direction=H","UseDPDF=Y")</f>
        <v>—</v>
      </c>
      <c r="D9" s="13" t="str">
        <f>_xll.BDH("ALNY US Equity","ARD_OTHER_REV","FQ1 2019","FQ1 2019","Currency=USD","Period=FQ","BEST_FPERIOD_OVERRIDE=FQ","FILING_STATUS=MR","SCALING_FORMAT=MLN","Sort=A","Dates=H","DateFormat=P","Fill=—","Direction=H","UseDPDF=Y")</f>
        <v>—</v>
      </c>
      <c r="E9" s="13" t="str">
        <f>_xll.BDH("ALNY US Equity","ARD_OTHER_REV","FQ2 2019","FQ2 2019","Currency=USD","Period=FQ","BEST_FPERIOD_OVERRIDE=FQ","FILING_STATUS=MR","SCALING_FORMAT=MLN","Sort=A","Dates=H","DateFormat=P","Fill=—","Direction=H","UseDPDF=Y")</f>
        <v>—</v>
      </c>
      <c r="F9" s="13" t="str">
        <f>_xll.BDH("ALNY US Equity","ARD_OTHER_REV","FQ3 2019","FQ3 2019","Currency=USD","Period=FQ","BEST_FPERIOD_OVERRIDE=FQ","FILING_STATUS=MR","SCALING_FORMAT=MLN","Sort=A","Dates=H","DateFormat=P","Fill=—","Direction=H","UseDPDF=Y")</f>
        <v>—</v>
      </c>
      <c r="G9" s="13" t="str">
        <f>_xll.BDH("ALNY US Equity","ARD_OTHER_REV","FQ4 2019","FQ4 2019","Currency=USD","Period=FQ","BEST_FPERIOD_OVERRIDE=FQ","FILING_STATUS=MR","SCALING_FORMAT=MLN","Sort=A","Dates=H","DateFormat=P","Fill=—","Direction=H","UseDPDF=Y")</f>
        <v>—</v>
      </c>
      <c r="H9" s="13" t="str">
        <f>_xll.BDH("ALNY US Equity","ARD_OTHER_REV","FQ1 2020","FQ1 2020","Currency=USD","Period=FQ","BEST_FPERIOD_OVERRIDE=FQ","FILING_STATUS=MR","SCALING_FORMAT=MLN","Sort=A","Dates=H","DateFormat=P","Fill=—","Direction=H","UseDPDF=Y")</f>
        <v>—</v>
      </c>
      <c r="I9" s="13" t="str">
        <f>_xll.BDH("ALNY US Equity","ARD_OTHER_REV","FQ2 2020","FQ2 2020","Currency=USD","Period=FQ","BEST_FPERIOD_OVERRIDE=FQ","FILING_STATUS=MR","SCALING_FORMAT=MLN","Sort=A","Dates=H","DateFormat=P","Fill=—","Direction=H","UseDPDF=Y")</f>
        <v>—</v>
      </c>
      <c r="J9" s="13" t="str">
        <f>_xll.BDH("ALNY US Equity","ARD_OTHER_REV","FQ3 2020","FQ3 2020","Currency=USD","Period=FQ","BEST_FPERIOD_OVERRIDE=FQ","FILING_STATUS=MR","SCALING_FORMAT=MLN","Sort=A","Dates=H","DateFormat=P","Fill=—","Direction=H","UseDPDF=Y")</f>
        <v>—</v>
      </c>
      <c r="K9" s="13" t="str">
        <f>_xll.BDH("ALNY US Equity","ARD_OTHER_REV","FQ4 2020","FQ4 2020","Currency=USD","Period=FQ","BEST_FPERIOD_OVERRIDE=FQ","FILING_STATUS=MR","SCALING_FORMAT=MLN","Sort=A","Dates=H","DateFormat=P","Fill=—","Direction=H","UseDPDF=Y")</f>
        <v>—</v>
      </c>
      <c r="L9" s="13" t="str">
        <f>_xll.BDH("ALNY US Equity","ARD_OTHER_REV","FQ1 2021","FQ1 2021","Currency=USD","Period=FQ","BEST_FPERIOD_OVERRIDE=FQ","FILING_STATUS=MR","SCALING_FORMAT=MLN","Sort=A","Dates=H","DateFormat=P","Fill=—","Direction=H","UseDPDF=Y")</f>
        <v>—</v>
      </c>
      <c r="M9" s="13">
        <f>_xll.BDH("ALNY US Equity","ARD_OTHER_REV","FQ2 2021","FQ2 2021","Currency=USD","Period=FQ","BEST_FPERIOD_OVERRIDE=FQ","FILING_STATUS=MR","SCALING_FORMAT=MLN","Sort=A","Dates=H","DateFormat=P","Fill=—","Direction=H","UseDPDF=Y")</f>
        <v>0.34699999999999998</v>
      </c>
      <c r="N9" s="13" t="str">
        <f>_xll.BDH("ALNY US Equity","ARD_OTHER_REV","FQ3 2021","FQ3 2021","Currency=USD","Period=FQ","BEST_FPERIOD_OVERRIDE=FQ","FILING_STATUS=MR","SCALING_FORMAT=MLN","Sort=A","Dates=H","DateFormat=P","Fill=—","Direction=H","UseDPDF=Y")</f>
        <v>—</v>
      </c>
      <c r="O9" s="13" t="str">
        <f>_xll.BDH("ALNY US Equity","ARD_OTHER_REV","FQ4 2021","FQ4 2021","Currency=USD","Period=FQ","BEST_FPERIOD_OVERRIDE=FQ","FILING_STATUS=MR","SCALING_FORMAT=MLN","Sort=A","Dates=H","DateFormat=P","Fill=—","Direction=H","UseDPDF=Y")</f>
        <v>—</v>
      </c>
      <c r="P9" s="13" t="str">
        <f>_xll.BDH("ALNY US Equity","ARD_OTHER_REV","FQ1 2022","FQ1 2022","Currency=USD","Period=FQ","BEST_FPERIOD_OVERRIDE=FQ","FILING_STATUS=MR","SCALING_FORMAT=MLN","Sort=A","Dates=H","DateFormat=P","Fill=—","Direction=H","UseDPDF=Y")</f>
        <v>—</v>
      </c>
      <c r="Q9" s="13" t="str">
        <f>_xll.BDH("ALNY US Equity","ARD_OTHER_REV","FQ2 2022","FQ2 2022","Currency=USD","Period=FQ","BEST_FPERIOD_OVERRIDE=FQ","FILING_STATUS=MR","SCALING_FORMAT=MLN","Sort=A","Dates=H","DateFormat=P","Fill=—","Direction=H","UseDPDF=Y")</f>
        <v>—</v>
      </c>
      <c r="R9" s="13" t="str">
        <f>_xll.BDH("ALNY US Equity","ARD_OTHER_REV","FQ3 2022","FQ3 2022","Currency=USD","Period=FQ","BEST_FPERIOD_OVERRIDE=FQ","FILING_STATUS=MR","SCALING_FORMAT=MLN","Sort=A","Dates=H","DateFormat=P","Fill=—","Direction=H","UseDPDF=Y")</f>
        <v>—</v>
      </c>
      <c r="S9" s="13" t="str">
        <f>_xll.BDH("ALNY US Equity","ARD_OTHER_REV","FQ4 2022","FQ4 2022","Currency=USD","Period=FQ","BEST_FPERIOD_OVERRIDE=FQ","FILING_STATUS=MR","SCALING_FORMAT=MLN","Sort=A","Dates=H","DateFormat=P","Fill=—","Direction=H","UseDPDF=Y")</f>
        <v>—</v>
      </c>
      <c r="T9" s="13" t="str">
        <f>_xll.BDH("ALNY US Equity","ARD_OTHER_REV","FQ1 2023","FQ1 2023","Currency=USD","Period=FQ","BEST_FPERIOD_OVERRIDE=FQ","FILING_STATUS=MR","SCALING_FORMAT=MLN","Sort=A","Dates=H","DateFormat=P","Fill=—","Direction=H","UseDPDF=Y")</f>
        <v>—</v>
      </c>
      <c r="U9" s="13" t="str">
        <f>_xll.BDH("ALNY US Equity","ARD_OTHER_REV","FQ2 2023","FQ2 2023","Currency=USD","Period=FQ","BEST_FPERIOD_OVERRIDE=FQ","FILING_STATUS=MR","SCALING_FORMAT=MLN","Sort=A","Dates=H","DateFormat=P","Fill=—","Direction=H","UseDPDF=Y")</f>
        <v>—</v>
      </c>
      <c r="V9" s="13" t="str">
        <f>_xll.BDH("ALNY US Equity","ARD_OTHER_REV","FQ3 2023","FQ3 2023","Currency=USD","Period=FQ","BEST_FPERIOD_OVERRIDE=FQ","FILING_STATUS=MR","SCALING_FORMAT=MLN","Sort=A","Dates=H","DateFormat=P","Fill=—","Direction=H","UseDPDF=Y")</f>
        <v>—</v>
      </c>
      <c r="W9" s="13" t="str">
        <f>_xll.BDH("ALNY US Equity","ARD_OTHER_REV","FQ4 2023","FQ4 2023","Currency=USD","Period=FQ","BEST_FPERIOD_OVERRIDE=FQ","FILING_STATUS=MR","SCALING_FORMAT=MLN","Sort=A","Dates=H","DateFormat=P","Fill=—","Direction=H","UseDPDF=Y")</f>
        <v>—</v>
      </c>
      <c r="X9" s="13" t="str">
        <f>_xll.BDH("ALNY US Equity","ARD_OTHER_REV","FQ1 2024","FQ1 2024","Currency=USD","Period=FQ","BEST_FPERIOD_OVERRIDE=FQ","FILING_STATUS=MR","SCALING_FORMAT=MLN","Sort=A","Dates=H","DateFormat=P","Fill=—","Direction=H","UseDPDF=Y")</f>
        <v>—</v>
      </c>
      <c r="Y9" s="13" t="str">
        <f>_xll.BDH("ALNY US Equity","ARD_OTHER_REV","FQ2 2024","FQ2 2024","Currency=USD","Period=FQ","BEST_FPERIOD_OVERRIDE=FQ","FILING_STATUS=MR","SCALING_FORMAT=MLN","Sort=A","Dates=H","DateFormat=P","Fill=—","Direction=H","UseDPDF=Y")</f>
        <v>—</v>
      </c>
      <c r="Z9" s="13" t="str">
        <f>_xll.BDH("ALNY US Equity","ARD_OTHER_REV","FQ3 2024","FQ3 2024","Currency=USD","Period=FQ","BEST_FPERIOD_OVERRIDE=FQ","FILING_STATUS=MR","SCALING_FORMAT=MLN","Sort=A","Dates=H","DateFormat=P","Fill=—","Direction=H","UseDPDF=Y")</f>
        <v>—</v>
      </c>
      <c r="AA9" s="13" t="str">
        <f>_xll.BDH("ALNY US Equity","ARD_OTHER_REV","FQ4 2024","FQ4 2024","Currency=USD","Period=FQ","BEST_FPERIOD_OVERRIDE=FQ","FILING_STATUS=MR","SCALING_FORMAT=MLN","Sort=A","Dates=H","DateFormat=P","Fill=—","Direction=H","UseDPDF=Y")</f>
        <v>—</v>
      </c>
    </row>
    <row r="10" spans="1:27" x14ac:dyDescent="0.25">
      <c r="A10" s="10" t="s">
        <v>407</v>
      </c>
      <c r="B10" s="10" t="s">
        <v>408</v>
      </c>
      <c r="C10" s="13" t="str">
        <f>_xll.BDH("ALNY US Equity","ARD_ROYALTY_REVENUE","FQ4 2018","FQ4 2018","Currency=USD","Period=FQ","BEST_FPERIOD_OVERRIDE=FQ","FILING_STATUS=MR","SCALING_FORMAT=MLN","Sort=A","Dates=H","DateFormat=P","Fill=—","Direction=H","UseDPDF=Y")</f>
        <v>—</v>
      </c>
      <c r="D10" s="13" t="str">
        <f>_xll.BDH("ALNY US Equity","ARD_ROYALTY_REVENUE","FQ1 2019","FQ1 2019","Currency=USD","Period=FQ","BEST_FPERIOD_OVERRIDE=FQ","FILING_STATUS=MR","SCALING_FORMAT=MLN","Sort=A","Dates=H","DateFormat=P","Fill=—","Direction=H","UseDPDF=Y")</f>
        <v>—</v>
      </c>
      <c r="E10" s="13" t="str">
        <f>_xll.BDH("ALNY US Equity","ARD_ROYALTY_REVENUE","FQ2 2019","FQ2 2019","Currency=USD","Period=FQ","BEST_FPERIOD_OVERRIDE=FQ","FILING_STATUS=MR","SCALING_FORMAT=MLN","Sort=A","Dates=H","DateFormat=P","Fill=—","Direction=H","UseDPDF=Y")</f>
        <v>—</v>
      </c>
      <c r="F10" s="13" t="str">
        <f>_xll.BDH("ALNY US Equity","ARD_ROYALTY_REVENUE","FQ3 2019","FQ3 2019","Currency=USD","Period=FQ","BEST_FPERIOD_OVERRIDE=FQ","FILING_STATUS=MR","SCALING_FORMAT=MLN","Sort=A","Dates=H","DateFormat=P","Fill=—","Direction=H","UseDPDF=Y")</f>
        <v>—</v>
      </c>
      <c r="G10" s="13" t="str">
        <f>_xll.BDH("ALNY US Equity","ARD_ROYALTY_REVENUE","FQ4 2019","FQ4 2019","Currency=USD","Period=FQ","BEST_FPERIOD_OVERRIDE=FQ","FILING_STATUS=MR","SCALING_FORMAT=MLN","Sort=A","Dates=H","DateFormat=P","Fill=—","Direction=H","UseDPDF=Y")</f>
        <v>—</v>
      </c>
      <c r="H10" s="13" t="str">
        <f>_xll.BDH("ALNY US Equity","ARD_ROYALTY_REVENUE","FQ1 2020","FQ1 2020","Currency=USD","Period=FQ","BEST_FPERIOD_OVERRIDE=FQ","FILING_STATUS=MR","SCALING_FORMAT=MLN","Sort=A","Dates=H","DateFormat=P","Fill=—","Direction=H","UseDPDF=Y")</f>
        <v>—</v>
      </c>
      <c r="I10" s="13" t="str">
        <f>_xll.BDH("ALNY US Equity","ARD_ROYALTY_REVENUE","FQ2 2020","FQ2 2020","Currency=USD","Period=FQ","BEST_FPERIOD_OVERRIDE=FQ","FILING_STATUS=MR","SCALING_FORMAT=MLN","Sort=A","Dates=H","DateFormat=P","Fill=—","Direction=H","UseDPDF=Y")</f>
        <v>—</v>
      </c>
      <c r="J10" s="13" t="str">
        <f>_xll.BDH("ALNY US Equity","ARD_ROYALTY_REVENUE","FQ3 2020","FQ3 2020","Currency=USD","Period=FQ","BEST_FPERIOD_OVERRIDE=FQ","FILING_STATUS=MR","SCALING_FORMAT=MLN","Sort=A","Dates=H","DateFormat=P","Fill=—","Direction=H","UseDPDF=Y")</f>
        <v>—</v>
      </c>
      <c r="K10" s="13" t="str">
        <f>_xll.BDH("ALNY US Equity","ARD_ROYALTY_REVENUE","FQ4 2020","FQ4 2020","Currency=USD","Period=FQ","BEST_FPERIOD_OVERRIDE=FQ","FILING_STATUS=MR","SCALING_FORMAT=MLN","Sort=A","Dates=H","DateFormat=P","Fill=—","Direction=H","UseDPDF=Y")</f>
        <v>—</v>
      </c>
      <c r="L10" s="13" t="str">
        <f>_xll.BDH("ALNY US Equity","ARD_ROYALTY_REVENUE","FQ1 2021","FQ1 2021","Currency=USD","Period=FQ","BEST_FPERIOD_OVERRIDE=FQ","FILING_STATUS=MR","SCALING_FORMAT=MLN","Sort=A","Dates=H","DateFormat=P","Fill=—","Direction=H","UseDPDF=Y")</f>
        <v>—</v>
      </c>
      <c r="M10" s="13" t="str">
        <f>_xll.BDH("ALNY US Equity","ARD_ROYALTY_REVENUE","FQ2 2021","FQ2 2021","Currency=USD","Period=FQ","BEST_FPERIOD_OVERRIDE=FQ","FILING_STATUS=MR","SCALING_FORMAT=MLN","Sort=A","Dates=H","DateFormat=P","Fill=—","Direction=H","UseDPDF=Y")</f>
        <v>—</v>
      </c>
      <c r="N10" s="13">
        <f>_xll.BDH("ALNY US Equity","ARD_ROYALTY_REVENUE","FQ3 2021","FQ3 2021","Currency=USD","Period=FQ","BEST_FPERIOD_OVERRIDE=FQ","FILING_STATUS=MR","SCALING_FORMAT=MLN","Sort=A","Dates=H","DateFormat=P","Fill=—","Direction=H","UseDPDF=Y")</f>
        <v>0.45300000000000001</v>
      </c>
      <c r="O10" s="13">
        <f>_xll.BDH("ALNY US Equity","ARD_ROYALTY_REVENUE","FQ4 2021","FQ4 2021","Currency=USD","Period=FQ","BEST_FPERIOD_OVERRIDE=FQ","FILING_STATUS=MR","SCALING_FORMAT=MLN","Sort=A","Dates=H","DateFormat=P","Fill=—","Direction=H","UseDPDF=Y")</f>
        <v>0.39600000000000002</v>
      </c>
      <c r="P10" s="13">
        <f>_xll.BDH("ALNY US Equity","ARD_ROYALTY_REVENUE","FQ1 2022","FQ1 2022","Currency=USD","Period=FQ","BEST_FPERIOD_OVERRIDE=FQ","FILING_STATUS=MR","SCALING_FORMAT=MLN","Sort=A","Dates=H","DateFormat=P","Fill=—","Direction=H","UseDPDF=Y")</f>
        <v>0.442</v>
      </c>
      <c r="Q10" s="13">
        <f>_xll.BDH("ALNY US Equity","ARD_ROYALTY_REVENUE","FQ2 2022","FQ2 2022","Currency=USD","Period=FQ","BEST_FPERIOD_OVERRIDE=FQ","FILING_STATUS=MR","SCALING_FORMAT=MLN","Sort=A","Dates=H","DateFormat=P","Fill=—","Direction=H","UseDPDF=Y")</f>
        <v>2.278</v>
      </c>
      <c r="R10" s="13">
        <f>_xll.BDH("ALNY US Equity","ARD_ROYALTY_REVENUE","FQ3 2022","FQ3 2022","Currency=USD","Period=FQ","BEST_FPERIOD_OVERRIDE=FQ","FILING_STATUS=MR","SCALING_FORMAT=MLN","Sort=A","Dates=H","DateFormat=P","Fill=—","Direction=H","UseDPDF=Y")</f>
        <v>2.742</v>
      </c>
      <c r="S10" s="13">
        <f>_xll.BDH("ALNY US Equity","ARD_ROYALTY_REVENUE","FQ4 2022","FQ4 2022","Currency=USD","Period=FQ","BEST_FPERIOD_OVERRIDE=FQ","FILING_STATUS=MR","SCALING_FORMAT=MLN","Sort=A","Dates=H","DateFormat=P","Fill=—","Direction=H","UseDPDF=Y")</f>
        <v>2.7149999999999999</v>
      </c>
      <c r="T10" s="13">
        <f>_xll.BDH("ALNY US Equity","ARD_ROYALTY_REVENUE","FQ1 2023","FQ1 2023","Currency=USD","Period=FQ","BEST_FPERIOD_OVERRIDE=FQ","FILING_STATUS=MR","SCALING_FORMAT=MLN","Sort=A","Dates=H","DateFormat=P","Fill=—","Direction=H","UseDPDF=Y")</f>
        <v>6.5</v>
      </c>
      <c r="U10" s="13">
        <f>_xll.BDH("ALNY US Equity","ARD_ROYALTY_REVENUE","FQ2 2023","FQ2 2023","Currency=USD","Period=FQ","BEST_FPERIOD_OVERRIDE=FQ","FILING_STATUS=MR","SCALING_FORMAT=MLN","Sort=A","Dates=H","DateFormat=P","Fill=—","Direction=H","UseDPDF=Y")</f>
        <v>7.2050000000000001</v>
      </c>
      <c r="V10" s="13">
        <f>_xll.BDH("ALNY US Equity","ARD_ROYALTY_REVENUE","FQ3 2023","FQ3 2023","Currency=USD","Period=FQ","BEST_FPERIOD_OVERRIDE=FQ","FILING_STATUS=MR","SCALING_FORMAT=MLN","Sort=A","Dates=H","DateFormat=P","Fill=—","Direction=H","UseDPDF=Y")</f>
        <v>9.9049999999999994</v>
      </c>
      <c r="W10" s="13">
        <f>_xll.BDH("ALNY US Equity","ARD_ROYALTY_REVENUE","FQ4 2023","FQ4 2023","Currency=USD","Period=FQ","BEST_FPERIOD_OVERRIDE=FQ","FILING_STATUS=MR","SCALING_FORMAT=MLN","Sort=A","Dates=H","DateFormat=P","Fill=—","Direction=H","UseDPDF=Y")</f>
        <v>17.023</v>
      </c>
      <c r="X10" s="13">
        <f>_xll.BDH("ALNY US Equity","ARD_ROYALTY_REVENUE","FQ1 2024","FQ1 2024","Currency=USD","Period=FQ","BEST_FPERIOD_OVERRIDE=FQ","FILING_STATUS=MR","SCALING_FORMAT=MLN","Sort=A","Dates=H","DateFormat=P","Fill=—","Direction=H","UseDPDF=Y")</f>
        <v>10.622</v>
      </c>
      <c r="Y10" s="13">
        <f>_xll.BDH("ALNY US Equity","ARD_ROYALTY_REVENUE","FQ2 2024","FQ2 2024","Currency=USD","Period=FQ","BEST_FPERIOD_OVERRIDE=FQ","FILING_STATUS=MR","SCALING_FORMAT=MLN","Sort=A","Dates=H","DateFormat=P","Fill=—","Direction=H","UseDPDF=Y")</f>
        <v>22.399000000000001</v>
      </c>
      <c r="Z10" s="13">
        <f>_xll.BDH("ALNY US Equity","ARD_ROYALTY_REVENUE","FQ3 2024","FQ3 2024","Currency=USD","Period=FQ","BEST_FPERIOD_OVERRIDE=FQ","FILING_STATUS=MR","SCALING_FORMAT=MLN","Sort=A","Dates=H","DateFormat=P","Fill=—","Direction=H","UseDPDF=Y")</f>
        <v>23.385999999999999</v>
      </c>
      <c r="AA10" s="13">
        <f>_xll.BDH("ALNY US Equity","ARD_ROYALTY_REVENUE","FQ4 2024","FQ4 2024","Currency=USD","Period=FQ","BEST_FPERIOD_OVERRIDE=FQ","FILING_STATUS=MR","SCALING_FORMAT=MLN","Sort=A","Dates=H","DateFormat=P","Fill=—","Direction=H","UseDPDF=Y")</f>
        <v>35.387</v>
      </c>
    </row>
    <row r="11" spans="1:27" x14ac:dyDescent="0.25">
      <c r="A11" s="10" t="s">
        <v>409</v>
      </c>
      <c r="B11" s="10" t="s">
        <v>410</v>
      </c>
      <c r="C11" s="13">
        <f>_xll.BDH("ALNY US Equity","ARD_PRODUCT_REVENUE","FQ4 2018","FQ4 2018","Currency=USD","Period=FQ","BEST_FPERIOD_OVERRIDE=FQ","FILING_STATUS=MR","SCALING_FORMAT=MLN","Sort=A","Dates=H","DateFormat=P","Fill=—","Direction=H","UseDPDF=Y")</f>
        <v>12.074999999999999</v>
      </c>
      <c r="D11" s="13" t="str">
        <f>_xll.BDH("ALNY US Equity","ARD_PRODUCT_REVENUE","FQ1 2019","FQ1 2019","Currency=USD","Period=FQ","BEST_FPERIOD_OVERRIDE=FQ","FILING_STATUS=MR","SCALING_FORMAT=MLN","Sort=A","Dates=H","DateFormat=P","Fill=—","Direction=H","UseDPDF=Y")</f>
        <v>—</v>
      </c>
      <c r="E11" s="13">
        <f>_xll.BDH("ALNY US Equity","ARD_PRODUCT_REVENUE","FQ2 2019","FQ2 2019","Currency=USD","Period=FQ","BEST_FPERIOD_OVERRIDE=FQ","FILING_STATUS=MR","SCALING_FORMAT=MLN","Sort=A","Dates=H","DateFormat=P","Fill=—","Direction=H","UseDPDF=Y")</f>
        <v>38.231000000000002</v>
      </c>
      <c r="F11" s="13">
        <f>_xll.BDH("ALNY US Equity","ARD_PRODUCT_REVENUE","FQ3 2019","FQ3 2019","Currency=USD","Period=FQ","BEST_FPERIOD_OVERRIDE=FQ","FILING_STATUS=MR","SCALING_FORMAT=MLN","Sort=A","Dates=H","DateFormat=P","Fill=—","Direction=H","UseDPDF=Y")</f>
        <v>46.066000000000003</v>
      </c>
      <c r="G11" s="13">
        <f>_xll.BDH("ALNY US Equity","ARD_PRODUCT_REVENUE","FQ4 2019","FQ4 2019","Currency=USD","Period=FQ","BEST_FPERIOD_OVERRIDE=FQ","FILING_STATUS=MR","SCALING_FORMAT=MLN","Sort=A","Dates=H","DateFormat=P","Fill=—","Direction=H","UseDPDF=Y")</f>
        <v>55.948999999999998</v>
      </c>
      <c r="H11" s="13">
        <f>_xll.BDH("ALNY US Equity","ARD_PRODUCT_REVENUE","FQ1 2020","FQ1 2020","Currency=USD","Period=FQ","BEST_FPERIOD_OVERRIDE=FQ","FILING_STATUS=MR","SCALING_FORMAT=MLN","Sort=A","Dates=H","DateFormat=P","Fill=—","Direction=H","UseDPDF=Y")</f>
        <v>71.938000000000002</v>
      </c>
      <c r="I11" s="13">
        <f>_xll.BDH("ALNY US Equity","ARD_PRODUCT_REVENUE","FQ2 2020","FQ2 2020","Currency=USD","Period=FQ","BEST_FPERIOD_OVERRIDE=FQ","FILING_STATUS=MR","SCALING_FORMAT=MLN","Sort=A","Dates=H","DateFormat=P","Fill=—","Direction=H","UseDPDF=Y")</f>
        <v>77.533000000000001</v>
      </c>
      <c r="J11" s="13">
        <f>_xll.BDH("ALNY US Equity","ARD_PRODUCT_REVENUE","FQ3 2020","FQ3 2020","Currency=USD","Period=FQ","BEST_FPERIOD_OVERRIDE=FQ","FILING_STATUS=MR","SCALING_FORMAT=MLN","Sort=A","Dates=H","DateFormat=P","Fill=—","Direction=H","UseDPDF=Y")</f>
        <v>99.206000000000003</v>
      </c>
      <c r="K11" s="13">
        <f>_xll.BDH("ALNY US Equity","ARD_PRODUCT_REVENUE","FQ4 2020","FQ4 2020","Currency=USD","Period=FQ","BEST_FPERIOD_OVERRIDE=FQ","FILING_STATUS=MR","SCALING_FORMAT=MLN","Sort=A","Dates=H","DateFormat=P","Fill=—","Direction=H","UseDPDF=Y")</f>
        <v>112.843</v>
      </c>
      <c r="L11" s="13">
        <f>_xll.BDH("ALNY US Equity","ARD_PRODUCT_REVENUE","FQ1 2021","FQ1 2021","Currency=USD","Period=FQ","BEST_FPERIOD_OVERRIDE=FQ","FILING_STATUS=MR","SCALING_FORMAT=MLN","Sort=A","Dates=H","DateFormat=P","Fill=—","Direction=H","UseDPDF=Y")</f>
        <v>135.76900000000001</v>
      </c>
      <c r="M11" s="13">
        <f>_xll.BDH("ALNY US Equity","ARD_PRODUCT_REVENUE","FQ2 2021","FQ2 2021","Currency=USD","Period=FQ","BEST_FPERIOD_OVERRIDE=FQ","FILING_STATUS=MR","SCALING_FORMAT=MLN","Sort=A","Dates=H","DateFormat=P","Fill=—","Direction=H","UseDPDF=Y")</f>
        <v>160.81100000000001</v>
      </c>
      <c r="N11" s="13">
        <f>_xll.BDH("ALNY US Equity","ARD_PRODUCT_REVENUE","FQ3 2021","FQ3 2021","Currency=USD","Period=FQ","BEST_FPERIOD_OVERRIDE=FQ","FILING_STATUS=MR","SCALING_FORMAT=MLN","Sort=A","Dates=H","DateFormat=P","Fill=—","Direction=H","UseDPDF=Y")</f>
        <v>167.04400000000001</v>
      </c>
      <c r="O11" s="13">
        <f>_xll.BDH("ALNY US Equity","ARD_PRODUCT_REVENUE","FQ4 2021","FQ4 2021","Currency=USD","Period=FQ","BEST_FPERIOD_OVERRIDE=FQ","FILING_STATUS=MR","SCALING_FORMAT=MLN","Sort=A","Dates=H","DateFormat=P","Fill=—","Direction=H","UseDPDF=Y")</f>
        <v>198.51400000000001</v>
      </c>
      <c r="P11" s="13">
        <f>_xll.BDH("ALNY US Equity","ARD_PRODUCT_REVENUE","FQ1 2022","FQ1 2022","Currency=USD","Period=FQ","BEST_FPERIOD_OVERRIDE=FQ","FILING_STATUS=MR","SCALING_FORMAT=MLN","Sort=A","Dates=H","DateFormat=P","Fill=—","Direction=H","UseDPDF=Y")</f>
        <v>186.87200000000001</v>
      </c>
      <c r="Q11" s="13">
        <f>_xll.BDH("ALNY US Equity","ARD_PRODUCT_REVENUE","FQ2 2022","FQ2 2022","Currency=USD","Period=FQ","BEST_FPERIOD_OVERRIDE=FQ","FILING_STATUS=MR","SCALING_FORMAT=MLN","Sort=A","Dates=H","DateFormat=P","Fill=—","Direction=H","UseDPDF=Y")</f>
        <v>213.51499999999999</v>
      </c>
      <c r="R11" s="13">
        <f>_xll.BDH("ALNY US Equity","ARD_PRODUCT_REVENUE","FQ3 2022","FQ3 2022","Currency=USD","Period=FQ","BEST_FPERIOD_OVERRIDE=FQ","FILING_STATUS=MR","SCALING_FORMAT=MLN","Sort=A","Dates=H","DateFormat=P","Fill=—","Direction=H","UseDPDF=Y")</f>
        <v>232.267</v>
      </c>
      <c r="S11" s="13">
        <f>_xll.BDH("ALNY US Equity","ARD_PRODUCT_REVENUE","FQ4 2022","FQ4 2022","Currency=USD","Period=FQ","BEST_FPERIOD_OVERRIDE=FQ","FILING_STATUS=MR","SCALING_FORMAT=MLN","Sort=A","Dates=H","DateFormat=P","Fill=—","Direction=H","UseDPDF=Y")</f>
        <v>261.67500000000001</v>
      </c>
      <c r="T11" s="13">
        <f>_xll.BDH("ALNY US Equity","ARD_PRODUCT_REVENUE","FQ1 2023","FQ1 2023","Currency=USD","Period=FQ","BEST_FPERIOD_OVERRIDE=FQ","FILING_STATUS=MR","SCALING_FORMAT=MLN","Sort=A","Dates=H","DateFormat=P","Fill=—","Direction=H","UseDPDF=Y")</f>
        <v>276.32799999999997</v>
      </c>
      <c r="U11" s="13">
        <f>_xll.BDH("ALNY US Equity","ARD_PRODUCT_REVENUE","FQ2 2023","FQ2 2023","Currency=USD","Period=FQ","BEST_FPERIOD_OVERRIDE=FQ","FILING_STATUS=MR","SCALING_FORMAT=MLN","Sort=A","Dates=H","DateFormat=P","Fill=—","Direction=H","UseDPDF=Y")</f>
        <v>305.70499999999998</v>
      </c>
      <c r="V11" s="13">
        <f>_xll.BDH("ALNY US Equity","ARD_PRODUCT_REVENUE","FQ3 2023","FQ3 2023","Currency=USD","Period=FQ","BEST_FPERIOD_OVERRIDE=FQ","FILING_STATUS=MR","SCALING_FORMAT=MLN","Sort=A","Dates=H","DateFormat=P","Fill=—","Direction=H","UseDPDF=Y")</f>
        <v>313.15300000000002</v>
      </c>
      <c r="W11" s="13">
        <f>_xll.BDH("ALNY US Equity","ARD_PRODUCT_REVENUE","FQ4 2023","FQ4 2023","Currency=USD","Period=FQ","BEST_FPERIOD_OVERRIDE=FQ","FILING_STATUS=MR","SCALING_FORMAT=MLN","Sort=A","Dates=H","DateFormat=P","Fill=—","Direction=H","UseDPDF=Y")</f>
        <v>346.28800000000001</v>
      </c>
      <c r="X11" s="13">
        <f>_xll.BDH("ALNY US Equity","ARD_PRODUCT_REVENUE","FQ1 2024","FQ1 2024","Currency=USD","Period=FQ","BEST_FPERIOD_OVERRIDE=FQ","FILING_STATUS=MR","SCALING_FORMAT=MLN","Sort=A","Dates=H","DateFormat=P","Fill=—","Direction=H","UseDPDF=Y")</f>
        <v>365.16300000000001</v>
      </c>
      <c r="Y11" s="13">
        <f>_xll.BDH("ALNY US Equity","ARD_PRODUCT_REVENUE","FQ2 2024","FQ2 2024","Currency=USD","Period=FQ","BEST_FPERIOD_OVERRIDE=FQ","FILING_STATUS=MR","SCALING_FORMAT=MLN","Sort=A","Dates=H","DateFormat=P","Fill=—","Direction=H","UseDPDF=Y")</f>
        <v>410.08800000000002</v>
      </c>
      <c r="Z11" s="13">
        <f>_xll.BDH("ALNY US Equity","ARD_PRODUCT_REVENUE","FQ3 2024","FQ3 2024","Currency=USD","Period=FQ","BEST_FPERIOD_OVERRIDE=FQ","FILING_STATUS=MR","SCALING_FORMAT=MLN","Sort=A","Dates=H","DateFormat=P","Fill=—","Direction=H","UseDPDF=Y")</f>
        <v>420.14600000000002</v>
      </c>
      <c r="AA11" s="13">
        <f>_xll.BDH("ALNY US Equity","ARD_PRODUCT_REVENUE","FQ4 2024","FQ4 2024","Currency=USD","Period=FQ","BEST_FPERIOD_OVERRIDE=FQ","FILING_STATUS=MR","SCALING_FORMAT=MLN","Sort=A","Dates=H","DateFormat=P","Fill=—","Direction=H","UseDPDF=Y")</f>
        <v>450.83100000000002</v>
      </c>
    </row>
    <row r="12" spans="1:27" x14ac:dyDescent="0.25">
      <c r="A12" s="10" t="s">
        <v>411</v>
      </c>
      <c r="B12" s="10" t="s">
        <v>412</v>
      </c>
      <c r="C12" s="13" t="str">
        <f>_xll.BDH("ALNY US Equity","ARD_SERVICE_REVENUE","FQ4 2018","FQ4 2018","Currency=USD","Period=FQ","BEST_FPERIOD_OVERRIDE=FQ","FILING_STATUS=MR","SCALING_FORMAT=MLN","Sort=A","Dates=H","DateFormat=P","Fill=—","Direction=H","UseDPDF=Y")</f>
        <v>—</v>
      </c>
      <c r="D12" s="13" t="str">
        <f>_xll.BDH("ALNY US Equity","ARD_SERVICE_REVENUE","FQ1 2019","FQ1 2019","Currency=USD","Period=FQ","BEST_FPERIOD_OVERRIDE=FQ","FILING_STATUS=MR","SCALING_FORMAT=MLN","Sort=A","Dates=H","DateFormat=P","Fill=—","Direction=H","UseDPDF=Y")</f>
        <v>—</v>
      </c>
      <c r="E12" s="13">
        <f>_xll.BDH("ALNY US Equity","ARD_SERVICE_REVENUE","FQ2 2019","FQ2 2019","Currency=USD","Period=FQ","BEST_FPERIOD_OVERRIDE=FQ","FILING_STATUS=MR","SCALING_FORMAT=MLN","Sort=A","Dates=H","DateFormat=P","Fill=—","Direction=H","UseDPDF=Y")</f>
        <v>6.4829999999999997</v>
      </c>
      <c r="F12" s="13">
        <f>_xll.BDH("ALNY US Equity","ARD_SERVICE_REVENUE","FQ3 2019","FQ3 2019","Currency=USD","Period=FQ","BEST_FPERIOD_OVERRIDE=FQ","FILING_STATUS=MR","SCALING_FORMAT=MLN","Sort=A","Dates=H","DateFormat=P","Fill=—","Direction=H","UseDPDF=Y")</f>
        <v>23.995000000000001</v>
      </c>
      <c r="G12" s="13">
        <f>_xll.BDH("ALNY US Equity","ARD_SERVICE_REVENUE","FQ4 2019","FQ4 2019","Currency=USD","Period=FQ","BEST_FPERIOD_OVERRIDE=FQ","FILING_STATUS=MR","SCALING_FORMAT=MLN","Sort=A","Dates=H","DateFormat=P","Fill=—","Direction=H","UseDPDF=Y")</f>
        <v>15.731999999999999</v>
      </c>
      <c r="H12" s="13">
        <f>_xll.BDH("ALNY US Equity","ARD_SERVICE_REVENUE","FQ1 2020","FQ1 2020","Currency=USD","Period=FQ","BEST_FPERIOD_OVERRIDE=FQ","FILING_STATUS=MR","SCALING_FORMAT=MLN","Sort=A","Dates=H","DateFormat=P","Fill=—","Direction=H","UseDPDF=Y")</f>
        <v>27.538</v>
      </c>
      <c r="I12" s="13">
        <f>_xll.BDH("ALNY US Equity","ARD_SERVICE_REVENUE","FQ2 2020","FQ2 2020","Currency=USD","Period=FQ","BEST_FPERIOD_OVERRIDE=FQ","FILING_STATUS=MR","SCALING_FORMAT=MLN","Sort=A","Dates=H","DateFormat=P","Fill=—","Direction=H","UseDPDF=Y")</f>
        <v>26.428999999999998</v>
      </c>
      <c r="J12" s="13">
        <f>_xll.BDH("ALNY US Equity","ARD_SERVICE_REVENUE","FQ3 2020","FQ3 2020","Currency=USD","Period=FQ","BEST_FPERIOD_OVERRIDE=FQ","FILING_STATUS=MR","SCALING_FORMAT=MLN","Sort=A","Dates=H","DateFormat=P","Fill=—","Direction=H","UseDPDF=Y")</f>
        <v>26.646999999999998</v>
      </c>
      <c r="K12" s="13">
        <f>_xll.BDH("ALNY US Equity","ARD_SERVICE_REVENUE","FQ4 2020","FQ4 2020","Currency=USD","Period=FQ","BEST_FPERIOD_OVERRIDE=FQ","FILING_STATUS=MR","SCALING_FORMAT=MLN","Sort=A","Dates=H","DateFormat=P","Fill=—","Direction=H","UseDPDF=Y")</f>
        <v>50.719000000000001</v>
      </c>
      <c r="L12" s="13">
        <f>_xll.BDH("ALNY US Equity","ARD_SERVICE_REVENUE","FQ1 2021","FQ1 2021","Currency=USD","Period=FQ","BEST_FPERIOD_OVERRIDE=FQ","FILING_STATUS=MR","SCALING_FORMAT=MLN","Sort=A","Dates=H","DateFormat=P","Fill=—","Direction=H","UseDPDF=Y")</f>
        <v>41.796999999999997</v>
      </c>
      <c r="M12" s="13">
        <f>_xll.BDH("ALNY US Equity","ARD_SERVICE_REVENUE","FQ2 2021","FQ2 2021","Currency=USD","Period=FQ","BEST_FPERIOD_OVERRIDE=FQ","FILING_STATUS=MR","SCALING_FORMAT=MLN","Sort=A","Dates=H","DateFormat=P","Fill=—","Direction=H","UseDPDF=Y")</f>
        <v>59.395000000000003</v>
      </c>
      <c r="N12" s="13">
        <f>_xll.BDH("ALNY US Equity","ARD_SERVICE_REVENUE","FQ3 2021","FQ3 2021","Currency=USD","Period=FQ","BEST_FPERIOD_OVERRIDE=FQ","FILING_STATUS=MR","SCALING_FORMAT=MLN","Sort=A","Dates=H","DateFormat=P","Fill=—","Direction=H","UseDPDF=Y")</f>
        <v>20.135999999999999</v>
      </c>
      <c r="O12" s="13">
        <f>_xll.BDH("ALNY US Equity","ARD_SERVICE_REVENUE","FQ4 2021","FQ4 2021","Currency=USD","Period=FQ","BEST_FPERIOD_OVERRIDE=FQ","FILING_STATUS=MR","SCALING_FORMAT=MLN","Sort=A","Dates=H","DateFormat=P","Fill=—","Direction=H","UseDPDF=Y")</f>
        <v>59.625</v>
      </c>
      <c r="P12" s="13">
        <f>_xll.BDH("ALNY US Equity","ARD_SERVICE_REVENUE","FQ1 2022","FQ1 2022","Currency=USD","Period=FQ","BEST_FPERIOD_OVERRIDE=FQ","FILING_STATUS=MR","SCALING_FORMAT=MLN","Sort=A","Dates=H","DateFormat=P","Fill=—","Direction=H","UseDPDF=Y")</f>
        <v>25.945</v>
      </c>
      <c r="Q12" s="13">
        <f>_xll.BDH("ALNY US Equity","ARD_SERVICE_REVENUE","FQ2 2022","FQ2 2022","Currency=USD","Period=FQ","BEST_FPERIOD_OVERRIDE=FQ","FILING_STATUS=MR","SCALING_FORMAT=MLN","Sort=A","Dates=H","DateFormat=P","Fill=—","Direction=H","UseDPDF=Y")</f>
        <v>9.0250000000000004</v>
      </c>
      <c r="R12" s="13">
        <f>_xll.BDH("ALNY US Equity","ARD_SERVICE_REVENUE","FQ3 2022","FQ3 2022","Currency=USD","Period=FQ","BEST_FPERIOD_OVERRIDE=FQ","FILING_STATUS=MR","SCALING_FORMAT=MLN","Sort=A","Dates=H","DateFormat=P","Fill=—","Direction=H","UseDPDF=Y")</f>
        <v>29.297000000000001</v>
      </c>
      <c r="S12" s="13">
        <f>_xll.BDH("ALNY US Equity","ARD_SERVICE_REVENUE","FQ4 2022","FQ4 2022","Currency=USD","Period=FQ","BEST_FPERIOD_OVERRIDE=FQ","FILING_STATUS=MR","SCALING_FORMAT=MLN","Sort=A","Dates=H","DateFormat=P","Fill=—","Direction=H","UseDPDF=Y")</f>
        <v>70.644999999999996</v>
      </c>
      <c r="T12" s="13">
        <f>_xll.BDH("ALNY US Equity","ARD_SERVICE_REVENUE","FQ1 2023","FQ1 2023","Currency=USD","Period=FQ","BEST_FPERIOD_OVERRIDE=FQ","FILING_STATUS=MR","SCALING_FORMAT=MLN","Sort=A","Dates=H","DateFormat=P","Fill=—","Direction=H","UseDPDF=Y")</f>
        <v>36.462000000000003</v>
      </c>
      <c r="U12" s="13">
        <f>_xll.BDH("ALNY US Equity","ARD_SERVICE_REVENUE","FQ2 2023","FQ2 2023","Currency=USD","Period=FQ","BEST_FPERIOD_OVERRIDE=FQ","FILING_STATUS=MR","SCALING_FORMAT=MLN","Sort=A","Dates=H","DateFormat=P","Fill=—","Direction=H","UseDPDF=Y")</f>
        <v>5.8440000000000003</v>
      </c>
      <c r="V12" s="13">
        <f>_xll.BDH("ALNY US Equity","ARD_SERVICE_REVENUE","FQ3 2023","FQ3 2023","Currency=USD","Period=FQ","BEST_FPERIOD_OVERRIDE=FQ","FILING_STATUS=MR","SCALING_FORMAT=MLN","Sort=A","Dates=H","DateFormat=P","Fill=—","Direction=H","UseDPDF=Y")</f>
        <v>427.47199999999998</v>
      </c>
      <c r="W12" s="13">
        <f>_xll.BDH("ALNY US Equity","ARD_SERVICE_REVENUE","FQ4 2023","FQ4 2023","Currency=USD","Period=FQ","BEST_FPERIOD_OVERRIDE=FQ","FILING_STATUS=MR","SCALING_FORMAT=MLN","Sort=A","Dates=H","DateFormat=P","Fill=—","Direction=H","UseDPDF=Y")</f>
        <v>76.406999999999996</v>
      </c>
      <c r="X12" s="13">
        <f>_xll.BDH("ALNY US Equity","ARD_SERVICE_REVENUE","FQ1 2024","FQ1 2024","Currency=USD","Period=FQ","BEST_FPERIOD_OVERRIDE=FQ","FILING_STATUS=MR","SCALING_FORMAT=MLN","Sort=A","Dates=H","DateFormat=P","Fill=—","Direction=H","UseDPDF=Y")</f>
        <v>118.548</v>
      </c>
      <c r="Y12" s="13">
        <f>_xll.BDH("ALNY US Equity","ARD_SERVICE_REVENUE","FQ2 2024","FQ2 2024","Currency=USD","Period=FQ","BEST_FPERIOD_OVERRIDE=FQ","FILING_STATUS=MR","SCALING_FORMAT=MLN","Sort=A","Dates=H","DateFormat=P","Fill=—","Direction=H","UseDPDF=Y")</f>
        <v>227.33799999999999</v>
      </c>
      <c r="Z12" s="13">
        <f>_xll.BDH("ALNY US Equity","ARD_SERVICE_REVENUE","FQ3 2024","FQ3 2024","Currency=USD","Period=FQ","BEST_FPERIOD_OVERRIDE=FQ","FILING_STATUS=MR","SCALING_FORMAT=MLN","Sort=A","Dates=H","DateFormat=P","Fill=—","Direction=H","UseDPDF=Y")</f>
        <v>57.387</v>
      </c>
      <c r="AA12" s="13">
        <f>_xll.BDH("ALNY US Equity","ARD_SERVICE_REVENUE","FQ4 2024","FQ4 2024","Currency=USD","Period=FQ","BEST_FPERIOD_OVERRIDE=FQ","FILING_STATUS=MR","SCALING_FORMAT=MLN","Sort=A","Dates=H","DateFormat=P","Fill=—","Direction=H","UseDPDF=Y")</f>
        <v>106.94799999999999</v>
      </c>
    </row>
    <row r="13" spans="1:27" x14ac:dyDescent="0.25">
      <c r="A13" s="6" t="s">
        <v>1</v>
      </c>
      <c r="B13" s="6" t="s">
        <v>413</v>
      </c>
      <c r="C13" s="19">
        <f>_xll.BDH("ALNY US Equity","ARD_TOTAL_REVENUES","FQ4 2018","FQ4 2018","Currency=USD","Period=FQ","BEST_FPERIOD_OVERRIDE=FQ","FILING_STATUS=MR","SCALING_FORMAT=MLN","Sort=A","Dates=H","DateFormat=P","Fill=—","Direction=H","UseDPDF=Y")</f>
        <v>21.033000000000001</v>
      </c>
      <c r="D13" s="19">
        <f>_xll.BDH("ALNY US Equity","ARD_TOTAL_REVENUES","FQ1 2019","FQ1 2019","Currency=USD","Period=FQ","BEST_FPERIOD_OVERRIDE=FQ","FILING_STATUS=MR","SCALING_FORMAT=MLN","Sort=A","Dates=H","DateFormat=P","Fill=—","Direction=H","UseDPDF=Y")</f>
        <v>33.293999999999997</v>
      </c>
      <c r="E13" s="19">
        <f>_xll.BDH("ALNY US Equity","ARD_TOTAL_REVENUES","FQ2 2019","FQ2 2019","Currency=USD","Period=FQ","BEST_FPERIOD_OVERRIDE=FQ","FILING_STATUS=MR","SCALING_FORMAT=MLN","Sort=A","Dates=H","DateFormat=P","Fill=—","Direction=H","UseDPDF=Y")</f>
        <v>44.713999999999999</v>
      </c>
      <c r="F13" s="19">
        <f>_xll.BDH("ALNY US Equity","ARD_TOTAL_REVENUES","FQ3 2019","FQ3 2019","Currency=USD","Period=FQ","BEST_FPERIOD_OVERRIDE=FQ","FILING_STATUS=MR","SCALING_FORMAT=MLN","Sort=A","Dates=H","DateFormat=P","Fill=—","Direction=H","UseDPDF=Y")</f>
        <v>70.061000000000007</v>
      </c>
      <c r="G13" s="19">
        <f>_xll.BDH("ALNY US Equity","ARD_TOTAL_REVENUES","FQ4 2019","FQ4 2019","Currency=USD","Period=FQ","BEST_FPERIOD_OVERRIDE=FQ","FILING_STATUS=MR","SCALING_FORMAT=MLN","Sort=A","Dates=H","DateFormat=P","Fill=—","Direction=H","UseDPDF=Y")</f>
        <v>71.680999999999997</v>
      </c>
      <c r="H13" s="19">
        <f>_xll.BDH("ALNY US Equity","ARD_TOTAL_REVENUES","FQ1 2020","FQ1 2020","Currency=USD","Period=FQ","BEST_FPERIOD_OVERRIDE=FQ","FILING_STATUS=MR","SCALING_FORMAT=MLN","Sort=A","Dates=H","DateFormat=P","Fill=—","Direction=H","UseDPDF=Y")</f>
        <v>99.475999999999999</v>
      </c>
      <c r="I13" s="19">
        <f>_xll.BDH("ALNY US Equity","ARD_TOTAL_REVENUES","FQ2 2020","FQ2 2020","Currency=USD","Period=FQ","BEST_FPERIOD_OVERRIDE=FQ","FILING_STATUS=MR","SCALING_FORMAT=MLN","Sort=A","Dates=H","DateFormat=P","Fill=—","Direction=H","UseDPDF=Y")</f>
        <v>103.962</v>
      </c>
      <c r="J13" s="19">
        <f>_xll.BDH("ALNY US Equity","ARD_TOTAL_REVENUES","FQ3 2020","FQ3 2020","Currency=USD","Period=FQ","BEST_FPERIOD_OVERRIDE=FQ","FILING_STATUS=MR","SCALING_FORMAT=MLN","Sort=A","Dates=H","DateFormat=P","Fill=—","Direction=H","UseDPDF=Y")</f>
        <v>125.85299999999999</v>
      </c>
      <c r="K13" s="19">
        <f>_xll.BDH("ALNY US Equity","ARD_TOTAL_REVENUES","FQ4 2020","FQ4 2020","Currency=USD","Period=FQ","BEST_FPERIOD_OVERRIDE=FQ","FILING_STATUS=MR","SCALING_FORMAT=MLN","Sort=A","Dates=H","DateFormat=P","Fill=—","Direction=H","UseDPDF=Y")</f>
        <v>163.56200000000001</v>
      </c>
      <c r="L13" s="19">
        <f>_xll.BDH("ALNY US Equity","ARD_TOTAL_REVENUES","FQ1 2021","FQ1 2021","Currency=USD","Period=FQ","BEST_FPERIOD_OVERRIDE=FQ","FILING_STATUS=MR","SCALING_FORMAT=MLN","Sort=A","Dates=H","DateFormat=P","Fill=—","Direction=H","UseDPDF=Y")</f>
        <v>177.566</v>
      </c>
      <c r="M13" s="19">
        <f>_xll.BDH("ALNY US Equity","ARD_TOTAL_REVENUES","FQ2 2021","FQ2 2021","Currency=USD","Period=FQ","BEST_FPERIOD_OVERRIDE=FQ","FILING_STATUS=MR","SCALING_FORMAT=MLN","Sort=A","Dates=H","DateFormat=P","Fill=—","Direction=H","UseDPDF=Y")</f>
        <v>220.553</v>
      </c>
      <c r="N13" s="19">
        <f>_xll.BDH("ALNY US Equity","ARD_TOTAL_REVENUES","FQ3 2021","FQ3 2021","Currency=USD","Period=FQ","BEST_FPERIOD_OVERRIDE=FQ","FILING_STATUS=MR","SCALING_FORMAT=MLN","Sort=A","Dates=H","DateFormat=P","Fill=—","Direction=H","UseDPDF=Y")</f>
        <v>187.63300000000001</v>
      </c>
      <c r="O13" s="19">
        <f>_xll.BDH("ALNY US Equity","ARD_TOTAL_REVENUES","FQ4 2021","FQ4 2021","Currency=USD","Period=FQ","BEST_FPERIOD_OVERRIDE=FQ","FILING_STATUS=MR","SCALING_FORMAT=MLN","Sort=A","Dates=H","DateFormat=P","Fill=—","Direction=H","UseDPDF=Y")</f>
        <v>258.53500000000003</v>
      </c>
      <c r="P13" s="19">
        <f>_xll.BDH("ALNY US Equity","ARD_TOTAL_REVENUES","FQ1 2022","FQ1 2022","Currency=USD","Period=FQ","BEST_FPERIOD_OVERRIDE=FQ","FILING_STATUS=MR","SCALING_FORMAT=MLN","Sort=A","Dates=H","DateFormat=P","Fill=—","Direction=H","UseDPDF=Y")</f>
        <v>213.25899999999999</v>
      </c>
      <c r="Q13" s="19">
        <f>_xll.BDH("ALNY US Equity","ARD_TOTAL_REVENUES","FQ2 2022","FQ2 2022","Currency=USD","Period=FQ","BEST_FPERIOD_OVERRIDE=FQ","FILING_STATUS=MR","SCALING_FORMAT=MLN","Sort=A","Dates=H","DateFormat=P","Fill=—","Direction=H","UseDPDF=Y")</f>
        <v>224.81800000000001</v>
      </c>
      <c r="R13" s="19">
        <f>_xll.BDH("ALNY US Equity","ARD_TOTAL_REVENUES","FQ3 2022","FQ3 2022","Currency=USD","Period=FQ","BEST_FPERIOD_OVERRIDE=FQ","FILING_STATUS=MR","SCALING_FORMAT=MLN","Sort=A","Dates=H","DateFormat=P","Fill=—","Direction=H","UseDPDF=Y")</f>
        <v>264.30599999999998</v>
      </c>
      <c r="S13" s="19">
        <f>_xll.BDH("ALNY US Equity","ARD_TOTAL_REVENUES","FQ4 2022","FQ4 2022","Currency=USD","Period=FQ","BEST_FPERIOD_OVERRIDE=FQ","FILING_STATUS=MR","SCALING_FORMAT=MLN","Sort=A","Dates=H","DateFormat=P","Fill=—","Direction=H","UseDPDF=Y")</f>
        <v>335.03500000000003</v>
      </c>
      <c r="T13" s="19">
        <f>_xll.BDH("ALNY US Equity","ARD_TOTAL_REVENUES","FQ1 2023","FQ1 2023","Currency=USD","Period=FQ","BEST_FPERIOD_OVERRIDE=FQ","FILING_STATUS=MR","SCALING_FORMAT=MLN","Sort=A","Dates=H","DateFormat=P","Fill=—","Direction=H","UseDPDF=Y")</f>
        <v>319.29000000000002</v>
      </c>
      <c r="U13" s="19">
        <f>_xll.BDH("ALNY US Equity","ARD_TOTAL_REVENUES","FQ2 2023","FQ2 2023","Currency=USD","Period=FQ","BEST_FPERIOD_OVERRIDE=FQ","FILING_STATUS=MR","SCALING_FORMAT=MLN","Sort=A","Dates=H","DateFormat=P","Fill=—","Direction=H","UseDPDF=Y")</f>
        <v>318.75400000000002</v>
      </c>
      <c r="V13" s="19">
        <f>_xll.BDH("ALNY US Equity","ARD_TOTAL_REVENUES","FQ3 2023","FQ3 2023","Currency=USD","Period=FQ","BEST_FPERIOD_OVERRIDE=FQ","FILING_STATUS=MR","SCALING_FORMAT=MLN","Sort=A","Dates=H","DateFormat=P","Fill=—","Direction=H","UseDPDF=Y")</f>
        <v>750.53</v>
      </c>
      <c r="W13" s="19">
        <f>_xll.BDH("ALNY US Equity","ARD_TOTAL_REVENUES","FQ4 2023","FQ4 2023","Currency=USD","Period=FQ","BEST_FPERIOD_OVERRIDE=FQ","FILING_STATUS=MR","SCALING_FORMAT=MLN","Sort=A","Dates=H","DateFormat=P","Fill=—","Direction=H","UseDPDF=Y")</f>
        <v>439.71800000000002</v>
      </c>
      <c r="X13" s="19">
        <f>_xll.BDH("ALNY US Equity","ARD_TOTAL_REVENUES","FQ1 2024","FQ1 2024","Currency=USD","Period=FQ","BEST_FPERIOD_OVERRIDE=FQ","FILING_STATUS=MR","SCALING_FORMAT=MLN","Sort=A","Dates=H","DateFormat=P","Fill=—","Direction=H","UseDPDF=Y")</f>
        <v>494.33300000000003</v>
      </c>
      <c r="Y13" s="19">
        <f>_xll.BDH("ALNY US Equity","ARD_TOTAL_REVENUES","FQ2 2024","FQ2 2024","Currency=USD","Period=FQ","BEST_FPERIOD_OVERRIDE=FQ","FILING_STATUS=MR","SCALING_FORMAT=MLN","Sort=A","Dates=H","DateFormat=P","Fill=—","Direction=H","UseDPDF=Y")</f>
        <v>659.82500000000005</v>
      </c>
      <c r="Z13" s="19">
        <f>_xll.BDH("ALNY US Equity","ARD_TOTAL_REVENUES","FQ3 2024","FQ3 2024","Currency=USD","Period=FQ","BEST_FPERIOD_OVERRIDE=FQ","FILING_STATUS=MR","SCALING_FORMAT=MLN","Sort=A","Dates=H","DateFormat=P","Fill=—","Direction=H","UseDPDF=Y")</f>
        <v>500.91899999999998</v>
      </c>
      <c r="AA13" s="19">
        <f>_xll.BDH("ALNY US Equity","ARD_TOTAL_REVENUES","FQ4 2024","FQ4 2024","Currency=USD","Period=FQ","BEST_FPERIOD_OVERRIDE=FQ","FILING_STATUS=MR","SCALING_FORMAT=MLN","Sort=A","Dates=H","DateFormat=P","Fill=—","Direction=H","UseDPDF=Y")</f>
        <v>593.16600000000005</v>
      </c>
    </row>
    <row r="14" spans="1:27" x14ac:dyDescent="0.25">
      <c r="A14" s="10" t="s">
        <v>414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0" t="s">
        <v>415</v>
      </c>
      <c r="B15" s="10" t="s">
        <v>416</v>
      </c>
      <c r="C15" s="13">
        <f>_xll.BDH("ALNY US Equity","ARD_TOTAL_OPERATING_EXPENSES","FQ4 2018","FQ4 2018","Currency=USD","Period=FQ","BEST_FPERIOD_OVERRIDE=FQ","FILING_STATUS=MR","SCALING_FORMAT=MLN","Sort=A","Dates=H","DateFormat=P","Fill=—","Direction=H","UseDPDF=Y")</f>
        <v>241.38900000000001</v>
      </c>
      <c r="D15" s="13">
        <f>_xll.BDH("ALNY US Equity","ARD_TOTAL_OPERATING_EXPENSES","FQ1 2019","FQ1 2019","Currency=USD","Period=FQ","BEST_FPERIOD_OVERRIDE=FQ","FILING_STATUS=MR","SCALING_FORMAT=MLN","Sort=A","Dates=H","DateFormat=P","Fill=—","Direction=H","UseDPDF=Y")</f>
        <v>222.08199999999999</v>
      </c>
      <c r="E15" s="13">
        <f>_xll.BDH("ALNY US Equity","ARD_TOTAL_OPERATING_EXPENSES","FQ2 2019","FQ2 2019","Currency=USD","Period=FQ","BEST_FPERIOD_OVERRIDE=FQ","FILING_STATUS=MR","SCALING_FORMAT=MLN","Sort=A","Dates=H","DateFormat=P","Fill=—","Direction=H","UseDPDF=Y")</f>
        <v>280.98500000000001</v>
      </c>
      <c r="F15" s="13">
        <f>_xll.BDH("ALNY US Equity","ARD_TOTAL_OPERATING_EXPENSES","FQ3 2019","FQ3 2019","Currency=USD","Period=FQ","BEST_FPERIOD_OVERRIDE=FQ","FILING_STATUS=MR","SCALING_FORMAT=MLN","Sort=A","Dates=H","DateFormat=P","Fill=—","Direction=H","UseDPDF=Y")</f>
        <v>286.36</v>
      </c>
      <c r="G15" s="13">
        <f>_xll.BDH("ALNY US Equity","ARD_TOTAL_OPERATING_EXPENSES","FQ4 2019","FQ4 2019","Currency=USD","Period=FQ","BEST_FPERIOD_OVERRIDE=FQ","FILING_STATUS=MR","SCALING_FORMAT=MLN","Sort=A","Dates=H","DateFormat=P","Fill=—","Direction=H","UseDPDF=Y")</f>
        <v>369.75400000000002</v>
      </c>
      <c r="H15" s="13">
        <f>_xll.BDH("ALNY US Equity","ARD_TOTAL_OPERATING_EXPENSES","FQ1 2020","FQ1 2020","Currency=USD","Period=FQ","BEST_FPERIOD_OVERRIDE=FQ","FILING_STATUS=MR","SCALING_FORMAT=MLN","Sort=A","Dates=H","DateFormat=P","Fill=—","Direction=H","UseDPDF=Y")</f>
        <v>309.63400000000001</v>
      </c>
      <c r="I15" s="13">
        <f>_xll.BDH("ALNY US Equity","ARD_TOTAL_OPERATING_EXPENSES","FQ2 2020","FQ2 2020","Currency=USD","Period=FQ","BEST_FPERIOD_OVERRIDE=FQ","FILING_STATUS=MR","SCALING_FORMAT=MLN","Sort=A","Dates=H","DateFormat=P","Fill=—","Direction=H","UseDPDF=Y")</f>
        <v>302.82100000000003</v>
      </c>
      <c r="J15" s="13">
        <f>_xll.BDH("ALNY US Equity","ARD_TOTAL_OPERATING_EXPENSES","FQ3 2020","FQ3 2020","Currency=USD","Period=FQ","BEST_FPERIOD_OVERRIDE=FQ","FILING_STATUS=MR","SCALING_FORMAT=MLN","Sort=A","Dates=H","DateFormat=P","Fill=—","Direction=H","UseDPDF=Y")</f>
        <v>351.05200000000002</v>
      </c>
      <c r="K15" s="13">
        <f>_xll.BDH("ALNY US Equity","ARD_TOTAL_OPERATING_EXPENSES","FQ4 2020","FQ4 2020","Currency=USD","Period=FQ","BEST_FPERIOD_OVERRIDE=FQ","FILING_STATUS=MR","SCALING_FORMAT=MLN","Sort=A","Dates=H","DateFormat=P","Fill=—","Direction=H","UseDPDF=Y")</f>
        <v>357.78399999999999</v>
      </c>
      <c r="L15" s="13">
        <f>_xll.BDH("ALNY US Equity","ARD_TOTAL_OPERATING_EXPENSES","FQ1 2021","FQ1 2021","Currency=USD","Period=FQ","BEST_FPERIOD_OVERRIDE=FQ","FILING_STATUS=MR","SCALING_FORMAT=MLN","Sort=A","Dates=H","DateFormat=P","Fill=—","Direction=H","UseDPDF=Y")</f>
        <v>363.82</v>
      </c>
      <c r="M15" s="13">
        <f>_xll.BDH("ALNY US Equity","ARD_TOTAL_OPERATING_EXPENSES","FQ2 2021","FQ2 2021","Currency=USD","Period=FQ","BEST_FPERIOD_OVERRIDE=FQ","FILING_STATUS=MR","SCALING_FORMAT=MLN","Sort=A","Dates=H","DateFormat=P","Fill=—","Direction=H","UseDPDF=Y")</f>
        <v>366.71300000000002</v>
      </c>
      <c r="N15" s="13">
        <f>_xll.BDH("ALNY US Equity","ARD_TOTAL_OPERATING_EXPENSES","FQ3 2021","FQ3 2021","Currency=USD","Period=FQ","BEST_FPERIOD_OVERRIDE=FQ","FILING_STATUS=MR","SCALING_FORMAT=MLN","Sort=A","Dates=H","DateFormat=P","Fill=—","Direction=H","UseDPDF=Y")</f>
        <v>369.31</v>
      </c>
      <c r="O15" s="13">
        <f>_xll.BDH("ALNY US Equity","ARD_TOTAL_OPERATING_EXPENSES","FQ4 2021","FQ4 2021","Currency=USD","Period=FQ","BEST_FPERIOD_OVERRIDE=FQ","FILING_STATUS=MR","SCALING_FORMAT=MLN","Sort=A","Dates=H","DateFormat=P","Fill=—","Direction=H","UseDPDF=Y")</f>
        <v>453.096</v>
      </c>
      <c r="P15" s="13">
        <f>_xll.BDH("ALNY US Equity","ARD_TOTAL_OPERATING_EXPENSES","FQ1 2022","FQ1 2022","Currency=USD","Period=FQ","BEST_FPERIOD_OVERRIDE=FQ","FILING_STATUS=MR","SCALING_FORMAT=MLN","Sort=A","Dates=H","DateFormat=P","Fill=—","Direction=H","UseDPDF=Y")</f>
        <v>359.99099999999999</v>
      </c>
      <c r="Q15" s="13">
        <f>_xll.BDH("ALNY US Equity","ARD_TOTAL_OPERATING_EXPENSES","FQ2 2022","FQ2 2022","Currency=USD","Period=FQ","BEST_FPERIOD_OVERRIDE=FQ","FILING_STATUS=MR","SCALING_FORMAT=MLN","Sort=A","Dates=H","DateFormat=P","Fill=—","Direction=H","UseDPDF=Y")</f>
        <v>416.50400000000002</v>
      </c>
      <c r="R15" s="13">
        <f>_xll.BDH("ALNY US Equity","ARD_TOTAL_OPERATING_EXPENSES","FQ3 2022","FQ3 2022","Currency=USD","Period=FQ","BEST_FPERIOD_OVERRIDE=FQ","FILING_STATUS=MR","SCALING_FORMAT=MLN","Sort=A","Dates=H","DateFormat=P","Fill=—","Direction=H","UseDPDF=Y")</f>
        <v>522.346</v>
      </c>
      <c r="S15" s="13">
        <f>_xll.BDH("ALNY US Equity","ARD_TOTAL_OPERATING_EXPENSES","FQ4 2022","FQ4 2022","Currency=USD","Period=FQ","BEST_FPERIOD_OVERRIDE=FQ","FILING_STATUS=MR","SCALING_FORMAT=MLN","Sort=A","Dates=H","DateFormat=P","Fill=—","Direction=H","UseDPDF=Y")</f>
        <v>523.649</v>
      </c>
      <c r="T15" s="13">
        <f>_xll.BDH("ALNY US Equity","ARD_TOTAL_OPERATING_EXPENSES","FQ1 2023","FQ1 2023","Currency=USD","Period=FQ","BEST_FPERIOD_OVERRIDE=FQ","FILING_STATUS=MR","SCALING_FORMAT=MLN","Sort=A","Dates=H","DateFormat=P","Fill=—","Direction=H","UseDPDF=Y")</f>
        <v>469.09699999999998</v>
      </c>
      <c r="U15" s="13">
        <f>_xll.BDH("ALNY US Equity","ARD_TOTAL_OPERATING_EXPENSES","FQ2 2023","FQ2 2023","Currency=USD","Period=FQ","BEST_FPERIOD_OVERRIDE=FQ","FILING_STATUS=MR","SCALING_FORMAT=MLN","Sort=A","Dates=H","DateFormat=P","Fill=—","Direction=H","UseDPDF=Y")</f>
        <v>548.58500000000004</v>
      </c>
      <c r="V15" s="13">
        <f>_xll.BDH("ALNY US Equity","ARD_TOTAL_OPERATING_EXPENSES","FQ3 2023","FQ3 2023","Currency=USD","Period=FQ","BEST_FPERIOD_OVERRIDE=FQ","FILING_STATUS=MR","SCALING_FORMAT=MLN","Sort=A","Dates=H","DateFormat=P","Fill=—","Direction=H","UseDPDF=Y")</f>
        <v>536.66300000000001</v>
      </c>
      <c r="W15" s="13">
        <f>_xll.BDH("ALNY US Equity","ARD_TOTAL_OPERATING_EXPENSES","FQ4 2023","FQ4 2023","Currency=USD","Period=FQ","BEST_FPERIOD_OVERRIDE=FQ","FILING_STATUS=MR","SCALING_FORMAT=MLN","Sort=A","Dates=H","DateFormat=P","Fill=—","Direction=H","UseDPDF=Y")</f>
        <v>556.12199999999996</v>
      </c>
      <c r="X15" s="13">
        <f>_xll.BDH("ALNY US Equity","ARD_TOTAL_OPERATING_EXPENSES","FQ1 2024","FQ1 2024","Currency=USD","Period=FQ","BEST_FPERIOD_OVERRIDE=FQ","FILING_STATUS=MR","SCALING_FORMAT=MLN","Sort=A","Dates=H","DateFormat=P","Fill=—","Direction=H","UseDPDF=Y")</f>
        <v>537.76800000000003</v>
      </c>
      <c r="Y15" s="13">
        <f>_xll.BDH("ALNY US Equity","ARD_TOTAL_OPERATING_EXPENSES","FQ2 2024","FQ2 2024","Currency=USD","Period=FQ","BEST_FPERIOD_OVERRIDE=FQ","FILING_STATUS=MR","SCALING_FORMAT=MLN","Sort=A","Dates=H","DateFormat=P","Fill=—","Direction=H","UseDPDF=Y")</f>
        <v>611.21100000000001</v>
      </c>
      <c r="Z15" s="13">
        <f>_xll.BDH("ALNY US Equity","ARD_TOTAL_OPERATING_EXPENSES","FQ3 2024","FQ3 2024","Currency=USD","Period=FQ","BEST_FPERIOD_OVERRIDE=FQ","FILING_STATUS=MR","SCALING_FORMAT=MLN","Sort=A","Dates=H","DateFormat=P","Fill=—","Direction=H","UseDPDF=Y")</f>
        <v>577.82399999999996</v>
      </c>
      <c r="AA15" s="13">
        <f>_xll.BDH("ALNY US Equity","ARD_TOTAL_OPERATING_EXPENSES","FQ4 2024","FQ4 2024","Currency=USD","Period=FQ","BEST_FPERIOD_OVERRIDE=FQ","FILING_STATUS=MR","SCALING_FORMAT=MLN","Sort=A","Dates=H","DateFormat=P","Fill=—","Direction=H","UseDPDF=Y")</f>
        <v>698.32500000000005</v>
      </c>
    </row>
    <row r="16" spans="1:27" x14ac:dyDescent="0.25">
      <c r="A16" s="10" t="s">
        <v>417</v>
      </c>
      <c r="B16" s="10" t="s">
        <v>418</v>
      </c>
      <c r="C16" s="13">
        <f>_xll.BDH("ALNY US Equity","ARD_COST_OF_GOODS_SOLD","FQ4 2018","FQ4 2018","Currency=USD","Period=FQ","BEST_FPERIOD_OVERRIDE=FQ","FILING_STATUS=MR","SCALING_FORMAT=MLN","Sort=A","Dates=H","DateFormat=P","Fill=—","Direction=H","UseDPDF=Y")</f>
        <v>1.665</v>
      </c>
      <c r="D16" s="13">
        <f>_xll.BDH("ALNY US Equity","ARD_COST_OF_GOODS_SOLD","FQ1 2019","FQ1 2019","Currency=USD","Period=FQ","BEST_FPERIOD_OVERRIDE=FQ","FILING_STATUS=MR","SCALING_FORMAT=MLN","Sort=A","Dates=H","DateFormat=P","Fill=—","Direction=H","UseDPDF=Y")</f>
        <v>3.347</v>
      </c>
      <c r="E16" s="13">
        <f>_xll.BDH("ALNY US Equity","ARD_COST_OF_GOODS_SOLD","FQ2 2019","FQ2 2019","Currency=USD","Period=FQ","BEST_FPERIOD_OVERRIDE=FQ","FILING_STATUS=MR","SCALING_FORMAT=MLN","Sort=A","Dates=H","DateFormat=P","Fill=—","Direction=H","UseDPDF=Y")</f>
        <v>4.3259999999999996</v>
      </c>
      <c r="F16" s="13">
        <f>_xll.BDH("ALNY US Equity","ARD_COST_OF_GOODS_SOLD","FQ3 2019","FQ3 2019","Currency=USD","Period=FQ","BEST_FPERIOD_OVERRIDE=FQ","FILING_STATUS=MR","SCALING_FORMAT=MLN","Sort=A","Dates=H","DateFormat=P","Fill=—","Direction=H","UseDPDF=Y")</f>
        <v>5.2130000000000001</v>
      </c>
      <c r="G16" s="13">
        <f>_xll.BDH("ALNY US Equity","ARD_COST_OF_GOODS_SOLD","FQ4 2019","FQ4 2019","Currency=USD","Period=FQ","BEST_FPERIOD_OVERRIDE=FQ","FILING_STATUS=MR","SCALING_FORMAT=MLN","Sort=A","Dates=H","DateFormat=P","Fill=—","Direction=H","UseDPDF=Y")</f>
        <v>12.176</v>
      </c>
      <c r="H16" s="13">
        <f>_xll.BDH("ALNY US Equity","ARD_COST_OF_GOODS_SOLD","FQ1 2020","FQ1 2020","Currency=USD","Period=FQ","BEST_FPERIOD_OVERRIDE=FQ","FILING_STATUS=MR","SCALING_FORMAT=MLN","Sort=A","Dates=H","DateFormat=P","Fill=—","Direction=H","UseDPDF=Y")</f>
        <v>13.302</v>
      </c>
      <c r="I16" s="13">
        <f>_xll.BDH("ALNY US Equity","ARD_COST_OF_GOODS_SOLD","FQ2 2020","FQ2 2020","Currency=USD","Period=FQ","BEST_FPERIOD_OVERRIDE=FQ","FILING_STATUS=MR","SCALING_FORMAT=MLN","Sort=A","Dates=H","DateFormat=P","Fill=—","Direction=H","UseDPDF=Y")</f>
        <v>18.265000000000001</v>
      </c>
      <c r="J16" s="13">
        <f>_xll.BDH("ALNY US Equity","ARD_COST_OF_GOODS_SOLD","FQ3 2020","FQ3 2020","Currency=USD","Period=FQ","BEST_FPERIOD_OVERRIDE=FQ","FILING_STATUS=MR","SCALING_FORMAT=MLN","Sort=A","Dates=H","DateFormat=P","Fill=—","Direction=H","UseDPDF=Y")</f>
        <v>20.826000000000001</v>
      </c>
      <c r="K16" s="13">
        <f>_xll.BDH("ALNY US Equity","ARD_COST_OF_GOODS_SOLD","FQ4 2020","FQ4 2020","Currency=USD","Period=FQ","BEST_FPERIOD_OVERRIDE=FQ","FILING_STATUS=MR","SCALING_FORMAT=MLN","Sort=A","Dates=H","DateFormat=P","Fill=—","Direction=H","UseDPDF=Y")</f>
        <v>23.024000000000001</v>
      </c>
      <c r="L16" s="13">
        <f>_xll.BDH("ALNY US Equity","ARD_COST_OF_GOODS_SOLD","FQ1 2021","FQ1 2021","Currency=USD","Period=FQ","BEST_FPERIOD_OVERRIDE=FQ","FILING_STATUS=MR","SCALING_FORMAT=MLN","Sort=A","Dates=H","DateFormat=P","Fill=—","Direction=H","UseDPDF=Y")</f>
        <v>23.023</v>
      </c>
      <c r="M16" s="13">
        <f>_xll.BDH("ALNY US Equity","ARD_COST_OF_GOODS_SOLD","FQ2 2021","FQ2 2021","Currency=USD","Period=FQ","BEST_FPERIOD_OVERRIDE=FQ","FILING_STATUS=MR","SCALING_FORMAT=MLN","Sort=A","Dates=H","DateFormat=P","Fill=—","Direction=H","UseDPDF=Y")</f>
        <v>30.256</v>
      </c>
      <c r="N16" s="13">
        <f>_xll.BDH("ALNY US Equity","ARD_COST_OF_GOODS_SOLD","FQ3 2021","FQ3 2021","Currency=USD","Period=FQ","BEST_FPERIOD_OVERRIDE=FQ","FILING_STATUS=MR","SCALING_FORMAT=MLN","Sort=A","Dates=H","DateFormat=P","Fill=—","Direction=H","UseDPDF=Y")</f>
        <v>28.091000000000001</v>
      </c>
      <c r="O16" s="13">
        <f>_xll.BDH("ALNY US Equity","ARD_COST_OF_GOODS_SOLD","FQ4 2021","FQ4 2021","Currency=USD","Period=FQ","BEST_FPERIOD_OVERRIDE=FQ","FILING_STATUS=MR","SCALING_FORMAT=MLN","Sort=A","Dates=H","DateFormat=P","Fill=—","Direction=H","UseDPDF=Y")</f>
        <v>33.634999999999998</v>
      </c>
      <c r="P16" s="13">
        <f>_xll.BDH("ALNY US Equity","ARD_COST_OF_GOODS_SOLD","FQ1 2022","FQ1 2022","Currency=USD","Period=FQ","BEST_FPERIOD_OVERRIDE=FQ","FILING_STATUS=MR","SCALING_FORMAT=MLN","Sort=A","Dates=H","DateFormat=P","Fill=—","Direction=H","UseDPDF=Y")</f>
        <v>23.457000000000001</v>
      </c>
      <c r="Q16" s="13">
        <f>_xll.BDH("ALNY US Equity","ARD_COST_OF_GOODS_SOLD","FQ2 2022","FQ2 2022","Currency=USD","Period=FQ","BEST_FPERIOD_OVERRIDE=FQ","FILING_STATUS=MR","SCALING_FORMAT=MLN","Sort=A","Dates=H","DateFormat=P","Fill=—","Direction=H","UseDPDF=Y")</f>
        <v>34.037999999999997</v>
      </c>
      <c r="R16" s="13">
        <f>_xll.BDH("ALNY US Equity","ARD_COST_OF_GOODS_SOLD","FQ3 2022","FQ3 2022","Currency=USD","Period=FQ","BEST_FPERIOD_OVERRIDE=FQ","FILING_STATUS=MR","SCALING_FORMAT=MLN","Sort=A","Dates=H","DateFormat=P","Fill=—","Direction=H","UseDPDF=Y")</f>
        <v>36.506999999999998</v>
      </c>
      <c r="S16" s="13">
        <f>_xll.BDH("ALNY US Equity","ARD_COST_OF_GOODS_SOLD","FQ4 2022","FQ4 2022","Currency=USD","Period=FQ","BEST_FPERIOD_OVERRIDE=FQ","FILING_STATUS=MR","SCALING_FORMAT=MLN","Sort=A","Dates=H","DateFormat=P","Fill=—","Direction=H","UseDPDF=Y")</f>
        <v>46.171999999999997</v>
      </c>
      <c r="T16" s="13">
        <f>_xll.BDH("ALNY US Equity","ARD_COST_OF_GOODS_SOLD","FQ1 2023","FQ1 2023","Currency=USD","Period=FQ","BEST_FPERIOD_OVERRIDE=FQ","FILING_STATUS=MR","SCALING_FORMAT=MLN","Sort=A","Dates=H","DateFormat=P","Fill=—","Direction=H","UseDPDF=Y")</f>
        <v>41.432000000000002</v>
      </c>
      <c r="U16" s="13">
        <f>_xll.BDH("ALNY US Equity","ARD_COST_OF_GOODS_SOLD","FQ2 2023","FQ2 2023","Currency=USD","Period=FQ","BEST_FPERIOD_OVERRIDE=FQ","FILING_STATUS=MR","SCALING_FORMAT=MLN","Sort=A","Dates=H","DateFormat=P","Fill=—","Direction=H","UseDPDF=Y")</f>
        <v>75.335999999999999</v>
      </c>
      <c r="V16" s="13">
        <f>_xll.BDH("ALNY US Equity","ARD_COST_OF_GOODS_SOLD","FQ3 2023","FQ3 2023","Currency=USD","Period=FQ","BEST_FPERIOD_OVERRIDE=FQ","FILING_STATUS=MR","SCALING_FORMAT=MLN","Sort=A","Dates=H","DateFormat=P","Fill=—","Direction=H","UseDPDF=Y")</f>
        <v>79.472999999999999</v>
      </c>
      <c r="W16" s="13">
        <f>_xll.BDH("ALNY US Equity","ARD_COST_OF_GOODS_SOLD","FQ4 2023","FQ4 2023","Currency=USD","Period=FQ","BEST_FPERIOD_OVERRIDE=FQ","FILING_STATUS=MR","SCALING_FORMAT=MLN","Sort=A","Dates=H","DateFormat=P","Fill=—","Direction=H","UseDPDF=Y")</f>
        <v>71.974999999999994</v>
      </c>
      <c r="X16" s="13">
        <f>_xll.BDH("ALNY US Equity","ARD_COST_OF_GOODS_SOLD","FQ1 2024","FQ1 2024","Currency=USD","Period=FQ","BEST_FPERIOD_OVERRIDE=FQ","FILING_STATUS=MR","SCALING_FORMAT=MLN","Sort=A","Dates=H","DateFormat=P","Fill=—","Direction=H","UseDPDF=Y")</f>
        <v>54.613</v>
      </c>
      <c r="Y16" s="13">
        <f>_xll.BDH("ALNY US Equity","ARD_COST_OF_GOODS_SOLD","FQ2 2024","FQ2 2024","Currency=USD","Period=FQ","BEST_FPERIOD_OVERRIDE=FQ","FILING_STATUS=MR","SCALING_FORMAT=MLN","Sort=A","Dates=H","DateFormat=P","Fill=—","Direction=H","UseDPDF=Y")</f>
        <v>67.271000000000001</v>
      </c>
      <c r="Z16" s="13">
        <f>_xll.BDH("ALNY US Equity","ARD_COST_OF_GOODS_SOLD","FQ3 2024","FQ3 2024","Currency=USD","Period=FQ","BEST_FPERIOD_OVERRIDE=FQ","FILING_STATUS=MR","SCALING_FORMAT=MLN","Sort=A","Dates=H","DateFormat=P","Fill=—","Direction=H","UseDPDF=Y")</f>
        <v>81.98</v>
      </c>
      <c r="AA16" s="13">
        <f>_xll.BDH("ALNY US Equity","ARD_COST_OF_GOODS_SOLD","FQ4 2024","FQ4 2024","Currency=USD","Period=FQ","BEST_FPERIOD_OVERRIDE=FQ","FILING_STATUS=MR","SCALING_FORMAT=MLN","Sort=A","Dates=H","DateFormat=P","Fill=—","Direction=H","UseDPDF=Y")</f>
        <v>102.649</v>
      </c>
    </row>
    <row r="17" spans="1:27" x14ac:dyDescent="0.25">
      <c r="A17" s="10" t="s">
        <v>419</v>
      </c>
      <c r="B17" s="10" t="s">
        <v>420</v>
      </c>
      <c r="C17" s="13">
        <f>_xll.BDH("ALNY US Equity","ARD_R&amp;D_EXPENDITURES","FQ4 2018","FQ4 2018","Currency=USD","Period=FQ","BEST_FPERIOD_OVERRIDE=FQ","FILING_STATUS=MR","SCALING_FORMAT=MLN","Sort=A","Dates=H","DateFormat=P","Fill=—","Direction=H","UseDPDF=Y")</f>
        <v>131.036</v>
      </c>
      <c r="D17" s="13">
        <f>_xll.BDH("ALNY US Equity","ARD_R&amp;D_EXPENDITURES","FQ1 2019","FQ1 2019","Currency=USD","Period=FQ","BEST_FPERIOD_OVERRIDE=FQ","FILING_STATUS=MR","SCALING_FORMAT=MLN","Sort=A","Dates=H","DateFormat=P","Fill=—","Direction=H","UseDPDF=Y")</f>
        <v>129.12700000000001</v>
      </c>
      <c r="E17" s="13">
        <f>_xll.BDH("ALNY US Equity","ARD_R&amp;D_EXPENDITURES","FQ2 2019","FQ2 2019","Currency=USD","Period=FQ","BEST_FPERIOD_OVERRIDE=FQ","FILING_STATUS=MR","SCALING_FORMAT=MLN","Sort=A","Dates=H","DateFormat=P","Fill=—","Direction=H","UseDPDF=Y")</f>
        <v>163.89</v>
      </c>
      <c r="F17" s="13">
        <f>_xll.BDH("ALNY US Equity","ARD_R&amp;D_EXPENDITURES","FQ3 2019","FQ3 2019","Currency=USD","Period=FQ","BEST_FPERIOD_OVERRIDE=FQ","FILING_STATUS=MR","SCALING_FORMAT=MLN","Sort=A","Dates=H","DateFormat=P","Fill=—","Direction=H","UseDPDF=Y")</f>
        <v>160.79599999999999</v>
      </c>
      <c r="G17" s="13">
        <f>_xll.BDH("ALNY US Equity","ARD_R&amp;D_EXPENDITURES","FQ4 2019","FQ4 2019","Currency=USD","Period=FQ","BEST_FPERIOD_OVERRIDE=FQ","FILING_STATUS=MR","SCALING_FORMAT=MLN","Sort=A","Dates=H","DateFormat=P","Fill=—","Direction=H","UseDPDF=Y")</f>
        <v>201.30099999999999</v>
      </c>
      <c r="H17" s="13">
        <f>_xll.BDH("ALNY US Equity","ARD_R&amp;D_EXPENDITURES","FQ1 2020","FQ1 2020","Currency=USD","Period=FQ","BEST_FPERIOD_OVERRIDE=FQ","FILING_STATUS=MR","SCALING_FORMAT=MLN","Sort=A","Dates=H","DateFormat=P","Fill=—","Direction=H","UseDPDF=Y")</f>
        <v>169.571</v>
      </c>
      <c r="I17" s="13">
        <f>_xll.BDH("ALNY US Equity","ARD_R&amp;D_EXPENDITURES","FQ2 2020","FQ2 2020","Currency=USD","Period=FQ","BEST_FPERIOD_OVERRIDE=FQ","FILING_STATUS=MR","SCALING_FORMAT=MLN","Sort=A","Dates=H","DateFormat=P","Fill=—","Direction=H","UseDPDF=Y")</f>
        <v>154.99600000000001</v>
      </c>
      <c r="J17" s="13">
        <f>_xll.BDH("ALNY US Equity","ARD_R&amp;D_EXPENDITURES","FQ3 2020","FQ3 2020","Currency=USD","Period=FQ","BEST_FPERIOD_OVERRIDE=FQ","FILING_STATUS=MR","SCALING_FORMAT=MLN","Sort=A","Dates=H","DateFormat=P","Fill=—","Direction=H","UseDPDF=Y")</f>
        <v>161.78299999999999</v>
      </c>
      <c r="K17" s="13">
        <f>_xll.BDH("ALNY US Equity","ARD_R&amp;D_EXPENDITURES","FQ4 2020","FQ4 2020","Currency=USD","Period=FQ","BEST_FPERIOD_OVERRIDE=FQ","FILING_STATUS=MR","SCALING_FORMAT=MLN","Sort=A","Dates=H","DateFormat=P","Fill=—","Direction=H","UseDPDF=Y")</f>
        <v>168.46899999999999</v>
      </c>
      <c r="L17" s="13">
        <f>_xll.BDH("ALNY US Equity","ARD_R&amp;D_EXPENDITURES","FQ1 2021","FQ1 2021","Currency=USD","Period=FQ","BEST_FPERIOD_OVERRIDE=FQ","FILING_STATUS=MR","SCALING_FORMAT=MLN","Sort=A","Dates=H","DateFormat=P","Fill=—","Direction=H","UseDPDF=Y")</f>
        <v>185.899</v>
      </c>
      <c r="M17" s="13">
        <f>_xll.BDH("ALNY US Equity","ARD_R&amp;D_EXPENDITURES","FQ2 2021","FQ2 2021","Currency=USD","Period=FQ","BEST_FPERIOD_OVERRIDE=FQ","FILING_STATUS=MR","SCALING_FORMAT=MLN","Sort=A","Dates=H","DateFormat=P","Fill=—","Direction=H","UseDPDF=Y")</f>
        <v>182.63499999999999</v>
      </c>
      <c r="N17" s="13">
        <f>_xll.BDH("ALNY US Equity","ARD_R&amp;D_EXPENDITURES","FQ3 2021","FQ3 2021","Currency=USD","Period=FQ","BEST_FPERIOD_OVERRIDE=FQ","FILING_STATUS=MR","SCALING_FORMAT=MLN","Sort=A","Dates=H","DateFormat=P","Fill=—","Direction=H","UseDPDF=Y")</f>
        <v>194.572</v>
      </c>
      <c r="O17" s="13">
        <f>_xll.BDH("ALNY US Equity","ARD_R&amp;D_EXPENDITURES","FQ4 2021","FQ4 2021","Currency=USD","Period=FQ","BEST_FPERIOD_OVERRIDE=FQ","FILING_STATUS=MR","SCALING_FORMAT=MLN","Sort=A","Dates=H","DateFormat=P","Fill=—","Direction=H","UseDPDF=Y")</f>
        <v>229.05</v>
      </c>
      <c r="P17" s="13">
        <f>_xll.BDH("ALNY US Equity","ARD_R&amp;D_EXPENDITURES","FQ1 2022","FQ1 2022","Currency=USD","Period=FQ","BEST_FPERIOD_OVERRIDE=FQ","FILING_STATUS=MR","SCALING_FORMAT=MLN","Sort=A","Dates=H","DateFormat=P","Fill=—","Direction=H","UseDPDF=Y")</f>
        <v>169.893</v>
      </c>
      <c r="Q17" s="13">
        <f>_xll.BDH("ALNY US Equity","ARD_R&amp;D_EXPENDITURES","FQ2 2022","FQ2 2022","Currency=USD","Period=FQ","BEST_FPERIOD_OVERRIDE=FQ","FILING_STATUS=MR","SCALING_FORMAT=MLN","Sort=A","Dates=H","DateFormat=P","Fill=—","Direction=H","UseDPDF=Y")</f>
        <v>205.71199999999999</v>
      </c>
      <c r="R17" s="13">
        <f>_xll.BDH("ALNY US Equity","ARD_R&amp;D_EXPENDITURES","FQ3 2022","FQ3 2022","Currency=USD","Period=FQ","BEST_FPERIOD_OVERRIDE=FQ","FILING_STATUS=MR","SCALING_FORMAT=MLN","Sort=A","Dates=H","DateFormat=P","Fill=—","Direction=H","UseDPDF=Y")</f>
        <v>245.37100000000001</v>
      </c>
      <c r="S17" s="13">
        <f>_xll.BDH("ALNY US Equity","ARD_R&amp;D_EXPENDITURES","FQ4 2022","FQ4 2022","Currency=USD","Period=FQ","BEST_FPERIOD_OVERRIDE=FQ","FILING_STATUS=MR","SCALING_FORMAT=MLN","Sort=A","Dates=H","DateFormat=P","Fill=—","Direction=H","UseDPDF=Y")</f>
        <v>262.03899999999999</v>
      </c>
      <c r="T17" s="13">
        <f>_xll.BDH("ALNY US Equity","ARD_R&amp;D_EXPENDITURES","FQ1 2023","FQ1 2023","Currency=USD","Period=FQ","BEST_FPERIOD_OVERRIDE=FQ","FILING_STATUS=MR","SCALING_FORMAT=MLN","Sort=A","Dates=H","DateFormat=P","Fill=—","Direction=H","UseDPDF=Y")</f>
        <v>230.56899999999999</v>
      </c>
      <c r="U17" s="13">
        <f>_xll.BDH("ALNY US Equity","ARD_R&amp;D_EXPENDITURES","FQ2 2023","FQ2 2023","Currency=USD","Period=FQ","BEST_FPERIOD_OVERRIDE=FQ","FILING_STATUS=MR","SCALING_FORMAT=MLN","Sort=A","Dates=H","DateFormat=P","Fill=—","Direction=H","UseDPDF=Y")</f>
        <v>248.52600000000001</v>
      </c>
      <c r="V17" s="13">
        <f>_xll.BDH("ALNY US Equity","ARD_R&amp;D_EXPENDITURES","FQ3 2023","FQ3 2023","Currency=USD","Period=FQ","BEST_FPERIOD_OVERRIDE=FQ","FILING_STATUS=MR","SCALING_FORMAT=MLN","Sort=A","Dates=H","DateFormat=P","Fill=—","Direction=H","UseDPDF=Y")</f>
        <v>253.179</v>
      </c>
      <c r="W17" s="13">
        <f>_xll.BDH("ALNY US Equity","ARD_R&amp;D_EXPENDITURES","FQ4 2023","FQ4 2023","Currency=USD","Period=FQ","BEST_FPERIOD_OVERRIDE=FQ","FILING_STATUS=MR","SCALING_FORMAT=MLN","Sort=A","Dates=H","DateFormat=P","Fill=—","Direction=H","UseDPDF=Y")</f>
        <v>272.14100000000002</v>
      </c>
      <c r="X17" s="13">
        <f>_xll.BDH("ALNY US Equity","ARD_R&amp;D_EXPENDITURES","FQ1 2024","FQ1 2024","Currency=USD","Period=FQ","BEST_FPERIOD_OVERRIDE=FQ","FILING_STATUS=MR","SCALING_FORMAT=MLN","Sort=A","Dates=H","DateFormat=P","Fill=—","Direction=H","UseDPDF=Y")</f>
        <v>260.995</v>
      </c>
      <c r="Y17" s="13">
        <f>_xll.BDH("ALNY US Equity","ARD_R&amp;D_EXPENDITURES","FQ2 2024","FQ2 2024","Currency=USD","Period=FQ","BEST_FPERIOD_OVERRIDE=FQ","FILING_STATUS=MR","SCALING_FORMAT=MLN","Sort=A","Dates=H","DateFormat=P","Fill=—","Direction=H","UseDPDF=Y")</f>
        <v>294.142</v>
      </c>
      <c r="Z17" s="13">
        <f>_xll.BDH("ALNY US Equity","ARD_R&amp;D_EXPENDITURES","FQ3 2024","FQ3 2024","Currency=USD","Period=FQ","BEST_FPERIOD_OVERRIDE=FQ","FILING_STATUS=MR","SCALING_FORMAT=MLN","Sort=A","Dates=H","DateFormat=P","Fill=—","Direction=H","UseDPDF=Y")</f>
        <v>270.92599999999999</v>
      </c>
      <c r="AA17" s="13">
        <f>_xll.BDH("ALNY US Equity","ARD_R&amp;D_EXPENDITURES","FQ4 2024","FQ4 2024","Currency=USD","Period=FQ","BEST_FPERIOD_OVERRIDE=FQ","FILING_STATUS=MR","SCALING_FORMAT=MLN","Sort=A","Dates=H","DateFormat=P","Fill=—","Direction=H","UseDPDF=Y")</f>
        <v>300.16899999999998</v>
      </c>
    </row>
    <row r="18" spans="1:27" x14ac:dyDescent="0.25">
      <c r="A18" s="10" t="s">
        <v>421</v>
      </c>
      <c r="B18" s="10" t="s">
        <v>422</v>
      </c>
      <c r="C18" s="13" t="str">
        <f>_xll.BDH("ALNY US Equity","ARD_SELLING_GENERAL_ADMIN_EXP","FQ4 2018","FQ4 2018","Currency=USD","Period=FQ","BEST_FPERIOD_OVERRIDE=FQ","FILING_STATUS=MR","SCALING_FORMAT=MLN","Sort=A","Dates=H","DateFormat=P","Fill=—","Direction=H","UseDPDF=Y")</f>
        <v>—</v>
      </c>
      <c r="D18" s="13">
        <f>_xll.BDH("ALNY US Equity","ARD_SELLING_GENERAL_ADMIN_EXP","FQ1 2019","FQ1 2019","Currency=USD","Period=FQ","BEST_FPERIOD_OVERRIDE=FQ","FILING_STATUS=MR","SCALING_FORMAT=MLN","Sort=A","Dates=H","DateFormat=P","Fill=—","Direction=H","UseDPDF=Y")</f>
        <v>89.608000000000004</v>
      </c>
      <c r="E18" s="13">
        <f>_xll.BDH("ALNY US Equity","ARD_SELLING_GENERAL_ADMIN_EXP","FQ2 2019","FQ2 2019","Currency=USD","Period=FQ","BEST_FPERIOD_OVERRIDE=FQ","FILING_STATUS=MR","SCALING_FORMAT=MLN","Sort=A","Dates=H","DateFormat=P","Fill=—","Direction=H","UseDPDF=Y")</f>
        <v>112.76900000000001</v>
      </c>
      <c r="F18" s="13">
        <f>_xll.BDH("ALNY US Equity","ARD_SELLING_GENERAL_ADMIN_EXP","FQ3 2019","FQ3 2019","Currency=USD","Period=FQ","BEST_FPERIOD_OVERRIDE=FQ","FILING_STATUS=MR","SCALING_FORMAT=MLN","Sort=A","Dates=H","DateFormat=P","Fill=—","Direction=H","UseDPDF=Y")</f>
        <v>120.351</v>
      </c>
      <c r="G18" s="13">
        <f>_xll.BDH("ALNY US Equity","ARD_SELLING_GENERAL_ADMIN_EXP","FQ4 2019","FQ4 2019","Currency=USD","Period=FQ","BEST_FPERIOD_OVERRIDE=FQ","FILING_STATUS=MR","SCALING_FORMAT=MLN","Sort=A","Dates=H","DateFormat=P","Fill=—","Direction=H","UseDPDF=Y")</f>
        <v>156.27699999999999</v>
      </c>
      <c r="H18" s="13">
        <f>_xll.BDH("ALNY US Equity","ARD_SELLING_GENERAL_ADMIN_EXP","FQ1 2020","FQ1 2020","Currency=USD","Period=FQ","BEST_FPERIOD_OVERRIDE=FQ","FILING_STATUS=MR","SCALING_FORMAT=MLN","Sort=A","Dates=H","DateFormat=P","Fill=—","Direction=H","UseDPDF=Y")</f>
        <v>126.761</v>
      </c>
      <c r="I18" s="13">
        <f>_xll.BDH("ALNY US Equity","ARD_SELLING_GENERAL_ADMIN_EXP","FQ2 2020","FQ2 2020","Currency=USD","Period=FQ","BEST_FPERIOD_OVERRIDE=FQ","FILING_STATUS=MR","SCALING_FORMAT=MLN","Sort=A","Dates=H","DateFormat=P","Fill=—","Direction=H","UseDPDF=Y")</f>
        <v>127.896</v>
      </c>
      <c r="J18" s="13">
        <f>_xll.BDH("ALNY US Equity","ARD_SELLING_GENERAL_ADMIN_EXP","FQ3 2020","FQ3 2020","Currency=USD","Period=FQ","BEST_FPERIOD_OVERRIDE=FQ","FILING_STATUS=MR","SCALING_FORMAT=MLN","Sort=A","Dates=H","DateFormat=P","Fill=—","Direction=H","UseDPDF=Y")</f>
        <v>167.47200000000001</v>
      </c>
      <c r="K18" s="13">
        <f>_xll.BDH("ALNY US Equity","ARD_SELLING_GENERAL_ADMIN_EXP","FQ4 2020","FQ4 2020","Currency=USD","Period=FQ","BEST_FPERIOD_OVERRIDE=FQ","FILING_STATUS=MR","SCALING_FORMAT=MLN","Sort=A","Dates=H","DateFormat=P","Fill=—","Direction=H","UseDPDF=Y")</f>
        <v>166.291</v>
      </c>
      <c r="L18" s="13">
        <f>_xll.BDH("ALNY US Equity","ARD_SELLING_GENERAL_ADMIN_EXP","FQ1 2021","FQ1 2021","Currency=USD","Period=FQ","BEST_FPERIOD_OVERRIDE=FQ","FILING_STATUS=MR","SCALING_FORMAT=MLN","Sort=A","Dates=H","DateFormat=P","Fill=—","Direction=H","UseDPDF=Y")</f>
        <v>146.85900000000001</v>
      </c>
      <c r="M18" s="13">
        <f>_xll.BDH("ALNY US Equity","ARD_SELLING_GENERAL_ADMIN_EXP","FQ2 2021","FQ2 2021","Currency=USD","Period=FQ","BEST_FPERIOD_OVERRIDE=FQ","FILING_STATUS=MR","SCALING_FORMAT=MLN","Sort=A","Dates=H","DateFormat=P","Fill=—","Direction=H","UseDPDF=Y")</f>
        <v>145.32300000000001</v>
      </c>
      <c r="N18" s="13">
        <f>_xll.BDH("ALNY US Equity","ARD_SELLING_GENERAL_ADMIN_EXP","FQ3 2021","FQ3 2021","Currency=USD","Period=FQ","BEST_FPERIOD_OVERRIDE=FQ","FILING_STATUS=MR","SCALING_FORMAT=MLN","Sort=A","Dates=H","DateFormat=P","Fill=—","Direction=H","UseDPDF=Y")</f>
        <v>142.07499999999999</v>
      </c>
      <c r="O18" s="13">
        <f>_xll.BDH("ALNY US Equity","ARD_SELLING_GENERAL_ADMIN_EXP","FQ4 2021","FQ4 2021","Currency=USD","Period=FQ","BEST_FPERIOD_OVERRIDE=FQ","FILING_STATUS=MR","SCALING_FORMAT=MLN","Sort=A","Dates=H","DateFormat=P","Fill=—","Direction=H","UseDPDF=Y")</f>
        <v>186.38200000000001</v>
      </c>
      <c r="P18" s="13">
        <f>_xll.BDH("ALNY US Equity","ARD_SELLING_GENERAL_ADMIN_EXP","FQ1 2022","FQ1 2022","Currency=USD","Period=FQ","BEST_FPERIOD_OVERRIDE=FQ","FILING_STATUS=MR","SCALING_FORMAT=MLN","Sort=A","Dates=H","DateFormat=P","Fill=—","Direction=H","UseDPDF=Y")</f>
        <v>154.471</v>
      </c>
      <c r="Q18" s="13">
        <f>_xll.BDH("ALNY US Equity","ARD_SELLING_GENERAL_ADMIN_EXP","FQ2 2022","FQ2 2022","Currency=USD","Period=FQ","BEST_FPERIOD_OVERRIDE=FQ","FILING_STATUS=MR","SCALING_FORMAT=MLN","Sort=A","Dates=H","DateFormat=P","Fill=—","Direction=H","UseDPDF=Y")</f>
        <v>169.98400000000001</v>
      </c>
      <c r="R18" s="13">
        <f>_xll.BDH("ALNY US Equity","ARD_SELLING_GENERAL_ADMIN_EXP","FQ3 2022","FQ3 2022","Currency=USD","Period=FQ","BEST_FPERIOD_OVERRIDE=FQ","FILING_STATUS=MR","SCALING_FORMAT=MLN","Sort=A","Dates=H","DateFormat=P","Fill=—","Direction=H","UseDPDF=Y")</f>
        <v>235.85900000000001</v>
      </c>
      <c r="S18" s="13">
        <f>_xll.BDH("ALNY US Equity","ARD_SELLING_GENERAL_ADMIN_EXP","FQ4 2022","FQ4 2022","Currency=USD","Period=FQ","BEST_FPERIOD_OVERRIDE=FQ","FILING_STATUS=MR","SCALING_FORMAT=MLN","Sort=A","Dates=H","DateFormat=P","Fill=—","Direction=H","UseDPDF=Y")</f>
        <v>210.34399999999999</v>
      </c>
      <c r="T18" s="13">
        <f>_xll.BDH("ALNY US Equity","ARD_SELLING_GENERAL_ADMIN_EXP","FQ1 2023","FQ1 2023","Currency=USD","Period=FQ","BEST_FPERIOD_OVERRIDE=FQ","FILING_STATUS=MR","SCALING_FORMAT=MLN","Sort=A","Dates=H","DateFormat=P","Fill=—","Direction=H","UseDPDF=Y")</f>
        <v>183.65899999999999</v>
      </c>
      <c r="U18" s="13">
        <f>_xll.BDH("ALNY US Equity","ARD_SELLING_GENERAL_ADMIN_EXP","FQ2 2023","FQ2 2023","Currency=USD","Period=FQ","BEST_FPERIOD_OVERRIDE=FQ","FILING_STATUS=MR","SCALING_FORMAT=MLN","Sort=A","Dates=H","DateFormat=P","Fill=—","Direction=H","UseDPDF=Y")</f>
        <v>214.68899999999999</v>
      </c>
      <c r="V18" s="13">
        <f>_xll.BDH("ALNY US Equity","ARD_SELLING_GENERAL_ADMIN_EXP","FQ3 2023","FQ3 2023","Currency=USD","Period=FQ","BEST_FPERIOD_OVERRIDE=FQ","FILING_STATUS=MR","SCALING_FORMAT=MLN","Sort=A","Dates=H","DateFormat=P","Fill=—","Direction=H","UseDPDF=Y")</f>
        <v>199.17500000000001</v>
      </c>
      <c r="W18" s="13">
        <f>_xll.BDH("ALNY US Equity","ARD_SELLING_GENERAL_ADMIN_EXP","FQ4 2023","FQ4 2023","Currency=USD","Period=FQ","BEST_FPERIOD_OVERRIDE=FQ","FILING_STATUS=MR","SCALING_FORMAT=MLN","Sort=A","Dates=H","DateFormat=P","Fill=—","Direction=H","UseDPDF=Y")</f>
        <v>198.12299999999999</v>
      </c>
      <c r="X18" s="13">
        <f>_xll.BDH("ALNY US Equity","ARD_SELLING_GENERAL_ADMIN_EXP","FQ1 2024","FQ1 2024","Currency=USD","Period=FQ","BEST_FPERIOD_OVERRIDE=FQ","FILING_STATUS=MR","SCALING_FORMAT=MLN","Sort=A","Dates=H","DateFormat=P","Fill=—","Direction=H","UseDPDF=Y")</f>
        <v>210.797</v>
      </c>
      <c r="Y18" s="13">
        <f>_xll.BDH("ALNY US Equity","ARD_SELLING_GENERAL_ADMIN_EXP","FQ2 2024","FQ2 2024","Currency=USD","Period=FQ","BEST_FPERIOD_OVERRIDE=FQ","FILING_STATUS=MR","SCALING_FORMAT=MLN","Sort=A","Dates=H","DateFormat=P","Fill=—","Direction=H","UseDPDF=Y")</f>
        <v>248.39699999999999</v>
      </c>
      <c r="Z18" s="13">
        <f>_xll.BDH("ALNY US Equity","ARD_SELLING_GENERAL_ADMIN_EXP","FQ3 2024","FQ3 2024","Currency=USD","Period=FQ","BEST_FPERIOD_OVERRIDE=FQ","FILING_STATUS=MR","SCALING_FORMAT=MLN","Sort=A","Dates=H","DateFormat=P","Fill=—","Direction=H","UseDPDF=Y")</f>
        <v>220.99299999999999</v>
      </c>
      <c r="AA18" s="13">
        <f>_xll.BDH("ALNY US Equity","ARD_SELLING_GENERAL_ADMIN_EXP","FQ4 2024","FQ4 2024","Currency=USD","Period=FQ","BEST_FPERIOD_OVERRIDE=FQ","FILING_STATUS=MR","SCALING_FORMAT=MLN","Sort=A","Dates=H","DateFormat=P","Fill=—","Direction=H","UseDPDF=Y")</f>
        <v>295.339</v>
      </c>
    </row>
    <row r="19" spans="1:27" x14ac:dyDescent="0.25">
      <c r="A19" s="10" t="s">
        <v>423</v>
      </c>
      <c r="B19" s="10" t="s">
        <v>424</v>
      </c>
      <c r="C19" s="13">
        <f>_xll.BDH("ALNY US Equity","ARD_GENERAL_ADMINISTRATIVE_EXP","FQ4 2018","FQ4 2018","Currency=USD","Period=FQ","BEST_FPERIOD_OVERRIDE=FQ","FILING_STATUS=MR","SCALING_FORMAT=MLN","Sort=A","Dates=H","DateFormat=P","Fill=—","Direction=H","UseDPDF=Y")</f>
        <v>108.688</v>
      </c>
      <c r="D19" s="13" t="str">
        <f>_xll.BDH("ALNY US Equity","ARD_GENERAL_ADMINISTRATIVE_EXP","FQ1 2019","FQ1 2019","Currency=USD","Period=FQ","BEST_FPERIOD_OVERRIDE=FQ","FILING_STATUS=MR","SCALING_FORMAT=MLN","Sort=A","Dates=H","DateFormat=P","Fill=—","Direction=H","UseDPDF=Y")</f>
        <v>—</v>
      </c>
      <c r="E19" s="13" t="str">
        <f>_xll.BDH("ALNY US Equity","ARD_GENERAL_ADMINISTRATIVE_EXP","FQ2 2019","FQ2 2019","Currency=USD","Period=FQ","BEST_FPERIOD_OVERRIDE=FQ","FILING_STATUS=MR","SCALING_FORMAT=MLN","Sort=A","Dates=H","DateFormat=P","Fill=—","Direction=H","UseDPDF=Y")</f>
        <v>—</v>
      </c>
      <c r="F19" s="13" t="str">
        <f>_xll.BDH("ALNY US Equity","ARD_GENERAL_ADMINISTRATIVE_EXP","FQ3 2019","FQ3 2019","Currency=USD","Period=FQ","BEST_FPERIOD_OVERRIDE=FQ","FILING_STATUS=MR","SCALING_FORMAT=MLN","Sort=A","Dates=H","DateFormat=P","Fill=—","Direction=H","UseDPDF=Y")</f>
        <v>—</v>
      </c>
      <c r="G19" s="13" t="str">
        <f>_xll.BDH("ALNY US Equity","ARD_GENERAL_ADMINISTRATIVE_EXP","FQ4 2019","FQ4 2019","Currency=USD","Period=FQ","BEST_FPERIOD_OVERRIDE=FQ","FILING_STATUS=MR","SCALING_FORMAT=MLN","Sort=A","Dates=H","DateFormat=P","Fill=—","Direction=H","UseDPDF=Y")</f>
        <v>—</v>
      </c>
      <c r="H19" s="13" t="str">
        <f>_xll.BDH("ALNY US Equity","ARD_GENERAL_ADMINISTRATIVE_EXP","FQ1 2020","FQ1 2020","Currency=USD","Period=FQ","BEST_FPERIOD_OVERRIDE=FQ","FILING_STATUS=MR","SCALING_FORMAT=MLN","Sort=A","Dates=H","DateFormat=P","Fill=—","Direction=H","UseDPDF=Y")</f>
        <v>—</v>
      </c>
      <c r="I19" s="13" t="str">
        <f>_xll.BDH("ALNY US Equity","ARD_GENERAL_ADMINISTRATIVE_EXP","FQ2 2020","FQ2 2020","Currency=USD","Period=FQ","BEST_FPERIOD_OVERRIDE=FQ","FILING_STATUS=MR","SCALING_FORMAT=MLN","Sort=A","Dates=H","DateFormat=P","Fill=—","Direction=H","UseDPDF=Y")</f>
        <v>—</v>
      </c>
      <c r="J19" s="13" t="str">
        <f>_xll.BDH("ALNY US Equity","ARD_GENERAL_ADMINISTRATIVE_EXP","FQ3 2020","FQ3 2020","Currency=USD","Period=FQ","BEST_FPERIOD_OVERRIDE=FQ","FILING_STATUS=MR","SCALING_FORMAT=MLN","Sort=A","Dates=H","DateFormat=P","Fill=—","Direction=H","UseDPDF=Y")</f>
        <v>—</v>
      </c>
      <c r="K19" s="13" t="str">
        <f>_xll.BDH("ALNY US Equity","ARD_GENERAL_ADMINISTRATIVE_EXP","FQ4 2020","FQ4 2020","Currency=USD","Period=FQ","BEST_FPERIOD_OVERRIDE=FQ","FILING_STATUS=MR","SCALING_FORMAT=MLN","Sort=A","Dates=H","DateFormat=P","Fill=—","Direction=H","UseDPDF=Y")</f>
        <v>—</v>
      </c>
      <c r="L19" s="13" t="str">
        <f>_xll.BDH("ALNY US Equity","ARD_GENERAL_ADMINISTRATIVE_EXP","FQ1 2021","FQ1 2021","Currency=USD","Period=FQ","BEST_FPERIOD_OVERRIDE=FQ","FILING_STATUS=MR","SCALING_FORMAT=MLN","Sort=A","Dates=H","DateFormat=P","Fill=—","Direction=H","UseDPDF=Y")</f>
        <v>—</v>
      </c>
      <c r="M19" s="13" t="str">
        <f>_xll.BDH("ALNY US Equity","ARD_GENERAL_ADMINISTRATIVE_EXP","FQ2 2021","FQ2 2021","Currency=USD","Period=FQ","BEST_FPERIOD_OVERRIDE=FQ","FILING_STATUS=MR","SCALING_FORMAT=MLN","Sort=A","Dates=H","DateFormat=P","Fill=—","Direction=H","UseDPDF=Y")</f>
        <v>—</v>
      </c>
      <c r="N19" s="13" t="str">
        <f>_xll.BDH("ALNY US Equity","ARD_GENERAL_ADMINISTRATIVE_EXP","FQ3 2021","FQ3 2021","Currency=USD","Period=FQ","BEST_FPERIOD_OVERRIDE=FQ","FILING_STATUS=MR","SCALING_FORMAT=MLN","Sort=A","Dates=H","DateFormat=P","Fill=—","Direction=H","UseDPDF=Y")</f>
        <v>—</v>
      </c>
      <c r="O19" s="13" t="str">
        <f>_xll.BDH("ALNY US Equity","ARD_GENERAL_ADMINISTRATIVE_EXP","FQ4 2021","FQ4 2021","Currency=USD","Period=FQ","BEST_FPERIOD_OVERRIDE=FQ","FILING_STATUS=MR","SCALING_FORMAT=MLN","Sort=A","Dates=H","DateFormat=P","Fill=—","Direction=H","UseDPDF=Y")</f>
        <v>—</v>
      </c>
      <c r="P19" s="13" t="str">
        <f>_xll.BDH("ALNY US Equity","ARD_GENERAL_ADMINISTRATIVE_EXP","FQ1 2022","FQ1 2022","Currency=USD","Period=FQ","BEST_FPERIOD_OVERRIDE=FQ","FILING_STATUS=MR","SCALING_FORMAT=MLN","Sort=A","Dates=H","DateFormat=P","Fill=—","Direction=H","UseDPDF=Y")</f>
        <v>—</v>
      </c>
      <c r="Q19" s="13" t="str">
        <f>_xll.BDH("ALNY US Equity","ARD_GENERAL_ADMINISTRATIVE_EXP","FQ2 2022","FQ2 2022","Currency=USD","Period=FQ","BEST_FPERIOD_OVERRIDE=FQ","FILING_STATUS=MR","SCALING_FORMAT=MLN","Sort=A","Dates=H","DateFormat=P","Fill=—","Direction=H","UseDPDF=Y")</f>
        <v>—</v>
      </c>
      <c r="R19" s="13" t="str">
        <f>_xll.BDH("ALNY US Equity","ARD_GENERAL_ADMINISTRATIVE_EXP","FQ3 2022","FQ3 2022","Currency=USD","Period=FQ","BEST_FPERIOD_OVERRIDE=FQ","FILING_STATUS=MR","SCALING_FORMAT=MLN","Sort=A","Dates=H","DateFormat=P","Fill=—","Direction=H","UseDPDF=Y")</f>
        <v>—</v>
      </c>
      <c r="S19" s="13" t="str">
        <f>_xll.BDH("ALNY US Equity","ARD_GENERAL_ADMINISTRATIVE_EXP","FQ4 2022","FQ4 2022","Currency=USD","Period=FQ","BEST_FPERIOD_OVERRIDE=FQ","FILING_STATUS=MR","SCALING_FORMAT=MLN","Sort=A","Dates=H","DateFormat=P","Fill=—","Direction=H","UseDPDF=Y")</f>
        <v>—</v>
      </c>
      <c r="T19" s="13" t="str">
        <f>_xll.BDH("ALNY US Equity","ARD_GENERAL_ADMINISTRATIVE_EXP","FQ1 2023","FQ1 2023","Currency=USD","Period=FQ","BEST_FPERIOD_OVERRIDE=FQ","FILING_STATUS=MR","SCALING_FORMAT=MLN","Sort=A","Dates=H","DateFormat=P","Fill=—","Direction=H","UseDPDF=Y")</f>
        <v>—</v>
      </c>
      <c r="U19" s="13" t="str">
        <f>_xll.BDH("ALNY US Equity","ARD_GENERAL_ADMINISTRATIVE_EXP","FQ2 2023","FQ2 2023","Currency=USD","Period=FQ","BEST_FPERIOD_OVERRIDE=FQ","FILING_STATUS=MR","SCALING_FORMAT=MLN","Sort=A","Dates=H","DateFormat=P","Fill=—","Direction=H","UseDPDF=Y")</f>
        <v>—</v>
      </c>
      <c r="V19" s="13" t="str">
        <f>_xll.BDH("ALNY US Equity","ARD_GENERAL_ADMINISTRATIVE_EXP","FQ3 2023","FQ3 2023","Currency=USD","Period=FQ","BEST_FPERIOD_OVERRIDE=FQ","FILING_STATUS=MR","SCALING_FORMAT=MLN","Sort=A","Dates=H","DateFormat=P","Fill=—","Direction=H","UseDPDF=Y")</f>
        <v>—</v>
      </c>
      <c r="W19" s="13" t="str">
        <f>_xll.BDH("ALNY US Equity","ARD_GENERAL_ADMINISTRATIVE_EXP","FQ4 2023","FQ4 2023","Currency=USD","Period=FQ","BEST_FPERIOD_OVERRIDE=FQ","FILING_STATUS=MR","SCALING_FORMAT=MLN","Sort=A","Dates=H","DateFormat=P","Fill=—","Direction=H","UseDPDF=Y")</f>
        <v>—</v>
      </c>
      <c r="X19" s="13" t="str">
        <f>_xll.BDH("ALNY US Equity","ARD_GENERAL_ADMINISTRATIVE_EXP","FQ1 2024","FQ1 2024","Currency=USD","Period=FQ","BEST_FPERIOD_OVERRIDE=FQ","FILING_STATUS=MR","SCALING_FORMAT=MLN","Sort=A","Dates=H","DateFormat=P","Fill=—","Direction=H","UseDPDF=Y")</f>
        <v>—</v>
      </c>
      <c r="Y19" s="13" t="str">
        <f>_xll.BDH("ALNY US Equity","ARD_GENERAL_ADMINISTRATIVE_EXP","FQ2 2024","FQ2 2024","Currency=USD","Period=FQ","BEST_FPERIOD_OVERRIDE=FQ","FILING_STATUS=MR","SCALING_FORMAT=MLN","Sort=A","Dates=H","DateFormat=P","Fill=—","Direction=H","UseDPDF=Y")</f>
        <v>—</v>
      </c>
      <c r="Z19" s="13" t="str">
        <f>_xll.BDH("ALNY US Equity","ARD_GENERAL_ADMINISTRATIVE_EXP","FQ3 2024","FQ3 2024","Currency=USD","Period=FQ","BEST_FPERIOD_OVERRIDE=FQ","FILING_STATUS=MR","SCALING_FORMAT=MLN","Sort=A","Dates=H","DateFormat=P","Fill=—","Direction=H","UseDPDF=Y")</f>
        <v>—</v>
      </c>
      <c r="AA19" s="13" t="str">
        <f>_xll.BDH("ALNY US Equity","ARD_GENERAL_ADMINISTRATIVE_EXP","FQ4 2024","FQ4 2024","Currency=USD","Period=FQ","BEST_FPERIOD_OVERRIDE=FQ","FILING_STATUS=MR","SCALING_FORMAT=MLN","Sort=A","Dates=H","DateFormat=P","Fill=—","Direction=H","UseDPDF=Y")</f>
        <v>—</v>
      </c>
    </row>
    <row r="20" spans="1:27" x14ac:dyDescent="0.25">
      <c r="A20" s="10" t="s">
        <v>98</v>
      </c>
      <c r="B20" s="10" t="s">
        <v>425</v>
      </c>
      <c r="C20" s="13">
        <f>_xll.BDH("ALNY US Equity","ARD_OPERATING_INCOME","FQ4 2018","FQ4 2018","Currency=USD","Period=FQ","BEST_FPERIOD_OVERRIDE=FQ","FILING_STATUS=MR","SCALING_FORMAT=MLN","Sort=A","Dates=H","DateFormat=P","Fill=—","Direction=H","UseDPDF=Y")</f>
        <v>-220.35599999999999</v>
      </c>
      <c r="D20" s="13">
        <f>_xll.BDH("ALNY US Equity","ARD_OPERATING_INCOME","FQ1 2019","FQ1 2019","Currency=USD","Period=FQ","BEST_FPERIOD_OVERRIDE=FQ","FILING_STATUS=MR","SCALING_FORMAT=MLN","Sort=A","Dates=H","DateFormat=P","Fill=—","Direction=H","UseDPDF=Y")</f>
        <v>-188.78800000000001</v>
      </c>
      <c r="E20" s="13">
        <f>_xll.BDH("ALNY US Equity","ARD_OPERATING_INCOME","FQ2 2019","FQ2 2019","Currency=USD","Period=FQ","BEST_FPERIOD_OVERRIDE=FQ","FILING_STATUS=MR","SCALING_FORMAT=MLN","Sort=A","Dates=H","DateFormat=P","Fill=—","Direction=H","UseDPDF=Y")</f>
        <v>-236.27099999999999</v>
      </c>
      <c r="F20" s="13">
        <f>_xll.BDH("ALNY US Equity","ARD_OPERATING_INCOME","FQ3 2019","FQ3 2019","Currency=USD","Period=FQ","BEST_FPERIOD_OVERRIDE=FQ","FILING_STATUS=MR","SCALING_FORMAT=MLN","Sort=A","Dates=H","DateFormat=P","Fill=—","Direction=H","UseDPDF=Y")</f>
        <v>-216.29900000000001</v>
      </c>
      <c r="G20" s="13">
        <f>_xll.BDH("ALNY US Equity","ARD_OPERATING_INCOME","FQ4 2019","FQ4 2019","Currency=USD","Period=FQ","BEST_FPERIOD_OVERRIDE=FQ","FILING_STATUS=MR","SCALING_FORMAT=MLN","Sort=A","Dates=H","DateFormat=P","Fill=—","Direction=H","UseDPDF=Y")</f>
        <v>-298.07299999999998</v>
      </c>
      <c r="H20" s="13">
        <f>_xll.BDH("ALNY US Equity","ARD_OPERATING_INCOME","FQ1 2020","FQ1 2020","Currency=USD","Period=FQ","BEST_FPERIOD_OVERRIDE=FQ","FILING_STATUS=MR","SCALING_FORMAT=MLN","Sort=A","Dates=H","DateFormat=P","Fill=—","Direction=H","UseDPDF=Y")</f>
        <v>-210.15799999999999</v>
      </c>
      <c r="I20" s="13">
        <f>_xll.BDH("ALNY US Equity","ARD_OPERATING_INCOME","FQ2 2020","FQ2 2020","Currency=USD","Period=FQ","BEST_FPERIOD_OVERRIDE=FQ","FILING_STATUS=MR","SCALING_FORMAT=MLN","Sort=A","Dates=H","DateFormat=P","Fill=—","Direction=H","UseDPDF=Y")</f>
        <v>-198.85900000000001</v>
      </c>
      <c r="J20" s="13">
        <f>_xll.BDH("ALNY US Equity","ARD_OPERATING_INCOME","FQ3 2020","FQ3 2020","Currency=USD","Period=FQ","BEST_FPERIOD_OVERRIDE=FQ","FILING_STATUS=MR","SCALING_FORMAT=MLN","Sort=A","Dates=H","DateFormat=P","Fill=—","Direction=H","UseDPDF=Y")</f>
        <v>-225.19900000000001</v>
      </c>
      <c r="K20" s="13">
        <f>_xll.BDH("ALNY US Equity","ARD_OPERATING_INCOME","FQ4 2020","FQ4 2020","Currency=USD","Period=FQ","BEST_FPERIOD_OVERRIDE=FQ","FILING_STATUS=MR","SCALING_FORMAT=MLN","Sort=A","Dates=H","DateFormat=P","Fill=—","Direction=H","UseDPDF=Y")</f>
        <v>-194.22200000000001</v>
      </c>
      <c r="L20" s="13">
        <f>_xll.BDH("ALNY US Equity","ARD_OPERATING_INCOME","FQ1 2021","FQ1 2021","Currency=USD","Period=FQ","BEST_FPERIOD_OVERRIDE=FQ","FILING_STATUS=MR","SCALING_FORMAT=MLN","Sort=A","Dates=H","DateFormat=P","Fill=—","Direction=H","UseDPDF=Y")</f>
        <v>-186.25399999999999</v>
      </c>
      <c r="M20" s="13">
        <f>_xll.BDH("ALNY US Equity","ARD_OPERATING_INCOME","FQ2 2021","FQ2 2021","Currency=USD","Period=FQ","BEST_FPERIOD_OVERRIDE=FQ","FILING_STATUS=MR","SCALING_FORMAT=MLN","Sort=A","Dates=H","DateFormat=P","Fill=—","Direction=H","UseDPDF=Y")</f>
        <v>-146.16</v>
      </c>
      <c r="N20" s="13">
        <f>_xll.BDH("ALNY US Equity","ARD_OPERATING_INCOME","FQ3 2021","FQ3 2021","Currency=USD","Period=FQ","BEST_FPERIOD_OVERRIDE=FQ","FILING_STATUS=MR","SCALING_FORMAT=MLN","Sort=A","Dates=H","DateFormat=P","Fill=—","Direction=H","UseDPDF=Y")</f>
        <v>-181.67699999999999</v>
      </c>
      <c r="O20" s="13">
        <f>_xll.BDH("ALNY US Equity","ARD_OPERATING_INCOME","FQ4 2021","FQ4 2021","Currency=USD","Period=FQ","BEST_FPERIOD_OVERRIDE=FQ","FILING_STATUS=MR","SCALING_FORMAT=MLN","Sort=A","Dates=H","DateFormat=P","Fill=—","Direction=H","UseDPDF=Y")</f>
        <v>-194.56100000000001</v>
      </c>
      <c r="P20" s="13">
        <f>_xll.BDH("ALNY US Equity","ARD_OPERATING_INCOME","FQ1 2022","FQ1 2022","Currency=USD","Period=FQ","BEST_FPERIOD_OVERRIDE=FQ","FILING_STATUS=MR","SCALING_FORMAT=MLN","Sort=A","Dates=H","DateFormat=P","Fill=—","Direction=H","UseDPDF=Y")</f>
        <v>-146.732</v>
      </c>
      <c r="Q20" s="13">
        <f>_xll.BDH("ALNY US Equity","ARD_OPERATING_INCOME","FQ2 2022","FQ2 2022","Currency=USD","Period=FQ","BEST_FPERIOD_OVERRIDE=FQ","FILING_STATUS=MR","SCALING_FORMAT=MLN","Sort=A","Dates=H","DateFormat=P","Fill=—","Direction=H","UseDPDF=Y")</f>
        <v>-191.68600000000001</v>
      </c>
      <c r="R20" s="13">
        <f>_xll.BDH("ALNY US Equity","ARD_OPERATING_INCOME","FQ3 2022","FQ3 2022","Currency=USD","Period=FQ","BEST_FPERIOD_OVERRIDE=FQ","FILING_STATUS=MR","SCALING_FORMAT=MLN","Sort=A","Dates=H","DateFormat=P","Fill=—","Direction=H","UseDPDF=Y")</f>
        <v>-258.04000000000002</v>
      </c>
      <c r="S20" s="13">
        <f>_xll.BDH("ALNY US Equity","ARD_OPERATING_INCOME","FQ4 2022","FQ4 2022","Currency=USD","Period=FQ","BEST_FPERIOD_OVERRIDE=FQ","FILING_STATUS=MR","SCALING_FORMAT=MLN","Sort=A","Dates=H","DateFormat=P","Fill=—","Direction=H","UseDPDF=Y")</f>
        <v>-188.614</v>
      </c>
      <c r="T20" s="13">
        <f>_xll.BDH("ALNY US Equity","ARD_OPERATING_INCOME","FQ1 2023","FQ1 2023","Currency=USD","Period=FQ","BEST_FPERIOD_OVERRIDE=FQ","FILING_STATUS=MR","SCALING_FORMAT=MLN","Sort=A","Dates=H","DateFormat=P","Fill=—","Direction=H","UseDPDF=Y")</f>
        <v>-149.80699999999999</v>
      </c>
      <c r="U20" s="13">
        <f>_xll.BDH("ALNY US Equity","ARD_OPERATING_INCOME","FQ2 2023","FQ2 2023","Currency=USD","Period=FQ","BEST_FPERIOD_OVERRIDE=FQ","FILING_STATUS=MR","SCALING_FORMAT=MLN","Sort=A","Dates=H","DateFormat=P","Fill=—","Direction=H","UseDPDF=Y")</f>
        <v>-229.83099999999999</v>
      </c>
      <c r="V20" s="13">
        <f>_xll.BDH("ALNY US Equity","ARD_OPERATING_INCOME","FQ3 2023","FQ3 2023","Currency=USD","Period=FQ","BEST_FPERIOD_OVERRIDE=FQ","FILING_STATUS=MR","SCALING_FORMAT=MLN","Sort=A","Dates=H","DateFormat=P","Fill=—","Direction=H","UseDPDF=Y")</f>
        <v>213.86699999999999</v>
      </c>
      <c r="W20" s="13">
        <f>_xll.BDH("ALNY US Equity","ARD_OPERATING_INCOME","FQ4 2023","FQ4 2023","Currency=USD","Period=FQ","BEST_FPERIOD_OVERRIDE=FQ","FILING_STATUS=MR","SCALING_FORMAT=MLN","Sort=A","Dates=H","DateFormat=P","Fill=—","Direction=H","UseDPDF=Y")</f>
        <v>-116.404</v>
      </c>
      <c r="X20" s="13">
        <f>_xll.BDH("ALNY US Equity","ARD_OPERATING_INCOME","FQ1 2024","FQ1 2024","Currency=USD","Period=FQ","BEST_FPERIOD_OVERRIDE=FQ","FILING_STATUS=MR","SCALING_FORMAT=MLN","Sort=A","Dates=H","DateFormat=P","Fill=—","Direction=H","UseDPDF=Y")</f>
        <v>-43.435000000000002</v>
      </c>
      <c r="Y20" s="13">
        <f>_xll.BDH("ALNY US Equity","ARD_OPERATING_INCOME","FQ2 2024","FQ2 2024","Currency=USD","Period=FQ","BEST_FPERIOD_OVERRIDE=FQ","FILING_STATUS=MR","SCALING_FORMAT=MLN","Sort=A","Dates=H","DateFormat=P","Fill=—","Direction=H","UseDPDF=Y")</f>
        <v>48.613999999999997</v>
      </c>
      <c r="Z20" s="13">
        <f>_xll.BDH("ALNY US Equity","ARD_OPERATING_INCOME","FQ3 2024","FQ3 2024","Currency=USD","Period=FQ","BEST_FPERIOD_OVERRIDE=FQ","FILING_STATUS=MR","SCALING_FORMAT=MLN","Sort=A","Dates=H","DateFormat=P","Fill=—","Direction=H","UseDPDF=Y")</f>
        <v>-76.905000000000001</v>
      </c>
      <c r="AA20" s="13">
        <f>_xll.BDH("ALNY US Equity","ARD_OPERATING_INCOME","FQ4 2024","FQ4 2024","Currency=USD","Period=FQ","BEST_FPERIOD_OVERRIDE=FQ","FILING_STATUS=MR","SCALING_FORMAT=MLN","Sort=A","Dates=H","DateFormat=P","Fill=—","Direction=H","UseDPDF=Y")</f>
        <v>-105.15900000000001</v>
      </c>
    </row>
    <row r="21" spans="1:27" x14ac:dyDescent="0.25">
      <c r="A21" s="10" t="s">
        <v>426</v>
      </c>
      <c r="B21" s="10" t="s">
        <v>427</v>
      </c>
      <c r="C21" s="13" t="str">
        <f>_xll.BDH("ALNY US Equity","ARD_OTHER_COST_OF_REVENUES","FQ4 2018","FQ4 2018","Currency=USD","Period=FQ","BEST_FPERIOD_OVERRIDE=FQ","FILING_STATUS=MR","SCALING_FORMAT=MLN","Sort=A","Dates=H","DateFormat=P","Fill=—","Direction=H","UseDPDF=Y")</f>
        <v>—</v>
      </c>
      <c r="D21" s="13" t="str">
        <f>_xll.BDH("ALNY US Equity","ARD_OTHER_COST_OF_REVENUES","FQ1 2019","FQ1 2019","Currency=USD","Period=FQ","BEST_FPERIOD_OVERRIDE=FQ","FILING_STATUS=MR","SCALING_FORMAT=MLN","Sort=A","Dates=H","DateFormat=P","Fill=—","Direction=H","UseDPDF=Y")</f>
        <v>—</v>
      </c>
      <c r="E21" s="13" t="str">
        <f>_xll.BDH("ALNY US Equity","ARD_OTHER_COST_OF_REVENUES","FQ2 2019","FQ2 2019","Currency=USD","Period=FQ","BEST_FPERIOD_OVERRIDE=FQ","FILING_STATUS=MR","SCALING_FORMAT=MLN","Sort=A","Dates=H","DateFormat=P","Fill=—","Direction=H","UseDPDF=Y")</f>
        <v>—</v>
      </c>
      <c r="F21" s="13" t="str">
        <f>_xll.BDH("ALNY US Equity","ARD_OTHER_COST_OF_REVENUES","FQ3 2019","FQ3 2019","Currency=USD","Period=FQ","BEST_FPERIOD_OVERRIDE=FQ","FILING_STATUS=MR","SCALING_FORMAT=MLN","Sort=A","Dates=H","DateFormat=P","Fill=—","Direction=H","UseDPDF=Y")</f>
        <v>—</v>
      </c>
      <c r="G21" s="13" t="str">
        <f>_xll.BDH("ALNY US Equity","ARD_OTHER_COST_OF_REVENUES","FQ4 2019","FQ4 2019","Currency=USD","Period=FQ","BEST_FPERIOD_OVERRIDE=FQ","FILING_STATUS=MR","SCALING_FORMAT=MLN","Sort=A","Dates=H","DateFormat=P","Fill=—","Direction=H","UseDPDF=Y")</f>
        <v>—</v>
      </c>
      <c r="H21" s="13" t="str">
        <f>_xll.BDH("ALNY US Equity","ARD_OTHER_COST_OF_REVENUES","FQ1 2020","FQ1 2020","Currency=USD","Period=FQ","BEST_FPERIOD_OVERRIDE=FQ","FILING_STATUS=MR","SCALING_FORMAT=MLN","Sort=A","Dates=H","DateFormat=P","Fill=—","Direction=H","UseDPDF=Y")</f>
        <v>—</v>
      </c>
      <c r="I21" s="13">
        <f>_xll.BDH("ALNY US Equity","ARD_OTHER_COST_OF_REVENUES","FQ2 2020","FQ2 2020","Currency=USD","Period=FQ","BEST_FPERIOD_OVERRIDE=FQ","FILING_STATUS=MR","SCALING_FORMAT=MLN","Sort=A","Dates=H","DateFormat=P","Fill=—","Direction=H","UseDPDF=Y")</f>
        <v>1.6639999999999999</v>
      </c>
      <c r="J21" s="13">
        <f>_xll.BDH("ALNY US Equity","ARD_OTHER_COST_OF_REVENUES","FQ3 2020","FQ3 2020","Currency=USD","Period=FQ","BEST_FPERIOD_OVERRIDE=FQ","FILING_STATUS=MR","SCALING_FORMAT=MLN","Sort=A","Dates=H","DateFormat=P","Fill=—","Direction=H","UseDPDF=Y")</f>
        <v>0.97099999999999997</v>
      </c>
      <c r="K21" s="13" t="str">
        <f>_xll.BDH("ALNY US Equity","ARD_OTHER_COST_OF_REVENUES","FQ4 2020","FQ4 2020","Currency=USD","Period=FQ","BEST_FPERIOD_OVERRIDE=FQ","FILING_STATUS=MR","SCALING_FORMAT=MLN","Sort=A","Dates=H","DateFormat=P","Fill=—","Direction=H","UseDPDF=Y")</f>
        <v>—</v>
      </c>
      <c r="L21" s="13">
        <f>_xll.BDH("ALNY US Equity","ARD_OTHER_COST_OF_REVENUES","FQ1 2021","FQ1 2021","Currency=USD","Period=FQ","BEST_FPERIOD_OVERRIDE=FQ","FILING_STATUS=MR","SCALING_FORMAT=MLN","Sort=A","Dates=H","DateFormat=P","Fill=—","Direction=H","UseDPDF=Y")</f>
        <v>8.0389999999999997</v>
      </c>
      <c r="M21" s="13">
        <f>_xll.BDH("ALNY US Equity","ARD_OTHER_COST_OF_REVENUES","FQ2 2021","FQ2 2021","Currency=USD","Period=FQ","BEST_FPERIOD_OVERRIDE=FQ","FILING_STATUS=MR","SCALING_FORMAT=MLN","Sort=A","Dates=H","DateFormat=P","Fill=—","Direction=H","UseDPDF=Y")</f>
        <v>8.4990000000000006</v>
      </c>
      <c r="N21" s="13">
        <f>_xll.BDH("ALNY US Equity","ARD_OTHER_COST_OF_REVENUES","FQ3 2021","FQ3 2021","Currency=USD","Period=FQ","BEST_FPERIOD_OVERRIDE=FQ","FILING_STATUS=MR","SCALING_FORMAT=MLN","Sort=A","Dates=H","DateFormat=P","Fill=—","Direction=H","UseDPDF=Y")</f>
        <v>4.5720000000000001</v>
      </c>
      <c r="O21" s="13">
        <f>_xll.BDH("ALNY US Equity","ARD_OTHER_COST_OF_REVENUES","FQ4 2021","FQ4 2021","Currency=USD","Period=FQ","BEST_FPERIOD_OVERRIDE=FQ","FILING_STATUS=MR","SCALING_FORMAT=MLN","Sort=A","Dates=H","DateFormat=P","Fill=—","Direction=H","UseDPDF=Y")</f>
        <v>4.0289999999999999</v>
      </c>
      <c r="P21" s="13">
        <f>_xll.BDH("ALNY US Equity","ARD_OTHER_COST_OF_REVENUES","FQ1 2022","FQ1 2022","Currency=USD","Period=FQ","BEST_FPERIOD_OVERRIDE=FQ","FILING_STATUS=MR","SCALING_FORMAT=MLN","Sort=A","Dates=H","DateFormat=P","Fill=—","Direction=H","UseDPDF=Y")</f>
        <v>12.17</v>
      </c>
      <c r="Q21" s="13">
        <f>_xll.BDH("ALNY US Equity","ARD_OTHER_COST_OF_REVENUES","FQ2 2022","FQ2 2022","Currency=USD","Period=FQ","BEST_FPERIOD_OVERRIDE=FQ","FILING_STATUS=MR","SCALING_FORMAT=MLN","Sort=A","Dates=H","DateFormat=P","Fill=—","Direction=H","UseDPDF=Y")</f>
        <v>6.77</v>
      </c>
      <c r="R21" s="13">
        <f>_xll.BDH("ALNY US Equity","ARD_OTHER_COST_OF_REVENUES","FQ3 2022","FQ3 2022","Currency=USD","Period=FQ","BEST_FPERIOD_OVERRIDE=FQ","FILING_STATUS=MR","SCALING_FORMAT=MLN","Sort=A","Dates=H","DateFormat=P","Fill=—","Direction=H","UseDPDF=Y")</f>
        <v>4.609</v>
      </c>
      <c r="S21" s="13">
        <f>_xll.BDH("ALNY US Equity","ARD_OTHER_COST_OF_REVENUES","FQ4 2022","FQ4 2022","Currency=USD","Period=FQ","BEST_FPERIOD_OVERRIDE=FQ","FILING_STATUS=MR","SCALING_FORMAT=MLN","Sort=A","Dates=H","DateFormat=P","Fill=—","Direction=H","UseDPDF=Y")</f>
        <v>5.0940000000000003</v>
      </c>
      <c r="T21" s="13">
        <f>_xll.BDH("ALNY US Equity","ARD_OTHER_COST_OF_REVENUES","FQ1 2023","FQ1 2023","Currency=USD","Period=FQ","BEST_FPERIOD_OVERRIDE=FQ","FILING_STATUS=MR","SCALING_FORMAT=MLN","Sort=A","Dates=H","DateFormat=P","Fill=—","Direction=H","UseDPDF=Y")</f>
        <v>13.436999999999999</v>
      </c>
      <c r="U21" s="13">
        <f>_xll.BDH("ALNY US Equity","ARD_OTHER_COST_OF_REVENUES","FQ2 2023","FQ2 2023","Currency=USD","Period=FQ","BEST_FPERIOD_OVERRIDE=FQ","FILING_STATUS=MR","SCALING_FORMAT=MLN","Sort=A","Dates=H","DateFormat=P","Fill=—","Direction=H","UseDPDF=Y")</f>
        <v>10.034000000000001</v>
      </c>
      <c r="V21" s="13">
        <f>_xll.BDH("ALNY US Equity","ARD_OTHER_COST_OF_REVENUES","FQ3 2023","FQ3 2023","Currency=USD","Period=FQ","BEST_FPERIOD_OVERRIDE=FQ","FILING_STATUS=MR","SCALING_FORMAT=MLN","Sort=A","Dates=H","DateFormat=P","Fill=—","Direction=H","UseDPDF=Y")</f>
        <v>4.8360000000000003</v>
      </c>
      <c r="W21" s="13">
        <f>_xll.BDH("ALNY US Equity","ARD_OTHER_COST_OF_REVENUES","FQ4 2023","FQ4 2023","Currency=USD","Period=FQ","BEST_FPERIOD_OVERRIDE=FQ","FILING_STATUS=MR","SCALING_FORMAT=MLN","Sort=A","Dates=H","DateFormat=P","Fill=—","Direction=H","UseDPDF=Y")</f>
        <v>13.882999999999999</v>
      </c>
      <c r="X21" s="13">
        <f>_xll.BDH("ALNY US Equity","ARD_OTHER_COST_OF_REVENUES","FQ1 2024","FQ1 2024","Currency=USD","Period=FQ","BEST_FPERIOD_OVERRIDE=FQ","FILING_STATUS=MR","SCALING_FORMAT=MLN","Sort=A","Dates=H","DateFormat=P","Fill=—","Direction=H","UseDPDF=Y")</f>
        <v>11.363</v>
      </c>
      <c r="Y21" s="13">
        <f>_xll.BDH("ALNY US Equity","ARD_OTHER_COST_OF_REVENUES","FQ2 2024","FQ2 2024","Currency=USD","Period=FQ","BEST_FPERIOD_OVERRIDE=FQ","FILING_STATUS=MR","SCALING_FORMAT=MLN","Sort=A","Dates=H","DateFormat=P","Fill=—","Direction=H","UseDPDF=Y")</f>
        <v>1.401</v>
      </c>
      <c r="Z21" s="13">
        <f>_xll.BDH("ALNY US Equity","ARD_OTHER_COST_OF_REVENUES","FQ3 2024","FQ3 2024","Currency=USD","Period=FQ","BEST_FPERIOD_OVERRIDE=FQ","FILING_STATUS=MR","SCALING_FORMAT=MLN","Sort=A","Dates=H","DateFormat=P","Fill=—","Direction=H","UseDPDF=Y")</f>
        <v>3.9249999999999998</v>
      </c>
      <c r="AA21" s="13">
        <f>_xll.BDH("ALNY US Equity","ARD_OTHER_COST_OF_REVENUES","FQ4 2024","FQ4 2024","Currency=USD","Period=FQ","BEST_FPERIOD_OVERRIDE=FQ","FILING_STATUS=MR","SCALING_FORMAT=MLN","Sort=A","Dates=H","DateFormat=P","Fill=—","Direction=H","UseDPDF=Y")</f>
        <v>0.16800000000000001</v>
      </c>
    </row>
    <row r="22" spans="1:27" x14ac:dyDescent="0.25">
      <c r="A22" s="10" t="s">
        <v>428</v>
      </c>
      <c r="B22" s="10" t="s">
        <v>429</v>
      </c>
      <c r="C22" s="13" t="str">
        <f>_xll.BDH("ALNY US Equity","ARD_ROYALTY_EXPENSES","FQ4 2018","FQ4 2018","Currency=USD","Period=FQ","BEST_FPERIOD_OVERRIDE=FQ","FILING_STATUS=MR","SCALING_FORMAT=MLN","Sort=A","Dates=H","DateFormat=P","Fill=—","Direction=H","UseDPDF=Y")</f>
        <v>—</v>
      </c>
      <c r="D22" s="13" t="str">
        <f>_xll.BDH("ALNY US Equity","ARD_ROYALTY_EXPENSES","FQ1 2019","FQ1 2019","Currency=USD","Period=FQ","BEST_FPERIOD_OVERRIDE=FQ","FILING_STATUS=MR","SCALING_FORMAT=MLN","Sort=A","Dates=H","DateFormat=P","Fill=—","Direction=H","UseDPDF=Y")</f>
        <v>—</v>
      </c>
      <c r="E22" s="13" t="str">
        <f>_xll.BDH("ALNY US Equity","ARD_ROYALTY_EXPENSES","FQ2 2019","FQ2 2019","Currency=USD","Period=FQ","BEST_FPERIOD_OVERRIDE=FQ","FILING_STATUS=MR","SCALING_FORMAT=MLN","Sort=A","Dates=H","DateFormat=P","Fill=—","Direction=H","UseDPDF=Y")</f>
        <v>—</v>
      </c>
      <c r="F22" s="13" t="str">
        <f>_xll.BDH("ALNY US Equity","ARD_ROYALTY_EXPENSES","FQ3 2019","FQ3 2019","Currency=USD","Period=FQ","BEST_FPERIOD_OVERRIDE=FQ","FILING_STATUS=MR","SCALING_FORMAT=MLN","Sort=A","Dates=H","DateFormat=P","Fill=—","Direction=H","UseDPDF=Y")</f>
        <v>—</v>
      </c>
      <c r="G22" s="13" t="str">
        <f>_xll.BDH("ALNY US Equity","ARD_ROYALTY_EXPENSES","FQ4 2019","FQ4 2019","Currency=USD","Period=FQ","BEST_FPERIOD_OVERRIDE=FQ","FILING_STATUS=MR","SCALING_FORMAT=MLN","Sort=A","Dates=H","DateFormat=P","Fill=—","Direction=H","UseDPDF=Y")</f>
        <v>—</v>
      </c>
      <c r="H22" s="13" t="str">
        <f>_xll.BDH("ALNY US Equity","ARD_ROYALTY_EXPENSES","FQ1 2020","FQ1 2020","Currency=USD","Period=FQ","BEST_FPERIOD_OVERRIDE=FQ","FILING_STATUS=MR","SCALING_FORMAT=MLN","Sort=A","Dates=H","DateFormat=P","Fill=—","Direction=H","UseDPDF=Y")</f>
        <v>—</v>
      </c>
      <c r="I22" s="13" t="str">
        <f>_xll.BDH("ALNY US Equity","ARD_ROYALTY_EXPENSES","FQ2 2020","FQ2 2020","Currency=USD","Period=FQ","BEST_FPERIOD_OVERRIDE=FQ","FILING_STATUS=MR","SCALING_FORMAT=MLN","Sort=A","Dates=H","DateFormat=P","Fill=—","Direction=H","UseDPDF=Y")</f>
        <v>—</v>
      </c>
      <c r="J22" s="13" t="str">
        <f>_xll.BDH("ALNY US Equity","ARD_ROYALTY_EXPENSES","FQ3 2020","FQ3 2020","Currency=USD","Period=FQ","BEST_FPERIOD_OVERRIDE=FQ","FILING_STATUS=MR","SCALING_FORMAT=MLN","Sort=A","Dates=H","DateFormat=P","Fill=—","Direction=H","UseDPDF=Y")</f>
        <v>—</v>
      </c>
      <c r="K22" s="13" t="str">
        <f>_xll.BDH("ALNY US Equity","ARD_ROYALTY_EXPENSES","FQ4 2020","FQ4 2020","Currency=USD","Period=FQ","BEST_FPERIOD_OVERRIDE=FQ","FILING_STATUS=MR","SCALING_FORMAT=MLN","Sort=A","Dates=H","DateFormat=P","Fill=—","Direction=H","UseDPDF=Y")</f>
        <v>—</v>
      </c>
      <c r="L22" s="13" t="str">
        <f>_xll.BDH("ALNY US Equity","ARD_ROYALTY_EXPENSES","FQ1 2021","FQ1 2021","Currency=USD","Period=FQ","BEST_FPERIOD_OVERRIDE=FQ","FILING_STATUS=MR","SCALING_FORMAT=MLN","Sort=A","Dates=H","DateFormat=P","Fill=—","Direction=H","UseDPDF=Y")</f>
        <v>—</v>
      </c>
      <c r="M22" s="13" t="str">
        <f>_xll.BDH("ALNY US Equity","ARD_ROYALTY_EXPENSES","FQ2 2021","FQ2 2021","Currency=USD","Period=FQ","BEST_FPERIOD_OVERRIDE=FQ","FILING_STATUS=MR","SCALING_FORMAT=MLN","Sort=A","Dates=H","DateFormat=P","Fill=—","Direction=H","UseDPDF=Y")</f>
        <v>—</v>
      </c>
      <c r="N22" s="13">
        <f>_xll.BDH("ALNY US Equity","ARD_ROYALTY_EXPENSES","FQ3 2021","FQ3 2021","Currency=USD","Period=FQ","BEST_FPERIOD_OVERRIDE=FQ","FILING_STATUS=MR","SCALING_FORMAT=MLN","Sort=A","Dates=H","DateFormat=P","Fill=—","Direction=H","UseDPDF=Y")</f>
        <v>4.5720000000000001</v>
      </c>
      <c r="O22" s="13" t="str">
        <f>_xll.BDH("ALNY US Equity","ARD_ROYALTY_EXPENSES","FQ4 2021","FQ4 2021","Currency=USD","Period=FQ","BEST_FPERIOD_OVERRIDE=FQ","FILING_STATUS=MR","SCALING_FORMAT=MLN","Sort=A","Dates=H","DateFormat=P","Fill=—","Direction=H","UseDPDF=Y")</f>
        <v>—</v>
      </c>
      <c r="P22" s="13" t="str">
        <f>_xll.BDH("ALNY US Equity","ARD_ROYALTY_EXPENSES","FQ1 2022","FQ1 2022","Currency=USD","Period=FQ","BEST_FPERIOD_OVERRIDE=FQ","FILING_STATUS=MR","SCALING_FORMAT=MLN","Sort=A","Dates=H","DateFormat=P","Fill=—","Direction=H","UseDPDF=Y")</f>
        <v>—</v>
      </c>
      <c r="Q22" s="13" t="str">
        <f>_xll.BDH("ALNY US Equity","ARD_ROYALTY_EXPENSES","FQ2 2022","FQ2 2022","Currency=USD","Period=FQ","BEST_FPERIOD_OVERRIDE=FQ","FILING_STATUS=MR","SCALING_FORMAT=MLN","Sort=A","Dates=H","DateFormat=P","Fill=—","Direction=H","UseDPDF=Y")</f>
        <v>—</v>
      </c>
      <c r="R22" s="13" t="str">
        <f>_xll.BDH("ALNY US Equity","ARD_ROYALTY_EXPENSES","FQ3 2022","FQ3 2022","Currency=USD","Period=FQ","BEST_FPERIOD_OVERRIDE=FQ","FILING_STATUS=MR","SCALING_FORMAT=MLN","Sort=A","Dates=H","DateFormat=P","Fill=—","Direction=H","UseDPDF=Y")</f>
        <v>—</v>
      </c>
      <c r="S22" s="13" t="str">
        <f>_xll.BDH("ALNY US Equity","ARD_ROYALTY_EXPENSES","FQ4 2022","FQ4 2022","Currency=USD","Period=FQ","BEST_FPERIOD_OVERRIDE=FQ","FILING_STATUS=MR","SCALING_FORMAT=MLN","Sort=A","Dates=H","DateFormat=P","Fill=—","Direction=H","UseDPDF=Y")</f>
        <v>—</v>
      </c>
      <c r="T22" s="13" t="str">
        <f>_xll.BDH("ALNY US Equity","ARD_ROYALTY_EXPENSES","FQ1 2023","FQ1 2023","Currency=USD","Period=FQ","BEST_FPERIOD_OVERRIDE=FQ","FILING_STATUS=MR","SCALING_FORMAT=MLN","Sort=A","Dates=H","DateFormat=P","Fill=—","Direction=H","UseDPDF=Y")</f>
        <v>—</v>
      </c>
      <c r="U22" s="13" t="str">
        <f>_xll.BDH("ALNY US Equity","ARD_ROYALTY_EXPENSES","FQ2 2023","FQ2 2023","Currency=USD","Period=FQ","BEST_FPERIOD_OVERRIDE=FQ","FILING_STATUS=MR","SCALING_FORMAT=MLN","Sort=A","Dates=H","DateFormat=P","Fill=—","Direction=H","UseDPDF=Y")</f>
        <v>—</v>
      </c>
      <c r="V22" s="13" t="str">
        <f>_xll.BDH("ALNY US Equity","ARD_ROYALTY_EXPENSES","FQ3 2023","FQ3 2023","Currency=USD","Period=FQ","BEST_FPERIOD_OVERRIDE=FQ","FILING_STATUS=MR","SCALING_FORMAT=MLN","Sort=A","Dates=H","DateFormat=P","Fill=—","Direction=H","UseDPDF=Y")</f>
        <v>—</v>
      </c>
      <c r="W22" s="13" t="str">
        <f>_xll.BDH("ALNY US Equity","ARD_ROYALTY_EXPENSES","FQ4 2023","FQ4 2023","Currency=USD","Period=FQ","BEST_FPERIOD_OVERRIDE=FQ","FILING_STATUS=MR","SCALING_FORMAT=MLN","Sort=A","Dates=H","DateFormat=P","Fill=—","Direction=H","UseDPDF=Y")</f>
        <v>—</v>
      </c>
      <c r="X22" s="13" t="str">
        <f>_xll.BDH("ALNY US Equity","ARD_ROYALTY_EXPENSES","FQ1 2024","FQ1 2024","Currency=USD","Period=FQ","BEST_FPERIOD_OVERRIDE=FQ","FILING_STATUS=MR","SCALING_FORMAT=MLN","Sort=A","Dates=H","DateFormat=P","Fill=—","Direction=H","UseDPDF=Y")</f>
        <v>—</v>
      </c>
      <c r="Y22" s="13" t="str">
        <f>_xll.BDH("ALNY US Equity","ARD_ROYALTY_EXPENSES","FQ2 2024","FQ2 2024","Currency=USD","Period=FQ","BEST_FPERIOD_OVERRIDE=FQ","FILING_STATUS=MR","SCALING_FORMAT=MLN","Sort=A","Dates=H","DateFormat=P","Fill=—","Direction=H","UseDPDF=Y")</f>
        <v>—</v>
      </c>
      <c r="Z22" s="13" t="str">
        <f>_xll.BDH("ALNY US Equity","ARD_ROYALTY_EXPENSES","FQ3 2024","FQ3 2024","Currency=USD","Period=FQ","BEST_FPERIOD_OVERRIDE=FQ","FILING_STATUS=MR","SCALING_FORMAT=MLN","Sort=A","Dates=H","DateFormat=P","Fill=—","Direction=H","UseDPDF=Y")</f>
        <v>—</v>
      </c>
      <c r="AA22" s="13" t="str">
        <f>_xll.BDH("ALNY US Equity","ARD_ROYALTY_EXPENSES","FQ4 2024","FQ4 2024","Currency=USD","Period=FQ","BEST_FPERIOD_OVERRIDE=FQ","FILING_STATUS=MR","SCALING_FORMAT=MLN","Sort=A","Dates=H","DateFormat=P","Fill=—","Direction=H","UseDPDF=Y")</f>
        <v>—</v>
      </c>
    </row>
    <row r="23" spans="1:27" x14ac:dyDescent="0.25">
      <c r="A23" s="10" t="s">
        <v>430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0" t="s">
        <v>431</v>
      </c>
      <c r="B24" s="10" t="s">
        <v>432</v>
      </c>
      <c r="C24" s="13" t="str">
        <f>_xll.BDH("ALNY US Equity","ARD_INT_EXP","FQ4 2018","FQ4 2018","Currency=USD","Period=FQ","BEST_FPERIOD_OVERRIDE=FQ","FILING_STATUS=MR","SCALING_FORMAT=MLN","Sort=A","Dates=H","DateFormat=P","Fill=—","Direction=H","UseDPDF=Y")</f>
        <v>—</v>
      </c>
      <c r="D24" s="13" t="str">
        <f>_xll.BDH("ALNY US Equity","ARD_INT_EXP","FQ1 2019","FQ1 2019","Currency=USD","Period=FQ","BEST_FPERIOD_OVERRIDE=FQ","FILING_STATUS=MR","SCALING_FORMAT=MLN","Sort=A","Dates=H","DateFormat=P","Fill=—","Direction=H","UseDPDF=Y")</f>
        <v>—</v>
      </c>
      <c r="E24" s="13" t="str">
        <f>_xll.BDH("ALNY US Equity","ARD_INT_EXP","FQ2 2019","FQ2 2019","Currency=USD","Period=FQ","BEST_FPERIOD_OVERRIDE=FQ","FILING_STATUS=MR","SCALING_FORMAT=MLN","Sort=A","Dates=H","DateFormat=P","Fill=—","Direction=H","UseDPDF=Y")</f>
        <v>—</v>
      </c>
      <c r="F24" s="13" t="str">
        <f>_xll.BDH("ALNY US Equity","ARD_INT_EXP","FQ3 2019","FQ3 2019","Currency=USD","Period=FQ","BEST_FPERIOD_OVERRIDE=FQ","FILING_STATUS=MR","SCALING_FORMAT=MLN","Sort=A","Dates=H","DateFormat=P","Fill=—","Direction=H","UseDPDF=Y")</f>
        <v>—</v>
      </c>
      <c r="G24" s="13" t="str">
        <f>_xll.BDH("ALNY US Equity","ARD_INT_EXP","FQ4 2019","FQ4 2019","Currency=USD","Period=FQ","BEST_FPERIOD_OVERRIDE=FQ","FILING_STATUS=MR","SCALING_FORMAT=MLN","Sort=A","Dates=H","DateFormat=P","Fill=—","Direction=H","UseDPDF=Y")</f>
        <v>—</v>
      </c>
      <c r="H24" s="13" t="str">
        <f>_xll.BDH("ALNY US Equity","ARD_INT_EXP","FQ1 2020","FQ1 2020","Currency=USD","Period=FQ","BEST_FPERIOD_OVERRIDE=FQ","FILING_STATUS=MR","SCALING_FORMAT=MLN","Sort=A","Dates=H","DateFormat=P","Fill=—","Direction=H","UseDPDF=Y")</f>
        <v>—</v>
      </c>
      <c r="I24" s="13">
        <f>_xll.BDH("ALNY US Equity","ARD_INT_EXP","FQ2 2020","FQ2 2020","Currency=USD","Period=FQ","BEST_FPERIOD_OVERRIDE=FQ","FILING_STATUS=MR","SCALING_FORMAT=MLN","Sort=A","Dates=H","DateFormat=P","Fill=—","Direction=H","UseDPDF=Y")</f>
        <v>27.248000000000001</v>
      </c>
      <c r="J24" s="13">
        <f>_xll.BDH("ALNY US Equity","ARD_INT_EXP","FQ3 2020","FQ3 2020","Currency=USD","Period=FQ","BEST_FPERIOD_OVERRIDE=FQ","FILING_STATUS=MR","SCALING_FORMAT=MLN","Sort=A","Dates=H","DateFormat=P","Fill=—","Direction=H","UseDPDF=Y")</f>
        <v>28.731000000000002</v>
      </c>
      <c r="K24" s="13">
        <f>_xll.BDH("ALNY US Equity","ARD_INT_EXP","FQ4 2020","FQ4 2020","Currency=USD","Period=FQ","BEST_FPERIOD_OVERRIDE=FQ","FILING_STATUS=MR","SCALING_FORMAT=MLN","Sort=A","Dates=H","DateFormat=P","Fill=—","Direction=H","UseDPDF=Y")</f>
        <v>28.516999999999999</v>
      </c>
      <c r="L24" s="13">
        <f>_xll.BDH("ALNY US Equity","ARD_INT_EXP","FQ1 2021","FQ1 2021","Currency=USD","Period=FQ","BEST_FPERIOD_OVERRIDE=FQ","FILING_STATUS=MR","SCALING_FORMAT=MLN","Sort=A","Dates=H","DateFormat=P","Fill=—","Direction=H","UseDPDF=Y")</f>
        <v>32.515000000000001</v>
      </c>
      <c r="M24" s="13">
        <f>_xll.BDH("ALNY US Equity","ARD_INT_EXP","FQ2 2021","FQ2 2021","Currency=USD","Period=FQ","BEST_FPERIOD_OVERRIDE=FQ","FILING_STATUS=MR","SCALING_FORMAT=MLN","Sort=A","Dates=H","DateFormat=P","Fill=—","Direction=H","UseDPDF=Y")</f>
        <v>33.415999999999997</v>
      </c>
      <c r="N24" s="13">
        <f>_xll.BDH("ALNY US Equity","ARD_INT_EXP","FQ3 2021","FQ3 2021","Currency=USD","Period=FQ","BEST_FPERIOD_OVERRIDE=FQ","FILING_STATUS=MR","SCALING_FORMAT=MLN","Sort=A","Dates=H","DateFormat=P","Fill=—","Direction=H","UseDPDF=Y")</f>
        <v>40.274000000000001</v>
      </c>
      <c r="O24" s="13">
        <f>_xll.BDH("ALNY US Equity","ARD_INT_EXP","FQ4 2021","FQ4 2021","Currency=USD","Period=FQ","BEST_FPERIOD_OVERRIDE=FQ","FILING_STATUS=MR","SCALING_FORMAT=MLN","Sort=A","Dates=H","DateFormat=P","Fill=—","Direction=H","UseDPDF=Y")</f>
        <v>36.816000000000003</v>
      </c>
      <c r="P24" s="13">
        <f>_xll.BDH("ALNY US Equity","ARD_INT_EXP","FQ1 2022","FQ1 2022","Currency=USD","Period=FQ","BEST_FPERIOD_OVERRIDE=FQ","FILING_STATUS=MR","SCALING_FORMAT=MLN","Sort=A","Dates=H","DateFormat=P","Fill=—","Direction=H","UseDPDF=Y")</f>
        <v>42.362000000000002</v>
      </c>
      <c r="Q24" s="13">
        <f>_xll.BDH("ALNY US Equity","ARD_INT_EXP","FQ2 2022","FQ2 2022","Currency=USD","Period=FQ","BEST_FPERIOD_OVERRIDE=FQ","FILING_STATUS=MR","SCALING_FORMAT=MLN","Sort=A","Dates=H","DateFormat=P","Fill=—","Direction=H","UseDPDF=Y")</f>
        <v>42.609000000000002</v>
      </c>
      <c r="R24" s="13">
        <f>_xll.BDH("ALNY US Equity","ARD_INT_EXP","FQ3 2022","FQ3 2022","Currency=USD","Period=FQ","BEST_FPERIOD_OVERRIDE=FQ","FILING_STATUS=MR","SCALING_FORMAT=MLN","Sort=A","Dates=H","DateFormat=P","Fill=—","Direction=H","UseDPDF=Y")</f>
        <v>41.084000000000003</v>
      </c>
      <c r="S24" s="13">
        <f>_xll.BDH("ALNY US Equity","ARD_INT_EXP","FQ4 2022","FQ4 2022","Currency=USD","Period=FQ","BEST_FPERIOD_OVERRIDE=FQ","FILING_STATUS=MR","SCALING_FORMAT=MLN","Sort=A","Dates=H","DateFormat=P","Fill=—","Direction=H","UseDPDF=Y")</f>
        <v>29.913</v>
      </c>
      <c r="T24" s="13">
        <f>_xll.BDH("ALNY US Equity","ARD_INT_EXP","FQ1 2023","FQ1 2023","Currency=USD","Period=FQ","BEST_FPERIOD_OVERRIDE=FQ","FILING_STATUS=MR","SCALING_FORMAT=MLN","Sort=A","Dates=H","DateFormat=P","Fill=—","Direction=H","UseDPDF=Y")</f>
        <v>28.954999999999998</v>
      </c>
      <c r="U24" s="13">
        <f>_xll.BDH("ALNY US Equity","ARD_INT_EXP","FQ2 2023","FQ2 2023","Currency=USD","Period=FQ","BEST_FPERIOD_OVERRIDE=FQ","FILING_STATUS=MR","SCALING_FORMAT=MLN","Sort=A","Dates=H","DateFormat=P","Fill=—","Direction=H","UseDPDF=Y")</f>
        <v>30.035</v>
      </c>
      <c r="V24" s="13">
        <f>_xll.BDH("ALNY US Equity","ARD_INT_EXP","FQ3 2023","FQ3 2023","Currency=USD","Period=FQ","BEST_FPERIOD_OVERRIDE=FQ","FILING_STATUS=MR","SCALING_FORMAT=MLN","Sort=A","Dates=H","DateFormat=P","Fill=—","Direction=H","UseDPDF=Y")</f>
        <v>30.893000000000001</v>
      </c>
      <c r="W24" s="13">
        <f>_xll.BDH("ALNY US Equity","ARD_INT_EXP","FQ4 2023","FQ4 2023","Currency=USD","Period=FQ","BEST_FPERIOD_OVERRIDE=FQ","FILING_STATUS=MR","SCALING_FORMAT=MLN","Sort=A","Dates=H","DateFormat=P","Fill=—","Direction=H","UseDPDF=Y")</f>
        <v>31.338000000000001</v>
      </c>
      <c r="X24" s="13">
        <f>_xll.BDH("ALNY US Equity","ARD_INT_EXP","FQ1 2024","FQ1 2024","Currency=USD","Period=FQ","BEST_FPERIOD_OVERRIDE=FQ","FILING_STATUS=MR","SCALING_FORMAT=MLN","Sort=A","Dates=H","DateFormat=P","Fill=—","Direction=H","UseDPDF=Y")</f>
        <v>35.253</v>
      </c>
      <c r="Y24" s="13">
        <f>_xll.BDH("ALNY US Equity","ARD_INT_EXP","FQ2 2024","FQ2 2024","Currency=USD","Period=FQ","BEST_FPERIOD_OVERRIDE=FQ","FILING_STATUS=MR","SCALING_FORMAT=MLN","Sort=A","Dates=H","DateFormat=P","Fill=—","Direction=H","UseDPDF=Y")</f>
        <v>33.258000000000003</v>
      </c>
      <c r="Z24" s="13">
        <f>_xll.BDH("ALNY US Equity","ARD_INT_EXP","FQ3 2024","FQ3 2024","Currency=USD","Period=FQ","BEST_FPERIOD_OVERRIDE=FQ","FILING_STATUS=MR","SCALING_FORMAT=MLN","Sort=A","Dates=H","DateFormat=P","Fill=—","Direction=H","UseDPDF=Y")</f>
        <v>34.375999999999998</v>
      </c>
      <c r="AA24" s="13">
        <f>_xll.BDH("ALNY US Equity","ARD_INT_EXP","FQ4 2024","FQ4 2024","Currency=USD","Period=FQ","BEST_FPERIOD_OVERRIDE=FQ","FILING_STATUS=MR","SCALING_FORMAT=MLN","Sort=A","Dates=H","DateFormat=P","Fill=—","Direction=H","UseDPDF=Y")</f>
        <v>38.970999999999997</v>
      </c>
    </row>
    <row r="25" spans="1:27" x14ac:dyDescent="0.25">
      <c r="A25" s="10" t="s">
        <v>433</v>
      </c>
      <c r="B25" s="10" t="s">
        <v>434</v>
      </c>
      <c r="C25" s="13">
        <f>_xll.BDH("ALNY US Equity","ARD_INT_INCOME","FQ4 2018","FQ4 2018","Currency=USD","Period=FQ","BEST_FPERIOD_OVERRIDE=FQ","FILING_STATUS=MR","SCALING_FORMAT=MLN","Sort=A","Dates=H","DateFormat=P","Fill=—","Direction=H","UseDPDF=Y")</f>
        <v>-10.571</v>
      </c>
      <c r="D25" s="13">
        <f>_xll.BDH("ALNY US Equity","ARD_INT_INCOME","FQ1 2019","FQ1 2019","Currency=USD","Period=FQ","BEST_FPERIOD_OVERRIDE=FQ","FILING_STATUS=MR","SCALING_FORMAT=MLN","Sort=A","Dates=H","DateFormat=P","Fill=—","Direction=H","UseDPDF=Y")</f>
        <v>-7.5250000000000004</v>
      </c>
      <c r="E25" s="13">
        <f>_xll.BDH("ALNY US Equity","ARD_INT_INCOME","FQ2 2019","FQ2 2019","Currency=USD","Period=FQ","BEST_FPERIOD_OVERRIDE=FQ","FILING_STATUS=MR","SCALING_FORMAT=MLN","Sort=A","Dates=H","DateFormat=P","Fill=—","Direction=H","UseDPDF=Y")</f>
        <v>-8.7810000000000006</v>
      </c>
      <c r="F25" s="13">
        <f>_xll.BDH("ALNY US Equity","ARD_INT_INCOME","FQ3 2019","FQ3 2019","Currency=USD","Period=FQ","BEST_FPERIOD_OVERRIDE=FQ","FILING_STATUS=MR","SCALING_FORMAT=MLN","Sort=A","Dates=H","DateFormat=P","Fill=—","Direction=H","UseDPDF=Y")</f>
        <v>-9.8889999999999993</v>
      </c>
      <c r="G25" s="13">
        <f>_xll.BDH("ALNY US Equity","ARD_INT_INCOME","FQ4 2019","FQ4 2019","Currency=USD","Period=FQ","BEST_FPERIOD_OVERRIDE=FQ","FILING_STATUS=MR","SCALING_FORMAT=MLN","Sort=A","Dates=H","DateFormat=P","Fill=—","Direction=H","UseDPDF=Y")</f>
        <v>-7.2530000000000001</v>
      </c>
      <c r="H25" s="13">
        <f>_xll.BDH("ALNY US Equity","ARD_INT_INCOME","FQ1 2020","FQ1 2020","Currency=USD","Period=FQ","BEST_FPERIOD_OVERRIDE=FQ","FILING_STATUS=MR","SCALING_FORMAT=MLN","Sort=A","Dates=H","DateFormat=P","Fill=—","Direction=H","UseDPDF=Y")</f>
        <v>-5.48</v>
      </c>
      <c r="I25" s="13">
        <f>_xll.BDH("ALNY US Equity","ARD_INT_INCOME","FQ2 2020","FQ2 2020","Currency=USD","Period=FQ","BEST_FPERIOD_OVERRIDE=FQ","FILING_STATUS=MR","SCALING_FORMAT=MLN","Sort=A","Dates=H","DateFormat=P","Fill=—","Direction=H","UseDPDF=Y")</f>
        <v>-3.165</v>
      </c>
      <c r="J25" s="13">
        <f>_xll.BDH("ALNY US Equity","ARD_INT_INCOME","FQ3 2020","FQ3 2020","Currency=USD","Period=FQ","BEST_FPERIOD_OVERRIDE=FQ","FILING_STATUS=MR","SCALING_FORMAT=MLN","Sort=A","Dates=H","DateFormat=P","Fill=—","Direction=H","UseDPDF=Y")</f>
        <v>-2.0720000000000001</v>
      </c>
      <c r="K25" s="13">
        <f>_xll.BDH("ALNY US Equity","ARD_INT_INCOME","FQ4 2020","FQ4 2020","Currency=USD","Period=FQ","BEST_FPERIOD_OVERRIDE=FQ","FILING_STATUS=MR","SCALING_FORMAT=MLN","Sort=A","Dates=H","DateFormat=P","Fill=—","Direction=H","UseDPDF=Y")</f>
        <v>-1.0920000000000001</v>
      </c>
      <c r="L25" s="13">
        <f>_xll.BDH("ALNY US Equity","ARD_INT_INCOME","FQ1 2021","FQ1 2021","Currency=USD","Period=FQ","BEST_FPERIOD_OVERRIDE=FQ","FILING_STATUS=MR","SCALING_FORMAT=MLN","Sort=A","Dates=H","DateFormat=P","Fill=—","Direction=H","UseDPDF=Y")</f>
        <v>-0.45</v>
      </c>
      <c r="M25" s="13">
        <f>_xll.BDH("ALNY US Equity","ARD_INT_INCOME","FQ2 2021","FQ2 2021","Currency=USD","Period=FQ","BEST_FPERIOD_OVERRIDE=FQ","FILING_STATUS=MR","SCALING_FORMAT=MLN","Sort=A","Dates=H","DateFormat=P","Fill=—","Direction=H","UseDPDF=Y")</f>
        <v>-0.40899999999999997</v>
      </c>
      <c r="N25" s="13">
        <f>_xll.BDH("ALNY US Equity","ARD_INT_INCOME","FQ3 2021","FQ3 2021","Currency=USD","Period=FQ","BEST_FPERIOD_OVERRIDE=FQ","FILING_STATUS=MR","SCALING_FORMAT=MLN","Sort=A","Dates=H","DateFormat=P","Fill=—","Direction=H","UseDPDF=Y")</f>
        <v>-0.22500000000000001</v>
      </c>
      <c r="O25" s="13">
        <f>_xll.BDH("ALNY US Equity","ARD_INT_INCOME","FQ4 2021","FQ4 2021","Currency=USD","Period=FQ","BEST_FPERIOD_OVERRIDE=FQ","FILING_STATUS=MR","SCALING_FORMAT=MLN","Sort=A","Dates=H","DateFormat=P","Fill=—","Direction=H","UseDPDF=Y")</f>
        <v>-0.495</v>
      </c>
      <c r="P25" s="13">
        <f>_xll.BDH("ALNY US Equity","ARD_INT_INCOME","FQ1 2022","FQ1 2022","Currency=USD","Period=FQ","BEST_FPERIOD_OVERRIDE=FQ","FILING_STATUS=MR","SCALING_FORMAT=MLN","Sort=A","Dates=H","DateFormat=P","Fill=—","Direction=H","UseDPDF=Y")</f>
        <v>-1.012</v>
      </c>
      <c r="Q25" s="13" t="str">
        <f>_xll.BDH("ALNY US Equity","ARD_INT_INCOME","FQ2 2022","FQ2 2022","Currency=USD","Period=FQ","BEST_FPERIOD_OVERRIDE=FQ","FILING_STATUS=MR","SCALING_FORMAT=MLN","Sort=A","Dates=H","DateFormat=P","Fill=—","Direction=H","UseDPDF=Y")</f>
        <v>—</v>
      </c>
      <c r="R25" s="13" t="str">
        <f>_xll.BDH("ALNY US Equity","ARD_INT_INCOME","FQ3 2022","FQ3 2022","Currency=USD","Period=FQ","BEST_FPERIOD_OVERRIDE=FQ","FILING_STATUS=MR","SCALING_FORMAT=MLN","Sort=A","Dates=H","DateFormat=P","Fill=—","Direction=H","UseDPDF=Y")</f>
        <v>—</v>
      </c>
      <c r="S25" s="13" t="str">
        <f>_xll.BDH("ALNY US Equity","ARD_INT_INCOME","FQ4 2022","FQ4 2022","Currency=USD","Period=FQ","BEST_FPERIOD_OVERRIDE=FQ","FILING_STATUS=MR","SCALING_FORMAT=MLN","Sort=A","Dates=H","DateFormat=P","Fill=—","Direction=H","UseDPDF=Y")</f>
        <v>—</v>
      </c>
      <c r="T25" s="13">
        <f>_xll.BDH("ALNY US Equity","ARD_INT_INCOME","FQ1 2023","FQ1 2023","Currency=USD","Period=FQ","BEST_FPERIOD_OVERRIDE=FQ","FILING_STATUS=MR","SCALING_FORMAT=MLN","Sort=A","Dates=H","DateFormat=P","Fill=—","Direction=H","UseDPDF=Y")</f>
        <v>-18.655000000000001</v>
      </c>
      <c r="U25" s="13">
        <f>_xll.BDH("ALNY US Equity","ARD_INT_INCOME","FQ2 2023","FQ2 2023","Currency=USD","Period=FQ","BEST_FPERIOD_OVERRIDE=FQ","FILING_STATUS=MR","SCALING_FORMAT=MLN","Sort=A","Dates=H","DateFormat=P","Fill=—","Direction=H","UseDPDF=Y")</f>
        <v>-21.074999999999999</v>
      </c>
      <c r="V25" s="13">
        <f>_xll.BDH("ALNY US Equity","ARD_INT_INCOME","FQ3 2023","FQ3 2023","Currency=USD","Period=FQ","BEST_FPERIOD_OVERRIDE=FQ","FILING_STATUS=MR","SCALING_FORMAT=MLN","Sort=A","Dates=H","DateFormat=P","Fill=—","Direction=H","UseDPDF=Y")</f>
        <v>-25.425000000000001</v>
      </c>
      <c r="W25" s="13">
        <f>_xll.BDH("ALNY US Equity","ARD_INT_INCOME","FQ4 2023","FQ4 2023","Currency=USD","Period=FQ","BEST_FPERIOD_OVERRIDE=FQ","FILING_STATUS=MR","SCALING_FORMAT=MLN","Sort=A","Dates=H","DateFormat=P","Fill=—","Direction=H","UseDPDF=Y")</f>
        <v>-30.405999999999999</v>
      </c>
      <c r="X25" s="13">
        <f>_xll.BDH("ALNY US Equity","ARD_INT_INCOME","FQ1 2024","FQ1 2024","Currency=USD","Period=FQ","BEST_FPERIOD_OVERRIDE=FQ","FILING_STATUS=MR","SCALING_FORMAT=MLN","Sort=A","Dates=H","DateFormat=P","Fill=—","Direction=H","UseDPDF=Y")</f>
        <v>-29.645</v>
      </c>
      <c r="Y25" s="13">
        <f>_xll.BDH("ALNY US Equity","ARD_INT_INCOME","FQ2 2024","FQ2 2024","Currency=USD","Period=FQ","BEST_FPERIOD_OVERRIDE=FQ","FILING_STATUS=MR","SCALING_FORMAT=MLN","Sort=A","Dates=H","DateFormat=P","Fill=—","Direction=H","UseDPDF=Y")</f>
        <v>-29.181999999999999</v>
      </c>
      <c r="Z25" s="13">
        <f>_xll.BDH("ALNY US Equity","ARD_INT_INCOME","FQ3 2024","FQ3 2024","Currency=USD","Period=FQ","BEST_FPERIOD_OVERRIDE=FQ","FILING_STATUS=MR","SCALING_FORMAT=MLN","Sort=A","Dates=H","DateFormat=P","Fill=—","Direction=H","UseDPDF=Y")</f>
        <v>-32.146000000000001</v>
      </c>
      <c r="AA25" s="13">
        <f>_xll.BDH("ALNY US Equity","ARD_INT_INCOME","FQ4 2024","FQ4 2024","Currency=USD","Period=FQ","BEST_FPERIOD_OVERRIDE=FQ","FILING_STATUS=MR","SCALING_FORMAT=MLN","Sort=A","Dates=H","DateFormat=P","Fill=—","Direction=H","UseDPDF=Y")</f>
        <v>-31.018999999999998</v>
      </c>
    </row>
    <row r="26" spans="1:27" x14ac:dyDescent="0.25">
      <c r="A26" s="10" t="s">
        <v>435</v>
      </c>
      <c r="B26" s="10" t="s">
        <v>436</v>
      </c>
      <c r="C26" s="13" t="str">
        <f>_xll.BDH("ALNY US Equity","ARD_OTHER_NON_OPERATING_INC","FQ4 2018","FQ4 2018","Currency=USD","Period=FQ","BEST_FPERIOD_OVERRIDE=FQ","FILING_STATUS=MR","SCALING_FORMAT=MLN","Sort=A","Dates=H","DateFormat=P","Fill=—","Direction=H","UseDPDF=Y")</f>
        <v>—</v>
      </c>
      <c r="D26" s="13">
        <f>_xll.BDH("ALNY US Equity","ARD_OTHER_NON_OPERATING_INC","FQ1 2019","FQ1 2019","Currency=USD","Period=FQ","BEST_FPERIOD_OVERRIDE=FQ","FILING_STATUS=MR","SCALING_FORMAT=MLN","Sort=A","Dates=H","DateFormat=P","Fill=—","Direction=H","UseDPDF=Y")</f>
        <v>-4.2999999999999997E-2</v>
      </c>
      <c r="E26" s="13" t="str">
        <f>_xll.BDH("ALNY US Equity","ARD_OTHER_NON_OPERATING_INC","FQ2 2019","FQ2 2019","Currency=USD","Period=FQ","BEST_FPERIOD_OVERRIDE=FQ","FILING_STATUS=MR","SCALING_FORMAT=MLN","Sort=A","Dates=H","DateFormat=P","Fill=—","Direction=H","UseDPDF=Y")</f>
        <v>—</v>
      </c>
      <c r="F26" s="13" t="str">
        <f>_xll.BDH("ALNY US Equity","ARD_OTHER_NON_OPERATING_INC","FQ3 2019","FQ3 2019","Currency=USD","Period=FQ","BEST_FPERIOD_OVERRIDE=FQ","FILING_STATUS=MR","SCALING_FORMAT=MLN","Sort=A","Dates=H","DateFormat=P","Fill=—","Direction=H","UseDPDF=Y")</f>
        <v>—</v>
      </c>
      <c r="G26" s="13">
        <f>_xll.BDH("ALNY US Equity","ARD_OTHER_NON_OPERATING_INC","FQ4 2019","FQ4 2019","Currency=USD","Period=FQ","BEST_FPERIOD_OVERRIDE=FQ","FILING_STATUS=MR","SCALING_FORMAT=MLN","Sort=A","Dates=H","DateFormat=P","Fill=—","Direction=H","UseDPDF=Y")</f>
        <v>-14.237</v>
      </c>
      <c r="H26" s="13">
        <f>_xll.BDH("ALNY US Equity","ARD_OTHER_NON_OPERATING_INC","FQ1 2020","FQ1 2020","Currency=USD","Period=FQ","BEST_FPERIOD_OVERRIDE=FQ","FILING_STATUS=MR","SCALING_FORMAT=MLN","Sort=A","Dates=H","DateFormat=P","Fill=—","Direction=H","UseDPDF=Y")</f>
        <v>-23.032</v>
      </c>
      <c r="I26" s="13">
        <f>_xll.BDH("ALNY US Equity","ARD_OTHER_NON_OPERATING_INC","FQ2 2020","FQ2 2020","Currency=USD","Period=FQ","BEST_FPERIOD_OVERRIDE=FQ","FILING_STATUS=MR","SCALING_FORMAT=MLN","Sort=A","Dates=H","DateFormat=P","Fill=—","Direction=H","UseDPDF=Y")</f>
        <v>-45.039000000000001</v>
      </c>
      <c r="J26" s="13" t="str">
        <f>_xll.BDH("ALNY US Equity","ARD_OTHER_NON_OPERATING_INC","FQ3 2020","FQ3 2020","Currency=USD","Period=FQ","BEST_FPERIOD_OVERRIDE=FQ","FILING_STATUS=MR","SCALING_FORMAT=MLN","Sort=A","Dates=H","DateFormat=P","Fill=—","Direction=H","UseDPDF=Y")</f>
        <v>—</v>
      </c>
      <c r="K26" s="13">
        <f>_xll.BDH("ALNY US Equity","ARD_OTHER_NON_OPERATING_INC","FQ4 2020","FQ4 2020","Currency=USD","Period=FQ","BEST_FPERIOD_OVERRIDE=FQ","FILING_STATUS=MR","SCALING_FORMAT=MLN","Sort=A","Dates=H","DateFormat=P","Fill=—","Direction=H","UseDPDF=Y")</f>
        <v>21.952000000000002</v>
      </c>
      <c r="L26" s="13">
        <f>_xll.BDH("ALNY US Equity","ARD_OTHER_NON_OPERATING_INC","FQ1 2021","FQ1 2021","Currency=USD","Period=FQ","BEST_FPERIOD_OVERRIDE=FQ","FILING_STATUS=MR","SCALING_FORMAT=MLN","Sort=A","Dates=H","DateFormat=P","Fill=—","Direction=H","UseDPDF=Y")</f>
        <v>-19.044</v>
      </c>
      <c r="M26" s="13">
        <f>_xll.BDH("ALNY US Equity","ARD_OTHER_NON_OPERATING_INC","FQ2 2021","FQ2 2021","Currency=USD","Period=FQ","BEST_FPERIOD_OVERRIDE=FQ","FILING_STATUS=MR","SCALING_FORMAT=MLN","Sort=A","Dates=H","DateFormat=P","Fill=—","Direction=H","UseDPDF=Y")</f>
        <v>9.1639999999999997</v>
      </c>
      <c r="N26" s="13" t="str">
        <f>_xll.BDH("ALNY US Equity","ARD_OTHER_NON_OPERATING_INC","FQ3 2021","FQ3 2021","Currency=USD","Period=FQ","BEST_FPERIOD_OVERRIDE=FQ","FILING_STATUS=MR","SCALING_FORMAT=MLN","Sort=A","Dates=H","DateFormat=P","Fill=—","Direction=H","UseDPDF=Y")</f>
        <v>—</v>
      </c>
      <c r="O26" s="13" t="str">
        <f>_xll.BDH("ALNY US Equity","ARD_OTHER_NON_OPERATING_INC","FQ4 2021","FQ4 2021","Currency=USD","Period=FQ","BEST_FPERIOD_OVERRIDE=FQ","FILING_STATUS=MR","SCALING_FORMAT=MLN","Sort=A","Dates=H","DateFormat=P","Fill=—","Direction=H","UseDPDF=Y")</f>
        <v>—</v>
      </c>
      <c r="P26" s="13" t="str">
        <f>_xll.BDH("ALNY US Equity","ARD_OTHER_NON_OPERATING_INC","FQ1 2022","FQ1 2022","Currency=USD","Period=FQ","BEST_FPERIOD_OVERRIDE=FQ","FILING_STATUS=MR","SCALING_FORMAT=MLN","Sort=A","Dates=H","DateFormat=P","Fill=—","Direction=H","UseDPDF=Y")</f>
        <v>—</v>
      </c>
      <c r="Q26" s="13" t="str">
        <f>_xll.BDH("ALNY US Equity","ARD_OTHER_NON_OPERATING_INC","FQ2 2022","FQ2 2022","Currency=USD","Period=FQ","BEST_FPERIOD_OVERRIDE=FQ","FILING_STATUS=MR","SCALING_FORMAT=MLN","Sort=A","Dates=H","DateFormat=P","Fill=—","Direction=H","UseDPDF=Y")</f>
        <v>—</v>
      </c>
      <c r="R26" s="13" t="str">
        <f>_xll.BDH("ALNY US Equity","ARD_OTHER_NON_OPERATING_INC","FQ3 2022","FQ3 2022","Currency=USD","Period=FQ","BEST_FPERIOD_OVERRIDE=FQ","FILING_STATUS=MR","SCALING_FORMAT=MLN","Sort=A","Dates=H","DateFormat=P","Fill=—","Direction=H","UseDPDF=Y")</f>
        <v>—</v>
      </c>
      <c r="S26" s="13" t="str">
        <f>_xll.BDH("ALNY US Equity","ARD_OTHER_NON_OPERATING_INC","FQ4 2022","FQ4 2022","Currency=USD","Period=FQ","BEST_FPERIOD_OVERRIDE=FQ","FILING_STATUS=MR","SCALING_FORMAT=MLN","Sort=A","Dates=H","DateFormat=P","Fill=—","Direction=H","UseDPDF=Y")</f>
        <v>—</v>
      </c>
      <c r="T26" s="13" t="str">
        <f>_xll.BDH("ALNY US Equity","ARD_OTHER_NON_OPERATING_INC","FQ1 2023","FQ1 2023","Currency=USD","Period=FQ","BEST_FPERIOD_OVERRIDE=FQ","FILING_STATUS=MR","SCALING_FORMAT=MLN","Sort=A","Dates=H","DateFormat=P","Fill=—","Direction=H","UseDPDF=Y")</f>
        <v>—</v>
      </c>
      <c r="U26" s="13" t="str">
        <f>_xll.BDH("ALNY US Equity","ARD_OTHER_NON_OPERATING_INC","FQ2 2023","FQ2 2023","Currency=USD","Period=FQ","BEST_FPERIOD_OVERRIDE=FQ","FILING_STATUS=MR","SCALING_FORMAT=MLN","Sort=A","Dates=H","DateFormat=P","Fill=—","Direction=H","UseDPDF=Y")</f>
        <v>—</v>
      </c>
      <c r="V26" s="13" t="str">
        <f>_xll.BDH("ALNY US Equity","ARD_OTHER_NON_OPERATING_INC","FQ3 2023","FQ3 2023","Currency=USD","Period=FQ","BEST_FPERIOD_OVERRIDE=FQ","FILING_STATUS=MR","SCALING_FORMAT=MLN","Sort=A","Dates=H","DateFormat=P","Fill=—","Direction=H","UseDPDF=Y")</f>
        <v>—</v>
      </c>
      <c r="W26" s="13" t="str">
        <f>_xll.BDH("ALNY US Equity","ARD_OTHER_NON_OPERATING_INC","FQ4 2023","FQ4 2023","Currency=USD","Period=FQ","BEST_FPERIOD_OVERRIDE=FQ","FILING_STATUS=MR","SCALING_FORMAT=MLN","Sort=A","Dates=H","DateFormat=P","Fill=—","Direction=H","UseDPDF=Y")</f>
        <v>—</v>
      </c>
      <c r="X26" s="13" t="str">
        <f>_xll.BDH("ALNY US Equity","ARD_OTHER_NON_OPERATING_INC","FQ1 2024","FQ1 2024","Currency=USD","Period=FQ","BEST_FPERIOD_OVERRIDE=FQ","FILING_STATUS=MR","SCALING_FORMAT=MLN","Sort=A","Dates=H","DateFormat=P","Fill=—","Direction=H","UseDPDF=Y")</f>
        <v>—</v>
      </c>
      <c r="Y26" s="13" t="str">
        <f>_xll.BDH("ALNY US Equity","ARD_OTHER_NON_OPERATING_INC","FQ2 2024","FQ2 2024","Currency=USD","Period=FQ","BEST_FPERIOD_OVERRIDE=FQ","FILING_STATUS=MR","SCALING_FORMAT=MLN","Sort=A","Dates=H","DateFormat=P","Fill=—","Direction=H","UseDPDF=Y")</f>
        <v>—</v>
      </c>
      <c r="Z26" s="13" t="str">
        <f>_xll.BDH("ALNY US Equity","ARD_OTHER_NON_OPERATING_INC","FQ3 2024","FQ3 2024","Currency=USD","Period=FQ","BEST_FPERIOD_OVERRIDE=FQ","FILING_STATUS=MR","SCALING_FORMAT=MLN","Sort=A","Dates=H","DateFormat=P","Fill=—","Direction=H","UseDPDF=Y")</f>
        <v>—</v>
      </c>
      <c r="AA26" s="13" t="str">
        <f>_xll.BDH("ALNY US Equity","ARD_OTHER_NON_OPERATING_INC","FQ4 2024","FQ4 2024","Currency=USD","Period=FQ","BEST_FPERIOD_OVERRIDE=FQ","FILING_STATUS=MR","SCALING_FORMAT=MLN","Sort=A","Dates=H","DateFormat=P","Fill=—","Direction=H","UseDPDF=Y")</f>
        <v>—</v>
      </c>
    </row>
    <row r="27" spans="1:27" x14ac:dyDescent="0.25">
      <c r="A27" s="10" t="s">
        <v>437</v>
      </c>
      <c r="B27" s="10" t="s">
        <v>438</v>
      </c>
      <c r="C27" s="13">
        <f>_xll.BDH("ALNY US Equity","ARD_OTHER_NON_OPERATING_EXP","FQ4 2018","FQ4 2018","Currency=USD","Period=FQ","BEST_FPERIOD_OVERRIDE=FQ","FILING_STATUS=MR","SCALING_FORMAT=MLN","Sort=A","Dates=H","DateFormat=P","Fill=—","Direction=H","UseDPDF=Y")</f>
        <v>1.2949999999999999</v>
      </c>
      <c r="D27" s="13" t="str">
        <f>_xll.BDH("ALNY US Equity","ARD_OTHER_NON_OPERATING_EXP","FQ1 2019","FQ1 2019","Currency=USD","Period=FQ","BEST_FPERIOD_OVERRIDE=FQ","FILING_STATUS=MR","SCALING_FORMAT=MLN","Sort=A","Dates=H","DateFormat=P","Fill=—","Direction=H","UseDPDF=Y")</f>
        <v>—</v>
      </c>
      <c r="E27" s="13">
        <f>_xll.BDH("ALNY US Equity","ARD_OTHER_NON_OPERATING_EXP","FQ2 2019","FQ2 2019","Currency=USD","Period=FQ","BEST_FPERIOD_OVERRIDE=FQ","FILING_STATUS=MR","SCALING_FORMAT=MLN","Sort=A","Dates=H","DateFormat=P","Fill=—","Direction=H","UseDPDF=Y")</f>
        <v>0.45300000000000001</v>
      </c>
      <c r="F27" s="13">
        <f>_xll.BDH("ALNY US Equity","ARD_OTHER_NON_OPERATING_EXP","FQ3 2019","FQ3 2019","Currency=USD","Period=FQ","BEST_FPERIOD_OVERRIDE=FQ","FILING_STATUS=MR","SCALING_FORMAT=MLN","Sort=A","Dates=H","DateFormat=P","Fill=—","Direction=H","UseDPDF=Y")</f>
        <v>2.5190000000000001</v>
      </c>
      <c r="G27" s="13" t="str">
        <f>_xll.BDH("ALNY US Equity","ARD_OTHER_NON_OPERATING_EXP","FQ4 2019","FQ4 2019","Currency=USD","Period=FQ","BEST_FPERIOD_OVERRIDE=FQ","FILING_STATUS=MR","SCALING_FORMAT=MLN","Sort=A","Dates=H","DateFormat=P","Fill=—","Direction=H","UseDPDF=Y")</f>
        <v>—</v>
      </c>
      <c r="H27" s="13" t="str">
        <f>_xll.BDH("ALNY US Equity","ARD_OTHER_NON_OPERATING_EXP","FQ1 2020","FQ1 2020","Currency=USD","Period=FQ","BEST_FPERIOD_OVERRIDE=FQ","FILING_STATUS=MR","SCALING_FORMAT=MLN","Sort=A","Dates=H","DateFormat=P","Fill=—","Direction=H","UseDPDF=Y")</f>
        <v>—</v>
      </c>
      <c r="I27" s="13" t="str">
        <f>_xll.BDH("ALNY US Equity","ARD_OTHER_NON_OPERATING_EXP","FQ2 2020","FQ2 2020","Currency=USD","Period=FQ","BEST_FPERIOD_OVERRIDE=FQ","FILING_STATUS=MR","SCALING_FORMAT=MLN","Sort=A","Dates=H","DateFormat=P","Fill=—","Direction=H","UseDPDF=Y")</f>
        <v>—</v>
      </c>
      <c r="J27" s="13">
        <f>_xll.BDH("ALNY US Equity","ARD_OTHER_NON_OPERATING_EXP","FQ3 2020","FQ3 2020","Currency=USD","Period=FQ","BEST_FPERIOD_OVERRIDE=FQ","FILING_STATUS=MR","SCALING_FORMAT=MLN","Sort=A","Dates=H","DateFormat=P","Fill=—","Direction=H","UseDPDF=Y")</f>
        <v>0.59399999999999997</v>
      </c>
      <c r="K27" s="13" t="str">
        <f>_xll.BDH("ALNY US Equity","ARD_OTHER_NON_OPERATING_EXP","FQ4 2020","FQ4 2020","Currency=USD","Period=FQ","BEST_FPERIOD_OVERRIDE=FQ","FILING_STATUS=MR","SCALING_FORMAT=MLN","Sort=A","Dates=H","DateFormat=P","Fill=—","Direction=H","UseDPDF=Y")</f>
        <v>—</v>
      </c>
      <c r="L27" s="13" t="str">
        <f>_xll.BDH("ALNY US Equity","ARD_OTHER_NON_OPERATING_EXP","FQ1 2021","FQ1 2021","Currency=USD","Period=FQ","BEST_FPERIOD_OVERRIDE=FQ","FILING_STATUS=MR","SCALING_FORMAT=MLN","Sort=A","Dates=H","DateFormat=P","Fill=—","Direction=H","UseDPDF=Y")</f>
        <v>—</v>
      </c>
      <c r="M27" s="13" t="str">
        <f>_xll.BDH("ALNY US Equity","ARD_OTHER_NON_OPERATING_EXP","FQ2 2021","FQ2 2021","Currency=USD","Period=FQ","BEST_FPERIOD_OVERRIDE=FQ","FILING_STATUS=MR","SCALING_FORMAT=MLN","Sort=A","Dates=H","DateFormat=P","Fill=—","Direction=H","UseDPDF=Y")</f>
        <v>—</v>
      </c>
      <c r="N27" s="13" t="str">
        <f>_xll.BDH("ALNY US Equity","ARD_OTHER_NON_OPERATING_EXP","FQ3 2021","FQ3 2021","Currency=USD","Period=FQ","BEST_FPERIOD_OVERRIDE=FQ","FILING_STATUS=MR","SCALING_FORMAT=MLN","Sort=A","Dates=H","DateFormat=P","Fill=—","Direction=H","UseDPDF=Y")</f>
        <v>—</v>
      </c>
      <c r="O27" s="13" t="str">
        <f>_xll.BDH("ALNY US Equity","ARD_OTHER_NON_OPERATING_EXP","FQ4 2021","FQ4 2021","Currency=USD","Period=FQ","BEST_FPERIOD_OVERRIDE=FQ","FILING_STATUS=MR","SCALING_FORMAT=MLN","Sort=A","Dates=H","DateFormat=P","Fill=—","Direction=H","UseDPDF=Y")</f>
        <v>—</v>
      </c>
      <c r="P27" s="13" t="str">
        <f>_xll.BDH("ALNY US Equity","ARD_OTHER_NON_OPERATING_EXP","FQ1 2022","FQ1 2022","Currency=USD","Period=FQ","BEST_FPERIOD_OVERRIDE=FQ","FILING_STATUS=MR","SCALING_FORMAT=MLN","Sort=A","Dates=H","DateFormat=P","Fill=—","Direction=H","UseDPDF=Y")</f>
        <v>—</v>
      </c>
      <c r="Q27" s="13" t="str">
        <f>_xll.BDH("ALNY US Equity","ARD_OTHER_NON_OPERATING_EXP","FQ2 2022","FQ2 2022","Currency=USD","Period=FQ","BEST_FPERIOD_OVERRIDE=FQ","FILING_STATUS=MR","SCALING_FORMAT=MLN","Sort=A","Dates=H","DateFormat=P","Fill=—","Direction=H","UseDPDF=Y")</f>
        <v>—</v>
      </c>
      <c r="R27" s="13">
        <f>_xll.BDH("ALNY US Equity","ARD_OTHER_NON_OPERATING_EXP","FQ3 2022","FQ3 2022","Currency=USD","Period=FQ","BEST_FPERIOD_OVERRIDE=FQ","FILING_STATUS=MR","SCALING_FORMAT=MLN","Sort=A","Dates=H","DateFormat=P","Fill=—","Direction=H","UseDPDF=Y")</f>
        <v>30.233000000000001</v>
      </c>
      <c r="S27" s="13" t="str">
        <f>_xll.BDH("ALNY US Equity","ARD_OTHER_NON_OPERATING_EXP","FQ4 2022","FQ4 2022","Currency=USD","Period=FQ","BEST_FPERIOD_OVERRIDE=FQ","FILING_STATUS=MR","SCALING_FORMAT=MLN","Sort=A","Dates=H","DateFormat=P","Fill=—","Direction=H","UseDPDF=Y")</f>
        <v>—</v>
      </c>
      <c r="T27" s="13" t="str">
        <f>_xll.BDH("ALNY US Equity","ARD_OTHER_NON_OPERATING_EXP","FQ1 2023","FQ1 2023","Currency=USD","Period=FQ","BEST_FPERIOD_OVERRIDE=FQ","FILING_STATUS=MR","SCALING_FORMAT=MLN","Sort=A","Dates=H","DateFormat=P","Fill=—","Direction=H","UseDPDF=Y")</f>
        <v>—</v>
      </c>
      <c r="U27" s="13" t="str">
        <f>_xll.BDH("ALNY US Equity","ARD_OTHER_NON_OPERATING_EXP","FQ2 2023","FQ2 2023","Currency=USD","Period=FQ","BEST_FPERIOD_OVERRIDE=FQ","FILING_STATUS=MR","SCALING_FORMAT=MLN","Sort=A","Dates=H","DateFormat=P","Fill=—","Direction=H","UseDPDF=Y")</f>
        <v>—</v>
      </c>
      <c r="V27" s="13">
        <f>_xll.BDH("ALNY US Equity","ARD_OTHER_NON_OPERATING_EXP","FQ3 2023","FQ3 2023","Currency=USD","Period=FQ","BEST_FPERIOD_OVERRIDE=FQ","FILING_STATUS=MR","SCALING_FORMAT=MLN","Sort=A","Dates=H","DateFormat=P","Fill=—","Direction=H","UseDPDF=Y")</f>
        <v>57.658000000000001</v>
      </c>
      <c r="W27" s="13">
        <f>_xll.BDH("ALNY US Equity","ARD_OTHER_NON_OPERATING_EXP","FQ4 2023","FQ4 2023","Currency=USD","Period=FQ","BEST_FPERIOD_OVERRIDE=FQ","FILING_STATUS=MR","SCALING_FORMAT=MLN","Sort=A","Dates=H","DateFormat=P","Fill=—","Direction=H","UseDPDF=Y")</f>
        <v>20.350999999999999</v>
      </c>
      <c r="X27" s="13" t="str">
        <f>_xll.BDH("ALNY US Equity","ARD_OTHER_NON_OPERATING_EXP","FQ1 2024","FQ1 2024","Currency=USD","Period=FQ","BEST_FPERIOD_OVERRIDE=FQ","FILING_STATUS=MR","SCALING_FORMAT=MLN","Sort=A","Dates=H","DateFormat=P","Fill=—","Direction=H","UseDPDF=Y")</f>
        <v>—</v>
      </c>
      <c r="Y27" s="13" t="str">
        <f>_xll.BDH("ALNY US Equity","ARD_OTHER_NON_OPERATING_EXP","FQ2 2024","FQ2 2024","Currency=USD","Period=FQ","BEST_FPERIOD_OVERRIDE=FQ","FILING_STATUS=MR","SCALING_FORMAT=MLN","Sort=A","Dates=H","DateFormat=P","Fill=—","Direction=H","UseDPDF=Y")</f>
        <v>—</v>
      </c>
      <c r="Z27" s="13" t="str">
        <f>_xll.BDH("ALNY US Equity","ARD_OTHER_NON_OPERATING_EXP","FQ3 2024","FQ3 2024","Currency=USD","Period=FQ","BEST_FPERIOD_OVERRIDE=FQ","FILING_STATUS=MR","SCALING_FORMAT=MLN","Sort=A","Dates=H","DateFormat=P","Fill=—","Direction=H","UseDPDF=Y")</f>
        <v>—</v>
      </c>
      <c r="AA27" s="13">
        <f>_xll.BDH("ALNY US Equity","ARD_OTHER_NON_OPERATING_EXP","FQ4 2024","FQ4 2024","Currency=USD","Period=FQ","BEST_FPERIOD_OVERRIDE=FQ","FILING_STATUS=MR","SCALING_FORMAT=MLN","Sort=A","Dates=H","DateFormat=P","Fill=—","Direction=H","UseDPDF=Y")</f>
        <v>80.846999999999994</v>
      </c>
    </row>
    <row r="28" spans="1:27" x14ac:dyDescent="0.25">
      <c r="A28" s="10" t="s">
        <v>439</v>
      </c>
      <c r="B28" s="10" t="s">
        <v>440</v>
      </c>
      <c r="C28" s="13">
        <f>_xll.BDH("ALNY US Equity","ARD_INCOME_TAX_EXP_BENEFIT","FQ4 2018","FQ4 2018","Currency=USD","Period=FQ","BEST_FPERIOD_OVERRIDE=FQ","FILING_STATUS=MR","SCALING_FORMAT=MLN","Sort=A","Dates=H","DateFormat=P","Fill=—","Direction=H","UseDPDF=Y")</f>
        <v>0.36099999999999999</v>
      </c>
      <c r="D28" s="13">
        <f>_xll.BDH("ALNY US Equity","ARD_INCOME_TAX_EXP_BENEFIT","FQ1 2019","FQ1 2019","Currency=USD","Period=FQ","BEST_FPERIOD_OVERRIDE=FQ","FILING_STATUS=MR","SCALING_FORMAT=MLN","Sort=A","Dates=H","DateFormat=P","Fill=—","Direction=H","UseDPDF=Y")</f>
        <v>0.69499999999999995</v>
      </c>
      <c r="E28" s="13">
        <f>_xll.BDH("ALNY US Equity","ARD_INCOME_TAX_EXP_BENEFIT","FQ2 2019","FQ2 2019","Currency=USD","Period=FQ","BEST_FPERIOD_OVERRIDE=FQ","FILING_STATUS=MR","SCALING_FORMAT=MLN","Sort=A","Dates=H","DateFormat=P","Fill=—","Direction=H","UseDPDF=Y")</f>
        <v>0.96</v>
      </c>
      <c r="F28" s="13">
        <f>_xll.BDH("ALNY US Equity","ARD_INCOME_TAX_EXP_BENEFIT","FQ3 2019","FQ3 2019","Currency=USD","Period=FQ","BEST_FPERIOD_OVERRIDE=FQ","FILING_STATUS=MR","SCALING_FORMAT=MLN","Sort=A","Dates=H","DateFormat=P","Fill=—","Direction=H","UseDPDF=Y")</f>
        <v>-0.39400000000000002</v>
      </c>
      <c r="G28" s="13">
        <f>_xll.BDH("ALNY US Equity","ARD_INCOME_TAX_EXP_BENEFIT","FQ4 2019","FQ4 2019","Currency=USD","Period=FQ","BEST_FPERIOD_OVERRIDE=FQ","FILING_STATUS=MR","SCALING_FORMAT=MLN","Sort=A","Dates=H","DateFormat=P","Fill=—","Direction=H","UseDPDF=Y")</f>
        <v>-0.39800000000000002</v>
      </c>
      <c r="H28" s="13">
        <f>_xll.BDH("ALNY US Equity","ARD_INCOME_TAX_EXP_BENEFIT","FQ1 2020","FQ1 2020","Currency=USD","Period=FQ","BEST_FPERIOD_OVERRIDE=FQ","FILING_STATUS=MR","SCALING_FORMAT=MLN","Sort=A","Dates=H","DateFormat=P","Fill=—","Direction=H","UseDPDF=Y")</f>
        <v>0.57499999999999996</v>
      </c>
      <c r="I28" s="13">
        <f>_xll.BDH("ALNY US Equity","ARD_INCOME_TAX_EXP_BENEFIT","FQ2 2020","FQ2 2020","Currency=USD","Period=FQ","BEST_FPERIOD_OVERRIDE=FQ","FILING_STATUS=MR","SCALING_FORMAT=MLN","Sort=A","Dates=H","DateFormat=P","Fill=—","Direction=H","UseDPDF=Y")</f>
        <v>1.3260000000000001</v>
      </c>
      <c r="J28" s="13">
        <f>_xll.BDH("ALNY US Equity","ARD_INCOME_TAX_EXP_BENEFIT","FQ3 2020","FQ3 2020","Currency=USD","Period=FQ","BEST_FPERIOD_OVERRIDE=FQ","FILING_STATUS=MR","SCALING_FORMAT=MLN","Sort=A","Dates=H","DateFormat=P","Fill=—","Direction=H","UseDPDF=Y")</f>
        <v>0.83899999999999997</v>
      </c>
      <c r="K28" s="13">
        <f>_xll.BDH("ALNY US Equity","ARD_INCOME_TAX_EXP_BENEFIT","FQ4 2020","FQ4 2020","Currency=USD","Period=FQ","BEST_FPERIOD_OVERRIDE=FQ","FILING_STATUS=MR","SCALING_FORMAT=MLN","Sort=A","Dates=H","DateFormat=P","Fill=—","Direction=H","UseDPDF=Y")</f>
        <v>-5.8999999999999997E-2</v>
      </c>
      <c r="L28" s="13">
        <f>_xll.BDH("ALNY US Equity","ARD_INCOME_TAX_EXP_BENEFIT","FQ1 2021","FQ1 2021","Currency=USD","Period=FQ","BEST_FPERIOD_OVERRIDE=FQ","FILING_STATUS=MR","SCALING_FORMAT=MLN","Sort=A","Dates=H","DateFormat=P","Fill=—","Direction=H","UseDPDF=Y")</f>
        <v>1.016</v>
      </c>
      <c r="M28" s="13">
        <f>_xll.BDH("ALNY US Equity","ARD_INCOME_TAX_EXP_BENEFIT","FQ2 2021","FQ2 2021","Currency=USD","Period=FQ","BEST_FPERIOD_OVERRIDE=FQ","FILING_STATUS=MR","SCALING_FORMAT=MLN","Sort=A","Dates=H","DateFormat=P","Fill=—","Direction=H","UseDPDF=Y")</f>
        <v>1.228</v>
      </c>
      <c r="N28" s="13">
        <f>_xll.BDH("ALNY US Equity","ARD_INCOME_TAX_EXP_BENEFIT","FQ3 2021","FQ3 2021","Currency=USD","Period=FQ","BEST_FPERIOD_OVERRIDE=FQ","FILING_STATUS=MR","SCALING_FORMAT=MLN","Sort=A","Dates=H","DateFormat=P","Fill=—","Direction=H","UseDPDF=Y")</f>
        <v>0.27800000000000002</v>
      </c>
      <c r="O28" s="13">
        <f>_xll.BDH("ALNY US Equity","ARD_INCOME_TAX_EXP_BENEFIT","FQ4 2021","FQ4 2021","Currency=USD","Period=FQ","BEST_FPERIOD_OVERRIDE=FQ","FILING_STATUS=MR","SCALING_FORMAT=MLN","Sort=A","Dates=H","DateFormat=P","Fill=—","Direction=H","UseDPDF=Y")</f>
        <v>-1.8420000000000001</v>
      </c>
      <c r="P28" s="13">
        <f>_xll.BDH("ALNY US Equity","ARD_INCOME_TAX_EXP_BENEFIT","FQ1 2022","FQ1 2022","Currency=USD","Period=FQ","BEST_FPERIOD_OVERRIDE=FQ","FILING_STATUS=MR","SCALING_FORMAT=MLN","Sort=A","Dates=H","DateFormat=P","Fill=—","Direction=H","UseDPDF=Y")</f>
        <v>0.98499999999999999</v>
      </c>
      <c r="Q28" s="13">
        <f>_xll.BDH("ALNY US Equity","ARD_INCOME_TAX_EXP_BENEFIT","FQ2 2022","FQ2 2022","Currency=USD","Period=FQ","BEST_FPERIOD_OVERRIDE=FQ","FILING_STATUS=MR","SCALING_FORMAT=MLN","Sort=A","Dates=H","DateFormat=P","Fill=—","Direction=H","UseDPDF=Y")</f>
        <v>2.7290000000000001</v>
      </c>
      <c r="R28" s="13">
        <f>_xll.BDH("ALNY US Equity","ARD_INCOME_TAX_EXP_BENEFIT","FQ3 2022","FQ3 2022","Currency=USD","Period=FQ","BEST_FPERIOD_OVERRIDE=FQ","FILING_STATUS=MR","SCALING_FORMAT=MLN","Sort=A","Dates=H","DateFormat=P","Fill=—","Direction=H","UseDPDF=Y")</f>
        <v>-2.3E-2</v>
      </c>
      <c r="S28" s="13">
        <f>_xll.BDH("ALNY US Equity","ARD_INCOME_TAX_EXP_BENEFIT","FQ4 2022","FQ4 2022","Currency=USD","Period=FQ","BEST_FPERIOD_OVERRIDE=FQ","FILING_STATUS=MR","SCALING_FORMAT=MLN","Sort=A","Dates=H","DateFormat=P","Fill=—","Direction=H","UseDPDF=Y")</f>
        <v>0.47199999999999998</v>
      </c>
      <c r="T28" s="13">
        <f>_xll.BDH("ALNY US Equity","ARD_INCOME_TAX_EXP_BENEFIT","FQ1 2023","FQ1 2023","Currency=USD","Period=FQ","BEST_FPERIOD_OVERRIDE=FQ","FILING_STATUS=MR","SCALING_FORMAT=MLN","Sort=A","Dates=H","DateFormat=P","Fill=—","Direction=H","UseDPDF=Y")</f>
        <v>1.7390000000000001</v>
      </c>
      <c r="U28" s="13">
        <f>_xll.BDH("ALNY US Equity","ARD_INCOME_TAX_EXP_BENEFIT","FQ2 2023","FQ2 2023","Currency=USD","Period=FQ","BEST_FPERIOD_OVERRIDE=FQ","FILING_STATUS=MR","SCALING_FORMAT=MLN","Sort=A","Dates=H","DateFormat=P","Fill=—","Direction=H","UseDPDF=Y")</f>
        <v>1.8149999999999999</v>
      </c>
      <c r="V28" s="13">
        <f>_xll.BDH("ALNY US Equity","ARD_INCOME_TAX_EXP_BENEFIT","FQ3 2023","FQ3 2023","Currency=USD","Period=FQ","BEST_FPERIOD_OVERRIDE=FQ","FILING_STATUS=MR","SCALING_FORMAT=MLN","Sort=A","Dates=H","DateFormat=P","Fill=—","Direction=H","UseDPDF=Y")</f>
        <v>2.988</v>
      </c>
      <c r="W28" s="13">
        <f>_xll.BDH("ALNY US Equity","ARD_INCOME_TAX_EXP_BENEFIT","FQ4 2023","FQ4 2023","Currency=USD","Period=FQ","BEST_FPERIOD_OVERRIDE=FQ","FILING_STATUS=MR","SCALING_FORMAT=MLN","Sort=A","Dates=H","DateFormat=P","Fill=—","Direction=H","UseDPDF=Y")</f>
        <v>0.183</v>
      </c>
      <c r="X28" s="13">
        <f>_xll.BDH("ALNY US Equity","ARD_INCOME_TAX_EXP_BENEFIT","FQ1 2024","FQ1 2024","Currency=USD","Period=FQ","BEST_FPERIOD_OVERRIDE=FQ","FILING_STATUS=MR","SCALING_FORMAT=MLN","Sort=A","Dates=H","DateFormat=P","Fill=—","Direction=H","UseDPDF=Y")</f>
        <v>2.3479999999999999</v>
      </c>
      <c r="Y28" s="13">
        <f>_xll.BDH("ALNY US Equity","ARD_INCOME_TAX_EXP_BENEFIT","FQ2 2024","FQ2 2024","Currency=USD","Period=FQ","BEST_FPERIOD_OVERRIDE=FQ","FILING_STATUS=MR","SCALING_FORMAT=MLN","Sort=A","Dates=H","DateFormat=P","Fill=—","Direction=H","UseDPDF=Y")</f>
        <v>5.7220000000000004</v>
      </c>
      <c r="Z28" s="13">
        <f>_xll.BDH("ALNY US Equity","ARD_INCOME_TAX_EXP_BENEFIT","FQ3 2024","FQ3 2024","Currency=USD","Period=FQ","BEST_FPERIOD_OVERRIDE=FQ","FILING_STATUS=MR","SCALING_FORMAT=MLN","Sort=A","Dates=H","DateFormat=P","Fill=—","Direction=H","UseDPDF=Y")</f>
        <v>2.907</v>
      </c>
      <c r="AA28" s="13">
        <f>_xll.BDH("ALNY US Equity","ARD_INCOME_TAX_EXP_BENEFIT","FQ4 2024","FQ4 2024","Currency=USD","Period=FQ","BEST_FPERIOD_OVERRIDE=FQ","FILING_STATUS=MR","SCALING_FORMAT=MLN","Sort=A","Dates=H","DateFormat=P","Fill=—","Direction=H","UseDPDF=Y")</f>
        <v>-110.19499999999999</v>
      </c>
    </row>
    <row r="29" spans="1:27" x14ac:dyDescent="0.25">
      <c r="A29" s="10" t="s">
        <v>441</v>
      </c>
      <c r="B29" s="10" t="s">
        <v>442</v>
      </c>
      <c r="C29" s="13">
        <f>_xll.BDH("ALNY US Equity","ARD_INCOME_BEFORE_INCOME_TAXES","FQ4 2018","FQ4 2018","Currency=USD","Period=FQ","BEST_FPERIOD_OVERRIDE=FQ","FILING_STATUS=MR","SCALING_FORMAT=MLN","Sort=A","Dates=H","DateFormat=P","Fill=—","Direction=H","UseDPDF=Y")</f>
        <v>-211.08</v>
      </c>
      <c r="D29" s="13">
        <f>_xll.BDH("ALNY US Equity","ARD_INCOME_BEFORE_INCOME_TAXES","FQ1 2019","FQ1 2019","Currency=USD","Period=FQ","BEST_FPERIOD_OVERRIDE=FQ","FILING_STATUS=MR","SCALING_FORMAT=MLN","Sort=A","Dates=H","DateFormat=P","Fill=—","Direction=H","UseDPDF=Y")</f>
        <v>-181.22</v>
      </c>
      <c r="E29" s="13">
        <f>_xll.BDH("ALNY US Equity","ARD_INCOME_BEFORE_INCOME_TAXES","FQ2 2019","FQ2 2019","Currency=USD","Period=FQ","BEST_FPERIOD_OVERRIDE=FQ","FILING_STATUS=MR","SCALING_FORMAT=MLN","Sort=A","Dates=H","DateFormat=P","Fill=—","Direction=H","UseDPDF=Y")</f>
        <v>-218.52099999999999</v>
      </c>
      <c r="F29" s="13">
        <f>_xll.BDH("ALNY US Equity","ARD_INCOME_BEFORE_INCOME_TAXES","FQ3 2019","FQ3 2019","Currency=USD","Period=FQ","BEST_FPERIOD_OVERRIDE=FQ","FILING_STATUS=MR","SCALING_FORMAT=MLN","Sort=A","Dates=H","DateFormat=P","Fill=—","Direction=H","UseDPDF=Y")</f>
        <v>-208.929</v>
      </c>
      <c r="G29" s="13">
        <f>_xll.BDH("ALNY US Equity","ARD_INCOME_BEFORE_INCOME_TAXES","FQ4 2019","FQ4 2019","Currency=USD","Period=FQ","BEST_FPERIOD_OVERRIDE=FQ","FILING_STATUS=MR","SCALING_FORMAT=MLN","Sort=A","Dates=H","DateFormat=P","Fill=—","Direction=H","UseDPDF=Y")</f>
        <v>-276.58300000000003</v>
      </c>
      <c r="H29" s="13">
        <f>_xll.BDH("ALNY US Equity","ARD_INCOME_BEFORE_INCOME_TAXES","FQ1 2020","FQ1 2020","Currency=USD","Period=FQ","BEST_FPERIOD_OVERRIDE=FQ","FILING_STATUS=MR","SCALING_FORMAT=MLN","Sort=A","Dates=H","DateFormat=P","Fill=—","Direction=H","UseDPDF=Y")</f>
        <v>-181.64599999999999</v>
      </c>
      <c r="I29" s="13">
        <f>_xll.BDH("ALNY US Equity","ARD_INCOME_BEFORE_INCOME_TAXES","FQ2 2020","FQ2 2020","Currency=USD","Period=FQ","BEST_FPERIOD_OVERRIDE=FQ","FILING_STATUS=MR","SCALING_FORMAT=MLN","Sort=A","Dates=H","DateFormat=P","Fill=—","Direction=H","UseDPDF=Y")</f>
        <v>-177.90299999999999</v>
      </c>
      <c r="J29" s="13">
        <f>_xll.BDH("ALNY US Equity","ARD_INCOME_BEFORE_INCOME_TAXES","FQ3 2020","FQ3 2020","Currency=USD","Period=FQ","BEST_FPERIOD_OVERRIDE=FQ","FILING_STATUS=MR","SCALING_FORMAT=MLN","Sort=A","Dates=H","DateFormat=P","Fill=—","Direction=H","UseDPDF=Y")</f>
        <v>-252.452</v>
      </c>
      <c r="K29" s="13">
        <f>_xll.BDH("ALNY US Equity","ARD_INCOME_BEFORE_INCOME_TAXES","FQ4 2020","FQ4 2020","Currency=USD","Period=FQ","BEST_FPERIOD_OVERRIDE=FQ","FILING_STATUS=MR","SCALING_FORMAT=MLN","Sort=A","Dates=H","DateFormat=P","Fill=—","Direction=H","UseDPDF=Y")</f>
        <v>-243.59899999999999</v>
      </c>
      <c r="L29" s="13">
        <f>_xll.BDH("ALNY US Equity","ARD_INCOME_BEFORE_INCOME_TAXES","FQ1 2021","FQ1 2021","Currency=USD","Period=FQ","BEST_FPERIOD_OVERRIDE=FQ","FILING_STATUS=MR","SCALING_FORMAT=MLN","Sort=A","Dates=H","DateFormat=P","Fill=—","Direction=H","UseDPDF=Y")</f>
        <v>-199.27500000000001</v>
      </c>
      <c r="M29" s="13">
        <f>_xll.BDH("ALNY US Equity","ARD_INCOME_BEFORE_INCOME_TAXES","FQ2 2021","FQ2 2021","Currency=USD","Period=FQ","BEST_FPERIOD_OVERRIDE=FQ","FILING_STATUS=MR","SCALING_FORMAT=MLN","Sort=A","Dates=H","DateFormat=P","Fill=—","Direction=H","UseDPDF=Y")</f>
        <v>-188.33099999999999</v>
      </c>
      <c r="N29" s="13">
        <f>_xll.BDH("ALNY US Equity","ARD_INCOME_BEFORE_INCOME_TAXES","FQ3 2021","FQ3 2021","Currency=USD","Period=FQ","BEST_FPERIOD_OVERRIDE=FQ","FILING_STATUS=MR","SCALING_FORMAT=MLN","Sort=A","Dates=H","DateFormat=P","Fill=—","Direction=H","UseDPDF=Y")</f>
        <v>-204.23599999999999</v>
      </c>
      <c r="O29" s="13">
        <f>_xll.BDH("ALNY US Equity","ARD_INCOME_BEFORE_INCOME_TAXES","FQ4 2021","FQ4 2021","Currency=USD","Period=FQ","BEST_FPERIOD_OVERRIDE=FQ","FILING_STATUS=MR","SCALING_FORMAT=MLN","Sort=A","Dates=H","DateFormat=P","Fill=—","Direction=H","UseDPDF=Y")</f>
        <v>-260.30200000000002</v>
      </c>
      <c r="P29" s="13">
        <f>_xll.BDH("ALNY US Equity","ARD_INCOME_BEFORE_INCOME_TAXES","FQ1 2022","FQ1 2022","Currency=USD","Period=FQ","BEST_FPERIOD_OVERRIDE=FQ","FILING_STATUS=MR","SCALING_FORMAT=MLN","Sort=A","Dates=H","DateFormat=P","Fill=—","Direction=H","UseDPDF=Y")</f>
        <v>-239.35599999999999</v>
      </c>
      <c r="Q29" s="13">
        <f>_xll.BDH("ALNY US Equity","ARD_INCOME_BEFORE_INCOME_TAXES","FQ2 2022","FQ2 2022","Currency=USD","Period=FQ","BEST_FPERIOD_OVERRIDE=FQ","FILING_STATUS=MR","SCALING_FORMAT=MLN","Sort=A","Dates=H","DateFormat=P","Fill=—","Direction=H","UseDPDF=Y")</f>
        <v>-274.673</v>
      </c>
      <c r="R29" s="13">
        <f>_xll.BDH("ALNY US Equity","ARD_INCOME_BEFORE_INCOME_TAXES","FQ3 2022","FQ3 2022","Currency=USD","Period=FQ","BEST_FPERIOD_OVERRIDE=FQ","FILING_STATUS=MR","SCALING_FORMAT=MLN","Sort=A","Dates=H","DateFormat=P","Fill=—","Direction=H","UseDPDF=Y")</f>
        <v>-405.94299999999998</v>
      </c>
      <c r="S29" s="13">
        <f>_xll.BDH("ALNY US Equity","ARD_INCOME_BEFORE_INCOME_TAXES","FQ4 2022","FQ4 2022","Currency=USD","Period=FQ","BEST_FPERIOD_OVERRIDE=FQ","FILING_STATUS=MR","SCALING_FORMAT=MLN","Sort=A","Dates=H","DateFormat=P","Fill=—","Direction=H","UseDPDF=Y")</f>
        <v>-207.02099999999999</v>
      </c>
      <c r="T29" s="13">
        <f>_xll.BDH("ALNY US Equity","ARD_INCOME_BEFORE_INCOME_TAXES","FQ1 2023","FQ1 2023","Currency=USD","Period=FQ","BEST_FPERIOD_OVERRIDE=FQ","FILING_STATUS=MR","SCALING_FORMAT=MLN","Sort=A","Dates=H","DateFormat=P","Fill=—","Direction=H","UseDPDF=Y")</f>
        <v>-172.36199999999999</v>
      </c>
      <c r="U29" s="13">
        <f>_xll.BDH("ALNY US Equity","ARD_INCOME_BEFORE_INCOME_TAXES","FQ2 2023","FQ2 2023","Currency=USD","Period=FQ","BEST_FPERIOD_OVERRIDE=FQ","FILING_STATUS=MR","SCALING_FORMAT=MLN","Sort=A","Dates=H","DateFormat=P","Fill=—","Direction=H","UseDPDF=Y")</f>
        <v>-274.209</v>
      </c>
      <c r="V29" s="13">
        <f>_xll.BDH("ALNY US Equity","ARD_INCOME_BEFORE_INCOME_TAXES","FQ3 2023","FQ3 2023","Currency=USD","Period=FQ","BEST_FPERIOD_OVERRIDE=FQ","FILING_STATUS=MR","SCALING_FORMAT=MLN","Sort=A","Dates=H","DateFormat=P","Fill=—","Direction=H","UseDPDF=Y")</f>
        <v>150.74100000000001</v>
      </c>
      <c r="W29" s="13">
        <f>_xll.BDH("ALNY US Equity","ARD_INCOME_BEFORE_INCOME_TAXES","FQ4 2023","FQ4 2023","Currency=USD","Period=FQ","BEST_FPERIOD_OVERRIDE=FQ","FILING_STATUS=MR","SCALING_FORMAT=MLN","Sort=A","Dates=H","DateFormat=P","Fill=—","Direction=H","UseDPDF=Y")</f>
        <v>-137.68700000000001</v>
      </c>
      <c r="X29" s="13">
        <f>_xll.BDH("ALNY US Equity","ARD_INCOME_BEFORE_INCOME_TAXES","FQ1 2024","FQ1 2024","Currency=USD","Period=FQ","BEST_FPERIOD_OVERRIDE=FQ","FILING_STATUS=MR","SCALING_FORMAT=MLN","Sort=A","Dates=H","DateFormat=P","Fill=—","Direction=H","UseDPDF=Y")</f>
        <v>-63.587000000000003</v>
      </c>
      <c r="Y29" s="13">
        <f>_xll.BDH("ALNY US Equity","ARD_INCOME_BEFORE_INCOME_TAXES","FQ2 2024","FQ2 2024","Currency=USD","Period=FQ","BEST_FPERIOD_OVERRIDE=FQ","FILING_STATUS=MR","SCALING_FORMAT=MLN","Sort=A","Dates=H","DateFormat=P","Fill=—","Direction=H","UseDPDF=Y")</f>
        <v>-11.167</v>
      </c>
      <c r="Z29" s="13">
        <f>_xll.BDH("ALNY US Equity","ARD_INCOME_BEFORE_INCOME_TAXES","FQ3 2024","FQ3 2024","Currency=USD","Period=FQ","BEST_FPERIOD_OVERRIDE=FQ","FILING_STATUS=MR","SCALING_FORMAT=MLN","Sort=A","Dates=H","DateFormat=P","Fill=—","Direction=H","UseDPDF=Y")</f>
        <v>-108.663</v>
      </c>
      <c r="AA29" s="13">
        <f>_xll.BDH("ALNY US Equity","ARD_INCOME_BEFORE_INCOME_TAXES","FQ4 2024","FQ4 2024","Currency=USD","Period=FQ","BEST_FPERIOD_OVERRIDE=FQ","FILING_STATUS=MR","SCALING_FORMAT=MLN","Sort=A","Dates=H","DateFormat=P","Fill=—","Direction=H","UseDPDF=Y")</f>
        <v>-193.958</v>
      </c>
    </row>
    <row r="30" spans="1:27" x14ac:dyDescent="0.25">
      <c r="A30" s="10" t="s">
        <v>443</v>
      </c>
      <c r="B30" s="10" t="s">
        <v>444</v>
      </c>
      <c r="C30" s="13" t="str">
        <f>_xll.BDH("ALNY US Equity","ARD_INCOME_BEFORE_XO_ITEMS","FQ4 2018","FQ4 2018","Currency=USD","Period=FQ","BEST_FPERIOD_OVERRIDE=FQ","FILING_STATUS=MR","SCALING_FORMAT=MLN","Sort=A","Dates=H","DateFormat=P","Fill=—","Direction=H","UseDPDF=Y")</f>
        <v>—</v>
      </c>
      <c r="D30" s="13" t="str">
        <f>_xll.BDH("ALNY US Equity","ARD_INCOME_BEFORE_XO_ITEMS","FQ1 2019","FQ1 2019","Currency=USD","Period=FQ","BEST_FPERIOD_OVERRIDE=FQ","FILING_STATUS=MR","SCALING_FORMAT=MLN","Sort=A","Dates=H","DateFormat=P","Fill=—","Direction=H","UseDPDF=Y")</f>
        <v>—</v>
      </c>
      <c r="E30" s="13" t="str">
        <f>_xll.BDH("ALNY US Equity","ARD_INCOME_BEFORE_XO_ITEMS","FQ2 2019","FQ2 2019","Currency=USD","Period=FQ","BEST_FPERIOD_OVERRIDE=FQ","FILING_STATUS=MR","SCALING_FORMAT=MLN","Sort=A","Dates=H","DateFormat=P","Fill=—","Direction=H","UseDPDF=Y")</f>
        <v>—</v>
      </c>
      <c r="F30" s="13" t="str">
        <f>_xll.BDH("ALNY US Equity","ARD_INCOME_BEFORE_XO_ITEMS","FQ3 2019","FQ3 2019","Currency=USD","Period=FQ","BEST_FPERIOD_OVERRIDE=FQ","FILING_STATUS=MR","SCALING_FORMAT=MLN","Sort=A","Dates=H","DateFormat=P","Fill=—","Direction=H","UseDPDF=Y")</f>
        <v>—</v>
      </c>
      <c r="G30" s="13" t="str">
        <f>_xll.BDH("ALNY US Equity","ARD_INCOME_BEFORE_XO_ITEMS","FQ4 2019","FQ4 2019","Currency=USD","Period=FQ","BEST_FPERIOD_OVERRIDE=FQ","FILING_STATUS=MR","SCALING_FORMAT=MLN","Sort=A","Dates=H","DateFormat=P","Fill=—","Direction=H","UseDPDF=Y")</f>
        <v>—</v>
      </c>
      <c r="H30" s="13" t="str">
        <f>_xll.BDH("ALNY US Equity","ARD_INCOME_BEFORE_XO_ITEMS","FQ1 2020","FQ1 2020","Currency=USD","Period=FQ","BEST_FPERIOD_OVERRIDE=FQ","FILING_STATUS=MR","SCALING_FORMAT=MLN","Sort=A","Dates=H","DateFormat=P","Fill=—","Direction=H","UseDPDF=Y")</f>
        <v>—</v>
      </c>
      <c r="I30" s="13" t="str">
        <f>_xll.BDH("ALNY US Equity","ARD_INCOME_BEFORE_XO_ITEMS","FQ2 2020","FQ2 2020","Currency=USD","Period=FQ","BEST_FPERIOD_OVERRIDE=FQ","FILING_STATUS=MR","SCALING_FORMAT=MLN","Sort=A","Dates=H","DateFormat=P","Fill=—","Direction=H","UseDPDF=Y")</f>
        <v>—</v>
      </c>
      <c r="J30" s="13" t="str">
        <f>_xll.BDH("ALNY US Equity","ARD_INCOME_BEFORE_XO_ITEMS","FQ3 2020","FQ3 2020","Currency=USD","Period=FQ","BEST_FPERIOD_OVERRIDE=FQ","FILING_STATUS=MR","SCALING_FORMAT=MLN","Sort=A","Dates=H","DateFormat=P","Fill=—","Direction=H","UseDPDF=Y")</f>
        <v>—</v>
      </c>
      <c r="K30" s="13" t="str">
        <f>_xll.BDH("ALNY US Equity","ARD_INCOME_BEFORE_XO_ITEMS","FQ4 2020","FQ4 2020","Currency=USD","Period=FQ","BEST_FPERIOD_OVERRIDE=FQ","FILING_STATUS=MR","SCALING_FORMAT=MLN","Sort=A","Dates=H","DateFormat=P","Fill=—","Direction=H","UseDPDF=Y")</f>
        <v>—</v>
      </c>
      <c r="L30" s="13" t="str">
        <f>_xll.BDH("ALNY US Equity","ARD_INCOME_BEFORE_XO_ITEMS","FQ1 2021","FQ1 2021","Currency=USD","Period=FQ","BEST_FPERIOD_OVERRIDE=FQ","FILING_STATUS=MR","SCALING_FORMAT=MLN","Sort=A","Dates=H","DateFormat=P","Fill=—","Direction=H","UseDPDF=Y")</f>
        <v>—</v>
      </c>
      <c r="M30" s="13" t="str">
        <f>_xll.BDH("ALNY US Equity","ARD_INCOME_BEFORE_XO_ITEMS","FQ2 2021","FQ2 2021","Currency=USD","Period=FQ","BEST_FPERIOD_OVERRIDE=FQ","FILING_STATUS=MR","SCALING_FORMAT=MLN","Sort=A","Dates=H","DateFormat=P","Fill=—","Direction=H","UseDPDF=Y")</f>
        <v>—</v>
      </c>
      <c r="N30" s="13" t="str">
        <f>_xll.BDH("ALNY US Equity","ARD_INCOME_BEFORE_XO_ITEMS","FQ3 2021","FQ3 2021","Currency=USD","Period=FQ","BEST_FPERIOD_OVERRIDE=FQ","FILING_STATUS=MR","SCALING_FORMAT=MLN","Sort=A","Dates=H","DateFormat=P","Fill=—","Direction=H","UseDPDF=Y")</f>
        <v>—</v>
      </c>
      <c r="O30" s="13" t="str">
        <f>_xll.BDH("ALNY US Equity","ARD_INCOME_BEFORE_XO_ITEMS","FQ4 2021","FQ4 2021","Currency=USD","Period=FQ","BEST_FPERIOD_OVERRIDE=FQ","FILING_STATUS=MR","SCALING_FORMAT=MLN","Sort=A","Dates=H","DateFormat=P","Fill=—","Direction=H","UseDPDF=Y")</f>
        <v>—</v>
      </c>
      <c r="P30" s="13" t="str">
        <f>_xll.BDH("ALNY US Equity","ARD_INCOME_BEFORE_XO_ITEMS","FQ1 2022","FQ1 2022","Currency=USD","Period=FQ","BEST_FPERIOD_OVERRIDE=FQ","FILING_STATUS=MR","SCALING_FORMAT=MLN","Sort=A","Dates=H","DateFormat=P","Fill=—","Direction=H","UseDPDF=Y")</f>
        <v>—</v>
      </c>
      <c r="Q30" s="13" t="str">
        <f>_xll.BDH("ALNY US Equity","ARD_INCOME_BEFORE_XO_ITEMS","FQ2 2022","FQ2 2022","Currency=USD","Period=FQ","BEST_FPERIOD_OVERRIDE=FQ","FILING_STATUS=MR","SCALING_FORMAT=MLN","Sort=A","Dates=H","DateFormat=P","Fill=—","Direction=H","UseDPDF=Y")</f>
        <v>—</v>
      </c>
      <c r="R30" s="13" t="str">
        <f>_xll.BDH("ALNY US Equity","ARD_INCOME_BEFORE_XO_ITEMS","FQ3 2022","FQ3 2022","Currency=USD","Period=FQ","BEST_FPERIOD_OVERRIDE=FQ","FILING_STATUS=MR","SCALING_FORMAT=MLN","Sort=A","Dates=H","DateFormat=P","Fill=—","Direction=H","UseDPDF=Y")</f>
        <v>—</v>
      </c>
      <c r="S30" s="13">
        <f>_xll.BDH("ALNY US Equity","ARD_INCOME_BEFORE_XO_ITEMS","FQ4 2022","FQ4 2022","Currency=USD","Period=FQ","BEST_FPERIOD_OVERRIDE=FQ","FILING_STATUS=MR","SCALING_FORMAT=MLN","Sort=A","Dates=H","DateFormat=P","Fill=—","Direction=H","UseDPDF=Y")</f>
        <v>-207.49299999999999</v>
      </c>
      <c r="T30" s="13" t="str">
        <f>_xll.BDH("ALNY US Equity","ARD_INCOME_BEFORE_XO_ITEMS","FQ1 2023","FQ1 2023","Currency=USD","Period=FQ","BEST_FPERIOD_OVERRIDE=FQ","FILING_STATUS=MR","SCALING_FORMAT=MLN","Sort=A","Dates=H","DateFormat=P","Fill=—","Direction=H","UseDPDF=Y")</f>
        <v>—</v>
      </c>
      <c r="U30" s="13" t="str">
        <f>_xll.BDH("ALNY US Equity","ARD_INCOME_BEFORE_XO_ITEMS","FQ2 2023","FQ2 2023","Currency=USD","Period=FQ","BEST_FPERIOD_OVERRIDE=FQ","FILING_STATUS=MR","SCALING_FORMAT=MLN","Sort=A","Dates=H","DateFormat=P","Fill=—","Direction=H","UseDPDF=Y")</f>
        <v>—</v>
      </c>
      <c r="V30" s="13" t="str">
        <f>_xll.BDH("ALNY US Equity","ARD_INCOME_BEFORE_XO_ITEMS","FQ3 2023","FQ3 2023","Currency=USD","Period=FQ","BEST_FPERIOD_OVERRIDE=FQ","FILING_STATUS=MR","SCALING_FORMAT=MLN","Sort=A","Dates=H","DateFormat=P","Fill=—","Direction=H","UseDPDF=Y")</f>
        <v>—</v>
      </c>
      <c r="W30" s="13">
        <f>_xll.BDH("ALNY US Equity","ARD_INCOME_BEFORE_XO_ITEMS","FQ4 2023","FQ4 2023","Currency=USD","Period=FQ","BEST_FPERIOD_OVERRIDE=FQ","FILING_STATUS=MR","SCALING_FORMAT=MLN","Sort=A","Dates=H","DateFormat=P","Fill=—","Direction=H","UseDPDF=Y")</f>
        <v>-137.87</v>
      </c>
      <c r="X30" s="13" t="str">
        <f>_xll.BDH("ALNY US Equity","ARD_INCOME_BEFORE_XO_ITEMS","FQ1 2024","FQ1 2024","Currency=USD","Period=FQ","BEST_FPERIOD_OVERRIDE=FQ","FILING_STATUS=MR","SCALING_FORMAT=MLN","Sort=A","Dates=H","DateFormat=P","Fill=—","Direction=H","UseDPDF=Y")</f>
        <v>—</v>
      </c>
      <c r="Y30" s="13" t="str">
        <f>_xll.BDH("ALNY US Equity","ARD_INCOME_BEFORE_XO_ITEMS","FQ2 2024","FQ2 2024","Currency=USD","Period=FQ","BEST_FPERIOD_OVERRIDE=FQ","FILING_STATUS=MR","SCALING_FORMAT=MLN","Sort=A","Dates=H","DateFormat=P","Fill=—","Direction=H","UseDPDF=Y")</f>
        <v>—</v>
      </c>
      <c r="Z30" s="13" t="str">
        <f>_xll.BDH("ALNY US Equity","ARD_INCOME_BEFORE_XO_ITEMS","FQ3 2024","FQ3 2024","Currency=USD","Period=FQ","BEST_FPERIOD_OVERRIDE=FQ","FILING_STATUS=MR","SCALING_FORMAT=MLN","Sort=A","Dates=H","DateFormat=P","Fill=—","Direction=H","UseDPDF=Y")</f>
        <v>—</v>
      </c>
      <c r="AA30" s="13">
        <f>_xll.BDH("ALNY US Equity","ARD_INCOME_BEFORE_XO_ITEMS","FQ4 2024","FQ4 2024","Currency=USD","Period=FQ","BEST_FPERIOD_OVERRIDE=FQ","FILING_STATUS=MR","SCALING_FORMAT=MLN","Sort=A","Dates=H","DateFormat=P","Fill=—","Direction=H","UseDPDF=Y")</f>
        <v>-83.763000000000005</v>
      </c>
    </row>
    <row r="31" spans="1:27" x14ac:dyDescent="0.25">
      <c r="A31" s="10" t="s">
        <v>445</v>
      </c>
      <c r="B31" s="10" t="s">
        <v>446</v>
      </c>
      <c r="C31" s="13" t="str">
        <f>_xll.BDH("ALNY US Equity","ARD_GL_ON_EARLY_EXT_DEBT_NON_OP","FQ4 2018","FQ4 2018","Currency=USD","Period=FQ","BEST_FPERIOD_OVERRIDE=FQ","FILING_STATUS=MR","SCALING_FORMAT=MLN","Sort=A","Dates=H","DateFormat=P","Fill=—","Direction=H","UseDPDF=Y")</f>
        <v>—</v>
      </c>
      <c r="D31" s="13" t="str">
        <f>_xll.BDH("ALNY US Equity","ARD_GL_ON_EARLY_EXT_DEBT_NON_OP","FQ1 2019","FQ1 2019","Currency=USD","Period=FQ","BEST_FPERIOD_OVERRIDE=FQ","FILING_STATUS=MR","SCALING_FORMAT=MLN","Sort=A","Dates=H","DateFormat=P","Fill=—","Direction=H","UseDPDF=Y")</f>
        <v>—</v>
      </c>
      <c r="E31" s="13" t="str">
        <f>_xll.BDH("ALNY US Equity","ARD_GL_ON_EARLY_EXT_DEBT_NON_OP","FQ2 2019","FQ2 2019","Currency=USD","Period=FQ","BEST_FPERIOD_OVERRIDE=FQ","FILING_STATUS=MR","SCALING_FORMAT=MLN","Sort=A","Dates=H","DateFormat=P","Fill=—","Direction=H","UseDPDF=Y")</f>
        <v>—</v>
      </c>
      <c r="F31" s="13" t="str">
        <f>_xll.BDH("ALNY US Equity","ARD_GL_ON_EARLY_EXT_DEBT_NON_OP","FQ3 2019","FQ3 2019","Currency=USD","Period=FQ","BEST_FPERIOD_OVERRIDE=FQ","FILING_STATUS=MR","SCALING_FORMAT=MLN","Sort=A","Dates=H","DateFormat=P","Fill=—","Direction=H","UseDPDF=Y")</f>
        <v>—</v>
      </c>
      <c r="G31" s="13" t="str">
        <f>_xll.BDH("ALNY US Equity","ARD_GL_ON_EARLY_EXT_DEBT_NON_OP","FQ4 2019","FQ4 2019","Currency=USD","Period=FQ","BEST_FPERIOD_OVERRIDE=FQ","FILING_STATUS=MR","SCALING_FORMAT=MLN","Sort=A","Dates=H","DateFormat=P","Fill=—","Direction=H","UseDPDF=Y")</f>
        <v>—</v>
      </c>
      <c r="H31" s="13" t="str">
        <f>_xll.BDH("ALNY US Equity","ARD_GL_ON_EARLY_EXT_DEBT_NON_OP","FQ1 2020","FQ1 2020","Currency=USD","Period=FQ","BEST_FPERIOD_OVERRIDE=FQ","FILING_STATUS=MR","SCALING_FORMAT=MLN","Sort=A","Dates=H","DateFormat=P","Fill=—","Direction=H","UseDPDF=Y")</f>
        <v>—</v>
      </c>
      <c r="I31" s="13" t="str">
        <f>_xll.BDH("ALNY US Equity","ARD_GL_ON_EARLY_EXT_DEBT_NON_OP","FQ2 2020","FQ2 2020","Currency=USD","Period=FQ","BEST_FPERIOD_OVERRIDE=FQ","FILING_STATUS=MR","SCALING_FORMAT=MLN","Sort=A","Dates=H","DateFormat=P","Fill=—","Direction=H","UseDPDF=Y")</f>
        <v>—</v>
      </c>
      <c r="J31" s="13" t="str">
        <f>_xll.BDH("ALNY US Equity","ARD_GL_ON_EARLY_EXT_DEBT_NON_OP","FQ3 2020","FQ3 2020","Currency=USD","Period=FQ","BEST_FPERIOD_OVERRIDE=FQ","FILING_STATUS=MR","SCALING_FORMAT=MLN","Sort=A","Dates=H","DateFormat=P","Fill=—","Direction=H","UseDPDF=Y")</f>
        <v>—</v>
      </c>
      <c r="K31" s="13" t="str">
        <f>_xll.BDH("ALNY US Equity","ARD_GL_ON_EARLY_EXT_DEBT_NON_OP","FQ4 2020","FQ4 2020","Currency=USD","Period=FQ","BEST_FPERIOD_OVERRIDE=FQ","FILING_STATUS=MR","SCALING_FORMAT=MLN","Sort=A","Dates=H","DateFormat=P","Fill=—","Direction=H","UseDPDF=Y")</f>
        <v>—</v>
      </c>
      <c r="L31" s="13" t="str">
        <f>_xll.BDH("ALNY US Equity","ARD_GL_ON_EARLY_EXT_DEBT_NON_OP","FQ1 2021","FQ1 2021","Currency=USD","Period=FQ","BEST_FPERIOD_OVERRIDE=FQ","FILING_STATUS=MR","SCALING_FORMAT=MLN","Sort=A","Dates=H","DateFormat=P","Fill=—","Direction=H","UseDPDF=Y")</f>
        <v>—</v>
      </c>
      <c r="M31" s="13" t="str">
        <f>_xll.BDH("ALNY US Equity","ARD_GL_ON_EARLY_EXT_DEBT_NON_OP","FQ2 2021","FQ2 2021","Currency=USD","Period=FQ","BEST_FPERIOD_OVERRIDE=FQ","FILING_STATUS=MR","SCALING_FORMAT=MLN","Sort=A","Dates=H","DateFormat=P","Fill=—","Direction=H","UseDPDF=Y")</f>
        <v>—</v>
      </c>
      <c r="N31" s="13" t="str">
        <f>_xll.BDH("ALNY US Equity","ARD_GL_ON_EARLY_EXT_DEBT_NON_OP","FQ3 2021","FQ3 2021","Currency=USD","Period=FQ","BEST_FPERIOD_OVERRIDE=FQ","FILING_STATUS=MR","SCALING_FORMAT=MLN","Sort=A","Dates=H","DateFormat=P","Fill=—","Direction=H","UseDPDF=Y")</f>
        <v>—</v>
      </c>
      <c r="O31" s="13" t="str">
        <f>_xll.BDH("ALNY US Equity","ARD_GL_ON_EARLY_EXT_DEBT_NON_OP","FQ4 2021","FQ4 2021","Currency=USD","Period=FQ","BEST_FPERIOD_OVERRIDE=FQ","FILING_STATUS=MR","SCALING_FORMAT=MLN","Sort=A","Dates=H","DateFormat=P","Fill=—","Direction=H","UseDPDF=Y")</f>
        <v>—</v>
      </c>
      <c r="P31" s="13" t="str">
        <f>_xll.BDH("ALNY US Equity","ARD_GL_ON_EARLY_EXT_DEBT_NON_OP","FQ1 2022","FQ1 2022","Currency=USD","Period=FQ","BEST_FPERIOD_OVERRIDE=FQ","FILING_STATUS=MR","SCALING_FORMAT=MLN","Sort=A","Dates=H","DateFormat=P","Fill=—","Direction=H","UseDPDF=Y")</f>
        <v>—</v>
      </c>
      <c r="Q31" s="13" t="str">
        <f>_xll.BDH("ALNY US Equity","ARD_GL_ON_EARLY_EXT_DEBT_NON_OP","FQ2 2022","FQ2 2022","Currency=USD","Period=FQ","BEST_FPERIOD_OVERRIDE=FQ","FILING_STATUS=MR","SCALING_FORMAT=MLN","Sort=A","Dates=H","DateFormat=P","Fill=—","Direction=H","UseDPDF=Y")</f>
        <v>—</v>
      </c>
      <c r="R31" s="13">
        <f>_xll.BDH("ALNY US Equity","ARD_GL_ON_EARLY_EXT_DEBT_NON_OP","FQ3 2022","FQ3 2022","Currency=USD","Period=FQ","BEST_FPERIOD_OVERRIDE=FQ","FILING_STATUS=MR","SCALING_FORMAT=MLN","Sort=A","Dates=H","DateFormat=P","Fill=—","Direction=H","UseDPDF=Y")</f>
        <v>76.585999999999999</v>
      </c>
      <c r="S31" s="13">
        <f>_xll.BDH("ALNY US Equity","ARD_GL_ON_EARLY_EXT_DEBT_NON_OP","FQ4 2022","FQ4 2022","Currency=USD","Period=FQ","BEST_FPERIOD_OVERRIDE=FQ","FILING_STATUS=MR","SCALING_FORMAT=MLN","Sort=A","Dates=H","DateFormat=P","Fill=—","Direction=H","UseDPDF=Y")</f>
        <v>0</v>
      </c>
      <c r="T31" s="13" t="str">
        <f>_xll.BDH("ALNY US Equity","ARD_GL_ON_EARLY_EXT_DEBT_NON_OP","FQ1 2023","FQ1 2023","Currency=USD","Period=FQ","BEST_FPERIOD_OVERRIDE=FQ","FILING_STATUS=MR","SCALING_FORMAT=MLN","Sort=A","Dates=H","DateFormat=P","Fill=—","Direction=H","UseDPDF=Y")</f>
        <v>—</v>
      </c>
      <c r="U31" s="13" t="str">
        <f>_xll.BDH("ALNY US Equity","ARD_GL_ON_EARLY_EXT_DEBT_NON_OP","FQ2 2023","FQ2 2023","Currency=USD","Period=FQ","BEST_FPERIOD_OVERRIDE=FQ","FILING_STATUS=MR","SCALING_FORMAT=MLN","Sort=A","Dates=H","DateFormat=P","Fill=—","Direction=H","UseDPDF=Y")</f>
        <v>—</v>
      </c>
      <c r="V31" s="13">
        <f>_xll.BDH("ALNY US Equity","ARD_GL_ON_EARLY_EXT_DEBT_NON_OP","FQ3 2023","FQ3 2023","Currency=USD","Period=FQ","BEST_FPERIOD_OVERRIDE=FQ","FILING_STATUS=MR","SCALING_FORMAT=MLN","Sort=A","Dates=H","DateFormat=P","Fill=—","Direction=H","UseDPDF=Y")</f>
        <v>0</v>
      </c>
      <c r="W31" s="13">
        <f>_xll.BDH("ALNY US Equity","ARD_GL_ON_EARLY_EXT_DEBT_NON_OP","FQ4 2023","FQ4 2023","Currency=USD","Period=FQ","BEST_FPERIOD_OVERRIDE=FQ","FILING_STATUS=MR","SCALING_FORMAT=MLN","Sort=A","Dates=H","DateFormat=P","Fill=—","Direction=H","UseDPDF=Y")</f>
        <v>0</v>
      </c>
      <c r="X31" s="13" t="str">
        <f>_xll.BDH("ALNY US Equity","ARD_GL_ON_EARLY_EXT_DEBT_NON_OP","FQ1 2024","FQ1 2024","Currency=USD","Period=FQ","BEST_FPERIOD_OVERRIDE=FQ","FILING_STATUS=MR","SCALING_FORMAT=MLN","Sort=A","Dates=H","DateFormat=P","Fill=—","Direction=H","UseDPDF=Y")</f>
        <v>—</v>
      </c>
      <c r="Y31" s="13" t="str">
        <f>_xll.BDH("ALNY US Equity","ARD_GL_ON_EARLY_EXT_DEBT_NON_OP","FQ2 2024","FQ2 2024","Currency=USD","Period=FQ","BEST_FPERIOD_OVERRIDE=FQ","FILING_STATUS=MR","SCALING_FORMAT=MLN","Sort=A","Dates=H","DateFormat=P","Fill=—","Direction=H","UseDPDF=Y")</f>
        <v>—</v>
      </c>
      <c r="Z31" s="13" t="str">
        <f>_xll.BDH("ALNY US Equity","ARD_GL_ON_EARLY_EXT_DEBT_NON_OP","FQ3 2024","FQ3 2024","Currency=USD","Period=FQ","BEST_FPERIOD_OVERRIDE=FQ","FILING_STATUS=MR","SCALING_FORMAT=MLN","Sort=A","Dates=H","DateFormat=P","Fill=—","Direction=H","UseDPDF=Y")</f>
        <v>—</v>
      </c>
      <c r="AA31" s="13" t="str">
        <f>_xll.BDH("ALNY US Equity","ARD_GL_ON_EARLY_EXT_DEBT_NON_OP","FQ4 2024","FQ4 2024","Currency=USD","Period=FQ","BEST_FPERIOD_OVERRIDE=FQ","FILING_STATUS=MR","SCALING_FORMAT=MLN","Sort=A","Dates=H","DateFormat=P","Fill=—","Direction=H","UseDPDF=Y")</f>
        <v>—</v>
      </c>
    </row>
    <row r="32" spans="1:27" x14ac:dyDescent="0.25">
      <c r="A32" s="10" t="s">
        <v>447</v>
      </c>
      <c r="B32" s="10" t="s">
        <v>448</v>
      </c>
      <c r="C32" s="13" t="str">
        <f>_xll.BDH("ALNY US Equity","ARD_OTH_NON_OPER_INC_EXP_NET","FQ4 2018","FQ4 2018","Currency=USD","Period=FQ","BEST_FPERIOD_OVERRIDE=FQ","FILING_STATUS=MR","SCALING_FORMAT=MLN","Sort=A","Dates=H","DateFormat=P","Fill=—","Direction=H","UseDPDF=Y")</f>
        <v>—</v>
      </c>
      <c r="D32" s="13" t="str">
        <f>_xll.BDH("ALNY US Equity","ARD_OTH_NON_OPER_INC_EXP_NET","FQ1 2019","FQ1 2019","Currency=USD","Period=FQ","BEST_FPERIOD_OVERRIDE=FQ","FILING_STATUS=MR","SCALING_FORMAT=MLN","Sort=A","Dates=H","DateFormat=P","Fill=—","Direction=H","UseDPDF=Y")</f>
        <v>—</v>
      </c>
      <c r="E32" s="13" t="str">
        <f>_xll.BDH("ALNY US Equity","ARD_OTH_NON_OPER_INC_EXP_NET","FQ2 2019","FQ2 2019","Currency=USD","Period=FQ","BEST_FPERIOD_OVERRIDE=FQ","FILING_STATUS=MR","SCALING_FORMAT=MLN","Sort=A","Dates=H","DateFormat=P","Fill=—","Direction=H","UseDPDF=Y")</f>
        <v>—</v>
      </c>
      <c r="F32" s="13" t="str">
        <f>_xll.BDH("ALNY US Equity","ARD_OTH_NON_OPER_INC_EXP_NET","FQ3 2019","FQ3 2019","Currency=USD","Period=FQ","BEST_FPERIOD_OVERRIDE=FQ","FILING_STATUS=MR","SCALING_FORMAT=MLN","Sort=A","Dates=H","DateFormat=P","Fill=—","Direction=H","UseDPDF=Y")</f>
        <v>—</v>
      </c>
      <c r="G32" s="13" t="str">
        <f>_xll.BDH("ALNY US Equity","ARD_OTH_NON_OPER_INC_EXP_NET","FQ4 2019","FQ4 2019","Currency=USD","Period=FQ","BEST_FPERIOD_OVERRIDE=FQ","FILING_STATUS=MR","SCALING_FORMAT=MLN","Sort=A","Dates=H","DateFormat=P","Fill=—","Direction=H","UseDPDF=Y")</f>
        <v>—</v>
      </c>
      <c r="H32" s="13" t="str">
        <f>_xll.BDH("ALNY US Equity","ARD_OTH_NON_OPER_INC_EXP_NET","FQ1 2020","FQ1 2020","Currency=USD","Period=FQ","BEST_FPERIOD_OVERRIDE=FQ","FILING_STATUS=MR","SCALING_FORMAT=MLN","Sort=A","Dates=H","DateFormat=P","Fill=—","Direction=H","UseDPDF=Y")</f>
        <v>—</v>
      </c>
      <c r="I32" s="13" t="str">
        <f>_xll.BDH("ALNY US Equity","ARD_OTH_NON_OPER_INC_EXP_NET","FQ2 2020","FQ2 2020","Currency=USD","Period=FQ","BEST_FPERIOD_OVERRIDE=FQ","FILING_STATUS=MR","SCALING_FORMAT=MLN","Sort=A","Dates=H","DateFormat=P","Fill=—","Direction=H","UseDPDF=Y")</f>
        <v>—</v>
      </c>
      <c r="J32" s="13" t="str">
        <f>_xll.BDH("ALNY US Equity","ARD_OTH_NON_OPER_INC_EXP_NET","FQ3 2020","FQ3 2020","Currency=USD","Period=FQ","BEST_FPERIOD_OVERRIDE=FQ","FILING_STATUS=MR","SCALING_FORMAT=MLN","Sort=A","Dates=H","DateFormat=P","Fill=—","Direction=H","UseDPDF=Y")</f>
        <v>—</v>
      </c>
      <c r="K32" s="13" t="str">
        <f>_xll.BDH("ALNY US Equity","ARD_OTH_NON_OPER_INC_EXP_NET","FQ4 2020","FQ4 2020","Currency=USD","Period=FQ","BEST_FPERIOD_OVERRIDE=FQ","FILING_STATUS=MR","SCALING_FORMAT=MLN","Sort=A","Dates=H","DateFormat=P","Fill=—","Direction=H","UseDPDF=Y")</f>
        <v>—</v>
      </c>
      <c r="L32" s="13" t="str">
        <f>_xll.BDH("ALNY US Equity","ARD_OTH_NON_OPER_INC_EXP_NET","FQ1 2021","FQ1 2021","Currency=USD","Period=FQ","BEST_FPERIOD_OVERRIDE=FQ","FILING_STATUS=MR","SCALING_FORMAT=MLN","Sort=A","Dates=H","DateFormat=P","Fill=—","Direction=H","UseDPDF=Y")</f>
        <v>—</v>
      </c>
      <c r="M32" s="13" t="str">
        <f>_xll.BDH("ALNY US Equity","ARD_OTH_NON_OPER_INC_EXP_NET","FQ2 2021","FQ2 2021","Currency=USD","Period=FQ","BEST_FPERIOD_OVERRIDE=FQ","FILING_STATUS=MR","SCALING_FORMAT=MLN","Sort=A","Dates=H","DateFormat=P","Fill=—","Direction=H","UseDPDF=Y")</f>
        <v>—</v>
      </c>
      <c r="N32" s="13">
        <f>_xll.BDH("ALNY US Equity","ARD_OTH_NON_OPER_INC_EXP_NET","FQ3 2021","FQ3 2021","Currency=USD","Period=FQ","BEST_FPERIOD_OVERRIDE=FQ","FILING_STATUS=MR","SCALING_FORMAT=MLN","Sort=A","Dates=H","DateFormat=P","Fill=—","Direction=H","UseDPDF=Y")</f>
        <v>-17.489999999999998</v>
      </c>
      <c r="O32" s="13">
        <f>_xll.BDH("ALNY US Equity","ARD_OTH_NON_OPER_INC_EXP_NET","FQ4 2021","FQ4 2021","Currency=USD","Period=FQ","BEST_FPERIOD_OVERRIDE=FQ","FILING_STATUS=MR","SCALING_FORMAT=MLN","Sort=A","Dates=H","DateFormat=P","Fill=—","Direction=H","UseDPDF=Y")</f>
        <v>29.42</v>
      </c>
      <c r="P32" s="13">
        <f>_xll.BDH("ALNY US Equity","ARD_OTH_NON_OPER_INC_EXP_NET","FQ1 2022","FQ1 2022","Currency=USD","Period=FQ","BEST_FPERIOD_OVERRIDE=FQ","FILING_STATUS=MR","SCALING_FORMAT=MLN","Sort=A","Dates=H","DateFormat=P","Fill=—","Direction=H","UseDPDF=Y")</f>
        <v>51.274000000000001</v>
      </c>
      <c r="Q32" s="13">
        <f>_xll.BDH("ALNY US Equity","ARD_OTH_NON_OPER_INC_EXP_NET","FQ2 2022","FQ2 2022","Currency=USD","Period=FQ","BEST_FPERIOD_OVERRIDE=FQ","FILING_STATUS=MR","SCALING_FORMAT=MLN","Sort=A","Dates=H","DateFormat=P","Fill=—","Direction=H","UseDPDF=Y")</f>
        <v>40.378</v>
      </c>
      <c r="R32" s="13" t="str">
        <f>_xll.BDH("ALNY US Equity","ARD_OTH_NON_OPER_INC_EXP_NET","FQ3 2022","FQ3 2022","Currency=USD","Period=FQ","BEST_FPERIOD_OVERRIDE=FQ","FILING_STATUS=MR","SCALING_FORMAT=MLN","Sort=A","Dates=H","DateFormat=P","Fill=—","Direction=H","UseDPDF=Y")</f>
        <v>—</v>
      </c>
      <c r="S32" s="13">
        <f>_xll.BDH("ALNY US Equity","ARD_OTH_NON_OPER_INC_EXP_NET","FQ4 2022","FQ4 2022","Currency=USD","Period=FQ","BEST_FPERIOD_OVERRIDE=FQ","FILING_STATUS=MR","SCALING_FORMAT=MLN","Sort=A","Dates=H","DateFormat=P","Fill=—","Direction=H","UseDPDF=Y")</f>
        <v>-11.506</v>
      </c>
      <c r="T32" s="13">
        <f>_xll.BDH("ALNY US Equity","ARD_OTH_NON_OPER_INC_EXP_NET","FQ1 2023","FQ1 2023","Currency=USD","Period=FQ","BEST_FPERIOD_OVERRIDE=FQ","FILING_STATUS=MR","SCALING_FORMAT=MLN","Sort=A","Dates=H","DateFormat=P","Fill=—","Direction=H","UseDPDF=Y")</f>
        <v>12.255000000000001</v>
      </c>
      <c r="U32" s="13">
        <f>_xll.BDH("ALNY US Equity","ARD_OTH_NON_OPER_INC_EXP_NET","FQ2 2023","FQ2 2023","Currency=USD","Period=FQ","BEST_FPERIOD_OVERRIDE=FQ","FILING_STATUS=MR","SCALING_FORMAT=MLN","Sort=A","Dates=H","DateFormat=P","Fill=—","Direction=H","UseDPDF=Y")</f>
        <v>35.417999999999999</v>
      </c>
      <c r="V32" s="13" t="str">
        <f>_xll.BDH("ALNY US Equity","ARD_OTH_NON_OPER_INC_EXP_NET","FQ3 2023","FQ3 2023","Currency=USD","Period=FQ","BEST_FPERIOD_OVERRIDE=FQ","FILING_STATUS=MR","SCALING_FORMAT=MLN","Sort=A","Dates=H","DateFormat=P","Fill=—","Direction=H","UseDPDF=Y")</f>
        <v>—</v>
      </c>
      <c r="W32" s="13" t="str">
        <f>_xll.BDH("ALNY US Equity","ARD_OTH_NON_OPER_INC_EXP_NET","FQ4 2023","FQ4 2023","Currency=USD","Period=FQ","BEST_FPERIOD_OVERRIDE=FQ","FILING_STATUS=MR","SCALING_FORMAT=MLN","Sort=A","Dates=H","DateFormat=P","Fill=—","Direction=H","UseDPDF=Y")</f>
        <v>—</v>
      </c>
      <c r="X32" s="13">
        <f>_xll.BDH("ALNY US Equity","ARD_OTH_NON_OPER_INC_EXP_NET","FQ1 2024","FQ1 2024","Currency=USD","Period=FQ","BEST_FPERIOD_OVERRIDE=FQ","FILING_STATUS=MR","SCALING_FORMAT=MLN","Sort=A","Dates=H","DateFormat=P","Fill=—","Direction=H","UseDPDF=Y")</f>
        <v>14.544</v>
      </c>
      <c r="Y32" s="13">
        <f>_xll.BDH("ALNY US Equity","ARD_OTH_NON_OPER_INC_EXP_NET","FQ2 2024","FQ2 2024","Currency=USD","Period=FQ","BEST_FPERIOD_OVERRIDE=FQ","FILING_STATUS=MR","SCALING_FORMAT=MLN","Sort=A","Dates=H","DateFormat=P","Fill=—","Direction=H","UseDPDF=Y")</f>
        <v>55.704999999999998</v>
      </c>
      <c r="Z32" s="13">
        <f>_xll.BDH("ALNY US Equity","ARD_OTH_NON_OPER_INC_EXP_NET","FQ3 2024","FQ3 2024","Currency=USD","Period=FQ","BEST_FPERIOD_OVERRIDE=FQ","FILING_STATUS=MR","SCALING_FORMAT=MLN","Sort=A","Dates=H","DateFormat=P","Fill=—","Direction=H","UseDPDF=Y")</f>
        <v>29.527999999999999</v>
      </c>
      <c r="AA32" s="13" t="str">
        <f>_xll.BDH("ALNY US Equity","ARD_OTH_NON_OPER_INC_EXP_NET","FQ4 2024","FQ4 2024","Currency=USD","Period=FQ","BEST_FPERIOD_OVERRIDE=FQ","FILING_STATUS=MR","SCALING_FORMAT=MLN","Sort=A","Dates=H","DateFormat=P","Fill=—","Direction=H","UseDPDF=Y")</f>
        <v>—</v>
      </c>
    </row>
    <row r="33" spans="1:27" x14ac:dyDescent="0.25">
      <c r="A33" s="10" t="s">
        <v>449</v>
      </c>
      <c r="B33" s="10" t="s">
        <v>450</v>
      </c>
      <c r="C33" s="13">
        <f>_xll.BDH("ALNY US Equity","ARD_LEGAL_EXPENSE_NON_OPERATING","FQ4 2018","FQ4 2018","Currency=USD","Period=FQ","BEST_FPERIOD_OVERRIDE=FQ","FILING_STATUS=MR","SCALING_FORMAT=MLN","Sort=A","Dates=H","DateFormat=P","Fill=—","Direction=H","UseDPDF=Y")</f>
        <v>0</v>
      </c>
      <c r="D33" s="13" t="str">
        <f>_xll.BDH("ALNY US Equity","ARD_LEGAL_EXPENSE_NON_OPERATING","FQ1 2019","FQ1 2019","Currency=USD","Period=FQ","BEST_FPERIOD_OVERRIDE=FQ","FILING_STATUS=MR","SCALING_FORMAT=MLN","Sort=A","Dates=H","DateFormat=P","Fill=—","Direction=H","UseDPDF=Y")</f>
        <v>—</v>
      </c>
      <c r="E33" s="13">
        <f>_xll.BDH("ALNY US Equity","ARD_LEGAL_EXPENSE_NON_OPERATING","FQ2 2019","FQ2 2019","Currency=USD","Period=FQ","BEST_FPERIOD_OVERRIDE=FQ","FILING_STATUS=MR","SCALING_FORMAT=MLN","Sort=A","Dates=H","DateFormat=P","Fill=—","Direction=H","UseDPDF=Y")</f>
        <v>0</v>
      </c>
      <c r="F33" s="13">
        <f>_xll.BDH("ALNY US Equity","ARD_LEGAL_EXPENSE_NON_OPERATING","FQ3 2019","FQ3 2019","Currency=USD","Period=FQ","BEST_FPERIOD_OVERRIDE=FQ","FILING_STATUS=MR","SCALING_FORMAT=MLN","Sort=A","Dates=H","DateFormat=P","Fill=—","Direction=H","UseDPDF=Y")</f>
        <v>0</v>
      </c>
      <c r="G33" s="13">
        <f>_xll.BDH("ALNY US Equity","ARD_LEGAL_EXPENSE_NON_OPERATING","FQ4 2019","FQ4 2019","Currency=USD","Period=FQ","BEST_FPERIOD_OVERRIDE=FQ","FILING_STATUS=MR","SCALING_FORMAT=MLN","Sort=A","Dates=H","DateFormat=P","Fill=—","Direction=H","UseDPDF=Y")</f>
        <v>0</v>
      </c>
      <c r="H33" s="13" t="str">
        <f>_xll.BDH("ALNY US Equity","ARD_LEGAL_EXPENSE_NON_OPERATING","FQ1 2020","FQ1 2020","Currency=USD","Period=FQ","BEST_FPERIOD_OVERRIDE=FQ","FILING_STATUS=MR","SCALING_FORMAT=MLN","Sort=A","Dates=H","DateFormat=P","Fill=—","Direction=H","UseDPDF=Y")</f>
        <v>—</v>
      </c>
      <c r="I33" s="13">
        <f>_xll.BDH("ALNY US Equity","ARD_LEGAL_EXPENSE_NON_OPERATING","FQ2 2020","FQ2 2020","Currency=USD","Period=FQ","BEST_FPERIOD_OVERRIDE=FQ","FILING_STATUS=MR","SCALING_FORMAT=MLN","Sort=A","Dates=H","DateFormat=P","Fill=—","Direction=H","UseDPDF=Y")</f>
        <v>0</v>
      </c>
      <c r="J33" s="13" t="str">
        <f>_xll.BDH("ALNY US Equity","ARD_LEGAL_EXPENSE_NON_OPERATING","FQ3 2020","FQ3 2020","Currency=USD","Period=FQ","BEST_FPERIOD_OVERRIDE=FQ","FILING_STATUS=MR","SCALING_FORMAT=MLN","Sort=A","Dates=H","DateFormat=P","Fill=—","Direction=H","UseDPDF=Y")</f>
        <v>—</v>
      </c>
      <c r="K33" s="13" t="str">
        <f>_xll.BDH("ALNY US Equity","ARD_LEGAL_EXPENSE_NON_OPERATING","FQ4 2020","FQ4 2020","Currency=USD","Period=FQ","BEST_FPERIOD_OVERRIDE=FQ","FILING_STATUS=MR","SCALING_FORMAT=MLN","Sort=A","Dates=H","DateFormat=P","Fill=—","Direction=H","UseDPDF=Y")</f>
        <v>—</v>
      </c>
      <c r="L33" s="13" t="str">
        <f>_xll.BDH("ALNY US Equity","ARD_LEGAL_EXPENSE_NON_OPERATING","FQ1 2021","FQ1 2021","Currency=USD","Period=FQ","BEST_FPERIOD_OVERRIDE=FQ","FILING_STATUS=MR","SCALING_FORMAT=MLN","Sort=A","Dates=H","DateFormat=P","Fill=—","Direction=H","UseDPDF=Y")</f>
        <v>—</v>
      </c>
      <c r="M33" s="13" t="str">
        <f>_xll.BDH("ALNY US Equity","ARD_LEGAL_EXPENSE_NON_OPERATING","FQ2 2021","FQ2 2021","Currency=USD","Period=FQ","BEST_FPERIOD_OVERRIDE=FQ","FILING_STATUS=MR","SCALING_FORMAT=MLN","Sort=A","Dates=H","DateFormat=P","Fill=—","Direction=H","UseDPDF=Y")</f>
        <v>—</v>
      </c>
      <c r="N33" s="13" t="str">
        <f>_xll.BDH("ALNY US Equity","ARD_LEGAL_EXPENSE_NON_OPERATING","FQ3 2021","FQ3 2021","Currency=USD","Period=FQ","BEST_FPERIOD_OVERRIDE=FQ","FILING_STATUS=MR","SCALING_FORMAT=MLN","Sort=A","Dates=H","DateFormat=P","Fill=—","Direction=H","UseDPDF=Y")</f>
        <v>—</v>
      </c>
      <c r="O33" s="13" t="str">
        <f>_xll.BDH("ALNY US Equity","ARD_LEGAL_EXPENSE_NON_OPERATING","FQ4 2021","FQ4 2021","Currency=USD","Period=FQ","BEST_FPERIOD_OVERRIDE=FQ","FILING_STATUS=MR","SCALING_FORMAT=MLN","Sort=A","Dates=H","DateFormat=P","Fill=—","Direction=H","UseDPDF=Y")</f>
        <v>—</v>
      </c>
      <c r="P33" s="13" t="str">
        <f>_xll.BDH("ALNY US Equity","ARD_LEGAL_EXPENSE_NON_OPERATING","FQ1 2022","FQ1 2022","Currency=USD","Period=FQ","BEST_FPERIOD_OVERRIDE=FQ","FILING_STATUS=MR","SCALING_FORMAT=MLN","Sort=A","Dates=H","DateFormat=P","Fill=—","Direction=H","UseDPDF=Y")</f>
        <v>—</v>
      </c>
      <c r="Q33" s="13" t="str">
        <f>_xll.BDH("ALNY US Equity","ARD_LEGAL_EXPENSE_NON_OPERATING","FQ2 2022","FQ2 2022","Currency=USD","Period=FQ","BEST_FPERIOD_OVERRIDE=FQ","FILING_STATUS=MR","SCALING_FORMAT=MLN","Sort=A","Dates=H","DateFormat=P","Fill=—","Direction=H","UseDPDF=Y")</f>
        <v>—</v>
      </c>
      <c r="R33" s="13" t="str">
        <f>_xll.BDH("ALNY US Equity","ARD_LEGAL_EXPENSE_NON_OPERATING","FQ3 2022","FQ3 2022","Currency=USD","Period=FQ","BEST_FPERIOD_OVERRIDE=FQ","FILING_STATUS=MR","SCALING_FORMAT=MLN","Sort=A","Dates=H","DateFormat=P","Fill=—","Direction=H","UseDPDF=Y")</f>
        <v>—</v>
      </c>
      <c r="S33" s="13" t="str">
        <f>_xll.BDH("ALNY US Equity","ARD_LEGAL_EXPENSE_NON_OPERATING","FQ4 2022","FQ4 2022","Currency=USD","Period=FQ","BEST_FPERIOD_OVERRIDE=FQ","FILING_STATUS=MR","SCALING_FORMAT=MLN","Sort=A","Dates=H","DateFormat=P","Fill=—","Direction=H","UseDPDF=Y")</f>
        <v>—</v>
      </c>
      <c r="T33" s="13" t="str">
        <f>_xll.BDH("ALNY US Equity","ARD_LEGAL_EXPENSE_NON_OPERATING","FQ1 2023","FQ1 2023","Currency=USD","Period=FQ","BEST_FPERIOD_OVERRIDE=FQ","FILING_STATUS=MR","SCALING_FORMAT=MLN","Sort=A","Dates=H","DateFormat=P","Fill=—","Direction=H","UseDPDF=Y")</f>
        <v>—</v>
      </c>
      <c r="U33" s="13" t="str">
        <f>_xll.BDH("ALNY US Equity","ARD_LEGAL_EXPENSE_NON_OPERATING","FQ2 2023","FQ2 2023","Currency=USD","Period=FQ","BEST_FPERIOD_OVERRIDE=FQ","FILING_STATUS=MR","SCALING_FORMAT=MLN","Sort=A","Dates=H","DateFormat=P","Fill=—","Direction=H","UseDPDF=Y")</f>
        <v>—</v>
      </c>
      <c r="V33" s="13" t="str">
        <f>_xll.BDH("ALNY US Equity","ARD_LEGAL_EXPENSE_NON_OPERATING","FQ3 2023","FQ3 2023","Currency=USD","Period=FQ","BEST_FPERIOD_OVERRIDE=FQ","FILING_STATUS=MR","SCALING_FORMAT=MLN","Sort=A","Dates=H","DateFormat=P","Fill=—","Direction=H","UseDPDF=Y")</f>
        <v>—</v>
      </c>
      <c r="W33" s="13" t="str">
        <f>_xll.BDH("ALNY US Equity","ARD_LEGAL_EXPENSE_NON_OPERATING","FQ4 2023","FQ4 2023","Currency=USD","Period=FQ","BEST_FPERIOD_OVERRIDE=FQ","FILING_STATUS=MR","SCALING_FORMAT=MLN","Sort=A","Dates=H","DateFormat=P","Fill=—","Direction=H","UseDPDF=Y")</f>
        <v>—</v>
      </c>
      <c r="X33" s="13" t="str">
        <f>_xll.BDH("ALNY US Equity","ARD_LEGAL_EXPENSE_NON_OPERATING","FQ1 2024","FQ1 2024","Currency=USD","Period=FQ","BEST_FPERIOD_OVERRIDE=FQ","FILING_STATUS=MR","SCALING_FORMAT=MLN","Sort=A","Dates=H","DateFormat=P","Fill=—","Direction=H","UseDPDF=Y")</f>
        <v>—</v>
      </c>
      <c r="Y33" s="13" t="str">
        <f>_xll.BDH("ALNY US Equity","ARD_LEGAL_EXPENSE_NON_OPERATING","FQ2 2024","FQ2 2024","Currency=USD","Period=FQ","BEST_FPERIOD_OVERRIDE=FQ","FILING_STATUS=MR","SCALING_FORMAT=MLN","Sort=A","Dates=H","DateFormat=P","Fill=—","Direction=H","UseDPDF=Y")</f>
        <v>—</v>
      </c>
      <c r="Z33" s="13" t="str">
        <f>_xll.BDH("ALNY US Equity","ARD_LEGAL_EXPENSE_NON_OPERATING","FQ3 2024","FQ3 2024","Currency=USD","Period=FQ","BEST_FPERIOD_OVERRIDE=FQ","FILING_STATUS=MR","SCALING_FORMAT=MLN","Sort=A","Dates=H","DateFormat=P","Fill=—","Direction=H","UseDPDF=Y")</f>
        <v>—</v>
      </c>
      <c r="AA33" s="13" t="str">
        <f>_xll.BDH("ALNY US Equity","ARD_LEGAL_EXPENSE_NON_OPERATING","FQ4 2024","FQ4 2024","Currency=USD","Period=FQ","BEST_FPERIOD_OVERRIDE=FQ","FILING_STATUS=MR","SCALING_FORMAT=MLN","Sort=A","Dates=H","DateFormat=P","Fill=—","Direction=H","UseDPDF=Y")</f>
        <v>—</v>
      </c>
    </row>
    <row r="34" spans="1:27" x14ac:dyDescent="0.25">
      <c r="A34" s="10" t="s">
        <v>451</v>
      </c>
      <c r="B34" s="10" t="s">
        <v>452</v>
      </c>
      <c r="C34" s="13" t="str">
        <f>_xll.BDH("ALNY US Equity","ARD_OTHER_ONE_TIME_ITEMS_NON_OP","FQ4 2018","FQ4 2018","Currency=USD","Period=FQ","BEST_FPERIOD_OVERRIDE=FQ","FILING_STATUS=MR","Sort=A","Dates=H","DateFormat=P","Fill=—","Direction=H","UseDPDF=Y")</f>
        <v>—</v>
      </c>
      <c r="D34" s="13" t="str">
        <f>_xll.BDH("ALNY US Equity","ARD_OTHER_ONE_TIME_ITEMS_NON_OP","FQ1 2019","FQ1 2019","Currency=USD","Period=FQ","BEST_FPERIOD_OVERRIDE=FQ","FILING_STATUS=MR","Sort=A","Dates=H","DateFormat=P","Fill=—","Direction=H","UseDPDF=Y")</f>
        <v>—</v>
      </c>
      <c r="E34" s="13">
        <f>_xll.BDH("ALNY US Equity","ARD_OTHER_ONE_TIME_ITEMS_NON_OP","FQ2 2019","FQ2 2019","Currency=USD","Period=FQ","BEST_FPERIOD_OVERRIDE=FQ","FILING_STATUS=MR","Sort=A","Dates=H","DateFormat=P","Fill=—","Direction=H","UseDPDF=Y")</f>
        <v>-9.4220000000000006</v>
      </c>
      <c r="F34" s="13" t="str">
        <f>_xll.BDH("ALNY US Equity","ARD_OTHER_ONE_TIME_ITEMS_NON_OP","FQ3 2019","FQ3 2019","Currency=USD","Period=FQ","BEST_FPERIOD_OVERRIDE=FQ","FILING_STATUS=MR","Sort=A","Dates=H","DateFormat=P","Fill=—","Direction=H","UseDPDF=Y")</f>
        <v>—</v>
      </c>
      <c r="G34" s="13">
        <f>_xll.BDH("ALNY US Equity","ARD_OTHER_ONE_TIME_ITEMS_NON_OP","FQ4 2019","FQ4 2019","Currency=USD","Period=FQ","BEST_FPERIOD_OVERRIDE=FQ","FILING_STATUS=MR","Sort=A","Dates=H","DateFormat=P","Fill=—","Direction=H","UseDPDF=Y")</f>
        <v>0</v>
      </c>
      <c r="H34" s="13" t="str">
        <f>_xll.BDH("ALNY US Equity","ARD_OTHER_ONE_TIME_ITEMS_NON_OP","FQ1 2020","FQ1 2020","Currency=USD","Period=FQ","BEST_FPERIOD_OVERRIDE=FQ","FILING_STATUS=MR","Sort=A","Dates=H","DateFormat=P","Fill=—","Direction=H","UseDPDF=Y")</f>
        <v>—</v>
      </c>
      <c r="I34" s="13">
        <f>_xll.BDH("ALNY US Equity","ARD_OTHER_ONE_TIME_ITEMS_NON_OP","FQ2 2020","FQ2 2020","Currency=USD","Period=FQ","BEST_FPERIOD_OVERRIDE=FQ","FILING_STATUS=MR","Sort=A","Dates=H","DateFormat=P","Fill=—","Direction=H","UseDPDF=Y")</f>
        <v>0</v>
      </c>
      <c r="J34" s="13">
        <f>_xll.BDH("ALNY US Equity","ARD_OTHER_ONE_TIME_ITEMS_NON_OP","FQ3 2020","FQ3 2020","Currency=USD","Period=FQ","BEST_FPERIOD_OVERRIDE=FQ","FILING_STATUS=MR","Sort=A","Dates=H","DateFormat=P","Fill=—","Direction=H","UseDPDF=Y")</f>
        <v>0</v>
      </c>
      <c r="K34" s="13" t="str">
        <f>_xll.BDH("ALNY US Equity","ARD_OTHER_ONE_TIME_ITEMS_NON_OP","FQ4 2020","FQ4 2020","Currency=USD","Period=FQ","BEST_FPERIOD_OVERRIDE=FQ","FILING_STATUS=MR","Sort=A","Dates=H","DateFormat=P","Fill=—","Direction=H","UseDPDF=Y")</f>
        <v>—</v>
      </c>
      <c r="L34" s="13" t="str">
        <f>_xll.BDH("ALNY US Equity","ARD_OTHER_ONE_TIME_ITEMS_NON_OP","FQ1 2021","FQ1 2021","Currency=USD","Period=FQ","BEST_FPERIOD_OVERRIDE=FQ","FILING_STATUS=MR","Sort=A","Dates=H","DateFormat=P","Fill=—","Direction=H","UseDPDF=Y")</f>
        <v>—</v>
      </c>
      <c r="M34" s="13" t="str">
        <f>_xll.BDH("ALNY US Equity","ARD_OTHER_ONE_TIME_ITEMS_NON_OP","FQ2 2021","FQ2 2021","Currency=USD","Period=FQ","BEST_FPERIOD_OVERRIDE=FQ","FILING_STATUS=MR","Sort=A","Dates=H","DateFormat=P","Fill=—","Direction=H","UseDPDF=Y")</f>
        <v>—</v>
      </c>
      <c r="N34" s="13" t="str">
        <f>_xll.BDH("ALNY US Equity","ARD_OTHER_ONE_TIME_ITEMS_NON_OP","FQ3 2021","FQ3 2021","Currency=USD","Period=FQ","BEST_FPERIOD_OVERRIDE=FQ","FILING_STATUS=MR","Sort=A","Dates=H","DateFormat=P","Fill=—","Direction=H","UseDPDF=Y")</f>
        <v>—</v>
      </c>
      <c r="O34" s="13" t="str">
        <f>_xll.BDH("ALNY US Equity","ARD_OTHER_ONE_TIME_ITEMS_NON_OP","FQ4 2021","FQ4 2021","Currency=USD","Period=FQ","BEST_FPERIOD_OVERRIDE=FQ","FILING_STATUS=MR","Sort=A","Dates=H","DateFormat=P","Fill=—","Direction=H","UseDPDF=Y")</f>
        <v>—</v>
      </c>
      <c r="P34" s="13" t="str">
        <f>_xll.BDH("ALNY US Equity","ARD_OTHER_ONE_TIME_ITEMS_NON_OP","FQ1 2022","FQ1 2022","Currency=USD","Period=FQ","BEST_FPERIOD_OVERRIDE=FQ","FILING_STATUS=MR","Sort=A","Dates=H","DateFormat=P","Fill=—","Direction=H","UseDPDF=Y")</f>
        <v>—</v>
      </c>
      <c r="Q34" s="13" t="str">
        <f>_xll.BDH("ALNY US Equity","ARD_OTHER_ONE_TIME_ITEMS_NON_OP","FQ2 2022","FQ2 2022","Currency=USD","Period=FQ","BEST_FPERIOD_OVERRIDE=FQ","FILING_STATUS=MR","Sort=A","Dates=H","DateFormat=P","Fill=—","Direction=H","UseDPDF=Y")</f>
        <v>—</v>
      </c>
      <c r="R34" s="13" t="str">
        <f>_xll.BDH("ALNY US Equity","ARD_OTHER_ONE_TIME_ITEMS_NON_OP","FQ3 2022","FQ3 2022","Currency=USD","Period=FQ","BEST_FPERIOD_OVERRIDE=FQ","FILING_STATUS=MR","Sort=A","Dates=H","DateFormat=P","Fill=—","Direction=H","UseDPDF=Y")</f>
        <v>—</v>
      </c>
      <c r="S34" s="13" t="str">
        <f>_xll.BDH("ALNY US Equity","ARD_OTHER_ONE_TIME_ITEMS_NON_OP","FQ4 2022","FQ4 2022","Currency=USD","Period=FQ","BEST_FPERIOD_OVERRIDE=FQ","FILING_STATUS=MR","Sort=A","Dates=H","DateFormat=P","Fill=—","Direction=H","UseDPDF=Y")</f>
        <v>—</v>
      </c>
      <c r="T34" s="13" t="str">
        <f>_xll.BDH("ALNY US Equity","ARD_OTHER_ONE_TIME_ITEMS_NON_OP","FQ1 2023","FQ1 2023","Currency=USD","Period=FQ","BEST_FPERIOD_OVERRIDE=FQ","FILING_STATUS=MR","Sort=A","Dates=H","DateFormat=P","Fill=—","Direction=H","UseDPDF=Y")</f>
        <v>—</v>
      </c>
      <c r="U34" s="13" t="str">
        <f>_xll.BDH("ALNY US Equity","ARD_OTHER_ONE_TIME_ITEMS_NON_OP","FQ2 2023","FQ2 2023","Currency=USD","Period=FQ","BEST_FPERIOD_OVERRIDE=FQ","FILING_STATUS=MR","Sort=A","Dates=H","DateFormat=P","Fill=—","Direction=H","UseDPDF=Y")</f>
        <v>—</v>
      </c>
      <c r="V34" s="13" t="str">
        <f>_xll.BDH("ALNY US Equity","ARD_OTHER_ONE_TIME_ITEMS_NON_OP","FQ3 2023","FQ3 2023","Currency=USD","Period=FQ","BEST_FPERIOD_OVERRIDE=FQ","FILING_STATUS=MR","Sort=A","Dates=H","DateFormat=P","Fill=—","Direction=H","UseDPDF=Y")</f>
        <v>—</v>
      </c>
      <c r="W34" s="13" t="str">
        <f>_xll.BDH("ALNY US Equity","ARD_OTHER_ONE_TIME_ITEMS_NON_OP","FQ4 2023","FQ4 2023","Currency=USD","Period=FQ","BEST_FPERIOD_OVERRIDE=FQ","FILING_STATUS=MR","Sort=A","Dates=H","DateFormat=P","Fill=—","Direction=H","UseDPDF=Y")</f>
        <v>—</v>
      </c>
      <c r="X34" s="13" t="str">
        <f>_xll.BDH("ALNY US Equity","ARD_OTHER_ONE_TIME_ITEMS_NON_OP","FQ1 2024","FQ1 2024","Currency=USD","Period=FQ","BEST_FPERIOD_OVERRIDE=FQ","FILING_STATUS=MR","Sort=A","Dates=H","DateFormat=P","Fill=—","Direction=H","UseDPDF=Y")</f>
        <v>—</v>
      </c>
      <c r="Y34" s="13" t="str">
        <f>_xll.BDH("ALNY US Equity","ARD_OTHER_ONE_TIME_ITEMS_NON_OP","FQ2 2024","FQ2 2024","Currency=USD","Period=FQ","BEST_FPERIOD_OVERRIDE=FQ","FILING_STATUS=MR","Sort=A","Dates=H","DateFormat=P","Fill=—","Direction=H","UseDPDF=Y")</f>
        <v>—</v>
      </c>
      <c r="Z34" s="13" t="str">
        <f>_xll.BDH("ALNY US Equity","ARD_OTHER_ONE_TIME_ITEMS_NON_OP","FQ3 2024","FQ3 2024","Currency=USD","Period=FQ","BEST_FPERIOD_OVERRIDE=FQ","FILING_STATUS=MR","Sort=A","Dates=H","DateFormat=P","Fill=—","Direction=H","UseDPDF=Y")</f>
        <v>—</v>
      </c>
      <c r="AA34" s="13" t="str">
        <f>_xll.BDH("ALNY US Equity","ARD_OTHER_ONE_TIME_ITEMS_NON_OP","FQ4 2024","FQ4 2024","Currency=USD","Period=FQ","BEST_FPERIOD_OVERRIDE=FQ","FILING_STATUS=MR","Sort=A","Dates=H","DateFormat=P","Fill=—","Direction=H","UseDPDF=Y")</f>
        <v>—</v>
      </c>
    </row>
    <row r="35" spans="1:27" x14ac:dyDescent="0.25">
      <c r="A35" s="10" t="s">
        <v>453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10" t="s">
        <v>454</v>
      </c>
      <c r="B36" s="10" t="s">
        <v>455</v>
      </c>
      <c r="C36" s="14" t="str">
        <f>_xll.BDH("ALNY US Equity","ARD_BASIC_EPS","FQ4 2018","FQ4 2018","Currency=USD","Period=FQ","BEST_FPERIOD_OVERRIDE=FQ","FILING_STATUS=MR","Sort=A","Dates=H","DateFormat=P","Fill=—","Direction=H","UseDPDF=Y")</f>
        <v>—</v>
      </c>
      <c r="D36" s="14" t="str">
        <f>_xll.BDH("ALNY US Equity","ARD_BASIC_EPS","FQ1 2019","FQ1 2019","Currency=USD","Period=FQ","BEST_FPERIOD_OVERRIDE=FQ","FILING_STATUS=MR","Sort=A","Dates=H","DateFormat=P","Fill=—","Direction=H","UseDPDF=Y")</f>
        <v>—</v>
      </c>
      <c r="E36" s="14" t="str">
        <f>_xll.BDH("ALNY US Equity","ARD_BASIC_EPS","FQ2 2019","FQ2 2019","Currency=USD","Period=FQ","BEST_FPERIOD_OVERRIDE=FQ","FILING_STATUS=MR","Sort=A","Dates=H","DateFormat=P","Fill=—","Direction=H","UseDPDF=Y")</f>
        <v>—</v>
      </c>
      <c r="F36" s="14" t="str">
        <f>_xll.BDH("ALNY US Equity","ARD_BASIC_EPS","FQ3 2019","FQ3 2019","Currency=USD","Period=FQ","BEST_FPERIOD_OVERRIDE=FQ","FILING_STATUS=MR","Sort=A","Dates=H","DateFormat=P","Fill=—","Direction=H","UseDPDF=Y")</f>
        <v>—</v>
      </c>
      <c r="G36" s="14" t="str">
        <f>_xll.BDH("ALNY US Equity","ARD_BASIC_EPS","FQ4 2019","FQ4 2019","Currency=USD","Period=FQ","BEST_FPERIOD_OVERRIDE=FQ","FILING_STATUS=MR","Sort=A","Dates=H","DateFormat=P","Fill=—","Direction=H","UseDPDF=Y")</f>
        <v>—</v>
      </c>
      <c r="H36" s="14" t="str">
        <f>_xll.BDH("ALNY US Equity","ARD_BASIC_EPS","FQ1 2020","FQ1 2020","Currency=USD","Period=FQ","BEST_FPERIOD_OVERRIDE=FQ","FILING_STATUS=MR","Sort=A","Dates=H","DateFormat=P","Fill=—","Direction=H","UseDPDF=Y")</f>
        <v>—</v>
      </c>
      <c r="I36" s="14" t="str">
        <f>_xll.BDH("ALNY US Equity","ARD_BASIC_EPS","FQ2 2020","FQ2 2020","Currency=USD","Period=FQ","BEST_FPERIOD_OVERRIDE=FQ","FILING_STATUS=MR","Sort=A","Dates=H","DateFormat=P","Fill=—","Direction=H","UseDPDF=Y")</f>
        <v>—</v>
      </c>
      <c r="J36" s="14" t="str">
        <f>_xll.BDH("ALNY US Equity","ARD_BASIC_EPS","FQ3 2020","FQ3 2020","Currency=USD","Period=FQ","BEST_FPERIOD_OVERRIDE=FQ","FILING_STATUS=MR","Sort=A","Dates=H","DateFormat=P","Fill=—","Direction=H","UseDPDF=Y")</f>
        <v>—</v>
      </c>
      <c r="K36" s="14" t="str">
        <f>_xll.BDH("ALNY US Equity","ARD_BASIC_EPS","FQ4 2020","FQ4 2020","Currency=USD","Period=FQ","BEST_FPERIOD_OVERRIDE=FQ","FILING_STATUS=MR","Sort=A","Dates=H","DateFormat=P","Fill=—","Direction=H","UseDPDF=Y")</f>
        <v>—</v>
      </c>
      <c r="L36" s="14" t="str">
        <f>_xll.BDH("ALNY US Equity","ARD_BASIC_EPS","FQ1 2021","FQ1 2021","Currency=USD","Period=FQ","BEST_FPERIOD_OVERRIDE=FQ","FILING_STATUS=MR","Sort=A","Dates=H","DateFormat=P","Fill=—","Direction=H","UseDPDF=Y")</f>
        <v>—</v>
      </c>
      <c r="M36" s="14" t="str">
        <f>_xll.BDH("ALNY US Equity","ARD_BASIC_EPS","FQ2 2021","FQ2 2021","Currency=USD","Period=FQ","BEST_FPERIOD_OVERRIDE=FQ","FILING_STATUS=MR","Sort=A","Dates=H","DateFormat=P","Fill=—","Direction=H","UseDPDF=Y")</f>
        <v>—</v>
      </c>
      <c r="N36" s="14" t="str">
        <f>_xll.BDH("ALNY US Equity","ARD_BASIC_EPS","FQ3 2021","FQ3 2021","Currency=USD","Period=FQ","BEST_FPERIOD_OVERRIDE=FQ","FILING_STATUS=MR","Sort=A","Dates=H","DateFormat=P","Fill=—","Direction=H","UseDPDF=Y")</f>
        <v>—</v>
      </c>
      <c r="O36" s="14" t="str">
        <f>_xll.BDH("ALNY US Equity","ARD_BASIC_EPS","FQ4 2021","FQ4 2021","Currency=USD","Period=FQ","BEST_FPERIOD_OVERRIDE=FQ","FILING_STATUS=MR","Sort=A","Dates=H","DateFormat=P","Fill=—","Direction=H","UseDPDF=Y")</f>
        <v>—</v>
      </c>
      <c r="P36" s="14" t="str">
        <f>_xll.BDH("ALNY US Equity","ARD_BASIC_EPS","FQ1 2022","FQ1 2022","Currency=USD","Period=FQ","BEST_FPERIOD_OVERRIDE=FQ","FILING_STATUS=MR","Sort=A","Dates=H","DateFormat=P","Fill=—","Direction=H","UseDPDF=Y")</f>
        <v>—</v>
      </c>
      <c r="Q36" s="14" t="str">
        <f>_xll.BDH("ALNY US Equity","ARD_BASIC_EPS","FQ2 2022","FQ2 2022","Currency=USD","Period=FQ","BEST_FPERIOD_OVERRIDE=FQ","FILING_STATUS=MR","Sort=A","Dates=H","DateFormat=P","Fill=—","Direction=H","UseDPDF=Y")</f>
        <v>—</v>
      </c>
      <c r="R36" s="14">
        <f>_xll.BDH("ALNY US Equity","ARD_BASIC_EPS","FQ3 2022","FQ3 2022","Currency=USD","Period=FQ","BEST_FPERIOD_OVERRIDE=FQ","FILING_STATUS=MR","Sort=A","Dates=H","DateFormat=P","Fill=—","Direction=H","UseDPDF=Y")</f>
        <v>-3.32</v>
      </c>
      <c r="S36" s="14">
        <f>_xll.BDH("ALNY US Equity","ARD_BASIC_EPS","FQ4 2022","FQ4 2022","Currency=USD","Period=FQ","BEST_FPERIOD_OVERRIDE=FQ","FILING_STATUS=MR","Sort=A","Dates=H","DateFormat=P","Fill=—","Direction=H","UseDPDF=Y")</f>
        <v>-1.68</v>
      </c>
      <c r="T36" s="14" t="str">
        <f>_xll.BDH("ALNY US Equity","ARD_BASIC_EPS","FQ1 2023","FQ1 2023","Currency=USD","Period=FQ","BEST_FPERIOD_OVERRIDE=FQ","FILING_STATUS=MR","Sort=A","Dates=H","DateFormat=P","Fill=—","Direction=H","UseDPDF=Y")</f>
        <v>—</v>
      </c>
      <c r="U36" s="14">
        <f>_xll.BDH("ALNY US Equity","ARD_BASIC_EPS","FQ2 2023","FQ2 2023","Currency=USD","Period=FQ","BEST_FPERIOD_OVERRIDE=FQ","FILING_STATUS=MR","Sort=A","Dates=H","DateFormat=P","Fill=—","Direction=H","UseDPDF=Y")</f>
        <v>-2.21</v>
      </c>
      <c r="V36" s="14">
        <f>_xll.BDH("ALNY US Equity","ARD_BASIC_EPS","FQ3 2023","FQ3 2023","Currency=USD","Period=FQ","BEST_FPERIOD_OVERRIDE=FQ","FILING_STATUS=MR","Sort=A","Dates=H","DateFormat=P","Fill=—","Direction=H","UseDPDF=Y")</f>
        <v>1.18</v>
      </c>
      <c r="W36" s="14">
        <f>_xll.BDH("ALNY US Equity","ARD_BASIC_EPS","FQ4 2023","FQ4 2023","Currency=USD","Period=FQ","BEST_FPERIOD_OVERRIDE=FQ","FILING_STATUS=MR","Sort=A","Dates=H","DateFormat=P","Fill=—","Direction=H","UseDPDF=Y")</f>
        <v>-1.1000000000000001</v>
      </c>
      <c r="X36" s="14" t="str">
        <f>_xll.BDH("ALNY US Equity","ARD_BASIC_EPS","FQ1 2024","FQ1 2024","Currency=USD","Period=FQ","BEST_FPERIOD_OVERRIDE=FQ","FILING_STATUS=MR","Sort=A","Dates=H","DateFormat=P","Fill=—","Direction=H","UseDPDF=Y")</f>
        <v>—</v>
      </c>
      <c r="Y36" s="14">
        <f>_xll.BDH("ALNY US Equity","ARD_BASIC_EPS","FQ2 2024","FQ2 2024","Currency=USD","Period=FQ","BEST_FPERIOD_OVERRIDE=FQ","FILING_STATUS=MR","Sort=A","Dates=H","DateFormat=P","Fill=—","Direction=H","UseDPDF=Y")</f>
        <v>-0.13</v>
      </c>
      <c r="Z36" s="14">
        <f>_xll.BDH("ALNY US Equity","ARD_BASIC_EPS","FQ3 2024","FQ3 2024","Currency=USD","Period=FQ","BEST_FPERIOD_OVERRIDE=FQ","FILING_STATUS=MR","Sort=A","Dates=H","DateFormat=P","Fill=—","Direction=H","UseDPDF=Y")</f>
        <v>-0.87</v>
      </c>
      <c r="AA36" s="14">
        <f>_xll.BDH("ALNY US Equity","ARD_BASIC_EPS","FQ4 2024","FQ4 2024","Currency=USD","Period=FQ","BEST_FPERIOD_OVERRIDE=FQ","FILING_STATUS=MR","Sort=A","Dates=H","DateFormat=P","Fill=—","Direction=H","UseDPDF=Y")</f>
        <v>-0.65</v>
      </c>
    </row>
    <row r="37" spans="1:27" x14ac:dyDescent="0.25">
      <c r="A37" s="10" t="s">
        <v>456</v>
      </c>
      <c r="B37" s="10" t="s">
        <v>457</v>
      </c>
      <c r="C37" s="13" t="str">
        <f>_xll.BDH("ALNY US Equity","ARD_WEIGHTED_AVG_SHARES_BASIC","FQ4 2018","FQ4 2018","Currency=USD","Period=FQ","BEST_FPERIOD_OVERRIDE=FQ","FILING_STATUS=MR","Sort=A","Dates=H","DateFormat=P","Fill=—","Direction=H","UseDPDF=Y")</f>
        <v>—</v>
      </c>
      <c r="D37" s="13" t="str">
        <f>_xll.BDH("ALNY US Equity","ARD_WEIGHTED_AVG_SHARES_BASIC","FQ1 2019","FQ1 2019","Currency=USD","Period=FQ","BEST_FPERIOD_OVERRIDE=FQ","FILING_STATUS=MR","Sort=A","Dates=H","DateFormat=P","Fill=—","Direction=H","UseDPDF=Y")</f>
        <v>—</v>
      </c>
      <c r="E37" s="13" t="str">
        <f>_xll.BDH("ALNY US Equity","ARD_WEIGHTED_AVG_SHARES_BASIC","FQ2 2019","FQ2 2019","Currency=USD","Period=FQ","BEST_FPERIOD_OVERRIDE=FQ","FILING_STATUS=MR","Sort=A","Dates=H","DateFormat=P","Fill=—","Direction=H","UseDPDF=Y")</f>
        <v>—</v>
      </c>
      <c r="F37" s="13" t="str">
        <f>_xll.BDH("ALNY US Equity","ARD_WEIGHTED_AVG_SHARES_BASIC","FQ3 2019","FQ3 2019","Currency=USD","Period=FQ","BEST_FPERIOD_OVERRIDE=FQ","FILING_STATUS=MR","Sort=A","Dates=H","DateFormat=P","Fill=—","Direction=H","UseDPDF=Y")</f>
        <v>—</v>
      </c>
      <c r="G37" s="13" t="str">
        <f>_xll.BDH("ALNY US Equity","ARD_WEIGHTED_AVG_SHARES_BASIC","FQ4 2019","FQ4 2019","Currency=USD","Period=FQ","BEST_FPERIOD_OVERRIDE=FQ","FILING_STATUS=MR","Sort=A","Dates=H","DateFormat=P","Fill=—","Direction=H","UseDPDF=Y")</f>
        <v>—</v>
      </c>
      <c r="H37" s="13" t="str">
        <f>_xll.BDH("ALNY US Equity","ARD_WEIGHTED_AVG_SHARES_BASIC","FQ1 2020","FQ1 2020","Currency=USD","Period=FQ","BEST_FPERIOD_OVERRIDE=FQ","FILING_STATUS=MR","Sort=A","Dates=H","DateFormat=P","Fill=—","Direction=H","UseDPDF=Y")</f>
        <v>—</v>
      </c>
      <c r="I37" s="13" t="str">
        <f>_xll.BDH("ALNY US Equity","ARD_WEIGHTED_AVG_SHARES_BASIC","FQ2 2020","FQ2 2020","Currency=USD","Period=FQ","BEST_FPERIOD_OVERRIDE=FQ","FILING_STATUS=MR","Sort=A","Dates=H","DateFormat=P","Fill=—","Direction=H","UseDPDF=Y")</f>
        <v>—</v>
      </c>
      <c r="J37" s="13" t="str">
        <f>_xll.BDH("ALNY US Equity","ARD_WEIGHTED_AVG_SHARES_BASIC","FQ3 2020","FQ3 2020","Currency=USD","Period=FQ","BEST_FPERIOD_OVERRIDE=FQ","FILING_STATUS=MR","Sort=A","Dates=H","DateFormat=P","Fill=—","Direction=H","UseDPDF=Y")</f>
        <v>—</v>
      </c>
      <c r="K37" s="13" t="str">
        <f>_xll.BDH("ALNY US Equity","ARD_WEIGHTED_AVG_SHARES_BASIC","FQ4 2020","FQ4 2020","Currency=USD","Period=FQ","BEST_FPERIOD_OVERRIDE=FQ","FILING_STATUS=MR","Sort=A","Dates=H","DateFormat=P","Fill=—","Direction=H","UseDPDF=Y")</f>
        <v>—</v>
      </c>
      <c r="L37" s="13" t="str">
        <f>_xll.BDH("ALNY US Equity","ARD_WEIGHTED_AVG_SHARES_BASIC","FQ1 2021","FQ1 2021","Currency=USD","Period=FQ","BEST_FPERIOD_OVERRIDE=FQ","FILING_STATUS=MR","Sort=A","Dates=H","DateFormat=P","Fill=—","Direction=H","UseDPDF=Y")</f>
        <v>—</v>
      </c>
      <c r="M37" s="13" t="str">
        <f>_xll.BDH("ALNY US Equity","ARD_WEIGHTED_AVG_SHARES_BASIC","FQ2 2021","FQ2 2021","Currency=USD","Period=FQ","BEST_FPERIOD_OVERRIDE=FQ","FILING_STATUS=MR","Sort=A","Dates=H","DateFormat=P","Fill=—","Direction=H","UseDPDF=Y")</f>
        <v>—</v>
      </c>
      <c r="N37" s="13" t="str">
        <f>_xll.BDH("ALNY US Equity","ARD_WEIGHTED_AVG_SHARES_BASIC","FQ3 2021","FQ3 2021","Currency=USD","Period=FQ","BEST_FPERIOD_OVERRIDE=FQ","FILING_STATUS=MR","Sort=A","Dates=H","DateFormat=P","Fill=—","Direction=H","UseDPDF=Y")</f>
        <v>—</v>
      </c>
      <c r="O37" s="13" t="str">
        <f>_xll.BDH("ALNY US Equity","ARD_WEIGHTED_AVG_SHARES_BASIC","FQ4 2021","FQ4 2021","Currency=USD","Period=FQ","BEST_FPERIOD_OVERRIDE=FQ","FILING_STATUS=MR","Sort=A","Dates=H","DateFormat=P","Fill=—","Direction=H","UseDPDF=Y")</f>
        <v>—</v>
      </c>
      <c r="P37" s="13" t="str">
        <f>_xll.BDH("ALNY US Equity","ARD_WEIGHTED_AVG_SHARES_BASIC","FQ1 2022","FQ1 2022","Currency=USD","Period=FQ","BEST_FPERIOD_OVERRIDE=FQ","FILING_STATUS=MR","Sort=A","Dates=H","DateFormat=P","Fill=—","Direction=H","UseDPDF=Y")</f>
        <v>—</v>
      </c>
      <c r="Q37" s="13" t="str">
        <f>_xll.BDH("ALNY US Equity","ARD_WEIGHTED_AVG_SHARES_BASIC","FQ2 2022","FQ2 2022","Currency=USD","Period=FQ","BEST_FPERIOD_OVERRIDE=FQ","FILING_STATUS=MR","Sort=A","Dates=H","DateFormat=P","Fill=—","Direction=H","UseDPDF=Y")</f>
        <v>—</v>
      </c>
      <c r="R37" s="13">
        <f>_xll.BDH("ALNY US Equity","ARD_WEIGHTED_AVG_SHARES_BASIC","FQ3 2022","FQ3 2022","Currency=USD","Period=FQ","BEST_FPERIOD_OVERRIDE=FQ","FILING_STATUS=MR","Sort=A","Dates=H","DateFormat=P","Fill=—","Direction=H","UseDPDF=Y")</f>
        <v>122.166</v>
      </c>
      <c r="S37" s="13">
        <f>_xll.BDH("ALNY US Equity","ARD_WEIGHTED_AVG_SHARES_BASIC","FQ4 2022","FQ4 2022","Currency=USD","Period=FQ","BEST_FPERIOD_OVERRIDE=FQ","FILING_STATUS=MR","Sort=A","Dates=H","DateFormat=P","Fill=—","Direction=H","UseDPDF=Y")</f>
        <v>123.26600000000001</v>
      </c>
      <c r="T37" s="13" t="str">
        <f>_xll.BDH("ALNY US Equity","ARD_WEIGHTED_AVG_SHARES_BASIC","FQ1 2023","FQ1 2023","Currency=USD","Period=FQ","BEST_FPERIOD_OVERRIDE=FQ","FILING_STATUS=MR","Sort=A","Dates=H","DateFormat=P","Fill=—","Direction=H","UseDPDF=Y")</f>
        <v>—</v>
      </c>
      <c r="U37" s="13">
        <f>_xll.BDH("ALNY US Equity","ARD_WEIGHTED_AVG_SHARES_BASIC","FQ2 2023","FQ2 2023","Currency=USD","Period=FQ","BEST_FPERIOD_OVERRIDE=FQ","FILING_STATUS=MR","Sort=A","Dates=H","DateFormat=P","Fill=—","Direction=H","UseDPDF=Y")</f>
        <v>124.65900000000001</v>
      </c>
      <c r="V37" s="13">
        <f>_xll.BDH("ALNY US Equity","ARD_WEIGHTED_AVG_SHARES_BASIC","FQ3 2023","FQ3 2023","Currency=USD","Period=FQ","BEST_FPERIOD_OVERRIDE=FQ","FILING_STATUS=MR","Sort=A","Dates=H","DateFormat=P","Fill=—","Direction=H","UseDPDF=Y")</f>
        <v>125.22</v>
      </c>
      <c r="W37" s="13">
        <f>_xll.BDH("ALNY US Equity","ARD_WEIGHTED_AVG_SHARES_BASIC","FQ4 2023","FQ4 2023","Currency=USD","Period=FQ","BEST_FPERIOD_OVERRIDE=FQ","FILING_STATUS=MR","Sort=A","Dates=H","DateFormat=P","Fill=—","Direction=H","UseDPDF=Y")</f>
        <v>125.613</v>
      </c>
      <c r="X37" s="13" t="str">
        <f>_xll.BDH("ALNY US Equity","ARD_WEIGHTED_AVG_SHARES_BASIC","FQ1 2024","FQ1 2024","Currency=USD","Period=FQ","BEST_FPERIOD_OVERRIDE=FQ","FILING_STATUS=MR","Sort=A","Dates=H","DateFormat=P","Fill=—","Direction=H","UseDPDF=Y")</f>
        <v>—</v>
      </c>
      <c r="Y37" s="13">
        <f>_xll.BDH("ALNY US Equity","ARD_WEIGHTED_AVG_SHARES_BASIC","FQ2 2024","FQ2 2024","Currency=USD","Period=FQ","BEST_FPERIOD_OVERRIDE=FQ","FILING_STATUS=MR","Sort=A","Dates=H","DateFormat=P","Fill=—","Direction=H","UseDPDF=Y")</f>
        <v>126.733</v>
      </c>
      <c r="Z37" s="13">
        <f>_xll.BDH("ALNY US Equity","ARD_WEIGHTED_AVG_SHARES_BASIC","FQ3 2024","FQ3 2024","Currency=USD","Period=FQ","BEST_FPERIOD_OVERRIDE=FQ","FILING_STATUS=MR","Sort=A","Dates=H","DateFormat=P","Fill=—","Direction=H","UseDPDF=Y")</f>
        <v>128.59</v>
      </c>
      <c r="AA37" s="13">
        <f>_xll.BDH("ALNY US Equity","ARD_WEIGHTED_AVG_SHARES_BASIC","FQ4 2024","FQ4 2024","Currency=USD","Period=FQ","BEST_FPERIOD_OVERRIDE=FQ","FILING_STATUS=MR","Sort=A","Dates=H","DateFormat=P","Fill=—","Direction=H","UseDPDF=Y")</f>
        <v>129.11600000000001</v>
      </c>
    </row>
    <row r="38" spans="1:27" x14ac:dyDescent="0.25">
      <c r="A38" s="10" t="s">
        <v>458</v>
      </c>
      <c r="B38" s="10" t="s">
        <v>459</v>
      </c>
      <c r="C38" s="14" t="str">
        <f>_xll.BDH("ALNY US Equity","ARD_DILUTED_EPS","FQ4 2018","FQ4 2018","Currency=USD","Period=FQ","BEST_FPERIOD_OVERRIDE=FQ","FILING_STATUS=MR","Sort=A","Dates=H","DateFormat=P","Fill=—","Direction=H","UseDPDF=Y")</f>
        <v>—</v>
      </c>
      <c r="D38" s="14" t="str">
        <f>_xll.BDH("ALNY US Equity","ARD_DILUTED_EPS","FQ1 2019","FQ1 2019","Currency=USD","Period=FQ","BEST_FPERIOD_OVERRIDE=FQ","FILING_STATUS=MR","Sort=A","Dates=H","DateFormat=P","Fill=—","Direction=H","UseDPDF=Y")</f>
        <v>—</v>
      </c>
      <c r="E38" s="14" t="str">
        <f>_xll.BDH("ALNY US Equity","ARD_DILUTED_EPS","FQ2 2019","FQ2 2019","Currency=USD","Period=FQ","BEST_FPERIOD_OVERRIDE=FQ","FILING_STATUS=MR","Sort=A","Dates=H","DateFormat=P","Fill=—","Direction=H","UseDPDF=Y")</f>
        <v>—</v>
      </c>
      <c r="F38" s="14" t="str">
        <f>_xll.BDH("ALNY US Equity","ARD_DILUTED_EPS","FQ3 2019","FQ3 2019","Currency=USD","Period=FQ","BEST_FPERIOD_OVERRIDE=FQ","FILING_STATUS=MR","Sort=A","Dates=H","DateFormat=P","Fill=—","Direction=H","UseDPDF=Y")</f>
        <v>—</v>
      </c>
      <c r="G38" s="14" t="str">
        <f>_xll.BDH("ALNY US Equity","ARD_DILUTED_EPS","FQ4 2019","FQ4 2019","Currency=USD","Period=FQ","BEST_FPERIOD_OVERRIDE=FQ","FILING_STATUS=MR","Sort=A","Dates=H","DateFormat=P","Fill=—","Direction=H","UseDPDF=Y")</f>
        <v>—</v>
      </c>
      <c r="H38" s="14" t="str">
        <f>_xll.BDH("ALNY US Equity","ARD_DILUTED_EPS","FQ1 2020","FQ1 2020","Currency=USD","Period=FQ","BEST_FPERIOD_OVERRIDE=FQ","FILING_STATUS=MR","Sort=A","Dates=H","DateFormat=P","Fill=—","Direction=H","UseDPDF=Y")</f>
        <v>—</v>
      </c>
      <c r="I38" s="14" t="str">
        <f>_xll.BDH("ALNY US Equity","ARD_DILUTED_EPS","FQ2 2020","FQ2 2020","Currency=USD","Period=FQ","BEST_FPERIOD_OVERRIDE=FQ","FILING_STATUS=MR","Sort=A","Dates=H","DateFormat=P","Fill=—","Direction=H","UseDPDF=Y")</f>
        <v>—</v>
      </c>
      <c r="J38" s="14" t="str">
        <f>_xll.BDH("ALNY US Equity","ARD_DILUTED_EPS","FQ3 2020","FQ3 2020","Currency=USD","Period=FQ","BEST_FPERIOD_OVERRIDE=FQ","FILING_STATUS=MR","Sort=A","Dates=H","DateFormat=P","Fill=—","Direction=H","UseDPDF=Y")</f>
        <v>—</v>
      </c>
      <c r="K38" s="14" t="str">
        <f>_xll.BDH("ALNY US Equity","ARD_DILUTED_EPS","FQ4 2020","FQ4 2020","Currency=USD","Period=FQ","BEST_FPERIOD_OVERRIDE=FQ","FILING_STATUS=MR","Sort=A","Dates=H","DateFormat=P","Fill=—","Direction=H","UseDPDF=Y")</f>
        <v>—</v>
      </c>
      <c r="L38" s="14" t="str">
        <f>_xll.BDH("ALNY US Equity","ARD_DILUTED_EPS","FQ1 2021","FQ1 2021","Currency=USD","Period=FQ","BEST_FPERIOD_OVERRIDE=FQ","FILING_STATUS=MR","Sort=A","Dates=H","DateFormat=P","Fill=—","Direction=H","UseDPDF=Y")</f>
        <v>—</v>
      </c>
      <c r="M38" s="14" t="str">
        <f>_xll.BDH("ALNY US Equity","ARD_DILUTED_EPS","FQ2 2021","FQ2 2021","Currency=USD","Period=FQ","BEST_FPERIOD_OVERRIDE=FQ","FILING_STATUS=MR","Sort=A","Dates=H","DateFormat=P","Fill=—","Direction=H","UseDPDF=Y")</f>
        <v>—</v>
      </c>
      <c r="N38" s="14" t="str">
        <f>_xll.BDH("ALNY US Equity","ARD_DILUTED_EPS","FQ3 2021","FQ3 2021","Currency=USD","Period=FQ","BEST_FPERIOD_OVERRIDE=FQ","FILING_STATUS=MR","Sort=A","Dates=H","DateFormat=P","Fill=—","Direction=H","UseDPDF=Y")</f>
        <v>—</v>
      </c>
      <c r="O38" s="14" t="str">
        <f>_xll.BDH("ALNY US Equity","ARD_DILUTED_EPS","FQ4 2021","FQ4 2021","Currency=USD","Period=FQ","BEST_FPERIOD_OVERRIDE=FQ","FILING_STATUS=MR","Sort=A","Dates=H","DateFormat=P","Fill=—","Direction=H","UseDPDF=Y")</f>
        <v>—</v>
      </c>
      <c r="P38" s="14" t="str">
        <f>_xll.BDH("ALNY US Equity","ARD_DILUTED_EPS","FQ1 2022","FQ1 2022","Currency=USD","Period=FQ","BEST_FPERIOD_OVERRIDE=FQ","FILING_STATUS=MR","Sort=A","Dates=H","DateFormat=P","Fill=—","Direction=H","UseDPDF=Y")</f>
        <v>—</v>
      </c>
      <c r="Q38" s="14" t="str">
        <f>_xll.BDH("ALNY US Equity","ARD_DILUTED_EPS","FQ2 2022","FQ2 2022","Currency=USD","Period=FQ","BEST_FPERIOD_OVERRIDE=FQ","FILING_STATUS=MR","Sort=A","Dates=H","DateFormat=P","Fill=—","Direction=H","UseDPDF=Y")</f>
        <v>—</v>
      </c>
      <c r="R38" s="14">
        <f>_xll.BDH("ALNY US Equity","ARD_DILUTED_EPS","FQ3 2022","FQ3 2022","Currency=USD","Period=FQ","BEST_FPERIOD_OVERRIDE=FQ","FILING_STATUS=MR","Sort=A","Dates=H","DateFormat=P","Fill=—","Direction=H","UseDPDF=Y")</f>
        <v>-3.32</v>
      </c>
      <c r="S38" s="14">
        <f>_xll.BDH("ALNY US Equity","ARD_DILUTED_EPS","FQ4 2022","FQ4 2022","Currency=USD","Period=FQ","BEST_FPERIOD_OVERRIDE=FQ","FILING_STATUS=MR","Sort=A","Dates=H","DateFormat=P","Fill=—","Direction=H","UseDPDF=Y")</f>
        <v>-1.68</v>
      </c>
      <c r="T38" s="14" t="str">
        <f>_xll.BDH("ALNY US Equity","ARD_DILUTED_EPS","FQ1 2023","FQ1 2023","Currency=USD","Period=FQ","BEST_FPERIOD_OVERRIDE=FQ","FILING_STATUS=MR","Sort=A","Dates=H","DateFormat=P","Fill=—","Direction=H","UseDPDF=Y")</f>
        <v>—</v>
      </c>
      <c r="U38" s="14">
        <f>_xll.BDH("ALNY US Equity","ARD_DILUTED_EPS","FQ2 2023","FQ2 2023","Currency=USD","Period=FQ","BEST_FPERIOD_OVERRIDE=FQ","FILING_STATUS=MR","Sort=A","Dates=H","DateFormat=P","Fill=—","Direction=H","UseDPDF=Y")</f>
        <v>-2.21</v>
      </c>
      <c r="V38" s="14">
        <f>_xll.BDH("ALNY US Equity","ARD_DILUTED_EPS","FQ3 2023","FQ3 2023","Currency=USD","Period=FQ","BEST_FPERIOD_OVERRIDE=FQ","FILING_STATUS=MR","Sort=A","Dates=H","DateFormat=P","Fill=—","Direction=H","UseDPDF=Y")</f>
        <v>1.1499999999999999</v>
      </c>
      <c r="W38" s="14">
        <f>_xll.BDH("ALNY US Equity","ARD_DILUTED_EPS","FQ4 2023","FQ4 2023","Currency=USD","Period=FQ","BEST_FPERIOD_OVERRIDE=FQ","FILING_STATUS=MR","Sort=A","Dates=H","DateFormat=P","Fill=—","Direction=H","UseDPDF=Y")</f>
        <v>-1.1000000000000001</v>
      </c>
      <c r="X38" s="14" t="str">
        <f>_xll.BDH("ALNY US Equity","ARD_DILUTED_EPS","FQ1 2024","FQ1 2024","Currency=USD","Period=FQ","BEST_FPERIOD_OVERRIDE=FQ","FILING_STATUS=MR","Sort=A","Dates=H","DateFormat=P","Fill=—","Direction=H","UseDPDF=Y")</f>
        <v>—</v>
      </c>
      <c r="Y38" s="14">
        <f>_xll.BDH("ALNY US Equity","ARD_DILUTED_EPS","FQ2 2024","FQ2 2024","Currency=USD","Period=FQ","BEST_FPERIOD_OVERRIDE=FQ","FILING_STATUS=MR","Sort=A","Dates=H","DateFormat=P","Fill=—","Direction=H","UseDPDF=Y")</f>
        <v>-0.13</v>
      </c>
      <c r="Z38" s="14">
        <f>_xll.BDH("ALNY US Equity","ARD_DILUTED_EPS","FQ3 2024","FQ3 2024","Currency=USD","Period=FQ","BEST_FPERIOD_OVERRIDE=FQ","FILING_STATUS=MR","Sort=A","Dates=H","DateFormat=P","Fill=—","Direction=H","UseDPDF=Y")</f>
        <v>-0.87</v>
      </c>
      <c r="AA38" s="14">
        <f>_xll.BDH("ALNY US Equity","ARD_DILUTED_EPS","FQ4 2024","FQ4 2024","Currency=USD","Period=FQ","BEST_FPERIOD_OVERRIDE=FQ","FILING_STATUS=MR","Sort=A","Dates=H","DateFormat=P","Fill=—","Direction=H","UseDPDF=Y")</f>
        <v>-0.65</v>
      </c>
    </row>
    <row r="39" spans="1:27" x14ac:dyDescent="0.25">
      <c r="A39" s="10" t="s">
        <v>460</v>
      </c>
      <c r="B39" s="10" t="s">
        <v>461</v>
      </c>
      <c r="C39" s="13" t="str">
        <f>_xll.BDH("ALNY US Equity","ARD_WEIGHTED_AVG_SHARE_DILUTED","FQ4 2018","FQ4 2018","Currency=USD","Period=FQ","BEST_FPERIOD_OVERRIDE=FQ","FILING_STATUS=MR","Sort=A","Dates=H","DateFormat=P","Fill=—","Direction=H","UseDPDF=Y")</f>
        <v>—</v>
      </c>
      <c r="D39" s="13" t="str">
        <f>_xll.BDH("ALNY US Equity","ARD_WEIGHTED_AVG_SHARE_DILUTED","FQ1 2019","FQ1 2019","Currency=USD","Period=FQ","BEST_FPERIOD_OVERRIDE=FQ","FILING_STATUS=MR","Sort=A","Dates=H","DateFormat=P","Fill=—","Direction=H","UseDPDF=Y")</f>
        <v>—</v>
      </c>
      <c r="E39" s="13" t="str">
        <f>_xll.BDH("ALNY US Equity","ARD_WEIGHTED_AVG_SHARE_DILUTED","FQ2 2019","FQ2 2019","Currency=USD","Period=FQ","BEST_FPERIOD_OVERRIDE=FQ","FILING_STATUS=MR","Sort=A","Dates=H","DateFormat=P","Fill=—","Direction=H","UseDPDF=Y")</f>
        <v>—</v>
      </c>
      <c r="F39" s="13" t="str">
        <f>_xll.BDH("ALNY US Equity","ARD_WEIGHTED_AVG_SHARE_DILUTED","FQ3 2019","FQ3 2019","Currency=USD","Period=FQ","BEST_FPERIOD_OVERRIDE=FQ","FILING_STATUS=MR","Sort=A","Dates=H","DateFormat=P","Fill=—","Direction=H","UseDPDF=Y")</f>
        <v>—</v>
      </c>
      <c r="G39" s="13" t="str">
        <f>_xll.BDH("ALNY US Equity","ARD_WEIGHTED_AVG_SHARE_DILUTED","FQ4 2019","FQ4 2019","Currency=USD","Period=FQ","BEST_FPERIOD_OVERRIDE=FQ","FILING_STATUS=MR","Sort=A","Dates=H","DateFormat=P","Fill=—","Direction=H","UseDPDF=Y")</f>
        <v>—</v>
      </c>
      <c r="H39" s="13" t="str">
        <f>_xll.BDH("ALNY US Equity","ARD_WEIGHTED_AVG_SHARE_DILUTED","FQ1 2020","FQ1 2020","Currency=USD","Period=FQ","BEST_FPERIOD_OVERRIDE=FQ","FILING_STATUS=MR","Sort=A","Dates=H","DateFormat=P","Fill=—","Direction=H","UseDPDF=Y")</f>
        <v>—</v>
      </c>
      <c r="I39" s="13" t="str">
        <f>_xll.BDH("ALNY US Equity","ARD_WEIGHTED_AVG_SHARE_DILUTED","FQ2 2020","FQ2 2020","Currency=USD","Period=FQ","BEST_FPERIOD_OVERRIDE=FQ","FILING_STATUS=MR","Sort=A","Dates=H","DateFormat=P","Fill=—","Direction=H","UseDPDF=Y")</f>
        <v>—</v>
      </c>
      <c r="J39" s="13" t="str">
        <f>_xll.BDH("ALNY US Equity","ARD_WEIGHTED_AVG_SHARE_DILUTED","FQ3 2020","FQ3 2020","Currency=USD","Period=FQ","BEST_FPERIOD_OVERRIDE=FQ","FILING_STATUS=MR","Sort=A","Dates=H","DateFormat=P","Fill=—","Direction=H","UseDPDF=Y")</f>
        <v>—</v>
      </c>
      <c r="K39" s="13" t="str">
        <f>_xll.BDH("ALNY US Equity","ARD_WEIGHTED_AVG_SHARE_DILUTED","FQ4 2020","FQ4 2020","Currency=USD","Period=FQ","BEST_FPERIOD_OVERRIDE=FQ","FILING_STATUS=MR","Sort=A","Dates=H","DateFormat=P","Fill=—","Direction=H","UseDPDF=Y")</f>
        <v>—</v>
      </c>
      <c r="L39" s="13" t="str">
        <f>_xll.BDH("ALNY US Equity","ARD_WEIGHTED_AVG_SHARE_DILUTED","FQ1 2021","FQ1 2021","Currency=USD","Period=FQ","BEST_FPERIOD_OVERRIDE=FQ","FILING_STATUS=MR","Sort=A","Dates=H","DateFormat=P","Fill=—","Direction=H","UseDPDF=Y")</f>
        <v>—</v>
      </c>
      <c r="M39" s="13" t="str">
        <f>_xll.BDH("ALNY US Equity","ARD_WEIGHTED_AVG_SHARE_DILUTED","FQ2 2021","FQ2 2021","Currency=USD","Period=FQ","BEST_FPERIOD_OVERRIDE=FQ","FILING_STATUS=MR","Sort=A","Dates=H","DateFormat=P","Fill=—","Direction=H","UseDPDF=Y")</f>
        <v>—</v>
      </c>
      <c r="N39" s="13" t="str">
        <f>_xll.BDH("ALNY US Equity","ARD_WEIGHTED_AVG_SHARE_DILUTED","FQ3 2021","FQ3 2021","Currency=USD","Period=FQ","BEST_FPERIOD_OVERRIDE=FQ","FILING_STATUS=MR","Sort=A","Dates=H","DateFormat=P","Fill=—","Direction=H","UseDPDF=Y")</f>
        <v>—</v>
      </c>
      <c r="O39" s="13" t="str">
        <f>_xll.BDH("ALNY US Equity","ARD_WEIGHTED_AVG_SHARE_DILUTED","FQ4 2021","FQ4 2021","Currency=USD","Period=FQ","BEST_FPERIOD_OVERRIDE=FQ","FILING_STATUS=MR","Sort=A","Dates=H","DateFormat=P","Fill=—","Direction=H","UseDPDF=Y")</f>
        <v>—</v>
      </c>
      <c r="P39" s="13" t="str">
        <f>_xll.BDH("ALNY US Equity","ARD_WEIGHTED_AVG_SHARE_DILUTED","FQ1 2022","FQ1 2022","Currency=USD","Period=FQ","BEST_FPERIOD_OVERRIDE=FQ","FILING_STATUS=MR","Sort=A","Dates=H","DateFormat=P","Fill=—","Direction=H","UseDPDF=Y")</f>
        <v>—</v>
      </c>
      <c r="Q39" s="13" t="str">
        <f>_xll.BDH("ALNY US Equity","ARD_WEIGHTED_AVG_SHARE_DILUTED","FQ2 2022","FQ2 2022","Currency=USD","Period=FQ","BEST_FPERIOD_OVERRIDE=FQ","FILING_STATUS=MR","Sort=A","Dates=H","DateFormat=P","Fill=—","Direction=H","UseDPDF=Y")</f>
        <v>—</v>
      </c>
      <c r="R39" s="13">
        <f>_xll.BDH("ALNY US Equity","ARD_WEIGHTED_AVG_SHARE_DILUTED","FQ3 2022","FQ3 2022","Currency=USD","Period=FQ","BEST_FPERIOD_OVERRIDE=FQ","FILING_STATUS=MR","Sort=A","Dates=H","DateFormat=P","Fill=—","Direction=H","UseDPDF=Y")</f>
        <v>122.166</v>
      </c>
      <c r="S39" s="13">
        <f>_xll.BDH("ALNY US Equity","ARD_WEIGHTED_AVG_SHARE_DILUTED","FQ4 2022","FQ4 2022","Currency=USD","Period=FQ","BEST_FPERIOD_OVERRIDE=FQ","FILING_STATUS=MR","Sort=A","Dates=H","DateFormat=P","Fill=—","Direction=H","UseDPDF=Y")</f>
        <v>123.26600000000001</v>
      </c>
      <c r="T39" s="13" t="str">
        <f>_xll.BDH("ALNY US Equity","ARD_WEIGHTED_AVG_SHARE_DILUTED","FQ1 2023","FQ1 2023","Currency=USD","Period=FQ","BEST_FPERIOD_OVERRIDE=FQ","FILING_STATUS=MR","Sort=A","Dates=H","DateFormat=P","Fill=—","Direction=H","UseDPDF=Y")</f>
        <v>—</v>
      </c>
      <c r="U39" s="13">
        <f>_xll.BDH("ALNY US Equity","ARD_WEIGHTED_AVG_SHARE_DILUTED","FQ2 2023","FQ2 2023","Currency=USD","Period=FQ","BEST_FPERIOD_OVERRIDE=FQ","FILING_STATUS=MR","Sort=A","Dates=H","DateFormat=P","Fill=—","Direction=H","UseDPDF=Y")</f>
        <v>124.65900000000001</v>
      </c>
      <c r="V39" s="13">
        <f>_xll.BDH("ALNY US Equity","ARD_WEIGHTED_AVG_SHARE_DILUTED","FQ3 2023","FQ3 2023","Currency=USD","Period=FQ","BEST_FPERIOD_OVERRIDE=FQ","FILING_STATUS=MR","Sort=A","Dates=H","DateFormat=P","Fill=—","Direction=H","UseDPDF=Y")</f>
        <v>131.33699999999999</v>
      </c>
      <c r="W39" s="13">
        <f>_xll.BDH("ALNY US Equity","ARD_WEIGHTED_AVG_SHARE_DILUTED","FQ4 2023","FQ4 2023","Currency=USD","Period=FQ","BEST_FPERIOD_OVERRIDE=FQ","FILING_STATUS=MR","Sort=A","Dates=H","DateFormat=P","Fill=—","Direction=H","UseDPDF=Y")</f>
        <v>125.613</v>
      </c>
      <c r="X39" s="13" t="str">
        <f>_xll.BDH("ALNY US Equity","ARD_WEIGHTED_AVG_SHARE_DILUTED","FQ1 2024","FQ1 2024","Currency=USD","Period=FQ","BEST_FPERIOD_OVERRIDE=FQ","FILING_STATUS=MR","Sort=A","Dates=H","DateFormat=P","Fill=—","Direction=H","UseDPDF=Y")</f>
        <v>—</v>
      </c>
      <c r="Y39" s="13">
        <f>_xll.BDH("ALNY US Equity","ARD_WEIGHTED_AVG_SHARE_DILUTED","FQ2 2024","FQ2 2024","Currency=USD","Period=FQ","BEST_FPERIOD_OVERRIDE=FQ","FILING_STATUS=MR","Sort=A","Dates=H","DateFormat=P","Fill=—","Direction=H","UseDPDF=Y")</f>
        <v>126.733</v>
      </c>
      <c r="Z39" s="13">
        <f>_xll.BDH("ALNY US Equity","ARD_WEIGHTED_AVG_SHARE_DILUTED","FQ3 2024","FQ3 2024","Currency=USD","Period=FQ","BEST_FPERIOD_OVERRIDE=FQ","FILING_STATUS=MR","Sort=A","Dates=H","DateFormat=P","Fill=—","Direction=H","UseDPDF=Y")</f>
        <v>128.59</v>
      </c>
      <c r="AA39" s="13">
        <f>_xll.BDH("ALNY US Equity","ARD_WEIGHTED_AVG_SHARE_DILUTED","FQ4 2024","FQ4 2024","Currency=USD","Period=FQ","BEST_FPERIOD_OVERRIDE=FQ","FILING_STATUS=MR","Sort=A","Dates=H","DateFormat=P","Fill=—","Direction=H","UseDPDF=Y")</f>
        <v>129.11600000000001</v>
      </c>
    </row>
    <row r="40" spans="1:27" x14ac:dyDescent="0.25">
      <c r="A40" s="10" t="s">
        <v>462</v>
      </c>
      <c r="B40" s="10" t="s">
        <v>463</v>
      </c>
      <c r="C40" s="14">
        <f>_xll.BDH("ALNY US Equity","ARD_BASIC_AND_DILUTED_EPS","FQ4 2018","FQ4 2018","Currency=USD","Period=FQ","BEST_FPERIOD_OVERRIDE=FQ","FILING_STATUS=MR","Sort=A","Dates=H","DateFormat=P","Fill=—","Direction=H","UseDPDF=Y")</f>
        <v>-2.09</v>
      </c>
      <c r="D40" s="14">
        <f>_xll.BDH("ALNY US Equity","ARD_BASIC_AND_DILUTED_EPS","FQ1 2019","FQ1 2019","Currency=USD","Period=FQ","BEST_FPERIOD_OVERRIDE=FQ","FILING_STATUS=MR","Sort=A","Dates=H","DateFormat=P","Fill=—","Direction=H","UseDPDF=Y")</f>
        <v>-1.73</v>
      </c>
      <c r="E40" s="14">
        <f>_xll.BDH("ALNY US Equity","ARD_BASIC_AND_DILUTED_EPS","FQ2 2019","FQ2 2019","Currency=USD","Period=FQ","BEST_FPERIOD_OVERRIDE=FQ","FILING_STATUS=MR","Sort=A","Dates=H","DateFormat=P","Fill=—","Direction=H","UseDPDF=Y")</f>
        <v>-2.02</v>
      </c>
      <c r="F40" s="14">
        <f>_xll.BDH("ALNY US Equity","ARD_BASIC_AND_DILUTED_EPS","FQ3 2019","FQ3 2019","Currency=USD","Period=FQ","BEST_FPERIOD_OVERRIDE=FQ","FILING_STATUS=MR","Sort=A","Dates=H","DateFormat=P","Fill=—","Direction=H","UseDPDF=Y")</f>
        <v>-1.92</v>
      </c>
      <c r="G40" s="14">
        <f>_xll.BDH("ALNY US Equity","ARD_BASIC_AND_DILUTED_EPS","FQ4 2019","FQ4 2019","Currency=USD","Period=FQ","BEST_FPERIOD_OVERRIDE=FQ","FILING_STATUS=MR","Sort=A","Dates=H","DateFormat=P","Fill=—","Direction=H","UseDPDF=Y")</f>
        <v>-2.4700000000000002</v>
      </c>
      <c r="H40" s="14">
        <f>_xll.BDH("ALNY US Equity","ARD_BASIC_AND_DILUTED_EPS","FQ1 2020","FQ1 2020","Currency=USD","Period=FQ","BEST_FPERIOD_OVERRIDE=FQ","FILING_STATUS=MR","Sort=A","Dates=H","DateFormat=P","Fill=—","Direction=H","UseDPDF=Y")</f>
        <v>-1.62</v>
      </c>
      <c r="I40" s="14">
        <f>_xll.BDH("ALNY US Equity","ARD_BASIC_AND_DILUTED_EPS","FQ2 2020","FQ2 2020","Currency=USD","Period=FQ","BEST_FPERIOD_OVERRIDE=FQ","FILING_STATUS=MR","Sort=A","Dates=H","DateFormat=P","Fill=—","Direction=H","UseDPDF=Y")</f>
        <v>-1.56</v>
      </c>
      <c r="J40" s="14">
        <f>_xll.BDH("ALNY US Equity","ARD_BASIC_AND_DILUTED_EPS","FQ3 2020","FQ3 2020","Currency=USD","Period=FQ","BEST_FPERIOD_OVERRIDE=FQ","FILING_STATUS=MR","Sort=A","Dates=H","DateFormat=P","Fill=—","Direction=H","UseDPDF=Y")</f>
        <v>-2.1800000000000002</v>
      </c>
      <c r="K40" s="14">
        <f>_xll.BDH("ALNY US Equity","ARD_BASIC_AND_DILUTED_EPS","FQ4 2020","FQ4 2020","Currency=USD","Period=FQ","BEST_FPERIOD_OVERRIDE=FQ","FILING_STATUS=MR","Sort=A","Dates=H","DateFormat=P","Fill=—","Direction=H","UseDPDF=Y")</f>
        <v>-2.09</v>
      </c>
      <c r="L40" s="14">
        <f>_xll.BDH("ALNY US Equity","ARD_BASIC_AND_DILUTED_EPS","FQ1 2021","FQ1 2021","Currency=USD","Period=FQ","BEST_FPERIOD_OVERRIDE=FQ","FILING_STATUS=MR","Sort=A","Dates=H","DateFormat=P","Fill=—","Direction=H","UseDPDF=Y")</f>
        <v>-1.71</v>
      </c>
      <c r="M40" s="14">
        <f>_xll.BDH("ALNY US Equity","ARD_BASIC_AND_DILUTED_EPS","FQ2 2021","FQ2 2021","Currency=USD","Period=FQ","BEST_FPERIOD_OVERRIDE=FQ","FILING_STATUS=MR","Sort=A","Dates=H","DateFormat=P","Fill=—","Direction=H","UseDPDF=Y")</f>
        <v>-1.61</v>
      </c>
      <c r="N40" s="14">
        <f>_xll.BDH("ALNY US Equity","ARD_BASIC_AND_DILUTED_EPS","FQ3 2021","FQ3 2021","Currency=USD","Period=FQ","BEST_FPERIOD_OVERRIDE=FQ","FILING_STATUS=MR","Sort=A","Dates=H","DateFormat=P","Fill=—","Direction=H","UseDPDF=Y")</f>
        <v>-1.72</v>
      </c>
      <c r="O40" s="14">
        <f>_xll.BDH("ALNY US Equity","ARD_BASIC_AND_DILUTED_EPS","FQ4 2021","FQ4 2021","Currency=USD","Period=FQ","BEST_FPERIOD_OVERRIDE=FQ","FILING_STATUS=MR","Sort=A","Dates=H","DateFormat=P","Fill=—","Direction=H","UseDPDF=Y")</f>
        <v>-2.16</v>
      </c>
      <c r="P40" s="14">
        <f>_xll.BDH("ALNY US Equity","ARD_BASIC_AND_DILUTED_EPS","FQ1 2022","FQ1 2022","Currency=USD","Period=FQ","BEST_FPERIOD_OVERRIDE=FQ","FILING_STATUS=MR","Sort=A","Dates=H","DateFormat=P","Fill=—","Direction=H","UseDPDF=Y")</f>
        <v>-2</v>
      </c>
      <c r="Q40" s="14">
        <f>_xll.BDH("ALNY US Equity","ARD_BASIC_AND_DILUTED_EPS","FQ2 2022","FQ2 2022","Currency=USD","Period=FQ","BEST_FPERIOD_OVERRIDE=FQ","FILING_STATUS=MR","Sort=A","Dates=H","DateFormat=P","Fill=—","Direction=H","UseDPDF=Y")</f>
        <v>-2.29</v>
      </c>
      <c r="R40" s="14">
        <f>_xll.BDH("ALNY US Equity","ARD_BASIC_AND_DILUTED_EPS","FQ3 2022","FQ3 2022","Currency=USD","Period=FQ","BEST_FPERIOD_OVERRIDE=FQ","FILING_STATUS=MR","Sort=A","Dates=H","DateFormat=P","Fill=—","Direction=H","UseDPDF=Y")</f>
        <v>-3.32</v>
      </c>
      <c r="S40" s="14">
        <f>_xll.BDH("ALNY US Equity","ARD_BASIC_AND_DILUTED_EPS","FQ4 2022","FQ4 2022","Currency=USD","Period=FQ","BEST_FPERIOD_OVERRIDE=FQ","FILING_STATUS=MR","Sort=A","Dates=H","DateFormat=P","Fill=—","Direction=H","UseDPDF=Y")</f>
        <v>-1.68</v>
      </c>
      <c r="T40" s="14">
        <f>_xll.BDH("ALNY US Equity","ARD_BASIC_AND_DILUTED_EPS","FQ1 2023","FQ1 2023","Currency=USD","Period=FQ","BEST_FPERIOD_OVERRIDE=FQ","FILING_STATUS=MR","Sort=A","Dates=H","DateFormat=P","Fill=—","Direction=H","UseDPDF=Y")</f>
        <v>-1.4</v>
      </c>
      <c r="U40" s="14">
        <f>_xll.BDH("ALNY US Equity","ARD_BASIC_AND_DILUTED_EPS","FQ2 2023","FQ2 2023","Currency=USD","Period=FQ","BEST_FPERIOD_OVERRIDE=FQ","FILING_STATUS=MR","Sort=A","Dates=H","DateFormat=P","Fill=—","Direction=H","UseDPDF=Y")</f>
        <v>-2.21</v>
      </c>
      <c r="V40" s="14" t="str">
        <f>_xll.BDH("ALNY US Equity","ARD_BASIC_AND_DILUTED_EPS","FQ3 2023","FQ3 2023","Currency=USD","Period=FQ","BEST_FPERIOD_OVERRIDE=FQ","FILING_STATUS=MR","Sort=A","Dates=H","DateFormat=P","Fill=—","Direction=H","UseDPDF=Y")</f>
        <v>—</v>
      </c>
      <c r="W40" s="14">
        <f>_xll.BDH("ALNY US Equity","ARD_BASIC_AND_DILUTED_EPS","FQ4 2023","FQ4 2023","Currency=USD","Period=FQ","BEST_FPERIOD_OVERRIDE=FQ","FILING_STATUS=MR","Sort=A","Dates=H","DateFormat=P","Fill=—","Direction=H","UseDPDF=Y")</f>
        <v>-1.1000000000000001</v>
      </c>
      <c r="X40" s="14">
        <f>_xll.BDH("ALNY US Equity","ARD_BASIC_AND_DILUTED_EPS","FQ1 2024","FQ1 2024","Currency=USD","Period=FQ","BEST_FPERIOD_OVERRIDE=FQ","FILING_STATUS=MR","Sort=A","Dates=H","DateFormat=P","Fill=—","Direction=H","UseDPDF=Y")</f>
        <v>-0.52</v>
      </c>
      <c r="Y40" s="14">
        <f>_xll.BDH("ALNY US Equity","ARD_BASIC_AND_DILUTED_EPS","FQ2 2024","FQ2 2024","Currency=USD","Period=FQ","BEST_FPERIOD_OVERRIDE=FQ","FILING_STATUS=MR","Sort=A","Dates=H","DateFormat=P","Fill=—","Direction=H","UseDPDF=Y")</f>
        <v>-0.13</v>
      </c>
      <c r="Z40" s="14" t="str">
        <f>_xll.BDH("ALNY US Equity","ARD_BASIC_AND_DILUTED_EPS","FQ3 2024","FQ3 2024","Currency=USD","Period=FQ","BEST_FPERIOD_OVERRIDE=FQ","FILING_STATUS=MR","Sort=A","Dates=H","DateFormat=P","Fill=—","Direction=H","UseDPDF=Y")</f>
        <v>—</v>
      </c>
      <c r="AA40" s="14">
        <f>_xll.BDH("ALNY US Equity","ARD_BASIC_AND_DILUTED_EPS","FQ4 2024","FQ4 2024","Currency=USD","Period=FQ","BEST_FPERIOD_OVERRIDE=FQ","FILING_STATUS=MR","Sort=A","Dates=H","DateFormat=P","Fill=—","Direction=H","UseDPDF=Y")</f>
        <v>-0.65</v>
      </c>
    </row>
    <row r="41" spans="1:27" x14ac:dyDescent="0.25">
      <c r="A41" s="10" t="s">
        <v>464</v>
      </c>
      <c r="B41" s="10" t="s">
        <v>465</v>
      </c>
      <c r="C41" s="13">
        <f>_xll.BDH("ALNY US Equity","ARD_WTD_AVG_SHS_BASIC_DILUTED","FQ4 2018","FQ4 2018","Currency=USD","Period=FQ","BEST_FPERIOD_OVERRIDE=FQ","FILING_STATUS=MR","Sort=A","Dates=H","DateFormat=P","Fill=—","Direction=H","UseDPDF=Y")</f>
        <v>101.066</v>
      </c>
      <c r="D41" s="13">
        <f>_xll.BDH("ALNY US Equity","ARD_WTD_AVG_SHS_BASIC_DILUTED","FQ1 2019","FQ1 2019","Currency=USD","Period=FQ","BEST_FPERIOD_OVERRIDE=FQ","FILING_STATUS=MR","Sort=A","Dates=H","DateFormat=P","Fill=—","Direction=H","UseDPDF=Y")</f>
        <v>105.4</v>
      </c>
      <c r="E41" s="13">
        <f>_xll.BDH("ALNY US Equity","ARD_WTD_AVG_SHS_BASIC_DILUTED","FQ2 2019","FQ2 2019","Currency=USD","Period=FQ","BEST_FPERIOD_OVERRIDE=FQ","FILING_STATUS=MR","Sort=A","Dates=H","DateFormat=P","Fill=—","Direction=H","UseDPDF=Y")</f>
        <v>108.57599999999999</v>
      </c>
      <c r="F41" s="13">
        <f>_xll.BDH("ALNY US Equity","ARD_WTD_AVG_SHS_BASIC_DILUTED","FQ3 2019","FQ3 2019","Currency=USD","Period=FQ","BEST_FPERIOD_OVERRIDE=FQ","FILING_STATUS=MR","Sort=A","Dates=H","DateFormat=P","Fill=—","Direction=H","UseDPDF=Y")</f>
        <v>108.70099999999999</v>
      </c>
      <c r="G41" s="13">
        <f>_xll.BDH("ALNY US Equity","ARD_WTD_AVG_SHS_BASIC_DILUTED","FQ4 2019","FQ4 2019","Currency=USD","Period=FQ","BEST_FPERIOD_OVERRIDE=FQ","FILING_STATUS=MR","Sort=A","Dates=H","DateFormat=P","Fill=—","Direction=H","UseDPDF=Y")</f>
        <v>111.75</v>
      </c>
      <c r="H41" s="13">
        <f>_xll.BDH("ALNY US Equity","ARD_WTD_AVG_SHS_BASIC_DILUTED","FQ1 2020","FQ1 2020","Currency=USD","Period=FQ","BEST_FPERIOD_OVERRIDE=FQ","FILING_STATUS=MR","Sort=A","Dates=H","DateFormat=P","Fill=—","Direction=H","UseDPDF=Y")</f>
        <v>112.748</v>
      </c>
      <c r="I41" s="13">
        <f>_xll.BDH("ALNY US Equity","ARD_WTD_AVG_SHS_BASIC_DILUTED","FQ2 2020","FQ2 2020","Currency=USD","Period=FQ","BEST_FPERIOD_OVERRIDE=FQ","FILING_STATUS=MR","Sort=A","Dates=H","DateFormat=P","Fill=—","Direction=H","UseDPDF=Y")</f>
        <v>114.911</v>
      </c>
      <c r="J41" s="13">
        <f>_xll.BDH("ALNY US Equity","ARD_WTD_AVG_SHS_BASIC_DILUTED","FQ3 2020","FQ3 2020","Currency=USD","Period=FQ","BEST_FPERIOD_OVERRIDE=FQ","FILING_STATUS=MR","Sort=A","Dates=H","DateFormat=P","Fill=—","Direction=H","UseDPDF=Y")</f>
        <v>115.986</v>
      </c>
      <c r="K41" s="13">
        <f>_xll.BDH("ALNY US Equity","ARD_WTD_AVG_SHS_BASIC_DILUTED","FQ4 2020","FQ4 2020","Currency=USD","Period=FQ","BEST_FPERIOD_OVERRIDE=FQ","FILING_STATUS=MR","Sort=A","Dates=H","DateFormat=P","Fill=—","Direction=H","UseDPDF=Y")</f>
        <v>116.274</v>
      </c>
      <c r="L41" s="13">
        <f>_xll.BDH("ALNY US Equity","ARD_WTD_AVG_SHS_BASIC_DILUTED","FQ1 2021","FQ1 2021","Currency=USD","Period=FQ","BEST_FPERIOD_OVERRIDE=FQ","FILING_STATUS=MR","Sort=A","Dates=H","DateFormat=P","Fill=—","Direction=H","UseDPDF=Y")</f>
        <v>117.08</v>
      </c>
      <c r="M41" s="13">
        <f>_xll.BDH("ALNY US Equity","ARD_WTD_AVG_SHS_BASIC_DILUTED","FQ2 2021","FQ2 2021","Currency=USD","Period=FQ","BEST_FPERIOD_OVERRIDE=FQ","FILING_STATUS=MR","Sort=A","Dates=H","DateFormat=P","Fill=—","Direction=H","UseDPDF=Y")</f>
        <v>117.77200000000001</v>
      </c>
      <c r="N41" s="13">
        <f>_xll.BDH("ALNY US Equity","ARD_WTD_AVG_SHS_BASIC_DILUTED","FQ3 2021","FQ3 2021","Currency=USD","Period=FQ","BEST_FPERIOD_OVERRIDE=FQ","FILING_STATUS=MR","Sort=A","Dates=H","DateFormat=P","Fill=—","Direction=H","UseDPDF=Y")</f>
        <v>119.14100000000001</v>
      </c>
      <c r="O41" s="13">
        <f>_xll.BDH("ALNY US Equity","ARD_WTD_AVG_SHS_BASIC_DILUTED","FQ4 2021","FQ4 2021","Currency=USD","Period=FQ","BEST_FPERIOD_OVERRIDE=FQ","FILING_STATUS=MR","Sort=A","Dates=H","DateFormat=P","Fill=—","Direction=H","UseDPDF=Y")</f>
        <v>119.773</v>
      </c>
      <c r="P41" s="13">
        <f>_xll.BDH("ALNY US Equity","ARD_WTD_AVG_SHS_BASIC_DILUTED","FQ1 2022","FQ1 2022","Currency=USD","Period=FQ","BEST_FPERIOD_OVERRIDE=FQ","FILING_STATUS=MR","Sort=A","Dates=H","DateFormat=P","Fill=—","Direction=H","UseDPDF=Y")</f>
        <v>120.393</v>
      </c>
      <c r="Q41" s="13">
        <f>_xll.BDH("ALNY US Equity","ARD_WTD_AVG_SHS_BASIC_DILUTED","FQ2 2022","FQ2 2022","Currency=USD","Period=FQ","BEST_FPERIOD_OVERRIDE=FQ","FILING_STATUS=MR","Sort=A","Dates=H","DateFormat=P","Fill=—","Direction=H","UseDPDF=Y")</f>
        <v>120.896</v>
      </c>
      <c r="R41" s="13">
        <f>_xll.BDH("ALNY US Equity","ARD_WTD_AVG_SHS_BASIC_DILUTED","FQ3 2022","FQ3 2022","Currency=USD","Period=FQ","BEST_FPERIOD_OVERRIDE=FQ","FILING_STATUS=MR","Sort=A","Dates=H","DateFormat=P","Fill=—","Direction=H","UseDPDF=Y")</f>
        <v>122.166</v>
      </c>
      <c r="S41" s="13">
        <f>_xll.BDH("ALNY US Equity","ARD_WTD_AVG_SHS_BASIC_DILUTED","FQ4 2022","FQ4 2022","Currency=USD","Period=FQ","BEST_FPERIOD_OVERRIDE=FQ","FILING_STATUS=MR","Sort=A","Dates=H","DateFormat=P","Fill=—","Direction=H","UseDPDF=Y")</f>
        <v>123.26600000000001</v>
      </c>
      <c r="T41" s="13">
        <f>_xll.BDH("ALNY US Equity","ARD_WTD_AVG_SHS_BASIC_DILUTED","FQ1 2023","FQ1 2023","Currency=USD","Period=FQ","BEST_FPERIOD_OVERRIDE=FQ","FILING_STATUS=MR","Sort=A","Dates=H","DateFormat=P","Fill=—","Direction=H","UseDPDF=Y")</f>
        <v>124.111</v>
      </c>
      <c r="U41" s="13">
        <f>_xll.BDH("ALNY US Equity","ARD_WTD_AVG_SHS_BASIC_DILUTED","FQ2 2023","FQ2 2023","Currency=USD","Period=FQ","BEST_FPERIOD_OVERRIDE=FQ","FILING_STATUS=MR","Sort=A","Dates=H","DateFormat=P","Fill=—","Direction=H","UseDPDF=Y")</f>
        <v>124.65900000000001</v>
      </c>
      <c r="V41" s="13" t="str">
        <f>_xll.BDH("ALNY US Equity","ARD_WTD_AVG_SHS_BASIC_DILUTED","FQ3 2023","FQ3 2023","Currency=USD","Period=FQ","BEST_FPERIOD_OVERRIDE=FQ","FILING_STATUS=MR","Sort=A","Dates=H","DateFormat=P","Fill=—","Direction=H","UseDPDF=Y")</f>
        <v>—</v>
      </c>
      <c r="W41" s="13">
        <f>_xll.BDH("ALNY US Equity","ARD_WTD_AVG_SHS_BASIC_DILUTED","FQ4 2023","FQ4 2023","Currency=USD","Period=FQ","BEST_FPERIOD_OVERRIDE=FQ","FILING_STATUS=MR","Sort=A","Dates=H","DateFormat=P","Fill=—","Direction=H","UseDPDF=Y")</f>
        <v>125.613</v>
      </c>
      <c r="X41" s="13">
        <f>_xll.BDH("ALNY US Equity","ARD_WTD_AVG_SHS_BASIC_DILUTED","FQ1 2024","FQ1 2024","Currency=USD","Period=FQ","BEST_FPERIOD_OVERRIDE=FQ","FILING_STATUS=MR","Sort=A","Dates=H","DateFormat=P","Fill=—","Direction=H","UseDPDF=Y")</f>
        <v>126.13800000000001</v>
      </c>
      <c r="Y41" s="13">
        <f>_xll.BDH("ALNY US Equity","ARD_WTD_AVG_SHS_BASIC_DILUTED","FQ2 2024","FQ2 2024","Currency=USD","Period=FQ","BEST_FPERIOD_OVERRIDE=FQ","FILING_STATUS=MR","Sort=A","Dates=H","DateFormat=P","Fill=—","Direction=H","UseDPDF=Y")</f>
        <v>126.733</v>
      </c>
      <c r="Z41" s="13" t="str">
        <f>_xll.BDH("ALNY US Equity","ARD_WTD_AVG_SHS_BASIC_DILUTED","FQ3 2024","FQ3 2024","Currency=USD","Period=FQ","BEST_FPERIOD_OVERRIDE=FQ","FILING_STATUS=MR","Sort=A","Dates=H","DateFormat=P","Fill=—","Direction=H","UseDPDF=Y")</f>
        <v>—</v>
      </c>
      <c r="AA41" s="13">
        <f>_xll.BDH("ALNY US Equity","ARD_WTD_AVG_SHS_BASIC_DILUTED","FQ4 2024","FQ4 2024","Currency=USD","Period=FQ","BEST_FPERIOD_OVERRIDE=FQ","FILING_STATUS=MR","Sort=A","Dates=H","DateFormat=P","Fill=—","Direction=H","UseDPDF=Y")</f>
        <v>129.11600000000001</v>
      </c>
    </row>
    <row r="42" spans="1:27" x14ac:dyDescent="0.25">
      <c r="A42" s="10" t="s">
        <v>466</v>
      </c>
      <c r="B42" s="10" t="s">
        <v>467</v>
      </c>
      <c r="C42" s="13" t="str">
        <f>_xll.BDH("ALNY US Equity","ARD_NET_INC_AVAIL_COM_SHRHLDR","FQ4 2018","FQ4 2018","Currency=USD","Period=FQ","BEST_FPERIOD_OVERRIDE=FQ","FILING_STATUS=MR","SCALING_FORMAT=MLN","Sort=A","Dates=H","DateFormat=P","Fill=—","Direction=H","UseDPDF=Y")</f>
        <v>—</v>
      </c>
      <c r="D42" s="13" t="str">
        <f>_xll.BDH("ALNY US Equity","ARD_NET_INC_AVAIL_COM_SHRHLDR","FQ1 2019","FQ1 2019","Currency=USD","Period=FQ","BEST_FPERIOD_OVERRIDE=FQ","FILING_STATUS=MR","SCALING_FORMAT=MLN","Sort=A","Dates=H","DateFormat=P","Fill=—","Direction=H","UseDPDF=Y")</f>
        <v>—</v>
      </c>
      <c r="E42" s="13">
        <f>_xll.BDH("ALNY US Equity","ARD_NET_INC_AVAIL_COM_SHRHLDR","FQ2 2019","FQ2 2019","Currency=USD","Period=FQ","BEST_FPERIOD_OVERRIDE=FQ","FILING_STATUS=MR","SCALING_FORMAT=MLN","Sort=A","Dates=H","DateFormat=P","Fill=—","Direction=H","UseDPDF=Y")</f>
        <v>-219.48099999999999</v>
      </c>
      <c r="F42" s="13">
        <f>_xll.BDH("ALNY US Equity","ARD_NET_INC_AVAIL_COM_SHRHLDR","FQ3 2019","FQ3 2019","Currency=USD","Period=FQ","BEST_FPERIOD_OVERRIDE=FQ","FILING_STATUS=MR","SCALING_FORMAT=MLN","Sort=A","Dates=H","DateFormat=P","Fill=—","Direction=H","UseDPDF=Y")</f>
        <v>-208.535</v>
      </c>
      <c r="G42" s="13">
        <f>_xll.BDH("ALNY US Equity","ARD_NET_INC_AVAIL_COM_SHRHLDR","FQ4 2019","FQ4 2019","Currency=USD","Period=FQ","BEST_FPERIOD_OVERRIDE=FQ","FILING_STATUS=MR","SCALING_FORMAT=MLN","Sort=A","Dates=H","DateFormat=P","Fill=—","Direction=H","UseDPDF=Y")</f>
        <v>-276.185</v>
      </c>
      <c r="H42" s="13">
        <f>_xll.BDH("ALNY US Equity","ARD_NET_INC_AVAIL_COM_SHRHLDR","FQ1 2020","FQ1 2020","Currency=USD","Period=FQ","BEST_FPERIOD_OVERRIDE=FQ","FILING_STATUS=MR","SCALING_FORMAT=MLN","Sort=A","Dates=H","DateFormat=P","Fill=—","Direction=H","UseDPDF=Y")</f>
        <v>-182.221</v>
      </c>
      <c r="I42" s="13">
        <f>_xll.BDH("ALNY US Equity","ARD_NET_INC_AVAIL_COM_SHRHLDR","FQ2 2020","FQ2 2020","Currency=USD","Period=FQ","BEST_FPERIOD_OVERRIDE=FQ","FILING_STATUS=MR","SCALING_FORMAT=MLN","Sort=A","Dates=H","DateFormat=P","Fill=—","Direction=H","UseDPDF=Y")</f>
        <v>-179.22900000000001</v>
      </c>
      <c r="J42" s="13">
        <f>_xll.BDH("ALNY US Equity","ARD_NET_INC_AVAIL_COM_SHRHLDR","FQ3 2020","FQ3 2020","Currency=USD","Period=FQ","BEST_FPERIOD_OVERRIDE=FQ","FILING_STATUS=MR","SCALING_FORMAT=MLN","Sort=A","Dates=H","DateFormat=P","Fill=—","Direction=H","UseDPDF=Y")</f>
        <v>-253.291</v>
      </c>
      <c r="K42" s="13">
        <f>_xll.BDH("ALNY US Equity","ARD_NET_INC_AVAIL_COM_SHRHLDR","FQ4 2020","FQ4 2020","Currency=USD","Period=FQ","BEST_FPERIOD_OVERRIDE=FQ","FILING_STATUS=MR","SCALING_FORMAT=MLN","Sort=A","Dates=H","DateFormat=P","Fill=—","Direction=H","UseDPDF=Y")</f>
        <v>-243.54</v>
      </c>
      <c r="L42" s="13">
        <f>_xll.BDH("ALNY US Equity","ARD_NET_INC_AVAIL_COM_SHRHLDR","FQ1 2021","FQ1 2021","Currency=USD","Period=FQ","BEST_FPERIOD_OVERRIDE=FQ","FILING_STATUS=MR","SCALING_FORMAT=MLN","Sort=A","Dates=H","DateFormat=P","Fill=—","Direction=H","UseDPDF=Y")</f>
        <v>-200.291</v>
      </c>
      <c r="M42" s="13">
        <f>_xll.BDH("ALNY US Equity","ARD_NET_INC_AVAIL_COM_SHRHLDR","FQ2 2021","FQ2 2021","Currency=USD","Period=FQ","BEST_FPERIOD_OVERRIDE=FQ","FILING_STATUS=MR","SCALING_FORMAT=MLN","Sort=A","Dates=H","DateFormat=P","Fill=—","Direction=H","UseDPDF=Y")</f>
        <v>-189.559</v>
      </c>
      <c r="N42" s="13">
        <f>_xll.BDH("ALNY US Equity","ARD_NET_INC_AVAIL_COM_SHRHLDR","FQ3 2021","FQ3 2021","Currency=USD","Period=FQ","BEST_FPERIOD_OVERRIDE=FQ","FILING_STATUS=MR","SCALING_FORMAT=MLN","Sort=A","Dates=H","DateFormat=P","Fill=—","Direction=H","UseDPDF=Y")</f>
        <v>-204.51400000000001</v>
      </c>
      <c r="O42" s="13">
        <f>_xll.BDH("ALNY US Equity","ARD_NET_INC_AVAIL_COM_SHRHLDR","FQ4 2021","FQ4 2021","Currency=USD","Period=FQ","BEST_FPERIOD_OVERRIDE=FQ","FILING_STATUS=MR","SCALING_FORMAT=MLN","Sort=A","Dates=H","DateFormat=P","Fill=—","Direction=H","UseDPDF=Y")</f>
        <v>-258.45999999999998</v>
      </c>
      <c r="P42" s="13">
        <f>_xll.BDH("ALNY US Equity","ARD_NET_INC_AVAIL_COM_SHRHLDR","FQ1 2022","FQ1 2022","Currency=USD","Period=FQ","BEST_FPERIOD_OVERRIDE=FQ","FILING_STATUS=MR","SCALING_FORMAT=MLN","Sort=A","Dates=H","DateFormat=P","Fill=—","Direction=H","UseDPDF=Y")</f>
        <v>-240.34100000000001</v>
      </c>
      <c r="Q42" s="13">
        <f>_xll.BDH("ALNY US Equity","ARD_NET_INC_AVAIL_COM_SHRHLDR","FQ2 2022","FQ2 2022","Currency=USD","Period=FQ","BEST_FPERIOD_OVERRIDE=FQ","FILING_STATUS=MR","SCALING_FORMAT=MLN","Sort=A","Dates=H","DateFormat=P","Fill=—","Direction=H","UseDPDF=Y")</f>
        <v>-277.40199999999999</v>
      </c>
      <c r="R42" s="13">
        <f>_xll.BDH("ALNY US Equity","ARD_NET_INC_AVAIL_COM_SHRHLDR","FQ3 2022","FQ3 2022","Currency=USD","Period=FQ","BEST_FPERIOD_OVERRIDE=FQ","FILING_STATUS=MR","SCALING_FORMAT=MLN","Sort=A","Dates=H","DateFormat=P","Fill=—","Direction=H","UseDPDF=Y")</f>
        <v>-405.92</v>
      </c>
      <c r="S42" s="13">
        <f>_xll.BDH("ALNY US Equity","ARD_NET_INC_AVAIL_COM_SHRHLDR","FQ4 2022","FQ4 2022","Currency=USD","Period=FQ","BEST_FPERIOD_OVERRIDE=FQ","FILING_STATUS=MR","SCALING_FORMAT=MLN","Sort=A","Dates=H","DateFormat=P","Fill=—","Direction=H","UseDPDF=Y")</f>
        <v>-207.49299999999999</v>
      </c>
      <c r="T42" s="13">
        <f>_xll.BDH("ALNY US Equity","ARD_NET_INC_AVAIL_COM_SHRHLDR","FQ1 2023","FQ1 2023","Currency=USD","Period=FQ","BEST_FPERIOD_OVERRIDE=FQ","FILING_STATUS=MR","SCALING_FORMAT=MLN","Sort=A","Dates=H","DateFormat=P","Fill=—","Direction=H","UseDPDF=Y")</f>
        <v>-174.101</v>
      </c>
      <c r="U42" s="13">
        <f>_xll.BDH("ALNY US Equity","ARD_NET_INC_AVAIL_COM_SHRHLDR","FQ2 2023","FQ2 2023","Currency=USD","Period=FQ","BEST_FPERIOD_OVERRIDE=FQ","FILING_STATUS=MR","SCALING_FORMAT=MLN","Sort=A","Dates=H","DateFormat=P","Fill=—","Direction=H","UseDPDF=Y")</f>
        <v>-276.024</v>
      </c>
      <c r="V42" s="13">
        <f>_xll.BDH("ALNY US Equity","ARD_NET_INC_AVAIL_COM_SHRHLDR","FQ3 2023","FQ3 2023","Currency=USD","Period=FQ","BEST_FPERIOD_OVERRIDE=FQ","FILING_STATUS=MR","SCALING_FORMAT=MLN","Sort=A","Dates=H","DateFormat=P","Fill=—","Direction=H","UseDPDF=Y")</f>
        <v>147.75299999999999</v>
      </c>
      <c r="W42" s="13">
        <f>_xll.BDH("ALNY US Equity","ARD_NET_INC_AVAIL_COM_SHRHLDR","FQ4 2023","FQ4 2023","Currency=USD","Period=FQ","BEST_FPERIOD_OVERRIDE=FQ","FILING_STATUS=MR","SCALING_FORMAT=MLN","Sort=A","Dates=H","DateFormat=P","Fill=—","Direction=H","UseDPDF=Y")</f>
        <v>-137.87</v>
      </c>
      <c r="X42" s="13">
        <f>_xll.BDH("ALNY US Equity","ARD_NET_INC_AVAIL_COM_SHRHLDR","FQ1 2024","FQ1 2024","Currency=USD","Period=FQ","BEST_FPERIOD_OVERRIDE=FQ","FILING_STATUS=MR","SCALING_FORMAT=MLN","Sort=A","Dates=H","DateFormat=P","Fill=—","Direction=H","UseDPDF=Y")</f>
        <v>-65.935000000000002</v>
      </c>
      <c r="Y42" s="13">
        <f>_xll.BDH("ALNY US Equity","ARD_NET_INC_AVAIL_COM_SHRHLDR","FQ2 2024","FQ2 2024","Currency=USD","Period=FQ","BEST_FPERIOD_OVERRIDE=FQ","FILING_STATUS=MR","SCALING_FORMAT=MLN","Sort=A","Dates=H","DateFormat=P","Fill=—","Direction=H","UseDPDF=Y")</f>
        <v>-16.888999999999999</v>
      </c>
      <c r="Z42" s="13">
        <f>_xll.BDH("ALNY US Equity","ARD_NET_INC_AVAIL_COM_SHRHLDR","FQ3 2024","FQ3 2024","Currency=USD","Period=FQ","BEST_FPERIOD_OVERRIDE=FQ","FILING_STATUS=MR","SCALING_FORMAT=MLN","Sort=A","Dates=H","DateFormat=P","Fill=—","Direction=H","UseDPDF=Y")</f>
        <v>-111.57</v>
      </c>
      <c r="AA42" s="13">
        <f>_xll.BDH("ALNY US Equity","ARD_NET_INC_AVAIL_COM_SHRHLDR","FQ4 2024","FQ4 2024","Currency=USD","Period=FQ","BEST_FPERIOD_OVERRIDE=FQ","FILING_STATUS=MR","SCALING_FORMAT=MLN","Sort=A","Dates=H","DateFormat=P","Fill=—","Direction=H","UseDPDF=Y")</f>
        <v>-83.763000000000005</v>
      </c>
    </row>
    <row r="43" spans="1:27" x14ac:dyDescent="0.25">
      <c r="A43" s="10" t="s">
        <v>468</v>
      </c>
      <c r="B43" s="10" t="s">
        <v>469</v>
      </c>
      <c r="C43" s="13" t="str">
        <f>_xll.BDH("ALNY US Equity","ARD_PROF_AFTER_TAX_BEF_MINORITY","FQ4 2018","FQ4 2018","Currency=USD","Period=FQ","BEST_FPERIOD_OVERRIDE=FQ","FILING_STATUS=MR","SCALING_FORMAT=MLN","Sort=A","Dates=H","DateFormat=P","Fill=—","Direction=H","UseDPDF=Y")</f>
        <v>—</v>
      </c>
      <c r="D43" s="13" t="str">
        <f>_xll.BDH("ALNY US Equity","ARD_PROF_AFTER_TAX_BEF_MINORITY","FQ1 2019","FQ1 2019","Currency=USD","Period=FQ","BEST_FPERIOD_OVERRIDE=FQ","FILING_STATUS=MR","SCALING_FORMAT=MLN","Sort=A","Dates=H","DateFormat=P","Fill=—","Direction=H","UseDPDF=Y")</f>
        <v>—</v>
      </c>
      <c r="E43" s="13" t="str">
        <f>_xll.BDH("ALNY US Equity","ARD_PROF_AFTER_TAX_BEF_MINORITY","FQ2 2019","FQ2 2019","Currency=USD","Period=FQ","BEST_FPERIOD_OVERRIDE=FQ","FILING_STATUS=MR","SCALING_FORMAT=MLN","Sort=A","Dates=H","DateFormat=P","Fill=—","Direction=H","UseDPDF=Y")</f>
        <v>—</v>
      </c>
      <c r="F43" s="13" t="str">
        <f>_xll.BDH("ALNY US Equity","ARD_PROF_AFTER_TAX_BEF_MINORITY","FQ3 2019","FQ3 2019","Currency=USD","Period=FQ","BEST_FPERIOD_OVERRIDE=FQ","FILING_STATUS=MR","SCALING_FORMAT=MLN","Sort=A","Dates=H","DateFormat=P","Fill=—","Direction=H","UseDPDF=Y")</f>
        <v>—</v>
      </c>
      <c r="G43" s="13" t="str">
        <f>_xll.BDH("ALNY US Equity","ARD_PROF_AFTER_TAX_BEF_MINORITY","FQ4 2019","FQ4 2019","Currency=USD","Period=FQ","BEST_FPERIOD_OVERRIDE=FQ","FILING_STATUS=MR","SCALING_FORMAT=MLN","Sort=A","Dates=H","DateFormat=P","Fill=—","Direction=H","UseDPDF=Y")</f>
        <v>—</v>
      </c>
      <c r="H43" s="13" t="str">
        <f>_xll.BDH("ALNY US Equity","ARD_PROF_AFTER_TAX_BEF_MINORITY","FQ1 2020","FQ1 2020","Currency=USD","Period=FQ","BEST_FPERIOD_OVERRIDE=FQ","FILING_STATUS=MR","SCALING_FORMAT=MLN","Sort=A","Dates=H","DateFormat=P","Fill=—","Direction=H","UseDPDF=Y")</f>
        <v>—</v>
      </c>
      <c r="I43" s="13" t="str">
        <f>_xll.BDH("ALNY US Equity","ARD_PROF_AFTER_TAX_BEF_MINORITY","FQ2 2020","FQ2 2020","Currency=USD","Period=FQ","BEST_FPERIOD_OVERRIDE=FQ","FILING_STATUS=MR","SCALING_FORMAT=MLN","Sort=A","Dates=H","DateFormat=P","Fill=—","Direction=H","UseDPDF=Y")</f>
        <v>—</v>
      </c>
      <c r="J43" s="13" t="str">
        <f>_xll.BDH("ALNY US Equity","ARD_PROF_AFTER_TAX_BEF_MINORITY","FQ3 2020","FQ3 2020","Currency=USD","Period=FQ","BEST_FPERIOD_OVERRIDE=FQ","FILING_STATUS=MR","SCALING_FORMAT=MLN","Sort=A","Dates=H","DateFormat=P","Fill=—","Direction=H","UseDPDF=Y")</f>
        <v>—</v>
      </c>
      <c r="K43" s="13" t="str">
        <f>_xll.BDH("ALNY US Equity","ARD_PROF_AFTER_TAX_BEF_MINORITY","FQ4 2020","FQ4 2020","Currency=USD","Period=FQ","BEST_FPERIOD_OVERRIDE=FQ","FILING_STATUS=MR","SCALING_FORMAT=MLN","Sort=A","Dates=H","DateFormat=P","Fill=—","Direction=H","UseDPDF=Y")</f>
        <v>—</v>
      </c>
      <c r="L43" s="13" t="str">
        <f>_xll.BDH("ALNY US Equity","ARD_PROF_AFTER_TAX_BEF_MINORITY","FQ1 2021","FQ1 2021","Currency=USD","Period=FQ","BEST_FPERIOD_OVERRIDE=FQ","FILING_STATUS=MR","SCALING_FORMAT=MLN","Sort=A","Dates=H","DateFormat=P","Fill=—","Direction=H","UseDPDF=Y")</f>
        <v>—</v>
      </c>
      <c r="M43" s="13" t="str">
        <f>_xll.BDH("ALNY US Equity","ARD_PROF_AFTER_TAX_BEF_MINORITY","FQ2 2021","FQ2 2021","Currency=USD","Period=FQ","BEST_FPERIOD_OVERRIDE=FQ","FILING_STATUS=MR","SCALING_FORMAT=MLN","Sort=A","Dates=H","DateFormat=P","Fill=—","Direction=H","UseDPDF=Y")</f>
        <v>—</v>
      </c>
      <c r="N43" s="13">
        <f>_xll.BDH("ALNY US Equity","ARD_PROF_AFTER_TAX_BEF_MINORITY","FQ3 2021","FQ3 2021","Currency=USD","Period=FQ","BEST_FPERIOD_OVERRIDE=FQ","FILING_STATUS=MR","SCALING_FORMAT=MLN","Sort=A","Dates=H","DateFormat=P","Fill=—","Direction=H","UseDPDF=Y")</f>
        <v>-204.51400000000001</v>
      </c>
      <c r="O43" s="13" t="str">
        <f>_xll.BDH("ALNY US Equity","ARD_PROF_AFTER_TAX_BEF_MINORITY","FQ4 2021","FQ4 2021","Currency=USD","Period=FQ","BEST_FPERIOD_OVERRIDE=FQ","FILING_STATUS=MR","SCALING_FORMAT=MLN","Sort=A","Dates=H","DateFormat=P","Fill=—","Direction=H","UseDPDF=Y")</f>
        <v>—</v>
      </c>
      <c r="P43" s="13" t="str">
        <f>_xll.BDH("ALNY US Equity","ARD_PROF_AFTER_TAX_BEF_MINORITY","FQ1 2022","FQ1 2022","Currency=USD","Period=FQ","BEST_FPERIOD_OVERRIDE=FQ","FILING_STATUS=MR","SCALING_FORMAT=MLN","Sort=A","Dates=H","DateFormat=P","Fill=—","Direction=H","UseDPDF=Y")</f>
        <v>—</v>
      </c>
      <c r="Q43" s="13" t="str">
        <f>_xll.BDH("ALNY US Equity","ARD_PROF_AFTER_TAX_BEF_MINORITY","FQ2 2022","FQ2 2022","Currency=USD","Period=FQ","BEST_FPERIOD_OVERRIDE=FQ","FILING_STATUS=MR","SCALING_FORMAT=MLN","Sort=A","Dates=H","DateFormat=P","Fill=—","Direction=H","UseDPDF=Y")</f>
        <v>—</v>
      </c>
      <c r="R43" s="13" t="str">
        <f>_xll.BDH("ALNY US Equity","ARD_PROF_AFTER_TAX_BEF_MINORITY","FQ3 2022","FQ3 2022","Currency=USD","Period=FQ","BEST_FPERIOD_OVERRIDE=FQ","FILING_STATUS=MR","SCALING_FORMAT=MLN","Sort=A","Dates=H","DateFormat=P","Fill=—","Direction=H","UseDPDF=Y")</f>
        <v>—</v>
      </c>
      <c r="S43" s="13">
        <f>_xll.BDH("ALNY US Equity","ARD_PROF_AFTER_TAX_BEF_MINORITY","FQ4 2022","FQ4 2022","Currency=USD","Period=FQ","BEST_FPERIOD_OVERRIDE=FQ","FILING_STATUS=MR","SCALING_FORMAT=MLN","Sort=A","Dates=H","DateFormat=P","Fill=—","Direction=H","UseDPDF=Y")</f>
        <v>-207.49299999999999</v>
      </c>
      <c r="T43" s="13" t="str">
        <f>_xll.BDH("ALNY US Equity","ARD_PROF_AFTER_TAX_BEF_MINORITY","FQ1 2023","FQ1 2023","Currency=USD","Period=FQ","BEST_FPERIOD_OVERRIDE=FQ","FILING_STATUS=MR","SCALING_FORMAT=MLN","Sort=A","Dates=H","DateFormat=P","Fill=—","Direction=H","UseDPDF=Y")</f>
        <v>—</v>
      </c>
      <c r="U43" s="13">
        <f>_xll.BDH("ALNY US Equity","ARD_PROF_AFTER_TAX_BEF_MINORITY","FQ2 2023","FQ2 2023","Currency=USD","Period=FQ","BEST_FPERIOD_OVERRIDE=FQ","FILING_STATUS=MR","SCALING_FORMAT=MLN","Sort=A","Dates=H","DateFormat=P","Fill=—","Direction=H","UseDPDF=Y")</f>
        <v>-276.024</v>
      </c>
      <c r="V43" s="13">
        <f>_xll.BDH("ALNY US Equity","ARD_PROF_AFTER_TAX_BEF_MINORITY","FQ3 2023","FQ3 2023","Currency=USD","Period=FQ","BEST_FPERIOD_OVERRIDE=FQ","FILING_STATUS=MR","SCALING_FORMAT=MLN","Sort=A","Dates=H","DateFormat=P","Fill=—","Direction=H","UseDPDF=Y")</f>
        <v>147.75299999999999</v>
      </c>
      <c r="W43" s="13">
        <f>_xll.BDH("ALNY US Equity","ARD_PROF_AFTER_TAX_BEF_MINORITY","FQ4 2023","FQ4 2023","Currency=USD","Period=FQ","BEST_FPERIOD_OVERRIDE=FQ","FILING_STATUS=MR","SCALING_FORMAT=MLN","Sort=A","Dates=H","DateFormat=P","Fill=—","Direction=H","UseDPDF=Y")</f>
        <v>-137.87</v>
      </c>
      <c r="X43" s="13" t="str">
        <f>_xll.BDH("ALNY US Equity","ARD_PROF_AFTER_TAX_BEF_MINORITY","FQ1 2024","FQ1 2024","Currency=USD","Period=FQ","BEST_FPERIOD_OVERRIDE=FQ","FILING_STATUS=MR","SCALING_FORMAT=MLN","Sort=A","Dates=H","DateFormat=P","Fill=—","Direction=H","UseDPDF=Y")</f>
        <v>—</v>
      </c>
      <c r="Y43" s="13">
        <f>_xll.BDH("ALNY US Equity","ARD_PROF_AFTER_TAX_BEF_MINORITY","FQ2 2024","FQ2 2024","Currency=USD","Period=FQ","BEST_FPERIOD_OVERRIDE=FQ","FILING_STATUS=MR","SCALING_FORMAT=MLN","Sort=A","Dates=H","DateFormat=P","Fill=—","Direction=H","UseDPDF=Y")</f>
        <v>-16.888999999999999</v>
      </c>
      <c r="Z43" s="13">
        <f>_xll.BDH("ALNY US Equity","ARD_PROF_AFTER_TAX_BEF_MINORITY","FQ3 2024","FQ3 2024","Currency=USD","Period=FQ","BEST_FPERIOD_OVERRIDE=FQ","FILING_STATUS=MR","SCALING_FORMAT=MLN","Sort=A","Dates=H","DateFormat=P","Fill=—","Direction=H","UseDPDF=Y")</f>
        <v>-111.57</v>
      </c>
      <c r="AA43" s="13">
        <f>_xll.BDH("ALNY US Equity","ARD_PROF_AFTER_TAX_BEF_MINORITY","FQ4 2024","FQ4 2024","Currency=USD","Period=FQ","BEST_FPERIOD_OVERRIDE=FQ","FILING_STATUS=MR","SCALING_FORMAT=MLN","Sort=A","Dates=H","DateFormat=P","Fill=—","Direction=H","UseDPDF=Y")</f>
        <v>-83.763000000000005</v>
      </c>
    </row>
    <row r="44" spans="1:27" x14ac:dyDescent="0.25">
      <c r="A44" s="10" t="s">
        <v>470</v>
      </c>
      <c r="B44" s="10" t="s">
        <v>471</v>
      </c>
      <c r="C44" s="13">
        <f>_xll.BDH("ALNY US Equity","ARD_CUMULATIVE_NET_INCOME","FQ4 2018","FQ4 2018","Currency=USD","Period=FQ","BEST_FPERIOD_OVERRIDE=FQ","FILING_STATUS=MR","SCALING_FORMAT=MLN","Sort=A","Dates=H","DateFormat=P","Fill=—","Direction=H","UseDPDF=Y")</f>
        <v>-761.49699999999996</v>
      </c>
      <c r="D44" s="13">
        <f>_xll.BDH("ALNY US Equity","ARD_CUMULATIVE_NET_INCOME","FQ1 2019","FQ1 2019","Currency=USD","Period=FQ","BEST_FPERIOD_OVERRIDE=FQ","FILING_STATUS=MR","SCALING_FORMAT=MLN","Sort=A","Dates=H","DateFormat=P","Fill=—","Direction=H","UseDPDF=Y")</f>
        <v>-181.91499999999999</v>
      </c>
      <c r="E44" s="13">
        <f>_xll.BDH("ALNY US Equity","ARD_CUMULATIVE_NET_INCOME","FQ2 2019","FQ2 2019","Currency=USD","Period=FQ","BEST_FPERIOD_OVERRIDE=FQ","FILING_STATUS=MR","SCALING_FORMAT=MLN","Sort=A","Dates=H","DateFormat=P","Fill=—","Direction=H","UseDPDF=Y")</f>
        <v>-401.39600000000002</v>
      </c>
      <c r="F44" s="13">
        <f>_xll.BDH("ALNY US Equity","ARD_CUMULATIVE_NET_INCOME","FQ3 2019","FQ3 2019","Currency=USD","Period=FQ","BEST_FPERIOD_OVERRIDE=FQ","FILING_STATUS=MR","SCALING_FORMAT=MLN","Sort=A","Dates=H","DateFormat=P","Fill=—","Direction=H","UseDPDF=Y")</f>
        <v>-609.93100000000004</v>
      </c>
      <c r="G44" s="13">
        <f>_xll.BDH("ALNY US Equity","ARD_CUMULATIVE_NET_INCOME","FQ4 2019","FQ4 2019","Currency=USD","Period=FQ","BEST_FPERIOD_OVERRIDE=FQ","FILING_STATUS=MR","SCALING_FORMAT=MLN","Sort=A","Dates=H","DateFormat=P","Fill=—","Direction=H","UseDPDF=Y")</f>
        <v>-886.11599999999999</v>
      </c>
      <c r="H44" s="13">
        <f>_xll.BDH("ALNY US Equity","ARD_CUMULATIVE_NET_INCOME","FQ1 2020","FQ1 2020","Currency=USD","Period=FQ","BEST_FPERIOD_OVERRIDE=FQ","FILING_STATUS=MR","SCALING_FORMAT=MLN","Sort=A","Dates=H","DateFormat=P","Fill=—","Direction=H","UseDPDF=Y")</f>
        <v>-182.221</v>
      </c>
      <c r="I44" s="13">
        <f>_xll.BDH("ALNY US Equity","ARD_CUMULATIVE_NET_INCOME","FQ2 2020","FQ2 2020","Currency=USD","Period=FQ","BEST_FPERIOD_OVERRIDE=FQ","FILING_STATUS=MR","SCALING_FORMAT=MLN","Sort=A","Dates=H","DateFormat=P","Fill=—","Direction=H","UseDPDF=Y")</f>
        <v>-361.45</v>
      </c>
      <c r="J44" s="13">
        <f>_xll.BDH("ALNY US Equity","ARD_CUMULATIVE_NET_INCOME","FQ3 2020","FQ3 2020","Currency=USD","Period=FQ","BEST_FPERIOD_OVERRIDE=FQ","FILING_STATUS=MR","SCALING_FORMAT=MLN","Sort=A","Dates=H","DateFormat=P","Fill=—","Direction=H","UseDPDF=Y")</f>
        <v>-614.74099999999999</v>
      </c>
      <c r="K44" s="13">
        <f>_xll.BDH("ALNY US Equity","ARD_CUMULATIVE_NET_INCOME","FQ4 2020","FQ4 2020","Currency=USD","Period=FQ","BEST_FPERIOD_OVERRIDE=FQ","FILING_STATUS=MR","SCALING_FORMAT=MLN","Sort=A","Dates=H","DateFormat=P","Fill=—","Direction=H","UseDPDF=Y")</f>
        <v>-858.28099999999995</v>
      </c>
      <c r="L44" s="13">
        <f>_xll.BDH("ALNY US Equity","ARD_CUMULATIVE_NET_INCOME","FQ1 2021","FQ1 2021","Currency=USD","Period=FQ","BEST_FPERIOD_OVERRIDE=FQ","FILING_STATUS=MR","SCALING_FORMAT=MLN","Sort=A","Dates=H","DateFormat=P","Fill=—","Direction=H","UseDPDF=Y")</f>
        <v>-200.291</v>
      </c>
      <c r="M44" s="13">
        <f>_xll.BDH("ALNY US Equity","ARD_CUMULATIVE_NET_INCOME","FQ2 2021","FQ2 2021","Currency=USD","Period=FQ","BEST_FPERIOD_OVERRIDE=FQ","FILING_STATUS=MR","SCALING_FORMAT=MLN","Sort=A","Dates=H","DateFormat=P","Fill=—","Direction=H","UseDPDF=Y")</f>
        <v>-389.85</v>
      </c>
      <c r="N44" s="13">
        <f>_xll.BDH("ALNY US Equity","ARD_CUMULATIVE_NET_INCOME","FQ3 2021","FQ3 2021","Currency=USD","Period=FQ","BEST_FPERIOD_OVERRIDE=FQ","FILING_STATUS=MR","SCALING_FORMAT=MLN","Sort=A","Dates=H","DateFormat=P","Fill=—","Direction=H","UseDPDF=Y")</f>
        <v>-594.36400000000003</v>
      </c>
      <c r="O44" s="13">
        <f>_xll.BDH("ALNY US Equity","ARD_CUMULATIVE_NET_INCOME","FQ4 2021","FQ4 2021","Currency=USD","Period=FQ","BEST_FPERIOD_OVERRIDE=FQ","FILING_STATUS=MR","SCALING_FORMAT=MLN","Sort=A","Dates=H","DateFormat=P","Fill=—","Direction=H","UseDPDF=Y")</f>
        <v>-852.82399999999996</v>
      </c>
      <c r="P44" s="13">
        <f>_xll.BDH("ALNY US Equity","ARD_CUMULATIVE_NET_INCOME","FQ1 2022","FQ1 2022","Currency=USD","Period=FQ","BEST_FPERIOD_OVERRIDE=FQ","FILING_STATUS=MR","SCALING_FORMAT=MLN","Sort=A","Dates=H","DateFormat=P","Fill=—","Direction=H","UseDPDF=Y")</f>
        <v>-240.34100000000001</v>
      </c>
      <c r="Q44" s="13">
        <f>_xll.BDH("ALNY US Equity","ARD_CUMULATIVE_NET_INCOME","FQ2 2022","FQ2 2022","Currency=USD","Period=FQ","BEST_FPERIOD_OVERRIDE=FQ","FILING_STATUS=MR","SCALING_FORMAT=MLN","Sort=A","Dates=H","DateFormat=P","Fill=—","Direction=H","UseDPDF=Y")</f>
        <v>-517.74300000000005</v>
      </c>
      <c r="R44" s="13">
        <f>_xll.BDH("ALNY US Equity","ARD_CUMULATIVE_NET_INCOME","FQ3 2022","FQ3 2022","Currency=USD","Period=FQ","BEST_FPERIOD_OVERRIDE=FQ","FILING_STATUS=MR","SCALING_FORMAT=MLN","Sort=A","Dates=H","DateFormat=P","Fill=—","Direction=H","UseDPDF=Y")</f>
        <v>-923.66300000000001</v>
      </c>
      <c r="S44" s="13">
        <f>_xll.BDH("ALNY US Equity","ARD_CUMULATIVE_NET_INCOME","FQ4 2022","FQ4 2022","Currency=USD","Period=FQ","BEST_FPERIOD_OVERRIDE=FQ","FILING_STATUS=MR","SCALING_FORMAT=MLN","Sort=A","Dates=H","DateFormat=P","Fill=—","Direction=H","UseDPDF=Y")</f>
        <v>-1131.1559999999999</v>
      </c>
      <c r="T44" s="13">
        <f>_xll.BDH("ALNY US Equity","ARD_CUMULATIVE_NET_INCOME","FQ1 2023","FQ1 2023","Currency=USD","Period=FQ","BEST_FPERIOD_OVERRIDE=FQ","FILING_STATUS=MR","SCALING_FORMAT=MLN","Sort=A","Dates=H","DateFormat=P","Fill=—","Direction=H","UseDPDF=Y")</f>
        <v>-174.101</v>
      </c>
      <c r="U44" s="13">
        <f>_xll.BDH("ALNY US Equity","ARD_CUMULATIVE_NET_INCOME","FQ2 2023","FQ2 2023","Currency=USD","Period=FQ","BEST_FPERIOD_OVERRIDE=FQ","FILING_STATUS=MR","SCALING_FORMAT=MLN","Sort=A","Dates=H","DateFormat=P","Fill=—","Direction=H","UseDPDF=Y")</f>
        <v>-450.125</v>
      </c>
      <c r="V44" s="13">
        <f>_xll.BDH("ALNY US Equity","ARD_CUMULATIVE_NET_INCOME","FQ3 2023","FQ3 2023","Currency=USD","Period=FQ","BEST_FPERIOD_OVERRIDE=FQ","FILING_STATUS=MR","SCALING_FORMAT=MLN","Sort=A","Dates=H","DateFormat=P","Fill=—","Direction=H","UseDPDF=Y")</f>
        <v>-302.37200000000001</v>
      </c>
      <c r="W44" s="13">
        <f>_xll.BDH("ALNY US Equity","ARD_CUMULATIVE_NET_INCOME","FQ4 2023","FQ4 2023","Currency=USD","Period=FQ","BEST_FPERIOD_OVERRIDE=FQ","FILING_STATUS=MR","SCALING_FORMAT=MLN","Sort=A","Dates=H","DateFormat=P","Fill=—","Direction=H","UseDPDF=Y")</f>
        <v>-440.24200000000002</v>
      </c>
      <c r="X44" s="13">
        <f>_xll.BDH("ALNY US Equity","ARD_CUMULATIVE_NET_INCOME","FQ1 2024","FQ1 2024","Currency=USD","Period=FQ","BEST_FPERIOD_OVERRIDE=FQ","FILING_STATUS=MR","SCALING_FORMAT=MLN","Sort=A","Dates=H","DateFormat=P","Fill=—","Direction=H","UseDPDF=Y")</f>
        <v>-65.935000000000002</v>
      </c>
      <c r="Y44" s="13">
        <f>_xll.BDH("ALNY US Equity","ARD_CUMULATIVE_NET_INCOME","FQ2 2024","FQ2 2024","Currency=USD","Period=FQ","BEST_FPERIOD_OVERRIDE=FQ","FILING_STATUS=MR","SCALING_FORMAT=MLN","Sort=A","Dates=H","DateFormat=P","Fill=—","Direction=H","UseDPDF=Y")</f>
        <v>-82.823999999999998</v>
      </c>
      <c r="Z44" s="13">
        <f>_xll.BDH("ALNY US Equity","ARD_CUMULATIVE_NET_INCOME","FQ3 2024","FQ3 2024","Currency=USD","Period=FQ","BEST_FPERIOD_OVERRIDE=FQ","FILING_STATUS=MR","SCALING_FORMAT=MLN","Sort=A","Dates=H","DateFormat=P","Fill=—","Direction=H","UseDPDF=Y")</f>
        <v>-194.39400000000001</v>
      </c>
      <c r="AA44" s="13">
        <f>_xll.BDH("ALNY US Equity","ARD_CUMULATIVE_NET_INCOME","FQ4 2024","FQ4 2024","Currency=USD","Period=FQ","BEST_FPERIOD_OVERRIDE=FQ","FILING_STATUS=MR","SCALING_FORMAT=MLN","Sort=A","Dates=H","DateFormat=P","Fill=—","Direction=H","UseDPDF=Y")</f>
        <v>-278.15699999999998</v>
      </c>
    </row>
    <row r="45" spans="1:27" x14ac:dyDescent="0.25">
      <c r="A45" s="6" t="s">
        <v>159</v>
      </c>
      <c r="B45" s="6" t="s">
        <v>472</v>
      </c>
      <c r="C45" s="19">
        <f>_xll.BDH("ALNY US Equity","ARD_NET_INC","FQ4 2018","FQ4 2018","Currency=USD","Period=FQ","BEST_FPERIOD_OVERRIDE=FQ","FILING_STATUS=MR","SCALING_FORMAT=MLN","Sort=A","Dates=H","DateFormat=P","Fill=—","Direction=H","UseDPDF=Y")</f>
        <v>-211.441</v>
      </c>
      <c r="D45" s="19">
        <f>_xll.BDH("ALNY US Equity","ARD_NET_INC","FQ1 2019","FQ1 2019","Currency=USD","Period=FQ","BEST_FPERIOD_OVERRIDE=FQ","FILING_STATUS=MR","SCALING_FORMAT=MLN","Sort=A","Dates=H","DateFormat=P","Fill=—","Direction=H","UseDPDF=Y")</f>
        <v>-181.91499999999999</v>
      </c>
      <c r="E45" s="19">
        <f>_xll.BDH("ALNY US Equity","ARD_NET_INC","FQ2 2019","FQ2 2019","Currency=USD","Period=FQ","BEST_FPERIOD_OVERRIDE=FQ","FILING_STATUS=MR","SCALING_FORMAT=MLN","Sort=A","Dates=H","DateFormat=P","Fill=—","Direction=H","UseDPDF=Y")</f>
        <v>-219.48099999999999</v>
      </c>
      <c r="F45" s="19">
        <f>_xll.BDH("ALNY US Equity","ARD_NET_INC","FQ3 2019","FQ3 2019","Currency=USD","Period=FQ","BEST_FPERIOD_OVERRIDE=FQ","FILING_STATUS=MR","SCALING_FORMAT=MLN","Sort=A","Dates=H","DateFormat=P","Fill=—","Direction=H","UseDPDF=Y")</f>
        <v>-208.535</v>
      </c>
      <c r="G45" s="19">
        <f>_xll.BDH("ALNY US Equity","ARD_NET_INC","FQ4 2019","FQ4 2019","Currency=USD","Period=FQ","BEST_FPERIOD_OVERRIDE=FQ","FILING_STATUS=MR","SCALING_FORMAT=MLN","Sort=A","Dates=H","DateFormat=P","Fill=—","Direction=H","UseDPDF=Y")</f>
        <v>-276.185</v>
      </c>
      <c r="H45" s="19">
        <f>_xll.BDH("ALNY US Equity","ARD_NET_INC","FQ1 2020","FQ1 2020","Currency=USD","Period=FQ","BEST_FPERIOD_OVERRIDE=FQ","FILING_STATUS=MR","SCALING_FORMAT=MLN","Sort=A","Dates=H","DateFormat=P","Fill=—","Direction=H","UseDPDF=Y")</f>
        <v>-182.221</v>
      </c>
      <c r="I45" s="19">
        <f>_xll.BDH("ALNY US Equity","ARD_NET_INC","FQ2 2020","FQ2 2020","Currency=USD","Period=FQ","BEST_FPERIOD_OVERRIDE=FQ","FILING_STATUS=MR","SCALING_FORMAT=MLN","Sort=A","Dates=H","DateFormat=P","Fill=—","Direction=H","UseDPDF=Y")</f>
        <v>-179.22900000000001</v>
      </c>
      <c r="J45" s="19">
        <f>_xll.BDH("ALNY US Equity","ARD_NET_INC","FQ3 2020","FQ3 2020","Currency=USD","Period=FQ","BEST_FPERIOD_OVERRIDE=FQ","FILING_STATUS=MR","SCALING_FORMAT=MLN","Sort=A","Dates=H","DateFormat=P","Fill=—","Direction=H","UseDPDF=Y")</f>
        <v>-253.291</v>
      </c>
      <c r="K45" s="19">
        <f>_xll.BDH("ALNY US Equity","ARD_NET_INC","FQ4 2020","FQ4 2020","Currency=USD","Period=FQ","BEST_FPERIOD_OVERRIDE=FQ","FILING_STATUS=MR","SCALING_FORMAT=MLN","Sort=A","Dates=H","DateFormat=P","Fill=—","Direction=H","UseDPDF=Y")</f>
        <v>-243.54</v>
      </c>
      <c r="L45" s="19">
        <f>_xll.BDH("ALNY US Equity","ARD_NET_INC","FQ1 2021","FQ1 2021","Currency=USD","Period=FQ","BEST_FPERIOD_OVERRIDE=FQ","FILING_STATUS=MR","SCALING_FORMAT=MLN","Sort=A","Dates=H","DateFormat=P","Fill=—","Direction=H","UseDPDF=Y")</f>
        <v>-200.291</v>
      </c>
      <c r="M45" s="19">
        <f>_xll.BDH("ALNY US Equity","ARD_NET_INC","FQ2 2021","FQ2 2021","Currency=USD","Period=FQ","BEST_FPERIOD_OVERRIDE=FQ","FILING_STATUS=MR","SCALING_FORMAT=MLN","Sort=A","Dates=H","DateFormat=P","Fill=—","Direction=H","UseDPDF=Y")</f>
        <v>-189.559</v>
      </c>
      <c r="N45" s="19">
        <f>_xll.BDH("ALNY US Equity","ARD_NET_INC","FQ3 2021","FQ3 2021","Currency=USD","Period=FQ","BEST_FPERIOD_OVERRIDE=FQ","FILING_STATUS=MR","SCALING_FORMAT=MLN","Sort=A","Dates=H","DateFormat=P","Fill=—","Direction=H","UseDPDF=Y")</f>
        <v>-204.51400000000001</v>
      </c>
      <c r="O45" s="19">
        <f>_xll.BDH("ALNY US Equity","ARD_NET_INC","FQ4 2021","FQ4 2021","Currency=USD","Period=FQ","BEST_FPERIOD_OVERRIDE=FQ","FILING_STATUS=MR","SCALING_FORMAT=MLN","Sort=A","Dates=H","DateFormat=P","Fill=—","Direction=H","UseDPDF=Y")</f>
        <v>-258.45999999999998</v>
      </c>
      <c r="P45" s="19">
        <f>_xll.BDH("ALNY US Equity","ARD_NET_INC","FQ1 2022","FQ1 2022","Currency=USD","Period=FQ","BEST_FPERIOD_OVERRIDE=FQ","FILING_STATUS=MR","SCALING_FORMAT=MLN","Sort=A","Dates=H","DateFormat=P","Fill=—","Direction=H","UseDPDF=Y")</f>
        <v>-240.34100000000001</v>
      </c>
      <c r="Q45" s="19">
        <f>_xll.BDH("ALNY US Equity","ARD_NET_INC","FQ2 2022","FQ2 2022","Currency=USD","Period=FQ","BEST_FPERIOD_OVERRIDE=FQ","FILING_STATUS=MR","SCALING_FORMAT=MLN","Sort=A","Dates=H","DateFormat=P","Fill=—","Direction=H","UseDPDF=Y")</f>
        <v>-277.40199999999999</v>
      </c>
      <c r="R45" s="19">
        <f>_xll.BDH("ALNY US Equity","ARD_NET_INC","FQ3 2022","FQ3 2022","Currency=USD","Period=FQ","BEST_FPERIOD_OVERRIDE=FQ","FILING_STATUS=MR","SCALING_FORMAT=MLN","Sort=A","Dates=H","DateFormat=P","Fill=—","Direction=H","UseDPDF=Y")</f>
        <v>-405.92</v>
      </c>
      <c r="S45" s="19">
        <f>_xll.BDH("ALNY US Equity","ARD_NET_INC","FQ4 2022","FQ4 2022","Currency=USD","Period=FQ","BEST_FPERIOD_OVERRIDE=FQ","FILING_STATUS=MR","SCALING_FORMAT=MLN","Sort=A","Dates=H","DateFormat=P","Fill=—","Direction=H","UseDPDF=Y")</f>
        <v>-207.49299999999999</v>
      </c>
      <c r="T45" s="19">
        <f>_xll.BDH("ALNY US Equity","ARD_NET_INC","FQ1 2023","FQ1 2023","Currency=USD","Period=FQ","BEST_FPERIOD_OVERRIDE=FQ","FILING_STATUS=MR","SCALING_FORMAT=MLN","Sort=A","Dates=H","DateFormat=P","Fill=—","Direction=H","UseDPDF=Y")</f>
        <v>-174.101</v>
      </c>
      <c r="U45" s="19">
        <f>_xll.BDH("ALNY US Equity","ARD_NET_INC","FQ2 2023","FQ2 2023","Currency=USD","Period=FQ","BEST_FPERIOD_OVERRIDE=FQ","FILING_STATUS=MR","SCALING_FORMAT=MLN","Sort=A","Dates=H","DateFormat=P","Fill=—","Direction=H","UseDPDF=Y")</f>
        <v>-276.024</v>
      </c>
      <c r="V45" s="19">
        <f>_xll.BDH("ALNY US Equity","ARD_NET_INC","FQ3 2023","FQ3 2023","Currency=USD","Period=FQ","BEST_FPERIOD_OVERRIDE=FQ","FILING_STATUS=MR","SCALING_FORMAT=MLN","Sort=A","Dates=H","DateFormat=P","Fill=—","Direction=H","UseDPDF=Y")</f>
        <v>147.75299999999999</v>
      </c>
      <c r="W45" s="19">
        <f>_xll.BDH("ALNY US Equity","ARD_NET_INC","FQ4 2023","FQ4 2023","Currency=USD","Period=FQ","BEST_FPERIOD_OVERRIDE=FQ","FILING_STATUS=MR","SCALING_FORMAT=MLN","Sort=A","Dates=H","DateFormat=P","Fill=—","Direction=H","UseDPDF=Y")</f>
        <v>-137.87</v>
      </c>
      <c r="X45" s="19">
        <f>_xll.BDH("ALNY US Equity","ARD_NET_INC","FQ1 2024","FQ1 2024","Currency=USD","Period=FQ","BEST_FPERIOD_OVERRIDE=FQ","FILING_STATUS=MR","SCALING_FORMAT=MLN","Sort=A","Dates=H","DateFormat=P","Fill=—","Direction=H","UseDPDF=Y")</f>
        <v>-65.935000000000002</v>
      </c>
      <c r="Y45" s="19">
        <f>_xll.BDH("ALNY US Equity","ARD_NET_INC","FQ2 2024","FQ2 2024","Currency=USD","Period=FQ","BEST_FPERIOD_OVERRIDE=FQ","FILING_STATUS=MR","SCALING_FORMAT=MLN","Sort=A","Dates=H","DateFormat=P","Fill=—","Direction=H","UseDPDF=Y")</f>
        <v>-16.888999999999999</v>
      </c>
      <c r="Z45" s="19">
        <f>_xll.BDH("ALNY US Equity","ARD_NET_INC","FQ3 2024","FQ3 2024","Currency=USD","Period=FQ","BEST_FPERIOD_OVERRIDE=FQ","FILING_STATUS=MR","SCALING_FORMAT=MLN","Sort=A","Dates=H","DateFormat=P","Fill=—","Direction=H","UseDPDF=Y")</f>
        <v>-111.57</v>
      </c>
      <c r="AA45" s="19">
        <f>_xll.BDH("ALNY US Equity","ARD_NET_INC","FQ4 2024","FQ4 2024","Currency=USD","Period=FQ","BEST_FPERIOD_OVERRIDE=FQ","FILING_STATUS=MR","SCALING_FORMAT=MLN","Sort=A","Dates=H","DateFormat=P","Fill=—","Direction=H","UseDPDF=Y")</f>
        <v>-83.763000000000005</v>
      </c>
    </row>
    <row r="46" spans="1:27" x14ac:dyDescent="0.25">
      <c r="A46" s="10" t="s">
        <v>473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10" t="s">
        <v>474</v>
      </c>
      <c r="B47" s="10" t="s">
        <v>475</v>
      </c>
      <c r="C47" s="13" t="str">
        <f>_xll.BDH("ALNY US Equity","ARD_FOR_CRNCY_TRANSLATION_ADJ","FQ4 2018","FQ4 2018","Currency=USD","Period=FQ","BEST_FPERIOD_OVERRIDE=FQ","FILING_STATUS=MR","SCALING_FORMAT=MLN","Sort=A","Dates=H","DateFormat=P","Fill=—","Direction=H","UseDPDF=Y")</f>
        <v>—</v>
      </c>
      <c r="D47" s="13" t="str">
        <f>_xll.BDH("ALNY US Equity","ARD_FOR_CRNCY_TRANSLATION_ADJ","FQ1 2019","FQ1 2019","Currency=USD","Period=FQ","BEST_FPERIOD_OVERRIDE=FQ","FILING_STATUS=MR","SCALING_FORMAT=MLN","Sort=A","Dates=H","DateFormat=P","Fill=—","Direction=H","UseDPDF=Y")</f>
        <v>—</v>
      </c>
      <c r="E47" s="13">
        <f>_xll.BDH("ALNY US Equity","ARD_FOR_CRNCY_TRANSLATION_ADJ","FQ2 2019","FQ2 2019","Currency=USD","Period=FQ","BEST_FPERIOD_OVERRIDE=FQ","FILING_STATUS=MR","SCALING_FORMAT=MLN","Sort=A","Dates=H","DateFormat=P","Fill=—","Direction=H","UseDPDF=Y")</f>
        <v>0.84199999999999997</v>
      </c>
      <c r="F47" s="13">
        <f>_xll.BDH("ALNY US Equity","ARD_FOR_CRNCY_TRANSLATION_ADJ","FQ3 2019","FQ3 2019","Currency=USD","Period=FQ","BEST_FPERIOD_OVERRIDE=FQ","FILING_STATUS=MR","SCALING_FORMAT=MLN","Sort=A","Dates=H","DateFormat=P","Fill=—","Direction=H","UseDPDF=Y")</f>
        <v>1.4390000000000001</v>
      </c>
      <c r="G47" s="13">
        <f>_xll.BDH("ALNY US Equity","ARD_FOR_CRNCY_TRANSLATION_ADJ","FQ4 2019","FQ4 2019","Currency=USD","Period=FQ","BEST_FPERIOD_OVERRIDE=FQ","FILING_STATUS=MR","SCALING_FORMAT=MLN","Sort=A","Dates=H","DateFormat=P","Fill=—","Direction=H","UseDPDF=Y")</f>
        <v>-2.6240000000000001</v>
      </c>
      <c r="H47" s="13">
        <f>_xll.BDH("ALNY US Equity","ARD_FOR_CRNCY_TRANSLATION_ADJ","FQ1 2020","FQ1 2020","Currency=USD","Period=FQ","BEST_FPERIOD_OVERRIDE=FQ","FILING_STATUS=MR","SCALING_FORMAT=MLN","Sort=A","Dates=H","DateFormat=P","Fill=—","Direction=H","UseDPDF=Y")</f>
        <v>0.34</v>
      </c>
      <c r="I47" s="13">
        <f>_xll.BDH("ALNY US Equity","ARD_FOR_CRNCY_TRANSLATION_ADJ","FQ2 2020","FQ2 2020","Currency=USD","Period=FQ","BEST_FPERIOD_OVERRIDE=FQ","FILING_STATUS=MR","SCALING_FORMAT=MLN","Sort=A","Dates=H","DateFormat=P","Fill=—","Direction=H","UseDPDF=Y")</f>
        <v>0.57099999999999995</v>
      </c>
      <c r="J47" s="13">
        <f>_xll.BDH("ALNY US Equity","ARD_FOR_CRNCY_TRANSLATION_ADJ","FQ3 2020","FQ3 2020","Currency=USD","Period=FQ","BEST_FPERIOD_OVERRIDE=FQ","FILING_STATUS=MR","SCALING_FORMAT=MLN","Sort=A","Dates=H","DateFormat=P","Fill=—","Direction=H","UseDPDF=Y")</f>
        <v>-2.5760000000000001</v>
      </c>
      <c r="K47" s="13" t="str">
        <f>_xll.BDH("ALNY US Equity","ARD_FOR_CRNCY_TRANSLATION_ADJ","FQ4 2020","FQ4 2020","Currency=USD","Period=FQ","BEST_FPERIOD_OVERRIDE=FQ","FILING_STATUS=MR","SCALING_FORMAT=MLN","Sort=A","Dates=H","DateFormat=P","Fill=—","Direction=H","UseDPDF=Y")</f>
        <v>—</v>
      </c>
      <c r="L47" s="13">
        <f>_xll.BDH("ALNY US Equity","ARD_FOR_CRNCY_TRANSLATION_ADJ","FQ1 2021","FQ1 2021","Currency=USD","Period=FQ","BEST_FPERIOD_OVERRIDE=FQ","FILING_STATUS=MR","SCALING_FORMAT=MLN","Sort=A","Dates=H","DateFormat=P","Fill=—","Direction=H","UseDPDF=Y")</f>
        <v>6.8479999999999999</v>
      </c>
      <c r="M47" s="13">
        <f>_xll.BDH("ALNY US Equity","ARD_FOR_CRNCY_TRANSLATION_ADJ","FQ2 2021","FQ2 2021","Currency=USD","Period=FQ","BEST_FPERIOD_OVERRIDE=FQ","FILING_STATUS=MR","SCALING_FORMAT=MLN","Sort=A","Dates=H","DateFormat=P","Fill=—","Direction=H","UseDPDF=Y")</f>
        <v>0.82499999999999996</v>
      </c>
      <c r="N47" s="13">
        <f>_xll.BDH("ALNY US Equity","ARD_FOR_CRNCY_TRANSLATION_ADJ","FQ3 2021","FQ3 2021","Currency=USD","Period=FQ","BEST_FPERIOD_OVERRIDE=FQ","FILING_STATUS=MR","SCALING_FORMAT=MLN","Sort=A","Dates=H","DateFormat=P","Fill=—","Direction=H","UseDPDF=Y")</f>
        <v>1.857</v>
      </c>
      <c r="O47" s="13" t="str">
        <f>_xll.BDH("ALNY US Equity","ARD_FOR_CRNCY_TRANSLATION_ADJ","FQ4 2021","FQ4 2021","Currency=USD","Period=FQ","BEST_FPERIOD_OVERRIDE=FQ","FILING_STATUS=MR","SCALING_FORMAT=MLN","Sort=A","Dates=H","DateFormat=P","Fill=—","Direction=H","UseDPDF=Y")</f>
        <v>—</v>
      </c>
      <c r="P47" s="13">
        <f>_xll.BDH("ALNY US Equity","ARD_FOR_CRNCY_TRANSLATION_ADJ","FQ1 2022","FQ1 2022","Currency=USD","Period=FQ","BEST_FPERIOD_OVERRIDE=FQ","FILING_STATUS=MR","SCALING_FORMAT=MLN","Sort=A","Dates=H","DateFormat=P","Fill=—","Direction=H","UseDPDF=Y")</f>
        <v>2.3759999999999999</v>
      </c>
      <c r="Q47" s="13">
        <f>_xll.BDH("ALNY US Equity","ARD_FOR_CRNCY_TRANSLATION_ADJ","FQ2 2022","FQ2 2022","Currency=USD","Period=FQ","BEST_FPERIOD_OVERRIDE=FQ","FILING_STATUS=MR","SCALING_FORMAT=MLN","Sort=A","Dates=H","DateFormat=P","Fill=—","Direction=H","UseDPDF=Y")</f>
        <v>-2.4590000000000001</v>
      </c>
      <c r="R47" s="13">
        <f>_xll.BDH("ALNY US Equity","ARD_FOR_CRNCY_TRANSLATION_ADJ","FQ3 2022","FQ3 2022","Currency=USD","Period=FQ","BEST_FPERIOD_OVERRIDE=FQ","FILING_STATUS=MR","SCALING_FORMAT=MLN","Sort=A","Dates=H","DateFormat=P","Fill=—","Direction=H","UseDPDF=Y")</f>
        <v>0.46</v>
      </c>
      <c r="S47" s="13">
        <f>_xll.BDH("ALNY US Equity","ARD_FOR_CRNCY_TRANSLATION_ADJ","FQ4 2022","FQ4 2022","Currency=USD","Period=FQ","BEST_FPERIOD_OVERRIDE=FQ","FILING_STATUS=MR","SCALING_FORMAT=MLN","Sort=A","Dates=H","DateFormat=P","Fill=—","Direction=H","UseDPDF=Y")</f>
        <v>-5.6509999999999998</v>
      </c>
      <c r="T47" s="13">
        <f>_xll.BDH("ALNY US Equity","ARD_FOR_CRNCY_TRANSLATION_ADJ","FQ1 2023","FQ1 2023","Currency=USD","Period=FQ","BEST_FPERIOD_OVERRIDE=FQ","FILING_STATUS=MR","SCALING_FORMAT=MLN","Sort=A","Dates=H","DateFormat=P","Fill=—","Direction=H","UseDPDF=Y")</f>
        <v>1.41</v>
      </c>
      <c r="U47" s="13">
        <f>_xll.BDH("ALNY US Equity","ARD_FOR_CRNCY_TRANSLATION_ADJ","FQ2 2023","FQ2 2023","Currency=USD","Period=FQ","BEST_FPERIOD_OVERRIDE=FQ","FILING_STATUS=MR","SCALING_FORMAT=MLN","Sort=A","Dates=H","DateFormat=P","Fill=—","Direction=H","UseDPDF=Y")</f>
        <v>4.0730000000000004</v>
      </c>
      <c r="V47" s="13">
        <f>_xll.BDH("ALNY US Equity","ARD_FOR_CRNCY_TRANSLATION_ADJ","FQ3 2023","FQ3 2023","Currency=USD","Period=FQ","BEST_FPERIOD_OVERRIDE=FQ","FILING_STATUS=MR","SCALING_FORMAT=MLN","Sort=A","Dates=H","DateFormat=P","Fill=—","Direction=H","UseDPDF=Y")</f>
        <v>2.8730000000000002</v>
      </c>
      <c r="W47" s="13">
        <f>_xll.BDH("ALNY US Equity","ARD_FOR_CRNCY_TRANSLATION_ADJ","FQ4 2023","FQ4 2023","Currency=USD","Period=FQ","BEST_FPERIOD_OVERRIDE=FQ","FILING_STATUS=MR","SCALING_FORMAT=MLN","Sort=A","Dates=H","DateFormat=P","Fill=—","Direction=H","UseDPDF=Y")</f>
        <v>3.5659999999999998</v>
      </c>
      <c r="X47" s="13">
        <f>_xll.BDH("ALNY US Equity","ARD_FOR_CRNCY_TRANSLATION_ADJ","FQ1 2024","FQ1 2024","Currency=USD","Period=FQ","BEST_FPERIOD_OVERRIDE=FQ","FILING_STATUS=MR","SCALING_FORMAT=MLN","Sort=A","Dates=H","DateFormat=P","Fill=—","Direction=H","UseDPDF=Y")</f>
        <v>-7.8E-2</v>
      </c>
      <c r="Y47" s="13">
        <f>_xll.BDH("ALNY US Equity","ARD_FOR_CRNCY_TRANSLATION_ADJ","FQ2 2024","FQ2 2024","Currency=USD","Period=FQ","BEST_FPERIOD_OVERRIDE=FQ","FILING_STATUS=MR","SCALING_FORMAT=MLN","Sort=A","Dates=H","DateFormat=P","Fill=—","Direction=H","UseDPDF=Y")</f>
        <v>-6.952</v>
      </c>
      <c r="Z47" s="13">
        <f>_xll.BDH("ALNY US Equity","ARD_FOR_CRNCY_TRANSLATION_ADJ","FQ3 2024","FQ3 2024","Currency=USD","Period=FQ","BEST_FPERIOD_OVERRIDE=FQ","FILING_STATUS=MR","SCALING_FORMAT=MLN","Sort=A","Dates=H","DateFormat=P","Fill=—","Direction=H","UseDPDF=Y")</f>
        <v>0.70299999999999996</v>
      </c>
      <c r="AA47" s="13">
        <f>_xll.BDH("ALNY US Equity","ARD_FOR_CRNCY_TRANSLATION_ADJ","FQ4 2024","FQ4 2024","Currency=USD","Period=FQ","BEST_FPERIOD_OVERRIDE=FQ","FILING_STATUS=MR","SCALING_FORMAT=MLN","Sort=A","Dates=H","DateFormat=P","Fill=—","Direction=H","UseDPDF=Y")</f>
        <v>-3.3159999999999998</v>
      </c>
    </row>
    <row r="48" spans="1:27" x14ac:dyDescent="0.25">
      <c r="A48" s="10" t="s">
        <v>476</v>
      </c>
      <c r="B48" s="10" t="s">
        <v>477</v>
      </c>
      <c r="C48" s="13">
        <f>_xll.BDH("ALNY US Equity","ARD_UNREALIZED_GL_ON_SECS","FQ4 2018","FQ4 2018","Currency=USD","Period=FQ","BEST_FPERIOD_OVERRIDE=FQ","FILING_STATUS=MR","SCALING_FORMAT=MLN","Sort=A","Dates=H","DateFormat=P","Fill=—","Direction=H","UseDPDF=Y")</f>
        <v>0.17899999999999999</v>
      </c>
      <c r="D48" s="13">
        <f>_xll.BDH("ALNY US Equity","ARD_UNREALIZED_GL_ON_SECS","FQ1 2019","FQ1 2019","Currency=USD","Period=FQ","BEST_FPERIOD_OVERRIDE=FQ","FILING_STATUS=MR","SCALING_FORMAT=MLN","Sort=A","Dates=H","DateFormat=P","Fill=—","Direction=H","UseDPDF=Y")</f>
        <v>0.36</v>
      </c>
      <c r="E48" s="13">
        <f>_xll.BDH("ALNY US Equity","ARD_UNREALIZED_GL_ON_SECS","FQ2 2019","FQ2 2019","Currency=USD","Period=FQ","BEST_FPERIOD_OVERRIDE=FQ","FILING_STATUS=MR","SCALING_FORMAT=MLN","Sort=A","Dates=H","DateFormat=P","Fill=—","Direction=H","UseDPDF=Y")</f>
        <v>0.46200000000000002</v>
      </c>
      <c r="F48" s="13">
        <f>_xll.BDH("ALNY US Equity","ARD_UNREALIZED_GL_ON_SECS","FQ3 2019","FQ3 2019","Currency=USD","Period=FQ","BEST_FPERIOD_OVERRIDE=FQ","FILING_STATUS=MR","SCALING_FORMAT=MLN","Sort=A","Dates=H","DateFormat=P","Fill=—","Direction=H","UseDPDF=Y")</f>
        <v>-0.05</v>
      </c>
      <c r="G48" s="13">
        <f>_xll.BDH("ALNY US Equity","ARD_UNREALIZED_GL_ON_SECS","FQ4 2019","FQ4 2019","Currency=USD","Period=FQ","BEST_FPERIOD_OVERRIDE=FQ","FILING_STATUS=MR","SCALING_FORMAT=MLN","Sort=A","Dates=H","DateFormat=P","Fill=—","Direction=H","UseDPDF=Y")</f>
        <v>-0.214</v>
      </c>
      <c r="H48" s="13">
        <f>_xll.BDH("ALNY US Equity","ARD_UNREALIZED_GL_ON_SECS","FQ1 2020","FQ1 2020","Currency=USD","Period=FQ","BEST_FPERIOD_OVERRIDE=FQ","FILING_STATUS=MR","SCALING_FORMAT=MLN","Sort=A","Dates=H","DateFormat=P","Fill=—","Direction=H","UseDPDF=Y")</f>
        <v>4.0449999999999999</v>
      </c>
      <c r="I48" s="13">
        <f>_xll.BDH("ALNY US Equity","ARD_UNREALIZED_GL_ON_SECS","FQ2 2020","FQ2 2020","Currency=USD","Period=FQ","BEST_FPERIOD_OVERRIDE=FQ","FILING_STATUS=MR","SCALING_FORMAT=MLN","Sort=A","Dates=H","DateFormat=P","Fill=—","Direction=H","UseDPDF=Y")</f>
        <v>-1.796</v>
      </c>
      <c r="J48" s="13">
        <f>_xll.BDH("ALNY US Equity","ARD_UNREALIZED_GL_ON_SECS","FQ3 2020","FQ3 2020","Currency=USD","Period=FQ","BEST_FPERIOD_OVERRIDE=FQ","FILING_STATUS=MR","SCALING_FORMAT=MLN","Sort=A","Dates=H","DateFormat=P","Fill=—","Direction=H","UseDPDF=Y")</f>
        <v>-1.4810000000000001</v>
      </c>
      <c r="K48" s="13" t="str">
        <f>_xll.BDH("ALNY US Equity","ARD_UNREALIZED_GL_ON_SECS","FQ4 2020","FQ4 2020","Currency=USD","Period=FQ","BEST_FPERIOD_OVERRIDE=FQ","FILING_STATUS=MR","SCALING_FORMAT=MLN","Sort=A","Dates=H","DateFormat=P","Fill=—","Direction=H","UseDPDF=Y")</f>
        <v>—</v>
      </c>
      <c r="L48" s="13">
        <f>_xll.BDH("ALNY US Equity","ARD_UNREALIZED_GL_ON_SECS","FQ1 2021","FQ1 2021","Currency=USD","Period=FQ","BEST_FPERIOD_OVERRIDE=FQ","FILING_STATUS=MR","SCALING_FORMAT=MLN","Sort=A","Dates=H","DateFormat=P","Fill=—","Direction=H","UseDPDF=Y")</f>
        <v>-1E-3</v>
      </c>
      <c r="M48" s="13">
        <f>_xll.BDH("ALNY US Equity","ARD_UNREALIZED_GL_ON_SECS","FQ2 2021","FQ2 2021","Currency=USD","Period=FQ","BEST_FPERIOD_OVERRIDE=FQ","FILING_STATUS=MR","SCALING_FORMAT=MLN","Sort=A","Dates=H","DateFormat=P","Fill=—","Direction=H","UseDPDF=Y")</f>
        <v>-0.247</v>
      </c>
      <c r="N48" s="13">
        <f>_xll.BDH("ALNY US Equity","ARD_UNREALIZED_GL_ON_SECS","FQ3 2021","FQ3 2021","Currency=USD","Period=FQ","BEST_FPERIOD_OVERRIDE=FQ","FILING_STATUS=MR","SCALING_FORMAT=MLN","Sort=A","Dates=H","DateFormat=P","Fill=—","Direction=H","UseDPDF=Y")</f>
        <v>-6.4000000000000001E-2</v>
      </c>
      <c r="O48" s="13" t="str">
        <f>_xll.BDH("ALNY US Equity","ARD_UNREALIZED_GL_ON_SECS","FQ4 2021","FQ4 2021","Currency=USD","Period=FQ","BEST_FPERIOD_OVERRIDE=FQ","FILING_STATUS=MR","SCALING_FORMAT=MLN","Sort=A","Dates=H","DateFormat=P","Fill=—","Direction=H","UseDPDF=Y")</f>
        <v>—</v>
      </c>
      <c r="P48" s="13">
        <f>_xll.BDH("ALNY US Equity","ARD_UNREALIZED_GL_ON_SECS","FQ1 2022","FQ1 2022","Currency=USD","Period=FQ","BEST_FPERIOD_OVERRIDE=FQ","FILING_STATUS=MR","SCALING_FORMAT=MLN","Sort=A","Dates=H","DateFormat=P","Fill=—","Direction=H","UseDPDF=Y")</f>
        <v>-7.2169999999999996</v>
      </c>
      <c r="Q48" s="13">
        <f>_xll.BDH("ALNY US Equity","ARD_UNREALIZED_GL_ON_SECS","FQ2 2022","FQ2 2022","Currency=USD","Period=FQ","BEST_FPERIOD_OVERRIDE=FQ","FILING_STATUS=MR","SCALING_FORMAT=MLN","Sort=A","Dates=H","DateFormat=P","Fill=—","Direction=H","UseDPDF=Y")</f>
        <v>-1.734</v>
      </c>
      <c r="R48" s="13">
        <f>_xll.BDH("ALNY US Equity","ARD_UNREALIZED_GL_ON_SECS","FQ3 2022","FQ3 2022","Currency=USD","Period=FQ","BEST_FPERIOD_OVERRIDE=FQ","FILING_STATUS=MR","SCALING_FORMAT=MLN","Sort=A","Dates=H","DateFormat=P","Fill=—","Direction=H","UseDPDF=Y")</f>
        <v>-2.0529999999999999</v>
      </c>
      <c r="S48" s="13">
        <f>_xll.BDH("ALNY US Equity","ARD_UNREALIZED_GL_ON_SECS","FQ4 2022","FQ4 2022","Currency=USD","Period=FQ","BEST_FPERIOD_OVERRIDE=FQ","FILING_STATUS=MR","SCALING_FORMAT=MLN","Sort=A","Dates=H","DateFormat=P","Fill=—","Direction=H","UseDPDF=Y")</f>
        <v>3.1640000000000001</v>
      </c>
      <c r="T48" s="13">
        <f>_xll.BDH("ALNY US Equity","ARD_UNREALIZED_GL_ON_SECS","FQ1 2023","FQ1 2023","Currency=USD","Period=FQ","BEST_FPERIOD_OVERRIDE=FQ","FILING_STATUS=MR","SCALING_FORMAT=MLN","Sort=A","Dates=H","DateFormat=P","Fill=—","Direction=H","UseDPDF=Y")</f>
        <v>4.125</v>
      </c>
      <c r="U48" s="13">
        <f>_xll.BDH("ALNY US Equity","ARD_UNREALIZED_GL_ON_SECS","FQ2 2023","FQ2 2023","Currency=USD","Period=FQ","BEST_FPERIOD_OVERRIDE=FQ","FILING_STATUS=MR","SCALING_FORMAT=MLN","Sort=A","Dates=H","DateFormat=P","Fill=—","Direction=H","UseDPDF=Y")</f>
        <v>-2.0249999999999999</v>
      </c>
      <c r="V48" s="13">
        <f>_xll.BDH("ALNY US Equity","ARD_UNREALIZED_GL_ON_SECS","FQ3 2023","FQ3 2023","Currency=USD","Period=FQ","BEST_FPERIOD_OVERRIDE=FQ","FILING_STATUS=MR","SCALING_FORMAT=MLN","Sort=A","Dates=H","DateFormat=P","Fill=—","Direction=H","UseDPDF=Y")</f>
        <v>1.8779999999999999</v>
      </c>
      <c r="W48" s="13">
        <f>_xll.BDH("ALNY US Equity","ARD_UNREALIZED_GL_ON_SECS","FQ4 2023","FQ4 2023","Currency=USD","Period=FQ","BEST_FPERIOD_OVERRIDE=FQ","FILING_STATUS=MR","SCALING_FORMAT=MLN","Sort=A","Dates=H","DateFormat=P","Fill=—","Direction=H","UseDPDF=Y")</f>
        <v>7.04</v>
      </c>
      <c r="X48" s="13">
        <f>_xll.BDH("ALNY US Equity","ARD_UNREALIZED_GL_ON_SECS","FQ1 2024","FQ1 2024","Currency=USD","Period=FQ","BEST_FPERIOD_OVERRIDE=FQ","FILING_STATUS=MR","SCALING_FORMAT=MLN","Sort=A","Dates=H","DateFormat=P","Fill=—","Direction=H","UseDPDF=Y")</f>
        <v>-3.5680000000000001</v>
      </c>
      <c r="Y48" s="13">
        <f>_xll.BDH("ALNY US Equity","ARD_UNREALIZED_GL_ON_SECS","FQ2 2024","FQ2 2024","Currency=USD","Period=FQ","BEST_FPERIOD_OVERRIDE=FQ","FILING_STATUS=MR","SCALING_FORMAT=MLN","Sort=A","Dates=H","DateFormat=P","Fill=—","Direction=H","UseDPDF=Y")</f>
        <v>-0.72699999999999998</v>
      </c>
      <c r="Z48" s="13">
        <f>_xll.BDH("ALNY US Equity","ARD_UNREALIZED_GL_ON_SECS","FQ3 2024","FQ3 2024","Currency=USD","Period=FQ","BEST_FPERIOD_OVERRIDE=FQ","FILING_STATUS=MR","SCALING_FORMAT=MLN","Sort=A","Dates=H","DateFormat=P","Fill=—","Direction=H","UseDPDF=Y")</f>
        <v>9.0779999999999994</v>
      </c>
      <c r="AA48" s="13">
        <f>_xll.BDH("ALNY US Equity","ARD_UNREALIZED_GL_ON_SECS","FQ4 2024","FQ4 2024","Currency=USD","Period=FQ","BEST_FPERIOD_OVERRIDE=FQ","FILING_STATUS=MR","SCALING_FORMAT=MLN","Sort=A","Dates=H","DateFormat=P","Fill=—","Direction=H","UseDPDF=Y")</f>
        <v>-4.7869999999999999</v>
      </c>
    </row>
    <row r="49" spans="1:27" x14ac:dyDescent="0.25">
      <c r="A49" s="10" t="s">
        <v>478</v>
      </c>
      <c r="B49" s="10" t="s">
        <v>479</v>
      </c>
      <c r="C49" s="13" t="str">
        <f>_xll.BDH("ALNY US Equity","ARD_PENSION_RELATED_ADJUSTMENTS","FQ4 2018","FQ4 2018","Currency=USD","Period=FQ","BEST_FPERIOD_OVERRIDE=FQ","FILING_STATUS=MR","SCALING_FORMAT=MLN","Sort=A","Dates=H","DateFormat=P","Fill=—","Direction=H","UseDPDF=Y")</f>
        <v>—</v>
      </c>
      <c r="D49" s="13" t="str">
        <f>_xll.BDH("ALNY US Equity","ARD_PENSION_RELATED_ADJUSTMENTS","FQ1 2019","FQ1 2019","Currency=USD","Period=FQ","BEST_FPERIOD_OVERRIDE=FQ","FILING_STATUS=MR","SCALING_FORMAT=MLN","Sort=A","Dates=H","DateFormat=P","Fill=—","Direction=H","UseDPDF=Y")</f>
        <v>—</v>
      </c>
      <c r="E49" s="13" t="str">
        <f>_xll.BDH("ALNY US Equity","ARD_PENSION_RELATED_ADJUSTMENTS","FQ2 2019","FQ2 2019","Currency=USD","Period=FQ","BEST_FPERIOD_OVERRIDE=FQ","FILING_STATUS=MR","SCALING_FORMAT=MLN","Sort=A","Dates=H","DateFormat=P","Fill=—","Direction=H","UseDPDF=Y")</f>
        <v>—</v>
      </c>
      <c r="F49" s="13" t="str">
        <f>_xll.BDH("ALNY US Equity","ARD_PENSION_RELATED_ADJUSTMENTS","FQ3 2019","FQ3 2019","Currency=USD","Period=FQ","BEST_FPERIOD_OVERRIDE=FQ","FILING_STATUS=MR","SCALING_FORMAT=MLN","Sort=A","Dates=H","DateFormat=P","Fill=—","Direction=H","UseDPDF=Y")</f>
        <v>—</v>
      </c>
      <c r="G49" s="13" t="str">
        <f>_xll.BDH("ALNY US Equity","ARD_PENSION_RELATED_ADJUSTMENTS","FQ4 2019","FQ4 2019","Currency=USD","Period=FQ","BEST_FPERIOD_OVERRIDE=FQ","FILING_STATUS=MR","SCALING_FORMAT=MLN","Sort=A","Dates=H","DateFormat=P","Fill=—","Direction=H","UseDPDF=Y")</f>
        <v>—</v>
      </c>
      <c r="H49" s="13" t="str">
        <f>_xll.BDH("ALNY US Equity","ARD_PENSION_RELATED_ADJUSTMENTS","FQ1 2020","FQ1 2020","Currency=USD","Period=FQ","BEST_FPERIOD_OVERRIDE=FQ","FILING_STATUS=MR","SCALING_FORMAT=MLN","Sort=A","Dates=H","DateFormat=P","Fill=—","Direction=H","UseDPDF=Y")</f>
        <v>—</v>
      </c>
      <c r="I49" s="13" t="str">
        <f>_xll.BDH("ALNY US Equity","ARD_PENSION_RELATED_ADJUSTMENTS","FQ2 2020","FQ2 2020","Currency=USD","Period=FQ","BEST_FPERIOD_OVERRIDE=FQ","FILING_STATUS=MR","SCALING_FORMAT=MLN","Sort=A","Dates=H","DateFormat=P","Fill=—","Direction=H","UseDPDF=Y")</f>
        <v>—</v>
      </c>
      <c r="J49" s="13" t="str">
        <f>_xll.BDH("ALNY US Equity","ARD_PENSION_RELATED_ADJUSTMENTS","FQ3 2020","FQ3 2020","Currency=USD","Period=FQ","BEST_FPERIOD_OVERRIDE=FQ","FILING_STATUS=MR","SCALING_FORMAT=MLN","Sort=A","Dates=H","DateFormat=P","Fill=—","Direction=H","UseDPDF=Y")</f>
        <v>—</v>
      </c>
      <c r="K49" s="13" t="str">
        <f>_xll.BDH("ALNY US Equity","ARD_PENSION_RELATED_ADJUSTMENTS","FQ4 2020","FQ4 2020","Currency=USD","Period=FQ","BEST_FPERIOD_OVERRIDE=FQ","FILING_STATUS=MR","SCALING_FORMAT=MLN","Sort=A","Dates=H","DateFormat=P","Fill=—","Direction=H","UseDPDF=Y")</f>
        <v>—</v>
      </c>
      <c r="L49" s="13">
        <f>_xll.BDH("ALNY US Equity","ARD_PENSION_RELATED_ADJUSTMENTS","FQ1 2021","FQ1 2021","Currency=USD","Period=FQ","BEST_FPERIOD_OVERRIDE=FQ","FILING_STATUS=MR","SCALING_FORMAT=MLN","Sort=A","Dates=H","DateFormat=P","Fill=—","Direction=H","UseDPDF=Y")</f>
        <v>5.8000000000000003E-2</v>
      </c>
      <c r="M49" s="13" t="str">
        <f>_xll.BDH("ALNY US Equity","ARD_PENSION_RELATED_ADJUSTMENTS","FQ2 2021","FQ2 2021","Currency=USD","Period=FQ","BEST_FPERIOD_OVERRIDE=FQ","FILING_STATUS=MR","SCALING_FORMAT=MLN","Sort=A","Dates=H","DateFormat=P","Fill=—","Direction=H","UseDPDF=Y")</f>
        <v>—</v>
      </c>
      <c r="N49" s="13">
        <f>_xll.BDH("ALNY US Equity","ARD_PENSION_RELATED_ADJUSTMENTS","FQ3 2021","FQ3 2021","Currency=USD","Period=FQ","BEST_FPERIOD_OVERRIDE=FQ","FILING_STATUS=MR","SCALING_FORMAT=MLN","Sort=A","Dates=H","DateFormat=P","Fill=—","Direction=H","UseDPDF=Y")</f>
        <v>5.8000000000000003E-2</v>
      </c>
      <c r="O49" s="13" t="str">
        <f>_xll.BDH("ALNY US Equity","ARD_PENSION_RELATED_ADJUSTMENTS","FQ4 2021","FQ4 2021","Currency=USD","Period=FQ","BEST_FPERIOD_OVERRIDE=FQ","FILING_STATUS=MR","SCALING_FORMAT=MLN","Sort=A","Dates=H","DateFormat=P","Fill=—","Direction=H","UseDPDF=Y")</f>
        <v>—</v>
      </c>
      <c r="P49" s="13">
        <f>_xll.BDH("ALNY US Equity","ARD_PENSION_RELATED_ADJUSTMENTS","FQ1 2022","FQ1 2022","Currency=USD","Period=FQ","BEST_FPERIOD_OVERRIDE=FQ","FILING_STATUS=MR","SCALING_FORMAT=MLN","Sort=A","Dates=H","DateFormat=P","Fill=—","Direction=H","UseDPDF=Y")</f>
        <v>3.5000000000000003E-2</v>
      </c>
      <c r="Q49" s="13">
        <f>_xll.BDH("ALNY US Equity","ARD_PENSION_RELATED_ADJUSTMENTS","FQ2 2022","FQ2 2022","Currency=USD","Period=FQ","BEST_FPERIOD_OVERRIDE=FQ","FILING_STATUS=MR","SCALING_FORMAT=MLN","Sort=A","Dates=H","DateFormat=P","Fill=—","Direction=H","UseDPDF=Y")</f>
        <v>3.4000000000000002E-2</v>
      </c>
      <c r="R49" s="13">
        <f>_xll.BDH("ALNY US Equity","ARD_PENSION_RELATED_ADJUSTMENTS","FQ3 2022","FQ3 2022","Currency=USD","Period=FQ","BEST_FPERIOD_OVERRIDE=FQ","FILING_STATUS=MR","SCALING_FORMAT=MLN","Sort=A","Dates=H","DateFormat=P","Fill=—","Direction=H","UseDPDF=Y")</f>
        <v>3.4000000000000002E-2</v>
      </c>
      <c r="S49" s="13">
        <f>_xll.BDH("ALNY US Equity","ARD_PENSION_RELATED_ADJUSTMENTS","FQ4 2022","FQ4 2022","Currency=USD","Period=FQ","BEST_FPERIOD_OVERRIDE=FQ","FILING_STATUS=MR","SCALING_FORMAT=MLN","Sort=A","Dates=H","DateFormat=P","Fill=—","Direction=H","UseDPDF=Y")</f>
        <v>1.6160000000000001</v>
      </c>
      <c r="T49" s="13">
        <f>_xll.BDH("ALNY US Equity","ARD_PENSION_RELATED_ADJUSTMENTS","FQ1 2023","FQ1 2023","Currency=USD","Period=FQ","BEST_FPERIOD_OVERRIDE=FQ","FILING_STATUS=MR","SCALING_FORMAT=MLN","Sort=A","Dates=H","DateFormat=P","Fill=—","Direction=H","UseDPDF=Y")</f>
        <v>-5.0000000000000001E-3</v>
      </c>
      <c r="U49" s="13">
        <f>_xll.BDH("ALNY US Equity","ARD_PENSION_RELATED_ADJUSTMENTS","FQ2 2023","FQ2 2023","Currency=USD","Period=FQ","BEST_FPERIOD_OVERRIDE=FQ","FILING_STATUS=MR","SCALING_FORMAT=MLN","Sort=A","Dates=H","DateFormat=P","Fill=—","Direction=H","UseDPDF=Y")</f>
        <v>-4.0000000000000001E-3</v>
      </c>
      <c r="V49" s="13">
        <f>_xll.BDH("ALNY US Equity","ARD_PENSION_RELATED_ADJUSTMENTS","FQ3 2023","FQ3 2023","Currency=USD","Period=FQ","BEST_FPERIOD_OVERRIDE=FQ","FILING_STATUS=MR","SCALING_FORMAT=MLN","Sort=A","Dates=H","DateFormat=P","Fill=—","Direction=H","UseDPDF=Y")</f>
        <v>-0.01</v>
      </c>
      <c r="W49" s="13">
        <f>_xll.BDH("ALNY US Equity","ARD_PENSION_RELATED_ADJUSTMENTS","FQ4 2023","FQ4 2023","Currency=USD","Period=FQ","BEST_FPERIOD_OVERRIDE=FQ","FILING_STATUS=MR","SCALING_FORMAT=MLN","Sort=A","Dates=H","DateFormat=P","Fill=—","Direction=H","UseDPDF=Y")</f>
        <v>-1.6419999999999999</v>
      </c>
      <c r="X49" s="13">
        <f>_xll.BDH("ALNY US Equity","ARD_PENSION_RELATED_ADJUSTMENTS","FQ1 2024","FQ1 2024","Currency=USD","Period=FQ","BEST_FPERIOD_OVERRIDE=FQ","FILING_STATUS=MR","SCALING_FORMAT=MLN","Sort=A","Dates=H","DateFormat=P","Fill=—","Direction=H","UseDPDF=Y")</f>
        <v>3.3000000000000002E-2</v>
      </c>
      <c r="Y49" s="13">
        <f>_xll.BDH("ALNY US Equity","ARD_PENSION_RELATED_ADJUSTMENTS","FQ2 2024","FQ2 2024","Currency=USD","Period=FQ","BEST_FPERIOD_OVERRIDE=FQ","FILING_STATUS=MR","SCALING_FORMAT=MLN","Sort=A","Dates=H","DateFormat=P","Fill=—","Direction=H","UseDPDF=Y")</f>
        <v>0.03</v>
      </c>
      <c r="Z49" s="13">
        <f>_xll.BDH("ALNY US Equity","ARD_PENSION_RELATED_ADJUSTMENTS","FQ3 2024","FQ3 2024","Currency=USD","Period=FQ","BEST_FPERIOD_OVERRIDE=FQ","FILING_STATUS=MR","SCALING_FORMAT=MLN","Sort=A","Dates=H","DateFormat=P","Fill=—","Direction=H","UseDPDF=Y")</f>
        <v>0.03</v>
      </c>
      <c r="AA49" s="13">
        <f>_xll.BDH("ALNY US Equity","ARD_PENSION_RELATED_ADJUSTMENTS","FQ4 2024","FQ4 2024","Currency=USD","Period=FQ","BEST_FPERIOD_OVERRIDE=FQ","FILING_STATUS=MR","SCALING_FORMAT=MLN","Sort=A","Dates=H","DateFormat=P","Fill=—","Direction=H","UseDPDF=Y")</f>
        <v>-1.589</v>
      </c>
    </row>
    <row r="50" spans="1:27" x14ac:dyDescent="0.25">
      <c r="A50" s="10" t="s">
        <v>480</v>
      </c>
      <c r="B50" s="10" t="s">
        <v>481</v>
      </c>
      <c r="C50" s="13">
        <f>_xll.BDH("ALNY US Equity","ARD_RECLASS_ADJUSTMENTS","FQ4 2018","FQ4 2018","Currency=USD","Period=FQ","BEST_FPERIOD_OVERRIDE=FQ","FILING_STATUS=MR","SCALING_FORMAT=MLN","Sort=A","Dates=H","DateFormat=P","Fill=—","Direction=H","UseDPDF=Y")</f>
        <v>0</v>
      </c>
      <c r="D50" s="13" t="str">
        <f>_xll.BDH("ALNY US Equity","ARD_RECLASS_ADJUSTMENTS","FQ1 2019","FQ1 2019","Currency=USD","Period=FQ","BEST_FPERIOD_OVERRIDE=FQ","FILING_STATUS=MR","SCALING_FORMAT=MLN","Sort=A","Dates=H","DateFormat=P","Fill=—","Direction=H","UseDPDF=Y")</f>
        <v>—</v>
      </c>
      <c r="E50" s="13" t="str">
        <f>_xll.BDH("ALNY US Equity","ARD_RECLASS_ADJUSTMENTS","FQ2 2019","FQ2 2019","Currency=USD","Period=FQ","BEST_FPERIOD_OVERRIDE=FQ","FILING_STATUS=MR","SCALING_FORMAT=MLN","Sort=A","Dates=H","DateFormat=P","Fill=—","Direction=H","UseDPDF=Y")</f>
        <v>—</v>
      </c>
      <c r="F50" s="13" t="str">
        <f>_xll.BDH("ALNY US Equity","ARD_RECLASS_ADJUSTMENTS","FQ3 2019","FQ3 2019","Currency=USD","Period=FQ","BEST_FPERIOD_OVERRIDE=FQ","FILING_STATUS=MR","SCALING_FORMAT=MLN","Sort=A","Dates=H","DateFormat=P","Fill=—","Direction=H","UseDPDF=Y")</f>
        <v>—</v>
      </c>
      <c r="G50" s="13" t="str">
        <f>_xll.BDH("ALNY US Equity","ARD_RECLASS_ADJUSTMENTS","FQ4 2019","FQ4 2019","Currency=USD","Period=FQ","BEST_FPERIOD_OVERRIDE=FQ","FILING_STATUS=MR","SCALING_FORMAT=MLN","Sort=A","Dates=H","DateFormat=P","Fill=—","Direction=H","UseDPDF=Y")</f>
        <v>—</v>
      </c>
      <c r="H50" s="13" t="str">
        <f>_xll.BDH("ALNY US Equity","ARD_RECLASS_ADJUSTMENTS","FQ1 2020","FQ1 2020","Currency=USD","Period=FQ","BEST_FPERIOD_OVERRIDE=FQ","FILING_STATUS=MR","SCALING_FORMAT=MLN","Sort=A","Dates=H","DateFormat=P","Fill=—","Direction=H","UseDPDF=Y")</f>
        <v>—</v>
      </c>
      <c r="I50" s="13" t="str">
        <f>_xll.BDH("ALNY US Equity","ARD_RECLASS_ADJUSTMENTS","FQ2 2020","FQ2 2020","Currency=USD","Period=FQ","BEST_FPERIOD_OVERRIDE=FQ","FILING_STATUS=MR","SCALING_FORMAT=MLN","Sort=A","Dates=H","DateFormat=P","Fill=—","Direction=H","UseDPDF=Y")</f>
        <v>—</v>
      </c>
      <c r="J50" s="13" t="str">
        <f>_xll.BDH("ALNY US Equity","ARD_RECLASS_ADJUSTMENTS","FQ3 2020","FQ3 2020","Currency=USD","Period=FQ","BEST_FPERIOD_OVERRIDE=FQ","FILING_STATUS=MR","SCALING_FORMAT=MLN","Sort=A","Dates=H","DateFormat=P","Fill=—","Direction=H","UseDPDF=Y")</f>
        <v>—</v>
      </c>
      <c r="K50" s="13" t="str">
        <f>_xll.BDH("ALNY US Equity","ARD_RECLASS_ADJUSTMENTS","FQ4 2020","FQ4 2020","Currency=USD","Period=FQ","BEST_FPERIOD_OVERRIDE=FQ","FILING_STATUS=MR","SCALING_FORMAT=MLN","Sort=A","Dates=H","DateFormat=P","Fill=—","Direction=H","UseDPDF=Y")</f>
        <v>—</v>
      </c>
      <c r="L50" s="13" t="str">
        <f>_xll.BDH("ALNY US Equity","ARD_RECLASS_ADJUSTMENTS","FQ1 2021","FQ1 2021","Currency=USD","Period=FQ","BEST_FPERIOD_OVERRIDE=FQ","FILING_STATUS=MR","SCALING_FORMAT=MLN","Sort=A","Dates=H","DateFormat=P","Fill=—","Direction=H","UseDPDF=Y")</f>
        <v>—</v>
      </c>
      <c r="M50" s="13" t="str">
        <f>_xll.BDH("ALNY US Equity","ARD_RECLASS_ADJUSTMENTS","FQ2 2021","FQ2 2021","Currency=USD","Period=FQ","BEST_FPERIOD_OVERRIDE=FQ","FILING_STATUS=MR","SCALING_FORMAT=MLN","Sort=A","Dates=H","DateFormat=P","Fill=—","Direction=H","UseDPDF=Y")</f>
        <v>—</v>
      </c>
      <c r="N50" s="13" t="str">
        <f>_xll.BDH("ALNY US Equity","ARD_RECLASS_ADJUSTMENTS","FQ3 2021","FQ3 2021","Currency=USD","Period=FQ","BEST_FPERIOD_OVERRIDE=FQ","FILING_STATUS=MR","SCALING_FORMAT=MLN","Sort=A","Dates=H","DateFormat=P","Fill=—","Direction=H","UseDPDF=Y")</f>
        <v>—</v>
      </c>
      <c r="O50" s="13" t="str">
        <f>_xll.BDH("ALNY US Equity","ARD_RECLASS_ADJUSTMENTS","FQ4 2021","FQ4 2021","Currency=USD","Period=FQ","BEST_FPERIOD_OVERRIDE=FQ","FILING_STATUS=MR","SCALING_FORMAT=MLN","Sort=A","Dates=H","DateFormat=P","Fill=—","Direction=H","UseDPDF=Y")</f>
        <v>—</v>
      </c>
      <c r="P50" s="13" t="str">
        <f>_xll.BDH("ALNY US Equity","ARD_RECLASS_ADJUSTMENTS","FQ1 2022","FQ1 2022","Currency=USD","Period=FQ","BEST_FPERIOD_OVERRIDE=FQ","FILING_STATUS=MR","SCALING_FORMAT=MLN","Sort=A","Dates=H","DateFormat=P","Fill=—","Direction=H","UseDPDF=Y")</f>
        <v>—</v>
      </c>
      <c r="Q50" s="13" t="str">
        <f>_xll.BDH("ALNY US Equity","ARD_RECLASS_ADJUSTMENTS","FQ2 2022","FQ2 2022","Currency=USD","Period=FQ","BEST_FPERIOD_OVERRIDE=FQ","FILING_STATUS=MR","SCALING_FORMAT=MLN","Sort=A","Dates=H","DateFormat=P","Fill=—","Direction=H","UseDPDF=Y")</f>
        <v>—</v>
      </c>
      <c r="R50" s="13" t="str">
        <f>_xll.BDH("ALNY US Equity","ARD_RECLASS_ADJUSTMENTS","FQ3 2022","FQ3 2022","Currency=USD","Period=FQ","BEST_FPERIOD_OVERRIDE=FQ","FILING_STATUS=MR","SCALING_FORMAT=MLN","Sort=A","Dates=H","DateFormat=P","Fill=—","Direction=H","UseDPDF=Y")</f>
        <v>—</v>
      </c>
      <c r="S50" s="13" t="str">
        <f>_xll.BDH("ALNY US Equity","ARD_RECLASS_ADJUSTMENTS","FQ4 2022","FQ4 2022","Currency=USD","Period=FQ","BEST_FPERIOD_OVERRIDE=FQ","FILING_STATUS=MR","SCALING_FORMAT=MLN","Sort=A","Dates=H","DateFormat=P","Fill=—","Direction=H","UseDPDF=Y")</f>
        <v>—</v>
      </c>
      <c r="T50" s="13" t="str">
        <f>_xll.BDH("ALNY US Equity","ARD_RECLASS_ADJUSTMENTS","FQ1 2023","FQ1 2023","Currency=USD","Period=FQ","BEST_FPERIOD_OVERRIDE=FQ","FILING_STATUS=MR","SCALING_FORMAT=MLN","Sort=A","Dates=H","DateFormat=P","Fill=—","Direction=H","UseDPDF=Y")</f>
        <v>—</v>
      </c>
      <c r="U50" s="13" t="str">
        <f>_xll.BDH("ALNY US Equity","ARD_RECLASS_ADJUSTMENTS","FQ2 2023","FQ2 2023","Currency=USD","Period=FQ","BEST_FPERIOD_OVERRIDE=FQ","FILING_STATUS=MR","SCALING_FORMAT=MLN","Sort=A","Dates=H","DateFormat=P","Fill=—","Direction=H","UseDPDF=Y")</f>
        <v>—</v>
      </c>
      <c r="V50" s="13" t="str">
        <f>_xll.BDH("ALNY US Equity","ARD_RECLASS_ADJUSTMENTS","FQ3 2023","FQ3 2023","Currency=USD","Period=FQ","BEST_FPERIOD_OVERRIDE=FQ","FILING_STATUS=MR","SCALING_FORMAT=MLN","Sort=A","Dates=H","DateFormat=P","Fill=—","Direction=H","UseDPDF=Y")</f>
        <v>—</v>
      </c>
      <c r="W50" s="13" t="str">
        <f>_xll.BDH("ALNY US Equity","ARD_RECLASS_ADJUSTMENTS","FQ4 2023","FQ4 2023","Currency=USD","Period=FQ","BEST_FPERIOD_OVERRIDE=FQ","FILING_STATUS=MR","SCALING_FORMAT=MLN","Sort=A","Dates=H","DateFormat=P","Fill=—","Direction=H","UseDPDF=Y")</f>
        <v>—</v>
      </c>
      <c r="X50" s="13" t="str">
        <f>_xll.BDH("ALNY US Equity","ARD_RECLASS_ADJUSTMENTS","FQ1 2024","FQ1 2024","Currency=USD","Period=FQ","BEST_FPERIOD_OVERRIDE=FQ","FILING_STATUS=MR","SCALING_FORMAT=MLN","Sort=A","Dates=H","DateFormat=P","Fill=—","Direction=H","UseDPDF=Y")</f>
        <v>—</v>
      </c>
      <c r="Y50" s="13" t="str">
        <f>_xll.BDH("ALNY US Equity","ARD_RECLASS_ADJUSTMENTS","FQ2 2024","FQ2 2024","Currency=USD","Period=FQ","BEST_FPERIOD_OVERRIDE=FQ","FILING_STATUS=MR","SCALING_FORMAT=MLN","Sort=A","Dates=H","DateFormat=P","Fill=—","Direction=H","UseDPDF=Y")</f>
        <v>—</v>
      </c>
      <c r="Z50" s="13" t="str">
        <f>_xll.BDH("ALNY US Equity","ARD_RECLASS_ADJUSTMENTS","FQ3 2024","FQ3 2024","Currency=USD","Period=FQ","BEST_FPERIOD_OVERRIDE=FQ","FILING_STATUS=MR","SCALING_FORMAT=MLN","Sort=A","Dates=H","DateFormat=P","Fill=—","Direction=H","UseDPDF=Y")</f>
        <v>—</v>
      </c>
      <c r="AA50" s="13" t="str">
        <f>_xll.BDH("ALNY US Equity","ARD_RECLASS_ADJUSTMENTS","FQ4 2024","FQ4 2024","Currency=USD","Period=FQ","BEST_FPERIOD_OVERRIDE=FQ","FILING_STATUS=MR","SCALING_FORMAT=MLN","Sort=A","Dates=H","DateFormat=P","Fill=—","Direction=H","UseDPDF=Y")</f>
        <v>—</v>
      </c>
    </row>
    <row r="51" spans="1:27" x14ac:dyDescent="0.25">
      <c r="A51" s="10" t="s">
        <v>482</v>
      </c>
      <c r="B51" s="10" t="s">
        <v>483</v>
      </c>
      <c r="C51" s="13" t="str">
        <f>_xll.BDH("ALNY US Equity","ARD_OTHER_COMPREHENSIVE_INCOME","FQ4 2018","FQ4 2018","Currency=USD","Period=FQ","BEST_FPERIOD_OVERRIDE=FQ","FILING_STATUS=MR","SCALING_FORMAT=MLN","Sort=A","Dates=H","DateFormat=P","Fill=—","Direction=H","UseDPDF=Y")</f>
        <v>—</v>
      </c>
      <c r="D51" s="13" t="str">
        <f>_xll.BDH("ALNY US Equity","ARD_OTHER_COMPREHENSIVE_INCOME","FQ1 2019","FQ1 2019","Currency=USD","Period=FQ","BEST_FPERIOD_OVERRIDE=FQ","FILING_STATUS=MR","SCALING_FORMAT=MLN","Sort=A","Dates=H","DateFormat=P","Fill=—","Direction=H","UseDPDF=Y")</f>
        <v>—</v>
      </c>
      <c r="E51" s="13">
        <f>_xll.BDH("ALNY US Equity","ARD_OTHER_COMPREHENSIVE_INCOME","FQ2 2019","FQ2 2019","Currency=USD","Period=FQ","BEST_FPERIOD_OVERRIDE=FQ","FILING_STATUS=MR","SCALING_FORMAT=MLN","Sort=A","Dates=H","DateFormat=P","Fill=—","Direction=H","UseDPDF=Y")</f>
        <v>-4.282</v>
      </c>
      <c r="F51" s="13">
        <f>_xll.BDH("ALNY US Equity","ARD_OTHER_COMPREHENSIVE_INCOME","FQ3 2019","FQ3 2019","Currency=USD","Period=FQ","BEST_FPERIOD_OVERRIDE=FQ","FILING_STATUS=MR","SCALING_FORMAT=MLN","Sort=A","Dates=H","DateFormat=P","Fill=—","Direction=H","UseDPDF=Y")</f>
        <v>7.0999999999999994E-2</v>
      </c>
      <c r="G51" s="13">
        <f>_xll.BDH("ALNY US Equity","ARD_OTHER_COMPREHENSIVE_INCOME","FQ4 2019","FQ4 2019","Currency=USD","Period=FQ","BEST_FPERIOD_OVERRIDE=FQ","FILING_STATUS=MR","SCALING_FORMAT=MLN","Sort=A","Dates=H","DateFormat=P","Fill=—","Direction=H","UseDPDF=Y")</f>
        <v>0.69099999999999995</v>
      </c>
      <c r="H51" s="13">
        <f>_xll.BDH("ALNY US Equity","ARD_OTHER_COMPREHENSIVE_INCOME","FQ1 2020","FQ1 2020","Currency=USD","Period=FQ","BEST_FPERIOD_OVERRIDE=FQ","FILING_STATUS=MR","SCALING_FORMAT=MLN","Sort=A","Dates=H","DateFormat=P","Fill=—","Direction=H","UseDPDF=Y")</f>
        <v>7.3999999999999996E-2</v>
      </c>
      <c r="I51" s="13">
        <f>_xll.BDH("ALNY US Equity","ARD_OTHER_COMPREHENSIVE_INCOME","FQ2 2020","FQ2 2020","Currency=USD","Period=FQ","BEST_FPERIOD_OVERRIDE=FQ","FILING_STATUS=MR","SCALING_FORMAT=MLN","Sort=A","Dates=H","DateFormat=P","Fill=—","Direction=H","UseDPDF=Y")</f>
        <v>7.1999999999999995E-2</v>
      </c>
      <c r="J51" s="13">
        <f>_xll.BDH("ALNY US Equity","ARD_OTHER_COMPREHENSIVE_INCOME","FQ3 2020","FQ3 2020","Currency=USD","Period=FQ","BEST_FPERIOD_OVERRIDE=FQ","FILING_STATUS=MR","SCALING_FORMAT=MLN","Sort=A","Dates=H","DateFormat=P","Fill=—","Direction=H","UseDPDF=Y")</f>
        <v>7.5999999999999998E-2</v>
      </c>
      <c r="K51" s="13" t="str">
        <f>_xll.BDH("ALNY US Equity","ARD_OTHER_COMPREHENSIVE_INCOME","FQ4 2020","FQ4 2020","Currency=USD","Period=FQ","BEST_FPERIOD_OVERRIDE=FQ","FILING_STATUS=MR","SCALING_FORMAT=MLN","Sort=A","Dates=H","DateFormat=P","Fill=—","Direction=H","UseDPDF=Y")</f>
        <v>—</v>
      </c>
      <c r="L51" s="13" t="str">
        <f>_xll.BDH("ALNY US Equity","ARD_OTHER_COMPREHENSIVE_INCOME","FQ1 2021","FQ1 2021","Currency=USD","Period=FQ","BEST_FPERIOD_OVERRIDE=FQ","FILING_STATUS=MR","SCALING_FORMAT=MLN","Sort=A","Dates=H","DateFormat=P","Fill=—","Direction=H","UseDPDF=Y")</f>
        <v>—</v>
      </c>
      <c r="M51" s="13">
        <f>_xll.BDH("ALNY US Equity","ARD_OTHER_COMPREHENSIVE_INCOME","FQ2 2021","FQ2 2021","Currency=USD","Period=FQ","BEST_FPERIOD_OVERRIDE=FQ","FILING_STATUS=MR","SCALING_FORMAT=MLN","Sort=A","Dates=H","DateFormat=P","Fill=—","Direction=H","UseDPDF=Y")</f>
        <v>5.8000000000000003E-2</v>
      </c>
      <c r="N51" s="13" t="str">
        <f>_xll.BDH("ALNY US Equity","ARD_OTHER_COMPREHENSIVE_INCOME","FQ3 2021","FQ3 2021","Currency=USD","Period=FQ","BEST_FPERIOD_OVERRIDE=FQ","FILING_STATUS=MR","SCALING_FORMAT=MLN","Sort=A","Dates=H","DateFormat=P","Fill=—","Direction=H","UseDPDF=Y")</f>
        <v>—</v>
      </c>
      <c r="O51" s="13" t="str">
        <f>_xll.BDH("ALNY US Equity","ARD_OTHER_COMPREHENSIVE_INCOME","FQ4 2021","FQ4 2021","Currency=USD","Period=FQ","BEST_FPERIOD_OVERRIDE=FQ","FILING_STATUS=MR","SCALING_FORMAT=MLN","Sort=A","Dates=H","DateFormat=P","Fill=—","Direction=H","UseDPDF=Y")</f>
        <v>—</v>
      </c>
      <c r="P51" s="13" t="str">
        <f>_xll.BDH("ALNY US Equity","ARD_OTHER_COMPREHENSIVE_INCOME","FQ1 2022","FQ1 2022","Currency=USD","Period=FQ","BEST_FPERIOD_OVERRIDE=FQ","FILING_STATUS=MR","SCALING_FORMAT=MLN","Sort=A","Dates=H","DateFormat=P","Fill=—","Direction=H","UseDPDF=Y")</f>
        <v>—</v>
      </c>
      <c r="Q51" s="13" t="str">
        <f>_xll.BDH("ALNY US Equity","ARD_OTHER_COMPREHENSIVE_INCOME","FQ2 2022","FQ2 2022","Currency=USD","Period=FQ","BEST_FPERIOD_OVERRIDE=FQ","FILING_STATUS=MR","SCALING_FORMAT=MLN","Sort=A","Dates=H","DateFormat=P","Fill=—","Direction=H","UseDPDF=Y")</f>
        <v>—</v>
      </c>
      <c r="R51" s="13" t="str">
        <f>_xll.BDH("ALNY US Equity","ARD_OTHER_COMPREHENSIVE_INCOME","FQ3 2022","FQ3 2022","Currency=USD","Period=FQ","BEST_FPERIOD_OVERRIDE=FQ","FILING_STATUS=MR","SCALING_FORMAT=MLN","Sort=A","Dates=H","DateFormat=P","Fill=—","Direction=H","UseDPDF=Y")</f>
        <v>—</v>
      </c>
      <c r="S51" s="13" t="str">
        <f>_xll.BDH("ALNY US Equity","ARD_OTHER_COMPREHENSIVE_INCOME","FQ4 2022","FQ4 2022","Currency=USD","Period=FQ","BEST_FPERIOD_OVERRIDE=FQ","FILING_STATUS=MR","SCALING_FORMAT=MLN","Sort=A","Dates=H","DateFormat=P","Fill=—","Direction=H","UseDPDF=Y")</f>
        <v>—</v>
      </c>
      <c r="T51" s="13" t="str">
        <f>_xll.BDH("ALNY US Equity","ARD_OTHER_COMPREHENSIVE_INCOME","FQ1 2023","FQ1 2023","Currency=USD","Period=FQ","BEST_FPERIOD_OVERRIDE=FQ","FILING_STATUS=MR","SCALING_FORMAT=MLN","Sort=A","Dates=H","DateFormat=P","Fill=—","Direction=H","UseDPDF=Y")</f>
        <v>—</v>
      </c>
      <c r="U51" s="13" t="str">
        <f>_xll.BDH("ALNY US Equity","ARD_OTHER_COMPREHENSIVE_INCOME","FQ2 2023","FQ2 2023","Currency=USD","Period=FQ","BEST_FPERIOD_OVERRIDE=FQ","FILING_STATUS=MR","SCALING_FORMAT=MLN","Sort=A","Dates=H","DateFormat=P","Fill=—","Direction=H","UseDPDF=Y")</f>
        <v>—</v>
      </c>
      <c r="V51" s="13" t="str">
        <f>_xll.BDH("ALNY US Equity","ARD_OTHER_COMPREHENSIVE_INCOME","FQ3 2023","FQ3 2023","Currency=USD","Period=FQ","BEST_FPERIOD_OVERRIDE=FQ","FILING_STATUS=MR","SCALING_FORMAT=MLN","Sort=A","Dates=H","DateFormat=P","Fill=—","Direction=H","UseDPDF=Y")</f>
        <v>—</v>
      </c>
      <c r="W51" s="13" t="str">
        <f>_xll.BDH("ALNY US Equity","ARD_OTHER_COMPREHENSIVE_INCOME","FQ4 2023","FQ4 2023","Currency=USD","Period=FQ","BEST_FPERIOD_OVERRIDE=FQ","FILING_STATUS=MR","SCALING_FORMAT=MLN","Sort=A","Dates=H","DateFormat=P","Fill=—","Direction=H","UseDPDF=Y")</f>
        <v>—</v>
      </c>
      <c r="X51" s="13" t="str">
        <f>_xll.BDH("ALNY US Equity","ARD_OTHER_COMPREHENSIVE_INCOME","FQ1 2024","FQ1 2024","Currency=USD","Period=FQ","BEST_FPERIOD_OVERRIDE=FQ","FILING_STATUS=MR","SCALING_FORMAT=MLN","Sort=A","Dates=H","DateFormat=P","Fill=—","Direction=H","UseDPDF=Y")</f>
        <v>—</v>
      </c>
      <c r="Y51" s="13" t="str">
        <f>_xll.BDH("ALNY US Equity","ARD_OTHER_COMPREHENSIVE_INCOME","FQ2 2024","FQ2 2024","Currency=USD","Period=FQ","BEST_FPERIOD_OVERRIDE=FQ","FILING_STATUS=MR","SCALING_FORMAT=MLN","Sort=A","Dates=H","DateFormat=P","Fill=—","Direction=H","UseDPDF=Y")</f>
        <v>—</v>
      </c>
      <c r="Z51" s="13" t="str">
        <f>_xll.BDH("ALNY US Equity","ARD_OTHER_COMPREHENSIVE_INCOME","FQ3 2024","FQ3 2024","Currency=USD","Period=FQ","BEST_FPERIOD_OVERRIDE=FQ","FILING_STATUS=MR","SCALING_FORMAT=MLN","Sort=A","Dates=H","DateFormat=P","Fill=—","Direction=H","UseDPDF=Y")</f>
        <v>—</v>
      </c>
      <c r="AA51" s="13" t="str">
        <f>_xll.BDH("ALNY US Equity","ARD_OTHER_COMPREHENSIVE_INCOME","FQ4 2024","FQ4 2024","Currency=USD","Period=FQ","BEST_FPERIOD_OVERRIDE=FQ","FILING_STATUS=MR","SCALING_FORMAT=MLN","Sort=A","Dates=H","DateFormat=P","Fill=—","Direction=H","UseDPDF=Y")</f>
        <v>—</v>
      </c>
    </row>
    <row r="52" spans="1:27" x14ac:dyDescent="0.25">
      <c r="A52" s="10" t="s">
        <v>484</v>
      </c>
      <c r="B52" s="10" t="s">
        <v>485</v>
      </c>
      <c r="C52" s="13">
        <f>_xll.BDH("ALNY US Equity","ARD_TOTAL_COMPREHENSIVE_INCOME","FQ4 2018","FQ4 2018","Currency=USD","Period=FQ","BEST_FPERIOD_OVERRIDE=FQ","FILING_STATUS=MR","SCALING_FORMAT=MLN","Sort=A","Dates=H","DateFormat=P","Fill=—","Direction=H","UseDPDF=Y")</f>
        <v>-211.262</v>
      </c>
      <c r="D52" s="13">
        <f>_xll.BDH("ALNY US Equity","ARD_TOTAL_COMPREHENSIVE_INCOME","FQ1 2019","FQ1 2019","Currency=USD","Period=FQ","BEST_FPERIOD_OVERRIDE=FQ","FILING_STATUS=MR","SCALING_FORMAT=MLN","Sort=A","Dates=H","DateFormat=P","Fill=—","Direction=H","UseDPDF=Y")</f>
        <v>-181.55500000000001</v>
      </c>
      <c r="E52" s="13">
        <f>_xll.BDH("ALNY US Equity","ARD_TOTAL_COMPREHENSIVE_INCOME","FQ2 2019","FQ2 2019","Currency=USD","Period=FQ","BEST_FPERIOD_OVERRIDE=FQ","FILING_STATUS=MR","SCALING_FORMAT=MLN","Sort=A","Dates=H","DateFormat=P","Fill=—","Direction=H","UseDPDF=Y")</f>
        <v>-222.459</v>
      </c>
      <c r="F52" s="13">
        <f>_xll.BDH("ALNY US Equity","ARD_TOTAL_COMPREHENSIVE_INCOME","FQ3 2019","FQ3 2019","Currency=USD","Period=FQ","BEST_FPERIOD_OVERRIDE=FQ","FILING_STATUS=MR","SCALING_FORMAT=MLN","Sort=A","Dates=H","DateFormat=P","Fill=—","Direction=H","UseDPDF=Y")</f>
        <v>-207.07499999999999</v>
      </c>
      <c r="G52" s="13">
        <f>_xll.BDH("ALNY US Equity","ARD_TOTAL_COMPREHENSIVE_INCOME","FQ4 2019","FQ4 2019","Currency=USD","Period=FQ","BEST_FPERIOD_OVERRIDE=FQ","FILING_STATUS=MR","SCALING_FORMAT=MLN","Sort=A","Dates=H","DateFormat=P","Fill=—","Direction=H","UseDPDF=Y")</f>
        <v>-278.33199999999999</v>
      </c>
      <c r="H52" s="13">
        <f>_xll.BDH("ALNY US Equity","ARD_TOTAL_COMPREHENSIVE_INCOME","FQ1 2020","FQ1 2020","Currency=USD","Period=FQ","BEST_FPERIOD_OVERRIDE=FQ","FILING_STATUS=MR","SCALING_FORMAT=MLN","Sort=A","Dates=H","DateFormat=P","Fill=—","Direction=H","UseDPDF=Y")</f>
        <v>-177.762</v>
      </c>
      <c r="I52" s="13">
        <f>_xll.BDH("ALNY US Equity","ARD_TOTAL_COMPREHENSIVE_INCOME","FQ2 2020","FQ2 2020","Currency=USD","Period=FQ","BEST_FPERIOD_OVERRIDE=FQ","FILING_STATUS=MR","SCALING_FORMAT=MLN","Sort=A","Dates=H","DateFormat=P","Fill=—","Direction=H","UseDPDF=Y")</f>
        <v>-180.38200000000001</v>
      </c>
      <c r="J52" s="13">
        <f>_xll.BDH("ALNY US Equity","ARD_TOTAL_COMPREHENSIVE_INCOME","FQ3 2020","FQ3 2020","Currency=USD","Period=FQ","BEST_FPERIOD_OVERRIDE=FQ","FILING_STATUS=MR","SCALING_FORMAT=MLN","Sort=A","Dates=H","DateFormat=P","Fill=—","Direction=H","UseDPDF=Y")</f>
        <v>-257.27199999999999</v>
      </c>
      <c r="K52" s="13" t="str">
        <f>_xll.BDH("ALNY US Equity","ARD_TOTAL_COMPREHENSIVE_INCOME","FQ4 2020","FQ4 2020","Currency=USD","Period=FQ","BEST_FPERIOD_OVERRIDE=FQ","FILING_STATUS=MR","SCALING_FORMAT=MLN","Sort=A","Dates=H","DateFormat=P","Fill=—","Direction=H","UseDPDF=Y")</f>
        <v>—</v>
      </c>
      <c r="L52" s="13">
        <f>_xll.BDH("ALNY US Equity","ARD_TOTAL_COMPREHENSIVE_INCOME","FQ1 2021","FQ1 2021","Currency=USD","Period=FQ","BEST_FPERIOD_OVERRIDE=FQ","FILING_STATUS=MR","SCALING_FORMAT=MLN","Sort=A","Dates=H","DateFormat=P","Fill=—","Direction=H","UseDPDF=Y")</f>
        <v>-193.386</v>
      </c>
      <c r="M52" s="13">
        <f>_xll.BDH("ALNY US Equity","ARD_TOTAL_COMPREHENSIVE_INCOME","FQ2 2021","FQ2 2021","Currency=USD","Period=FQ","BEST_FPERIOD_OVERRIDE=FQ","FILING_STATUS=MR","SCALING_FORMAT=MLN","Sort=A","Dates=H","DateFormat=P","Fill=—","Direction=H","UseDPDF=Y")</f>
        <v>-188.923</v>
      </c>
      <c r="N52" s="13">
        <f>_xll.BDH("ALNY US Equity","ARD_TOTAL_COMPREHENSIVE_INCOME","FQ3 2021","FQ3 2021","Currency=USD","Period=FQ","BEST_FPERIOD_OVERRIDE=FQ","FILING_STATUS=MR","SCALING_FORMAT=MLN","Sort=A","Dates=H","DateFormat=P","Fill=—","Direction=H","UseDPDF=Y")</f>
        <v>-202.66300000000001</v>
      </c>
      <c r="O52" s="13">
        <f>_xll.BDH("ALNY US Equity","ARD_TOTAL_COMPREHENSIVE_INCOME","FQ4 2021","FQ4 2021","Currency=USD","Period=FQ","BEST_FPERIOD_OVERRIDE=FQ","FILING_STATUS=MR","SCALING_FORMAT=MLN","Sort=A","Dates=H","DateFormat=P","Fill=—","Direction=H","UseDPDF=Y")</f>
        <v>-258.45999999999998</v>
      </c>
      <c r="P52" s="13">
        <f>_xll.BDH("ALNY US Equity","ARD_TOTAL_COMPREHENSIVE_INCOME","FQ1 2022","FQ1 2022","Currency=USD","Period=FQ","BEST_FPERIOD_OVERRIDE=FQ","FILING_STATUS=MR","SCALING_FORMAT=MLN","Sort=A","Dates=H","DateFormat=P","Fill=—","Direction=H","UseDPDF=Y")</f>
        <v>-245.14699999999999</v>
      </c>
      <c r="Q52" s="13">
        <f>_xll.BDH("ALNY US Equity","ARD_TOTAL_COMPREHENSIVE_INCOME","FQ2 2022","FQ2 2022","Currency=USD","Period=FQ","BEST_FPERIOD_OVERRIDE=FQ","FILING_STATUS=MR","SCALING_FORMAT=MLN","Sort=A","Dates=H","DateFormat=P","Fill=—","Direction=H","UseDPDF=Y")</f>
        <v>-281.56099999999998</v>
      </c>
      <c r="R52" s="13">
        <f>_xll.BDH("ALNY US Equity","ARD_TOTAL_COMPREHENSIVE_INCOME","FQ3 2022","FQ3 2022","Currency=USD","Period=FQ","BEST_FPERIOD_OVERRIDE=FQ","FILING_STATUS=MR","SCALING_FORMAT=MLN","Sort=A","Dates=H","DateFormat=P","Fill=—","Direction=H","UseDPDF=Y")</f>
        <v>-407.47899999999998</v>
      </c>
      <c r="S52" s="13">
        <f>_xll.BDH("ALNY US Equity","ARD_TOTAL_COMPREHENSIVE_INCOME","FQ4 2022","FQ4 2022","Currency=USD","Period=FQ","BEST_FPERIOD_OVERRIDE=FQ","FILING_STATUS=MR","SCALING_FORMAT=MLN","Sort=A","Dates=H","DateFormat=P","Fill=—","Direction=H","UseDPDF=Y")</f>
        <v>-208.364</v>
      </c>
      <c r="T52" s="13">
        <f>_xll.BDH("ALNY US Equity","ARD_TOTAL_COMPREHENSIVE_INCOME","FQ1 2023","FQ1 2023","Currency=USD","Period=FQ","BEST_FPERIOD_OVERRIDE=FQ","FILING_STATUS=MR","SCALING_FORMAT=MLN","Sort=A","Dates=H","DateFormat=P","Fill=—","Direction=H","UseDPDF=Y")</f>
        <v>-168.571</v>
      </c>
      <c r="U52" s="13">
        <f>_xll.BDH("ALNY US Equity","ARD_TOTAL_COMPREHENSIVE_INCOME","FQ2 2023","FQ2 2023","Currency=USD","Period=FQ","BEST_FPERIOD_OVERRIDE=FQ","FILING_STATUS=MR","SCALING_FORMAT=MLN","Sort=A","Dates=H","DateFormat=P","Fill=—","Direction=H","UseDPDF=Y")</f>
        <v>-273.98</v>
      </c>
      <c r="V52" s="13">
        <f>_xll.BDH("ALNY US Equity","ARD_TOTAL_COMPREHENSIVE_INCOME","FQ3 2023","FQ3 2023","Currency=USD","Period=FQ","BEST_FPERIOD_OVERRIDE=FQ","FILING_STATUS=MR","SCALING_FORMAT=MLN","Sort=A","Dates=H","DateFormat=P","Fill=—","Direction=H","UseDPDF=Y")</f>
        <v>152.494</v>
      </c>
      <c r="W52" s="13">
        <f>_xll.BDH("ALNY US Equity","ARD_TOTAL_COMPREHENSIVE_INCOME","FQ4 2023","FQ4 2023","Currency=USD","Period=FQ","BEST_FPERIOD_OVERRIDE=FQ","FILING_STATUS=MR","SCALING_FORMAT=MLN","Sort=A","Dates=H","DateFormat=P","Fill=—","Direction=H","UseDPDF=Y")</f>
        <v>-128.90600000000001</v>
      </c>
      <c r="X52" s="13">
        <f>_xll.BDH("ALNY US Equity","ARD_TOTAL_COMPREHENSIVE_INCOME","FQ1 2024","FQ1 2024","Currency=USD","Period=FQ","BEST_FPERIOD_OVERRIDE=FQ","FILING_STATUS=MR","SCALING_FORMAT=MLN","Sort=A","Dates=H","DateFormat=P","Fill=—","Direction=H","UseDPDF=Y")</f>
        <v>-69.548000000000002</v>
      </c>
      <c r="Y52" s="13">
        <f>_xll.BDH("ALNY US Equity","ARD_TOTAL_COMPREHENSIVE_INCOME","FQ2 2024","FQ2 2024","Currency=USD","Period=FQ","BEST_FPERIOD_OVERRIDE=FQ","FILING_STATUS=MR","SCALING_FORMAT=MLN","Sort=A","Dates=H","DateFormat=P","Fill=—","Direction=H","UseDPDF=Y")</f>
        <v>-24.538</v>
      </c>
      <c r="Z52" s="13">
        <f>_xll.BDH("ALNY US Equity","ARD_TOTAL_COMPREHENSIVE_INCOME","FQ3 2024","FQ3 2024","Currency=USD","Period=FQ","BEST_FPERIOD_OVERRIDE=FQ","FILING_STATUS=MR","SCALING_FORMAT=MLN","Sort=A","Dates=H","DateFormat=P","Fill=—","Direction=H","UseDPDF=Y")</f>
        <v>-101.759</v>
      </c>
      <c r="AA52" s="13">
        <f>_xll.BDH("ALNY US Equity","ARD_TOTAL_COMPREHENSIVE_INCOME","FQ4 2024","FQ4 2024","Currency=USD","Period=FQ","BEST_FPERIOD_OVERRIDE=FQ","FILING_STATUS=MR","SCALING_FORMAT=MLN","Sort=A","Dates=H","DateFormat=P","Fill=—","Direction=H","UseDPDF=Y")</f>
        <v>-93.454999999999998</v>
      </c>
    </row>
    <row r="53" spans="1:27" x14ac:dyDescent="0.25">
      <c r="A53" s="10" t="s">
        <v>486</v>
      </c>
      <c r="B53" s="10" t="s">
        <v>487</v>
      </c>
      <c r="C53" s="13">
        <f>_xll.BDH("ALNY US Equity","ARD_COMPREHENSIVE_INCOME_NET_INC","FQ4 2018","FQ4 2018","Currency=USD","Period=FQ","BEST_FPERIOD_OVERRIDE=FQ","FILING_STATUS=MR","SCALING_FORMAT=MLN","Sort=A","Dates=H","DateFormat=P","Fill=—","Direction=H","UseDPDF=Y")</f>
        <v>-211.441</v>
      </c>
      <c r="D53" s="13">
        <f>_xll.BDH("ALNY US Equity","ARD_COMPREHENSIVE_INCOME_NET_INC","FQ1 2019","FQ1 2019","Currency=USD","Period=FQ","BEST_FPERIOD_OVERRIDE=FQ","FILING_STATUS=MR","SCALING_FORMAT=MLN","Sort=A","Dates=H","DateFormat=P","Fill=—","Direction=H","UseDPDF=Y")</f>
        <v>-181.91499999999999</v>
      </c>
      <c r="E53" s="13">
        <f>_xll.BDH("ALNY US Equity","ARD_COMPREHENSIVE_INCOME_NET_INC","FQ2 2019","FQ2 2019","Currency=USD","Period=FQ","BEST_FPERIOD_OVERRIDE=FQ","FILING_STATUS=MR","SCALING_FORMAT=MLN","Sort=A","Dates=H","DateFormat=P","Fill=—","Direction=H","UseDPDF=Y")</f>
        <v>-219.48099999999999</v>
      </c>
      <c r="F53" s="13">
        <f>_xll.BDH("ALNY US Equity","ARD_COMPREHENSIVE_INCOME_NET_INC","FQ3 2019","FQ3 2019","Currency=USD","Period=FQ","BEST_FPERIOD_OVERRIDE=FQ","FILING_STATUS=MR","SCALING_FORMAT=MLN","Sort=A","Dates=H","DateFormat=P","Fill=—","Direction=H","UseDPDF=Y")</f>
        <v>-208.535</v>
      </c>
      <c r="G53" s="13">
        <f>_xll.BDH("ALNY US Equity","ARD_COMPREHENSIVE_INCOME_NET_INC","FQ4 2019","FQ4 2019","Currency=USD","Period=FQ","BEST_FPERIOD_OVERRIDE=FQ","FILING_STATUS=MR","SCALING_FORMAT=MLN","Sort=A","Dates=H","DateFormat=P","Fill=—","Direction=H","UseDPDF=Y")</f>
        <v>-276.185</v>
      </c>
      <c r="H53" s="13">
        <f>_xll.BDH("ALNY US Equity","ARD_COMPREHENSIVE_INCOME_NET_INC","FQ1 2020","FQ1 2020","Currency=USD","Period=FQ","BEST_FPERIOD_OVERRIDE=FQ","FILING_STATUS=MR","SCALING_FORMAT=MLN","Sort=A","Dates=H","DateFormat=P","Fill=—","Direction=H","UseDPDF=Y")</f>
        <v>-182.221</v>
      </c>
      <c r="I53" s="13">
        <f>_xll.BDH("ALNY US Equity","ARD_COMPREHENSIVE_INCOME_NET_INC","FQ2 2020","FQ2 2020","Currency=USD","Period=FQ","BEST_FPERIOD_OVERRIDE=FQ","FILING_STATUS=MR","SCALING_FORMAT=MLN","Sort=A","Dates=H","DateFormat=P","Fill=—","Direction=H","UseDPDF=Y")</f>
        <v>-179.22900000000001</v>
      </c>
      <c r="J53" s="13">
        <f>_xll.BDH("ALNY US Equity","ARD_COMPREHENSIVE_INCOME_NET_INC","FQ3 2020","FQ3 2020","Currency=USD","Period=FQ","BEST_FPERIOD_OVERRIDE=FQ","FILING_STATUS=MR","SCALING_FORMAT=MLN","Sort=A","Dates=H","DateFormat=P","Fill=—","Direction=H","UseDPDF=Y")</f>
        <v>-253.291</v>
      </c>
      <c r="K53" s="13" t="str">
        <f>_xll.BDH("ALNY US Equity","ARD_COMPREHENSIVE_INCOME_NET_INC","FQ4 2020","FQ4 2020","Currency=USD","Period=FQ","BEST_FPERIOD_OVERRIDE=FQ","FILING_STATUS=MR","SCALING_FORMAT=MLN","Sort=A","Dates=H","DateFormat=P","Fill=—","Direction=H","UseDPDF=Y")</f>
        <v>—</v>
      </c>
      <c r="L53" s="13">
        <f>_xll.BDH("ALNY US Equity","ARD_COMPREHENSIVE_INCOME_NET_INC","FQ1 2021","FQ1 2021","Currency=USD","Period=FQ","BEST_FPERIOD_OVERRIDE=FQ","FILING_STATUS=MR","SCALING_FORMAT=MLN","Sort=A","Dates=H","DateFormat=P","Fill=—","Direction=H","UseDPDF=Y")</f>
        <v>-200.291</v>
      </c>
      <c r="M53" s="13">
        <f>_xll.BDH("ALNY US Equity","ARD_COMPREHENSIVE_INCOME_NET_INC","FQ2 2021","FQ2 2021","Currency=USD","Period=FQ","BEST_FPERIOD_OVERRIDE=FQ","FILING_STATUS=MR","SCALING_FORMAT=MLN","Sort=A","Dates=H","DateFormat=P","Fill=—","Direction=H","UseDPDF=Y")</f>
        <v>-189.559</v>
      </c>
      <c r="N53" s="13">
        <f>_xll.BDH("ALNY US Equity","ARD_COMPREHENSIVE_INCOME_NET_INC","FQ3 2021","FQ3 2021","Currency=USD","Period=FQ","BEST_FPERIOD_OVERRIDE=FQ","FILING_STATUS=MR","SCALING_FORMAT=MLN","Sort=A","Dates=H","DateFormat=P","Fill=—","Direction=H","UseDPDF=Y")</f>
        <v>-204.51400000000001</v>
      </c>
      <c r="O53" s="13">
        <f>_xll.BDH("ALNY US Equity","ARD_COMPREHENSIVE_INCOME_NET_INC","FQ4 2021","FQ4 2021","Currency=USD","Period=FQ","BEST_FPERIOD_OVERRIDE=FQ","FILING_STATUS=MR","SCALING_FORMAT=MLN","Sort=A","Dates=H","DateFormat=P","Fill=—","Direction=H","UseDPDF=Y")</f>
        <v>-258.45999999999998</v>
      </c>
      <c r="P53" s="13">
        <f>_xll.BDH("ALNY US Equity","ARD_COMPREHENSIVE_INCOME_NET_INC","FQ1 2022","FQ1 2022","Currency=USD","Period=FQ","BEST_FPERIOD_OVERRIDE=FQ","FILING_STATUS=MR","SCALING_FORMAT=MLN","Sort=A","Dates=H","DateFormat=P","Fill=—","Direction=H","UseDPDF=Y")</f>
        <v>-240.34100000000001</v>
      </c>
      <c r="Q53" s="13">
        <f>_xll.BDH("ALNY US Equity","ARD_COMPREHENSIVE_INCOME_NET_INC","FQ2 2022","FQ2 2022","Currency=USD","Period=FQ","BEST_FPERIOD_OVERRIDE=FQ","FILING_STATUS=MR","SCALING_FORMAT=MLN","Sort=A","Dates=H","DateFormat=P","Fill=—","Direction=H","UseDPDF=Y")</f>
        <v>-277.40199999999999</v>
      </c>
      <c r="R53" s="13">
        <f>_xll.BDH("ALNY US Equity","ARD_COMPREHENSIVE_INCOME_NET_INC","FQ3 2022","FQ3 2022","Currency=USD","Period=FQ","BEST_FPERIOD_OVERRIDE=FQ","FILING_STATUS=MR","SCALING_FORMAT=MLN","Sort=A","Dates=H","DateFormat=P","Fill=—","Direction=H","UseDPDF=Y")</f>
        <v>-405.92</v>
      </c>
      <c r="S53" s="13">
        <f>_xll.BDH("ALNY US Equity","ARD_COMPREHENSIVE_INCOME_NET_INC","FQ4 2022","FQ4 2022","Currency=USD","Period=FQ","BEST_FPERIOD_OVERRIDE=FQ","FILING_STATUS=MR","SCALING_FORMAT=MLN","Sort=A","Dates=H","DateFormat=P","Fill=—","Direction=H","UseDPDF=Y")</f>
        <v>-207.49299999999999</v>
      </c>
      <c r="T53" s="13">
        <f>_xll.BDH("ALNY US Equity","ARD_COMPREHENSIVE_INCOME_NET_INC","FQ1 2023","FQ1 2023","Currency=USD","Period=FQ","BEST_FPERIOD_OVERRIDE=FQ","FILING_STATUS=MR","SCALING_FORMAT=MLN","Sort=A","Dates=H","DateFormat=P","Fill=—","Direction=H","UseDPDF=Y")</f>
        <v>-174.101</v>
      </c>
      <c r="U53" s="13">
        <f>_xll.BDH("ALNY US Equity","ARD_COMPREHENSIVE_INCOME_NET_INC","FQ2 2023","FQ2 2023","Currency=USD","Period=FQ","BEST_FPERIOD_OVERRIDE=FQ","FILING_STATUS=MR","SCALING_FORMAT=MLN","Sort=A","Dates=H","DateFormat=P","Fill=—","Direction=H","UseDPDF=Y")</f>
        <v>-276.024</v>
      </c>
      <c r="V53" s="13">
        <f>_xll.BDH("ALNY US Equity","ARD_COMPREHENSIVE_INCOME_NET_INC","FQ3 2023","FQ3 2023","Currency=USD","Period=FQ","BEST_FPERIOD_OVERRIDE=FQ","FILING_STATUS=MR","SCALING_FORMAT=MLN","Sort=A","Dates=H","DateFormat=P","Fill=—","Direction=H","UseDPDF=Y")</f>
        <v>147.75299999999999</v>
      </c>
      <c r="W53" s="13">
        <f>_xll.BDH("ALNY US Equity","ARD_COMPREHENSIVE_INCOME_NET_INC","FQ4 2023","FQ4 2023","Currency=USD","Period=FQ","BEST_FPERIOD_OVERRIDE=FQ","FILING_STATUS=MR","SCALING_FORMAT=MLN","Sort=A","Dates=H","DateFormat=P","Fill=—","Direction=H","UseDPDF=Y")</f>
        <v>-137.87</v>
      </c>
      <c r="X53" s="13">
        <f>_xll.BDH("ALNY US Equity","ARD_COMPREHENSIVE_INCOME_NET_INC","FQ1 2024","FQ1 2024","Currency=USD","Period=FQ","BEST_FPERIOD_OVERRIDE=FQ","FILING_STATUS=MR","SCALING_FORMAT=MLN","Sort=A","Dates=H","DateFormat=P","Fill=—","Direction=H","UseDPDF=Y")</f>
        <v>-65.935000000000002</v>
      </c>
      <c r="Y53" s="13">
        <f>_xll.BDH("ALNY US Equity","ARD_COMPREHENSIVE_INCOME_NET_INC","FQ2 2024","FQ2 2024","Currency=USD","Period=FQ","BEST_FPERIOD_OVERRIDE=FQ","FILING_STATUS=MR","SCALING_FORMAT=MLN","Sort=A","Dates=H","DateFormat=P","Fill=—","Direction=H","UseDPDF=Y")</f>
        <v>-16.888999999999999</v>
      </c>
      <c r="Z53" s="13">
        <f>_xll.BDH("ALNY US Equity","ARD_COMPREHENSIVE_INCOME_NET_INC","FQ3 2024","FQ3 2024","Currency=USD","Period=FQ","BEST_FPERIOD_OVERRIDE=FQ","FILING_STATUS=MR","SCALING_FORMAT=MLN","Sort=A","Dates=H","DateFormat=P","Fill=—","Direction=H","UseDPDF=Y")</f>
        <v>-111.57</v>
      </c>
      <c r="AA53" s="13">
        <f>_xll.BDH("ALNY US Equity","ARD_COMPREHENSIVE_INCOME_NET_INC","FQ4 2024","FQ4 2024","Currency=USD","Period=FQ","BEST_FPERIOD_OVERRIDE=FQ","FILING_STATUS=MR","SCALING_FORMAT=MLN","Sort=A","Dates=H","DateFormat=P","Fill=—","Direction=H","UseDPDF=Y")</f>
        <v>-83.763000000000005</v>
      </c>
    </row>
    <row r="54" spans="1:27" x14ac:dyDescent="0.25">
      <c r="A54" s="10" t="s">
        <v>488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10" t="s">
        <v>489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10" t="s">
        <v>419</v>
      </c>
      <c r="B56" s="10" t="s">
        <v>490</v>
      </c>
      <c r="C56" s="13">
        <f>_xll.BDH("ALNY US Equity","ARDR_R&amp;D_EXPENDITURES","FQ4 2018","FQ4 2018","Currency=USD","Period=FQ","BEST_FPERIOD_OVERRIDE=FQ","FILING_STATUS=MR","SCALING_FORMAT=MLN","Sort=A","Dates=H","DateFormat=P","Fill=—","Direction=H","UseDPDF=Y")</f>
        <v>131.036</v>
      </c>
      <c r="D56" s="13">
        <f>_xll.BDH("ALNY US Equity","ARDR_R&amp;D_EXPENDITURES","FQ1 2019","FQ1 2019","Currency=USD","Period=FQ","BEST_FPERIOD_OVERRIDE=FQ","FILING_STATUS=MR","SCALING_FORMAT=MLN","Sort=A","Dates=H","DateFormat=P","Fill=—","Direction=H","UseDPDF=Y")</f>
        <v>129.12700000000001</v>
      </c>
      <c r="E56" s="13">
        <f>_xll.BDH("ALNY US Equity","ARDR_R&amp;D_EXPENDITURES","FQ2 2019","FQ2 2019","Currency=USD","Period=FQ","BEST_FPERIOD_OVERRIDE=FQ","FILING_STATUS=MR","SCALING_FORMAT=MLN","Sort=A","Dates=H","DateFormat=P","Fill=—","Direction=H","UseDPDF=Y")</f>
        <v>163.89</v>
      </c>
      <c r="F56" s="13">
        <f>_xll.BDH("ALNY US Equity","ARDR_R&amp;D_EXPENDITURES","FQ3 2019","FQ3 2019","Currency=USD","Period=FQ","BEST_FPERIOD_OVERRIDE=FQ","FILING_STATUS=MR","SCALING_FORMAT=MLN","Sort=A","Dates=H","DateFormat=P","Fill=—","Direction=H","UseDPDF=Y")</f>
        <v>160.79599999999999</v>
      </c>
      <c r="G56" s="13">
        <f>_xll.BDH("ALNY US Equity","ARDR_R&amp;D_EXPENDITURES","FQ4 2019","FQ4 2019","Currency=USD","Period=FQ","BEST_FPERIOD_OVERRIDE=FQ","FILING_STATUS=MR","SCALING_FORMAT=MLN","Sort=A","Dates=H","DateFormat=P","Fill=—","Direction=H","UseDPDF=Y")</f>
        <v>149.69399999999999</v>
      </c>
      <c r="H56" s="13">
        <f>_xll.BDH("ALNY US Equity","ARDR_R&amp;D_EXPENDITURES","FQ1 2020","FQ1 2020","Currency=USD","Period=FQ","BEST_FPERIOD_OVERRIDE=FQ","FILING_STATUS=MR","SCALING_FORMAT=MLN","Sort=A","Dates=H","DateFormat=P","Fill=—","Direction=H","UseDPDF=Y")</f>
        <v>169.571</v>
      </c>
      <c r="I56" s="13">
        <f>_xll.BDH("ALNY US Equity","ARDR_R&amp;D_EXPENDITURES","FQ2 2020","FQ2 2020","Currency=USD","Period=FQ","BEST_FPERIOD_OVERRIDE=FQ","FILING_STATUS=MR","SCALING_FORMAT=MLN","Sort=A","Dates=H","DateFormat=P","Fill=—","Direction=H","UseDPDF=Y")</f>
        <v>154.99600000000001</v>
      </c>
      <c r="J56" s="13">
        <f>_xll.BDH("ALNY US Equity","ARDR_R&amp;D_EXPENDITURES","FQ3 2020","FQ3 2020","Currency=USD","Period=FQ","BEST_FPERIOD_OVERRIDE=FQ","FILING_STATUS=MR","SCALING_FORMAT=MLN","Sort=A","Dates=H","DateFormat=P","Fill=—","Direction=H","UseDPDF=Y")</f>
        <v>161.78299999999999</v>
      </c>
      <c r="K56" s="13">
        <f>_xll.BDH("ALNY US Equity","ARDR_R&amp;D_EXPENDITURES","FQ4 2020","FQ4 2020","Currency=USD","Period=FQ","BEST_FPERIOD_OVERRIDE=FQ","FILING_STATUS=MR","SCALING_FORMAT=MLN","Sort=A","Dates=H","DateFormat=P","Fill=—","Direction=H","UseDPDF=Y")</f>
        <v>168.46899999999999</v>
      </c>
      <c r="L56" s="13">
        <f>_xll.BDH("ALNY US Equity","ARDR_R&amp;D_EXPENDITURES","FQ1 2021","FQ1 2021","Currency=USD","Period=FQ","BEST_FPERIOD_OVERRIDE=FQ","FILING_STATUS=MR","SCALING_FORMAT=MLN","Sort=A","Dates=H","DateFormat=P","Fill=—","Direction=H","UseDPDF=Y")</f>
        <v>185.899</v>
      </c>
      <c r="M56" s="13">
        <f>_xll.BDH("ALNY US Equity","ARDR_R&amp;D_EXPENDITURES","FQ2 2021","FQ2 2021","Currency=USD","Period=FQ","BEST_FPERIOD_OVERRIDE=FQ","FILING_STATUS=MR","SCALING_FORMAT=MLN","Sort=A","Dates=H","DateFormat=P","Fill=—","Direction=H","UseDPDF=Y")</f>
        <v>182.63499999999999</v>
      </c>
      <c r="N56" s="13">
        <f>_xll.BDH("ALNY US Equity","ARDR_R&amp;D_EXPENDITURES","FQ3 2021","FQ3 2021","Currency=USD","Period=FQ","BEST_FPERIOD_OVERRIDE=FQ","FILING_STATUS=MR","SCALING_FORMAT=MLN","Sort=A","Dates=H","DateFormat=P","Fill=—","Direction=H","UseDPDF=Y")</f>
        <v>194.572</v>
      </c>
      <c r="O56" s="13">
        <f>_xll.BDH("ALNY US Equity","ARDR_R&amp;D_EXPENDITURES","FQ4 2021","FQ4 2021","Currency=USD","Period=FQ","BEST_FPERIOD_OVERRIDE=FQ","FILING_STATUS=MR","SCALING_FORMAT=MLN","Sort=A","Dates=H","DateFormat=P","Fill=—","Direction=H","UseDPDF=Y")</f>
        <v>229.05</v>
      </c>
      <c r="P56" s="13">
        <f>_xll.BDH("ALNY US Equity","ARDR_R&amp;D_EXPENDITURES","FQ1 2022","FQ1 2022","Currency=USD","Period=FQ","BEST_FPERIOD_OVERRIDE=FQ","FILING_STATUS=MR","SCALING_FORMAT=MLN","Sort=A","Dates=H","DateFormat=P","Fill=—","Direction=H","UseDPDF=Y")</f>
        <v>169.893</v>
      </c>
      <c r="Q56" s="13">
        <f>_xll.BDH("ALNY US Equity","ARDR_R&amp;D_EXPENDITURES","FQ2 2022","FQ2 2022","Currency=USD","Period=FQ","BEST_FPERIOD_OVERRIDE=FQ","FILING_STATUS=MR","SCALING_FORMAT=MLN","Sort=A","Dates=H","DateFormat=P","Fill=—","Direction=H","UseDPDF=Y")</f>
        <v>205.71199999999999</v>
      </c>
      <c r="R56" s="13">
        <f>_xll.BDH("ALNY US Equity","ARDR_R&amp;D_EXPENDITURES","FQ3 2022","FQ3 2022","Currency=USD","Period=FQ","BEST_FPERIOD_OVERRIDE=FQ","FILING_STATUS=MR","SCALING_FORMAT=MLN","Sort=A","Dates=H","DateFormat=P","Fill=—","Direction=H","UseDPDF=Y")</f>
        <v>245.37100000000001</v>
      </c>
      <c r="S56" s="13">
        <f>_xll.BDH("ALNY US Equity","ARDR_R&amp;D_EXPENDITURES","FQ4 2022","FQ4 2022","Currency=USD","Period=FQ","BEST_FPERIOD_OVERRIDE=FQ","FILING_STATUS=MR","SCALING_FORMAT=MLN","Sort=A","Dates=H","DateFormat=P","Fill=—","Direction=H","UseDPDF=Y")</f>
        <v>229.05</v>
      </c>
      <c r="T56" s="13">
        <f>_xll.BDH("ALNY US Equity","ARDR_R&amp;D_EXPENDITURES","FQ1 2023","FQ1 2023","Currency=USD","Period=FQ","BEST_FPERIOD_OVERRIDE=FQ","FILING_STATUS=MR","SCALING_FORMAT=MLN","Sort=A","Dates=H","DateFormat=P","Fill=—","Direction=H","UseDPDF=Y")</f>
        <v>230.56899999999999</v>
      </c>
      <c r="U56" s="13">
        <f>_xll.BDH("ALNY US Equity","ARDR_R&amp;D_EXPENDITURES","FQ2 2023","FQ2 2023","Currency=USD","Period=FQ","BEST_FPERIOD_OVERRIDE=FQ","FILING_STATUS=MR","SCALING_FORMAT=MLN","Sort=A","Dates=H","DateFormat=P","Fill=—","Direction=H","UseDPDF=Y")</f>
        <v>248.52600000000001</v>
      </c>
      <c r="V56" s="13">
        <f>_xll.BDH("ALNY US Equity","ARDR_R&amp;D_EXPENDITURES","FQ3 2023","FQ3 2023","Currency=USD","Period=FQ","BEST_FPERIOD_OVERRIDE=FQ","FILING_STATUS=MR","SCALING_FORMAT=MLN","Sort=A","Dates=H","DateFormat=P","Fill=—","Direction=H","UseDPDF=Y")</f>
        <v>253.179</v>
      </c>
      <c r="W56" s="13">
        <f>_xll.BDH("ALNY US Equity","ARDR_R&amp;D_EXPENDITURES","FQ4 2023","FQ4 2023","Currency=USD","Period=FQ","BEST_FPERIOD_OVERRIDE=FQ","FILING_STATUS=MR","SCALING_FORMAT=MLN","Sort=A","Dates=H","DateFormat=P","Fill=—","Direction=H","UseDPDF=Y")</f>
        <v>272.14100000000002</v>
      </c>
      <c r="X56" s="13">
        <f>_xll.BDH("ALNY US Equity","ARDR_R&amp;D_EXPENDITURES","FQ1 2024","FQ1 2024","Currency=USD","Period=FQ","BEST_FPERIOD_OVERRIDE=FQ","FILING_STATUS=MR","SCALING_FORMAT=MLN","Sort=A","Dates=H","DateFormat=P","Fill=—","Direction=H","UseDPDF=Y")</f>
        <v>260.995</v>
      </c>
      <c r="Y56" s="13">
        <f>_xll.BDH("ALNY US Equity","ARDR_R&amp;D_EXPENDITURES","FQ2 2024","FQ2 2024","Currency=USD","Period=FQ","BEST_FPERIOD_OVERRIDE=FQ","FILING_STATUS=MR","SCALING_FORMAT=MLN","Sort=A","Dates=H","DateFormat=P","Fill=—","Direction=H","UseDPDF=Y")</f>
        <v>294.142</v>
      </c>
      <c r="Z56" s="13">
        <f>_xll.BDH("ALNY US Equity","ARDR_R&amp;D_EXPENDITURES","FQ3 2024","FQ3 2024","Currency=USD","Period=FQ","BEST_FPERIOD_OVERRIDE=FQ","FILING_STATUS=MR","SCALING_FORMAT=MLN","Sort=A","Dates=H","DateFormat=P","Fill=—","Direction=H","UseDPDF=Y")</f>
        <v>270.92599999999999</v>
      </c>
      <c r="AA56" s="13">
        <f>_xll.BDH("ALNY US Equity","ARDR_R&amp;D_EXPENDITURES","FQ4 2024","FQ4 2024","Currency=USD","Period=FQ","BEST_FPERIOD_OVERRIDE=FQ","FILING_STATUS=MR","SCALING_FORMAT=MLN","Sort=A","Dates=H","DateFormat=P","Fill=—","Direction=H","UseDPDF=Y")</f>
        <v>300.16899999999998</v>
      </c>
    </row>
    <row r="57" spans="1:27" x14ac:dyDescent="0.25">
      <c r="A57" s="10" t="s">
        <v>390</v>
      </c>
      <c r="B57" s="10" t="s">
        <v>491</v>
      </c>
      <c r="C57" s="13" t="str">
        <f>_xll.BDH("ALNY US Equity","ARDR_DEPRECIATION_EXP","FQ4 2018","FQ4 2018","Currency=USD","Period=FQ","BEST_FPERIOD_OVERRIDE=FQ","FILING_STATUS=MR","SCALING_FORMAT=MLN","Sort=A","Dates=H","DateFormat=P","Fill=—","Direction=H","UseDPDF=Y")</f>
        <v>—</v>
      </c>
      <c r="D57" s="13" t="str">
        <f>_xll.BDH("ALNY US Equity","ARDR_DEPRECIATION_EXP","FQ1 2019","FQ1 2019","Currency=USD","Period=FQ","BEST_FPERIOD_OVERRIDE=FQ","FILING_STATUS=MR","SCALING_FORMAT=MLN","Sort=A","Dates=H","DateFormat=P","Fill=—","Direction=H","UseDPDF=Y")</f>
        <v>—</v>
      </c>
      <c r="E57" s="13" t="str">
        <f>_xll.BDH("ALNY US Equity","ARDR_DEPRECIATION_EXP","FQ2 2019","FQ2 2019","Currency=USD","Period=FQ","BEST_FPERIOD_OVERRIDE=FQ","FILING_STATUS=MR","SCALING_FORMAT=MLN","Sort=A","Dates=H","DateFormat=P","Fill=—","Direction=H","UseDPDF=Y")</f>
        <v>—</v>
      </c>
      <c r="F57" s="13" t="str">
        <f>_xll.BDH("ALNY US Equity","ARDR_DEPRECIATION_EXP","FQ3 2019","FQ3 2019","Currency=USD","Period=FQ","BEST_FPERIOD_OVERRIDE=FQ","FILING_STATUS=MR","SCALING_FORMAT=MLN","Sort=A","Dates=H","DateFormat=P","Fill=—","Direction=H","UseDPDF=Y")</f>
        <v>—</v>
      </c>
      <c r="G57" s="13" t="str">
        <f>_xll.BDH("ALNY US Equity","ARDR_DEPRECIATION_EXP","FQ4 2019","FQ4 2019","Currency=USD","Period=FQ","BEST_FPERIOD_OVERRIDE=FQ","FILING_STATUS=MR","SCALING_FORMAT=MLN","Sort=A","Dates=H","DateFormat=P","Fill=—","Direction=H","UseDPDF=Y")</f>
        <v>—</v>
      </c>
      <c r="H57" s="13" t="str">
        <f>_xll.BDH("ALNY US Equity","ARDR_DEPRECIATION_EXP","FQ1 2020","FQ1 2020","Currency=USD","Period=FQ","BEST_FPERIOD_OVERRIDE=FQ","FILING_STATUS=MR","SCALING_FORMAT=MLN","Sort=A","Dates=H","DateFormat=P","Fill=—","Direction=H","UseDPDF=Y")</f>
        <v>—</v>
      </c>
      <c r="I57" s="13" t="str">
        <f>_xll.BDH("ALNY US Equity","ARDR_DEPRECIATION_EXP","FQ2 2020","FQ2 2020","Currency=USD","Period=FQ","BEST_FPERIOD_OVERRIDE=FQ","FILING_STATUS=MR","SCALING_FORMAT=MLN","Sort=A","Dates=H","DateFormat=P","Fill=—","Direction=H","UseDPDF=Y")</f>
        <v>—</v>
      </c>
      <c r="J57" s="13" t="str">
        <f>_xll.BDH("ALNY US Equity","ARDR_DEPRECIATION_EXP","FQ3 2020","FQ3 2020","Currency=USD","Period=FQ","BEST_FPERIOD_OVERRIDE=FQ","FILING_STATUS=MR","SCALING_FORMAT=MLN","Sort=A","Dates=H","DateFormat=P","Fill=—","Direction=H","UseDPDF=Y")</f>
        <v>—</v>
      </c>
      <c r="K57" s="13" t="str">
        <f>_xll.BDH("ALNY US Equity","ARDR_DEPRECIATION_EXP","FQ4 2020","FQ4 2020","Currency=USD","Period=FQ","BEST_FPERIOD_OVERRIDE=FQ","FILING_STATUS=MR","SCALING_FORMAT=MLN","Sort=A","Dates=H","DateFormat=P","Fill=—","Direction=H","UseDPDF=Y")</f>
        <v>—</v>
      </c>
      <c r="L57" s="13" t="str">
        <f>_xll.BDH("ALNY US Equity","ARDR_DEPRECIATION_EXP","FQ1 2021","FQ1 2021","Currency=USD","Period=FQ","BEST_FPERIOD_OVERRIDE=FQ","FILING_STATUS=MR","SCALING_FORMAT=MLN","Sort=A","Dates=H","DateFormat=P","Fill=—","Direction=H","UseDPDF=Y")</f>
        <v>—</v>
      </c>
      <c r="M57" s="13" t="str">
        <f>_xll.BDH("ALNY US Equity","ARDR_DEPRECIATION_EXP","FQ2 2021","FQ2 2021","Currency=USD","Period=FQ","BEST_FPERIOD_OVERRIDE=FQ","FILING_STATUS=MR","SCALING_FORMAT=MLN","Sort=A","Dates=H","DateFormat=P","Fill=—","Direction=H","UseDPDF=Y")</f>
        <v>—</v>
      </c>
      <c r="N57" s="13" t="str">
        <f>_xll.BDH("ALNY US Equity","ARDR_DEPRECIATION_EXP","FQ3 2021","FQ3 2021","Currency=USD","Period=FQ","BEST_FPERIOD_OVERRIDE=FQ","FILING_STATUS=MR","SCALING_FORMAT=MLN","Sort=A","Dates=H","DateFormat=P","Fill=—","Direction=H","UseDPDF=Y")</f>
        <v>—</v>
      </c>
      <c r="O57" s="13" t="str">
        <f>_xll.BDH("ALNY US Equity","ARDR_DEPRECIATION_EXP","FQ4 2021","FQ4 2021","Currency=USD","Period=FQ","BEST_FPERIOD_OVERRIDE=FQ","FILING_STATUS=MR","SCALING_FORMAT=MLN","Sort=A","Dates=H","DateFormat=P","Fill=—","Direction=H","UseDPDF=Y")</f>
        <v>—</v>
      </c>
      <c r="P57" s="13" t="str">
        <f>_xll.BDH("ALNY US Equity","ARDR_DEPRECIATION_EXP","FQ1 2022","FQ1 2022","Currency=USD","Period=FQ","BEST_FPERIOD_OVERRIDE=FQ","FILING_STATUS=MR","SCALING_FORMAT=MLN","Sort=A","Dates=H","DateFormat=P","Fill=—","Direction=H","UseDPDF=Y")</f>
        <v>—</v>
      </c>
      <c r="Q57" s="13" t="str">
        <f>_xll.BDH("ALNY US Equity","ARDR_DEPRECIATION_EXP","FQ2 2022","FQ2 2022","Currency=USD","Period=FQ","BEST_FPERIOD_OVERRIDE=FQ","FILING_STATUS=MR","SCALING_FORMAT=MLN","Sort=A","Dates=H","DateFormat=P","Fill=—","Direction=H","UseDPDF=Y")</f>
        <v>—</v>
      </c>
      <c r="R57" s="13" t="str">
        <f>_xll.BDH("ALNY US Equity","ARDR_DEPRECIATION_EXP","FQ3 2022","FQ3 2022","Currency=USD","Period=FQ","BEST_FPERIOD_OVERRIDE=FQ","FILING_STATUS=MR","SCALING_FORMAT=MLN","Sort=A","Dates=H","DateFormat=P","Fill=—","Direction=H","UseDPDF=Y")</f>
        <v>—</v>
      </c>
      <c r="S57" s="13" t="str">
        <f>_xll.BDH("ALNY US Equity","ARDR_DEPRECIATION_EXP","FQ4 2022","FQ4 2022","Currency=USD","Period=FQ","BEST_FPERIOD_OVERRIDE=FQ","FILING_STATUS=MR","SCALING_FORMAT=MLN","Sort=A","Dates=H","DateFormat=P","Fill=—","Direction=H","UseDPDF=Y")</f>
        <v>—</v>
      </c>
      <c r="T57" s="13" t="str">
        <f>_xll.BDH("ALNY US Equity","ARDR_DEPRECIATION_EXP","FQ1 2023","FQ1 2023","Currency=USD","Period=FQ","BEST_FPERIOD_OVERRIDE=FQ","FILING_STATUS=MR","SCALING_FORMAT=MLN","Sort=A","Dates=H","DateFormat=P","Fill=—","Direction=H","UseDPDF=Y")</f>
        <v>—</v>
      </c>
      <c r="U57" s="13">
        <f>_xll.BDH("ALNY US Equity","ARDR_DEPRECIATION_EXP","FQ2 2023","FQ2 2023","Currency=USD","Period=FQ","BEST_FPERIOD_OVERRIDE=FQ","FILING_STATUS=MR","SCALING_FORMAT=MLN","Sort=A","Dates=H","DateFormat=P","Fill=—","Direction=H","UseDPDF=Y")</f>
        <v>13.179</v>
      </c>
      <c r="V57" s="13">
        <f>_xll.BDH("ALNY US Equity","ARDR_DEPRECIATION_EXP","FQ3 2023","FQ3 2023","Currency=USD","Period=FQ","BEST_FPERIOD_OVERRIDE=FQ","FILING_STATUS=MR","SCALING_FORMAT=MLN","Sort=A","Dates=H","DateFormat=P","Fill=—","Direction=H","UseDPDF=Y")</f>
        <v>13.327999999999999</v>
      </c>
      <c r="W57" s="13" t="str">
        <f>_xll.BDH("ALNY US Equity","ARDR_DEPRECIATION_EXP","FQ4 2023","FQ4 2023","Currency=USD","Period=FQ","BEST_FPERIOD_OVERRIDE=FQ","FILING_STATUS=MR","SCALING_FORMAT=MLN","Sort=A","Dates=H","DateFormat=P","Fill=—","Direction=H","UseDPDF=Y")</f>
        <v>—</v>
      </c>
      <c r="X57" s="13" t="str">
        <f>_xll.BDH("ALNY US Equity","ARDR_DEPRECIATION_EXP","FQ1 2024","FQ1 2024","Currency=USD","Period=FQ","BEST_FPERIOD_OVERRIDE=FQ","FILING_STATUS=MR","SCALING_FORMAT=MLN","Sort=A","Dates=H","DateFormat=P","Fill=—","Direction=H","UseDPDF=Y")</f>
        <v>—</v>
      </c>
      <c r="Y57" s="13">
        <f>_xll.BDH("ALNY US Equity","ARDR_DEPRECIATION_EXP","FQ2 2024","FQ2 2024","Currency=USD","Period=FQ","BEST_FPERIOD_OVERRIDE=FQ","FILING_STATUS=MR","SCALING_FORMAT=MLN","Sort=A","Dates=H","DateFormat=P","Fill=—","Direction=H","UseDPDF=Y")</f>
        <v>15.003</v>
      </c>
      <c r="Z57" s="13">
        <f>_xll.BDH("ALNY US Equity","ARDR_DEPRECIATION_EXP","FQ3 2024","FQ3 2024","Currency=USD","Period=FQ","BEST_FPERIOD_OVERRIDE=FQ","FILING_STATUS=MR","SCALING_FORMAT=MLN","Sort=A","Dates=H","DateFormat=P","Fill=—","Direction=H","UseDPDF=Y")</f>
        <v>13.981999999999999</v>
      </c>
      <c r="AA57" s="13">
        <f>_xll.BDH("ALNY US Equity","ARDR_DEPRECIATION_EXP","FQ4 2024","FQ4 2024","Currency=USD","Period=FQ","BEST_FPERIOD_OVERRIDE=FQ","FILING_STATUS=MR","SCALING_FORMAT=MLN","Sort=A","Dates=H","DateFormat=P","Fill=—","Direction=H","UseDPDF=Y")</f>
        <v>14.167999999999999</v>
      </c>
    </row>
    <row r="58" spans="1:27" x14ac:dyDescent="0.25">
      <c r="A58" s="10" t="s">
        <v>492</v>
      </c>
      <c r="B58" s="10" t="s">
        <v>493</v>
      </c>
      <c r="C58" s="13" t="str">
        <f>_xll.BDH("ALNY US Equity","ARDR_SELLING_GENERAL_ADMIN_EXP","FQ4 2018","FQ4 2018","Currency=USD","Period=FQ","BEST_FPERIOD_OVERRIDE=FQ","FILING_STATUS=MR","SCALING_FORMAT=MLN","Sort=A","Dates=H","DateFormat=P","Fill=—","Direction=H","UseDPDF=Y")</f>
        <v>—</v>
      </c>
      <c r="D58" s="13">
        <f>_xll.BDH("ALNY US Equity","ARDR_SELLING_GENERAL_ADMIN_EXP","FQ1 2019","FQ1 2019","Currency=USD","Period=FQ","BEST_FPERIOD_OVERRIDE=FQ","FILING_STATUS=MR","SCALING_FORMAT=MLN","Sort=A","Dates=H","DateFormat=P","Fill=—","Direction=H","UseDPDF=Y")</f>
        <v>89.608000000000004</v>
      </c>
      <c r="E58" s="13" t="str">
        <f>_xll.BDH("ALNY US Equity","ARDR_SELLING_GENERAL_ADMIN_EXP","FQ2 2019","FQ2 2019","Currency=USD","Period=FQ","BEST_FPERIOD_OVERRIDE=FQ","FILING_STATUS=MR","SCALING_FORMAT=MLN","Sort=A","Dates=H","DateFormat=P","Fill=—","Direction=H","UseDPDF=Y")</f>
        <v>—</v>
      </c>
      <c r="F58" s="13" t="str">
        <f>_xll.BDH("ALNY US Equity","ARDR_SELLING_GENERAL_ADMIN_EXP","FQ3 2019","FQ3 2019","Currency=USD","Period=FQ","BEST_FPERIOD_OVERRIDE=FQ","FILING_STATUS=MR","SCALING_FORMAT=MLN","Sort=A","Dates=H","DateFormat=P","Fill=—","Direction=H","UseDPDF=Y")</f>
        <v>—</v>
      </c>
      <c r="G58" s="13">
        <f>_xll.BDH("ALNY US Equity","ARDR_SELLING_GENERAL_ADMIN_EXP","FQ4 2019","FQ4 2019","Currency=USD","Period=FQ","BEST_FPERIOD_OVERRIDE=FQ","FILING_STATUS=MR","SCALING_FORMAT=MLN","Sort=A","Dates=H","DateFormat=P","Fill=—","Direction=H","UseDPDF=Y")</f>
        <v>156.27699999999999</v>
      </c>
      <c r="H58" s="13">
        <f>_xll.BDH("ALNY US Equity","ARDR_SELLING_GENERAL_ADMIN_EXP","FQ1 2020","FQ1 2020","Currency=USD","Period=FQ","BEST_FPERIOD_OVERRIDE=FQ","FILING_STATUS=MR","SCALING_FORMAT=MLN","Sort=A","Dates=H","DateFormat=P","Fill=—","Direction=H","UseDPDF=Y")</f>
        <v>126.761</v>
      </c>
      <c r="I58" s="13" t="str">
        <f>_xll.BDH("ALNY US Equity","ARDR_SELLING_GENERAL_ADMIN_EXP","FQ2 2020","FQ2 2020","Currency=USD","Period=FQ","BEST_FPERIOD_OVERRIDE=FQ","FILING_STATUS=MR","SCALING_FORMAT=MLN","Sort=A","Dates=H","DateFormat=P","Fill=—","Direction=H","UseDPDF=Y")</f>
        <v>—</v>
      </c>
      <c r="J58" s="13">
        <f>_xll.BDH("ALNY US Equity","ARDR_SELLING_GENERAL_ADMIN_EXP","FQ3 2020","FQ3 2020","Currency=USD","Period=FQ","BEST_FPERIOD_OVERRIDE=FQ","FILING_STATUS=MR","SCALING_FORMAT=MLN","Sort=A","Dates=H","DateFormat=P","Fill=—","Direction=H","UseDPDF=Y")</f>
        <v>167.47200000000001</v>
      </c>
      <c r="K58" s="13">
        <f>_xll.BDH("ALNY US Equity","ARDR_SELLING_GENERAL_ADMIN_EXP","FQ4 2020","FQ4 2020","Currency=USD","Period=FQ","BEST_FPERIOD_OVERRIDE=FQ","FILING_STATUS=MR","SCALING_FORMAT=MLN","Sort=A","Dates=H","DateFormat=P","Fill=—","Direction=H","UseDPDF=Y")</f>
        <v>166.291</v>
      </c>
      <c r="L58" s="13">
        <f>_xll.BDH("ALNY US Equity","ARDR_SELLING_GENERAL_ADMIN_EXP","FQ1 2021","FQ1 2021","Currency=USD","Period=FQ","BEST_FPERIOD_OVERRIDE=FQ","FILING_STATUS=MR","SCALING_FORMAT=MLN","Sort=A","Dates=H","DateFormat=P","Fill=—","Direction=H","UseDPDF=Y")</f>
        <v>146.85900000000001</v>
      </c>
      <c r="M58" s="13">
        <f>_xll.BDH("ALNY US Equity","ARDR_SELLING_GENERAL_ADMIN_EXP","FQ2 2021","FQ2 2021","Currency=USD","Period=FQ","BEST_FPERIOD_OVERRIDE=FQ","FILING_STATUS=MR","SCALING_FORMAT=MLN","Sort=A","Dates=H","DateFormat=P","Fill=—","Direction=H","UseDPDF=Y")</f>
        <v>145.32300000000001</v>
      </c>
      <c r="N58" s="13">
        <f>_xll.BDH("ALNY US Equity","ARDR_SELLING_GENERAL_ADMIN_EXP","FQ3 2021","FQ3 2021","Currency=USD","Period=FQ","BEST_FPERIOD_OVERRIDE=FQ","FILING_STATUS=MR","SCALING_FORMAT=MLN","Sort=A","Dates=H","DateFormat=P","Fill=—","Direction=H","UseDPDF=Y")</f>
        <v>142.07499999999999</v>
      </c>
      <c r="O58" s="13">
        <f>_xll.BDH("ALNY US Equity","ARDR_SELLING_GENERAL_ADMIN_EXP","FQ4 2021","FQ4 2021","Currency=USD","Period=FQ","BEST_FPERIOD_OVERRIDE=FQ","FILING_STATUS=MR","SCALING_FORMAT=MLN","Sort=A","Dates=H","DateFormat=P","Fill=—","Direction=H","UseDPDF=Y")</f>
        <v>186.38200000000001</v>
      </c>
      <c r="P58" s="13">
        <f>_xll.BDH("ALNY US Equity","ARDR_SELLING_GENERAL_ADMIN_EXP","FQ1 2022","FQ1 2022","Currency=USD","Period=FQ","BEST_FPERIOD_OVERRIDE=FQ","FILING_STATUS=MR","SCALING_FORMAT=MLN","Sort=A","Dates=H","DateFormat=P","Fill=—","Direction=H","UseDPDF=Y")</f>
        <v>154.471</v>
      </c>
      <c r="Q58" s="13">
        <f>_xll.BDH("ALNY US Equity","ARDR_SELLING_GENERAL_ADMIN_EXP","FQ2 2022","FQ2 2022","Currency=USD","Period=FQ","BEST_FPERIOD_OVERRIDE=FQ","FILING_STATUS=MR","SCALING_FORMAT=MLN","Sort=A","Dates=H","DateFormat=P","Fill=—","Direction=H","UseDPDF=Y")</f>
        <v>169.98400000000001</v>
      </c>
      <c r="R58" s="13">
        <f>_xll.BDH("ALNY US Equity","ARDR_SELLING_GENERAL_ADMIN_EXP","FQ3 2022","FQ3 2022","Currency=USD","Period=FQ","BEST_FPERIOD_OVERRIDE=FQ","FILING_STATUS=MR","SCALING_FORMAT=MLN","Sort=A","Dates=H","DateFormat=P","Fill=—","Direction=H","UseDPDF=Y")</f>
        <v>235.85900000000001</v>
      </c>
      <c r="S58" s="13">
        <f>_xll.BDH("ALNY US Equity","ARDR_SELLING_GENERAL_ADMIN_EXP","FQ4 2022","FQ4 2022","Currency=USD","Period=FQ","BEST_FPERIOD_OVERRIDE=FQ","FILING_STATUS=MR","SCALING_FORMAT=MLN","Sort=A","Dates=H","DateFormat=P","Fill=—","Direction=H","UseDPDF=Y")</f>
        <v>210.34399999999999</v>
      </c>
      <c r="T58" s="13">
        <f>_xll.BDH("ALNY US Equity","ARDR_SELLING_GENERAL_ADMIN_EXP","FQ1 2023","FQ1 2023","Currency=USD","Period=FQ","BEST_FPERIOD_OVERRIDE=FQ","FILING_STATUS=MR","SCALING_FORMAT=MLN","Sort=A","Dates=H","DateFormat=P","Fill=—","Direction=H","UseDPDF=Y")</f>
        <v>183.65899999999999</v>
      </c>
      <c r="U58" s="13">
        <f>_xll.BDH("ALNY US Equity","ARDR_SELLING_GENERAL_ADMIN_EXP","FQ2 2023","FQ2 2023","Currency=USD","Period=FQ","BEST_FPERIOD_OVERRIDE=FQ","FILING_STATUS=MR","SCALING_FORMAT=MLN","Sort=A","Dates=H","DateFormat=P","Fill=—","Direction=H","UseDPDF=Y")</f>
        <v>214.68899999999999</v>
      </c>
      <c r="V58" s="13">
        <f>_xll.BDH("ALNY US Equity","ARDR_SELLING_GENERAL_ADMIN_EXP","FQ3 2023","FQ3 2023","Currency=USD","Period=FQ","BEST_FPERIOD_OVERRIDE=FQ","FILING_STATUS=MR","SCALING_FORMAT=MLN","Sort=A","Dates=H","DateFormat=P","Fill=—","Direction=H","UseDPDF=Y")</f>
        <v>199.17500000000001</v>
      </c>
      <c r="W58" s="13">
        <f>_xll.BDH("ALNY US Equity","ARDR_SELLING_GENERAL_ADMIN_EXP","FQ4 2023","FQ4 2023","Currency=USD","Period=FQ","BEST_FPERIOD_OVERRIDE=FQ","FILING_STATUS=MR","SCALING_FORMAT=MLN","Sort=A","Dates=H","DateFormat=P","Fill=—","Direction=H","UseDPDF=Y")</f>
        <v>198.12299999999999</v>
      </c>
      <c r="X58" s="13">
        <f>_xll.BDH("ALNY US Equity","ARDR_SELLING_GENERAL_ADMIN_EXP","FQ1 2024","FQ1 2024","Currency=USD","Period=FQ","BEST_FPERIOD_OVERRIDE=FQ","FILING_STATUS=MR","SCALING_FORMAT=MLN","Sort=A","Dates=H","DateFormat=P","Fill=—","Direction=H","UseDPDF=Y")</f>
        <v>210.797</v>
      </c>
      <c r="Y58" s="13">
        <f>_xll.BDH("ALNY US Equity","ARDR_SELLING_GENERAL_ADMIN_EXP","FQ2 2024","FQ2 2024","Currency=USD","Period=FQ","BEST_FPERIOD_OVERRIDE=FQ","FILING_STATUS=MR","SCALING_FORMAT=MLN","Sort=A","Dates=H","DateFormat=P","Fill=—","Direction=H","UseDPDF=Y")</f>
        <v>248.39699999999999</v>
      </c>
      <c r="Z58" s="13">
        <f>_xll.BDH("ALNY US Equity","ARDR_SELLING_GENERAL_ADMIN_EXP","FQ3 2024","FQ3 2024","Currency=USD","Period=FQ","BEST_FPERIOD_OVERRIDE=FQ","FILING_STATUS=MR","SCALING_FORMAT=MLN","Sort=A","Dates=H","DateFormat=P","Fill=—","Direction=H","UseDPDF=Y")</f>
        <v>220.99299999999999</v>
      </c>
      <c r="AA58" s="13">
        <f>_xll.BDH("ALNY US Equity","ARDR_SELLING_GENERAL_ADMIN_EXP","FQ4 2024","FQ4 2024","Currency=USD","Period=FQ","BEST_FPERIOD_OVERRIDE=FQ","FILING_STATUS=MR","SCALING_FORMAT=MLN","Sort=A","Dates=H","DateFormat=P","Fill=—","Direction=H","UseDPDF=Y")</f>
        <v>295.339</v>
      </c>
    </row>
    <row r="59" spans="1:27" x14ac:dyDescent="0.25">
      <c r="A59" s="10" t="s">
        <v>494</v>
      </c>
      <c r="B59" s="10" t="s">
        <v>495</v>
      </c>
      <c r="C59" s="13" t="str">
        <f>_xll.BDH("ALNY US Equity","ARDR_DEPRECIATION_AMORTIZATION","FQ4 2018","FQ4 2018","Currency=USD","Period=FQ","BEST_FPERIOD_OVERRIDE=FQ","FILING_STATUS=MR","SCALING_FORMAT=MLN","Sort=A","Dates=H","DateFormat=P","Fill=—","Direction=H","UseDPDF=Y")</f>
        <v>—</v>
      </c>
      <c r="D59" s="13" t="str">
        <f>_xll.BDH("ALNY US Equity","ARDR_DEPRECIATION_AMORTIZATION","FQ1 2019","FQ1 2019","Currency=USD","Period=FQ","BEST_FPERIOD_OVERRIDE=FQ","FILING_STATUS=MR","SCALING_FORMAT=MLN","Sort=A","Dates=H","DateFormat=P","Fill=—","Direction=H","UseDPDF=Y")</f>
        <v>—</v>
      </c>
      <c r="E59" s="13" t="str">
        <f>_xll.BDH("ALNY US Equity","ARDR_DEPRECIATION_AMORTIZATION","FQ2 2019","FQ2 2019","Currency=USD","Period=FQ","BEST_FPERIOD_OVERRIDE=FQ","FILING_STATUS=MR","SCALING_FORMAT=MLN","Sort=A","Dates=H","DateFormat=P","Fill=—","Direction=H","UseDPDF=Y")</f>
        <v>—</v>
      </c>
      <c r="F59" s="13" t="str">
        <f>_xll.BDH("ALNY US Equity","ARDR_DEPRECIATION_AMORTIZATION","FQ3 2019","FQ3 2019","Currency=USD","Period=FQ","BEST_FPERIOD_OVERRIDE=FQ","FILING_STATUS=MR","SCALING_FORMAT=MLN","Sort=A","Dates=H","DateFormat=P","Fill=—","Direction=H","UseDPDF=Y")</f>
        <v>—</v>
      </c>
      <c r="G59" s="13" t="str">
        <f>_xll.BDH("ALNY US Equity","ARDR_DEPRECIATION_AMORTIZATION","FQ4 2019","FQ4 2019","Currency=USD","Period=FQ","BEST_FPERIOD_OVERRIDE=FQ","FILING_STATUS=MR","SCALING_FORMAT=MLN","Sort=A","Dates=H","DateFormat=P","Fill=—","Direction=H","UseDPDF=Y")</f>
        <v>—</v>
      </c>
      <c r="H59" s="13" t="str">
        <f>_xll.BDH("ALNY US Equity","ARDR_DEPRECIATION_AMORTIZATION","FQ1 2020","FQ1 2020","Currency=USD","Period=FQ","BEST_FPERIOD_OVERRIDE=FQ","FILING_STATUS=MR","SCALING_FORMAT=MLN","Sort=A","Dates=H","DateFormat=P","Fill=—","Direction=H","UseDPDF=Y")</f>
        <v>—</v>
      </c>
      <c r="I59" s="13" t="str">
        <f>_xll.BDH("ALNY US Equity","ARDR_DEPRECIATION_AMORTIZATION","FQ2 2020","FQ2 2020","Currency=USD","Period=FQ","BEST_FPERIOD_OVERRIDE=FQ","FILING_STATUS=MR","SCALING_FORMAT=MLN","Sort=A","Dates=H","DateFormat=P","Fill=—","Direction=H","UseDPDF=Y")</f>
        <v>—</v>
      </c>
      <c r="J59" s="13" t="str">
        <f>_xll.BDH("ALNY US Equity","ARDR_DEPRECIATION_AMORTIZATION","FQ3 2020","FQ3 2020","Currency=USD","Period=FQ","BEST_FPERIOD_OVERRIDE=FQ","FILING_STATUS=MR","SCALING_FORMAT=MLN","Sort=A","Dates=H","DateFormat=P","Fill=—","Direction=H","UseDPDF=Y")</f>
        <v>—</v>
      </c>
      <c r="K59" s="13" t="str">
        <f>_xll.BDH("ALNY US Equity","ARDR_DEPRECIATION_AMORTIZATION","FQ4 2020","FQ4 2020","Currency=USD","Period=FQ","BEST_FPERIOD_OVERRIDE=FQ","FILING_STATUS=MR","SCALING_FORMAT=MLN","Sort=A","Dates=H","DateFormat=P","Fill=—","Direction=H","UseDPDF=Y")</f>
        <v>—</v>
      </c>
      <c r="L59" s="13" t="str">
        <f>_xll.BDH("ALNY US Equity","ARDR_DEPRECIATION_AMORTIZATION","FQ1 2021","FQ1 2021","Currency=USD","Period=FQ","BEST_FPERIOD_OVERRIDE=FQ","FILING_STATUS=MR","SCALING_FORMAT=MLN","Sort=A","Dates=H","DateFormat=P","Fill=—","Direction=H","UseDPDF=Y")</f>
        <v>—</v>
      </c>
      <c r="M59" s="13" t="str">
        <f>_xll.BDH("ALNY US Equity","ARDR_DEPRECIATION_AMORTIZATION","FQ2 2021","FQ2 2021","Currency=USD","Period=FQ","BEST_FPERIOD_OVERRIDE=FQ","FILING_STATUS=MR","SCALING_FORMAT=MLN","Sort=A","Dates=H","DateFormat=P","Fill=—","Direction=H","UseDPDF=Y")</f>
        <v>—</v>
      </c>
      <c r="N59" s="13">
        <f>_xll.BDH("ALNY US Equity","ARDR_DEPRECIATION_AMORTIZATION","FQ3 2021","FQ3 2021","Currency=USD","Period=FQ","BEST_FPERIOD_OVERRIDE=FQ","FILING_STATUS=MR","SCALING_FORMAT=MLN","Sort=A","Dates=H","DateFormat=P","Fill=—","Direction=H","UseDPDF=Y")</f>
        <v>11.786</v>
      </c>
      <c r="O59" s="13" t="str">
        <f>_xll.BDH("ALNY US Equity","ARDR_DEPRECIATION_AMORTIZATION","FQ4 2021","FQ4 2021","Currency=USD","Period=FQ","BEST_FPERIOD_OVERRIDE=FQ","FILING_STATUS=MR","SCALING_FORMAT=MLN","Sort=A","Dates=H","DateFormat=P","Fill=—","Direction=H","UseDPDF=Y")</f>
        <v>—</v>
      </c>
      <c r="P59" s="13" t="str">
        <f>_xll.BDH("ALNY US Equity","ARDR_DEPRECIATION_AMORTIZATION","FQ1 2022","FQ1 2022","Currency=USD","Period=FQ","BEST_FPERIOD_OVERRIDE=FQ","FILING_STATUS=MR","SCALING_FORMAT=MLN","Sort=A","Dates=H","DateFormat=P","Fill=—","Direction=H","UseDPDF=Y")</f>
        <v>—</v>
      </c>
      <c r="Q59" s="13" t="str">
        <f>_xll.BDH("ALNY US Equity","ARDR_DEPRECIATION_AMORTIZATION","FQ2 2022","FQ2 2022","Currency=USD","Period=FQ","BEST_FPERIOD_OVERRIDE=FQ","FILING_STATUS=MR","SCALING_FORMAT=MLN","Sort=A","Dates=H","DateFormat=P","Fill=—","Direction=H","UseDPDF=Y")</f>
        <v>—</v>
      </c>
      <c r="R59" s="13">
        <f>_xll.BDH("ALNY US Equity","ARDR_DEPRECIATION_AMORTIZATION","FQ3 2022","FQ3 2022","Currency=USD","Period=FQ","BEST_FPERIOD_OVERRIDE=FQ","FILING_STATUS=MR","SCALING_FORMAT=MLN","Sort=A","Dates=H","DateFormat=P","Fill=—","Direction=H","UseDPDF=Y")</f>
        <v>10.6</v>
      </c>
      <c r="S59" s="13">
        <f>_xll.BDH("ALNY US Equity","ARDR_DEPRECIATION_AMORTIZATION","FQ4 2022","FQ4 2022","Currency=USD","Period=FQ","BEST_FPERIOD_OVERRIDE=FQ","FILING_STATUS=MR","SCALING_FORMAT=MLN","Sort=A","Dates=H","DateFormat=P","Fill=—","Direction=H","UseDPDF=Y")</f>
        <v>14.311</v>
      </c>
      <c r="T59" s="13" t="str">
        <f>_xll.BDH("ALNY US Equity","ARDR_DEPRECIATION_AMORTIZATION","FQ1 2023","FQ1 2023","Currency=USD","Period=FQ","BEST_FPERIOD_OVERRIDE=FQ","FILING_STATUS=MR","SCALING_FORMAT=MLN","Sort=A","Dates=H","DateFormat=P","Fill=—","Direction=H","UseDPDF=Y")</f>
        <v>—</v>
      </c>
      <c r="U59" s="13">
        <f>_xll.BDH("ALNY US Equity","ARDR_DEPRECIATION_AMORTIZATION","FQ2 2023","FQ2 2023","Currency=USD","Period=FQ","BEST_FPERIOD_OVERRIDE=FQ","FILING_STATUS=MR","SCALING_FORMAT=MLN","Sort=A","Dates=H","DateFormat=P","Fill=—","Direction=H","UseDPDF=Y")</f>
        <v>13.179</v>
      </c>
      <c r="V59" s="13">
        <f>_xll.BDH("ALNY US Equity","ARDR_DEPRECIATION_AMORTIZATION","FQ3 2023","FQ3 2023","Currency=USD","Period=FQ","BEST_FPERIOD_OVERRIDE=FQ","FILING_STATUS=MR","SCALING_FORMAT=MLN","Sort=A","Dates=H","DateFormat=P","Fill=—","Direction=H","UseDPDF=Y")</f>
        <v>13.327999999999999</v>
      </c>
      <c r="W59" s="13">
        <f>_xll.BDH("ALNY US Equity","ARDR_DEPRECIATION_AMORTIZATION","FQ4 2023","FQ4 2023","Currency=USD","Period=FQ","BEST_FPERIOD_OVERRIDE=FQ","FILING_STATUS=MR","SCALING_FORMAT=MLN","Sort=A","Dates=H","DateFormat=P","Fill=—","Direction=H","UseDPDF=Y")</f>
        <v>13.481999999999999</v>
      </c>
      <c r="X59" s="13" t="str">
        <f>_xll.BDH("ALNY US Equity","ARDR_DEPRECIATION_AMORTIZATION","FQ1 2024","FQ1 2024","Currency=USD","Period=FQ","BEST_FPERIOD_OVERRIDE=FQ","FILING_STATUS=MR","SCALING_FORMAT=MLN","Sort=A","Dates=H","DateFormat=P","Fill=—","Direction=H","UseDPDF=Y")</f>
        <v>—</v>
      </c>
      <c r="Y59" s="13">
        <f>_xll.BDH("ALNY US Equity","ARDR_DEPRECIATION_AMORTIZATION","FQ2 2024","FQ2 2024","Currency=USD","Period=FQ","BEST_FPERIOD_OVERRIDE=FQ","FILING_STATUS=MR","SCALING_FORMAT=MLN","Sort=A","Dates=H","DateFormat=P","Fill=—","Direction=H","UseDPDF=Y")</f>
        <v>15.003</v>
      </c>
      <c r="Z59" s="13">
        <f>_xll.BDH("ALNY US Equity","ARDR_DEPRECIATION_AMORTIZATION","FQ3 2024","FQ3 2024","Currency=USD","Period=FQ","BEST_FPERIOD_OVERRIDE=FQ","FILING_STATUS=MR","SCALING_FORMAT=MLN","Sort=A","Dates=H","DateFormat=P","Fill=—","Direction=H","UseDPDF=Y")</f>
        <v>13.981999999999999</v>
      </c>
      <c r="AA59" s="13">
        <f>_xll.BDH("ALNY US Equity","ARDR_DEPRECIATION_AMORTIZATION","FQ4 2024","FQ4 2024","Currency=USD","Period=FQ","BEST_FPERIOD_OVERRIDE=FQ","FILING_STATUS=MR","SCALING_FORMAT=MLN","Sort=A","Dates=H","DateFormat=P","Fill=—","Direction=H","UseDPDF=Y")</f>
        <v>14.167999999999999</v>
      </c>
    </row>
    <row r="60" spans="1:27" x14ac:dyDescent="0.25">
      <c r="A60" s="10" t="s">
        <v>431</v>
      </c>
      <c r="B60" s="10" t="s">
        <v>496</v>
      </c>
      <c r="C60" s="13" t="str">
        <f>_xll.BDH("ALNY US Equity","ARDR_INT_EXP","FQ4 2018","FQ4 2018","Currency=USD","Period=FQ","BEST_FPERIOD_OVERRIDE=FQ","FILING_STATUS=MR","SCALING_FORMAT=MLN","Sort=A","Dates=H","DateFormat=P","Fill=—","Direction=H","UseDPDF=Y")</f>
        <v>—</v>
      </c>
      <c r="D60" s="13" t="str">
        <f>_xll.BDH("ALNY US Equity","ARDR_INT_EXP","FQ1 2019","FQ1 2019","Currency=USD","Period=FQ","BEST_FPERIOD_OVERRIDE=FQ","FILING_STATUS=MR","SCALING_FORMAT=MLN","Sort=A","Dates=H","DateFormat=P","Fill=—","Direction=H","UseDPDF=Y")</f>
        <v>—</v>
      </c>
      <c r="E60" s="13" t="str">
        <f>_xll.BDH("ALNY US Equity","ARDR_INT_EXP","FQ2 2019","FQ2 2019","Currency=USD","Period=FQ","BEST_FPERIOD_OVERRIDE=FQ","FILING_STATUS=MR","SCALING_FORMAT=MLN","Sort=A","Dates=H","DateFormat=P","Fill=—","Direction=H","UseDPDF=Y")</f>
        <v>—</v>
      </c>
      <c r="F60" s="13" t="str">
        <f>_xll.BDH("ALNY US Equity","ARDR_INT_EXP","FQ3 2019","FQ3 2019","Currency=USD","Period=FQ","BEST_FPERIOD_OVERRIDE=FQ","FILING_STATUS=MR","SCALING_FORMAT=MLN","Sort=A","Dates=H","DateFormat=P","Fill=—","Direction=H","UseDPDF=Y")</f>
        <v>—</v>
      </c>
      <c r="G60" s="13" t="str">
        <f>_xll.BDH("ALNY US Equity","ARDR_INT_EXP","FQ4 2019","FQ4 2019","Currency=USD","Period=FQ","BEST_FPERIOD_OVERRIDE=FQ","FILING_STATUS=MR","SCALING_FORMAT=MLN","Sort=A","Dates=H","DateFormat=P","Fill=—","Direction=H","UseDPDF=Y")</f>
        <v>—</v>
      </c>
      <c r="H60" s="13" t="str">
        <f>_xll.BDH("ALNY US Equity","ARDR_INT_EXP","FQ1 2020","FQ1 2020","Currency=USD","Period=FQ","BEST_FPERIOD_OVERRIDE=FQ","FILING_STATUS=MR","SCALING_FORMAT=MLN","Sort=A","Dates=H","DateFormat=P","Fill=—","Direction=H","UseDPDF=Y")</f>
        <v>—</v>
      </c>
      <c r="I60" s="13" t="str">
        <f>_xll.BDH("ALNY US Equity","ARDR_INT_EXP","FQ2 2020","FQ2 2020","Currency=USD","Period=FQ","BEST_FPERIOD_OVERRIDE=FQ","FILING_STATUS=MR","SCALING_FORMAT=MLN","Sort=A","Dates=H","DateFormat=P","Fill=—","Direction=H","UseDPDF=Y")</f>
        <v>—</v>
      </c>
      <c r="J60" s="13" t="str">
        <f>_xll.BDH("ALNY US Equity","ARDR_INT_EXP","FQ3 2020","FQ3 2020","Currency=USD","Period=FQ","BEST_FPERIOD_OVERRIDE=FQ","FILING_STATUS=MR","SCALING_FORMAT=MLN","Sort=A","Dates=H","DateFormat=P","Fill=—","Direction=H","UseDPDF=Y")</f>
        <v>—</v>
      </c>
      <c r="K60" s="13" t="str">
        <f>_xll.BDH("ALNY US Equity","ARDR_INT_EXP","FQ4 2020","FQ4 2020","Currency=USD","Period=FQ","BEST_FPERIOD_OVERRIDE=FQ","FILING_STATUS=MR","SCALING_FORMAT=MLN","Sort=A","Dates=H","DateFormat=P","Fill=—","Direction=H","UseDPDF=Y")</f>
        <v>—</v>
      </c>
      <c r="L60" s="13" t="str">
        <f>_xll.BDH("ALNY US Equity","ARDR_INT_EXP","FQ1 2021","FQ1 2021","Currency=USD","Period=FQ","BEST_FPERIOD_OVERRIDE=FQ","FILING_STATUS=MR","SCALING_FORMAT=MLN","Sort=A","Dates=H","DateFormat=P","Fill=—","Direction=H","UseDPDF=Y")</f>
        <v>—</v>
      </c>
      <c r="M60" s="13" t="str">
        <f>_xll.BDH("ALNY US Equity","ARDR_INT_EXP","FQ2 2021","FQ2 2021","Currency=USD","Period=FQ","BEST_FPERIOD_OVERRIDE=FQ","FILING_STATUS=MR","SCALING_FORMAT=MLN","Sort=A","Dates=H","DateFormat=P","Fill=—","Direction=H","UseDPDF=Y")</f>
        <v>—</v>
      </c>
      <c r="N60" s="13" t="str">
        <f>_xll.BDH("ALNY US Equity","ARDR_INT_EXP","FQ3 2021","FQ3 2021","Currency=USD","Period=FQ","BEST_FPERIOD_OVERRIDE=FQ","FILING_STATUS=MR","SCALING_FORMAT=MLN","Sort=A","Dates=H","DateFormat=P","Fill=—","Direction=H","UseDPDF=Y")</f>
        <v>—</v>
      </c>
      <c r="O60" s="13" t="str">
        <f>_xll.BDH("ALNY US Equity","ARDR_INT_EXP","FQ4 2021","FQ4 2021","Currency=USD","Period=FQ","BEST_FPERIOD_OVERRIDE=FQ","FILING_STATUS=MR","SCALING_FORMAT=MLN","Sort=A","Dates=H","DateFormat=P","Fill=—","Direction=H","UseDPDF=Y")</f>
        <v>—</v>
      </c>
      <c r="P60" s="13" t="str">
        <f>_xll.BDH("ALNY US Equity","ARDR_INT_EXP","FQ1 2022","FQ1 2022","Currency=USD","Period=FQ","BEST_FPERIOD_OVERRIDE=FQ","FILING_STATUS=MR","SCALING_FORMAT=MLN","Sort=A","Dates=H","DateFormat=P","Fill=—","Direction=H","UseDPDF=Y")</f>
        <v>—</v>
      </c>
      <c r="Q60" s="13" t="str">
        <f>_xll.BDH("ALNY US Equity","ARDR_INT_EXP","FQ2 2022","FQ2 2022","Currency=USD","Period=FQ","BEST_FPERIOD_OVERRIDE=FQ","FILING_STATUS=MR","SCALING_FORMAT=MLN","Sort=A","Dates=H","DateFormat=P","Fill=—","Direction=H","UseDPDF=Y")</f>
        <v>—</v>
      </c>
      <c r="R60" s="13" t="str">
        <f>_xll.BDH("ALNY US Equity","ARDR_INT_EXP","FQ3 2022","FQ3 2022","Currency=USD","Period=FQ","BEST_FPERIOD_OVERRIDE=FQ","FILING_STATUS=MR","SCALING_FORMAT=MLN","Sort=A","Dates=H","DateFormat=P","Fill=—","Direction=H","UseDPDF=Y")</f>
        <v>—</v>
      </c>
      <c r="S60" s="13">
        <f>_xll.BDH("ALNY US Equity","ARDR_INT_EXP","FQ4 2022","FQ4 2022","Currency=USD","Period=FQ","BEST_FPERIOD_OVERRIDE=FQ","FILING_STATUS=MR","SCALING_FORMAT=MLN","Sort=A","Dates=H","DateFormat=P","Fill=—","Direction=H","UseDPDF=Y")</f>
        <v>29.913</v>
      </c>
      <c r="T60" s="13" t="str">
        <f>_xll.BDH("ALNY US Equity","ARDR_INT_EXP","FQ1 2023","FQ1 2023","Currency=USD","Period=FQ","BEST_FPERIOD_OVERRIDE=FQ","FILING_STATUS=MR","SCALING_FORMAT=MLN","Sort=A","Dates=H","DateFormat=P","Fill=—","Direction=H","UseDPDF=Y")</f>
        <v>—</v>
      </c>
      <c r="U60" s="13">
        <f>_xll.BDH("ALNY US Equity","ARDR_INT_EXP","FQ2 2023","FQ2 2023","Currency=USD","Period=FQ","BEST_FPERIOD_OVERRIDE=FQ","FILING_STATUS=MR","SCALING_FORMAT=MLN","Sort=A","Dates=H","DateFormat=P","Fill=—","Direction=H","UseDPDF=Y")</f>
        <v>30.035</v>
      </c>
      <c r="V60" s="13">
        <f>_xll.BDH("ALNY US Equity","ARDR_INT_EXP","FQ3 2023","FQ3 2023","Currency=USD","Period=FQ","BEST_FPERIOD_OVERRIDE=FQ","FILING_STATUS=MR","SCALING_FORMAT=MLN","Sort=A","Dates=H","DateFormat=P","Fill=—","Direction=H","UseDPDF=Y")</f>
        <v>30.893000000000001</v>
      </c>
      <c r="W60" s="13">
        <f>_xll.BDH("ALNY US Equity","ARDR_INT_EXP","FQ4 2023","FQ4 2023","Currency=USD","Period=FQ","BEST_FPERIOD_OVERRIDE=FQ","FILING_STATUS=MR","SCALING_FORMAT=MLN","Sort=A","Dates=H","DateFormat=P","Fill=—","Direction=H","UseDPDF=Y")</f>
        <v>31.338000000000001</v>
      </c>
      <c r="X60" s="13" t="str">
        <f>_xll.BDH("ALNY US Equity","ARDR_INT_EXP","FQ1 2024","FQ1 2024","Currency=USD","Period=FQ","BEST_FPERIOD_OVERRIDE=FQ","FILING_STATUS=MR","SCALING_FORMAT=MLN","Sort=A","Dates=H","DateFormat=P","Fill=—","Direction=H","UseDPDF=Y")</f>
        <v>—</v>
      </c>
      <c r="Y60" s="13">
        <f>_xll.BDH("ALNY US Equity","ARDR_INT_EXP","FQ2 2024","FQ2 2024","Currency=USD","Period=FQ","BEST_FPERIOD_OVERRIDE=FQ","FILING_STATUS=MR","SCALING_FORMAT=MLN","Sort=A","Dates=H","DateFormat=P","Fill=—","Direction=H","UseDPDF=Y")</f>
        <v>33.258000000000003</v>
      </c>
      <c r="Z60" s="13">
        <f>_xll.BDH("ALNY US Equity","ARDR_INT_EXP","FQ3 2024","FQ3 2024","Currency=USD","Period=FQ","BEST_FPERIOD_OVERRIDE=FQ","FILING_STATUS=MR","SCALING_FORMAT=MLN","Sort=A","Dates=H","DateFormat=P","Fill=—","Direction=H","UseDPDF=Y")</f>
        <v>34.375999999999998</v>
      </c>
      <c r="AA60" s="13">
        <f>_xll.BDH("ALNY US Equity","ARDR_INT_EXP","FQ4 2024","FQ4 2024","Currency=USD","Period=FQ","BEST_FPERIOD_OVERRIDE=FQ","FILING_STATUS=MR","SCALING_FORMAT=MLN","Sort=A","Dates=H","DateFormat=P","Fill=—","Direction=H","UseDPDF=Y")</f>
        <v>38.970999999999997</v>
      </c>
    </row>
    <row r="61" spans="1:27" x14ac:dyDescent="0.25">
      <c r="A61" s="10" t="s">
        <v>497</v>
      </c>
      <c r="B61" s="10" t="s">
        <v>498</v>
      </c>
      <c r="C61" s="13" t="str">
        <f>_xll.BDH("ALNY US Equity","ARDR_OTHER_ONE_TIME_CHARGES","FQ4 2018","FQ4 2018","Currency=USD","Period=FQ","BEST_FPERIOD_OVERRIDE=FQ","FILING_STATUS=MR","SCALING_FORMAT=MLN","Sort=A","Dates=H","DateFormat=P","Fill=—","Direction=H","UseDPDF=Y")</f>
        <v>—</v>
      </c>
      <c r="D61" s="13" t="str">
        <f>_xll.BDH("ALNY US Equity","ARDR_OTHER_ONE_TIME_CHARGES","FQ1 2019","FQ1 2019","Currency=USD","Period=FQ","BEST_FPERIOD_OVERRIDE=FQ","FILING_STATUS=MR","SCALING_FORMAT=MLN","Sort=A","Dates=H","DateFormat=P","Fill=—","Direction=H","UseDPDF=Y")</f>
        <v>—</v>
      </c>
      <c r="E61" s="13" t="str">
        <f>_xll.BDH("ALNY US Equity","ARDR_OTHER_ONE_TIME_CHARGES","FQ2 2019","FQ2 2019","Currency=USD","Period=FQ","BEST_FPERIOD_OVERRIDE=FQ","FILING_STATUS=MR","SCALING_FORMAT=MLN","Sort=A","Dates=H","DateFormat=P","Fill=—","Direction=H","UseDPDF=Y")</f>
        <v>—</v>
      </c>
      <c r="F61" s="13" t="str">
        <f>_xll.BDH("ALNY US Equity","ARDR_OTHER_ONE_TIME_CHARGES","FQ3 2019","FQ3 2019","Currency=USD","Period=FQ","BEST_FPERIOD_OVERRIDE=FQ","FILING_STATUS=MR","SCALING_FORMAT=MLN","Sort=A","Dates=H","DateFormat=P","Fill=—","Direction=H","UseDPDF=Y")</f>
        <v>—</v>
      </c>
      <c r="G61" s="13" t="str">
        <f>_xll.BDH("ALNY US Equity","ARDR_OTHER_ONE_TIME_CHARGES","FQ4 2019","FQ4 2019","Currency=USD","Period=FQ","BEST_FPERIOD_OVERRIDE=FQ","FILING_STATUS=MR","SCALING_FORMAT=MLN","Sort=A","Dates=H","DateFormat=P","Fill=—","Direction=H","UseDPDF=Y")</f>
        <v>—</v>
      </c>
      <c r="H61" s="13" t="str">
        <f>_xll.BDH("ALNY US Equity","ARDR_OTHER_ONE_TIME_CHARGES","FQ1 2020","FQ1 2020","Currency=USD","Period=FQ","BEST_FPERIOD_OVERRIDE=FQ","FILING_STATUS=MR","SCALING_FORMAT=MLN","Sort=A","Dates=H","DateFormat=P","Fill=—","Direction=H","UseDPDF=Y")</f>
        <v>—</v>
      </c>
      <c r="I61" s="13" t="str">
        <f>_xll.BDH("ALNY US Equity","ARDR_OTHER_ONE_TIME_CHARGES","FQ2 2020","FQ2 2020","Currency=USD","Period=FQ","BEST_FPERIOD_OVERRIDE=FQ","FILING_STATUS=MR","SCALING_FORMAT=MLN","Sort=A","Dates=H","DateFormat=P","Fill=—","Direction=H","UseDPDF=Y")</f>
        <v>—</v>
      </c>
      <c r="J61" s="13">
        <f>_xll.BDH("ALNY US Equity","ARDR_OTHER_ONE_TIME_CHARGES","FQ3 2020","FQ3 2020","Currency=USD","Period=FQ","BEST_FPERIOD_OVERRIDE=FQ","FILING_STATUS=MR","SCALING_FORMAT=MLN","Sort=A","Dates=H","DateFormat=P","Fill=—","Direction=H","UseDPDF=Y")</f>
        <v>0.76300000000000001</v>
      </c>
      <c r="K61" s="13">
        <f>_xll.BDH("ALNY US Equity","ARDR_OTHER_ONE_TIME_CHARGES","FQ4 2020","FQ4 2020","Currency=USD","Period=FQ","BEST_FPERIOD_OVERRIDE=FQ","FILING_STATUS=MR","SCALING_FORMAT=MLN","Sort=A","Dates=H","DateFormat=P","Fill=—","Direction=H","UseDPDF=Y")</f>
        <v>0</v>
      </c>
      <c r="L61" s="13" t="str">
        <f>_xll.BDH("ALNY US Equity","ARDR_OTHER_ONE_TIME_CHARGES","FQ1 2021","FQ1 2021","Currency=USD","Period=FQ","BEST_FPERIOD_OVERRIDE=FQ","FILING_STATUS=MR","SCALING_FORMAT=MLN","Sort=A","Dates=H","DateFormat=P","Fill=—","Direction=H","UseDPDF=Y")</f>
        <v>—</v>
      </c>
      <c r="M61" s="13" t="str">
        <f>_xll.BDH("ALNY US Equity","ARDR_OTHER_ONE_TIME_CHARGES","FQ2 2021","FQ2 2021","Currency=USD","Period=FQ","BEST_FPERIOD_OVERRIDE=FQ","FILING_STATUS=MR","SCALING_FORMAT=MLN","Sort=A","Dates=H","DateFormat=P","Fill=—","Direction=H","UseDPDF=Y")</f>
        <v>—</v>
      </c>
      <c r="N61" s="13">
        <f>_xll.BDH("ALNY US Equity","ARDR_OTHER_ONE_TIME_CHARGES","FQ3 2021","FQ3 2021","Currency=USD","Period=FQ","BEST_FPERIOD_OVERRIDE=FQ","FILING_STATUS=MR","SCALING_FORMAT=MLN","Sort=A","Dates=H","DateFormat=P","Fill=—","Direction=H","UseDPDF=Y")</f>
        <v>10</v>
      </c>
      <c r="O61" s="13">
        <f>_xll.BDH("ALNY US Equity","ARDR_OTHER_ONE_TIME_CHARGES","FQ4 2021","FQ4 2021","Currency=USD","Period=FQ","BEST_FPERIOD_OVERRIDE=FQ","FILING_STATUS=MR","SCALING_FORMAT=MLN","Sort=A","Dates=H","DateFormat=P","Fill=—","Direction=H","UseDPDF=Y")</f>
        <v>0</v>
      </c>
      <c r="P61" s="13" t="str">
        <f>_xll.BDH("ALNY US Equity","ARDR_OTHER_ONE_TIME_CHARGES","FQ1 2022","FQ1 2022","Currency=USD","Period=FQ","BEST_FPERIOD_OVERRIDE=FQ","FILING_STATUS=MR","SCALING_FORMAT=MLN","Sort=A","Dates=H","DateFormat=P","Fill=—","Direction=H","UseDPDF=Y")</f>
        <v>—</v>
      </c>
      <c r="Q61" s="13" t="str">
        <f>_xll.BDH("ALNY US Equity","ARDR_OTHER_ONE_TIME_CHARGES","FQ2 2022","FQ2 2022","Currency=USD","Period=FQ","BEST_FPERIOD_OVERRIDE=FQ","FILING_STATUS=MR","SCALING_FORMAT=MLN","Sort=A","Dates=H","DateFormat=P","Fill=—","Direction=H","UseDPDF=Y")</f>
        <v>—</v>
      </c>
      <c r="R61" s="13" t="str">
        <f>_xll.BDH("ALNY US Equity","ARDR_OTHER_ONE_TIME_CHARGES","FQ3 2022","FQ3 2022","Currency=USD","Period=FQ","BEST_FPERIOD_OVERRIDE=FQ","FILING_STATUS=MR","SCALING_FORMAT=MLN","Sort=A","Dates=H","DateFormat=P","Fill=—","Direction=H","UseDPDF=Y")</f>
        <v>—</v>
      </c>
      <c r="S61" s="13" t="str">
        <f>_xll.BDH("ALNY US Equity","ARDR_OTHER_ONE_TIME_CHARGES","FQ4 2022","FQ4 2022","Currency=USD","Period=FQ","BEST_FPERIOD_OVERRIDE=FQ","FILING_STATUS=MR","SCALING_FORMAT=MLN","Sort=A","Dates=H","DateFormat=P","Fill=—","Direction=H","UseDPDF=Y")</f>
        <v>—</v>
      </c>
      <c r="T61" s="13" t="str">
        <f>_xll.BDH("ALNY US Equity","ARDR_OTHER_ONE_TIME_CHARGES","FQ1 2023","FQ1 2023","Currency=USD","Period=FQ","BEST_FPERIOD_OVERRIDE=FQ","FILING_STATUS=MR","SCALING_FORMAT=MLN","Sort=A","Dates=H","DateFormat=P","Fill=—","Direction=H","UseDPDF=Y")</f>
        <v>—</v>
      </c>
      <c r="U61" s="13" t="str">
        <f>_xll.BDH("ALNY US Equity","ARDR_OTHER_ONE_TIME_CHARGES","FQ2 2023","FQ2 2023","Currency=USD","Period=FQ","BEST_FPERIOD_OVERRIDE=FQ","FILING_STATUS=MR","SCALING_FORMAT=MLN","Sort=A","Dates=H","DateFormat=P","Fill=—","Direction=H","UseDPDF=Y")</f>
        <v>—</v>
      </c>
      <c r="V61" s="13" t="str">
        <f>_xll.BDH("ALNY US Equity","ARDR_OTHER_ONE_TIME_CHARGES","FQ3 2023","FQ3 2023","Currency=USD","Period=FQ","BEST_FPERIOD_OVERRIDE=FQ","FILING_STATUS=MR","SCALING_FORMAT=MLN","Sort=A","Dates=H","DateFormat=P","Fill=—","Direction=H","UseDPDF=Y")</f>
        <v>—</v>
      </c>
      <c r="W61" s="13" t="str">
        <f>_xll.BDH("ALNY US Equity","ARDR_OTHER_ONE_TIME_CHARGES","FQ4 2023","FQ4 2023","Currency=USD","Period=FQ","BEST_FPERIOD_OVERRIDE=FQ","FILING_STATUS=MR","SCALING_FORMAT=MLN","Sort=A","Dates=H","DateFormat=P","Fill=—","Direction=H","UseDPDF=Y")</f>
        <v>—</v>
      </c>
      <c r="X61" s="13" t="str">
        <f>_xll.BDH("ALNY US Equity","ARDR_OTHER_ONE_TIME_CHARGES","FQ1 2024","FQ1 2024","Currency=USD","Period=FQ","BEST_FPERIOD_OVERRIDE=FQ","FILING_STATUS=MR","SCALING_FORMAT=MLN","Sort=A","Dates=H","DateFormat=P","Fill=—","Direction=H","UseDPDF=Y")</f>
        <v>—</v>
      </c>
      <c r="Y61" s="13" t="str">
        <f>_xll.BDH("ALNY US Equity","ARDR_OTHER_ONE_TIME_CHARGES","FQ2 2024","FQ2 2024","Currency=USD","Period=FQ","BEST_FPERIOD_OVERRIDE=FQ","FILING_STATUS=MR","SCALING_FORMAT=MLN","Sort=A","Dates=H","DateFormat=P","Fill=—","Direction=H","UseDPDF=Y")</f>
        <v>—</v>
      </c>
      <c r="Z61" s="13" t="str">
        <f>_xll.BDH("ALNY US Equity","ARDR_OTHER_ONE_TIME_CHARGES","FQ3 2024","FQ3 2024","Currency=USD","Period=FQ","BEST_FPERIOD_OVERRIDE=FQ","FILING_STATUS=MR","SCALING_FORMAT=MLN","Sort=A","Dates=H","DateFormat=P","Fill=—","Direction=H","UseDPDF=Y")</f>
        <v>—</v>
      </c>
      <c r="AA61" s="13" t="str">
        <f>_xll.BDH("ALNY US Equity","ARDR_OTHER_ONE_TIME_CHARGES","FQ4 2024","FQ4 2024","Currency=USD","Period=FQ","BEST_FPERIOD_OVERRIDE=FQ","FILING_STATUS=MR","SCALING_FORMAT=MLN","Sort=A","Dates=H","DateFormat=P","Fill=—","Direction=H","UseDPDF=Y")</f>
        <v>—</v>
      </c>
    </row>
    <row r="62" spans="1:27" x14ac:dyDescent="0.25">
      <c r="A62" s="10" t="s">
        <v>433</v>
      </c>
      <c r="B62" s="10" t="s">
        <v>499</v>
      </c>
      <c r="C62" s="13" t="str">
        <f>_xll.BDH("ALNY US Equity","ARDR_INT_INCOME","FQ4 2018","FQ4 2018","Currency=USD","Period=FQ","BEST_FPERIOD_OVERRIDE=FQ","FILING_STATUS=MR","SCALING_FORMAT=MLN","Sort=A","Dates=H","DateFormat=P","Fill=—","Direction=H","UseDPDF=Y")</f>
        <v>—</v>
      </c>
      <c r="D62" s="13" t="str">
        <f>_xll.BDH("ALNY US Equity","ARDR_INT_INCOME","FQ1 2019","FQ1 2019","Currency=USD","Period=FQ","BEST_FPERIOD_OVERRIDE=FQ","FILING_STATUS=MR","SCALING_FORMAT=MLN","Sort=A","Dates=H","DateFormat=P","Fill=—","Direction=H","UseDPDF=Y")</f>
        <v>—</v>
      </c>
      <c r="E62" s="13" t="str">
        <f>_xll.BDH("ALNY US Equity","ARDR_INT_INCOME","FQ2 2019","FQ2 2019","Currency=USD","Period=FQ","BEST_FPERIOD_OVERRIDE=FQ","FILING_STATUS=MR","SCALING_FORMAT=MLN","Sort=A","Dates=H","DateFormat=P","Fill=—","Direction=H","UseDPDF=Y")</f>
        <v>—</v>
      </c>
      <c r="F62" s="13" t="str">
        <f>_xll.BDH("ALNY US Equity","ARDR_INT_INCOME","FQ3 2019","FQ3 2019","Currency=USD","Period=FQ","BEST_FPERIOD_OVERRIDE=FQ","FILING_STATUS=MR","SCALING_FORMAT=MLN","Sort=A","Dates=H","DateFormat=P","Fill=—","Direction=H","UseDPDF=Y")</f>
        <v>—</v>
      </c>
      <c r="G62" s="13" t="str">
        <f>_xll.BDH("ALNY US Equity","ARDR_INT_INCOME","FQ4 2019","FQ4 2019","Currency=USD","Period=FQ","BEST_FPERIOD_OVERRIDE=FQ","FILING_STATUS=MR","SCALING_FORMAT=MLN","Sort=A","Dates=H","DateFormat=P","Fill=—","Direction=H","UseDPDF=Y")</f>
        <v>—</v>
      </c>
      <c r="H62" s="13" t="str">
        <f>_xll.BDH("ALNY US Equity","ARDR_INT_INCOME","FQ1 2020","FQ1 2020","Currency=USD","Period=FQ","BEST_FPERIOD_OVERRIDE=FQ","FILING_STATUS=MR","SCALING_FORMAT=MLN","Sort=A","Dates=H","DateFormat=P","Fill=—","Direction=H","UseDPDF=Y")</f>
        <v>—</v>
      </c>
      <c r="I62" s="13" t="str">
        <f>_xll.BDH("ALNY US Equity","ARDR_INT_INCOME","FQ2 2020","FQ2 2020","Currency=USD","Period=FQ","BEST_FPERIOD_OVERRIDE=FQ","FILING_STATUS=MR","SCALING_FORMAT=MLN","Sort=A","Dates=H","DateFormat=P","Fill=—","Direction=H","UseDPDF=Y")</f>
        <v>—</v>
      </c>
      <c r="J62" s="13" t="str">
        <f>_xll.BDH("ALNY US Equity","ARDR_INT_INCOME","FQ3 2020","FQ3 2020","Currency=USD","Period=FQ","BEST_FPERIOD_OVERRIDE=FQ","FILING_STATUS=MR","SCALING_FORMAT=MLN","Sort=A","Dates=H","DateFormat=P","Fill=—","Direction=H","UseDPDF=Y")</f>
        <v>—</v>
      </c>
      <c r="K62" s="13" t="str">
        <f>_xll.BDH("ALNY US Equity","ARDR_INT_INCOME","FQ4 2020","FQ4 2020","Currency=USD","Period=FQ","BEST_FPERIOD_OVERRIDE=FQ","FILING_STATUS=MR","SCALING_FORMAT=MLN","Sort=A","Dates=H","DateFormat=P","Fill=—","Direction=H","UseDPDF=Y")</f>
        <v>—</v>
      </c>
      <c r="L62" s="13" t="str">
        <f>_xll.BDH("ALNY US Equity","ARDR_INT_INCOME","FQ1 2021","FQ1 2021","Currency=USD","Period=FQ","BEST_FPERIOD_OVERRIDE=FQ","FILING_STATUS=MR","SCALING_FORMAT=MLN","Sort=A","Dates=H","DateFormat=P","Fill=—","Direction=H","UseDPDF=Y")</f>
        <v>—</v>
      </c>
      <c r="M62" s="13" t="str">
        <f>_xll.BDH("ALNY US Equity","ARDR_INT_INCOME","FQ2 2021","FQ2 2021","Currency=USD","Period=FQ","BEST_FPERIOD_OVERRIDE=FQ","FILING_STATUS=MR","SCALING_FORMAT=MLN","Sort=A","Dates=H","DateFormat=P","Fill=—","Direction=H","UseDPDF=Y")</f>
        <v>—</v>
      </c>
      <c r="N62" s="13" t="str">
        <f>_xll.BDH("ALNY US Equity","ARDR_INT_INCOME","FQ3 2021","FQ3 2021","Currency=USD","Period=FQ","BEST_FPERIOD_OVERRIDE=FQ","FILING_STATUS=MR","SCALING_FORMAT=MLN","Sort=A","Dates=H","DateFormat=P","Fill=—","Direction=H","UseDPDF=Y")</f>
        <v>—</v>
      </c>
      <c r="O62" s="13" t="str">
        <f>_xll.BDH("ALNY US Equity","ARDR_INT_INCOME","FQ4 2021","FQ4 2021","Currency=USD","Period=FQ","BEST_FPERIOD_OVERRIDE=FQ","FILING_STATUS=MR","SCALING_FORMAT=MLN","Sort=A","Dates=H","DateFormat=P","Fill=—","Direction=H","UseDPDF=Y")</f>
        <v>—</v>
      </c>
      <c r="P62" s="13" t="str">
        <f>_xll.BDH("ALNY US Equity","ARDR_INT_INCOME","FQ1 2022","FQ1 2022","Currency=USD","Period=FQ","BEST_FPERIOD_OVERRIDE=FQ","FILING_STATUS=MR","SCALING_FORMAT=MLN","Sort=A","Dates=H","DateFormat=P","Fill=—","Direction=H","UseDPDF=Y")</f>
        <v>—</v>
      </c>
      <c r="Q62" s="13" t="str">
        <f>_xll.BDH("ALNY US Equity","ARDR_INT_INCOME","FQ2 2022","FQ2 2022","Currency=USD","Period=FQ","BEST_FPERIOD_OVERRIDE=FQ","FILING_STATUS=MR","SCALING_FORMAT=MLN","Sort=A","Dates=H","DateFormat=P","Fill=—","Direction=H","UseDPDF=Y")</f>
        <v>—</v>
      </c>
      <c r="R62" s="13" t="str">
        <f>_xll.BDH("ALNY US Equity","ARDR_INT_INCOME","FQ3 2022","FQ3 2022","Currency=USD","Period=FQ","BEST_FPERIOD_OVERRIDE=FQ","FILING_STATUS=MR","SCALING_FORMAT=MLN","Sort=A","Dates=H","DateFormat=P","Fill=—","Direction=H","UseDPDF=Y")</f>
        <v>—</v>
      </c>
      <c r="S62" s="13">
        <f>_xll.BDH("ALNY US Equity","ARDR_INT_INCOME","FQ4 2022","FQ4 2022","Currency=USD","Period=FQ","BEST_FPERIOD_OVERRIDE=FQ","FILING_STATUS=MR","SCALING_FORMAT=MLN","Sort=A","Dates=H","DateFormat=P","Fill=—","Direction=H","UseDPDF=Y")</f>
        <v>-14.077</v>
      </c>
      <c r="T62" s="13" t="str">
        <f>_xll.BDH("ALNY US Equity","ARDR_INT_INCOME","FQ1 2023","FQ1 2023","Currency=USD","Period=FQ","BEST_FPERIOD_OVERRIDE=FQ","FILING_STATUS=MR","SCALING_FORMAT=MLN","Sort=A","Dates=H","DateFormat=P","Fill=—","Direction=H","UseDPDF=Y")</f>
        <v>—</v>
      </c>
      <c r="U62" s="13">
        <f>_xll.BDH("ALNY US Equity","ARDR_INT_INCOME","FQ2 2023","FQ2 2023","Currency=USD","Period=FQ","BEST_FPERIOD_OVERRIDE=FQ","FILING_STATUS=MR","SCALING_FORMAT=MLN","Sort=A","Dates=H","DateFormat=P","Fill=—","Direction=H","UseDPDF=Y")</f>
        <v>-21.074999999999999</v>
      </c>
      <c r="V62" s="13">
        <f>_xll.BDH("ALNY US Equity","ARDR_INT_INCOME","FQ3 2023","FQ3 2023","Currency=USD","Period=FQ","BEST_FPERIOD_OVERRIDE=FQ","FILING_STATUS=MR","SCALING_FORMAT=MLN","Sort=A","Dates=H","DateFormat=P","Fill=—","Direction=H","UseDPDF=Y")</f>
        <v>-25.425000000000001</v>
      </c>
      <c r="W62" s="13">
        <f>_xll.BDH("ALNY US Equity","ARDR_INT_INCOME","FQ4 2023","FQ4 2023","Currency=USD","Period=FQ","BEST_FPERIOD_OVERRIDE=FQ","FILING_STATUS=MR","SCALING_FORMAT=MLN","Sort=A","Dates=H","DateFormat=P","Fill=—","Direction=H","UseDPDF=Y")</f>
        <v>-30.405999999999999</v>
      </c>
      <c r="X62" s="13" t="str">
        <f>_xll.BDH("ALNY US Equity","ARDR_INT_INCOME","FQ1 2024","FQ1 2024","Currency=USD","Period=FQ","BEST_FPERIOD_OVERRIDE=FQ","FILING_STATUS=MR","SCALING_FORMAT=MLN","Sort=A","Dates=H","DateFormat=P","Fill=—","Direction=H","UseDPDF=Y")</f>
        <v>—</v>
      </c>
      <c r="Y62" s="13">
        <f>_xll.BDH("ALNY US Equity","ARDR_INT_INCOME","FQ2 2024","FQ2 2024","Currency=USD","Period=FQ","BEST_FPERIOD_OVERRIDE=FQ","FILING_STATUS=MR","SCALING_FORMAT=MLN","Sort=A","Dates=H","DateFormat=P","Fill=—","Direction=H","UseDPDF=Y")</f>
        <v>-29.181999999999999</v>
      </c>
      <c r="Z62" s="13">
        <f>_xll.BDH("ALNY US Equity","ARDR_INT_INCOME","FQ3 2024","FQ3 2024","Currency=USD","Period=FQ","BEST_FPERIOD_OVERRIDE=FQ","FILING_STATUS=MR","SCALING_FORMAT=MLN","Sort=A","Dates=H","DateFormat=P","Fill=—","Direction=H","UseDPDF=Y")</f>
        <v>-32.146000000000001</v>
      </c>
      <c r="AA62" s="13">
        <f>_xll.BDH("ALNY US Equity","ARDR_INT_INCOME","FQ4 2024","FQ4 2024","Currency=USD","Period=FQ","BEST_FPERIOD_OVERRIDE=FQ","FILING_STATUS=MR","SCALING_FORMAT=MLN","Sort=A","Dates=H","DateFormat=P","Fill=—","Direction=H","UseDPDF=Y")</f>
        <v>-31.018999999999998</v>
      </c>
    </row>
    <row r="63" spans="1:27" x14ac:dyDescent="0.25">
      <c r="A63" s="10" t="s">
        <v>500</v>
      </c>
      <c r="B63" s="10" t="s">
        <v>501</v>
      </c>
      <c r="C63" s="13" t="str">
        <f>_xll.BDH("ALNY US Equity","ARDR_INT_EXP_NET","FQ4 2018","FQ4 2018","Currency=USD","Period=FQ","BEST_FPERIOD_OVERRIDE=FQ","FILING_STATUS=MR","SCALING_FORMAT=MLN","Sort=A","Dates=H","DateFormat=P","Fill=—","Direction=H","UseDPDF=Y")</f>
        <v>—</v>
      </c>
      <c r="D63" s="13" t="str">
        <f>_xll.BDH("ALNY US Equity","ARDR_INT_EXP_NET","FQ1 2019","FQ1 2019","Currency=USD","Period=FQ","BEST_FPERIOD_OVERRIDE=FQ","FILING_STATUS=MR","SCALING_FORMAT=MLN","Sort=A","Dates=H","DateFormat=P","Fill=—","Direction=H","UseDPDF=Y")</f>
        <v>—</v>
      </c>
      <c r="E63" s="13" t="str">
        <f>_xll.BDH("ALNY US Equity","ARDR_INT_EXP_NET","FQ2 2019","FQ2 2019","Currency=USD","Period=FQ","BEST_FPERIOD_OVERRIDE=FQ","FILING_STATUS=MR","SCALING_FORMAT=MLN","Sort=A","Dates=H","DateFormat=P","Fill=—","Direction=H","UseDPDF=Y")</f>
        <v>—</v>
      </c>
      <c r="F63" s="13" t="str">
        <f>_xll.BDH("ALNY US Equity","ARDR_INT_EXP_NET","FQ3 2019","FQ3 2019","Currency=USD","Period=FQ","BEST_FPERIOD_OVERRIDE=FQ","FILING_STATUS=MR","SCALING_FORMAT=MLN","Sort=A","Dates=H","DateFormat=P","Fill=—","Direction=H","UseDPDF=Y")</f>
        <v>—</v>
      </c>
      <c r="G63" s="13" t="str">
        <f>_xll.BDH("ALNY US Equity","ARDR_INT_EXP_NET","FQ4 2019","FQ4 2019","Currency=USD","Period=FQ","BEST_FPERIOD_OVERRIDE=FQ","FILING_STATUS=MR","SCALING_FORMAT=MLN","Sort=A","Dates=H","DateFormat=P","Fill=—","Direction=H","UseDPDF=Y")</f>
        <v>—</v>
      </c>
      <c r="H63" s="13" t="str">
        <f>_xll.BDH("ALNY US Equity","ARDR_INT_EXP_NET","FQ1 2020","FQ1 2020","Currency=USD","Period=FQ","BEST_FPERIOD_OVERRIDE=FQ","FILING_STATUS=MR","SCALING_FORMAT=MLN","Sort=A","Dates=H","DateFormat=P","Fill=—","Direction=H","UseDPDF=Y")</f>
        <v>—</v>
      </c>
      <c r="I63" s="13" t="str">
        <f>_xll.BDH("ALNY US Equity","ARDR_INT_EXP_NET","FQ2 2020","FQ2 2020","Currency=USD","Period=FQ","BEST_FPERIOD_OVERRIDE=FQ","FILING_STATUS=MR","SCALING_FORMAT=MLN","Sort=A","Dates=H","DateFormat=P","Fill=—","Direction=H","UseDPDF=Y")</f>
        <v>—</v>
      </c>
      <c r="J63" s="13" t="str">
        <f>_xll.BDH("ALNY US Equity","ARDR_INT_EXP_NET","FQ3 2020","FQ3 2020","Currency=USD","Period=FQ","BEST_FPERIOD_OVERRIDE=FQ","FILING_STATUS=MR","SCALING_FORMAT=MLN","Sort=A","Dates=H","DateFormat=P","Fill=—","Direction=H","UseDPDF=Y")</f>
        <v>—</v>
      </c>
      <c r="K63" s="13" t="str">
        <f>_xll.BDH("ALNY US Equity","ARDR_INT_EXP_NET","FQ4 2020","FQ4 2020","Currency=USD","Period=FQ","BEST_FPERIOD_OVERRIDE=FQ","FILING_STATUS=MR","SCALING_FORMAT=MLN","Sort=A","Dates=H","DateFormat=P","Fill=—","Direction=H","UseDPDF=Y")</f>
        <v>—</v>
      </c>
      <c r="L63" s="13" t="str">
        <f>_xll.BDH("ALNY US Equity","ARDR_INT_EXP_NET","FQ1 2021","FQ1 2021","Currency=USD","Period=FQ","BEST_FPERIOD_OVERRIDE=FQ","FILING_STATUS=MR","SCALING_FORMAT=MLN","Sort=A","Dates=H","DateFormat=P","Fill=—","Direction=H","UseDPDF=Y")</f>
        <v>—</v>
      </c>
      <c r="M63" s="13" t="str">
        <f>_xll.BDH("ALNY US Equity","ARDR_INT_EXP_NET","FQ2 2021","FQ2 2021","Currency=USD","Period=FQ","BEST_FPERIOD_OVERRIDE=FQ","FILING_STATUS=MR","SCALING_FORMAT=MLN","Sort=A","Dates=H","DateFormat=P","Fill=—","Direction=H","UseDPDF=Y")</f>
        <v>—</v>
      </c>
      <c r="N63" s="13" t="str">
        <f>_xll.BDH("ALNY US Equity","ARDR_INT_EXP_NET","FQ3 2021","FQ3 2021","Currency=USD","Period=FQ","BEST_FPERIOD_OVERRIDE=FQ","FILING_STATUS=MR","SCALING_FORMAT=MLN","Sort=A","Dates=H","DateFormat=P","Fill=—","Direction=H","UseDPDF=Y")</f>
        <v>—</v>
      </c>
      <c r="O63" s="13" t="str">
        <f>_xll.BDH("ALNY US Equity","ARDR_INT_EXP_NET","FQ4 2021","FQ4 2021","Currency=USD","Period=FQ","BEST_FPERIOD_OVERRIDE=FQ","FILING_STATUS=MR","SCALING_FORMAT=MLN","Sort=A","Dates=H","DateFormat=P","Fill=—","Direction=H","UseDPDF=Y")</f>
        <v>—</v>
      </c>
      <c r="P63" s="13" t="str">
        <f>_xll.BDH("ALNY US Equity","ARDR_INT_EXP_NET","FQ1 2022","FQ1 2022","Currency=USD","Period=FQ","BEST_FPERIOD_OVERRIDE=FQ","FILING_STATUS=MR","SCALING_FORMAT=MLN","Sort=A","Dates=H","DateFormat=P","Fill=—","Direction=H","UseDPDF=Y")</f>
        <v>—</v>
      </c>
      <c r="Q63" s="13" t="str">
        <f>_xll.BDH("ALNY US Equity","ARDR_INT_EXP_NET","FQ2 2022","FQ2 2022","Currency=USD","Period=FQ","BEST_FPERIOD_OVERRIDE=FQ","FILING_STATUS=MR","SCALING_FORMAT=MLN","Sort=A","Dates=H","DateFormat=P","Fill=—","Direction=H","UseDPDF=Y")</f>
        <v>—</v>
      </c>
      <c r="R63" s="13" t="str">
        <f>_xll.BDH("ALNY US Equity","ARDR_INT_EXP_NET","FQ3 2022","FQ3 2022","Currency=USD","Period=FQ","BEST_FPERIOD_OVERRIDE=FQ","FILING_STATUS=MR","SCALING_FORMAT=MLN","Sort=A","Dates=H","DateFormat=P","Fill=—","Direction=H","UseDPDF=Y")</f>
        <v>—</v>
      </c>
      <c r="S63" s="13">
        <f>_xll.BDH("ALNY US Equity","ARDR_INT_EXP_NET","FQ4 2022","FQ4 2022","Currency=USD","Period=FQ","BEST_FPERIOD_OVERRIDE=FQ","FILING_STATUS=MR","SCALING_FORMAT=MLN","Sort=A","Dates=H","DateFormat=P","Fill=—","Direction=H","UseDPDF=Y")</f>
        <v>15.836</v>
      </c>
      <c r="T63" s="13" t="str">
        <f>_xll.BDH("ALNY US Equity","ARDR_INT_EXP_NET","FQ1 2023","FQ1 2023","Currency=USD","Period=FQ","BEST_FPERIOD_OVERRIDE=FQ","FILING_STATUS=MR","SCALING_FORMAT=MLN","Sort=A","Dates=H","DateFormat=P","Fill=—","Direction=H","UseDPDF=Y")</f>
        <v>—</v>
      </c>
      <c r="U63" s="13" t="str">
        <f>_xll.BDH("ALNY US Equity","ARDR_INT_EXP_NET","FQ2 2023","FQ2 2023","Currency=USD","Period=FQ","BEST_FPERIOD_OVERRIDE=FQ","FILING_STATUS=MR","SCALING_FORMAT=MLN","Sort=A","Dates=H","DateFormat=P","Fill=—","Direction=H","UseDPDF=Y")</f>
        <v>—</v>
      </c>
      <c r="V63" s="13" t="str">
        <f>_xll.BDH("ALNY US Equity","ARDR_INT_EXP_NET","FQ3 2023","FQ3 2023","Currency=USD","Period=FQ","BEST_FPERIOD_OVERRIDE=FQ","FILING_STATUS=MR","SCALING_FORMAT=MLN","Sort=A","Dates=H","DateFormat=P","Fill=—","Direction=H","UseDPDF=Y")</f>
        <v>—</v>
      </c>
      <c r="W63" s="13">
        <f>_xll.BDH("ALNY US Equity","ARDR_INT_EXP_NET","FQ4 2023","FQ4 2023","Currency=USD","Period=FQ","BEST_FPERIOD_OVERRIDE=FQ","FILING_STATUS=MR","SCALING_FORMAT=MLN","Sort=A","Dates=H","DateFormat=P","Fill=—","Direction=H","UseDPDF=Y")</f>
        <v>0.93200000000000005</v>
      </c>
      <c r="X63" s="13" t="str">
        <f>_xll.BDH("ALNY US Equity","ARDR_INT_EXP_NET","FQ1 2024","FQ1 2024","Currency=USD","Period=FQ","BEST_FPERIOD_OVERRIDE=FQ","FILING_STATUS=MR","SCALING_FORMAT=MLN","Sort=A","Dates=H","DateFormat=P","Fill=—","Direction=H","UseDPDF=Y")</f>
        <v>—</v>
      </c>
      <c r="Y63" s="13" t="str">
        <f>_xll.BDH("ALNY US Equity","ARDR_INT_EXP_NET","FQ2 2024","FQ2 2024","Currency=USD","Period=FQ","BEST_FPERIOD_OVERRIDE=FQ","FILING_STATUS=MR","SCALING_FORMAT=MLN","Sort=A","Dates=H","DateFormat=P","Fill=—","Direction=H","UseDPDF=Y")</f>
        <v>—</v>
      </c>
      <c r="Z63" s="13" t="str">
        <f>_xll.BDH("ALNY US Equity","ARDR_INT_EXP_NET","FQ3 2024","FQ3 2024","Currency=USD","Period=FQ","BEST_FPERIOD_OVERRIDE=FQ","FILING_STATUS=MR","SCALING_FORMAT=MLN","Sort=A","Dates=H","DateFormat=P","Fill=—","Direction=H","UseDPDF=Y")</f>
        <v>—</v>
      </c>
      <c r="AA63" s="13" t="str">
        <f>_xll.BDH("ALNY US Equity","ARDR_INT_EXP_NET","FQ4 2024","FQ4 2024","Currency=USD","Period=FQ","BEST_FPERIOD_OVERRIDE=FQ","FILING_STATUS=MR","SCALING_FORMAT=MLN","Sort=A","Dates=H","DateFormat=P","Fill=—","Direction=H","UseDPDF=Y")</f>
        <v>—</v>
      </c>
    </row>
    <row r="64" spans="1:27" x14ac:dyDescent="0.25">
      <c r="A64" s="10" t="s">
        <v>423</v>
      </c>
      <c r="B64" s="10" t="s">
        <v>502</v>
      </c>
      <c r="C64" s="13">
        <f>_xll.BDH("ALNY US Equity","ARDR_GENERAL_ADMINISTRATIVE_EXP","FQ4 2018","FQ4 2018","Currency=USD","Period=FQ","BEST_FPERIOD_OVERRIDE=FQ","FILING_STATUS=MR","SCALING_FORMAT=MLN","Sort=A","Dates=H","DateFormat=P","Fill=—","Direction=H","UseDPDF=Y")</f>
        <v>108.688</v>
      </c>
      <c r="D64" s="13" t="str">
        <f>_xll.BDH("ALNY US Equity","ARDR_GENERAL_ADMINISTRATIVE_EXP","FQ1 2019","FQ1 2019","Currency=USD","Period=FQ","BEST_FPERIOD_OVERRIDE=FQ","FILING_STATUS=MR","SCALING_FORMAT=MLN","Sort=A","Dates=H","DateFormat=P","Fill=—","Direction=H","UseDPDF=Y")</f>
        <v>—</v>
      </c>
      <c r="E64" s="13">
        <f>_xll.BDH("ALNY US Equity","ARDR_GENERAL_ADMINISTRATIVE_EXP","FQ2 2019","FQ2 2019","Currency=USD","Period=FQ","BEST_FPERIOD_OVERRIDE=FQ","FILING_STATUS=MR","SCALING_FORMAT=MLN","Sort=A","Dates=H","DateFormat=P","Fill=—","Direction=H","UseDPDF=Y")</f>
        <v>112.76900000000001</v>
      </c>
      <c r="F64" s="13">
        <f>_xll.BDH("ALNY US Equity","ARDR_GENERAL_ADMINISTRATIVE_EXP","FQ3 2019","FQ3 2019","Currency=USD","Period=FQ","BEST_FPERIOD_OVERRIDE=FQ","FILING_STATUS=MR","SCALING_FORMAT=MLN","Sort=A","Dates=H","DateFormat=P","Fill=—","Direction=H","UseDPDF=Y")</f>
        <v>120.351</v>
      </c>
      <c r="G64" s="13" t="str">
        <f>_xll.BDH("ALNY US Equity","ARDR_GENERAL_ADMINISTRATIVE_EXP","FQ4 2019","FQ4 2019","Currency=USD","Period=FQ","BEST_FPERIOD_OVERRIDE=FQ","FILING_STATUS=MR","SCALING_FORMAT=MLN","Sort=A","Dates=H","DateFormat=P","Fill=—","Direction=H","UseDPDF=Y")</f>
        <v>—</v>
      </c>
      <c r="H64" s="13" t="str">
        <f>_xll.BDH("ALNY US Equity","ARDR_GENERAL_ADMINISTRATIVE_EXP","FQ1 2020","FQ1 2020","Currency=USD","Period=FQ","BEST_FPERIOD_OVERRIDE=FQ","FILING_STATUS=MR","SCALING_FORMAT=MLN","Sort=A","Dates=H","DateFormat=P","Fill=—","Direction=H","UseDPDF=Y")</f>
        <v>—</v>
      </c>
      <c r="I64" s="13">
        <f>_xll.BDH("ALNY US Equity","ARDR_GENERAL_ADMINISTRATIVE_EXP","FQ2 2020","FQ2 2020","Currency=USD","Period=FQ","BEST_FPERIOD_OVERRIDE=FQ","FILING_STATUS=MR","SCALING_FORMAT=MLN","Sort=A","Dates=H","DateFormat=P","Fill=—","Direction=H","UseDPDF=Y")</f>
        <v>127.896</v>
      </c>
      <c r="J64" s="13" t="str">
        <f>_xll.BDH("ALNY US Equity","ARDR_GENERAL_ADMINISTRATIVE_EXP","FQ3 2020","FQ3 2020","Currency=USD","Period=FQ","BEST_FPERIOD_OVERRIDE=FQ","FILING_STATUS=MR","SCALING_FORMAT=MLN","Sort=A","Dates=H","DateFormat=P","Fill=—","Direction=H","UseDPDF=Y")</f>
        <v>—</v>
      </c>
      <c r="K64" s="13" t="str">
        <f>_xll.BDH("ALNY US Equity","ARDR_GENERAL_ADMINISTRATIVE_EXP","FQ4 2020","FQ4 2020","Currency=USD","Period=FQ","BEST_FPERIOD_OVERRIDE=FQ","FILING_STATUS=MR","SCALING_FORMAT=MLN","Sort=A","Dates=H","DateFormat=P","Fill=—","Direction=H","UseDPDF=Y")</f>
        <v>—</v>
      </c>
      <c r="L64" s="13" t="str">
        <f>_xll.BDH("ALNY US Equity","ARDR_GENERAL_ADMINISTRATIVE_EXP","FQ1 2021","FQ1 2021","Currency=USD","Period=FQ","BEST_FPERIOD_OVERRIDE=FQ","FILING_STATUS=MR","SCALING_FORMAT=MLN","Sort=A","Dates=H","DateFormat=P","Fill=—","Direction=H","UseDPDF=Y")</f>
        <v>—</v>
      </c>
      <c r="M64" s="13" t="str">
        <f>_xll.BDH("ALNY US Equity","ARDR_GENERAL_ADMINISTRATIVE_EXP","FQ2 2021","FQ2 2021","Currency=USD","Period=FQ","BEST_FPERIOD_OVERRIDE=FQ","FILING_STATUS=MR","SCALING_FORMAT=MLN","Sort=A","Dates=H","DateFormat=P","Fill=—","Direction=H","UseDPDF=Y")</f>
        <v>—</v>
      </c>
      <c r="N64" s="13" t="str">
        <f>_xll.BDH("ALNY US Equity","ARDR_GENERAL_ADMINISTRATIVE_EXP","FQ3 2021","FQ3 2021","Currency=USD","Period=FQ","BEST_FPERIOD_OVERRIDE=FQ","FILING_STATUS=MR","SCALING_FORMAT=MLN","Sort=A","Dates=H","DateFormat=P","Fill=—","Direction=H","UseDPDF=Y")</f>
        <v>—</v>
      </c>
      <c r="O64" s="13" t="str">
        <f>_xll.BDH("ALNY US Equity","ARDR_GENERAL_ADMINISTRATIVE_EXP","FQ4 2021","FQ4 2021","Currency=USD","Period=FQ","BEST_FPERIOD_OVERRIDE=FQ","FILING_STATUS=MR","SCALING_FORMAT=MLN","Sort=A","Dates=H","DateFormat=P","Fill=—","Direction=H","UseDPDF=Y")</f>
        <v>—</v>
      </c>
      <c r="P64" s="13" t="str">
        <f>_xll.BDH("ALNY US Equity","ARDR_GENERAL_ADMINISTRATIVE_EXP","FQ1 2022","FQ1 2022","Currency=USD","Period=FQ","BEST_FPERIOD_OVERRIDE=FQ","FILING_STATUS=MR","SCALING_FORMAT=MLN","Sort=A","Dates=H","DateFormat=P","Fill=—","Direction=H","UseDPDF=Y")</f>
        <v>—</v>
      </c>
      <c r="Q64" s="13" t="str">
        <f>_xll.BDH("ALNY US Equity","ARDR_GENERAL_ADMINISTRATIVE_EXP","FQ2 2022","FQ2 2022","Currency=USD","Period=FQ","BEST_FPERIOD_OVERRIDE=FQ","FILING_STATUS=MR","SCALING_FORMAT=MLN","Sort=A","Dates=H","DateFormat=P","Fill=—","Direction=H","UseDPDF=Y")</f>
        <v>—</v>
      </c>
      <c r="R64" s="13" t="str">
        <f>_xll.BDH("ALNY US Equity","ARDR_GENERAL_ADMINISTRATIVE_EXP","FQ3 2022","FQ3 2022","Currency=USD","Period=FQ","BEST_FPERIOD_OVERRIDE=FQ","FILING_STATUS=MR","SCALING_FORMAT=MLN","Sort=A","Dates=H","DateFormat=P","Fill=—","Direction=H","UseDPDF=Y")</f>
        <v>—</v>
      </c>
      <c r="S64" s="13" t="str">
        <f>_xll.BDH("ALNY US Equity","ARDR_GENERAL_ADMINISTRATIVE_EXP","FQ4 2022","FQ4 2022","Currency=USD","Period=FQ","BEST_FPERIOD_OVERRIDE=FQ","FILING_STATUS=MR","SCALING_FORMAT=MLN","Sort=A","Dates=H","DateFormat=P","Fill=—","Direction=H","UseDPDF=Y")</f>
        <v>—</v>
      </c>
      <c r="T64" s="13" t="str">
        <f>_xll.BDH("ALNY US Equity","ARDR_GENERAL_ADMINISTRATIVE_EXP","FQ1 2023","FQ1 2023","Currency=USD","Period=FQ","BEST_FPERIOD_OVERRIDE=FQ","FILING_STATUS=MR","SCALING_FORMAT=MLN","Sort=A","Dates=H","DateFormat=P","Fill=—","Direction=H","UseDPDF=Y")</f>
        <v>—</v>
      </c>
      <c r="U64" s="13" t="str">
        <f>_xll.BDH("ALNY US Equity","ARDR_GENERAL_ADMINISTRATIVE_EXP","FQ2 2023","FQ2 2023","Currency=USD","Period=FQ","BEST_FPERIOD_OVERRIDE=FQ","FILING_STATUS=MR","SCALING_FORMAT=MLN","Sort=A","Dates=H","DateFormat=P","Fill=—","Direction=H","UseDPDF=Y")</f>
        <v>—</v>
      </c>
      <c r="V64" s="13" t="str">
        <f>_xll.BDH("ALNY US Equity","ARDR_GENERAL_ADMINISTRATIVE_EXP","FQ3 2023","FQ3 2023","Currency=USD","Period=FQ","BEST_FPERIOD_OVERRIDE=FQ","FILING_STATUS=MR","SCALING_FORMAT=MLN","Sort=A","Dates=H","DateFormat=P","Fill=—","Direction=H","UseDPDF=Y")</f>
        <v>—</v>
      </c>
      <c r="W64" s="13" t="str">
        <f>_xll.BDH("ALNY US Equity","ARDR_GENERAL_ADMINISTRATIVE_EXP","FQ4 2023","FQ4 2023","Currency=USD","Period=FQ","BEST_FPERIOD_OVERRIDE=FQ","FILING_STATUS=MR","SCALING_FORMAT=MLN","Sort=A","Dates=H","DateFormat=P","Fill=—","Direction=H","UseDPDF=Y")</f>
        <v>—</v>
      </c>
      <c r="X64" s="13" t="str">
        <f>_xll.BDH("ALNY US Equity","ARDR_GENERAL_ADMINISTRATIVE_EXP","FQ1 2024","FQ1 2024","Currency=USD","Period=FQ","BEST_FPERIOD_OVERRIDE=FQ","FILING_STATUS=MR","SCALING_FORMAT=MLN","Sort=A","Dates=H","DateFormat=P","Fill=—","Direction=H","UseDPDF=Y")</f>
        <v>—</v>
      </c>
      <c r="Y64" s="13" t="str">
        <f>_xll.BDH("ALNY US Equity","ARDR_GENERAL_ADMINISTRATIVE_EXP","FQ2 2024","FQ2 2024","Currency=USD","Period=FQ","BEST_FPERIOD_OVERRIDE=FQ","FILING_STATUS=MR","SCALING_FORMAT=MLN","Sort=A","Dates=H","DateFormat=P","Fill=—","Direction=H","UseDPDF=Y")</f>
        <v>—</v>
      </c>
      <c r="Z64" s="13" t="str">
        <f>_xll.BDH("ALNY US Equity","ARDR_GENERAL_ADMINISTRATIVE_EXP","FQ3 2024","FQ3 2024","Currency=USD","Period=FQ","BEST_FPERIOD_OVERRIDE=FQ","FILING_STATUS=MR","SCALING_FORMAT=MLN","Sort=A","Dates=H","DateFormat=P","Fill=—","Direction=H","UseDPDF=Y")</f>
        <v>—</v>
      </c>
      <c r="AA64" s="13" t="str">
        <f>_xll.BDH("ALNY US Equity","ARDR_GENERAL_ADMINISTRATIVE_EXP","FQ4 2024","FQ4 2024","Currency=USD","Period=FQ","BEST_FPERIOD_OVERRIDE=FQ","FILING_STATUS=MR","SCALING_FORMAT=MLN","Sort=A","Dates=H","DateFormat=P","Fill=—","Direction=H","UseDPDF=Y")</f>
        <v>—</v>
      </c>
    </row>
    <row r="65" spans="1:27" x14ac:dyDescent="0.25">
      <c r="A65" s="10" t="s">
        <v>503</v>
      </c>
      <c r="B65" s="10" t="s">
        <v>504</v>
      </c>
      <c r="C65" s="14" t="str">
        <f>_xll.BDH("ALNY US Equity","ARDR_BASIC_EPS_BEF_XO_ITEMS","FQ4 2018","FQ4 2018","Currency=USD","Period=FQ","BEST_FPERIOD_OVERRIDE=FQ","FILING_STATUS=MR","Sort=A","Dates=H","DateFormat=P","Fill=—","Direction=H","UseDPDF=Y")</f>
        <v>—</v>
      </c>
      <c r="D65" s="14" t="str">
        <f>_xll.BDH("ALNY US Equity","ARDR_BASIC_EPS_BEF_XO_ITEMS","FQ1 2019","FQ1 2019","Currency=USD","Period=FQ","BEST_FPERIOD_OVERRIDE=FQ","FILING_STATUS=MR","Sort=A","Dates=H","DateFormat=P","Fill=—","Direction=H","UseDPDF=Y")</f>
        <v>—</v>
      </c>
      <c r="E65" s="14" t="str">
        <f>_xll.BDH("ALNY US Equity","ARDR_BASIC_EPS_BEF_XO_ITEMS","FQ2 2019","FQ2 2019","Currency=USD","Period=FQ","BEST_FPERIOD_OVERRIDE=FQ","FILING_STATUS=MR","Sort=A","Dates=H","DateFormat=P","Fill=—","Direction=H","UseDPDF=Y")</f>
        <v>—</v>
      </c>
      <c r="F65" s="14" t="str">
        <f>_xll.BDH("ALNY US Equity","ARDR_BASIC_EPS_BEF_XO_ITEMS","FQ3 2019","FQ3 2019","Currency=USD","Period=FQ","BEST_FPERIOD_OVERRIDE=FQ","FILING_STATUS=MR","Sort=A","Dates=H","DateFormat=P","Fill=—","Direction=H","UseDPDF=Y")</f>
        <v>—</v>
      </c>
      <c r="G65" s="14" t="str">
        <f>_xll.BDH("ALNY US Equity","ARDR_BASIC_EPS_BEF_XO_ITEMS","FQ4 2019","FQ4 2019","Currency=USD","Period=FQ","BEST_FPERIOD_OVERRIDE=FQ","FILING_STATUS=MR","Sort=A","Dates=H","DateFormat=P","Fill=—","Direction=H","UseDPDF=Y")</f>
        <v>—</v>
      </c>
      <c r="H65" s="14" t="str">
        <f>_xll.BDH("ALNY US Equity","ARDR_BASIC_EPS_BEF_XO_ITEMS","FQ1 2020","FQ1 2020","Currency=USD","Period=FQ","BEST_FPERIOD_OVERRIDE=FQ","FILING_STATUS=MR","Sort=A","Dates=H","DateFormat=P","Fill=—","Direction=H","UseDPDF=Y")</f>
        <v>—</v>
      </c>
      <c r="I65" s="14" t="str">
        <f>_xll.BDH("ALNY US Equity","ARDR_BASIC_EPS_BEF_XO_ITEMS","FQ2 2020","FQ2 2020","Currency=USD","Period=FQ","BEST_FPERIOD_OVERRIDE=FQ","FILING_STATUS=MR","Sort=A","Dates=H","DateFormat=P","Fill=—","Direction=H","UseDPDF=Y")</f>
        <v>—</v>
      </c>
      <c r="J65" s="14" t="str">
        <f>_xll.BDH("ALNY US Equity","ARDR_BASIC_EPS_BEF_XO_ITEMS","FQ3 2020","FQ3 2020","Currency=USD","Period=FQ","BEST_FPERIOD_OVERRIDE=FQ","FILING_STATUS=MR","Sort=A","Dates=H","DateFormat=P","Fill=—","Direction=H","UseDPDF=Y")</f>
        <v>—</v>
      </c>
      <c r="K65" s="14" t="str">
        <f>_xll.BDH("ALNY US Equity","ARDR_BASIC_EPS_BEF_XO_ITEMS","FQ4 2020","FQ4 2020","Currency=USD","Period=FQ","BEST_FPERIOD_OVERRIDE=FQ","FILING_STATUS=MR","Sort=A","Dates=H","DateFormat=P","Fill=—","Direction=H","UseDPDF=Y")</f>
        <v>—</v>
      </c>
      <c r="L65" s="14" t="str">
        <f>_xll.BDH("ALNY US Equity","ARDR_BASIC_EPS_BEF_XO_ITEMS","FQ1 2021","FQ1 2021","Currency=USD","Period=FQ","BEST_FPERIOD_OVERRIDE=FQ","FILING_STATUS=MR","Sort=A","Dates=H","DateFormat=P","Fill=—","Direction=H","UseDPDF=Y")</f>
        <v>—</v>
      </c>
      <c r="M65" s="14" t="str">
        <f>_xll.BDH("ALNY US Equity","ARDR_BASIC_EPS_BEF_XO_ITEMS","FQ2 2021","FQ2 2021","Currency=USD","Period=FQ","BEST_FPERIOD_OVERRIDE=FQ","FILING_STATUS=MR","Sort=A","Dates=H","DateFormat=P","Fill=—","Direction=H","UseDPDF=Y")</f>
        <v>—</v>
      </c>
      <c r="N65" s="14" t="str">
        <f>_xll.BDH("ALNY US Equity","ARDR_BASIC_EPS_BEF_XO_ITEMS","FQ3 2021","FQ3 2021","Currency=USD","Period=FQ","BEST_FPERIOD_OVERRIDE=FQ","FILING_STATUS=MR","Sort=A","Dates=H","DateFormat=P","Fill=—","Direction=H","UseDPDF=Y")</f>
        <v>—</v>
      </c>
      <c r="O65" s="14" t="str">
        <f>_xll.BDH("ALNY US Equity","ARDR_BASIC_EPS_BEF_XO_ITEMS","FQ4 2021","FQ4 2021","Currency=USD","Period=FQ","BEST_FPERIOD_OVERRIDE=FQ","FILING_STATUS=MR","Sort=A","Dates=H","DateFormat=P","Fill=—","Direction=H","UseDPDF=Y")</f>
        <v>—</v>
      </c>
      <c r="P65" s="14" t="str">
        <f>_xll.BDH("ALNY US Equity","ARDR_BASIC_EPS_BEF_XO_ITEMS","FQ1 2022","FQ1 2022","Currency=USD","Period=FQ","BEST_FPERIOD_OVERRIDE=FQ","FILING_STATUS=MR","Sort=A","Dates=H","DateFormat=P","Fill=—","Direction=H","UseDPDF=Y")</f>
        <v>—</v>
      </c>
      <c r="Q65" s="14" t="str">
        <f>_xll.BDH("ALNY US Equity","ARDR_BASIC_EPS_BEF_XO_ITEMS","FQ2 2022","FQ2 2022","Currency=USD","Period=FQ","BEST_FPERIOD_OVERRIDE=FQ","FILING_STATUS=MR","Sort=A","Dates=H","DateFormat=P","Fill=—","Direction=H","UseDPDF=Y")</f>
        <v>—</v>
      </c>
      <c r="R65" s="14" t="str">
        <f>_xll.BDH("ALNY US Equity","ARDR_BASIC_EPS_BEF_XO_ITEMS","FQ3 2022","FQ3 2022","Currency=USD","Period=FQ","BEST_FPERIOD_OVERRIDE=FQ","FILING_STATUS=MR","Sort=A","Dates=H","DateFormat=P","Fill=—","Direction=H","UseDPDF=Y")</f>
        <v>—</v>
      </c>
      <c r="S65" s="14">
        <f>_xll.BDH("ALNY US Equity","ARDR_BASIC_EPS_BEF_XO_ITEMS","FQ4 2022","FQ4 2022","Currency=USD","Period=FQ","BEST_FPERIOD_OVERRIDE=FQ","FILING_STATUS=MR","Sort=A","Dates=H","DateFormat=P","Fill=—","Direction=H","UseDPDF=Y")</f>
        <v>-1.68</v>
      </c>
      <c r="T65" s="14" t="str">
        <f>_xll.BDH("ALNY US Equity","ARDR_BASIC_EPS_BEF_XO_ITEMS","FQ1 2023","FQ1 2023","Currency=USD","Period=FQ","BEST_FPERIOD_OVERRIDE=FQ","FILING_STATUS=MR","Sort=A","Dates=H","DateFormat=P","Fill=—","Direction=H","UseDPDF=Y")</f>
        <v>—</v>
      </c>
      <c r="U65" s="14" t="str">
        <f>_xll.BDH("ALNY US Equity","ARDR_BASIC_EPS_BEF_XO_ITEMS","FQ2 2023","FQ2 2023","Currency=USD","Period=FQ","BEST_FPERIOD_OVERRIDE=FQ","FILING_STATUS=MR","Sort=A","Dates=H","DateFormat=P","Fill=—","Direction=H","UseDPDF=Y")</f>
        <v>—</v>
      </c>
      <c r="V65" s="14" t="str">
        <f>_xll.BDH("ALNY US Equity","ARDR_BASIC_EPS_BEF_XO_ITEMS","FQ3 2023","FQ3 2023","Currency=USD","Period=FQ","BEST_FPERIOD_OVERRIDE=FQ","FILING_STATUS=MR","Sort=A","Dates=H","DateFormat=P","Fill=—","Direction=H","UseDPDF=Y")</f>
        <v>—</v>
      </c>
      <c r="W65" s="14">
        <f>_xll.BDH("ALNY US Equity","ARDR_BASIC_EPS_BEF_XO_ITEMS","FQ4 2023","FQ4 2023","Currency=USD","Period=FQ","BEST_FPERIOD_OVERRIDE=FQ","FILING_STATUS=MR","Sort=A","Dates=H","DateFormat=P","Fill=—","Direction=H","UseDPDF=Y")</f>
        <v>-1.1000000000000001</v>
      </c>
      <c r="X65" s="14" t="str">
        <f>_xll.BDH("ALNY US Equity","ARDR_BASIC_EPS_BEF_XO_ITEMS","FQ1 2024","FQ1 2024","Currency=USD","Period=FQ","BEST_FPERIOD_OVERRIDE=FQ","FILING_STATUS=MR","Sort=A","Dates=H","DateFormat=P","Fill=—","Direction=H","UseDPDF=Y")</f>
        <v>—</v>
      </c>
      <c r="Y65" s="14" t="str">
        <f>_xll.BDH("ALNY US Equity","ARDR_BASIC_EPS_BEF_XO_ITEMS","FQ2 2024","FQ2 2024","Currency=USD","Period=FQ","BEST_FPERIOD_OVERRIDE=FQ","FILING_STATUS=MR","Sort=A","Dates=H","DateFormat=P","Fill=—","Direction=H","UseDPDF=Y")</f>
        <v>—</v>
      </c>
      <c r="Z65" s="14" t="str">
        <f>_xll.BDH("ALNY US Equity","ARDR_BASIC_EPS_BEF_XO_ITEMS","FQ3 2024","FQ3 2024","Currency=USD","Period=FQ","BEST_FPERIOD_OVERRIDE=FQ","FILING_STATUS=MR","Sort=A","Dates=H","DateFormat=P","Fill=—","Direction=H","UseDPDF=Y")</f>
        <v>—</v>
      </c>
      <c r="AA65" s="14">
        <f>_xll.BDH("ALNY US Equity","ARDR_BASIC_EPS_BEF_XO_ITEMS","FQ4 2024","FQ4 2024","Currency=USD","Period=FQ","BEST_FPERIOD_OVERRIDE=FQ","FILING_STATUS=MR","Sort=A","Dates=H","DateFormat=P","Fill=—","Direction=H","UseDPDF=Y")</f>
        <v>-0.65</v>
      </c>
    </row>
    <row r="66" spans="1:27" x14ac:dyDescent="0.25">
      <c r="A66" s="10" t="s">
        <v>454</v>
      </c>
      <c r="B66" s="10" t="s">
        <v>505</v>
      </c>
      <c r="C66" s="14" t="str">
        <f>_xll.BDH("ALNY US Equity","ARDR_BASIC_EPS","FQ4 2018","FQ4 2018","Currency=USD","Period=FQ","BEST_FPERIOD_OVERRIDE=FQ","FILING_STATUS=MR","Sort=A","Dates=H","DateFormat=P","Fill=—","Direction=H","UseDPDF=Y")</f>
        <v>—</v>
      </c>
      <c r="D66" s="14" t="str">
        <f>_xll.BDH("ALNY US Equity","ARDR_BASIC_EPS","FQ1 2019","FQ1 2019","Currency=USD","Period=FQ","BEST_FPERIOD_OVERRIDE=FQ","FILING_STATUS=MR","Sort=A","Dates=H","DateFormat=P","Fill=—","Direction=H","UseDPDF=Y")</f>
        <v>—</v>
      </c>
      <c r="E66" s="14" t="str">
        <f>_xll.BDH("ALNY US Equity","ARDR_BASIC_EPS","FQ2 2019","FQ2 2019","Currency=USD","Period=FQ","BEST_FPERIOD_OVERRIDE=FQ","FILING_STATUS=MR","Sort=A","Dates=H","DateFormat=P","Fill=—","Direction=H","UseDPDF=Y")</f>
        <v>—</v>
      </c>
      <c r="F66" s="14" t="str">
        <f>_xll.BDH("ALNY US Equity","ARDR_BASIC_EPS","FQ3 2019","FQ3 2019","Currency=USD","Period=FQ","BEST_FPERIOD_OVERRIDE=FQ","FILING_STATUS=MR","Sort=A","Dates=H","DateFormat=P","Fill=—","Direction=H","UseDPDF=Y")</f>
        <v>—</v>
      </c>
      <c r="G66" s="14" t="str">
        <f>_xll.BDH("ALNY US Equity","ARDR_BASIC_EPS","FQ4 2019","FQ4 2019","Currency=USD","Period=FQ","BEST_FPERIOD_OVERRIDE=FQ","FILING_STATUS=MR","Sort=A","Dates=H","DateFormat=P","Fill=—","Direction=H","UseDPDF=Y")</f>
        <v>—</v>
      </c>
      <c r="H66" s="14" t="str">
        <f>_xll.BDH("ALNY US Equity","ARDR_BASIC_EPS","FQ1 2020","FQ1 2020","Currency=USD","Period=FQ","BEST_FPERIOD_OVERRIDE=FQ","FILING_STATUS=MR","Sort=A","Dates=H","DateFormat=P","Fill=—","Direction=H","UseDPDF=Y")</f>
        <v>—</v>
      </c>
      <c r="I66" s="14" t="str">
        <f>_xll.BDH("ALNY US Equity","ARDR_BASIC_EPS","FQ2 2020","FQ2 2020","Currency=USD","Period=FQ","BEST_FPERIOD_OVERRIDE=FQ","FILING_STATUS=MR","Sort=A","Dates=H","DateFormat=P","Fill=—","Direction=H","UseDPDF=Y")</f>
        <v>—</v>
      </c>
      <c r="J66" s="14" t="str">
        <f>_xll.BDH("ALNY US Equity","ARDR_BASIC_EPS","FQ3 2020","FQ3 2020","Currency=USD","Period=FQ","BEST_FPERIOD_OVERRIDE=FQ","FILING_STATUS=MR","Sort=A","Dates=H","DateFormat=P","Fill=—","Direction=H","UseDPDF=Y")</f>
        <v>—</v>
      </c>
      <c r="K66" s="14" t="str">
        <f>_xll.BDH("ALNY US Equity","ARDR_BASIC_EPS","FQ4 2020","FQ4 2020","Currency=USD","Period=FQ","BEST_FPERIOD_OVERRIDE=FQ","FILING_STATUS=MR","Sort=A","Dates=H","DateFormat=P","Fill=—","Direction=H","UseDPDF=Y")</f>
        <v>—</v>
      </c>
      <c r="L66" s="14" t="str">
        <f>_xll.BDH("ALNY US Equity","ARDR_BASIC_EPS","FQ1 2021","FQ1 2021","Currency=USD","Period=FQ","BEST_FPERIOD_OVERRIDE=FQ","FILING_STATUS=MR","Sort=A","Dates=H","DateFormat=P","Fill=—","Direction=H","UseDPDF=Y")</f>
        <v>—</v>
      </c>
      <c r="M66" s="14" t="str">
        <f>_xll.BDH("ALNY US Equity","ARDR_BASIC_EPS","FQ2 2021","FQ2 2021","Currency=USD","Period=FQ","BEST_FPERIOD_OVERRIDE=FQ","FILING_STATUS=MR","Sort=A","Dates=H","DateFormat=P","Fill=—","Direction=H","UseDPDF=Y")</f>
        <v>—</v>
      </c>
      <c r="N66" s="14" t="str">
        <f>_xll.BDH("ALNY US Equity","ARDR_BASIC_EPS","FQ3 2021","FQ3 2021","Currency=USD","Period=FQ","BEST_FPERIOD_OVERRIDE=FQ","FILING_STATUS=MR","Sort=A","Dates=H","DateFormat=P","Fill=—","Direction=H","UseDPDF=Y")</f>
        <v>—</v>
      </c>
      <c r="O66" s="14" t="str">
        <f>_xll.BDH("ALNY US Equity","ARDR_BASIC_EPS","FQ4 2021","FQ4 2021","Currency=USD","Period=FQ","BEST_FPERIOD_OVERRIDE=FQ","FILING_STATUS=MR","Sort=A","Dates=H","DateFormat=P","Fill=—","Direction=H","UseDPDF=Y")</f>
        <v>—</v>
      </c>
      <c r="P66" s="14" t="str">
        <f>_xll.BDH("ALNY US Equity","ARDR_BASIC_EPS","FQ1 2022","FQ1 2022","Currency=USD","Period=FQ","BEST_FPERIOD_OVERRIDE=FQ","FILING_STATUS=MR","Sort=A","Dates=H","DateFormat=P","Fill=—","Direction=H","UseDPDF=Y")</f>
        <v>—</v>
      </c>
      <c r="Q66" s="14" t="str">
        <f>_xll.BDH("ALNY US Equity","ARDR_BASIC_EPS","FQ2 2022","FQ2 2022","Currency=USD","Period=FQ","BEST_FPERIOD_OVERRIDE=FQ","FILING_STATUS=MR","Sort=A","Dates=H","DateFormat=P","Fill=—","Direction=H","UseDPDF=Y")</f>
        <v>—</v>
      </c>
      <c r="R66" s="14">
        <f>_xll.BDH("ALNY US Equity","ARDR_BASIC_EPS","FQ3 2022","FQ3 2022","Currency=USD","Period=FQ","BEST_FPERIOD_OVERRIDE=FQ","FILING_STATUS=MR","Sort=A","Dates=H","DateFormat=P","Fill=—","Direction=H","UseDPDF=Y")</f>
        <v>-3.32</v>
      </c>
      <c r="S66" s="14">
        <f>_xll.BDH("ALNY US Equity","ARDR_BASIC_EPS","FQ4 2022","FQ4 2022","Currency=USD","Period=FQ","BEST_FPERIOD_OVERRIDE=FQ","FILING_STATUS=MR","Sort=A","Dates=H","DateFormat=P","Fill=—","Direction=H","UseDPDF=Y")</f>
        <v>-1.68</v>
      </c>
      <c r="T66" s="14" t="str">
        <f>_xll.BDH("ALNY US Equity","ARDR_BASIC_EPS","FQ1 2023","FQ1 2023","Currency=USD","Period=FQ","BEST_FPERIOD_OVERRIDE=FQ","FILING_STATUS=MR","Sort=A","Dates=H","DateFormat=P","Fill=—","Direction=H","UseDPDF=Y")</f>
        <v>—</v>
      </c>
      <c r="U66" s="14">
        <f>_xll.BDH("ALNY US Equity","ARDR_BASIC_EPS","FQ2 2023","FQ2 2023","Currency=USD","Period=FQ","BEST_FPERIOD_OVERRIDE=FQ","FILING_STATUS=MR","Sort=A","Dates=H","DateFormat=P","Fill=—","Direction=H","UseDPDF=Y")</f>
        <v>-2.21</v>
      </c>
      <c r="V66" s="14">
        <f>_xll.BDH("ALNY US Equity","ARDR_BASIC_EPS","FQ3 2023","FQ3 2023","Currency=USD","Period=FQ","BEST_FPERIOD_OVERRIDE=FQ","FILING_STATUS=MR","Sort=A","Dates=H","DateFormat=P","Fill=—","Direction=H","UseDPDF=Y")</f>
        <v>1.18</v>
      </c>
      <c r="W66" s="14">
        <f>_xll.BDH("ALNY US Equity","ARDR_BASIC_EPS","FQ4 2023","FQ4 2023","Currency=USD","Period=FQ","BEST_FPERIOD_OVERRIDE=FQ","FILING_STATUS=MR","Sort=A","Dates=H","DateFormat=P","Fill=—","Direction=H","UseDPDF=Y")</f>
        <v>-1.1000000000000001</v>
      </c>
      <c r="X66" s="14" t="str">
        <f>_xll.BDH("ALNY US Equity","ARDR_BASIC_EPS","FQ1 2024","FQ1 2024","Currency=USD","Period=FQ","BEST_FPERIOD_OVERRIDE=FQ","FILING_STATUS=MR","Sort=A","Dates=H","DateFormat=P","Fill=—","Direction=H","UseDPDF=Y")</f>
        <v>—</v>
      </c>
      <c r="Y66" s="14">
        <f>_xll.BDH("ALNY US Equity","ARDR_BASIC_EPS","FQ2 2024","FQ2 2024","Currency=USD","Period=FQ","BEST_FPERIOD_OVERRIDE=FQ","FILING_STATUS=MR","Sort=A","Dates=H","DateFormat=P","Fill=—","Direction=H","UseDPDF=Y")</f>
        <v>-0.13</v>
      </c>
      <c r="Z66" s="14">
        <f>_xll.BDH("ALNY US Equity","ARDR_BASIC_EPS","FQ3 2024","FQ3 2024","Currency=USD","Period=FQ","BEST_FPERIOD_OVERRIDE=FQ","FILING_STATUS=MR","Sort=A","Dates=H","DateFormat=P","Fill=—","Direction=H","UseDPDF=Y")</f>
        <v>-0.87</v>
      </c>
      <c r="AA66" s="14">
        <f>_xll.BDH("ALNY US Equity","ARDR_BASIC_EPS","FQ4 2024","FQ4 2024","Currency=USD","Period=FQ","BEST_FPERIOD_OVERRIDE=FQ","FILING_STATUS=MR","Sort=A","Dates=H","DateFormat=P","Fill=—","Direction=H","UseDPDF=Y")</f>
        <v>-0.65</v>
      </c>
    </row>
    <row r="67" spans="1:27" x14ac:dyDescent="0.25">
      <c r="A67" s="10" t="s">
        <v>456</v>
      </c>
      <c r="B67" s="10" t="s">
        <v>506</v>
      </c>
      <c r="C67" s="13" t="str">
        <f>_xll.BDH("ALNY US Equity","ARDR_WEIGHTED_AVG_SHARES_BASIC","FQ4 2018","FQ4 2018","Currency=USD","Period=FQ","BEST_FPERIOD_OVERRIDE=FQ","FILING_STATUS=MR","Sort=A","Dates=H","DateFormat=P","Fill=—","Direction=H","UseDPDF=Y")</f>
        <v>—</v>
      </c>
      <c r="D67" s="13" t="str">
        <f>_xll.BDH("ALNY US Equity","ARDR_WEIGHTED_AVG_SHARES_BASIC","FQ1 2019","FQ1 2019","Currency=USD","Period=FQ","BEST_FPERIOD_OVERRIDE=FQ","FILING_STATUS=MR","Sort=A","Dates=H","DateFormat=P","Fill=—","Direction=H","UseDPDF=Y")</f>
        <v>—</v>
      </c>
      <c r="E67" s="13" t="str">
        <f>_xll.BDH("ALNY US Equity","ARDR_WEIGHTED_AVG_SHARES_BASIC","FQ2 2019","FQ2 2019","Currency=USD","Period=FQ","BEST_FPERIOD_OVERRIDE=FQ","FILING_STATUS=MR","Sort=A","Dates=H","DateFormat=P","Fill=—","Direction=H","UseDPDF=Y")</f>
        <v>—</v>
      </c>
      <c r="F67" s="13" t="str">
        <f>_xll.BDH("ALNY US Equity","ARDR_WEIGHTED_AVG_SHARES_BASIC","FQ3 2019","FQ3 2019","Currency=USD","Period=FQ","BEST_FPERIOD_OVERRIDE=FQ","FILING_STATUS=MR","Sort=A","Dates=H","DateFormat=P","Fill=—","Direction=H","UseDPDF=Y")</f>
        <v>—</v>
      </c>
      <c r="G67" s="13" t="str">
        <f>_xll.BDH("ALNY US Equity","ARDR_WEIGHTED_AVG_SHARES_BASIC","FQ4 2019","FQ4 2019","Currency=USD","Period=FQ","BEST_FPERIOD_OVERRIDE=FQ","FILING_STATUS=MR","Sort=A","Dates=H","DateFormat=P","Fill=—","Direction=H","UseDPDF=Y")</f>
        <v>—</v>
      </c>
      <c r="H67" s="13" t="str">
        <f>_xll.BDH("ALNY US Equity","ARDR_WEIGHTED_AVG_SHARES_BASIC","FQ1 2020","FQ1 2020","Currency=USD","Period=FQ","BEST_FPERIOD_OVERRIDE=FQ","FILING_STATUS=MR","Sort=A","Dates=H","DateFormat=P","Fill=—","Direction=H","UseDPDF=Y")</f>
        <v>—</v>
      </c>
      <c r="I67" s="13" t="str">
        <f>_xll.BDH("ALNY US Equity","ARDR_WEIGHTED_AVG_SHARES_BASIC","FQ2 2020","FQ2 2020","Currency=USD","Period=FQ","BEST_FPERIOD_OVERRIDE=FQ","FILING_STATUS=MR","Sort=A","Dates=H","DateFormat=P","Fill=—","Direction=H","UseDPDF=Y")</f>
        <v>—</v>
      </c>
      <c r="J67" s="13" t="str">
        <f>_xll.BDH("ALNY US Equity","ARDR_WEIGHTED_AVG_SHARES_BASIC","FQ3 2020","FQ3 2020","Currency=USD","Period=FQ","BEST_FPERIOD_OVERRIDE=FQ","FILING_STATUS=MR","Sort=A","Dates=H","DateFormat=P","Fill=—","Direction=H","UseDPDF=Y")</f>
        <v>—</v>
      </c>
      <c r="K67" s="13" t="str">
        <f>_xll.BDH("ALNY US Equity","ARDR_WEIGHTED_AVG_SHARES_BASIC","FQ4 2020","FQ4 2020","Currency=USD","Period=FQ","BEST_FPERIOD_OVERRIDE=FQ","FILING_STATUS=MR","Sort=A","Dates=H","DateFormat=P","Fill=—","Direction=H","UseDPDF=Y")</f>
        <v>—</v>
      </c>
      <c r="L67" s="13" t="str">
        <f>_xll.BDH("ALNY US Equity","ARDR_WEIGHTED_AVG_SHARES_BASIC","FQ1 2021","FQ1 2021","Currency=USD","Period=FQ","BEST_FPERIOD_OVERRIDE=FQ","FILING_STATUS=MR","Sort=A","Dates=H","DateFormat=P","Fill=—","Direction=H","UseDPDF=Y")</f>
        <v>—</v>
      </c>
      <c r="M67" s="13" t="str">
        <f>_xll.BDH("ALNY US Equity","ARDR_WEIGHTED_AVG_SHARES_BASIC","FQ2 2021","FQ2 2021","Currency=USD","Period=FQ","BEST_FPERIOD_OVERRIDE=FQ","FILING_STATUS=MR","Sort=A","Dates=H","DateFormat=P","Fill=—","Direction=H","UseDPDF=Y")</f>
        <v>—</v>
      </c>
      <c r="N67" s="13" t="str">
        <f>_xll.BDH("ALNY US Equity","ARDR_WEIGHTED_AVG_SHARES_BASIC","FQ3 2021","FQ3 2021","Currency=USD","Period=FQ","BEST_FPERIOD_OVERRIDE=FQ","FILING_STATUS=MR","Sort=A","Dates=H","DateFormat=P","Fill=—","Direction=H","UseDPDF=Y")</f>
        <v>—</v>
      </c>
      <c r="O67" s="13" t="str">
        <f>_xll.BDH("ALNY US Equity","ARDR_WEIGHTED_AVG_SHARES_BASIC","FQ4 2021","FQ4 2021","Currency=USD","Period=FQ","BEST_FPERIOD_OVERRIDE=FQ","FILING_STATUS=MR","Sort=A","Dates=H","DateFormat=P","Fill=—","Direction=H","UseDPDF=Y")</f>
        <v>—</v>
      </c>
      <c r="P67" s="13" t="str">
        <f>_xll.BDH("ALNY US Equity","ARDR_WEIGHTED_AVG_SHARES_BASIC","FQ1 2022","FQ1 2022","Currency=USD","Period=FQ","BEST_FPERIOD_OVERRIDE=FQ","FILING_STATUS=MR","Sort=A","Dates=H","DateFormat=P","Fill=—","Direction=H","UseDPDF=Y")</f>
        <v>—</v>
      </c>
      <c r="Q67" s="13" t="str">
        <f>_xll.BDH("ALNY US Equity","ARDR_WEIGHTED_AVG_SHARES_BASIC","FQ2 2022","FQ2 2022","Currency=USD","Period=FQ","BEST_FPERIOD_OVERRIDE=FQ","FILING_STATUS=MR","Sort=A","Dates=H","DateFormat=P","Fill=—","Direction=H","UseDPDF=Y")</f>
        <v>—</v>
      </c>
      <c r="R67" s="13">
        <f>_xll.BDH("ALNY US Equity","ARDR_WEIGHTED_AVG_SHARES_BASIC","FQ3 2022","FQ3 2022","Currency=USD","Period=FQ","BEST_FPERIOD_OVERRIDE=FQ","FILING_STATUS=MR","Sort=A","Dates=H","DateFormat=P","Fill=—","Direction=H","UseDPDF=Y")</f>
        <v>122.166</v>
      </c>
      <c r="S67" s="13">
        <f>_xll.BDH("ALNY US Equity","ARDR_WEIGHTED_AVG_SHARES_BASIC","FQ4 2022","FQ4 2022","Currency=USD","Period=FQ","BEST_FPERIOD_OVERRIDE=FQ","FILING_STATUS=MR","Sort=A","Dates=H","DateFormat=P","Fill=—","Direction=H","UseDPDF=Y")</f>
        <v>123.26600000000001</v>
      </c>
      <c r="T67" s="13" t="str">
        <f>_xll.BDH("ALNY US Equity","ARDR_WEIGHTED_AVG_SHARES_BASIC","FQ1 2023","FQ1 2023","Currency=USD","Period=FQ","BEST_FPERIOD_OVERRIDE=FQ","FILING_STATUS=MR","Sort=A","Dates=H","DateFormat=P","Fill=—","Direction=H","UseDPDF=Y")</f>
        <v>—</v>
      </c>
      <c r="U67" s="13">
        <f>_xll.BDH("ALNY US Equity","ARDR_WEIGHTED_AVG_SHARES_BASIC","FQ2 2023","FQ2 2023","Currency=USD","Period=FQ","BEST_FPERIOD_OVERRIDE=FQ","FILING_STATUS=MR","Sort=A","Dates=H","DateFormat=P","Fill=—","Direction=H","UseDPDF=Y")</f>
        <v>124.65900000000001</v>
      </c>
      <c r="V67" s="13">
        <f>_xll.BDH("ALNY US Equity","ARDR_WEIGHTED_AVG_SHARES_BASIC","FQ3 2023","FQ3 2023","Currency=USD","Period=FQ","BEST_FPERIOD_OVERRIDE=FQ","FILING_STATUS=MR","Sort=A","Dates=H","DateFormat=P","Fill=—","Direction=H","UseDPDF=Y")</f>
        <v>125.22</v>
      </c>
      <c r="W67" s="13">
        <f>_xll.BDH("ALNY US Equity","ARDR_WEIGHTED_AVG_SHARES_BASIC","FQ4 2023","FQ4 2023","Currency=USD","Period=FQ","BEST_FPERIOD_OVERRIDE=FQ","FILING_STATUS=MR","Sort=A","Dates=H","DateFormat=P","Fill=—","Direction=H","UseDPDF=Y")</f>
        <v>125.613</v>
      </c>
      <c r="X67" s="13" t="str">
        <f>_xll.BDH("ALNY US Equity","ARDR_WEIGHTED_AVG_SHARES_BASIC","FQ1 2024","FQ1 2024","Currency=USD","Period=FQ","BEST_FPERIOD_OVERRIDE=FQ","FILING_STATUS=MR","Sort=A","Dates=H","DateFormat=P","Fill=—","Direction=H","UseDPDF=Y")</f>
        <v>—</v>
      </c>
      <c r="Y67" s="13">
        <f>_xll.BDH("ALNY US Equity","ARDR_WEIGHTED_AVG_SHARES_BASIC","FQ2 2024","FQ2 2024","Currency=USD","Period=FQ","BEST_FPERIOD_OVERRIDE=FQ","FILING_STATUS=MR","Sort=A","Dates=H","DateFormat=P","Fill=—","Direction=H","UseDPDF=Y")</f>
        <v>126.733</v>
      </c>
      <c r="Z67" s="13">
        <f>_xll.BDH("ALNY US Equity","ARDR_WEIGHTED_AVG_SHARES_BASIC","FQ3 2024","FQ3 2024","Currency=USD","Period=FQ","BEST_FPERIOD_OVERRIDE=FQ","FILING_STATUS=MR","Sort=A","Dates=H","DateFormat=P","Fill=—","Direction=H","UseDPDF=Y")</f>
        <v>128.59</v>
      </c>
      <c r="AA67" s="13">
        <f>_xll.BDH("ALNY US Equity","ARDR_WEIGHTED_AVG_SHARES_BASIC","FQ4 2024","FQ4 2024","Currency=USD","Period=FQ","BEST_FPERIOD_OVERRIDE=FQ","FILING_STATUS=MR","Sort=A","Dates=H","DateFormat=P","Fill=—","Direction=H","UseDPDF=Y")</f>
        <v>129.11600000000001</v>
      </c>
    </row>
    <row r="68" spans="1:27" x14ac:dyDescent="0.25">
      <c r="A68" s="10" t="s">
        <v>507</v>
      </c>
      <c r="B68" s="10" t="s">
        <v>508</v>
      </c>
      <c r="C68" s="14" t="str">
        <f>_xll.BDH("ALNY US Equity","ARDR_DILUTED_EPS_BEF_XO_ITEMS","FQ4 2018","FQ4 2018","Currency=USD","Period=FQ","BEST_FPERIOD_OVERRIDE=FQ","FILING_STATUS=MR","Sort=A","Dates=H","DateFormat=P","Fill=—","Direction=H","UseDPDF=Y")</f>
        <v>—</v>
      </c>
      <c r="D68" s="14" t="str">
        <f>_xll.BDH("ALNY US Equity","ARDR_DILUTED_EPS_BEF_XO_ITEMS","FQ1 2019","FQ1 2019","Currency=USD","Period=FQ","BEST_FPERIOD_OVERRIDE=FQ","FILING_STATUS=MR","Sort=A","Dates=H","DateFormat=P","Fill=—","Direction=H","UseDPDF=Y")</f>
        <v>—</v>
      </c>
      <c r="E68" s="14" t="str">
        <f>_xll.BDH("ALNY US Equity","ARDR_DILUTED_EPS_BEF_XO_ITEMS","FQ2 2019","FQ2 2019","Currency=USD","Period=FQ","BEST_FPERIOD_OVERRIDE=FQ","FILING_STATUS=MR","Sort=A","Dates=H","DateFormat=P","Fill=—","Direction=H","UseDPDF=Y")</f>
        <v>—</v>
      </c>
      <c r="F68" s="14" t="str">
        <f>_xll.BDH("ALNY US Equity","ARDR_DILUTED_EPS_BEF_XO_ITEMS","FQ3 2019","FQ3 2019","Currency=USD","Period=FQ","BEST_FPERIOD_OVERRIDE=FQ","FILING_STATUS=MR","Sort=A","Dates=H","DateFormat=P","Fill=—","Direction=H","UseDPDF=Y")</f>
        <v>—</v>
      </c>
      <c r="G68" s="14" t="str">
        <f>_xll.BDH("ALNY US Equity","ARDR_DILUTED_EPS_BEF_XO_ITEMS","FQ4 2019","FQ4 2019","Currency=USD","Period=FQ","BEST_FPERIOD_OVERRIDE=FQ","FILING_STATUS=MR","Sort=A","Dates=H","DateFormat=P","Fill=—","Direction=H","UseDPDF=Y")</f>
        <v>—</v>
      </c>
      <c r="H68" s="14" t="str">
        <f>_xll.BDH("ALNY US Equity","ARDR_DILUTED_EPS_BEF_XO_ITEMS","FQ1 2020","FQ1 2020","Currency=USD","Period=FQ","BEST_FPERIOD_OVERRIDE=FQ","FILING_STATUS=MR","Sort=A","Dates=H","DateFormat=P","Fill=—","Direction=H","UseDPDF=Y")</f>
        <v>—</v>
      </c>
      <c r="I68" s="14" t="str">
        <f>_xll.BDH("ALNY US Equity","ARDR_DILUTED_EPS_BEF_XO_ITEMS","FQ2 2020","FQ2 2020","Currency=USD","Period=FQ","BEST_FPERIOD_OVERRIDE=FQ","FILING_STATUS=MR","Sort=A","Dates=H","DateFormat=P","Fill=—","Direction=H","UseDPDF=Y")</f>
        <v>—</v>
      </c>
      <c r="J68" s="14" t="str">
        <f>_xll.BDH("ALNY US Equity","ARDR_DILUTED_EPS_BEF_XO_ITEMS","FQ3 2020","FQ3 2020","Currency=USD","Period=FQ","BEST_FPERIOD_OVERRIDE=FQ","FILING_STATUS=MR","Sort=A","Dates=H","DateFormat=P","Fill=—","Direction=H","UseDPDF=Y")</f>
        <v>—</v>
      </c>
      <c r="K68" s="14" t="str">
        <f>_xll.BDH("ALNY US Equity","ARDR_DILUTED_EPS_BEF_XO_ITEMS","FQ4 2020","FQ4 2020","Currency=USD","Period=FQ","BEST_FPERIOD_OVERRIDE=FQ","FILING_STATUS=MR","Sort=A","Dates=H","DateFormat=P","Fill=—","Direction=H","UseDPDF=Y")</f>
        <v>—</v>
      </c>
      <c r="L68" s="14" t="str">
        <f>_xll.BDH("ALNY US Equity","ARDR_DILUTED_EPS_BEF_XO_ITEMS","FQ1 2021","FQ1 2021","Currency=USD","Period=FQ","BEST_FPERIOD_OVERRIDE=FQ","FILING_STATUS=MR","Sort=A","Dates=H","DateFormat=P","Fill=—","Direction=H","UseDPDF=Y")</f>
        <v>—</v>
      </c>
      <c r="M68" s="14" t="str">
        <f>_xll.BDH("ALNY US Equity","ARDR_DILUTED_EPS_BEF_XO_ITEMS","FQ2 2021","FQ2 2021","Currency=USD","Period=FQ","BEST_FPERIOD_OVERRIDE=FQ","FILING_STATUS=MR","Sort=A","Dates=H","DateFormat=P","Fill=—","Direction=H","UseDPDF=Y")</f>
        <v>—</v>
      </c>
      <c r="N68" s="14" t="str">
        <f>_xll.BDH("ALNY US Equity","ARDR_DILUTED_EPS_BEF_XO_ITEMS","FQ3 2021","FQ3 2021","Currency=USD","Period=FQ","BEST_FPERIOD_OVERRIDE=FQ","FILING_STATUS=MR","Sort=A","Dates=H","DateFormat=P","Fill=—","Direction=H","UseDPDF=Y")</f>
        <v>—</v>
      </c>
      <c r="O68" s="14" t="str">
        <f>_xll.BDH("ALNY US Equity","ARDR_DILUTED_EPS_BEF_XO_ITEMS","FQ4 2021","FQ4 2021","Currency=USD","Period=FQ","BEST_FPERIOD_OVERRIDE=FQ","FILING_STATUS=MR","Sort=A","Dates=H","DateFormat=P","Fill=—","Direction=H","UseDPDF=Y")</f>
        <v>—</v>
      </c>
      <c r="P68" s="14" t="str">
        <f>_xll.BDH("ALNY US Equity","ARDR_DILUTED_EPS_BEF_XO_ITEMS","FQ1 2022","FQ1 2022","Currency=USD","Period=FQ","BEST_FPERIOD_OVERRIDE=FQ","FILING_STATUS=MR","Sort=A","Dates=H","DateFormat=P","Fill=—","Direction=H","UseDPDF=Y")</f>
        <v>—</v>
      </c>
      <c r="Q68" s="14" t="str">
        <f>_xll.BDH("ALNY US Equity","ARDR_DILUTED_EPS_BEF_XO_ITEMS","FQ2 2022","FQ2 2022","Currency=USD","Period=FQ","BEST_FPERIOD_OVERRIDE=FQ","FILING_STATUS=MR","Sort=A","Dates=H","DateFormat=P","Fill=—","Direction=H","UseDPDF=Y")</f>
        <v>—</v>
      </c>
      <c r="R68" s="14" t="str">
        <f>_xll.BDH("ALNY US Equity","ARDR_DILUTED_EPS_BEF_XO_ITEMS","FQ3 2022","FQ3 2022","Currency=USD","Period=FQ","BEST_FPERIOD_OVERRIDE=FQ","FILING_STATUS=MR","Sort=A","Dates=H","DateFormat=P","Fill=—","Direction=H","UseDPDF=Y")</f>
        <v>—</v>
      </c>
      <c r="S68" s="14">
        <f>_xll.BDH("ALNY US Equity","ARDR_DILUTED_EPS_BEF_XO_ITEMS","FQ4 2022","FQ4 2022","Currency=USD","Period=FQ","BEST_FPERIOD_OVERRIDE=FQ","FILING_STATUS=MR","Sort=A","Dates=H","DateFormat=P","Fill=—","Direction=H","UseDPDF=Y")</f>
        <v>-1.68</v>
      </c>
      <c r="T68" s="14" t="str">
        <f>_xll.BDH("ALNY US Equity","ARDR_DILUTED_EPS_BEF_XO_ITEMS","FQ1 2023","FQ1 2023","Currency=USD","Period=FQ","BEST_FPERIOD_OVERRIDE=FQ","FILING_STATUS=MR","Sort=A","Dates=H","DateFormat=P","Fill=—","Direction=H","UseDPDF=Y")</f>
        <v>—</v>
      </c>
      <c r="U68" s="14" t="str">
        <f>_xll.BDH("ALNY US Equity","ARDR_DILUTED_EPS_BEF_XO_ITEMS","FQ2 2023","FQ2 2023","Currency=USD","Period=FQ","BEST_FPERIOD_OVERRIDE=FQ","FILING_STATUS=MR","Sort=A","Dates=H","DateFormat=P","Fill=—","Direction=H","UseDPDF=Y")</f>
        <v>—</v>
      </c>
      <c r="V68" s="14" t="str">
        <f>_xll.BDH("ALNY US Equity","ARDR_DILUTED_EPS_BEF_XO_ITEMS","FQ3 2023","FQ3 2023","Currency=USD","Period=FQ","BEST_FPERIOD_OVERRIDE=FQ","FILING_STATUS=MR","Sort=A","Dates=H","DateFormat=P","Fill=—","Direction=H","UseDPDF=Y")</f>
        <v>—</v>
      </c>
      <c r="W68" s="14">
        <f>_xll.BDH("ALNY US Equity","ARDR_DILUTED_EPS_BEF_XO_ITEMS","FQ4 2023","FQ4 2023","Currency=USD","Period=FQ","BEST_FPERIOD_OVERRIDE=FQ","FILING_STATUS=MR","Sort=A","Dates=H","DateFormat=P","Fill=—","Direction=H","UseDPDF=Y")</f>
        <v>-1.1000000000000001</v>
      </c>
      <c r="X68" s="14" t="str">
        <f>_xll.BDH("ALNY US Equity","ARDR_DILUTED_EPS_BEF_XO_ITEMS","FQ1 2024","FQ1 2024","Currency=USD","Period=FQ","BEST_FPERIOD_OVERRIDE=FQ","FILING_STATUS=MR","Sort=A","Dates=H","DateFormat=P","Fill=—","Direction=H","UseDPDF=Y")</f>
        <v>—</v>
      </c>
      <c r="Y68" s="14" t="str">
        <f>_xll.BDH("ALNY US Equity","ARDR_DILUTED_EPS_BEF_XO_ITEMS","FQ2 2024","FQ2 2024","Currency=USD","Period=FQ","BEST_FPERIOD_OVERRIDE=FQ","FILING_STATUS=MR","Sort=A","Dates=H","DateFormat=P","Fill=—","Direction=H","UseDPDF=Y")</f>
        <v>—</v>
      </c>
      <c r="Z68" s="14" t="str">
        <f>_xll.BDH("ALNY US Equity","ARDR_DILUTED_EPS_BEF_XO_ITEMS","FQ3 2024","FQ3 2024","Currency=USD","Period=FQ","BEST_FPERIOD_OVERRIDE=FQ","FILING_STATUS=MR","Sort=A","Dates=H","DateFormat=P","Fill=—","Direction=H","UseDPDF=Y")</f>
        <v>—</v>
      </c>
      <c r="AA68" s="14">
        <f>_xll.BDH("ALNY US Equity","ARDR_DILUTED_EPS_BEF_XO_ITEMS","FQ4 2024","FQ4 2024","Currency=USD","Period=FQ","BEST_FPERIOD_OVERRIDE=FQ","FILING_STATUS=MR","Sort=A","Dates=H","DateFormat=P","Fill=—","Direction=H","UseDPDF=Y")</f>
        <v>-0.65</v>
      </c>
    </row>
    <row r="69" spans="1:27" x14ac:dyDescent="0.25">
      <c r="A69" s="10" t="s">
        <v>458</v>
      </c>
      <c r="B69" s="10" t="s">
        <v>509</v>
      </c>
      <c r="C69" s="14" t="str">
        <f>_xll.BDH("ALNY US Equity","ARDR_DILUTED_EPS","FQ4 2018","FQ4 2018","Currency=USD","Period=FQ","BEST_FPERIOD_OVERRIDE=FQ","FILING_STATUS=MR","Sort=A","Dates=H","DateFormat=P","Fill=—","Direction=H","UseDPDF=Y")</f>
        <v>—</v>
      </c>
      <c r="D69" s="14" t="str">
        <f>_xll.BDH("ALNY US Equity","ARDR_DILUTED_EPS","FQ1 2019","FQ1 2019","Currency=USD","Period=FQ","BEST_FPERIOD_OVERRIDE=FQ","FILING_STATUS=MR","Sort=A","Dates=H","DateFormat=P","Fill=—","Direction=H","UseDPDF=Y")</f>
        <v>—</v>
      </c>
      <c r="E69" s="14" t="str">
        <f>_xll.BDH("ALNY US Equity","ARDR_DILUTED_EPS","FQ2 2019","FQ2 2019","Currency=USD","Period=FQ","BEST_FPERIOD_OVERRIDE=FQ","FILING_STATUS=MR","Sort=A","Dates=H","DateFormat=P","Fill=—","Direction=H","UseDPDF=Y")</f>
        <v>—</v>
      </c>
      <c r="F69" s="14" t="str">
        <f>_xll.BDH("ALNY US Equity","ARDR_DILUTED_EPS","FQ3 2019","FQ3 2019","Currency=USD","Period=FQ","BEST_FPERIOD_OVERRIDE=FQ","FILING_STATUS=MR","Sort=A","Dates=H","DateFormat=P","Fill=—","Direction=H","UseDPDF=Y")</f>
        <v>—</v>
      </c>
      <c r="G69" s="14" t="str">
        <f>_xll.BDH("ALNY US Equity","ARDR_DILUTED_EPS","FQ4 2019","FQ4 2019","Currency=USD","Period=FQ","BEST_FPERIOD_OVERRIDE=FQ","FILING_STATUS=MR","Sort=A","Dates=H","DateFormat=P","Fill=—","Direction=H","UseDPDF=Y")</f>
        <v>—</v>
      </c>
      <c r="H69" s="14" t="str">
        <f>_xll.BDH("ALNY US Equity","ARDR_DILUTED_EPS","FQ1 2020","FQ1 2020","Currency=USD","Period=FQ","BEST_FPERIOD_OVERRIDE=FQ","FILING_STATUS=MR","Sort=A","Dates=H","DateFormat=P","Fill=—","Direction=H","UseDPDF=Y")</f>
        <v>—</v>
      </c>
      <c r="I69" s="14" t="str">
        <f>_xll.BDH("ALNY US Equity","ARDR_DILUTED_EPS","FQ2 2020","FQ2 2020","Currency=USD","Period=FQ","BEST_FPERIOD_OVERRIDE=FQ","FILING_STATUS=MR","Sort=A","Dates=H","DateFormat=P","Fill=—","Direction=H","UseDPDF=Y")</f>
        <v>—</v>
      </c>
      <c r="J69" s="14" t="str">
        <f>_xll.BDH("ALNY US Equity","ARDR_DILUTED_EPS","FQ3 2020","FQ3 2020","Currency=USD","Period=FQ","BEST_FPERIOD_OVERRIDE=FQ","FILING_STATUS=MR","Sort=A","Dates=H","DateFormat=P","Fill=—","Direction=H","UseDPDF=Y")</f>
        <v>—</v>
      </c>
      <c r="K69" s="14" t="str">
        <f>_xll.BDH("ALNY US Equity","ARDR_DILUTED_EPS","FQ4 2020","FQ4 2020","Currency=USD","Period=FQ","BEST_FPERIOD_OVERRIDE=FQ","FILING_STATUS=MR","Sort=A","Dates=H","DateFormat=P","Fill=—","Direction=H","UseDPDF=Y")</f>
        <v>—</v>
      </c>
      <c r="L69" s="14" t="str">
        <f>_xll.BDH("ALNY US Equity","ARDR_DILUTED_EPS","FQ1 2021","FQ1 2021","Currency=USD","Period=FQ","BEST_FPERIOD_OVERRIDE=FQ","FILING_STATUS=MR","Sort=A","Dates=H","DateFormat=P","Fill=—","Direction=H","UseDPDF=Y")</f>
        <v>—</v>
      </c>
      <c r="M69" s="14" t="str">
        <f>_xll.BDH("ALNY US Equity","ARDR_DILUTED_EPS","FQ2 2021","FQ2 2021","Currency=USD","Period=FQ","BEST_FPERIOD_OVERRIDE=FQ","FILING_STATUS=MR","Sort=A","Dates=H","DateFormat=P","Fill=—","Direction=H","UseDPDF=Y")</f>
        <v>—</v>
      </c>
      <c r="N69" s="14" t="str">
        <f>_xll.BDH("ALNY US Equity","ARDR_DILUTED_EPS","FQ3 2021","FQ3 2021","Currency=USD","Period=FQ","BEST_FPERIOD_OVERRIDE=FQ","FILING_STATUS=MR","Sort=A","Dates=H","DateFormat=P","Fill=—","Direction=H","UseDPDF=Y")</f>
        <v>—</v>
      </c>
      <c r="O69" s="14" t="str">
        <f>_xll.BDH("ALNY US Equity","ARDR_DILUTED_EPS","FQ4 2021","FQ4 2021","Currency=USD","Period=FQ","BEST_FPERIOD_OVERRIDE=FQ","FILING_STATUS=MR","Sort=A","Dates=H","DateFormat=P","Fill=—","Direction=H","UseDPDF=Y")</f>
        <v>—</v>
      </c>
      <c r="P69" s="14" t="str">
        <f>_xll.BDH("ALNY US Equity","ARDR_DILUTED_EPS","FQ1 2022","FQ1 2022","Currency=USD","Period=FQ","BEST_FPERIOD_OVERRIDE=FQ","FILING_STATUS=MR","Sort=A","Dates=H","DateFormat=P","Fill=—","Direction=H","UseDPDF=Y")</f>
        <v>—</v>
      </c>
      <c r="Q69" s="14" t="str">
        <f>_xll.BDH("ALNY US Equity","ARDR_DILUTED_EPS","FQ2 2022","FQ2 2022","Currency=USD","Period=FQ","BEST_FPERIOD_OVERRIDE=FQ","FILING_STATUS=MR","Sort=A","Dates=H","DateFormat=P","Fill=—","Direction=H","UseDPDF=Y")</f>
        <v>—</v>
      </c>
      <c r="R69" s="14">
        <f>_xll.BDH("ALNY US Equity","ARDR_DILUTED_EPS","FQ3 2022","FQ3 2022","Currency=USD","Period=FQ","BEST_FPERIOD_OVERRIDE=FQ","FILING_STATUS=MR","Sort=A","Dates=H","DateFormat=P","Fill=—","Direction=H","UseDPDF=Y")</f>
        <v>-3.32</v>
      </c>
      <c r="S69" s="14">
        <f>_xll.BDH("ALNY US Equity","ARDR_DILUTED_EPS","FQ4 2022","FQ4 2022","Currency=USD","Period=FQ","BEST_FPERIOD_OVERRIDE=FQ","FILING_STATUS=MR","Sort=A","Dates=H","DateFormat=P","Fill=—","Direction=H","UseDPDF=Y")</f>
        <v>-1.68</v>
      </c>
      <c r="T69" s="14">
        <f>_xll.BDH("ALNY US Equity","ARDR_DILUTED_EPS","FQ1 2023","FQ1 2023","Currency=USD","Period=FQ","BEST_FPERIOD_OVERRIDE=FQ","FILING_STATUS=MR","Sort=A","Dates=H","DateFormat=P","Fill=—","Direction=H","UseDPDF=Y")</f>
        <v>-1.4</v>
      </c>
      <c r="U69" s="14">
        <f>_xll.BDH("ALNY US Equity","ARDR_DILUTED_EPS","FQ2 2023","FQ2 2023","Currency=USD","Period=FQ","BEST_FPERIOD_OVERRIDE=FQ","FILING_STATUS=MR","Sort=A","Dates=H","DateFormat=P","Fill=—","Direction=H","UseDPDF=Y")</f>
        <v>-2.21</v>
      </c>
      <c r="V69" s="14">
        <f>_xll.BDH("ALNY US Equity","ARDR_DILUTED_EPS","FQ3 2023","FQ3 2023","Currency=USD","Period=FQ","BEST_FPERIOD_OVERRIDE=FQ","FILING_STATUS=MR","Sort=A","Dates=H","DateFormat=P","Fill=—","Direction=H","UseDPDF=Y")</f>
        <v>1.1499999999999999</v>
      </c>
      <c r="W69" s="14">
        <f>_xll.BDH("ALNY US Equity","ARDR_DILUTED_EPS","FQ4 2023","FQ4 2023","Currency=USD","Period=FQ","BEST_FPERIOD_OVERRIDE=FQ","FILING_STATUS=MR","Sort=A","Dates=H","DateFormat=P","Fill=—","Direction=H","UseDPDF=Y")</f>
        <v>-1.1000000000000001</v>
      </c>
      <c r="X69" s="14">
        <f>_xll.BDH("ALNY US Equity","ARDR_DILUTED_EPS","FQ1 2024","FQ1 2024","Currency=USD","Period=FQ","BEST_FPERIOD_OVERRIDE=FQ","FILING_STATUS=MR","Sort=A","Dates=H","DateFormat=P","Fill=—","Direction=H","UseDPDF=Y")</f>
        <v>-0.52</v>
      </c>
      <c r="Y69" s="14">
        <f>_xll.BDH("ALNY US Equity","ARDR_DILUTED_EPS","FQ2 2024","FQ2 2024","Currency=USD","Period=FQ","BEST_FPERIOD_OVERRIDE=FQ","FILING_STATUS=MR","Sort=A","Dates=H","DateFormat=P","Fill=—","Direction=H","UseDPDF=Y")</f>
        <v>-0.13</v>
      </c>
      <c r="Z69" s="14">
        <f>_xll.BDH("ALNY US Equity","ARDR_DILUTED_EPS","FQ3 2024","FQ3 2024","Currency=USD","Period=FQ","BEST_FPERIOD_OVERRIDE=FQ","FILING_STATUS=MR","Sort=A","Dates=H","DateFormat=P","Fill=—","Direction=H","UseDPDF=Y")</f>
        <v>-0.87</v>
      </c>
      <c r="AA69" s="14">
        <f>_xll.BDH("ALNY US Equity","ARDR_DILUTED_EPS","FQ4 2024","FQ4 2024","Currency=USD","Period=FQ","BEST_FPERIOD_OVERRIDE=FQ","FILING_STATUS=MR","Sort=A","Dates=H","DateFormat=P","Fill=—","Direction=H","UseDPDF=Y")</f>
        <v>-0.65</v>
      </c>
    </row>
    <row r="70" spans="1:27" x14ac:dyDescent="0.25">
      <c r="A70" s="10" t="s">
        <v>460</v>
      </c>
      <c r="B70" s="10" t="s">
        <v>510</v>
      </c>
      <c r="C70" s="13" t="str">
        <f>_xll.BDH("ALNY US Equity","ARDR_WEIGHTED_AVG_SHARE_DILUTED","FQ4 2018","FQ4 2018","Currency=USD","Period=FQ","BEST_FPERIOD_OVERRIDE=FQ","FILING_STATUS=MR","Sort=A","Dates=H","DateFormat=P","Fill=—","Direction=H","UseDPDF=Y")</f>
        <v>—</v>
      </c>
      <c r="D70" s="13" t="str">
        <f>_xll.BDH("ALNY US Equity","ARDR_WEIGHTED_AVG_SHARE_DILUTED","FQ1 2019","FQ1 2019","Currency=USD","Period=FQ","BEST_FPERIOD_OVERRIDE=FQ","FILING_STATUS=MR","Sort=A","Dates=H","DateFormat=P","Fill=—","Direction=H","UseDPDF=Y")</f>
        <v>—</v>
      </c>
      <c r="E70" s="13" t="str">
        <f>_xll.BDH("ALNY US Equity","ARDR_WEIGHTED_AVG_SHARE_DILUTED","FQ2 2019","FQ2 2019","Currency=USD","Period=FQ","BEST_FPERIOD_OVERRIDE=FQ","FILING_STATUS=MR","Sort=A","Dates=H","DateFormat=P","Fill=—","Direction=H","UseDPDF=Y")</f>
        <v>—</v>
      </c>
      <c r="F70" s="13" t="str">
        <f>_xll.BDH("ALNY US Equity","ARDR_WEIGHTED_AVG_SHARE_DILUTED","FQ3 2019","FQ3 2019","Currency=USD","Period=FQ","BEST_FPERIOD_OVERRIDE=FQ","FILING_STATUS=MR","Sort=A","Dates=H","DateFormat=P","Fill=—","Direction=H","UseDPDF=Y")</f>
        <v>—</v>
      </c>
      <c r="G70" s="13" t="str">
        <f>_xll.BDH("ALNY US Equity","ARDR_WEIGHTED_AVG_SHARE_DILUTED","FQ4 2019","FQ4 2019","Currency=USD","Period=FQ","BEST_FPERIOD_OVERRIDE=FQ","FILING_STATUS=MR","Sort=A","Dates=H","DateFormat=P","Fill=—","Direction=H","UseDPDF=Y")</f>
        <v>—</v>
      </c>
      <c r="H70" s="13" t="str">
        <f>_xll.BDH("ALNY US Equity","ARDR_WEIGHTED_AVG_SHARE_DILUTED","FQ1 2020","FQ1 2020","Currency=USD","Period=FQ","BEST_FPERIOD_OVERRIDE=FQ","FILING_STATUS=MR","Sort=A","Dates=H","DateFormat=P","Fill=—","Direction=H","UseDPDF=Y")</f>
        <v>—</v>
      </c>
      <c r="I70" s="13" t="str">
        <f>_xll.BDH("ALNY US Equity","ARDR_WEIGHTED_AVG_SHARE_DILUTED","FQ2 2020","FQ2 2020","Currency=USD","Period=FQ","BEST_FPERIOD_OVERRIDE=FQ","FILING_STATUS=MR","Sort=A","Dates=H","DateFormat=P","Fill=—","Direction=H","UseDPDF=Y")</f>
        <v>—</v>
      </c>
      <c r="J70" s="13" t="str">
        <f>_xll.BDH("ALNY US Equity","ARDR_WEIGHTED_AVG_SHARE_DILUTED","FQ3 2020","FQ3 2020","Currency=USD","Period=FQ","BEST_FPERIOD_OVERRIDE=FQ","FILING_STATUS=MR","Sort=A","Dates=H","DateFormat=P","Fill=—","Direction=H","UseDPDF=Y")</f>
        <v>—</v>
      </c>
      <c r="K70" s="13" t="str">
        <f>_xll.BDH("ALNY US Equity","ARDR_WEIGHTED_AVG_SHARE_DILUTED","FQ4 2020","FQ4 2020","Currency=USD","Period=FQ","BEST_FPERIOD_OVERRIDE=FQ","FILING_STATUS=MR","Sort=A","Dates=H","DateFormat=P","Fill=—","Direction=H","UseDPDF=Y")</f>
        <v>—</v>
      </c>
      <c r="L70" s="13" t="str">
        <f>_xll.BDH("ALNY US Equity","ARDR_WEIGHTED_AVG_SHARE_DILUTED","FQ1 2021","FQ1 2021","Currency=USD","Period=FQ","BEST_FPERIOD_OVERRIDE=FQ","FILING_STATUS=MR","Sort=A","Dates=H","DateFormat=P","Fill=—","Direction=H","UseDPDF=Y")</f>
        <v>—</v>
      </c>
      <c r="M70" s="13" t="str">
        <f>_xll.BDH("ALNY US Equity","ARDR_WEIGHTED_AVG_SHARE_DILUTED","FQ2 2021","FQ2 2021","Currency=USD","Period=FQ","BEST_FPERIOD_OVERRIDE=FQ","FILING_STATUS=MR","Sort=A","Dates=H","DateFormat=P","Fill=—","Direction=H","UseDPDF=Y")</f>
        <v>—</v>
      </c>
      <c r="N70" s="13" t="str">
        <f>_xll.BDH("ALNY US Equity","ARDR_WEIGHTED_AVG_SHARE_DILUTED","FQ3 2021","FQ3 2021","Currency=USD","Period=FQ","BEST_FPERIOD_OVERRIDE=FQ","FILING_STATUS=MR","Sort=A","Dates=H","DateFormat=P","Fill=—","Direction=H","UseDPDF=Y")</f>
        <v>—</v>
      </c>
      <c r="O70" s="13" t="str">
        <f>_xll.BDH("ALNY US Equity","ARDR_WEIGHTED_AVG_SHARE_DILUTED","FQ4 2021","FQ4 2021","Currency=USD","Period=FQ","BEST_FPERIOD_OVERRIDE=FQ","FILING_STATUS=MR","Sort=A","Dates=H","DateFormat=P","Fill=—","Direction=H","UseDPDF=Y")</f>
        <v>—</v>
      </c>
      <c r="P70" s="13" t="str">
        <f>_xll.BDH("ALNY US Equity","ARDR_WEIGHTED_AVG_SHARE_DILUTED","FQ1 2022","FQ1 2022","Currency=USD","Period=FQ","BEST_FPERIOD_OVERRIDE=FQ","FILING_STATUS=MR","Sort=A","Dates=H","DateFormat=P","Fill=—","Direction=H","UseDPDF=Y")</f>
        <v>—</v>
      </c>
      <c r="Q70" s="13" t="str">
        <f>_xll.BDH("ALNY US Equity","ARDR_WEIGHTED_AVG_SHARE_DILUTED","FQ2 2022","FQ2 2022","Currency=USD","Period=FQ","BEST_FPERIOD_OVERRIDE=FQ","FILING_STATUS=MR","Sort=A","Dates=H","DateFormat=P","Fill=—","Direction=H","UseDPDF=Y")</f>
        <v>—</v>
      </c>
      <c r="R70" s="13">
        <f>_xll.BDH("ALNY US Equity","ARDR_WEIGHTED_AVG_SHARE_DILUTED","FQ3 2022","FQ3 2022","Currency=USD","Period=FQ","BEST_FPERIOD_OVERRIDE=FQ","FILING_STATUS=MR","Sort=A","Dates=H","DateFormat=P","Fill=—","Direction=H","UseDPDF=Y")</f>
        <v>122.166</v>
      </c>
      <c r="S70" s="13">
        <f>_xll.BDH("ALNY US Equity","ARDR_WEIGHTED_AVG_SHARE_DILUTED","FQ4 2022","FQ4 2022","Currency=USD","Period=FQ","BEST_FPERIOD_OVERRIDE=FQ","FILING_STATUS=MR","Sort=A","Dates=H","DateFormat=P","Fill=—","Direction=H","UseDPDF=Y")</f>
        <v>123.26600000000001</v>
      </c>
      <c r="T70" s="13">
        <f>_xll.BDH("ALNY US Equity","ARDR_WEIGHTED_AVG_SHARE_DILUTED","FQ1 2023","FQ1 2023","Currency=USD","Period=FQ","BEST_FPERIOD_OVERRIDE=FQ","FILING_STATUS=MR","Sort=A","Dates=H","DateFormat=P","Fill=—","Direction=H","UseDPDF=Y")</f>
        <v>124.111</v>
      </c>
      <c r="U70" s="13">
        <f>_xll.BDH("ALNY US Equity","ARDR_WEIGHTED_AVG_SHARE_DILUTED","FQ2 2023","FQ2 2023","Currency=USD","Period=FQ","BEST_FPERIOD_OVERRIDE=FQ","FILING_STATUS=MR","Sort=A","Dates=H","DateFormat=P","Fill=—","Direction=H","UseDPDF=Y")</f>
        <v>124.65900000000001</v>
      </c>
      <c r="V70" s="13">
        <f>_xll.BDH("ALNY US Equity","ARDR_WEIGHTED_AVG_SHARE_DILUTED","FQ3 2023","FQ3 2023","Currency=USD","Period=FQ","BEST_FPERIOD_OVERRIDE=FQ","FILING_STATUS=MR","Sort=A","Dates=H","DateFormat=P","Fill=—","Direction=H","UseDPDF=Y")</f>
        <v>131.33699999999999</v>
      </c>
      <c r="W70" s="13">
        <f>_xll.BDH("ALNY US Equity","ARDR_WEIGHTED_AVG_SHARE_DILUTED","FQ4 2023","FQ4 2023","Currency=USD","Period=FQ","BEST_FPERIOD_OVERRIDE=FQ","FILING_STATUS=MR","Sort=A","Dates=H","DateFormat=P","Fill=—","Direction=H","UseDPDF=Y")</f>
        <v>125.613</v>
      </c>
      <c r="X70" s="13">
        <f>_xll.BDH("ALNY US Equity","ARDR_WEIGHTED_AVG_SHARE_DILUTED","FQ1 2024","FQ1 2024","Currency=USD","Period=FQ","BEST_FPERIOD_OVERRIDE=FQ","FILING_STATUS=MR","Sort=A","Dates=H","DateFormat=P","Fill=—","Direction=H","UseDPDF=Y")</f>
        <v>126.13800000000001</v>
      </c>
      <c r="Y70" s="13">
        <f>_xll.BDH("ALNY US Equity","ARDR_WEIGHTED_AVG_SHARE_DILUTED","FQ2 2024","FQ2 2024","Currency=USD","Period=FQ","BEST_FPERIOD_OVERRIDE=FQ","FILING_STATUS=MR","Sort=A","Dates=H","DateFormat=P","Fill=—","Direction=H","UseDPDF=Y")</f>
        <v>126.733</v>
      </c>
      <c r="Z70" s="13">
        <f>_xll.BDH("ALNY US Equity","ARDR_WEIGHTED_AVG_SHARE_DILUTED","FQ3 2024","FQ3 2024","Currency=USD","Period=FQ","BEST_FPERIOD_OVERRIDE=FQ","FILING_STATUS=MR","Sort=A","Dates=H","DateFormat=P","Fill=—","Direction=H","UseDPDF=Y")</f>
        <v>128.59</v>
      </c>
      <c r="AA70" s="13">
        <f>_xll.BDH("ALNY US Equity","ARDR_WEIGHTED_AVG_SHARE_DILUTED","FQ4 2024","FQ4 2024","Currency=USD","Period=FQ","BEST_FPERIOD_OVERRIDE=FQ","FILING_STATUS=MR","Sort=A","Dates=H","DateFormat=P","Fill=—","Direction=H","UseDPDF=Y")</f>
        <v>129.11600000000001</v>
      </c>
    </row>
    <row r="71" spans="1:27" x14ac:dyDescent="0.25">
      <c r="A71" s="10" t="s">
        <v>511</v>
      </c>
      <c r="B71" s="10" t="s">
        <v>512</v>
      </c>
      <c r="C71" s="13" t="str">
        <f>_xll.BDH("ALNY US Equity","ARDR_CURRENT_RENTAL_EXP","FQ4 2018","FQ4 2018","Currency=USD","Period=FQ","BEST_FPERIOD_OVERRIDE=FQ","FILING_STATUS=MR","SCALING_FORMAT=MLN","Sort=A","Dates=H","DateFormat=P","Fill=—","Direction=H","UseDPDF=Y")</f>
        <v>—</v>
      </c>
      <c r="D71" s="13">
        <f>_xll.BDH("ALNY US Equity","ARDR_CURRENT_RENTAL_EXP","FQ1 2019","FQ1 2019","Currency=USD","Period=FQ","BEST_FPERIOD_OVERRIDE=FQ","FILING_STATUS=MR","SCALING_FORMAT=MLN","Sort=A","Dates=H","DateFormat=P","Fill=—","Direction=H","UseDPDF=Y")</f>
        <v>14.337</v>
      </c>
      <c r="E71" s="13">
        <f>_xll.BDH("ALNY US Equity","ARDR_CURRENT_RENTAL_EXP","FQ2 2019","FQ2 2019","Currency=USD","Period=FQ","BEST_FPERIOD_OVERRIDE=FQ","FILING_STATUS=MR","SCALING_FORMAT=MLN","Sort=A","Dates=H","DateFormat=P","Fill=—","Direction=H","UseDPDF=Y")</f>
        <v>13.776999999999999</v>
      </c>
      <c r="F71" s="13">
        <f>_xll.BDH("ALNY US Equity","ARDR_CURRENT_RENTAL_EXP","FQ3 2019","FQ3 2019","Currency=USD","Period=FQ","BEST_FPERIOD_OVERRIDE=FQ","FILING_STATUS=MR","SCALING_FORMAT=MLN","Sort=A","Dates=H","DateFormat=P","Fill=—","Direction=H","UseDPDF=Y")</f>
        <v>12.742000000000001</v>
      </c>
      <c r="G71" s="13">
        <f>_xll.BDH("ALNY US Equity","ARDR_CURRENT_RENTAL_EXP","FQ4 2019","FQ4 2019","Currency=USD","Period=FQ","BEST_FPERIOD_OVERRIDE=FQ","FILING_STATUS=MR","SCALING_FORMAT=MLN","Sort=A","Dates=H","DateFormat=P","Fill=—","Direction=H","UseDPDF=Y")</f>
        <v>12.965999999999999</v>
      </c>
      <c r="H71" s="13" t="str">
        <f>_xll.BDH("ALNY US Equity","ARDR_CURRENT_RENTAL_EXP","FQ1 2020","FQ1 2020","Currency=USD","Period=FQ","BEST_FPERIOD_OVERRIDE=FQ","FILING_STATUS=MR","SCALING_FORMAT=MLN","Sort=A","Dates=H","DateFormat=P","Fill=—","Direction=H","UseDPDF=Y")</f>
        <v>—</v>
      </c>
      <c r="I71" s="13" t="str">
        <f>_xll.BDH("ALNY US Equity","ARDR_CURRENT_RENTAL_EXP","FQ2 2020","FQ2 2020","Currency=USD","Period=FQ","BEST_FPERIOD_OVERRIDE=FQ","FILING_STATUS=MR","SCALING_FORMAT=MLN","Sort=A","Dates=H","DateFormat=P","Fill=—","Direction=H","UseDPDF=Y")</f>
        <v>—</v>
      </c>
      <c r="J71" s="13" t="str">
        <f>_xll.BDH("ALNY US Equity","ARDR_CURRENT_RENTAL_EXP","FQ3 2020","FQ3 2020","Currency=USD","Period=FQ","BEST_FPERIOD_OVERRIDE=FQ","FILING_STATUS=MR","SCALING_FORMAT=MLN","Sort=A","Dates=H","DateFormat=P","Fill=—","Direction=H","UseDPDF=Y")</f>
        <v>—</v>
      </c>
      <c r="K71" s="13" t="str">
        <f>_xll.BDH("ALNY US Equity","ARDR_CURRENT_RENTAL_EXP","FQ4 2020","FQ4 2020","Currency=USD","Period=FQ","BEST_FPERIOD_OVERRIDE=FQ","FILING_STATUS=MR","SCALING_FORMAT=MLN","Sort=A","Dates=H","DateFormat=P","Fill=—","Direction=H","UseDPDF=Y")</f>
        <v>—</v>
      </c>
      <c r="L71" s="13" t="str">
        <f>_xll.BDH("ALNY US Equity","ARDR_CURRENT_RENTAL_EXP","FQ1 2021","FQ1 2021","Currency=USD","Period=FQ","BEST_FPERIOD_OVERRIDE=FQ","FILING_STATUS=MR","SCALING_FORMAT=MLN","Sort=A","Dates=H","DateFormat=P","Fill=—","Direction=H","UseDPDF=Y")</f>
        <v>—</v>
      </c>
      <c r="M71" s="13" t="str">
        <f>_xll.BDH("ALNY US Equity","ARDR_CURRENT_RENTAL_EXP","FQ2 2021","FQ2 2021","Currency=USD","Period=FQ","BEST_FPERIOD_OVERRIDE=FQ","FILING_STATUS=MR","SCALING_FORMAT=MLN","Sort=A","Dates=H","DateFormat=P","Fill=—","Direction=H","UseDPDF=Y")</f>
        <v>—</v>
      </c>
      <c r="N71" s="13" t="str">
        <f>_xll.BDH("ALNY US Equity","ARDR_CURRENT_RENTAL_EXP","FQ3 2021","FQ3 2021","Currency=USD","Period=FQ","BEST_FPERIOD_OVERRIDE=FQ","FILING_STATUS=MR","SCALING_FORMAT=MLN","Sort=A","Dates=H","DateFormat=P","Fill=—","Direction=H","UseDPDF=Y")</f>
        <v>—</v>
      </c>
      <c r="O71" s="13" t="str">
        <f>_xll.BDH("ALNY US Equity","ARDR_CURRENT_RENTAL_EXP","FQ4 2021","FQ4 2021","Currency=USD","Period=FQ","BEST_FPERIOD_OVERRIDE=FQ","FILING_STATUS=MR","SCALING_FORMAT=MLN","Sort=A","Dates=H","DateFormat=P","Fill=—","Direction=H","UseDPDF=Y")</f>
        <v>—</v>
      </c>
      <c r="P71" s="13" t="str">
        <f>_xll.BDH("ALNY US Equity","ARDR_CURRENT_RENTAL_EXP","FQ1 2022","FQ1 2022","Currency=USD","Period=FQ","BEST_FPERIOD_OVERRIDE=FQ","FILING_STATUS=MR","SCALING_FORMAT=MLN","Sort=A","Dates=H","DateFormat=P","Fill=—","Direction=H","UseDPDF=Y")</f>
        <v>—</v>
      </c>
      <c r="Q71" s="13" t="str">
        <f>_xll.BDH("ALNY US Equity","ARDR_CURRENT_RENTAL_EXP","FQ2 2022","FQ2 2022","Currency=USD","Period=FQ","BEST_FPERIOD_OVERRIDE=FQ","FILING_STATUS=MR","SCALING_FORMAT=MLN","Sort=A","Dates=H","DateFormat=P","Fill=—","Direction=H","UseDPDF=Y")</f>
        <v>—</v>
      </c>
      <c r="R71" s="13" t="str">
        <f>_xll.BDH("ALNY US Equity","ARDR_CURRENT_RENTAL_EXP","FQ3 2022","FQ3 2022","Currency=USD","Period=FQ","BEST_FPERIOD_OVERRIDE=FQ","FILING_STATUS=MR","SCALING_FORMAT=MLN","Sort=A","Dates=H","DateFormat=P","Fill=—","Direction=H","UseDPDF=Y")</f>
        <v>—</v>
      </c>
      <c r="S71" s="13" t="str">
        <f>_xll.BDH("ALNY US Equity","ARDR_CURRENT_RENTAL_EXP","FQ4 2022","FQ4 2022","Currency=USD","Period=FQ","BEST_FPERIOD_OVERRIDE=FQ","FILING_STATUS=MR","SCALING_FORMAT=MLN","Sort=A","Dates=H","DateFormat=P","Fill=—","Direction=H","UseDPDF=Y")</f>
        <v>—</v>
      </c>
      <c r="T71" s="13" t="str">
        <f>_xll.BDH("ALNY US Equity","ARDR_CURRENT_RENTAL_EXP","FQ1 2023","FQ1 2023","Currency=USD","Period=FQ","BEST_FPERIOD_OVERRIDE=FQ","FILING_STATUS=MR","SCALING_FORMAT=MLN","Sort=A","Dates=H","DateFormat=P","Fill=—","Direction=H","UseDPDF=Y")</f>
        <v>—</v>
      </c>
      <c r="U71" s="13" t="str">
        <f>_xll.BDH("ALNY US Equity","ARDR_CURRENT_RENTAL_EXP","FQ2 2023","FQ2 2023","Currency=USD","Period=FQ","BEST_FPERIOD_OVERRIDE=FQ","FILING_STATUS=MR","SCALING_FORMAT=MLN","Sort=A","Dates=H","DateFormat=P","Fill=—","Direction=H","UseDPDF=Y")</f>
        <v>—</v>
      </c>
      <c r="V71" s="13" t="str">
        <f>_xll.BDH("ALNY US Equity","ARDR_CURRENT_RENTAL_EXP","FQ3 2023","FQ3 2023","Currency=USD","Period=FQ","BEST_FPERIOD_OVERRIDE=FQ","FILING_STATUS=MR","SCALING_FORMAT=MLN","Sort=A","Dates=H","DateFormat=P","Fill=—","Direction=H","UseDPDF=Y")</f>
        <v>—</v>
      </c>
      <c r="W71" s="13" t="str">
        <f>_xll.BDH("ALNY US Equity","ARDR_CURRENT_RENTAL_EXP","FQ4 2023","FQ4 2023","Currency=USD","Period=FQ","BEST_FPERIOD_OVERRIDE=FQ","FILING_STATUS=MR","SCALING_FORMAT=MLN","Sort=A","Dates=H","DateFormat=P","Fill=—","Direction=H","UseDPDF=Y")</f>
        <v>—</v>
      </c>
      <c r="X71" s="13" t="str">
        <f>_xll.BDH("ALNY US Equity","ARDR_CURRENT_RENTAL_EXP","FQ1 2024","FQ1 2024","Currency=USD","Period=FQ","BEST_FPERIOD_OVERRIDE=FQ","FILING_STATUS=MR","SCALING_FORMAT=MLN","Sort=A","Dates=H","DateFormat=P","Fill=—","Direction=H","UseDPDF=Y")</f>
        <v>—</v>
      </c>
      <c r="Y71" s="13" t="str">
        <f>_xll.BDH("ALNY US Equity","ARDR_CURRENT_RENTAL_EXP","FQ2 2024","FQ2 2024","Currency=USD","Period=FQ","BEST_FPERIOD_OVERRIDE=FQ","FILING_STATUS=MR","SCALING_FORMAT=MLN","Sort=A","Dates=H","DateFormat=P","Fill=—","Direction=H","UseDPDF=Y")</f>
        <v>—</v>
      </c>
      <c r="Z71" s="13" t="str">
        <f>_xll.BDH("ALNY US Equity","ARDR_CURRENT_RENTAL_EXP","FQ3 2024","FQ3 2024","Currency=USD","Period=FQ","BEST_FPERIOD_OVERRIDE=FQ","FILING_STATUS=MR","SCALING_FORMAT=MLN","Sort=A","Dates=H","DateFormat=P","Fill=—","Direction=H","UseDPDF=Y")</f>
        <v>—</v>
      </c>
      <c r="AA71" s="13" t="str">
        <f>_xll.BDH("ALNY US Equity","ARDR_CURRENT_RENTAL_EXP","FQ4 2024","FQ4 2024","Currency=USD","Period=FQ","BEST_FPERIOD_OVERRIDE=FQ","FILING_STATUS=MR","SCALING_FORMAT=MLN","Sort=A","Dates=H","DateFormat=P","Fill=—","Direction=H","UseDPDF=Y")</f>
        <v>—</v>
      </c>
    </row>
    <row r="72" spans="1:27" x14ac:dyDescent="0.25">
      <c r="A72" s="10" t="s">
        <v>513</v>
      </c>
      <c r="B72" s="10" t="s">
        <v>514</v>
      </c>
      <c r="C72" s="13">
        <f>_xll.BDH("ALNY US Equity","ARDR_STK_BASED_COMPENSATION_EXP","FQ4 2018","FQ4 2018","Currency=USD","Period=FQ","BEST_FPERIOD_OVERRIDE=FQ","FILING_STATUS=MR","SCALING_FORMAT=MLN","Sort=A","Dates=H","DateFormat=P","Fill=—","Direction=H","UseDPDF=Y")</f>
        <v>42.973999999999997</v>
      </c>
      <c r="D72" s="13">
        <f>_xll.BDH("ALNY US Equity","ARDR_STK_BASED_COMPENSATION_EXP","FQ1 2019","FQ1 2019","Currency=USD","Period=FQ","BEST_FPERIOD_OVERRIDE=FQ","FILING_STATUS=MR","SCALING_FORMAT=MLN","Sort=A","Dates=H","DateFormat=P","Fill=—","Direction=H","UseDPDF=Y")</f>
        <v>47.939</v>
      </c>
      <c r="E72" s="13">
        <f>_xll.BDH("ALNY US Equity","ARDR_STK_BASED_COMPENSATION_EXP","FQ2 2019","FQ2 2019","Currency=USD","Period=FQ","BEST_FPERIOD_OVERRIDE=FQ","FILING_STATUS=MR","SCALING_FORMAT=MLN","Sort=A","Dates=H","DateFormat=P","Fill=—","Direction=H","UseDPDF=Y")</f>
        <v>30.603000000000002</v>
      </c>
      <c r="F72" s="13">
        <f>_xll.BDH("ALNY US Equity","ARDR_STK_BASED_COMPENSATION_EXP","FQ3 2019","FQ3 2019","Currency=USD","Period=FQ","BEST_FPERIOD_OVERRIDE=FQ","FILING_STATUS=MR","SCALING_FORMAT=MLN","Sort=A","Dates=H","DateFormat=P","Fill=—","Direction=H","UseDPDF=Y")</f>
        <v>46.009</v>
      </c>
      <c r="G72" s="13">
        <f>_xll.BDH("ALNY US Equity","ARDR_STK_BASED_COMPENSATION_EXP","FQ4 2019","FQ4 2019","Currency=USD","Period=FQ","BEST_FPERIOD_OVERRIDE=FQ","FILING_STATUS=MR","SCALING_FORMAT=MLN","Sort=A","Dates=H","DateFormat=P","Fill=—","Direction=H","UseDPDF=Y")</f>
        <v>66.197000000000003</v>
      </c>
      <c r="H72" s="13">
        <f>_xll.BDH("ALNY US Equity","ARDR_STK_BASED_COMPENSATION_EXP","FQ1 2020","FQ1 2020","Currency=USD","Period=FQ","BEST_FPERIOD_OVERRIDE=FQ","FILING_STATUS=MR","SCALING_FORMAT=MLN","Sort=A","Dates=H","DateFormat=P","Fill=—","Direction=H","UseDPDF=Y")</f>
        <v>34.578000000000003</v>
      </c>
      <c r="I72" s="13">
        <f>_xll.BDH("ALNY US Equity","ARDR_STK_BASED_COMPENSATION_EXP","FQ2 2020","FQ2 2020","Currency=USD","Period=FQ","BEST_FPERIOD_OVERRIDE=FQ","FILING_STATUS=MR","SCALING_FORMAT=MLN","Sort=A","Dates=H","DateFormat=P","Fill=—","Direction=H","UseDPDF=Y")</f>
        <v>33.755000000000003</v>
      </c>
      <c r="J72" s="13">
        <f>_xll.BDH("ALNY US Equity","ARDR_STK_BASED_COMPENSATION_EXP","FQ3 2020","FQ3 2020","Currency=USD","Period=FQ","BEST_FPERIOD_OVERRIDE=FQ","FILING_STATUS=MR","SCALING_FORMAT=MLN","Sort=A","Dates=H","DateFormat=P","Fill=—","Direction=H","UseDPDF=Y")</f>
        <v>37.264000000000003</v>
      </c>
      <c r="K72" s="13">
        <f>_xll.BDH("ALNY US Equity","ARDR_STK_BASED_COMPENSATION_EXP","FQ4 2020","FQ4 2020","Currency=USD","Period=FQ","BEST_FPERIOD_OVERRIDE=FQ","FILING_STATUS=MR","SCALING_FORMAT=MLN","Sort=A","Dates=H","DateFormat=P","Fill=—","Direction=H","UseDPDF=Y")</f>
        <v>34.276000000000003</v>
      </c>
      <c r="L72" s="13">
        <f>_xll.BDH("ALNY US Equity","ARDR_STK_BASED_COMPENSATION_EXP","FQ1 2021","FQ1 2021","Currency=USD","Period=FQ","BEST_FPERIOD_OVERRIDE=FQ","FILING_STATUS=MR","SCALING_FORMAT=MLN","Sort=A","Dates=H","DateFormat=P","Fill=—","Direction=H","UseDPDF=Y")</f>
        <v>55.69</v>
      </c>
      <c r="M72" s="13">
        <f>_xll.BDH("ALNY US Equity","ARDR_STK_BASED_COMPENSATION_EXP","FQ2 2021","FQ2 2021","Currency=USD","Period=FQ","BEST_FPERIOD_OVERRIDE=FQ","FILING_STATUS=MR","SCALING_FORMAT=MLN","Sort=A","Dates=H","DateFormat=P","Fill=—","Direction=H","UseDPDF=Y")</f>
        <v>32.078000000000003</v>
      </c>
      <c r="N72" s="13">
        <f>_xll.BDH("ALNY US Equity","ARDR_STK_BASED_COMPENSATION_EXP","FQ3 2021","FQ3 2021","Currency=USD","Period=FQ","BEST_FPERIOD_OVERRIDE=FQ","FILING_STATUS=MR","SCALING_FORMAT=MLN","Sort=A","Dates=H","DateFormat=P","Fill=—","Direction=H","UseDPDF=Y")</f>
        <v>33.366999999999997</v>
      </c>
      <c r="O72" s="13">
        <f>_xll.BDH("ALNY US Equity","ARDR_STK_BASED_COMPENSATION_EXP","FQ4 2021","FQ4 2021","Currency=USD","Period=FQ","BEST_FPERIOD_OVERRIDE=FQ","FILING_STATUS=MR","SCALING_FORMAT=MLN","Sort=A","Dates=H","DateFormat=P","Fill=—","Direction=H","UseDPDF=Y")</f>
        <v>44.582000000000001</v>
      </c>
      <c r="P72" s="13">
        <f>_xll.BDH("ALNY US Equity","ARDR_STK_BASED_COMPENSATION_EXP","FQ1 2022","FQ1 2022","Currency=USD","Period=FQ","BEST_FPERIOD_OVERRIDE=FQ","FILING_STATUS=MR","SCALING_FORMAT=MLN","Sort=A","Dates=H","DateFormat=P","Fill=—","Direction=H","UseDPDF=Y")</f>
        <v>29.292999999999999</v>
      </c>
      <c r="Q72" s="13">
        <f>_xll.BDH("ALNY US Equity","ARDR_STK_BASED_COMPENSATION_EXP","FQ2 2022","FQ2 2022","Currency=USD","Period=FQ","BEST_FPERIOD_OVERRIDE=FQ","FILING_STATUS=MR","SCALING_FORMAT=MLN","Sort=A","Dates=H","DateFormat=P","Fill=—","Direction=H","UseDPDF=Y")</f>
        <v>30.471</v>
      </c>
      <c r="R72" s="13">
        <f>_xll.BDH("ALNY US Equity","ARDR_STK_BASED_COMPENSATION_EXP","FQ3 2022","FQ3 2022","Currency=USD","Period=FQ","BEST_FPERIOD_OVERRIDE=FQ","FILING_STATUS=MR","SCALING_FORMAT=MLN","Sort=A","Dates=H","DateFormat=P","Fill=—","Direction=H","UseDPDF=Y")</f>
        <v>128.11799999999999</v>
      </c>
      <c r="S72" s="13">
        <f>_xll.BDH("ALNY US Equity","ARDR_STK_BASED_COMPENSATION_EXP","FQ4 2022","FQ4 2022","Currency=USD","Period=FQ","BEST_FPERIOD_OVERRIDE=FQ","FILING_STATUS=MR","SCALING_FORMAT=MLN","Sort=A","Dates=H","DateFormat=P","Fill=—","Direction=H","UseDPDF=Y")</f>
        <v>42.767000000000003</v>
      </c>
      <c r="T72" s="13">
        <f>_xll.BDH("ALNY US Equity","ARDR_STK_BASED_COMPENSATION_EXP","FQ1 2023","FQ1 2023","Currency=USD","Period=FQ","BEST_FPERIOD_OVERRIDE=FQ","FILING_STATUS=MR","SCALING_FORMAT=MLN","Sort=A","Dates=H","DateFormat=P","Fill=—","Direction=H","UseDPDF=Y")</f>
        <v>39.947000000000003</v>
      </c>
      <c r="U72" s="13">
        <f>_xll.BDH("ALNY US Equity","ARDR_STK_BASED_COMPENSATION_EXP","FQ2 2023","FQ2 2023","Currency=USD","Period=FQ","BEST_FPERIOD_OVERRIDE=FQ","FILING_STATUS=MR","SCALING_FORMAT=MLN","Sort=A","Dates=H","DateFormat=P","Fill=—","Direction=H","UseDPDF=Y")</f>
        <v>75.802000000000007</v>
      </c>
      <c r="V72" s="13">
        <f>_xll.BDH("ALNY US Equity","ARDR_STK_BASED_COMPENSATION_EXP","FQ3 2023","FQ3 2023","Currency=USD","Period=FQ","BEST_FPERIOD_OVERRIDE=FQ","FILING_STATUS=MR","SCALING_FORMAT=MLN","Sort=A","Dates=H","DateFormat=P","Fill=—","Direction=H","UseDPDF=Y")</f>
        <v>63.936999999999998</v>
      </c>
      <c r="W72" s="13">
        <f>_xll.BDH("ALNY US Equity","ARDR_STK_BASED_COMPENSATION_EXP","FQ4 2023","FQ4 2023","Currency=USD","Period=FQ","BEST_FPERIOD_OVERRIDE=FQ","FILING_STATUS=MR","SCALING_FORMAT=MLN","Sort=A","Dates=H","DateFormat=P","Fill=—","Direction=H","UseDPDF=Y")</f>
        <v>41.994</v>
      </c>
      <c r="X72" s="13">
        <f>_xll.BDH("ALNY US Equity","ARDR_STK_BASED_COMPENSATION_EXP","FQ1 2024","FQ1 2024","Currency=USD","Period=FQ","BEST_FPERIOD_OVERRIDE=FQ","FILING_STATUS=MR","SCALING_FORMAT=MLN","Sort=A","Dates=H","DateFormat=P","Fill=—","Direction=H","UseDPDF=Y")</f>
        <v>46.155000000000001</v>
      </c>
      <c r="Y72" s="13">
        <f>_xll.BDH("ALNY US Equity","ARDR_STK_BASED_COMPENSATION_EXP","FQ2 2024","FQ2 2024","Currency=USD","Period=FQ","BEST_FPERIOD_OVERRIDE=FQ","FILING_STATUS=MR","SCALING_FORMAT=MLN","Sort=A","Dates=H","DateFormat=P","Fill=—","Direction=H","UseDPDF=Y")</f>
        <v>90.096000000000004</v>
      </c>
      <c r="Z72" s="13">
        <f>_xll.BDH("ALNY US Equity","ARDR_STK_BASED_COMPENSATION_EXP","FQ3 2024","FQ3 2024","Currency=USD","Period=FQ","BEST_FPERIOD_OVERRIDE=FQ","FILING_STATUS=MR","SCALING_FORMAT=MLN","Sort=A","Dates=H","DateFormat=P","Fill=—","Direction=H","UseDPDF=Y")</f>
        <v>45.804000000000002</v>
      </c>
      <c r="AA72" s="13">
        <f>_xll.BDH("ALNY US Equity","ARDR_STK_BASED_COMPENSATION_EXP","FQ4 2024","FQ4 2024","Currency=USD","Period=FQ","BEST_FPERIOD_OVERRIDE=FQ","FILING_STATUS=MR","SCALING_FORMAT=MLN","Sort=A","Dates=H","DateFormat=P","Fill=—","Direction=H","UseDPDF=Y")</f>
        <v>91.644999999999996</v>
      </c>
    </row>
    <row r="73" spans="1:27" x14ac:dyDescent="0.25">
      <c r="A73" s="10" t="s">
        <v>462</v>
      </c>
      <c r="B73" s="10" t="s">
        <v>515</v>
      </c>
      <c r="C73" s="14">
        <f>_xll.BDH("ALNY US Equity","ARDR_BASIC_AND_DILUTED_EPS","FQ4 2018","FQ4 2018","Currency=USD","Period=FQ","BEST_FPERIOD_OVERRIDE=FQ","FILING_STATUS=MR","Sort=A","Dates=H","DateFormat=P","Fill=—","Direction=H","UseDPDF=Y")</f>
        <v>-2.09</v>
      </c>
      <c r="D73" s="14">
        <f>_xll.BDH("ALNY US Equity","ARDR_BASIC_AND_DILUTED_EPS","FQ1 2019","FQ1 2019","Currency=USD","Period=FQ","BEST_FPERIOD_OVERRIDE=FQ","FILING_STATUS=MR","Sort=A","Dates=H","DateFormat=P","Fill=—","Direction=H","UseDPDF=Y")</f>
        <v>-1.73</v>
      </c>
      <c r="E73" s="14">
        <f>_xll.BDH("ALNY US Equity","ARDR_BASIC_AND_DILUTED_EPS","FQ2 2019","FQ2 2019","Currency=USD","Period=FQ","BEST_FPERIOD_OVERRIDE=FQ","FILING_STATUS=MR","Sort=A","Dates=H","DateFormat=P","Fill=—","Direction=H","UseDPDF=Y")</f>
        <v>-2.02</v>
      </c>
      <c r="F73" s="14">
        <f>_xll.BDH("ALNY US Equity","ARDR_BASIC_AND_DILUTED_EPS","FQ3 2019","FQ3 2019","Currency=USD","Period=FQ","BEST_FPERIOD_OVERRIDE=FQ","FILING_STATUS=MR","Sort=A","Dates=H","DateFormat=P","Fill=—","Direction=H","UseDPDF=Y")</f>
        <v>-1.92</v>
      </c>
      <c r="G73" s="14">
        <f>_xll.BDH("ALNY US Equity","ARDR_BASIC_AND_DILUTED_EPS","FQ4 2019","FQ4 2019","Currency=USD","Period=FQ","BEST_FPERIOD_OVERRIDE=FQ","FILING_STATUS=MR","Sort=A","Dates=H","DateFormat=P","Fill=—","Direction=H","UseDPDF=Y")</f>
        <v>-2.4700000000000002</v>
      </c>
      <c r="H73" s="14">
        <f>_xll.BDH("ALNY US Equity","ARDR_BASIC_AND_DILUTED_EPS","FQ1 2020","FQ1 2020","Currency=USD","Period=FQ","BEST_FPERIOD_OVERRIDE=FQ","FILING_STATUS=MR","Sort=A","Dates=H","DateFormat=P","Fill=—","Direction=H","UseDPDF=Y")</f>
        <v>-1.62</v>
      </c>
      <c r="I73" s="14">
        <f>_xll.BDH("ALNY US Equity","ARDR_BASIC_AND_DILUTED_EPS","FQ2 2020","FQ2 2020","Currency=USD","Period=FQ","BEST_FPERIOD_OVERRIDE=FQ","FILING_STATUS=MR","Sort=A","Dates=H","DateFormat=P","Fill=—","Direction=H","UseDPDF=Y")</f>
        <v>-1.56</v>
      </c>
      <c r="J73" s="14">
        <f>_xll.BDH("ALNY US Equity","ARDR_BASIC_AND_DILUTED_EPS","FQ3 2020","FQ3 2020","Currency=USD","Period=FQ","BEST_FPERIOD_OVERRIDE=FQ","FILING_STATUS=MR","Sort=A","Dates=H","DateFormat=P","Fill=—","Direction=H","UseDPDF=Y")</f>
        <v>-2.1800000000000002</v>
      </c>
      <c r="K73" s="14">
        <f>_xll.BDH("ALNY US Equity","ARDR_BASIC_AND_DILUTED_EPS","FQ4 2020","FQ4 2020","Currency=USD","Period=FQ","BEST_FPERIOD_OVERRIDE=FQ","FILING_STATUS=MR","Sort=A","Dates=H","DateFormat=P","Fill=—","Direction=H","UseDPDF=Y")</f>
        <v>-2.09</v>
      </c>
      <c r="L73" s="14" t="str">
        <f>_xll.BDH("ALNY US Equity","ARDR_BASIC_AND_DILUTED_EPS","FQ1 2021","FQ1 2021","Currency=USD","Period=FQ","BEST_FPERIOD_OVERRIDE=FQ","FILING_STATUS=MR","Sort=A","Dates=H","DateFormat=P","Fill=—","Direction=H","UseDPDF=Y")</f>
        <v>—</v>
      </c>
      <c r="M73" s="14">
        <f>_xll.BDH("ALNY US Equity","ARDR_BASIC_AND_DILUTED_EPS","FQ2 2021","FQ2 2021","Currency=USD","Period=FQ","BEST_FPERIOD_OVERRIDE=FQ","FILING_STATUS=MR","Sort=A","Dates=H","DateFormat=P","Fill=—","Direction=H","UseDPDF=Y")</f>
        <v>-1.61</v>
      </c>
      <c r="N73" s="14">
        <f>_xll.BDH("ALNY US Equity","ARDR_BASIC_AND_DILUTED_EPS","FQ3 2021","FQ3 2021","Currency=USD","Period=FQ","BEST_FPERIOD_OVERRIDE=FQ","FILING_STATUS=MR","Sort=A","Dates=H","DateFormat=P","Fill=—","Direction=H","UseDPDF=Y")</f>
        <v>-1.72</v>
      </c>
      <c r="O73" s="14">
        <f>_xll.BDH("ALNY US Equity","ARDR_BASIC_AND_DILUTED_EPS","FQ4 2021","FQ4 2021","Currency=USD","Period=FQ","BEST_FPERIOD_OVERRIDE=FQ","FILING_STATUS=MR","Sort=A","Dates=H","DateFormat=P","Fill=—","Direction=H","UseDPDF=Y")</f>
        <v>-2.16</v>
      </c>
      <c r="P73" s="14" t="str">
        <f>_xll.BDH("ALNY US Equity","ARDR_BASIC_AND_DILUTED_EPS","FQ1 2022","FQ1 2022","Currency=USD","Period=FQ","BEST_FPERIOD_OVERRIDE=FQ","FILING_STATUS=MR","Sort=A","Dates=H","DateFormat=P","Fill=—","Direction=H","UseDPDF=Y")</f>
        <v>—</v>
      </c>
      <c r="Q73" s="14" t="str">
        <f>_xll.BDH("ALNY US Equity","ARDR_BASIC_AND_DILUTED_EPS","FQ2 2022","FQ2 2022","Currency=USD","Period=FQ","BEST_FPERIOD_OVERRIDE=FQ","FILING_STATUS=MR","Sort=A","Dates=H","DateFormat=P","Fill=—","Direction=H","UseDPDF=Y")</f>
        <v>—</v>
      </c>
      <c r="R73" s="14">
        <f>_xll.BDH("ALNY US Equity","ARDR_BASIC_AND_DILUTED_EPS","FQ3 2022","FQ3 2022","Currency=USD","Period=FQ","BEST_FPERIOD_OVERRIDE=FQ","FILING_STATUS=MR","Sort=A","Dates=H","DateFormat=P","Fill=—","Direction=H","UseDPDF=Y")</f>
        <v>-3.32</v>
      </c>
      <c r="S73" s="14">
        <f>_xll.BDH("ALNY US Equity","ARDR_BASIC_AND_DILUTED_EPS","FQ4 2022","FQ4 2022","Currency=USD","Period=FQ","BEST_FPERIOD_OVERRIDE=FQ","FILING_STATUS=MR","Sort=A","Dates=H","DateFormat=P","Fill=—","Direction=H","UseDPDF=Y")</f>
        <v>-1.68</v>
      </c>
      <c r="T73" s="14">
        <f>_xll.BDH("ALNY US Equity","ARDR_BASIC_AND_DILUTED_EPS","FQ1 2023","FQ1 2023","Currency=USD","Period=FQ","BEST_FPERIOD_OVERRIDE=FQ","FILING_STATUS=MR","Sort=A","Dates=H","DateFormat=P","Fill=—","Direction=H","UseDPDF=Y")</f>
        <v>-1.4</v>
      </c>
      <c r="U73" s="14">
        <f>_xll.BDH("ALNY US Equity","ARDR_BASIC_AND_DILUTED_EPS","FQ2 2023","FQ2 2023","Currency=USD","Period=FQ","BEST_FPERIOD_OVERRIDE=FQ","FILING_STATUS=MR","Sort=A","Dates=H","DateFormat=P","Fill=—","Direction=H","UseDPDF=Y")</f>
        <v>-2.21</v>
      </c>
      <c r="V73" s="14" t="str">
        <f>_xll.BDH("ALNY US Equity","ARDR_BASIC_AND_DILUTED_EPS","FQ3 2023","FQ3 2023","Currency=USD","Period=FQ","BEST_FPERIOD_OVERRIDE=FQ","FILING_STATUS=MR","Sort=A","Dates=H","DateFormat=P","Fill=—","Direction=H","UseDPDF=Y")</f>
        <v>—</v>
      </c>
      <c r="W73" s="14">
        <f>_xll.BDH("ALNY US Equity","ARDR_BASIC_AND_DILUTED_EPS","FQ4 2023","FQ4 2023","Currency=USD","Period=FQ","BEST_FPERIOD_OVERRIDE=FQ","FILING_STATUS=MR","Sort=A","Dates=H","DateFormat=P","Fill=—","Direction=H","UseDPDF=Y")</f>
        <v>-1.1000000000000001</v>
      </c>
      <c r="X73" s="14">
        <f>_xll.BDH("ALNY US Equity","ARDR_BASIC_AND_DILUTED_EPS","FQ1 2024","FQ1 2024","Currency=USD","Period=FQ","BEST_FPERIOD_OVERRIDE=FQ","FILING_STATUS=MR","Sort=A","Dates=H","DateFormat=P","Fill=—","Direction=H","UseDPDF=Y")</f>
        <v>-0.52</v>
      </c>
      <c r="Y73" s="14">
        <f>_xll.BDH("ALNY US Equity","ARDR_BASIC_AND_DILUTED_EPS","FQ2 2024","FQ2 2024","Currency=USD","Period=FQ","BEST_FPERIOD_OVERRIDE=FQ","FILING_STATUS=MR","Sort=A","Dates=H","DateFormat=P","Fill=—","Direction=H","UseDPDF=Y")</f>
        <v>-0.13</v>
      </c>
      <c r="Z73" s="14" t="str">
        <f>_xll.BDH("ALNY US Equity","ARDR_BASIC_AND_DILUTED_EPS","FQ3 2024","FQ3 2024","Currency=USD","Period=FQ","BEST_FPERIOD_OVERRIDE=FQ","FILING_STATUS=MR","Sort=A","Dates=H","DateFormat=P","Fill=—","Direction=H","UseDPDF=Y")</f>
        <v>—</v>
      </c>
      <c r="AA73" s="14">
        <f>_xll.BDH("ALNY US Equity","ARDR_BASIC_AND_DILUTED_EPS","FQ4 2024","FQ4 2024","Currency=USD","Period=FQ","BEST_FPERIOD_OVERRIDE=FQ","FILING_STATUS=MR","Sort=A","Dates=H","DateFormat=P","Fill=—","Direction=H","UseDPDF=Y")</f>
        <v>-0.65</v>
      </c>
    </row>
    <row r="74" spans="1:27" x14ac:dyDescent="0.25">
      <c r="A74" s="10" t="s">
        <v>464</v>
      </c>
      <c r="B74" s="10" t="s">
        <v>516</v>
      </c>
      <c r="C74" s="13">
        <f>_xll.BDH("ALNY US Equity","ARDR_WTD_AVG_SHS_BASIC_DILUTED","FQ4 2018","FQ4 2018","Currency=USD","Period=FQ","BEST_FPERIOD_OVERRIDE=FQ","FILING_STATUS=MR","Sort=A","Dates=H","DateFormat=P","Fill=—","Direction=H","UseDPDF=Y")</f>
        <v>101.066</v>
      </c>
      <c r="D74" s="13">
        <f>_xll.BDH("ALNY US Equity","ARDR_WTD_AVG_SHS_BASIC_DILUTED","FQ1 2019","FQ1 2019","Currency=USD","Period=FQ","BEST_FPERIOD_OVERRIDE=FQ","FILING_STATUS=MR","Sort=A","Dates=H","DateFormat=P","Fill=—","Direction=H","UseDPDF=Y")</f>
        <v>105.4</v>
      </c>
      <c r="E74" s="13">
        <f>_xll.BDH("ALNY US Equity","ARDR_WTD_AVG_SHS_BASIC_DILUTED","FQ2 2019","FQ2 2019","Currency=USD","Period=FQ","BEST_FPERIOD_OVERRIDE=FQ","FILING_STATUS=MR","Sort=A","Dates=H","DateFormat=P","Fill=—","Direction=H","UseDPDF=Y")</f>
        <v>108.57599999999999</v>
      </c>
      <c r="F74" s="13">
        <f>_xll.BDH("ALNY US Equity","ARDR_WTD_AVG_SHS_BASIC_DILUTED","FQ3 2019","FQ3 2019","Currency=USD","Period=FQ","BEST_FPERIOD_OVERRIDE=FQ","FILING_STATUS=MR","Sort=A","Dates=H","DateFormat=P","Fill=—","Direction=H","UseDPDF=Y")</f>
        <v>108.70099999999999</v>
      </c>
      <c r="G74" s="13">
        <f>_xll.BDH("ALNY US Equity","ARDR_WTD_AVG_SHS_BASIC_DILUTED","FQ4 2019","FQ4 2019","Currency=USD","Period=FQ","BEST_FPERIOD_OVERRIDE=FQ","FILING_STATUS=MR","Sort=A","Dates=H","DateFormat=P","Fill=—","Direction=H","UseDPDF=Y")</f>
        <v>111.75</v>
      </c>
      <c r="H74" s="13">
        <f>_xll.BDH("ALNY US Equity","ARDR_WTD_AVG_SHS_BASIC_DILUTED","FQ1 2020","FQ1 2020","Currency=USD","Period=FQ","BEST_FPERIOD_OVERRIDE=FQ","FILING_STATUS=MR","Sort=A","Dates=H","DateFormat=P","Fill=—","Direction=H","UseDPDF=Y")</f>
        <v>112.748</v>
      </c>
      <c r="I74" s="13">
        <f>_xll.BDH("ALNY US Equity","ARDR_WTD_AVG_SHS_BASIC_DILUTED","FQ2 2020","FQ2 2020","Currency=USD","Period=FQ","BEST_FPERIOD_OVERRIDE=FQ","FILING_STATUS=MR","Sort=A","Dates=H","DateFormat=P","Fill=—","Direction=H","UseDPDF=Y")</f>
        <v>114.911</v>
      </c>
      <c r="J74" s="13">
        <f>_xll.BDH("ALNY US Equity","ARDR_WTD_AVG_SHS_BASIC_DILUTED","FQ3 2020","FQ3 2020","Currency=USD","Period=FQ","BEST_FPERIOD_OVERRIDE=FQ","FILING_STATUS=MR","Sort=A","Dates=H","DateFormat=P","Fill=—","Direction=H","UseDPDF=Y")</f>
        <v>115.986</v>
      </c>
      <c r="K74" s="13">
        <f>_xll.BDH("ALNY US Equity","ARDR_WTD_AVG_SHS_BASIC_DILUTED","FQ4 2020","FQ4 2020","Currency=USD","Period=FQ","BEST_FPERIOD_OVERRIDE=FQ","FILING_STATUS=MR","Sort=A","Dates=H","DateFormat=P","Fill=—","Direction=H","UseDPDF=Y")</f>
        <v>116.274</v>
      </c>
      <c r="L74" s="13" t="str">
        <f>_xll.BDH("ALNY US Equity","ARDR_WTD_AVG_SHS_BASIC_DILUTED","FQ1 2021","FQ1 2021","Currency=USD","Period=FQ","BEST_FPERIOD_OVERRIDE=FQ","FILING_STATUS=MR","Sort=A","Dates=H","DateFormat=P","Fill=—","Direction=H","UseDPDF=Y")</f>
        <v>—</v>
      </c>
      <c r="M74" s="13">
        <f>_xll.BDH("ALNY US Equity","ARDR_WTD_AVG_SHS_BASIC_DILUTED","FQ2 2021","FQ2 2021","Currency=USD","Period=FQ","BEST_FPERIOD_OVERRIDE=FQ","FILING_STATUS=MR","Sort=A","Dates=H","DateFormat=P","Fill=—","Direction=H","UseDPDF=Y")</f>
        <v>117.77200000000001</v>
      </c>
      <c r="N74" s="13">
        <f>_xll.BDH("ALNY US Equity","ARDR_WTD_AVG_SHS_BASIC_DILUTED","FQ3 2021","FQ3 2021","Currency=USD","Period=FQ","BEST_FPERIOD_OVERRIDE=FQ","FILING_STATUS=MR","Sort=A","Dates=H","DateFormat=P","Fill=—","Direction=H","UseDPDF=Y")</f>
        <v>119.14100000000001</v>
      </c>
      <c r="O74" s="13">
        <f>_xll.BDH("ALNY US Equity","ARDR_WTD_AVG_SHS_BASIC_DILUTED","FQ4 2021","FQ4 2021","Currency=USD","Period=FQ","BEST_FPERIOD_OVERRIDE=FQ","FILING_STATUS=MR","Sort=A","Dates=H","DateFormat=P","Fill=—","Direction=H","UseDPDF=Y")</f>
        <v>119.773</v>
      </c>
      <c r="P74" s="13" t="str">
        <f>_xll.BDH("ALNY US Equity","ARDR_WTD_AVG_SHS_BASIC_DILUTED","FQ1 2022","FQ1 2022","Currency=USD","Period=FQ","BEST_FPERIOD_OVERRIDE=FQ","FILING_STATUS=MR","Sort=A","Dates=H","DateFormat=P","Fill=—","Direction=H","UseDPDF=Y")</f>
        <v>—</v>
      </c>
      <c r="Q74" s="13" t="str">
        <f>_xll.BDH("ALNY US Equity","ARDR_WTD_AVG_SHS_BASIC_DILUTED","FQ2 2022","FQ2 2022","Currency=USD","Period=FQ","BEST_FPERIOD_OVERRIDE=FQ","FILING_STATUS=MR","Sort=A","Dates=H","DateFormat=P","Fill=—","Direction=H","UseDPDF=Y")</f>
        <v>—</v>
      </c>
      <c r="R74" s="13">
        <f>_xll.BDH("ALNY US Equity","ARDR_WTD_AVG_SHS_BASIC_DILUTED","FQ3 2022","FQ3 2022","Currency=USD","Period=FQ","BEST_FPERIOD_OVERRIDE=FQ","FILING_STATUS=MR","Sort=A","Dates=H","DateFormat=P","Fill=—","Direction=H","UseDPDF=Y")</f>
        <v>122.166</v>
      </c>
      <c r="S74" s="13">
        <f>_xll.BDH("ALNY US Equity","ARDR_WTD_AVG_SHS_BASIC_DILUTED","FQ4 2022","FQ4 2022","Currency=USD","Period=FQ","BEST_FPERIOD_OVERRIDE=FQ","FILING_STATUS=MR","Sort=A","Dates=H","DateFormat=P","Fill=—","Direction=H","UseDPDF=Y")</f>
        <v>123.26600000000001</v>
      </c>
      <c r="T74" s="13">
        <f>_xll.BDH("ALNY US Equity","ARDR_WTD_AVG_SHS_BASIC_DILUTED","FQ1 2023","FQ1 2023","Currency=USD","Period=FQ","BEST_FPERIOD_OVERRIDE=FQ","FILING_STATUS=MR","Sort=A","Dates=H","DateFormat=P","Fill=—","Direction=H","UseDPDF=Y")</f>
        <v>124.111</v>
      </c>
      <c r="U74" s="13">
        <f>_xll.BDH("ALNY US Equity","ARDR_WTD_AVG_SHS_BASIC_DILUTED","FQ2 2023","FQ2 2023","Currency=USD","Period=FQ","BEST_FPERIOD_OVERRIDE=FQ","FILING_STATUS=MR","Sort=A","Dates=H","DateFormat=P","Fill=—","Direction=H","UseDPDF=Y")</f>
        <v>124.65900000000001</v>
      </c>
      <c r="V74" s="13" t="str">
        <f>_xll.BDH("ALNY US Equity","ARDR_WTD_AVG_SHS_BASIC_DILUTED","FQ3 2023","FQ3 2023","Currency=USD","Period=FQ","BEST_FPERIOD_OVERRIDE=FQ","FILING_STATUS=MR","Sort=A","Dates=H","DateFormat=P","Fill=—","Direction=H","UseDPDF=Y")</f>
        <v>—</v>
      </c>
      <c r="W74" s="13">
        <f>_xll.BDH("ALNY US Equity","ARDR_WTD_AVG_SHS_BASIC_DILUTED","FQ4 2023","FQ4 2023","Currency=USD","Period=FQ","BEST_FPERIOD_OVERRIDE=FQ","FILING_STATUS=MR","Sort=A","Dates=H","DateFormat=P","Fill=—","Direction=H","UseDPDF=Y")</f>
        <v>125.613</v>
      </c>
      <c r="X74" s="13">
        <f>_xll.BDH("ALNY US Equity","ARDR_WTD_AVG_SHS_BASIC_DILUTED","FQ1 2024","FQ1 2024","Currency=USD","Period=FQ","BEST_FPERIOD_OVERRIDE=FQ","FILING_STATUS=MR","Sort=A","Dates=H","DateFormat=P","Fill=—","Direction=H","UseDPDF=Y")</f>
        <v>126.13800000000001</v>
      </c>
      <c r="Y74" s="13">
        <f>_xll.BDH("ALNY US Equity","ARDR_WTD_AVG_SHS_BASIC_DILUTED","FQ2 2024","FQ2 2024","Currency=USD","Period=FQ","BEST_FPERIOD_OVERRIDE=FQ","FILING_STATUS=MR","Sort=A","Dates=H","DateFormat=P","Fill=—","Direction=H","UseDPDF=Y")</f>
        <v>126.733</v>
      </c>
      <c r="Z74" s="13" t="str">
        <f>_xll.BDH("ALNY US Equity","ARDR_WTD_AVG_SHS_BASIC_DILUTED","FQ3 2024","FQ3 2024","Currency=USD","Period=FQ","BEST_FPERIOD_OVERRIDE=FQ","FILING_STATUS=MR","Sort=A","Dates=H","DateFormat=P","Fill=—","Direction=H","UseDPDF=Y")</f>
        <v>—</v>
      </c>
      <c r="AA74" s="13">
        <f>_xll.BDH("ALNY US Equity","ARDR_WTD_AVG_SHS_BASIC_DILUTED","FQ4 2024","FQ4 2024","Currency=USD","Period=FQ","BEST_FPERIOD_OVERRIDE=FQ","FILING_STATUS=MR","Sort=A","Dates=H","DateFormat=P","Fill=—","Direction=H","UseDPDF=Y")</f>
        <v>129.11600000000001</v>
      </c>
    </row>
    <row r="75" spans="1:27" x14ac:dyDescent="0.25">
      <c r="A75" s="10" t="s">
        <v>517</v>
      </c>
      <c r="B75" s="10" t="s">
        <v>518</v>
      </c>
      <c r="C75" s="13" t="str">
        <f>_xll.BDH("ALNY US Equity","ARDR_LITIGATION_EXP","FQ4 2018","FQ4 2018","Currency=USD","Period=FQ","BEST_FPERIOD_OVERRIDE=FQ","FILING_STATUS=MR","SCALING_FORMAT=MLN","Sort=A","Dates=H","DateFormat=P","Fill=—","Direction=H","UseDPDF=Y")</f>
        <v>—</v>
      </c>
      <c r="D75" s="13" t="str">
        <f>_xll.BDH("ALNY US Equity","ARDR_LITIGATION_EXP","FQ1 2019","FQ1 2019","Currency=USD","Period=FQ","BEST_FPERIOD_OVERRIDE=FQ","FILING_STATUS=MR","SCALING_FORMAT=MLN","Sort=A","Dates=H","DateFormat=P","Fill=—","Direction=H","UseDPDF=Y")</f>
        <v>—</v>
      </c>
      <c r="E75" s="13" t="str">
        <f>_xll.BDH("ALNY US Equity","ARDR_LITIGATION_EXP","FQ2 2019","FQ2 2019","Currency=USD","Period=FQ","BEST_FPERIOD_OVERRIDE=FQ","FILING_STATUS=MR","SCALING_FORMAT=MLN","Sort=A","Dates=H","DateFormat=P","Fill=—","Direction=H","UseDPDF=Y")</f>
        <v>—</v>
      </c>
      <c r="F75" s="13" t="str">
        <f>_xll.BDH("ALNY US Equity","ARDR_LITIGATION_EXP","FQ3 2019","FQ3 2019","Currency=USD","Period=FQ","BEST_FPERIOD_OVERRIDE=FQ","FILING_STATUS=MR","SCALING_FORMAT=MLN","Sort=A","Dates=H","DateFormat=P","Fill=—","Direction=H","UseDPDF=Y")</f>
        <v>—</v>
      </c>
      <c r="G75" s="13" t="str">
        <f>_xll.BDH("ALNY US Equity","ARDR_LITIGATION_EXP","FQ4 2019","FQ4 2019","Currency=USD","Period=FQ","BEST_FPERIOD_OVERRIDE=FQ","FILING_STATUS=MR","SCALING_FORMAT=MLN","Sort=A","Dates=H","DateFormat=P","Fill=—","Direction=H","UseDPDF=Y")</f>
        <v>—</v>
      </c>
      <c r="H75" s="13" t="str">
        <f>_xll.BDH("ALNY US Equity","ARDR_LITIGATION_EXP","FQ1 2020","FQ1 2020","Currency=USD","Period=FQ","BEST_FPERIOD_OVERRIDE=FQ","FILING_STATUS=MR","SCALING_FORMAT=MLN","Sort=A","Dates=H","DateFormat=P","Fill=—","Direction=H","UseDPDF=Y")</f>
        <v>—</v>
      </c>
      <c r="I75" s="13" t="str">
        <f>_xll.BDH("ALNY US Equity","ARDR_LITIGATION_EXP","FQ2 2020","FQ2 2020","Currency=USD","Period=FQ","BEST_FPERIOD_OVERRIDE=FQ","FILING_STATUS=MR","SCALING_FORMAT=MLN","Sort=A","Dates=H","DateFormat=P","Fill=—","Direction=H","UseDPDF=Y")</f>
        <v>—</v>
      </c>
      <c r="J75" s="13">
        <f>_xll.BDH("ALNY US Equity","ARDR_LITIGATION_EXP","FQ3 2020","FQ3 2020","Currency=USD","Period=FQ","BEST_FPERIOD_OVERRIDE=FQ","FILING_STATUS=MR","SCALING_FORMAT=MLN","Sort=A","Dates=H","DateFormat=P","Fill=—","Direction=H","UseDPDF=Y")</f>
        <v>0.65</v>
      </c>
      <c r="K75" s="13" t="str">
        <f>_xll.BDH("ALNY US Equity","ARDR_LITIGATION_EXP","FQ4 2020","FQ4 2020","Currency=USD","Period=FQ","BEST_FPERIOD_OVERRIDE=FQ","FILING_STATUS=MR","SCALING_FORMAT=MLN","Sort=A","Dates=H","DateFormat=P","Fill=—","Direction=H","UseDPDF=Y")</f>
        <v>—</v>
      </c>
      <c r="L75" s="13" t="str">
        <f>_xll.BDH("ALNY US Equity","ARDR_LITIGATION_EXP","FQ1 2021","FQ1 2021","Currency=USD","Period=FQ","BEST_FPERIOD_OVERRIDE=FQ","FILING_STATUS=MR","SCALING_FORMAT=MLN","Sort=A","Dates=H","DateFormat=P","Fill=—","Direction=H","UseDPDF=Y")</f>
        <v>—</v>
      </c>
      <c r="M75" s="13" t="str">
        <f>_xll.BDH("ALNY US Equity","ARDR_LITIGATION_EXP","FQ2 2021","FQ2 2021","Currency=USD","Period=FQ","BEST_FPERIOD_OVERRIDE=FQ","FILING_STATUS=MR","SCALING_FORMAT=MLN","Sort=A","Dates=H","DateFormat=P","Fill=—","Direction=H","UseDPDF=Y")</f>
        <v>—</v>
      </c>
      <c r="N75" s="13" t="str">
        <f>_xll.BDH("ALNY US Equity","ARDR_LITIGATION_EXP","FQ3 2021","FQ3 2021","Currency=USD","Period=FQ","BEST_FPERIOD_OVERRIDE=FQ","FILING_STATUS=MR","SCALING_FORMAT=MLN","Sort=A","Dates=H","DateFormat=P","Fill=—","Direction=H","UseDPDF=Y")</f>
        <v>—</v>
      </c>
      <c r="O75" s="13">
        <f>_xll.BDH("ALNY US Equity","ARDR_LITIGATION_EXP","FQ4 2021","FQ4 2021","Currency=USD","Period=FQ","BEST_FPERIOD_OVERRIDE=FQ","FILING_STATUS=MR","SCALING_FORMAT=MLN","Sort=A","Dates=H","DateFormat=P","Fill=—","Direction=H","UseDPDF=Y")</f>
        <v>0</v>
      </c>
      <c r="P75" s="13" t="str">
        <f>_xll.BDH("ALNY US Equity","ARDR_LITIGATION_EXP","FQ1 2022","FQ1 2022","Currency=USD","Period=FQ","BEST_FPERIOD_OVERRIDE=FQ","FILING_STATUS=MR","SCALING_FORMAT=MLN","Sort=A","Dates=H","DateFormat=P","Fill=—","Direction=H","UseDPDF=Y")</f>
        <v>—</v>
      </c>
      <c r="Q75" s="13" t="str">
        <f>_xll.BDH("ALNY US Equity","ARDR_LITIGATION_EXP","FQ2 2022","FQ2 2022","Currency=USD","Period=FQ","BEST_FPERIOD_OVERRIDE=FQ","FILING_STATUS=MR","SCALING_FORMAT=MLN","Sort=A","Dates=H","DateFormat=P","Fill=—","Direction=H","UseDPDF=Y")</f>
        <v>—</v>
      </c>
      <c r="R75" s="13" t="str">
        <f>_xll.BDH("ALNY US Equity","ARDR_LITIGATION_EXP","FQ3 2022","FQ3 2022","Currency=USD","Period=FQ","BEST_FPERIOD_OVERRIDE=FQ","FILING_STATUS=MR","SCALING_FORMAT=MLN","Sort=A","Dates=H","DateFormat=P","Fill=—","Direction=H","UseDPDF=Y")</f>
        <v>—</v>
      </c>
      <c r="S75" s="13" t="str">
        <f>_xll.BDH("ALNY US Equity","ARDR_LITIGATION_EXP","FQ4 2022","FQ4 2022","Currency=USD","Period=FQ","BEST_FPERIOD_OVERRIDE=FQ","FILING_STATUS=MR","SCALING_FORMAT=MLN","Sort=A","Dates=H","DateFormat=P","Fill=—","Direction=H","UseDPDF=Y")</f>
        <v>—</v>
      </c>
      <c r="T75" s="13" t="str">
        <f>_xll.BDH("ALNY US Equity","ARDR_LITIGATION_EXP","FQ1 2023","FQ1 2023","Currency=USD","Period=FQ","BEST_FPERIOD_OVERRIDE=FQ","FILING_STATUS=MR","SCALING_FORMAT=MLN","Sort=A","Dates=H","DateFormat=P","Fill=—","Direction=H","UseDPDF=Y")</f>
        <v>—</v>
      </c>
      <c r="U75" s="13" t="str">
        <f>_xll.BDH("ALNY US Equity","ARDR_LITIGATION_EXP","FQ2 2023","FQ2 2023","Currency=USD","Period=FQ","BEST_FPERIOD_OVERRIDE=FQ","FILING_STATUS=MR","SCALING_FORMAT=MLN","Sort=A","Dates=H","DateFormat=P","Fill=—","Direction=H","UseDPDF=Y")</f>
        <v>—</v>
      </c>
      <c r="V75" s="13" t="str">
        <f>_xll.BDH("ALNY US Equity","ARDR_LITIGATION_EXP","FQ3 2023","FQ3 2023","Currency=USD","Period=FQ","BEST_FPERIOD_OVERRIDE=FQ","FILING_STATUS=MR","SCALING_FORMAT=MLN","Sort=A","Dates=H","DateFormat=P","Fill=—","Direction=H","UseDPDF=Y")</f>
        <v>—</v>
      </c>
      <c r="W75" s="13" t="str">
        <f>_xll.BDH("ALNY US Equity","ARDR_LITIGATION_EXP","FQ4 2023","FQ4 2023","Currency=USD","Period=FQ","BEST_FPERIOD_OVERRIDE=FQ","FILING_STATUS=MR","SCALING_FORMAT=MLN","Sort=A","Dates=H","DateFormat=P","Fill=—","Direction=H","UseDPDF=Y")</f>
        <v>—</v>
      </c>
      <c r="X75" s="13" t="str">
        <f>_xll.BDH("ALNY US Equity","ARDR_LITIGATION_EXP","FQ1 2024","FQ1 2024","Currency=USD","Period=FQ","BEST_FPERIOD_OVERRIDE=FQ","FILING_STATUS=MR","SCALING_FORMAT=MLN","Sort=A","Dates=H","DateFormat=P","Fill=—","Direction=H","UseDPDF=Y")</f>
        <v>—</v>
      </c>
      <c r="Y75" s="13" t="str">
        <f>_xll.BDH("ALNY US Equity","ARDR_LITIGATION_EXP","FQ2 2024","FQ2 2024","Currency=USD","Period=FQ","BEST_FPERIOD_OVERRIDE=FQ","FILING_STATUS=MR","SCALING_FORMAT=MLN","Sort=A","Dates=H","DateFormat=P","Fill=—","Direction=H","UseDPDF=Y")</f>
        <v>—</v>
      </c>
      <c r="Z75" s="13" t="str">
        <f>_xll.BDH("ALNY US Equity","ARDR_LITIGATION_EXP","FQ3 2024","FQ3 2024","Currency=USD","Period=FQ","BEST_FPERIOD_OVERRIDE=FQ","FILING_STATUS=MR","SCALING_FORMAT=MLN","Sort=A","Dates=H","DateFormat=P","Fill=—","Direction=H","UseDPDF=Y")</f>
        <v>—</v>
      </c>
      <c r="AA75" s="13" t="str">
        <f>_xll.BDH("ALNY US Equity","ARDR_LITIGATION_EXP","FQ4 2024","FQ4 2024","Currency=USD","Period=FQ","BEST_FPERIOD_OVERRIDE=FQ","FILING_STATUS=MR","SCALING_FORMAT=MLN","Sort=A","Dates=H","DateFormat=P","Fill=—","Direction=H","UseDPDF=Y")</f>
        <v>—</v>
      </c>
    </row>
    <row r="76" spans="1:27" x14ac:dyDescent="0.25">
      <c r="A76" s="10" t="s">
        <v>519</v>
      </c>
      <c r="B76" s="10" t="s">
        <v>520</v>
      </c>
      <c r="C76" s="13" t="str">
        <f>_xll.BDH("ALNY US Equity","ARDR_MERGER_ACQUISITION_EXPENSE","FQ4 2018","FQ4 2018","Currency=USD","Period=FQ","BEST_FPERIOD_OVERRIDE=FQ","FILING_STATUS=MR","SCALING_FORMAT=MLN","Sort=A","Dates=H","DateFormat=P","Fill=—","Direction=H","UseDPDF=Y")</f>
        <v>—</v>
      </c>
      <c r="D76" s="13" t="str">
        <f>_xll.BDH("ALNY US Equity","ARDR_MERGER_ACQUISITION_EXPENSE","FQ1 2019","FQ1 2019","Currency=USD","Period=FQ","BEST_FPERIOD_OVERRIDE=FQ","FILING_STATUS=MR","SCALING_FORMAT=MLN","Sort=A","Dates=H","DateFormat=P","Fill=—","Direction=H","UseDPDF=Y")</f>
        <v>—</v>
      </c>
      <c r="E76" s="13" t="str">
        <f>_xll.BDH("ALNY US Equity","ARDR_MERGER_ACQUISITION_EXPENSE","FQ2 2019","FQ2 2019","Currency=USD","Period=FQ","BEST_FPERIOD_OVERRIDE=FQ","FILING_STATUS=MR","SCALING_FORMAT=MLN","Sort=A","Dates=H","DateFormat=P","Fill=—","Direction=H","UseDPDF=Y")</f>
        <v>—</v>
      </c>
      <c r="F76" s="13" t="str">
        <f>_xll.BDH("ALNY US Equity","ARDR_MERGER_ACQUISITION_EXPENSE","FQ3 2019","FQ3 2019","Currency=USD","Period=FQ","BEST_FPERIOD_OVERRIDE=FQ","FILING_STATUS=MR","SCALING_FORMAT=MLN","Sort=A","Dates=H","DateFormat=P","Fill=—","Direction=H","UseDPDF=Y")</f>
        <v>—</v>
      </c>
      <c r="G76" s="13" t="str">
        <f>_xll.BDH("ALNY US Equity","ARDR_MERGER_ACQUISITION_EXPENSE","FQ4 2019","FQ4 2019","Currency=USD","Period=FQ","BEST_FPERIOD_OVERRIDE=FQ","FILING_STATUS=MR","SCALING_FORMAT=MLN","Sort=A","Dates=H","DateFormat=P","Fill=—","Direction=H","UseDPDF=Y")</f>
        <v>—</v>
      </c>
      <c r="H76" s="13" t="str">
        <f>_xll.BDH("ALNY US Equity","ARDR_MERGER_ACQUISITION_EXPENSE","FQ1 2020","FQ1 2020","Currency=USD","Period=FQ","BEST_FPERIOD_OVERRIDE=FQ","FILING_STATUS=MR","SCALING_FORMAT=MLN","Sort=A","Dates=H","DateFormat=P","Fill=—","Direction=H","UseDPDF=Y")</f>
        <v>—</v>
      </c>
      <c r="I76" s="13" t="str">
        <f>_xll.BDH("ALNY US Equity","ARDR_MERGER_ACQUISITION_EXPENSE","FQ2 2020","FQ2 2020","Currency=USD","Period=FQ","BEST_FPERIOD_OVERRIDE=FQ","FILING_STATUS=MR","SCALING_FORMAT=MLN","Sort=A","Dates=H","DateFormat=P","Fill=—","Direction=H","UseDPDF=Y")</f>
        <v>—</v>
      </c>
      <c r="J76" s="13">
        <f>_xll.BDH("ALNY US Equity","ARDR_MERGER_ACQUISITION_EXPENSE","FQ3 2020","FQ3 2020","Currency=USD","Period=FQ","BEST_FPERIOD_OVERRIDE=FQ","FILING_STATUS=MR","SCALING_FORMAT=MLN","Sort=A","Dates=H","DateFormat=P","Fill=—","Direction=H","UseDPDF=Y")</f>
        <v>28</v>
      </c>
      <c r="K76" s="13">
        <f>_xll.BDH("ALNY US Equity","ARDR_MERGER_ACQUISITION_EXPENSE","FQ4 2020","FQ4 2020","Currency=USD","Period=FQ","BEST_FPERIOD_OVERRIDE=FQ","FILING_STATUS=MR","SCALING_FORMAT=MLN","Sort=A","Dates=H","DateFormat=P","Fill=—","Direction=H","UseDPDF=Y")</f>
        <v>10.215999999999999</v>
      </c>
      <c r="L76" s="13" t="str">
        <f>_xll.BDH("ALNY US Equity","ARDR_MERGER_ACQUISITION_EXPENSE","FQ1 2021","FQ1 2021","Currency=USD","Period=FQ","BEST_FPERIOD_OVERRIDE=FQ","FILING_STATUS=MR","SCALING_FORMAT=MLN","Sort=A","Dates=H","DateFormat=P","Fill=—","Direction=H","UseDPDF=Y")</f>
        <v>—</v>
      </c>
      <c r="M76" s="13" t="str">
        <f>_xll.BDH("ALNY US Equity","ARDR_MERGER_ACQUISITION_EXPENSE","FQ2 2021","FQ2 2021","Currency=USD","Period=FQ","BEST_FPERIOD_OVERRIDE=FQ","FILING_STATUS=MR","SCALING_FORMAT=MLN","Sort=A","Dates=H","DateFormat=P","Fill=—","Direction=H","UseDPDF=Y")</f>
        <v>—</v>
      </c>
      <c r="N76" s="13" t="str">
        <f>_xll.BDH("ALNY US Equity","ARDR_MERGER_ACQUISITION_EXPENSE","FQ3 2021","FQ3 2021","Currency=USD","Period=FQ","BEST_FPERIOD_OVERRIDE=FQ","FILING_STATUS=MR","SCALING_FORMAT=MLN","Sort=A","Dates=H","DateFormat=P","Fill=—","Direction=H","UseDPDF=Y")</f>
        <v>—</v>
      </c>
      <c r="O76" s="13">
        <f>_xll.BDH("ALNY US Equity","ARDR_MERGER_ACQUISITION_EXPENSE","FQ4 2021","FQ4 2021","Currency=USD","Period=FQ","BEST_FPERIOD_OVERRIDE=FQ","FILING_STATUS=MR","SCALING_FORMAT=MLN","Sort=A","Dates=H","DateFormat=P","Fill=—","Direction=H","UseDPDF=Y")</f>
        <v>0</v>
      </c>
      <c r="P76" s="13" t="str">
        <f>_xll.BDH("ALNY US Equity","ARDR_MERGER_ACQUISITION_EXPENSE","FQ1 2022","FQ1 2022","Currency=USD","Period=FQ","BEST_FPERIOD_OVERRIDE=FQ","FILING_STATUS=MR","SCALING_FORMAT=MLN","Sort=A","Dates=H","DateFormat=P","Fill=—","Direction=H","UseDPDF=Y")</f>
        <v>—</v>
      </c>
      <c r="Q76" s="13" t="str">
        <f>_xll.BDH("ALNY US Equity","ARDR_MERGER_ACQUISITION_EXPENSE","FQ2 2022","FQ2 2022","Currency=USD","Period=FQ","BEST_FPERIOD_OVERRIDE=FQ","FILING_STATUS=MR","SCALING_FORMAT=MLN","Sort=A","Dates=H","DateFormat=P","Fill=—","Direction=H","UseDPDF=Y")</f>
        <v>—</v>
      </c>
      <c r="R76" s="13" t="str">
        <f>_xll.BDH("ALNY US Equity","ARDR_MERGER_ACQUISITION_EXPENSE","FQ3 2022","FQ3 2022","Currency=USD","Period=FQ","BEST_FPERIOD_OVERRIDE=FQ","FILING_STATUS=MR","SCALING_FORMAT=MLN","Sort=A","Dates=H","DateFormat=P","Fill=—","Direction=H","UseDPDF=Y")</f>
        <v>—</v>
      </c>
      <c r="S76" s="13" t="str">
        <f>_xll.BDH("ALNY US Equity","ARDR_MERGER_ACQUISITION_EXPENSE","FQ4 2022","FQ4 2022","Currency=USD","Period=FQ","BEST_FPERIOD_OVERRIDE=FQ","FILING_STATUS=MR","SCALING_FORMAT=MLN","Sort=A","Dates=H","DateFormat=P","Fill=—","Direction=H","UseDPDF=Y")</f>
        <v>—</v>
      </c>
      <c r="T76" s="13" t="str">
        <f>_xll.BDH("ALNY US Equity","ARDR_MERGER_ACQUISITION_EXPENSE","FQ1 2023","FQ1 2023","Currency=USD","Period=FQ","BEST_FPERIOD_OVERRIDE=FQ","FILING_STATUS=MR","SCALING_FORMAT=MLN","Sort=A","Dates=H","DateFormat=P","Fill=—","Direction=H","UseDPDF=Y")</f>
        <v>—</v>
      </c>
      <c r="U76" s="13" t="str">
        <f>_xll.BDH("ALNY US Equity","ARDR_MERGER_ACQUISITION_EXPENSE","FQ2 2023","FQ2 2023","Currency=USD","Period=FQ","BEST_FPERIOD_OVERRIDE=FQ","FILING_STATUS=MR","SCALING_FORMAT=MLN","Sort=A","Dates=H","DateFormat=P","Fill=—","Direction=H","UseDPDF=Y")</f>
        <v>—</v>
      </c>
      <c r="V76" s="13" t="str">
        <f>_xll.BDH("ALNY US Equity","ARDR_MERGER_ACQUISITION_EXPENSE","FQ3 2023","FQ3 2023","Currency=USD","Period=FQ","BEST_FPERIOD_OVERRIDE=FQ","FILING_STATUS=MR","SCALING_FORMAT=MLN","Sort=A","Dates=H","DateFormat=P","Fill=—","Direction=H","UseDPDF=Y")</f>
        <v>—</v>
      </c>
      <c r="W76" s="13" t="str">
        <f>_xll.BDH("ALNY US Equity","ARDR_MERGER_ACQUISITION_EXPENSE","FQ4 2023","FQ4 2023","Currency=USD","Period=FQ","BEST_FPERIOD_OVERRIDE=FQ","FILING_STATUS=MR","SCALING_FORMAT=MLN","Sort=A","Dates=H","DateFormat=P","Fill=—","Direction=H","UseDPDF=Y")</f>
        <v>—</v>
      </c>
      <c r="X76" s="13" t="str">
        <f>_xll.BDH("ALNY US Equity","ARDR_MERGER_ACQUISITION_EXPENSE","FQ1 2024","FQ1 2024","Currency=USD","Period=FQ","BEST_FPERIOD_OVERRIDE=FQ","FILING_STATUS=MR","SCALING_FORMAT=MLN","Sort=A","Dates=H","DateFormat=P","Fill=—","Direction=H","UseDPDF=Y")</f>
        <v>—</v>
      </c>
      <c r="Y76" s="13" t="str">
        <f>_xll.BDH("ALNY US Equity","ARDR_MERGER_ACQUISITION_EXPENSE","FQ2 2024","FQ2 2024","Currency=USD","Period=FQ","BEST_FPERIOD_OVERRIDE=FQ","FILING_STATUS=MR","SCALING_FORMAT=MLN","Sort=A","Dates=H","DateFormat=P","Fill=—","Direction=H","UseDPDF=Y")</f>
        <v>—</v>
      </c>
      <c r="Z76" s="13" t="str">
        <f>_xll.BDH("ALNY US Equity","ARDR_MERGER_ACQUISITION_EXPENSE","FQ3 2024","FQ3 2024","Currency=USD","Period=FQ","BEST_FPERIOD_OVERRIDE=FQ","FILING_STATUS=MR","SCALING_FORMAT=MLN","Sort=A","Dates=H","DateFormat=P","Fill=—","Direction=H","UseDPDF=Y")</f>
        <v>—</v>
      </c>
      <c r="AA76" s="13" t="str">
        <f>_xll.BDH("ALNY US Equity","ARDR_MERGER_ACQUISITION_EXPENSE","FQ4 2024","FQ4 2024","Currency=USD","Period=FQ","BEST_FPERIOD_OVERRIDE=FQ","FILING_STATUS=MR","SCALING_FORMAT=MLN","Sort=A","Dates=H","DateFormat=P","Fill=—","Direction=H","UseDPDF=Y")</f>
        <v>—</v>
      </c>
    </row>
    <row r="77" spans="1:27" x14ac:dyDescent="0.25">
      <c r="A77" s="10" t="s">
        <v>1</v>
      </c>
      <c r="B77" s="10" t="s">
        <v>521</v>
      </c>
      <c r="C77" s="13" t="str">
        <f>_xll.BDH("ALNY US Equity","ARDR_TOTAL_REVENUES","FQ4 2018","FQ4 2018","Currency=USD","Period=FQ","BEST_FPERIOD_OVERRIDE=FQ","FILING_STATUS=MR","SCALING_FORMAT=MLN","Sort=A","Dates=H","DateFormat=P","Fill=—","Direction=H","UseDPDF=Y")</f>
        <v>—</v>
      </c>
      <c r="D77" s="13" t="str">
        <f>_xll.BDH("ALNY US Equity","ARDR_TOTAL_REVENUES","FQ1 2019","FQ1 2019","Currency=USD","Period=FQ","BEST_FPERIOD_OVERRIDE=FQ","FILING_STATUS=MR","SCALING_FORMAT=MLN","Sort=A","Dates=H","DateFormat=P","Fill=—","Direction=H","UseDPDF=Y")</f>
        <v>—</v>
      </c>
      <c r="E77" s="13" t="str">
        <f>_xll.BDH("ALNY US Equity","ARDR_TOTAL_REVENUES","FQ2 2019","FQ2 2019","Currency=USD","Period=FQ","BEST_FPERIOD_OVERRIDE=FQ","FILING_STATUS=MR","SCALING_FORMAT=MLN","Sort=A","Dates=H","DateFormat=P","Fill=—","Direction=H","UseDPDF=Y")</f>
        <v>—</v>
      </c>
      <c r="F77" s="13" t="str">
        <f>_xll.BDH("ALNY US Equity","ARDR_TOTAL_REVENUES","FQ3 2019","FQ3 2019","Currency=USD","Period=FQ","BEST_FPERIOD_OVERRIDE=FQ","FILING_STATUS=MR","SCALING_FORMAT=MLN","Sort=A","Dates=H","DateFormat=P","Fill=—","Direction=H","UseDPDF=Y")</f>
        <v>—</v>
      </c>
      <c r="G77" s="13" t="str">
        <f>_xll.BDH("ALNY US Equity","ARDR_TOTAL_REVENUES","FQ4 2019","FQ4 2019","Currency=USD","Period=FQ","BEST_FPERIOD_OVERRIDE=FQ","FILING_STATUS=MR","SCALING_FORMAT=MLN","Sort=A","Dates=H","DateFormat=P","Fill=—","Direction=H","UseDPDF=Y")</f>
        <v>—</v>
      </c>
      <c r="H77" s="13" t="str">
        <f>_xll.BDH("ALNY US Equity","ARDR_TOTAL_REVENUES","FQ1 2020","FQ1 2020","Currency=USD","Period=FQ","BEST_FPERIOD_OVERRIDE=FQ","FILING_STATUS=MR","SCALING_FORMAT=MLN","Sort=A","Dates=H","DateFormat=P","Fill=—","Direction=H","UseDPDF=Y")</f>
        <v>—</v>
      </c>
      <c r="I77" s="13" t="str">
        <f>_xll.BDH("ALNY US Equity","ARDR_TOTAL_REVENUES","FQ2 2020","FQ2 2020","Currency=USD","Period=FQ","BEST_FPERIOD_OVERRIDE=FQ","FILING_STATUS=MR","SCALING_FORMAT=MLN","Sort=A","Dates=H","DateFormat=P","Fill=—","Direction=H","UseDPDF=Y")</f>
        <v>—</v>
      </c>
      <c r="J77" s="13" t="str">
        <f>_xll.BDH("ALNY US Equity","ARDR_TOTAL_REVENUES","FQ3 2020","FQ3 2020","Currency=USD","Period=FQ","BEST_FPERIOD_OVERRIDE=FQ","FILING_STATUS=MR","SCALING_FORMAT=MLN","Sort=A","Dates=H","DateFormat=P","Fill=—","Direction=H","UseDPDF=Y")</f>
        <v>—</v>
      </c>
      <c r="K77" s="13" t="str">
        <f>_xll.BDH("ALNY US Equity","ARDR_TOTAL_REVENUES","FQ4 2020","FQ4 2020","Currency=USD","Period=FQ","BEST_FPERIOD_OVERRIDE=FQ","FILING_STATUS=MR","SCALING_FORMAT=MLN","Sort=A","Dates=H","DateFormat=P","Fill=—","Direction=H","UseDPDF=Y")</f>
        <v>—</v>
      </c>
      <c r="L77" s="13" t="str">
        <f>_xll.BDH("ALNY US Equity","ARDR_TOTAL_REVENUES","FQ1 2021","FQ1 2021","Currency=USD","Period=FQ","BEST_FPERIOD_OVERRIDE=FQ","FILING_STATUS=MR","SCALING_FORMAT=MLN","Sort=A","Dates=H","DateFormat=P","Fill=—","Direction=H","UseDPDF=Y")</f>
        <v>—</v>
      </c>
      <c r="M77" s="13" t="str">
        <f>_xll.BDH("ALNY US Equity","ARDR_TOTAL_REVENUES","FQ2 2021","FQ2 2021","Currency=USD","Period=FQ","BEST_FPERIOD_OVERRIDE=FQ","FILING_STATUS=MR","SCALING_FORMAT=MLN","Sort=A","Dates=H","DateFormat=P","Fill=—","Direction=H","UseDPDF=Y")</f>
        <v>—</v>
      </c>
      <c r="N77" s="13">
        <f>_xll.BDH("ALNY US Equity","ARDR_TOTAL_REVENUES","FQ3 2021","FQ3 2021","Currency=USD","Period=FQ","BEST_FPERIOD_OVERRIDE=FQ","FILING_STATUS=MR","SCALING_FORMAT=MLN","Sort=A","Dates=H","DateFormat=P","Fill=—","Direction=H","UseDPDF=Y")</f>
        <v>187.63300000000001</v>
      </c>
      <c r="O77" s="13">
        <f>_xll.BDH("ALNY US Equity","ARDR_TOTAL_REVENUES","FQ4 2021","FQ4 2021","Currency=USD","Period=FQ","BEST_FPERIOD_OVERRIDE=FQ","FILING_STATUS=MR","SCALING_FORMAT=MLN","Sort=A","Dates=H","DateFormat=P","Fill=—","Direction=H","UseDPDF=Y")</f>
        <v>258.53500000000003</v>
      </c>
      <c r="P77" s="13" t="str">
        <f>_xll.BDH("ALNY US Equity","ARDR_TOTAL_REVENUES","FQ1 2022","FQ1 2022","Currency=USD","Period=FQ","BEST_FPERIOD_OVERRIDE=FQ","FILING_STATUS=MR","SCALING_FORMAT=MLN","Sort=A","Dates=H","DateFormat=P","Fill=—","Direction=H","UseDPDF=Y")</f>
        <v>—</v>
      </c>
      <c r="Q77" s="13" t="str">
        <f>_xll.BDH("ALNY US Equity","ARDR_TOTAL_REVENUES","FQ2 2022","FQ2 2022","Currency=USD","Period=FQ","BEST_FPERIOD_OVERRIDE=FQ","FILING_STATUS=MR","SCALING_FORMAT=MLN","Sort=A","Dates=H","DateFormat=P","Fill=—","Direction=H","UseDPDF=Y")</f>
        <v>—</v>
      </c>
      <c r="R77" s="13">
        <f>_xll.BDH("ALNY US Equity","ARDR_TOTAL_REVENUES","FQ3 2022","FQ3 2022","Currency=USD","Period=FQ","BEST_FPERIOD_OVERRIDE=FQ","FILING_STATUS=MR","SCALING_FORMAT=MLN","Sort=A","Dates=H","DateFormat=P","Fill=—","Direction=H","UseDPDF=Y")</f>
        <v>264.30599999999998</v>
      </c>
      <c r="S77" s="13">
        <f>_xll.BDH("ALNY US Equity","ARDR_TOTAL_REVENUES","FQ4 2022","FQ4 2022","Currency=USD","Period=FQ","BEST_FPERIOD_OVERRIDE=FQ","FILING_STATUS=MR","SCALING_FORMAT=MLN","Sort=A","Dates=H","DateFormat=P","Fill=—","Direction=H","UseDPDF=Y")</f>
        <v>335.03500000000003</v>
      </c>
      <c r="T77" s="13">
        <f>_xll.BDH("ALNY US Equity","ARDR_TOTAL_REVENUES","FQ1 2023","FQ1 2023","Currency=USD","Period=FQ","BEST_FPERIOD_OVERRIDE=FQ","FILING_STATUS=MR","SCALING_FORMAT=MLN","Sort=A","Dates=H","DateFormat=P","Fill=—","Direction=H","UseDPDF=Y")</f>
        <v>319.29000000000002</v>
      </c>
      <c r="U77" s="13">
        <f>_xll.BDH("ALNY US Equity","ARDR_TOTAL_REVENUES","FQ2 2023","FQ2 2023","Currency=USD","Period=FQ","BEST_FPERIOD_OVERRIDE=FQ","FILING_STATUS=MR","SCALING_FORMAT=MLN","Sort=A","Dates=H","DateFormat=P","Fill=—","Direction=H","UseDPDF=Y")</f>
        <v>318.75400000000002</v>
      </c>
      <c r="V77" s="13">
        <f>_xll.BDH("ALNY US Equity","ARDR_TOTAL_REVENUES","FQ3 2023","FQ3 2023","Currency=USD","Period=FQ","BEST_FPERIOD_OVERRIDE=FQ","FILING_STATUS=MR","SCALING_FORMAT=MLN","Sort=A","Dates=H","DateFormat=P","Fill=—","Direction=H","UseDPDF=Y")</f>
        <v>750.53</v>
      </c>
      <c r="W77" s="13">
        <f>_xll.BDH("ALNY US Equity","ARDR_TOTAL_REVENUES","FQ4 2023","FQ4 2023","Currency=USD","Period=FQ","BEST_FPERIOD_OVERRIDE=FQ","FILING_STATUS=MR","SCALING_FORMAT=MLN","Sort=A","Dates=H","DateFormat=P","Fill=—","Direction=H","UseDPDF=Y")</f>
        <v>439.71800000000002</v>
      </c>
      <c r="X77" s="13">
        <f>_xll.BDH("ALNY US Equity","ARDR_TOTAL_REVENUES","FQ1 2024","FQ1 2024","Currency=USD","Period=FQ","BEST_FPERIOD_OVERRIDE=FQ","FILING_STATUS=MR","SCALING_FORMAT=MLN","Sort=A","Dates=H","DateFormat=P","Fill=—","Direction=H","UseDPDF=Y")</f>
        <v>494.33300000000003</v>
      </c>
      <c r="Y77" s="13">
        <f>_xll.BDH("ALNY US Equity","ARDR_TOTAL_REVENUES","FQ2 2024","FQ2 2024","Currency=USD","Period=FQ","BEST_FPERIOD_OVERRIDE=FQ","FILING_STATUS=MR","SCALING_FORMAT=MLN","Sort=A","Dates=H","DateFormat=P","Fill=—","Direction=H","UseDPDF=Y")</f>
        <v>659.82500000000005</v>
      </c>
      <c r="Z77" s="13">
        <f>_xll.BDH("ALNY US Equity","ARDR_TOTAL_REVENUES","FQ3 2024","FQ3 2024","Currency=USD","Period=FQ","BEST_FPERIOD_OVERRIDE=FQ","FILING_STATUS=MR","SCALING_FORMAT=MLN","Sort=A","Dates=H","DateFormat=P","Fill=—","Direction=H","UseDPDF=Y")</f>
        <v>500.91899999999998</v>
      </c>
      <c r="AA77" s="13">
        <f>_xll.BDH("ALNY US Equity","ARDR_TOTAL_REVENUES","FQ4 2024","FQ4 2024","Currency=USD","Period=FQ","BEST_FPERIOD_OVERRIDE=FQ","FILING_STATUS=MR","SCALING_FORMAT=MLN","Sort=A","Dates=H","DateFormat=P","Fill=—","Direction=H","UseDPDF=Y")</f>
        <v>593.16600000000005</v>
      </c>
    </row>
    <row r="78" spans="1:27" x14ac:dyDescent="0.25">
      <c r="A78" s="10" t="s">
        <v>407</v>
      </c>
      <c r="B78" s="10" t="s">
        <v>522</v>
      </c>
      <c r="C78" s="13" t="str">
        <f>_xll.BDH("ALNY US Equity","ARDR_ROYALTY_REVENUE","FQ4 2018","FQ4 2018","Currency=USD","Period=FQ","BEST_FPERIOD_OVERRIDE=FQ","FILING_STATUS=MR","SCALING_FORMAT=MLN","Sort=A","Dates=H","DateFormat=P","Fill=—","Direction=H","UseDPDF=Y")</f>
        <v>—</v>
      </c>
      <c r="D78" s="13" t="str">
        <f>_xll.BDH("ALNY US Equity","ARDR_ROYALTY_REVENUE","FQ1 2019","FQ1 2019","Currency=USD","Period=FQ","BEST_FPERIOD_OVERRIDE=FQ","FILING_STATUS=MR","SCALING_FORMAT=MLN","Sort=A","Dates=H","DateFormat=P","Fill=—","Direction=H","UseDPDF=Y")</f>
        <v>—</v>
      </c>
      <c r="E78" s="13" t="str">
        <f>_xll.BDH("ALNY US Equity","ARDR_ROYALTY_REVENUE","FQ2 2019","FQ2 2019","Currency=USD","Period=FQ","BEST_FPERIOD_OVERRIDE=FQ","FILING_STATUS=MR","SCALING_FORMAT=MLN","Sort=A","Dates=H","DateFormat=P","Fill=—","Direction=H","UseDPDF=Y")</f>
        <v>—</v>
      </c>
      <c r="F78" s="13" t="str">
        <f>_xll.BDH("ALNY US Equity","ARDR_ROYALTY_REVENUE","FQ3 2019","FQ3 2019","Currency=USD","Period=FQ","BEST_FPERIOD_OVERRIDE=FQ","FILING_STATUS=MR","SCALING_FORMAT=MLN","Sort=A","Dates=H","DateFormat=P","Fill=—","Direction=H","UseDPDF=Y")</f>
        <v>—</v>
      </c>
      <c r="G78" s="13" t="str">
        <f>_xll.BDH("ALNY US Equity","ARDR_ROYALTY_REVENUE","FQ4 2019","FQ4 2019","Currency=USD","Period=FQ","BEST_FPERIOD_OVERRIDE=FQ","FILING_STATUS=MR","SCALING_FORMAT=MLN","Sort=A","Dates=H","DateFormat=P","Fill=—","Direction=H","UseDPDF=Y")</f>
        <v>—</v>
      </c>
      <c r="H78" s="13" t="str">
        <f>_xll.BDH("ALNY US Equity","ARDR_ROYALTY_REVENUE","FQ1 2020","FQ1 2020","Currency=USD","Period=FQ","BEST_FPERIOD_OVERRIDE=FQ","FILING_STATUS=MR","SCALING_FORMAT=MLN","Sort=A","Dates=H","DateFormat=P","Fill=—","Direction=H","UseDPDF=Y")</f>
        <v>—</v>
      </c>
      <c r="I78" s="13" t="str">
        <f>_xll.BDH("ALNY US Equity","ARDR_ROYALTY_REVENUE","FQ2 2020","FQ2 2020","Currency=USD","Period=FQ","BEST_FPERIOD_OVERRIDE=FQ","FILING_STATUS=MR","SCALING_FORMAT=MLN","Sort=A","Dates=H","DateFormat=P","Fill=—","Direction=H","UseDPDF=Y")</f>
        <v>—</v>
      </c>
      <c r="J78" s="13" t="str">
        <f>_xll.BDH("ALNY US Equity","ARDR_ROYALTY_REVENUE","FQ3 2020","FQ3 2020","Currency=USD","Period=FQ","BEST_FPERIOD_OVERRIDE=FQ","FILING_STATUS=MR","SCALING_FORMAT=MLN","Sort=A","Dates=H","DateFormat=P","Fill=—","Direction=H","UseDPDF=Y")</f>
        <v>—</v>
      </c>
      <c r="K78" s="13" t="str">
        <f>_xll.BDH("ALNY US Equity","ARDR_ROYALTY_REVENUE","FQ4 2020","FQ4 2020","Currency=USD","Period=FQ","BEST_FPERIOD_OVERRIDE=FQ","FILING_STATUS=MR","SCALING_FORMAT=MLN","Sort=A","Dates=H","DateFormat=P","Fill=—","Direction=H","UseDPDF=Y")</f>
        <v>—</v>
      </c>
      <c r="L78" s="13" t="str">
        <f>_xll.BDH("ALNY US Equity","ARDR_ROYALTY_REVENUE","FQ1 2021","FQ1 2021","Currency=USD","Period=FQ","BEST_FPERIOD_OVERRIDE=FQ","FILING_STATUS=MR","SCALING_FORMAT=MLN","Sort=A","Dates=H","DateFormat=P","Fill=—","Direction=H","UseDPDF=Y")</f>
        <v>—</v>
      </c>
      <c r="M78" s="13">
        <f>_xll.BDH("ALNY US Equity","ARDR_ROYALTY_REVENUE","FQ2 2021","FQ2 2021","Currency=USD","Period=FQ","BEST_FPERIOD_OVERRIDE=FQ","FILING_STATUS=MR","SCALING_FORMAT=MLN","Sort=A","Dates=H","DateFormat=P","Fill=—","Direction=H","UseDPDF=Y")</f>
        <v>0.34699999999999998</v>
      </c>
      <c r="N78" s="13">
        <f>_xll.BDH("ALNY US Equity","ARDR_ROYALTY_REVENUE","FQ3 2021","FQ3 2021","Currency=USD","Period=FQ","BEST_FPERIOD_OVERRIDE=FQ","FILING_STATUS=MR","SCALING_FORMAT=MLN","Sort=A","Dates=H","DateFormat=P","Fill=—","Direction=H","UseDPDF=Y")</f>
        <v>0.45300000000000001</v>
      </c>
      <c r="O78" s="13" t="str">
        <f>_xll.BDH("ALNY US Equity","ARDR_ROYALTY_REVENUE","FQ4 2021","FQ4 2021","Currency=USD","Period=FQ","BEST_FPERIOD_OVERRIDE=FQ","FILING_STATUS=MR","SCALING_FORMAT=MLN","Sort=A","Dates=H","DateFormat=P","Fill=—","Direction=H","UseDPDF=Y")</f>
        <v>—</v>
      </c>
      <c r="P78" s="13" t="str">
        <f>_xll.BDH("ALNY US Equity","ARDR_ROYALTY_REVENUE","FQ1 2022","FQ1 2022","Currency=USD","Period=FQ","BEST_FPERIOD_OVERRIDE=FQ","FILING_STATUS=MR","SCALING_FORMAT=MLN","Sort=A","Dates=H","DateFormat=P","Fill=—","Direction=H","UseDPDF=Y")</f>
        <v>—</v>
      </c>
      <c r="Q78" s="13" t="str">
        <f>_xll.BDH("ALNY US Equity","ARDR_ROYALTY_REVENUE","FQ2 2022","FQ2 2022","Currency=USD","Period=FQ","BEST_FPERIOD_OVERRIDE=FQ","FILING_STATUS=MR","SCALING_FORMAT=MLN","Sort=A","Dates=H","DateFormat=P","Fill=—","Direction=H","UseDPDF=Y")</f>
        <v>—</v>
      </c>
      <c r="R78" s="13">
        <f>_xll.BDH("ALNY US Equity","ARDR_ROYALTY_REVENUE","FQ3 2022","FQ3 2022","Currency=USD","Period=FQ","BEST_FPERIOD_OVERRIDE=FQ","FILING_STATUS=MR","SCALING_FORMAT=MLN","Sort=A","Dates=H","DateFormat=P","Fill=—","Direction=H","UseDPDF=Y")</f>
        <v>2.742</v>
      </c>
      <c r="S78" s="13">
        <f>_xll.BDH("ALNY US Equity","ARDR_ROYALTY_REVENUE","FQ4 2022","FQ4 2022","Currency=USD","Period=FQ","BEST_FPERIOD_OVERRIDE=FQ","FILING_STATUS=MR","SCALING_FORMAT=MLN","Sort=A","Dates=H","DateFormat=P","Fill=—","Direction=H","UseDPDF=Y")</f>
        <v>2.7149999999999999</v>
      </c>
      <c r="T78" s="13">
        <f>_xll.BDH("ALNY US Equity","ARDR_ROYALTY_REVENUE","FQ1 2023","FQ1 2023","Currency=USD","Period=FQ","BEST_FPERIOD_OVERRIDE=FQ","FILING_STATUS=MR","SCALING_FORMAT=MLN","Sort=A","Dates=H","DateFormat=P","Fill=—","Direction=H","UseDPDF=Y")</f>
        <v>6.5</v>
      </c>
      <c r="U78" s="13">
        <f>_xll.BDH("ALNY US Equity","ARDR_ROYALTY_REVENUE","FQ2 2023","FQ2 2023","Currency=USD","Period=FQ","BEST_FPERIOD_OVERRIDE=FQ","FILING_STATUS=MR","SCALING_FORMAT=MLN","Sort=A","Dates=H","DateFormat=P","Fill=—","Direction=H","UseDPDF=Y")</f>
        <v>7.2050000000000001</v>
      </c>
      <c r="V78" s="13">
        <f>_xll.BDH("ALNY US Equity","ARDR_ROYALTY_REVENUE","FQ3 2023","FQ3 2023","Currency=USD","Period=FQ","BEST_FPERIOD_OVERRIDE=FQ","FILING_STATUS=MR","SCALING_FORMAT=MLN","Sort=A","Dates=H","DateFormat=P","Fill=—","Direction=H","UseDPDF=Y")</f>
        <v>9.9049999999999994</v>
      </c>
      <c r="W78" s="13">
        <f>_xll.BDH("ALNY US Equity","ARDR_ROYALTY_REVENUE","FQ4 2023","FQ4 2023","Currency=USD","Period=FQ","BEST_FPERIOD_OVERRIDE=FQ","FILING_STATUS=MR","SCALING_FORMAT=MLN","Sort=A","Dates=H","DateFormat=P","Fill=—","Direction=H","UseDPDF=Y")</f>
        <v>17.023</v>
      </c>
      <c r="X78" s="13">
        <f>_xll.BDH("ALNY US Equity","ARDR_ROYALTY_REVENUE","FQ1 2024","FQ1 2024","Currency=USD","Period=FQ","BEST_FPERIOD_OVERRIDE=FQ","FILING_STATUS=MR","SCALING_FORMAT=MLN","Sort=A","Dates=H","DateFormat=P","Fill=—","Direction=H","UseDPDF=Y")</f>
        <v>10.622</v>
      </c>
      <c r="Y78" s="13">
        <f>_xll.BDH("ALNY US Equity","ARDR_ROYALTY_REVENUE","FQ2 2024","FQ2 2024","Currency=USD","Period=FQ","BEST_FPERIOD_OVERRIDE=FQ","FILING_STATUS=MR","SCALING_FORMAT=MLN","Sort=A","Dates=H","DateFormat=P","Fill=—","Direction=H","UseDPDF=Y")</f>
        <v>22.399000000000001</v>
      </c>
      <c r="Z78" s="13">
        <f>_xll.BDH("ALNY US Equity","ARDR_ROYALTY_REVENUE","FQ3 2024","FQ3 2024","Currency=USD","Period=FQ","BEST_FPERIOD_OVERRIDE=FQ","FILING_STATUS=MR","SCALING_FORMAT=MLN","Sort=A","Dates=H","DateFormat=P","Fill=—","Direction=H","UseDPDF=Y")</f>
        <v>23.385999999999999</v>
      </c>
      <c r="AA78" s="13">
        <f>_xll.BDH("ALNY US Equity","ARDR_ROYALTY_REVENUE","FQ4 2024","FQ4 2024","Currency=USD","Period=FQ","BEST_FPERIOD_OVERRIDE=FQ","FILING_STATUS=MR","SCALING_FORMAT=MLN","Sort=A","Dates=H","DateFormat=P","Fill=—","Direction=H","UseDPDF=Y")</f>
        <v>35.387</v>
      </c>
    </row>
    <row r="79" spans="1:27" x14ac:dyDescent="0.25">
      <c r="A79" s="10" t="s">
        <v>445</v>
      </c>
      <c r="B79" s="10" t="s">
        <v>523</v>
      </c>
      <c r="C79" s="13" t="str">
        <f>_xll.BDH("ALNY US Equity","ARDR_GL_ON_EARLY_EXT_DEBT_NON_OP","FQ4 2018","FQ4 2018","Currency=USD","Period=FQ","BEST_FPERIOD_OVERRIDE=FQ","FILING_STATUS=MR","SCALING_FORMAT=MLN","Sort=A","Dates=H","DateFormat=P","Fill=—","Direction=H","UseDPDF=Y")</f>
        <v>—</v>
      </c>
      <c r="D79" s="13" t="str">
        <f>_xll.BDH("ALNY US Equity","ARDR_GL_ON_EARLY_EXT_DEBT_NON_OP","FQ1 2019","FQ1 2019","Currency=USD","Period=FQ","BEST_FPERIOD_OVERRIDE=FQ","FILING_STATUS=MR","SCALING_FORMAT=MLN","Sort=A","Dates=H","DateFormat=P","Fill=—","Direction=H","UseDPDF=Y")</f>
        <v>—</v>
      </c>
      <c r="E79" s="13" t="str">
        <f>_xll.BDH("ALNY US Equity","ARDR_GL_ON_EARLY_EXT_DEBT_NON_OP","FQ2 2019","FQ2 2019","Currency=USD","Period=FQ","BEST_FPERIOD_OVERRIDE=FQ","FILING_STATUS=MR","SCALING_FORMAT=MLN","Sort=A","Dates=H","DateFormat=P","Fill=—","Direction=H","UseDPDF=Y")</f>
        <v>—</v>
      </c>
      <c r="F79" s="13" t="str">
        <f>_xll.BDH("ALNY US Equity","ARDR_GL_ON_EARLY_EXT_DEBT_NON_OP","FQ3 2019","FQ3 2019","Currency=USD","Period=FQ","BEST_FPERIOD_OVERRIDE=FQ","FILING_STATUS=MR","SCALING_FORMAT=MLN","Sort=A","Dates=H","DateFormat=P","Fill=—","Direction=H","UseDPDF=Y")</f>
        <v>—</v>
      </c>
      <c r="G79" s="13" t="str">
        <f>_xll.BDH("ALNY US Equity","ARDR_GL_ON_EARLY_EXT_DEBT_NON_OP","FQ4 2019","FQ4 2019","Currency=USD","Period=FQ","BEST_FPERIOD_OVERRIDE=FQ","FILING_STATUS=MR","SCALING_FORMAT=MLN","Sort=A","Dates=H","DateFormat=P","Fill=—","Direction=H","UseDPDF=Y")</f>
        <v>—</v>
      </c>
      <c r="H79" s="13" t="str">
        <f>_xll.BDH("ALNY US Equity","ARDR_GL_ON_EARLY_EXT_DEBT_NON_OP","FQ1 2020","FQ1 2020","Currency=USD","Period=FQ","BEST_FPERIOD_OVERRIDE=FQ","FILING_STATUS=MR","SCALING_FORMAT=MLN","Sort=A","Dates=H","DateFormat=P","Fill=—","Direction=H","UseDPDF=Y")</f>
        <v>—</v>
      </c>
      <c r="I79" s="13" t="str">
        <f>_xll.BDH("ALNY US Equity","ARDR_GL_ON_EARLY_EXT_DEBT_NON_OP","FQ2 2020","FQ2 2020","Currency=USD","Period=FQ","BEST_FPERIOD_OVERRIDE=FQ","FILING_STATUS=MR","SCALING_FORMAT=MLN","Sort=A","Dates=H","DateFormat=P","Fill=—","Direction=H","UseDPDF=Y")</f>
        <v>—</v>
      </c>
      <c r="J79" s="13" t="str">
        <f>_xll.BDH("ALNY US Equity","ARDR_GL_ON_EARLY_EXT_DEBT_NON_OP","FQ3 2020","FQ3 2020","Currency=USD","Period=FQ","BEST_FPERIOD_OVERRIDE=FQ","FILING_STATUS=MR","SCALING_FORMAT=MLN","Sort=A","Dates=H","DateFormat=P","Fill=—","Direction=H","UseDPDF=Y")</f>
        <v>—</v>
      </c>
      <c r="K79" s="13" t="str">
        <f>_xll.BDH("ALNY US Equity","ARDR_GL_ON_EARLY_EXT_DEBT_NON_OP","FQ4 2020","FQ4 2020","Currency=USD","Period=FQ","BEST_FPERIOD_OVERRIDE=FQ","FILING_STATUS=MR","SCALING_FORMAT=MLN","Sort=A","Dates=H","DateFormat=P","Fill=—","Direction=H","UseDPDF=Y")</f>
        <v>—</v>
      </c>
      <c r="L79" s="13" t="str">
        <f>_xll.BDH("ALNY US Equity","ARDR_GL_ON_EARLY_EXT_DEBT_NON_OP","FQ1 2021","FQ1 2021","Currency=USD","Period=FQ","BEST_FPERIOD_OVERRIDE=FQ","FILING_STATUS=MR","SCALING_FORMAT=MLN","Sort=A","Dates=H","DateFormat=P","Fill=—","Direction=H","UseDPDF=Y")</f>
        <v>—</v>
      </c>
      <c r="M79" s="13" t="str">
        <f>_xll.BDH("ALNY US Equity","ARDR_GL_ON_EARLY_EXT_DEBT_NON_OP","FQ2 2021","FQ2 2021","Currency=USD","Period=FQ","BEST_FPERIOD_OVERRIDE=FQ","FILING_STATUS=MR","SCALING_FORMAT=MLN","Sort=A","Dates=H","DateFormat=P","Fill=—","Direction=H","UseDPDF=Y")</f>
        <v>—</v>
      </c>
      <c r="N79" s="13" t="str">
        <f>_xll.BDH("ALNY US Equity","ARDR_GL_ON_EARLY_EXT_DEBT_NON_OP","FQ3 2021","FQ3 2021","Currency=USD","Period=FQ","BEST_FPERIOD_OVERRIDE=FQ","FILING_STATUS=MR","SCALING_FORMAT=MLN","Sort=A","Dates=H","DateFormat=P","Fill=—","Direction=H","UseDPDF=Y")</f>
        <v>—</v>
      </c>
      <c r="O79" s="13" t="str">
        <f>_xll.BDH("ALNY US Equity","ARDR_GL_ON_EARLY_EXT_DEBT_NON_OP","FQ4 2021","FQ4 2021","Currency=USD","Period=FQ","BEST_FPERIOD_OVERRIDE=FQ","FILING_STATUS=MR","SCALING_FORMAT=MLN","Sort=A","Dates=H","DateFormat=P","Fill=—","Direction=H","UseDPDF=Y")</f>
        <v>—</v>
      </c>
      <c r="P79" s="13" t="str">
        <f>_xll.BDH("ALNY US Equity","ARDR_GL_ON_EARLY_EXT_DEBT_NON_OP","FQ1 2022","FQ1 2022","Currency=USD","Period=FQ","BEST_FPERIOD_OVERRIDE=FQ","FILING_STATUS=MR","SCALING_FORMAT=MLN","Sort=A","Dates=H","DateFormat=P","Fill=—","Direction=H","UseDPDF=Y")</f>
        <v>—</v>
      </c>
      <c r="Q79" s="13" t="str">
        <f>_xll.BDH("ALNY US Equity","ARDR_GL_ON_EARLY_EXT_DEBT_NON_OP","FQ2 2022","FQ2 2022","Currency=USD","Period=FQ","BEST_FPERIOD_OVERRIDE=FQ","FILING_STATUS=MR","SCALING_FORMAT=MLN","Sort=A","Dates=H","DateFormat=P","Fill=—","Direction=H","UseDPDF=Y")</f>
        <v>—</v>
      </c>
      <c r="R79" s="13">
        <f>_xll.BDH("ALNY US Equity","ARDR_GL_ON_EARLY_EXT_DEBT_NON_OP","FQ3 2022","FQ3 2022","Currency=USD","Period=FQ","BEST_FPERIOD_OVERRIDE=FQ","FILING_STATUS=MR","SCALING_FORMAT=MLN","Sort=A","Dates=H","DateFormat=P","Fill=—","Direction=H","UseDPDF=Y")</f>
        <v>76.585999999999999</v>
      </c>
      <c r="S79" s="13" t="str">
        <f>_xll.BDH("ALNY US Equity","ARDR_GL_ON_EARLY_EXT_DEBT_NON_OP","FQ4 2022","FQ4 2022","Currency=USD","Period=FQ","BEST_FPERIOD_OVERRIDE=FQ","FILING_STATUS=MR","SCALING_FORMAT=MLN","Sort=A","Dates=H","DateFormat=P","Fill=—","Direction=H","UseDPDF=Y")</f>
        <v>—</v>
      </c>
      <c r="T79" s="13" t="str">
        <f>_xll.BDH("ALNY US Equity","ARDR_GL_ON_EARLY_EXT_DEBT_NON_OP","FQ1 2023","FQ1 2023","Currency=USD","Period=FQ","BEST_FPERIOD_OVERRIDE=FQ","FILING_STATUS=MR","SCALING_FORMAT=MLN","Sort=A","Dates=H","DateFormat=P","Fill=—","Direction=H","UseDPDF=Y")</f>
        <v>—</v>
      </c>
      <c r="U79" s="13" t="str">
        <f>_xll.BDH("ALNY US Equity","ARDR_GL_ON_EARLY_EXT_DEBT_NON_OP","FQ2 2023","FQ2 2023","Currency=USD","Period=FQ","BEST_FPERIOD_OVERRIDE=FQ","FILING_STATUS=MR","SCALING_FORMAT=MLN","Sort=A","Dates=H","DateFormat=P","Fill=—","Direction=H","UseDPDF=Y")</f>
        <v>—</v>
      </c>
      <c r="V79" s="13">
        <f>_xll.BDH("ALNY US Equity","ARDR_GL_ON_EARLY_EXT_DEBT_NON_OP","FQ3 2023","FQ3 2023","Currency=USD","Period=FQ","BEST_FPERIOD_OVERRIDE=FQ","FILING_STATUS=MR","SCALING_FORMAT=MLN","Sort=A","Dates=H","DateFormat=P","Fill=—","Direction=H","UseDPDF=Y")</f>
        <v>0</v>
      </c>
      <c r="W79" s="13" t="str">
        <f>_xll.BDH("ALNY US Equity","ARDR_GL_ON_EARLY_EXT_DEBT_NON_OP","FQ4 2023","FQ4 2023","Currency=USD","Period=FQ","BEST_FPERIOD_OVERRIDE=FQ","FILING_STATUS=MR","SCALING_FORMAT=MLN","Sort=A","Dates=H","DateFormat=P","Fill=—","Direction=H","UseDPDF=Y")</f>
        <v>—</v>
      </c>
      <c r="X79" s="13" t="str">
        <f>_xll.BDH("ALNY US Equity","ARDR_GL_ON_EARLY_EXT_DEBT_NON_OP","FQ1 2024","FQ1 2024","Currency=USD","Period=FQ","BEST_FPERIOD_OVERRIDE=FQ","FILING_STATUS=MR","SCALING_FORMAT=MLN","Sort=A","Dates=H","DateFormat=P","Fill=—","Direction=H","UseDPDF=Y")</f>
        <v>—</v>
      </c>
      <c r="Y79" s="13" t="str">
        <f>_xll.BDH("ALNY US Equity","ARDR_GL_ON_EARLY_EXT_DEBT_NON_OP","FQ2 2024","FQ2 2024","Currency=USD","Period=FQ","BEST_FPERIOD_OVERRIDE=FQ","FILING_STATUS=MR","SCALING_FORMAT=MLN","Sort=A","Dates=H","DateFormat=P","Fill=—","Direction=H","UseDPDF=Y")</f>
        <v>—</v>
      </c>
      <c r="Z79" s="13" t="str">
        <f>_xll.BDH("ALNY US Equity","ARDR_GL_ON_EARLY_EXT_DEBT_NON_OP","FQ3 2024","FQ3 2024","Currency=USD","Period=FQ","BEST_FPERIOD_OVERRIDE=FQ","FILING_STATUS=MR","SCALING_FORMAT=MLN","Sort=A","Dates=H","DateFormat=P","Fill=—","Direction=H","UseDPDF=Y")</f>
        <v>—</v>
      </c>
      <c r="AA79" s="13" t="str">
        <f>_xll.BDH("ALNY US Equity","ARDR_GL_ON_EARLY_EXT_DEBT_NON_OP","FQ4 2024","FQ4 2024","Currency=USD","Period=FQ","BEST_FPERIOD_OVERRIDE=FQ","FILING_STATUS=MR","SCALING_FORMAT=MLN","Sort=A","Dates=H","DateFormat=P","Fill=—","Direction=H","UseDPDF=Y")</f>
        <v>—</v>
      </c>
    </row>
    <row r="80" spans="1:27" x14ac:dyDescent="0.25">
      <c r="A80" s="10" t="s">
        <v>409</v>
      </c>
      <c r="B80" s="10" t="s">
        <v>524</v>
      </c>
      <c r="C80" s="13" t="str">
        <f>_xll.BDH("ALNY US Equity","ARDR_PRODUCT_REVENUE","FQ4 2018","FQ4 2018","Currency=USD","Period=FQ","BEST_FPERIOD_OVERRIDE=FQ","FILING_STATUS=MR","SCALING_FORMAT=MLN","Sort=A","Dates=H","DateFormat=P","Fill=—","Direction=H","UseDPDF=Y")</f>
        <v>—</v>
      </c>
      <c r="D80" s="13" t="str">
        <f>_xll.BDH("ALNY US Equity","ARDR_PRODUCT_REVENUE","FQ1 2019","FQ1 2019","Currency=USD","Period=FQ","BEST_FPERIOD_OVERRIDE=FQ","FILING_STATUS=MR","SCALING_FORMAT=MLN","Sort=A","Dates=H","DateFormat=P","Fill=—","Direction=H","UseDPDF=Y")</f>
        <v>—</v>
      </c>
      <c r="E80" s="13" t="str">
        <f>_xll.BDH("ALNY US Equity","ARDR_PRODUCT_REVENUE","FQ2 2019","FQ2 2019","Currency=USD","Period=FQ","BEST_FPERIOD_OVERRIDE=FQ","FILING_STATUS=MR","SCALING_FORMAT=MLN","Sort=A","Dates=H","DateFormat=P","Fill=—","Direction=H","UseDPDF=Y")</f>
        <v>—</v>
      </c>
      <c r="F80" s="13" t="str">
        <f>_xll.BDH("ALNY US Equity","ARDR_PRODUCT_REVENUE","FQ3 2019","FQ3 2019","Currency=USD","Period=FQ","BEST_FPERIOD_OVERRIDE=FQ","FILING_STATUS=MR","SCALING_FORMAT=MLN","Sort=A","Dates=H","DateFormat=P","Fill=—","Direction=H","UseDPDF=Y")</f>
        <v>—</v>
      </c>
      <c r="G80" s="13" t="str">
        <f>_xll.BDH("ALNY US Equity","ARDR_PRODUCT_REVENUE","FQ4 2019","FQ4 2019","Currency=USD","Period=FQ","BEST_FPERIOD_OVERRIDE=FQ","FILING_STATUS=MR","SCALING_FORMAT=MLN","Sort=A","Dates=H","DateFormat=P","Fill=—","Direction=H","UseDPDF=Y")</f>
        <v>—</v>
      </c>
      <c r="H80" s="13" t="str">
        <f>_xll.BDH("ALNY US Equity","ARDR_PRODUCT_REVENUE","FQ1 2020","FQ1 2020","Currency=USD","Period=FQ","BEST_FPERIOD_OVERRIDE=FQ","FILING_STATUS=MR","SCALING_FORMAT=MLN","Sort=A","Dates=H","DateFormat=P","Fill=—","Direction=H","UseDPDF=Y")</f>
        <v>—</v>
      </c>
      <c r="I80" s="13" t="str">
        <f>_xll.BDH("ALNY US Equity","ARDR_PRODUCT_REVENUE","FQ2 2020","FQ2 2020","Currency=USD","Period=FQ","BEST_FPERIOD_OVERRIDE=FQ","FILING_STATUS=MR","SCALING_FORMAT=MLN","Sort=A","Dates=H","DateFormat=P","Fill=—","Direction=H","UseDPDF=Y")</f>
        <v>—</v>
      </c>
      <c r="J80" s="13" t="str">
        <f>_xll.BDH("ALNY US Equity","ARDR_PRODUCT_REVENUE","FQ3 2020","FQ3 2020","Currency=USD","Period=FQ","BEST_FPERIOD_OVERRIDE=FQ","FILING_STATUS=MR","SCALING_FORMAT=MLN","Sort=A","Dates=H","DateFormat=P","Fill=—","Direction=H","UseDPDF=Y")</f>
        <v>—</v>
      </c>
      <c r="K80" s="13" t="str">
        <f>_xll.BDH("ALNY US Equity","ARDR_PRODUCT_REVENUE","FQ4 2020","FQ4 2020","Currency=USD","Period=FQ","BEST_FPERIOD_OVERRIDE=FQ","FILING_STATUS=MR","SCALING_FORMAT=MLN","Sort=A","Dates=H","DateFormat=P","Fill=—","Direction=H","UseDPDF=Y")</f>
        <v>—</v>
      </c>
      <c r="L80" s="13" t="str">
        <f>_xll.BDH("ALNY US Equity","ARDR_PRODUCT_REVENUE","FQ1 2021","FQ1 2021","Currency=USD","Period=FQ","BEST_FPERIOD_OVERRIDE=FQ","FILING_STATUS=MR","SCALING_FORMAT=MLN","Sort=A","Dates=H","DateFormat=P","Fill=—","Direction=H","UseDPDF=Y")</f>
        <v>—</v>
      </c>
      <c r="M80" s="13">
        <f>_xll.BDH("ALNY US Equity","ARDR_PRODUCT_REVENUE","FQ2 2021","FQ2 2021","Currency=USD","Period=FQ","BEST_FPERIOD_OVERRIDE=FQ","FILING_STATUS=MR","SCALING_FORMAT=MLN","Sort=A","Dates=H","DateFormat=P","Fill=—","Direction=H","UseDPDF=Y")</f>
        <v>160.81100000000001</v>
      </c>
      <c r="N80" s="13">
        <f>_xll.BDH("ALNY US Equity","ARDR_PRODUCT_REVENUE","FQ3 2021","FQ3 2021","Currency=USD","Period=FQ","BEST_FPERIOD_OVERRIDE=FQ","FILING_STATUS=MR","SCALING_FORMAT=MLN","Sort=A","Dates=H","DateFormat=P","Fill=—","Direction=H","UseDPDF=Y")</f>
        <v>167.04400000000001</v>
      </c>
      <c r="O80" s="13" t="str">
        <f>_xll.BDH("ALNY US Equity","ARDR_PRODUCT_REVENUE","FQ4 2021","FQ4 2021","Currency=USD","Period=FQ","BEST_FPERIOD_OVERRIDE=FQ","FILING_STATUS=MR","SCALING_FORMAT=MLN","Sort=A","Dates=H","DateFormat=P","Fill=—","Direction=H","UseDPDF=Y")</f>
        <v>—</v>
      </c>
      <c r="P80" s="13" t="str">
        <f>_xll.BDH("ALNY US Equity","ARDR_PRODUCT_REVENUE","FQ1 2022","FQ1 2022","Currency=USD","Period=FQ","BEST_FPERIOD_OVERRIDE=FQ","FILING_STATUS=MR","SCALING_FORMAT=MLN","Sort=A","Dates=H","DateFormat=P","Fill=—","Direction=H","UseDPDF=Y")</f>
        <v>—</v>
      </c>
      <c r="Q80" s="13" t="str">
        <f>_xll.BDH("ALNY US Equity","ARDR_PRODUCT_REVENUE","FQ2 2022","FQ2 2022","Currency=USD","Period=FQ","BEST_FPERIOD_OVERRIDE=FQ","FILING_STATUS=MR","SCALING_FORMAT=MLN","Sort=A","Dates=H","DateFormat=P","Fill=—","Direction=H","UseDPDF=Y")</f>
        <v>—</v>
      </c>
      <c r="R80" s="13">
        <f>_xll.BDH("ALNY US Equity","ARDR_PRODUCT_REVENUE","FQ3 2022","FQ3 2022","Currency=USD","Period=FQ","BEST_FPERIOD_OVERRIDE=FQ","FILING_STATUS=MR","SCALING_FORMAT=MLN","Sort=A","Dates=H","DateFormat=P","Fill=—","Direction=H","UseDPDF=Y")</f>
        <v>232.267</v>
      </c>
      <c r="S80" s="13">
        <f>_xll.BDH("ALNY US Equity","ARDR_PRODUCT_REVENUE","FQ4 2022","FQ4 2022","Currency=USD","Period=FQ","BEST_FPERIOD_OVERRIDE=FQ","FILING_STATUS=MR","SCALING_FORMAT=MLN","Sort=A","Dates=H","DateFormat=P","Fill=—","Direction=H","UseDPDF=Y")</f>
        <v>261.67500000000001</v>
      </c>
      <c r="T80" s="13">
        <f>_xll.BDH("ALNY US Equity","ARDR_PRODUCT_REVENUE","FQ1 2023","FQ1 2023","Currency=USD","Period=FQ","BEST_FPERIOD_OVERRIDE=FQ","FILING_STATUS=MR","SCALING_FORMAT=MLN","Sort=A","Dates=H","DateFormat=P","Fill=—","Direction=H","UseDPDF=Y")</f>
        <v>276.32799999999997</v>
      </c>
      <c r="U80" s="13">
        <f>_xll.BDH("ALNY US Equity","ARDR_PRODUCT_REVENUE","FQ2 2023","FQ2 2023","Currency=USD","Period=FQ","BEST_FPERIOD_OVERRIDE=FQ","FILING_STATUS=MR","SCALING_FORMAT=MLN","Sort=A","Dates=H","DateFormat=P","Fill=—","Direction=H","UseDPDF=Y")</f>
        <v>305.70499999999998</v>
      </c>
      <c r="V80" s="13">
        <f>_xll.BDH("ALNY US Equity","ARDR_PRODUCT_REVENUE","FQ3 2023","FQ3 2023","Currency=USD","Period=FQ","BEST_FPERIOD_OVERRIDE=FQ","FILING_STATUS=MR","SCALING_FORMAT=MLN","Sort=A","Dates=H","DateFormat=P","Fill=—","Direction=H","UseDPDF=Y")</f>
        <v>313.15300000000002</v>
      </c>
      <c r="W80" s="13">
        <f>_xll.BDH("ALNY US Equity","ARDR_PRODUCT_REVENUE","FQ4 2023","FQ4 2023","Currency=USD","Period=FQ","BEST_FPERIOD_OVERRIDE=FQ","FILING_STATUS=MR","SCALING_FORMAT=MLN","Sort=A","Dates=H","DateFormat=P","Fill=—","Direction=H","UseDPDF=Y")</f>
        <v>346.28800000000001</v>
      </c>
      <c r="X80" s="13">
        <f>_xll.BDH("ALNY US Equity","ARDR_PRODUCT_REVENUE","FQ1 2024","FQ1 2024","Currency=USD","Period=FQ","BEST_FPERIOD_OVERRIDE=FQ","FILING_STATUS=MR","SCALING_FORMAT=MLN","Sort=A","Dates=H","DateFormat=P","Fill=—","Direction=H","UseDPDF=Y")</f>
        <v>365.16300000000001</v>
      </c>
      <c r="Y80" s="13">
        <f>_xll.BDH("ALNY US Equity","ARDR_PRODUCT_REVENUE","FQ2 2024","FQ2 2024","Currency=USD","Period=FQ","BEST_FPERIOD_OVERRIDE=FQ","FILING_STATUS=MR","SCALING_FORMAT=MLN","Sort=A","Dates=H","DateFormat=P","Fill=—","Direction=H","UseDPDF=Y")</f>
        <v>410.08800000000002</v>
      </c>
      <c r="Z80" s="13">
        <f>_xll.BDH("ALNY US Equity","ARDR_PRODUCT_REVENUE","FQ3 2024","FQ3 2024","Currency=USD","Period=FQ","BEST_FPERIOD_OVERRIDE=FQ","FILING_STATUS=MR","SCALING_FORMAT=MLN","Sort=A","Dates=H","DateFormat=P","Fill=—","Direction=H","UseDPDF=Y")</f>
        <v>420.14600000000002</v>
      </c>
      <c r="AA80" s="13">
        <f>_xll.BDH("ALNY US Equity","ARDR_PRODUCT_REVENUE","FQ4 2024","FQ4 2024","Currency=USD","Period=FQ","BEST_FPERIOD_OVERRIDE=FQ","FILING_STATUS=MR","SCALING_FORMAT=MLN","Sort=A","Dates=H","DateFormat=P","Fill=—","Direction=H","UseDPDF=Y")</f>
        <v>450.83100000000002</v>
      </c>
    </row>
    <row r="81" spans="1:27" x14ac:dyDescent="0.25">
      <c r="A81" s="10" t="s">
        <v>411</v>
      </c>
      <c r="B81" s="10" t="s">
        <v>525</v>
      </c>
      <c r="C81" s="13" t="str">
        <f>_xll.BDH("ALNY US Equity","ARDR_SERVICE_REVENUE","FQ4 2018","FQ4 2018","Currency=USD","Period=FQ","BEST_FPERIOD_OVERRIDE=FQ","FILING_STATUS=MR","SCALING_FORMAT=MLN","Sort=A","Dates=H","DateFormat=P","Fill=—","Direction=H","UseDPDF=Y")</f>
        <v>—</v>
      </c>
      <c r="D81" s="13" t="str">
        <f>_xll.BDH("ALNY US Equity","ARDR_SERVICE_REVENUE","FQ1 2019","FQ1 2019","Currency=USD","Period=FQ","BEST_FPERIOD_OVERRIDE=FQ","FILING_STATUS=MR","SCALING_FORMAT=MLN","Sort=A","Dates=H","DateFormat=P","Fill=—","Direction=H","UseDPDF=Y")</f>
        <v>—</v>
      </c>
      <c r="E81" s="13" t="str">
        <f>_xll.BDH("ALNY US Equity","ARDR_SERVICE_REVENUE","FQ2 2019","FQ2 2019","Currency=USD","Period=FQ","BEST_FPERIOD_OVERRIDE=FQ","FILING_STATUS=MR","SCALING_FORMAT=MLN","Sort=A","Dates=H","DateFormat=P","Fill=—","Direction=H","UseDPDF=Y")</f>
        <v>—</v>
      </c>
      <c r="F81" s="13" t="str">
        <f>_xll.BDH("ALNY US Equity","ARDR_SERVICE_REVENUE","FQ3 2019","FQ3 2019","Currency=USD","Period=FQ","BEST_FPERIOD_OVERRIDE=FQ","FILING_STATUS=MR","SCALING_FORMAT=MLN","Sort=A","Dates=H","DateFormat=P","Fill=—","Direction=H","UseDPDF=Y")</f>
        <v>—</v>
      </c>
      <c r="G81" s="13" t="str">
        <f>_xll.BDH("ALNY US Equity","ARDR_SERVICE_REVENUE","FQ4 2019","FQ4 2019","Currency=USD","Period=FQ","BEST_FPERIOD_OVERRIDE=FQ","FILING_STATUS=MR","SCALING_FORMAT=MLN","Sort=A","Dates=H","DateFormat=P","Fill=—","Direction=H","UseDPDF=Y")</f>
        <v>—</v>
      </c>
      <c r="H81" s="13" t="str">
        <f>_xll.BDH("ALNY US Equity","ARDR_SERVICE_REVENUE","FQ1 2020","FQ1 2020","Currency=USD","Period=FQ","BEST_FPERIOD_OVERRIDE=FQ","FILING_STATUS=MR","SCALING_FORMAT=MLN","Sort=A","Dates=H","DateFormat=P","Fill=—","Direction=H","UseDPDF=Y")</f>
        <v>—</v>
      </c>
      <c r="I81" s="13" t="str">
        <f>_xll.BDH("ALNY US Equity","ARDR_SERVICE_REVENUE","FQ2 2020","FQ2 2020","Currency=USD","Period=FQ","BEST_FPERIOD_OVERRIDE=FQ","FILING_STATUS=MR","SCALING_FORMAT=MLN","Sort=A","Dates=H","DateFormat=P","Fill=—","Direction=H","UseDPDF=Y")</f>
        <v>—</v>
      </c>
      <c r="J81" s="13" t="str">
        <f>_xll.BDH("ALNY US Equity","ARDR_SERVICE_REVENUE","FQ3 2020","FQ3 2020","Currency=USD","Period=FQ","BEST_FPERIOD_OVERRIDE=FQ","FILING_STATUS=MR","SCALING_FORMAT=MLN","Sort=A","Dates=H","DateFormat=P","Fill=—","Direction=H","UseDPDF=Y")</f>
        <v>—</v>
      </c>
      <c r="K81" s="13" t="str">
        <f>_xll.BDH("ALNY US Equity","ARDR_SERVICE_REVENUE","FQ4 2020","FQ4 2020","Currency=USD","Period=FQ","BEST_FPERIOD_OVERRIDE=FQ","FILING_STATUS=MR","SCALING_FORMAT=MLN","Sort=A","Dates=H","DateFormat=P","Fill=—","Direction=H","UseDPDF=Y")</f>
        <v>—</v>
      </c>
      <c r="L81" s="13" t="str">
        <f>_xll.BDH("ALNY US Equity","ARDR_SERVICE_REVENUE","FQ1 2021","FQ1 2021","Currency=USD","Period=FQ","BEST_FPERIOD_OVERRIDE=FQ","FILING_STATUS=MR","SCALING_FORMAT=MLN","Sort=A","Dates=H","DateFormat=P","Fill=—","Direction=H","UseDPDF=Y")</f>
        <v>—</v>
      </c>
      <c r="M81" s="13">
        <f>_xll.BDH("ALNY US Equity","ARDR_SERVICE_REVENUE","FQ2 2021","FQ2 2021","Currency=USD","Period=FQ","BEST_FPERIOD_OVERRIDE=FQ","FILING_STATUS=MR","SCALING_FORMAT=MLN","Sort=A","Dates=H","DateFormat=P","Fill=—","Direction=H","UseDPDF=Y")</f>
        <v>59.395000000000003</v>
      </c>
      <c r="N81" s="13">
        <f>_xll.BDH("ALNY US Equity","ARDR_SERVICE_REVENUE","FQ3 2021","FQ3 2021","Currency=USD","Period=FQ","BEST_FPERIOD_OVERRIDE=FQ","FILING_STATUS=MR","SCALING_FORMAT=MLN","Sort=A","Dates=H","DateFormat=P","Fill=—","Direction=H","UseDPDF=Y")</f>
        <v>20.135999999999999</v>
      </c>
      <c r="O81" s="13" t="str">
        <f>_xll.BDH("ALNY US Equity","ARDR_SERVICE_REVENUE","FQ4 2021","FQ4 2021","Currency=USD","Period=FQ","BEST_FPERIOD_OVERRIDE=FQ","FILING_STATUS=MR","SCALING_FORMAT=MLN","Sort=A","Dates=H","DateFormat=P","Fill=—","Direction=H","UseDPDF=Y")</f>
        <v>—</v>
      </c>
      <c r="P81" s="13" t="str">
        <f>_xll.BDH("ALNY US Equity","ARDR_SERVICE_REVENUE","FQ1 2022","FQ1 2022","Currency=USD","Period=FQ","BEST_FPERIOD_OVERRIDE=FQ","FILING_STATUS=MR","SCALING_FORMAT=MLN","Sort=A","Dates=H","DateFormat=P","Fill=—","Direction=H","UseDPDF=Y")</f>
        <v>—</v>
      </c>
      <c r="Q81" s="13" t="str">
        <f>_xll.BDH("ALNY US Equity","ARDR_SERVICE_REVENUE","FQ2 2022","FQ2 2022","Currency=USD","Period=FQ","BEST_FPERIOD_OVERRIDE=FQ","FILING_STATUS=MR","SCALING_FORMAT=MLN","Sort=A","Dates=H","DateFormat=P","Fill=—","Direction=H","UseDPDF=Y")</f>
        <v>—</v>
      </c>
      <c r="R81" s="13">
        <f>_xll.BDH("ALNY US Equity","ARDR_SERVICE_REVENUE","FQ3 2022","FQ3 2022","Currency=USD","Period=FQ","BEST_FPERIOD_OVERRIDE=FQ","FILING_STATUS=MR","SCALING_FORMAT=MLN","Sort=A","Dates=H","DateFormat=P","Fill=—","Direction=H","UseDPDF=Y")</f>
        <v>29.297000000000001</v>
      </c>
      <c r="S81" s="13">
        <f>_xll.BDH("ALNY US Equity","ARDR_SERVICE_REVENUE","FQ4 2022","FQ4 2022","Currency=USD","Period=FQ","BEST_FPERIOD_OVERRIDE=FQ","FILING_STATUS=MR","SCALING_FORMAT=MLN","Sort=A","Dates=H","DateFormat=P","Fill=—","Direction=H","UseDPDF=Y")</f>
        <v>70.644999999999996</v>
      </c>
      <c r="T81" s="13">
        <f>_xll.BDH("ALNY US Equity","ARDR_SERVICE_REVENUE","FQ1 2023","FQ1 2023","Currency=USD","Period=FQ","BEST_FPERIOD_OVERRIDE=FQ","FILING_STATUS=MR","SCALING_FORMAT=MLN","Sort=A","Dates=H","DateFormat=P","Fill=—","Direction=H","UseDPDF=Y")</f>
        <v>36.462000000000003</v>
      </c>
      <c r="U81" s="13">
        <f>_xll.BDH("ALNY US Equity","ARDR_SERVICE_REVENUE","FQ2 2023","FQ2 2023","Currency=USD","Period=FQ","BEST_FPERIOD_OVERRIDE=FQ","FILING_STATUS=MR","SCALING_FORMAT=MLN","Sort=A","Dates=H","DateFormat=P","Fill=—","Direction=H","UseDPDF=Y")</f>
        <v>5.8440000000000003</v>
      </c>
      <c r="V81" s="13">
        <f>_xll.BDH("ALNY US Equity","ARDR_SERVICE_REVENUE","FQ3 2023","FQ3 2023","Currency=USD","Period=FQ","BEST_FPERIOD_OVERRIDE=FQ","FILING_STATUS=MR","SCALING_FORMAT=MLN","Sort=A","Dates=H","DateFormat=P","Fill=—","Direction=H","UseDPDF=Y")</f>
        <v>427.47199999999998</v>
      </c>
      <c r="W81" s="13">
        <f>_xll.BDH("ALNY US Equity","ARDR_SERVICE_REVENUE","FQ4 2023","FQ4 2023","Currency=USD","Period=FQ","BEST_FPERIOD_OVERRIDE=FQ","FILING_STATUS=MR","SCALING_FORMAT=MLN","Sort=A","Dates=H","DateFormat=P","Fill=—","Direction=H","UseDPDF=Y")</f>
        <v>76.406999999999996</v>
      </c>
      <c r="X81" s="13">
        <f>_xll.BDH("ALNY US Equity","ARDR_SERVICE_REVENUE","FQ1 2024","FQ1 2024","Currency=USD","Period=FQ","BEST_FPERIOD_OVERRIDE=FQ","FILING_STATUS=MR","SCALING_FORMAT=MLN","Sort=A","Dates=H","DateFormat=P","Fill=—","Direction=H","UseDPDF=Y")</f>
        <v>118.548</v>
      </c>
      <c r="Y81" s="13">
        <f>_xll.BDH("ALNY US Equity","ARDR_SERVICE_REVENUE","FQ2 2024","FQ2 2024","Currency=USD","Period=FQ","BEST_FPERIOD_OVERRIDE=FQ","FILING_STATUS=MR","SCALING_FORMAT=MLN","Sort=A","Dates=H","DateFormat=P","Fill=—","Direction=H","UseDPDF=Y")</f>
        <v>227.33799999999999</v>
      </c>
      <c r="Z81" s="13">
        <f>_xll.BDH("ALNY US Equity","ARDR_SERVICE_REVENUE","FQ3 2024","FQ3 2024","Currency=USD","Period=FQ","BEST_FPERIOD_OVERRIDE=FQ","FILING_STATUS=MR","SCALING_FORMAT=MLN","Sort=A","Dates=H","DateFormat=P","Fill=—","Direction=H","UseDPDF=Y")</f>
        <v>57.387</v>
      </c>
      <c r="AA81" s="13">
        <f>_xll.BDH("ALNY US Equity","ARDR_SERVICE_REVENUE","FQ4 2024","FQ4 2024","Currency=USD","Period=FQ","BEST_FPERIOD_OVERRIDE=FQ","FILING_STATUS=MR","SCALING_FORMAT=MLN","Sort=A","Dates=H","DateFormat=P","Fill=—","Direction=H","UseDPDF=Y")</f>
        <v>106.94799999999999</v>
      </c>
    </row>
    <row r="82" spans="1:27" x14ac:dyDescent="0.25">
      <c r="A82" s="10" t="s">
        <v>526</v>
      </c>
      <c r="B82" s="10" t="s">
        <v>527</v>
      </c>
      <c r="C82" s="13" t="str">
        <f>_xll.BDH("ALNY US Equity","ARDR_NET_INC_AVAIL_COM_SHRHLDR","FQ4 2018","FQ4 2018","Currency=USD","Period=FQ","BEST_FPERIOD_OVERRIDE=FQ","FILING_STATUS=MR","SCALING_FORMAT=MLN","Sort=A","Dates=H","DateFormat=P","Fill=—","Direction=H","UseDPDF=Y")</f>
        <v>—</v>
      </c>
      <c r="D82" s="13" t="str">
        <f>_xll.BDH("ALNY US Equity","ARDR_NET_INC_AVAIL_COM_SHRHLDR","FQ1 2019","FQ1 2019","Currency=USD","Period=FQ","BEST_FPERIOD_OVERRIDE=FQ","FILING_STATUS=MR","SCALING_FORMAT=MLN","Sort=A","Dates=H","DateFormat=P","Fill=—","Direction=H","UseDPDF=Y")</f>
        <v>—</v>
      </c>
      <c r="E82" s="13" t="str">
        <f>_xll.BDH("ALNY US Equity","ARDR_NET_INC_AVAIL_COM_SHRHLDR","FQ2 2019","FQ2 2019","Currency=USD","Period=FQ","BEST_FPERIOD_OVERRIDE=FQ","FILING_STATUS=MR","SCALING_FORMAT=MLN","Sort=A","Dates=H","DateFormat=P","Fill=—","Direction=H","UseDPDF=Y")</f>
        <v>—</v>
      </c>
      <c r="F82" s="13" t="str">
        <f>_xll.BDH("ALNY US Equity","ARDR_NET_INC_AVAIL_COM_SHRHLDR","FQ3 2019","FQ3 2019","Currency=USD","Period=FQ","BEST_FPERIOD_OVERRIDE=FQ","FILING_STATUS=MR","SCALING_FORMAT=MLN","Sort=A","Dates=H","DateFormat=P","Fill=—","Direction=H","UseDPDF=Y")</f>
        <v>—</v>
      </c>
      <c r="G82" s="13" t="str">
        <f>_xll.BDH("ALNY US Equity","ARDR_NET_INC_AVAIL_COM_SHRHLDR","FQ4 2019","FQ4 2019","Currency=USD","Period=FQ","BEST_FPERIOD_OVERRIDE=FQ","FILING_STATUS=MR","SCALING_FORMAT=MLN","Sort=A","Dates=H","DateFormat=P","Fill=—","Direction=H","UseDPDF=Y")</f>
        <v>—</v>
      </c>
      <c r="H82" s="13" t="str">
        <f>_xll.BDH("ALNY US Equity","ARDR_NET_INC_AVAIL_COM_SHRHLDR","FQ1 2020","FQ1 2020","Currency=USD","Period=FQ","BEST_FPERIOD_OVERRIDE=FQ","FILING_STATUS=MR","SCALING_FORMAT=MLN","Sort=A","Dates=H","DateFormat=P","Fill=—","Direction=H","UseDPDF=Y")</f>
        <v>—</v>
      </c>
      <c r="I82" s="13" t="str">
        <f>_xll.BDH("ALNY US Equity","ARDR_NET_INC_AVAIL_COM_SHRHLDR","FQ2 2020","FQ2 2020","Currency=USD","Period=FQ","BEST_FPERIOD_OVERRIDE=FQ","FILING_STATUS=MR","SCALING_FORMAT=MLN","Sort=A","Dates=H","DateFormat=P","Fill=—","Direction=H","UseDPDF=Y")</f>
        <v>—</v>
      </c>
      <c r="J82" s="13" t="str">
        <f>_xll.BDH("ALNY US Equity","ARDR_NET_INC_AVAIL_COM_SHRHLDR","FQ3 2020","FQ3 2020","Currency=USD","Period=FQ","BEST_FPERIOD_OVERRIDE=FQ","FILING_STATUS=MR","SCALING_FORMAT=MLN","Sort=A","Dates=H","DateFormat=P","Fill=—","Direction=H","UseDPDF=Y")</f>
        <v>—</v>
      </c>
      <c r="K82" s="13" t="str">
        <f>_xll.BDH("ALNY US Equity","ARDR_NET_INC_AVAIL_COM_SHRHLDR","FQ4 2020","FQ4 2020","Currency=USD","Period=FQ","BEST_FPERIOD_OVERRIDE=FQ","FILING_STATUS=MR","SCALING_FORMAT=MLN","Sort=A","Dates=H","DateFormat=P","Fill=—","Direction=H","UseDPDF=Y")</f>
        <v>—</v>
      </c>
      <c r="L82" s="13" t="str">
        <f>_xll.BDH("ALNY US Equity","ARDR_NET_INC_AVAIL_COM_SHRHLDR","FQ1 2021","FQ1 2021","Currency=USD","Period=FQ","BEST_FPERIOD_OVERRIDE=FQ","FILING_STATUS=MR","SCALING_FORMAT=MLN","Sort=A","Dates=H","DateFormat=P","Fill=—","Direction=H","UseDPDF=Y")</f>
        <v>—</v>
      </c>
      <c r="M82" s="13" t="str">
        <f>_xll.BDH("ALNY US Equity","ARDR_NET_INC_AVAIL_COM_SHRHLDR","FQ2 2021","FQ2 2021","Currency=USD","Period=FQ","BEST_FPERIOD_OVERRIDE=FQ","FILING_STATUS=MR","SCALING_FORMAT=MLN","Sort=A","Dates=H","DateFormat=P","Fill=—","Direction=H","UseDPDF=Y")</f>
        <v>—</v>
      </c>
      <c r="N82" s="13" t="str">
        <f>_xll.BDH("ALNY US Equity","ARDR_NET_INC_AVAIL_COM_SHRHLDR","FQ3 2021","FQ3 2021","Currency=USD","Period=FQ","BEST_FPERIOD_OVERRIDE=FQ","FILING_STATUS=MR","SCALING_FORMAT=MLN","Sort=A","Dates=H","DateFormat=P","Fill=—","Direction=H","UseDPDF=Y")</f>
        <v>—</v>
      </c>
      <c r="O82" s="13" t="str">
        <f>_xll.BDH("ALNY US Equity","ARDR_NET_INC_AVAIL_COM_SHRHLDR","FQ4 2021","FQ4 2021","Currency=USD","Period=FQ","BEST_FPERIOD_OVERRIDE=FQ","FILING_STATUS=MR","SCALING_FORMAT=MLN","Sort=A","Dates=H","DateFormat=P","Fill=—","Direction=H","UseDPDF=Y")</f>
        <v>—</v>
      </c>
      <c r="P82" s="13" t="str">
        <f>_xll.BDH("ALNY US Equity","ARDR_NET_INC_AVAIL_COM_SHRHLDR","FQ1 2022","FQ1 2022","Currency=USD","Period=FQ","BEST_FPERIOD_OVERRIDE=FQ","FILING_STATUS=MR","SCALING_FORMAT=MLN","Sort=A","Dates=H","DateFormat=P","Fill=—","Direction=H","UseDPDF=Y")</f>
        <v>—</v>
      </c>
      <c r="Q82" s="13" t="str">
        <f>_xll.BDH("ALNY US Equity","ARDR_NET_INC_AVAIL_COM_SHRHLDR","FQ2 2022","FQ2 2022","Currency=USD","Period=FQ","BEST_FPERIOD_OVERRIDE=FQ","FILING_STATUS=MR","SCALING_FORMAT=MLN","Sort=A","Dates=H","DateFormat=P","Fill=—","Direction=H","UseDPDF=Y")</f>
        <v>—</v>
      </c>
      <c r="R82" s="13" t="str">
        <f>_xll.BDH("ALNY US Equity","ARDR_NET_INC_AVAIL_COM_SHRHLDR","FQ3 2022","FQ3 2022","Currency=USD","Period=FQ","BEST_FPERIOD_OVERRIDE=FQ","FILING_STATUS=MR","SCALING_FORMAT=MLN","Sort=A","Dates=H","DateFormat=P","Fill=—","Direction=H","UseDPDF=Y")</f>
        <v>—</v>
      </c>
      <c r="S82" s="13">
        <f>_xll.BDH("ALNY US Equity","ARDR_NET_INC_AVAIL_COM_SHRHLDR","FQ4 2022","FQ4 2022","Currency=USD","Period=FQ","BEST_FPERIOD_OVERRIDE=FQ","FILING_STATUS=MR","SCALING_FORMAT=MLN","Sort=A","Dates=H","DateFormat=P","Fill=—","Direction=H","UseDPDF=Y")</f>
        <v>-207.49299999999999</v>
      </c>
      <c r="T82" s="13" t="str">
        <f>_xll.BDH("ALNY US Equity","ARDR_NET_INC_AVAIL_COM_SHRHLDR","FQ1 2023","FQ1 2023","Currency=USD","Period=FQ","BEST_FPERIOD_OVERRIDE=FQ","FILING_STATUS=MR","SCALING_FORMAT=MLN","Sort=A","Dates=H","DateFormat=P","Fill=—","Direction=H","UseDPDF=Y")</f>
        <v>—</v>
      </c>
      <c r="U82" s="13" t="str">
        <f>_xll.BDH("ALNY US Equity","ARDR_NET_INC_AVAIL_COM_SHRHLDR","FQ2 2023","FQ2 2023","Currency=USD","Period=FQ","BEST_FPERIOD_OVERRIDE=FQ","FILING_STATUS=MR","SCALING_FORMAT=MLN","Sort=A","Dates=H","DateFormat=P","Fill=—","Direction=H","UseDPDF=Y")</f>
        <v>—</v>
      </c>
      <c r="V82" s="13" t="str">
        <f>_xll.BDH("ALNY US Equity","ARDR_NET_INC_AVAIL_COM_SHRHLDR","FQ3 2023","FQ3 2023","Currency=USD","Period=FQ","BEST_FPERIOD_OVERRIDE=FQ","FILING_STATUS=MR","SCALING_FORMAT=MLN","Sort=A","Dates=H","DateFormat=P","Fill=—","Direction=H","UseDPDF=Y")</f>
        <v>—</v>
      </c>
      <c r="W82" s="13">
        <f>_xll.BDH("ALNY US Equity","ARDR_NET_INC_AVAIL_COM_SHRHLDR","FQ4 2023","FQ4 2023","Currency=USD","Period=FQ","BEST_FPERIOD_OVERRIDE=FQ","FILING_STATUS=MR","SCALING_FORMAT=MLN","Sort=A","Dates=H","DateFormat=P","Fill=—","Direction=H","UseDPDF=Y")</f>
        <v>-137.87</v>
      </c>
      <c r="X82" s="13" t="str">
        <f>_xll.BDH("ALNY US Equity","ARDR_NET_INC_AVAIL_COM_SHRHLDR","FQ1 2024","FQ1 2024","Currency=USD","Period=FQ","BEST_FPERIOD_OVERRIDE=FQ","FILING_STATUS=MR","SCALING_FORMAT=MLN","Sort=A","Dates=H","DateFormat=P","Fill=—","Direction=H","UseDPDF=Y")</f>
        <v>—</v>
      </c>
      <c r="Y82" s="13" t="str">
        <f>_xll.BDH("ALNY US Equity","ARDR_NET_INC_AVAIL_COM_SHRHLDR","FQ2 2024","FQ2 2024","Currency=USD","Period=FQ","BEST_FPERIOD_OVERRIDE=FQ","FILING_STATUS=MR","SCALING_FORMAT=MLN","Sort=A","Dates=H","DateFormat=P","Fill=—","Direction=H","UseDPDF=Y")</f>
        <v>—</v>
      </c>
      <c r="Z82" s="13" t="str">
        <f>_xll.BDH("ALNY US Equity","ARDR_NET_INC_AVAIL_COM_SHRHLDR","FQ3 2024","FQ3 2024","Currency=USD","Period=FQ","BEST_FPERIOD_OVERRIDE=FQ","FILING_STATUS=MR","SCALING_FORMAT=MLN","Sort=A","Dates=H","DateFormat=P","Fill=—","Direction=H","UseDPDF=Y")</f>
        <v>—</v>
      </c>
      <c r="AA82" s="13">
        <f>_xll.BDH("ALNY US Equity","ARDR_NET_INC_AVAIL_COM_SHRHLDR","FQ4 2024","FQ4 2024","Currency=USD","Period=FQ","BEST_FPERIOD_OVERRIDE=FQ","FILING_STATUS=MR","SCALING_FORMAT=MLN","Sort=A","Dates=H","DateFormat=P","Fill=—","Direction=H","UseDPDF=Y")</f>
        <v>-83.763000000000005</v>
      </c>
    </row>
    <row r="83" spans="1:27" x14ac:dyDescent="0.25">
      <c r="A83" s="10" t="s">
        <v>528</v>
      </c>
      <c r="B83" s="10" t="s">
        <v>529</v>
      </c>
      <c r="C83" s="14" t="str">
        <f>_xll.BDH("ALNY US Equity","ARDR_BASIC_DIL_EPS_BEF_XO_ITEMS","FQ4 2018","FQ4 2018","Currency=USD","Period=FQ","BEST_FPERIOD_OVERRIDE=FQ","FILING_STATUS=MR","Sort=A","Dates=H","DateFormat=P","Fill=—","Direction=H","UseDPDF=Y")</f>
        <v>—</v>
      </c>
      <c r="D83" s="14" t="str">
        <f>_xll.BDH("ALNY US Equity","ARDR_BASIC_DIL_EPS_BEF_XO_ITEMS","FQ1 2019","FQ1 2019","Currency=USD","Period=FQ","BEST_FPERIOD_OVERRIDE=FQ","FILING_STATUS=MR","Sort=A","Dates=H","DateFormat=P","Fill=—","Direction=H","UseDPDF=Y")</f>
        <v>—</v>
      </c>
      <c r="E83" s="14" t="str">
        <f>_xll.BDH("ALNY US Equity","ARDR_BASIC_DIL_EPS_BEF_XO_ITEMS","FQ2 2019","FQ2 2019","Currency=USD","Period=FQ","BEST_FPERIOD_OVERRIDE=FQ","FILING_STATUS=MR","Sort=A","Dates=H","DateFormat=P","Fill=—","Direction=H","UseDPDF=Y")</f>
        <v>—</v>
      </c>
      <c r="F83" s="14" t="str">
        <f>_xll.BDH("ALNY US Equity","ARDR_BASIC_DIL_EPS_BEF_XO_ITEMS","FQ3 2019","FQ3 2019","Currency=USD","Period=FQ","BEST_FPERIOD_OVERRIDE=FQ","FILING_STATUS=MR","Sort=A","Dates=H","DateFormat=P","Fill=—","Direction=H","UseDPDF=Y")</f>
        <v>—</v>
      </c>
      <c r="G83" s="14" t="str">
        <f>_xll.BDH("ALNY US Equity","ARDR_BASIC_DIL_EPS_BEF_XO_ITEMS","FQ4 2019","FQ4 2019","Currency=USD","Period=FQ","BEST_FPERIOD_OVERRIDE=FQ","FILING_STATUS=MR","Sort=A","Dates=H","DateFormat=P","Fill=—","Direction=H","UseDPDF=Y")</f>
        <v>—</v>
      </c>
      <c r="H83" s="14" t="str">
        <f>_xll.BDH("ALNY US Equity","ARDR_BASIC_DIL_EPS_BEF_XO_ITEMS","FQ1 2020","FQ1 2020","Currency=USD","Period=FQ","BEST_FPERIOD_OVERRIDE=FQ","FILING_STATUS=MR","Sort=A","Dates=H","DateFormat=P","Fill=—","Direction=H","UseDPDF=Y")</f>
        <v>—</v>
      </c>
      <c r="I83" s="14" t="str">
        <f>_xll.BDH("ALNY US Equity","ARDR_BASIC_DIL_EPS_BEF_XO_ITEMS","FQ2 2020","FQ2 2020","Currency=USD","Period=FQ","BEST_FPERIOD_OVERRIDE=FQ","FILING_STATUS=MR","Sort=A","Dates=H","DateFormat=P","Fill=—","Direction=H","UseDPDF=Y")</f>
        <v>—</v>
      </c>
      <c r="J83" s="14" t="str">
        <f>_xll.BDH("ALNY US Equity","ARDR_BASIC_DIL_EPS_BEF_XO_ITEMS","FQ3 2020","FQ3 2020","Currency=USD","Period=FQ","BEST_FPERIOD_OVERRIDE=FQ","FILING_STATUS=MR","Sort=A","Dates=H","DateFormat=P","Fill=—","Direction=H","UseDPDF=Y")</f>
        <v>—</v>
      </c>
      <c r="K83" s="14" t="str">
        <f>_xll.BDH("ALNY US Equity","ARDR_BASIC_DIL_EPS_BEF_XO_ITEMS","FQ4 2020","FQ4 2020","Currency=USD","Period=FQ","BEST_FPERIOD_OVERRIDE=FQ","FILING_STATUS=MR","Sort=A","Dates=H","DateFormat=P","Fill=—","Direction=H","UseDPDF=Y")</f>
        <v>—</v>
      </c>
      <c r="L83" s="14" t="str">
        <f>_xll.BDH("ALNY US Equity","ARDR_BASIC_DIL_EPS_BEF_XO_ITEMS","FQ1 2021","FQ1 2021","Currency=USD","Period=FQ","BEST_FPERIOD_OVERRIDE=FQ","FILING_STATUS=MR","Sort=A","Dates=H","DateFormat=P","Fill=—","Direction=H","UseDPDF=Y")</f>
        <v>—</v>
      </c>
      <c r="M83" s="14" t="str">
        <f>_xll.BDH("ALNY US Equity","ARDR_BASIC_DIL_EPS_BEF_XO_ITEMS","FQ2 2021","FQ2 2021","Currency=USD","Period=FQ","BEST_FPERIOD_OVERRIDE=FQ","FILING_STATUS=MR","Sort=A","Dates=H","DateFormat=P","Fill=—","Direction=H","UseDPDF=Y")</f>
        <v>—</v>
      </c>
      <c r="N83" s="14" t="str">
        <f>_xll.BDH("ALNY US Equity","ARDR_BASIC_DIL_EPS_BEF_XO_ITEMS","FQ3 2021","FQ3 2021","Currency=USD","Period=FQ","BEST_FPERIOD_OVERRIDE=FQ","FILING_STATUS=MR","Sort=A","Dates=H","DateFormat=P","Fill=—","Direction=H","UseDPDF=Y")</f>
        <v>—</v>
      </c>
      <c r="O83" s="14" t="str">
        <f>_xll.BDH("ALNY US Equity","ARDR_BASIC_DIL_EPS_BEF_XO_ITEMS","FQ4 2021","FQ4 2021","Currency=USD","Period=FQ","BEST_FPERIOD_OVERRIDE=FQ","FILING_STATUS=MR","Sort=A","Dates=H","DateFormat=P","Fill=—","Direction=H","UseDPDF=Y")</f>
        <v>—</v>
      </c>
      <c r="P83" s="14" t="str">
        <f>_xll.BDH("ALNY US Equity","ARDR_BASIC_DIL_EPS_BEF_XO_ITEMS","FQ1 2022","FQ1 2022","Currency=USD","Period=FQ","BEST_FPERIOD_OVERRIDE=FQ","FILING_STATUS=MR","Sort=A","Dates=H","DateFormat=P","Fill=—","Direction=H","UseDPDF=Y")</f>
        <v>—</v>
      </c>
      <c r="Q83" s="14" t="str">
        <f>_xll.BDH("ALNY US Equity","ARDR_BASIC_DIL_EPS_BEF_XO_ITEMS","FQ2 2022","FQ2 2022","Currency=USD","Period=FQ","BEST_FPERIOD_OVERRIDE=FQ","FILING_STATUS=MR","Sort=A","Dates=H","DateFormat=P","Fill=—","Direction=H","UseDPDF=Y")</f>
        <v>—</v>
      </c>
      <c r="R83" s="14" t="str">
        <f>_xll.BDH("ALNY US Equity","ARDR_BASIC_DIL_EPS_BEF_XO_ITEMS","FQ3 2022","FQ3 2022","Currency=USD","Period=FQ","BEST_FPERIOD_OVERRIDE=FQ","FILING_STATUS=MR","Sort=A","Dates=H","DateFormat=P","Fill=—","Direction=H","UseDPDF=Y")</f>
        <v>—</v>
      </c>
      <c r="S83" s="14">
        <f>_xll.BDH("ALNY US Equity","ARDR_BASIC_DIL_EPS_BEF_XO_ITEMS","FQ4 2022","FQ4 2022","Currency=USD","Period=FQ","BEST_FPERIOD_OVERRIDE=FQ","FILING_STATUS=MR","Sort=A","Dates=H","DateFormat=P","Fill=—","Direction=H","UseDPDF=Y")</f>
        <v>-1.68</v>
      </c>
      <c r="T83" s="14" t="str">
        <f>_xll.BDH("ALNY US Equity","ARDR_BASIC_DIL_EPS_BEF_XO_ITEMS","FQ1 2023","FQ1 2023","Currency=USD","Period=FQ","BEST_FPERIOD_OVERRIDE=FQ","FILING_STATUS=MR","Sort=A","Dates=H","DateFormat=P","Fill=—","Direction=H","UseDPDF=Y")</f>
        <v>—</v>
      </c>
      <c r="U83" s="14" t="str">
        <f>_xll.BDH("ALNY US Equity","ARDR_BASIC_DIL_EPS_BEF_XO_ITEMS","FQ2 2023","FQ2 2023","Currency=USD","Period=FQ","BEST_FPERIOD_OVERRIDE=FQ","FILING_STATUS=MR","Sort=A","Dates=H","DateFormat=P","Fill=—","Direction=H","UseDPDF=Y")</f>
        <v>—</v>
      </c>
      <c r="V83" s="14" t="str">
        <f>_xll.BDH("ALNY US Equity","ARDR_BASIC_DIL_EPS_BEF_XO_ITEMS","FQ3 2023","FQ3 2023","Currency=USD","Period=FQ","BEST_FPERIOD_OVERRIDE=FQ","FILING_STATUS=MR","Sort=A","Dates=H","DateFormat=P","Fill=—","Direction=H","UseDPDF=Y")</f>
        <v>—</v>
      </c>
      <c r="W83" s="14">
        <f>_xll.BDH("ALNY US Equity","ARDR_BASIC_DIL_EPS_BEF_XO_ITEMS","FQ4 2023","FQ4 2023","Currency=USD","Period=FQ","BEST_FPERIOD_OVERRIDE=FQ","FILING_STATUS=MR","Sort=A","Dates=H","DateFormat=P","Fill=—","Direction=H","UseDPDF=Y")</f>
        <v>-1.1000000000000001</v>
      </c>
      <c r="X83" s="14" t="str">
        <f>_xll.BDH("ALNY US Equity","ARDR_BASIC_DIL_EPS_BEF_XO_ITEMS","FQ1 2024","FQ1 2024","Currency=USD","Period=FQ","BEST_FPERIOD_OVERRIDE=FQ","FILING_STATUS=MR","Sort=A","Dates=H","DateFormat=P","Fill=—","Direction=H","UseDPDF=Y")</f>
        <v>—</v>
      </c>
      <c r="Y83" s="14" t="str">
        <f>_xll.BDH("ALNY US Equity","ARDR_BASIC_DIL_EPS_BEF_XO_ITEMS","FQ2 2024","FQ2 2024","Currency=USD","Period=FQ","BEST_FPERIOD_OVERRIDE=FQ","FILING_STATUS=MR","Sort=A","Dates=H","DateFormat=P","Fill=—","Direction=H","UseDPDF=Y")</f>
        <v>—</v>
      </c>
      <c r="Z83" s="14" t="str">
        <f>_xll.BDH("ALNY US Equity","ARDR_BASIC_DIL_EPS_BEF_XO_ITEMS","FQ3 2024","FQ3 2024","Currency=USD","Period=FQ","BEST_FPERIOD_OVERRIDE=FQ","FILING_STATUS=MR","Sort=A","Dates=H","DateFormat=P","Fill=—","Direction=H","UseDPDF=Y")</f>
        <v>—</v>
      </c>
      <c r="AA83" s="14">
        <f>_xll.BDH("ALNY US Equity","ARDR_BASIC_DIL_EPS_BEF_XO_ITEMS","FQ4 2024","FQ4 2024","Currency=USD","Period=FQ","BEST_FPERIOD_OVERRIDE=FQ","FILING_STATUS=MR","Sort=A","Dates=H","DateFormat=P","Fill=—","Direction=H","UseDPDF=Y")</f>
        <v>-0.65</v>
      </c>
    </row>
    <row r="84" spans="1:27" x14ac:dyDescent="0.25">
      <c r="A84" s="10" t="s">
        <v>530</v>
      </c>
      <c r="B84" s="10" t="s">
        <v>531</v>
      </c>
      <c r="C84" s="13">
        <f>_xll.BDH("ALNY US Equity","ARD_ADJ_NET_INCOME_AS_REPORTED","FQ4 2018","FQ4 2018","Currency=USD","Period=FQ","BEST_FPERIOD_OVERRIDE=FQ","FILING_STATUS=MR","SCALING_FORMAT=MLN","Sort=A","Dates=H","DateFormat=P","Fill=—","Direction=H","UseDPDF=Y")</f>
        <v>-183.46799999999999</v>
      </c>
      <c r="D84" s="13">
        <f>_xll.BDH("ALNY US Equity","ARD_ADJ_NET_INCOME_AS_REPORTED","FQ1 2019","FQ1 2019","Currency=USD","Period=FQ","BEST_FPERIOD_OVERRIDE=FQ","FILING_STATUS=MR","SCALING_FORMAT=MLN","Sort=A","Dates=H","DateFormat=P","Fill=—","Direction=H","UseDPDF=Y")</f>
        <v>-149.88300000000001</v>
      </c>
      <c r="E84" s="13">
        <f>_xll.BDH("ALNY US Equity","ARD_ADJ_NET_INCOME_AS_REPORTED","FQ2 2019","FQ2 2019","Currency=USD","Period=FQ","BEST_FPERIOD_OVERRIDE=FQ","FILING_STATUS=MR","SCALING_FORMAT=MLN","Sort=A","Dates=H","DateFormat=P","Fill=—","Direction=H","UseDPDF=Y")</f>
        <v>-198.3</v>
      </c>
      <c r="F84" s="13">
        <f>_xll.BDH("ALNY US Equity","ARD_ADJ_NET_INCOME_AS_REPORTED","FQ3 2019","FQ3 2019","Currency=USD","Period=FQ","BEST_FPERIOD_OVERRIDE=FQ","FILING_STATUS=MR","SCALING_FORMAT=MLN","Sort=A","Dates=H","DateFormat=P","Fill=—","Direction=H","UseDPDF=Y")</f>
        <v>-162.52600000000001</v>
      </c>
      <c r="G84" s="13">
        <f>_xll.BDH("ALNY US Equity","ARD_ADJ_NET_INCOME_AS_REPORTED","FQ4 2019","FQ4 2019","Currency=USD","Period=FQ","BEST_FPERIOD_OVERRIDE=FQ","FILING_STATUS=MR","SCALING_FORMAT=MLN","Sort=A","Dates=H","DateFormat=P","Fill=—","Direction=H","UseDPDF=Y")</f>
        <v>-221.255</v>
      </c>
      <c r="H84" s="13">
        <f>_xll.BDH("ALNY US Equity","ARD_ADJ_NET_INCOME_AS_REPORTED","FQ1 2020","FQ1 2020","Currency=USD","Period=FQ","BEST_FPERIOD_OVERRIDE=FQ","FILING_STATUS=MR","SCALING_FORMAT=MLN","Sort=A","Dates=H","DateFormat=P","Fill=—","Direction=H","UseDPDF=Y")</f>
        <v>-171.75399999999999</v>
      </c>
      <c r="I84" s="13">
        <f>_xll.BDH("ALNY US Equity","ARD_ADJ_NET_INCOME_AS_REPORTED","FQ2 2020","FQ2 2020","Currency=USD","Period=FQ","BEST_FPERIOD_OVERRIDE=FQ","FILING_STATUS=MR","SCALING_FORMAT=MLN","Sort=A","Dates=H","DateFormat=P","Fill=—","Direction=H","UseDPDF=Y")</f>
        <v>-191.328</v>
      </c>
      <c r="J84" s="13">
        <f>_xll.BDH("ALNY US Equity","ARD_ADJ_NET_INCOME_AS_REPORTED","FQ3 2020","FQ3 2020","Currency=USD","Period=FQ","BEST_FPERIOD_OVERRIDE=FQ","FILING_STATUS=MR","SCALING_FORMAT=MLN","Sort=A","Dates=H","DateFormat=P","Fill=—","Direction=H","UseDPDF=Y")</f>
        <v>-183.59700000000001</v>
      </c>
      <c r="K84" s="13">
        <f>_xll.BDH("ALNY US Equity","ARD_ADJ_NET_INCOME_AS_REPORTED","FQ4 2020","FQ4 2020","Currency=USD","Period=FQ","BEST_FPERIOD_OVERRIDE=FQ","FILING_STATUS=MR","SCALING_FORMAT=MLN","Sort=A","Dates=H","DateFormat=P","Fill=—","Direction=H","UseDPDF=Y")</f>
        <v>-186.464</v>
      </c>
      <c r="L84" s="13">
        <f>_xll.BDH("ALNY US Equity","ARD_ADJ_NET_INCOME_AS_REPORTED","FQ1 2021","FQ1 2021","Currency=USD","Period=FQ","BEST_FPERIOD_OVERRIDE=FQ","FILING_STATUS=MR","SCALING_FORMAT=MLN","Sort=A","Dates=H","DateFormat=P","Fill=—","Direction=H","UseDPDF=Y")</f>
        <v>-191.61699999999999</v>
      </c>
      <c r="M84" s="13">
        <f>_xll.BDH("ALNY US Equity","ARD_ADJ_NET_INCOME_AS_REPORTED","FQ2 2021","FQ2 2021","Currency=USD","Period=FQ","BEST_FPERIOD_OVERRIDE=FQ","FILING_STATUS=MR","SCALING_FORMAT=MLN","Sort=A","Dates=H","DateFormat=P","Fill=—","Direction=H","UseDPDF=Y")</f>
        <v>-153.047</v>
      </c>
      <c r="N84" s="13">
        <f>_xll.BDH("ALNY US Equity","ARD_ADJ_NET_INCOME_AS_REPORTED","FQ3 2021","FQ3 2021","Currency=USD","Period=FQ","BEST_FPERIOD_OVERRIDE=FQ","FILING_STATUS=MR","SCALING_FORMAT=MLN","Sort=A","Dates=H","DateFormat=P","Fill=—","Direction=H","UseDPDF=Y")</f>
        <v>-179.83799999999999</v>
      </c>
      <c r="O84" s="13">
        <f>_xll.BDH("ALNY US Equity","ARD_ADJ_NET_INCOME_AS_REPORTED","FQ4 2021","FQ4 2021","Currency=USD","Period=FQ","BEST_FPERIOD_OVERRIDE=FQ","FILING_STATUS=MR","SCALING_FORMAT=MLN","Sort=A","Dates=H","DateFormat=P","Fill=—","Direction=H","UseDPDF=Y")</f>
        <v>-203.005</v>
      </c>
      <c r="P84" s="13">
        <f>_xll.BDH("ALNY US Equity","ARD_ADJ_NET_INCOME_AS_REPORTED","FQ1 2022","FQ1 2022","Currency=USD","Period=FQ","BEST_FPERIOD_OVERRIDE=FQ","FILING_STATUS=MR","SCALING_FORMAT=MLN","Sort=A","Dates=H","DateFormat=P","Fill=—","Direction=H","UseDPDF=Y")</f>
        <v>-179.887</v>
      </c>
      <c r="Q84" s="13">
        <f>_xll.BDH("ALNY US Equity","ARD_ADJ_NET_INCOME_AS_REPORTED","FQ2 2022","FQ2 2022","Currency=USD","Period=FQ","BEST_FPERIOD_OVERRIDE=FQ","FILING_STATUS=MR","SCALING_FORMAT=MLN","Sort=A","Dates=H","DateFormat=P","Fill=—","Direction=H","UseDPDF=Y")</f>
        <v>-245.834</v>
      </c>
      <c r="R84" s="13">
        <f>_xll.BDH("ALNY US Equity","ARD_ADJ_NET_INCOME_AS_REPORTED","FQ3 2022","FQ3 2022","Currency=USD","Period=FQ","BEST_FPERIOD_OVERRIDE=FQ","FILING_STATUS=MR","SCALING_FORMAT=MLN","Sort=A","Dates=H","DateFormat=P","Fill=—","Direction=H","UseDPDF=Y")</f>
        <v>-193.36600000000001</v>
      </c>
      <c r="S84" s="13">
        <f>_xll.BDH("ALNY US Equity","ARD_ADJ_NET_INCOME_AS_REPORTED","FQ4 2022","FQ4 2022","Currency=USD","Period=FQ","BEST_FPERIOD_OVERRIDE=FQ","FILING_STATUS=MR","SCALING_FORMAT=MLN","Sort=A","Dates=H","DateFormat=P","Fill=—","Direction=H","UseDPDF=Y")</f>
        <v>-171.52199999999999</v>
      </c>
      <c r="T84" s="13">
        <f>_xll.BDH("ALNY US Equity","ARD_ADJ_NET_INCOME_AS_REPORTED","FQ1 2023","FQ1 2023","Currency=USD","Period=FQ","BEST_FPERIOD_OVERRIDE=FQ","FILING_STATUS=MR","SCALING_FORMAT=MLN","Sort=A","Dates=H","DateFormat=P","Fill=—","Direction=H","UseDPDF=Y")</f>
        <v>-131.887</v>
      </c>
      <c r="U84" s="13">
        <f>_xll.BDH("ALNY US Equity","ARD_ADJ_NET_INCOME_AS_REPORTED","FQ2 2023","FQ2 2023","Currency=USD","Period=FQ","BEST_FPERIOD_OVERRIDE=FQ","FILING_STATUS=MR","SCALING_FORMAT=MLN","Sort=A","Dates=H","DateFormat=P","Fill=—","Direction=H","UseDPDF=Y")</f>
        <v>-201.62200000000001</v>
      </c>
      <c r="V84" s="13">
        <f>_xll.BDH("ALNY US Equity","ARD_ADJ_NET_INCOME_AS_REPORTED","FQ3 2023","FQ3 2023","Currency=USD","Period=FQ","BEST_FPERIOD_OVERRIDE=FQ","FILING_STATUS=MR","SCALING_FORMAT=MLN","Sort=A","Dates=H","DateFormat=P","Fill=—","Direction=H","UseDPDF=Y")</f>
        <v>228.53399999999999</v>
      </c>
      <c r="W84" s="13">
        <f>_xll.BDH("ALNY US Equity","ARD_ADJ_NET_INCOME_AS_REPORTED","FQ4 2023","FQ4 2023","Currency=USD","Period=FQ","BEST_FPERIOD_OVERRIDE=FQ","FILING_STATUS=MR","SCALING_FORMAT=MLN","Sort=A","Dates=H","DateFormat=P","Fill=—","Direction=H","UseDPDF=Y")</f>
        <v>-96.643000000000001</v>
      </c>
      <c r="X84" s="13">
        <f>_xll.BDH("ALNY US Equity","ARD_ADJ_NET_INCOME_AS_REPORTED","FQ1 2024","FQ1 2024","Currency=USD","Period=FQ","BEST_FPERIOD_OVERRIDE=FQ","FILING_STATUS=MR","SCALING_FORMAT=MLN","Sort=A","Dates=H","DateFormat=P","Fill=—","Direction=H","UseDPDF=Y")</f>
        <v>-20.666</v>
      </c>
      <c r="Y84" s="13">
        <f>_xll.BDH("ALNY US Equity","ARD_ADJ_NET_INCOME_AS_REPORTED","FQ2 2024","FQ2 2024","Currency=USD","Period=FQ","BEST_FPERIOD_OVERRIDE=FQ","FILING_STATUS=MR","SCALING_FORMAT=MLN","Sort=A","Dates=H","DateFormat=P","Fill=—","Direction=H","UseDPDF=Y")</f>
        <v>73.766000000000005</v>
      </c>
      <c r="Z84" s="13">
        <f>_xll.BDH("ALNY US Equity","ARD_ADJ_NET_INCOME_AS_REPORTED","FQ3 2024","FQ3 2024","Currency=USD","Period=FQ","BEST_FPERIOD_OVERRIDE=FQ","FILING_STATUS=MR","SCALING_FORMAT=MLN","Sort=A","Dates=H","DateFormat=P","Fill=—","Direction=H","UseDPDF=Y")</f>
        <v>-64.198999999999998</v>
      </c>
      <c r="AA84" s="13">
        <f>_xll.BDH("ALNY US Equity","ARD_ADJ_NET_INCOME_AS_REPORTED","FQ4 2024","FQ4 2024","Currency=USD","Period=FQ","BEST_FPERIOD_OVERRIDE=FQ","FILING_STATUS=MR","SCALING_FORMAT=MLN","Sort=A","Dates=H","DateFormat=P","Fill=—","Direction=H","UseDPDF=Y")</f>
        <v>8.048</v>
      </c>
    </row>
    <row r="85" spans="1:27" x14ac:dyDescent="0.25">
      <c r="A85" s="10" t="s">
        <v>532</v>
      </c>
      <c r="B85" s="10" t="s">
        <v>533</v>
      </c>
      <c r="C85" s="14">
        <f>_xll.BDH("ALNY US Equity","ARDR_ADJUSTED_EPS","FQ4 2018","FQ4 2018","Currency=USD","Period=FQ","BEST_FPERIOD_OVERRIDE=FQ","FILING_STATUS=MR","Sort=A","Dates=H","DateFormat=P","Fill=—","Direction=H","UseDPDF=Y")</f>
        <v>-1.82</v>
      </c>
      <c r="D85" s="14">
        <f>_xll.BDH("ALNY US Equity","ARDR_ADJUSTED_EPS","FQ1 2019","FQ1 2019","Currency=USD","Period=FQ","BEST_FPERIOD_OVERRIDE=FQ","FILING_STATUS=MR","Sort=A","Dates=H","DateFormat=P","Fill=—","Direction=H","UseDPDF=Y")</f>
        <v>-1.42</v>
      </c>
      <c r="E85" s="14">
        <f>_xll.BDH("ALNY US Equity","ARDR_ADJUSTED_EPS","FQ2 2019","FQ2 2019","Currency=USD","Period=FQ","BEST_FPERIOD_OVERRIDE=FQ","FILING_STATUS=MR","Sort=A","Dates=H","DateFormat=P","Fill=—","Direction=H","UseDPDF=Y")</f>
        <v>-1.83</v>
      </c>
      <c r="F85" s="14">
        <f>_xll.BDH("ALNY US Equity","ARDR_ADJUSTED_EPS","FQ3 2019","FQ3 2019","Currency=USD","Period=FQ","BEST_FPERIOD_OVERRIDE=FQ","FILING_STATUS=MR","Sort=A","Dates=H","DateFormat=P","Fill=—","Direction=H","UseDPDF=Y")</f>
        <v>-1.5</v>
      </c>
      <c r="G85" s="14">
        <f>_xll.BDH("ALNY US Equity","ARDR_ADJUSTED_EPS","FQ4 2019","FQ4 2019","Currency=USD","Period=FQ","BEST_FPERIOD_OVERRIDE=FQ","FILING_STATUS=MR","Sort=A","Dates=H","DateFormat=P","Fill=—","Direction=H","UseDPDF=Y")</f>
        <v>-1.98</v>
      </c>
      <c r="H85" s="14">
        <f>_xll.BDH("ALNY US Equity","ARDR_ADJUSTED_EPS","FQ1 2020","FQ1 2020","Currency=USD","Period=FQ","BEST_FPERIOD_OVERRIDE=FQ","FILING_STATUS=MR","Sort=A","Dates=H","DateFormat=P","Fill=—","Direction=H","UseDPDF=Y")</f>
        <v>-1.52</v>
      </c>
      <c r="I85" s="14">
        <f>_xll.BDH("ALNY US Equity","ARDR_ADJUSTED_EPS","FQ2 2020","FQ2 2020","Currency=USD","Period=FQ","BEST_FPERIOD_OVERRIDE=FQ","FILING_STATUS=MR","Sort=A","Dates=H","DateFormat=P","Fill=—","Direction=H","UseDPDF=Y")</f>
        <v>-1.67</v>
      </c>
      <c r="J85" s="14">
        <f>_xll.BDH("ALNY US Equity","ARDR_ADJUSTED_EPS","FQ3 2020","FQ3 2020","Currency=USD","Period=FQ","BEST_FPERIOD_OVERRIDE=FQ","FILING_STATUS=MR","Sort=A","Dates=H","DateFormat=P","Fill=—","Direction=H","UseDPDF=Y")</f>
        <v>-1.58</v>
      </c>
      <c r="K85" s="14">
        <f>_xll.BDH("ALNY US Equity","ARDR_ADJUSTED_EPS","FQ4 2020","FQ4 2020","Currency=USD","Period=FQ","BEST_FPERIOD_OVERRIDE=FQ","FILING_STATUS=MR","Sort=A","Dates=H","DateFormat=P","Fill=—","Direction=H","UseDPDF=Y")</f>
        <v>-1.6</v>
      </c>
      <c r="L85" s="14">
        <f>_xll.BDH("ALNY US Equity","ARDR_ADJUSTED_EPS","FQ1 2021","FQ1 2021","Currency=USD","Period=FQ","BEST_FPERIOD_OVERRIDE=FQ","FILING_STATUS=MR","Sort=A","Dates=H","DateFormat=P","Fill=—","Direction=H","UseDPDF=Y")</f>
        <v>-1.64</v>
      </c>
      <c r="M85" s="14">
        <f>_xll.BDH("ALNY US Equity","ARDR_ADJUSTED_EPS","FQ2 2021","FQ2 2021","Currency=USD","Period=FQ","BEST_FPERIOD_OVERRIDE=FQ","FILING_STATUS=MR","Sort=A","Dates=H","DateFormat=P","Fill=—","Direction=H","UseDPDF=Y")</f>
        <v>-1.3</v>
      </c>
      <c r="N85" s="14">
        <f>_xll.BDH("ALNY US Equity","ARDR_ADJUSTED_EPS","FQ3 2021","FQ3 2021","Currency=USD","Period=FQ","BEST_FPERIOD_OVERRIDE=FQ","FILING_STATUS=MR","Sort=A","Dates=H","DateFormat=P","Fill=—","Direction=H","UseDPDF=Y")</f>
        <v>-1.51</v>
      </c>
      <c r="O85" s="14">
        <f>_xll.BDH("ALNY US Equity","ARDR_ADJUSTED_EPS","FQ4 2021","FQ4 2021","Currency=USD","Period=FQ","BEST_FPERIOD_OVERRIDE=FQ","FILING_STATUS=MR","Sort=A","Dates=H","DateFormat=P","Fill=—","Direction=H","UseDPDF=Y")</f>
        <v>-1.69</v>
      </c>
      <c r="P85" s="14">
        <f>_xll.BDH("ALNY US Equity","ARDR_ADJUSTED_EPS","FQ1 2022","FQ1 2022","Currency=USD","Period=FQ","BEST_FPERIOD_OVERRIDE=FQ","FILING_STATUS=MR","Sort=A","Dates=H","DateFormat=P","Fill=—","Direction=H","UseDPDF=Y")</f>
        <v>-1.49</v>
      </c>
      <c r="Q85" s="14">
        <f>_xll.BDH("ALNY US Equity","ARDR_ADJUSTED_EPS","FQ2 2022","FQ2 2022","Currency=USD","Period=FQ","BEST_FPERIOD_OVERRIDE=FQ","FILING_STATUS=MR","Sort=A","Dates=H","DateFormat=P","Fill=—","Direction=H","UseDPDF=Y")</f>
        <v>-2.0299999999999998</v>
      </c>
      <c r="R85" s="14">
        <f>_xll.BDH("ALNY US Equity","ARDR_ADJUSTED_EPS","FQ3 2022","FQ3 2022","Currency=USD","Period=FQ","BEST_FPERIOD_OVERRIDE=FQ","FILING_STATUS=MR","Sort=A","Dates=H","DateFormat=P","Fill=—","Direction=H","UseDPDF=Y")</f>
        <v>-1.58</v>
      </c>
      <c r="S85" s="14">
        <f>_xll.BDH("ALNY US Equity","ARDR_ADJUSTED_EPS","FQ4 2022","FQ4 2022","Currency=USD","Period=FQ","BEST_FPERIOD_OVERRIDE=FQ","FILING_STATUS=MR","Sort=A","Dates=H","DateFormat=P","Fill=—","Direction=H","UseDPDF=Y")</f>
        <v>-1.39</v>
      </c>
      <c r="T85" s="14">
        <f>_xll.BDH("ALNY US Equity","ARDR_ADJUSTED_EPS","FQ1 2023","FQ1 2023","Currency=USD","Period=FQ","BEST_FPERIOD_OVERRIDE=FQ","FILING_STATUS=MR","Sort=A","Dates=H","DateFormat=P","Fill=—","Direction=H","UseDPDF=Y")</f>
        <v>-1.06</v>
      </c>
      <c r="U85" s="14">
        <f>_xll.BDH("ALNY US Equity","ARDR_ADJUSTED_EPS","FQ2 2023","FQ2 2023","Currency=USD","Period=FQ","BEST_FPERIOD_OVERRIDE=FQ","FILING_STATUS=MR","Sort=A","Dates=H","DateFormat=P","Fill=—","Direction=H","UseDPDF=Y")</f>
        <v>-1.62</v>
      </c>
      <c r="V85" s="14">
        <f>_xll.BDH("ALNY US Equity","ARDR_ADJUSTED_EPS","FQ3 2023","FQ3 2023","Currency=USD","Period=FQ","BEST_FPERIOD_OVERRIDE=FQ","FILING_STATUS=MR","Sort=A","Dates=H","DateFormat=P","Fill=—","Direction=H","UseDPDF=Y")</f>
        <v>1.74</v>
      </c>
      <c r="W85" s="14">
        <f>_xll.BDH("ALNY US Equity","ARDR_ADJUSTED_EPS","FQ4 2023","FQ4 2023","Currency=USD","Period=FQ","BEST_FPERIOD_OVERRIDE=FQ","FILING_STATUS=MR","Sort=A","Dates=H","DateFormat=P","Fill=—","Direction=H","UseDPDF=Y")</f>
        <v>-0.77</v>
      </c>
      <c r="X85" s="14">
        <f>_xll.BDH("ALNY US Equity","ARDR_ADJUSTED_EPS","FQ1 2024","FQ1 2024","Currency=USD","Period=FQ","BEST_FPERIOD_OVERRIDE=FQ","FILING_STATUS=MR","Sort=A","Dates=H","DateFormat=P","Fill=—","Direction=H","UseDPDF=Y")</f>
        <v>-0.16</v>
      </c>
      <c r="Y85" s="14">
        <f>_xll.BDH("ALNY US Equity","ARDR_ADJUSTED_EPS","FQ2 2024","FQ2 2024","Currency=USD","Period=FQ","BEST_FPERIOD_OVERRIDE=FQ","FILING_STATUS=MR","Sort=A","Dates=H","DateFormat=P","Fill=—","Direction=H","UseDPDF=Y")</f>
        <v>0.57999999999999996</v>
      </c>
      <c r="Z85" s="14">
        <f>_xll.BDH("ALNY US Equity","ARDR_ADJUSTED_EPS","FQ3 2024","FQ3 2024","Currency=USD","Period=FQ","BEST_FPERIOD_OVERRIDE=FQ","FILING_STATUS=MR","Sort=A","Dates=H","DateFormat=P","Fill=—","Direction=H","UseDPDF=Y")</f>
        <v>-0.5</v>
      </c>
      <c r="AA85" s="14">
        <f>_xll.BDH("ALNY US Equity","ARDR_ADJUSTED_EPS","FQ4 2024","FQ4 2024","Currency=USD","Period=FQ","BEST_FPERIOD_OVERRIDE=FQ","FILING_STATUS=MR","Sort=A","Dates=H","DateFormat=P","Fill=—","Direction=H","UseDPDF=Y")</f>
        <v>0.06</v>
      </c>
    </row>
    <row r="86" spans="1:27" x14ac:dyDescent="0.25">
      <c r="A86" s="10" t="s">
        <v>534</v>
      </c>
      <c r="B86" s="10" t="s">
        <v>535</v>
      </c>
      <c r="C86" s="13" t="str">
        <f>_xll.BDH("ALNY US Equity","ARDR_UNREAL_GL_FROM_SECS_NON_OP","FQ4 2018","FQ4 2018","Currency=USD","Period=FQ","BEST_FPERIOD_OVERRIDE=FQ","FILING_STATUS=MR","SCALING_FORMAT=MLN","Sort=A","Dates=H","DateFormat=P","Fill=—","Direction=H","UseDPDF=Y")</f>
        <v>—</v>
      </c>
      <c r="D86" s="13" t="str">
        <f>_xll.BDH("ALNY US Equity","ARDR_UNREAL_GL_FROM_SECS_NON_OP","FQ1 2019","FQ1 2019","Currency=USD","Period=FQ","BEST_FPERIOD_OVERRIDE=FQ","FILING_STATUS=MR","SCALING_FORMAT=MLN","Sort=A","Dates=H","DateFormat=P","Fill=—","Direction=H","UseDPDF=Y")</f>
        <v>—</v>
      </c>
      <c r="E86" s="13" t="str">
        <f>_xll.BDH("ALNY US Equity","ARDR_UNREAL_GL_FROM_SECS_NON_OP","FQ2 2019","FQ2 2019","Currency=USD","Period=FQ","BEST_FPERIOD_OVERRIDE=FQ","FILING_STATUS=MR","SCALING_FORMAT=MLN","Sort=A","Dates=H","DateFormat=P","Fill=—","Direction=H","UseDPDF=Y")</f>
        <v>—</v>
      </c>
      <c r="F86" s="13" t="str">
        <f>_xll.BDH("ALNY US Equity","ARDR_UNREAL_GL_FROM_SECS_NON_OP","FQ3 2019","FQ3 2019","Currency=USD","Period=FQ","BEST_FPERIOD_OVERRIDE=FQ","FILING_STATUS=MR","SCALING_FORMAT=MLN","Sort=A","Dates=H","DateFormat=P","Fill=—","Direction=H","UseDPDF=Y")</f>
        <v>—</v>
      </c>
      <c r="G86" s="13" t="str">
        <f>_xll.BDH("ALNY US Equity","ARDR_UNREAL_GL_FROM_SECS_NON_OP","FQ4 2019","FQ4 2019","Currency=USD","Period=FQ","BEST_FPERIOD_OVERRIDE=FQ","FILING_STATUS=MR","SCALING_FORMAT=MLN","Sort=A","Dates=H","DateFormat=P","Fill=—","Direction=H","UseDPDF=Y")</f>
        <v>—</v>
      </c>
      <c r="H86" s="13">
        <f>_xll.BDH("ALNY US Equity","ARDR_UNREAL_GL_FROM_SECS_NON_OP","FQ1 2020","FQ1 2020","Currency=USD","Period=FQ","BEST_FPERIOD_OVERRIDE=FQ","FILING_STATUS=MR","SCALING_FORMAT=MLN","Sort=A","Dates=H","DateFormat=P","Fill=—","Direction=H","UseDPDF=Y")</f>
        <v>-24.111000000000001</v>
      </c>
      <c r="I86" s="13" t="str">
        <f>_xll.BDH("ALNY US Equity","ARDR_UNREAL_GL_FROM_SECS_NON_OP","FQ2 2020","FQ2 2020","Currency=USD","Period=FQ","BEST_FPERIOD_OVERRIDE=FQ","FILING_STATUS=MR","SCALING_FORMAT=MLN","Sort=A","Dates=H","DateFormat=P","Fill=—","Direction=H","UseDPDF=Y")</f>
        <v>—</v>
      </c>
      <c r="J86" s="13">
        <f>_xll.BDH("ALNY US Equity","ARDR_UNREAL_GL_FROM_SECS_NON_OP","FQ3 2020","FQ3 2020","Currency=USD","Period=FQ","BEST_FPERIOD_OVERRIDE=FQ","FILING_STATUS=MR","SCALING_FORMAT=MLN","Sort=A","Dates=H","DateFormat=P","Fill=—","Direction=H","UseDPDF=Y")</f>
        <v>3.0169999999999999</v>
      </c>
      <c r="K86" s="13" t="str">
        <f>_xll.BDH("ALNY US Equity","ARDR_UNREAL_GL_FROM_SECS_NON_OP","FQ4 2020","FQ4 2020","Currency=USD","Period=FQ","BEST_FPERIOD_OVERRIDE=FQ","FILING_STATUS=MR","SCALING_FORMAT=MLN","Sort=A","Dates=H","DateFormat=P","Fill=—","Direction=H","UseDPDF=Y")</f>
        <v>—</v>
      </c>
      <c r="L86" s="13">
        <f>_xll.BDH("ALNY US Equity","ARDR_UNREAL_GL_FROM_SECS_NON_OP","FQ1 2021","FQ1 2021","Currency=USD","Period=FQ","BEST_FPERIOD_OVERRIDE=FQ","FILING_STATUS=MR","SCALING_FORMAT=MLN","Sort=A","Dates=H","DateFormat=P","Fill=—","Direction=H","UseDPDF=Y")</f>
        <v>-47.015999999999998</v>
      </c>
      <c r="M86" s="13" t="str">
        <f>_xll.BDH("ALNY US Equity","ARDR_UNREAL_GL_FROM_SECS_NON_OP","FQ2 2021","FQ2 2021","Currency=USD","Period=FQ","BEST_FPERIOD_OVERRIDE=FQ","FILING_STATUS=MR","SCALING_FORMAT=MLN","Sort=A","Dates=H","DateFormat=P","Fill=—","Direction=H","UseDPDF=Y")</f>
        <v>—</v>
      </c>
      <c r="N86" s="13">
        <f>_xll.BDH("ALNY US Equity","ARDR_UNREAL_GL_FROM_SECS_NON_OP","FQ3 2021","FQ3 2021","Currency=USD","Period=FQ","BEST_FPERIOD_OVERRIDE=FQ","FILING_STATUS=MR","SCALING_FORMAT=MLN","Sort=A","Dates=H","DateFormat=P","Fill=—","Direction=H","UseDPDF=Y")</f>
        <v>-18.690999999999999</v>
      </c>
      <c r="O86" s="13">
        <f>_xll.BDH("ALNY US Equity","ARDR_UNREAL_GL_FROM_SECS_NON_OP","FQ4 2021","FQ4 2021","Currency=USD","Period=FQ","BEST_FPERIOD_OVERRIDE=FQ","FILING_STATUS=MR","SCALING_FORMAT=MLN","Sort=A","Dates=H","DateFormat=P","Fill=—","Direction=H","UseDPDF=Y")</f>
        <v>5.5780000000000003</v>
      </c>
      <c r="P86" s="13">
        <f>_xll.BDH("ALNY US Equity","ARDR_UNREAL_GL_FROM_SECS_NON_OP","FQ1 2022","FQ1 2022","Currency=USD","Period=FQ","BEST_FPERIOD_OVERRIDE=FQ","FILING_STATUS=MR","SCALING_FORMAT=MLN","Sort=A","Dates=H","DateFormat=P","Fill=—","Direction=H","UseDPDF=Y")</f>
        <v>31.161000000000001</v>
      </c>
      <c r="Q86" s="13">
        <f>_xll.BDH("ALNY US Equity","ARDR_UNREAL_GL_FROM_SECS_NON_OP","FQ2 2022","FQ2 2022","Currency=USD","Period=FQ","BEST_FPERIOD_OVERRIDE=FQ","FILING_STATUS=MR","SCALING_FORMAT=MLN","Sort=A","Dates=H","DateFormat=P","Fill=—","Direction=H","UseDPDF=Y")</f>
        <v>1.097</v>
      </c>
      <c r="R86" s="13">
        <f>_xll.BDH("ALNY US Equity","ARDR_UNREAL_GL_FROM_SECS_NON_OP","FQ3 2022","FQ3 2022","Currency=USD","Period=FQ","BEST_FPERIOD_OVERRIDE=FQ","FILING_STATUS=MR","SCALING_FORMAT=MLN","Sort=A","Dates=H","DateFormat=P","Fill=—","Direction=H","UseDPDF=Y")</f>
        <v>7.85</v>
      </c>
      <c r="S86" s="13">
        <f>_xll.BDH("ALNY US Equity","ARDR_UNREAL_GL_FROM_SECS_NON_OP","FQ4 2022","FQ4 2022","Currency=USD","Period=FQ","BEST_FPERIOD_OVERRIDE=FQ","FILING_STATUS=MR","SCALING_FORMAT=MLN","Sort=A","Dates=H","DateFormat=P","Fill=—","Direction=H","UseDPDF=Y")</f>
        <v>-6.7960000000000003</v>
      </c>
      <c r="T86" s="13">
        <f>_xll.BDH("ALNY US Equity","ARDR_UNREAL_GL_FROM_SECS_NON_OP","FQ1 2023","FQ1 2023","Currency=USD","Period=FQ","BEST_FPERIOD_OVERRIDE=FQ","FILING_STATUS=MR","SCALING_FORMAT=MLN","Sort=A","Dates=H","DateFormat=P","Fill=—","Direction=H","UseDPDF=Y")</f>
        <v>2.2669999999999999</v>
      </c>
      <c r="U86" s="13">
        <f>_xll.BDH("ALNY US Equity","ARDR_UNREAL_GL_FROM_SECS_NON_OP","FQ2 2023","FQ2 2023","Currency=USD","Period=FQ","BEST_FPERIOD_OVERRIDE=FQ","FILING_STATUS=MR","SCALING_FORMAT=MLN","Sort=A","Dates=H","DateFormat=P","Fill=—","Direction=H","UseDPDF=Y")</f>
        <v>-1.4</v>
      </c>
      <c r="V86" s="13">
        <f>_xll.BDH("ALNY US Equity","ARDR_UNREAL_GL_FROM_SECS_NON_OP","FQ3 2023","FQ3 2023","Currency=USD","Period=FQ","BEST_FPERIOD_OVERRIDE=FQ","FILING_STATUS=MR","SCALING_FORMAT=MLN","Sort=A","Dates=H","DateFormat=P","Fill=—","Direction=H","UseDPDF=Y")</f>
        <v>16.844000000000001</v>
      </c>
      <c r="W86" s="13">
        <f>_xll.BDH("ALNY US Equity","ARDR_UNREAL_GL_FROM_SECS_NON_OP","FQ4 2023","FQ4 2023","Currency=USD","Period=FQ","BEST_FPERIOD_OVERRIDE=FQ","FILING_STATUS=MR","SCALING_FORMAT=MLN","Sort=A","Dates=H","DateFormat=P","Fill=—","Direction=H","UseDPDF=Y")</f>
        <v>-0.76700000000000002</v>
      </c>
      <c r="X86" s="13">
        <f>_xll.BDH("ALNY US Equity","ARDR_UNREAL_GL_FROM_SECS_NON_OP","FQ1 2024","FQ1 2024","Currency=USD","Period=FQ","BEST_FPERIOD_OVERRIDE=FQ","FILING_STATUS=MR","SCALING_FORMAT=MLN","Sort=A","Dates=H","DateFormat=P","Fill=—","Direction=H","UseDPDF=Y")</f>
        <v>-7.8E-2</v>
      </c>
      <c r="Y86" s="13">
        <f>_xll.BDH("ALNY US Equity","ARDR_UNREAL_GL_FROM_SECS_NON_OP","FQ2 2024","FQ2 2024","Currency=USD","Period=FQ","BEST_FPERIOD_OVERRIDE=FQ","FILING_STATUS=MR","SCALING_FORMAT=MLN","Sort=A","Dates=H","DateFormat=P","Fill=—","Direction=H","UseDPDF=Y")</f>
        <v>1.367</v>
      </c>
      <c r="Z86" s="13">
        <f>_xll.BDH("ALNY US Equity","ARDR_UNREAL_GL_FROM_SECS_NON_OP","FQ3 2024","FQ3 2024","Currency=USD","Period=FQ","BEST_FPERIOD_OVERRIDE=FQ","FILING_STATUS=MR","SCALING_FORMAT=MLN","Sort=A","Dates=H","DateFormat=P","Fill=—","Direction=H","UseDPDF=Y")</f>
        <v>1.5669999999999999</v>
      </c>
      <c r="AA86" s="13">
        <f>_xll.BDH("ALNY US Equity","ARDR_UNREAL_GL_FROM_SECS_NON_OP","FQ4 2024","FQ4 2024","Currency=USD","Period=FQ","BEST_FPERIOD_OVERRIDE=FQ","FILING_STATUS=MR","SCALING_FORMAT=MLN","Sort=A","Dates=H","DateFormat=P","Fill=—","Direction=H","UseDPDF=Y")</f>
        <v>0.16600000000000001</v>
      </c>
    </row>
    <row r="87" spans="1:27" x14ac:dyDescent="0.25">
      <c r="A87" s="10" t="s">
        <v>536</v>
      </c>
      <c r="B87" s="10" t="s">
        <v>537</v>
      </c>
      <c r="C87" s="14" t="str">
        <f>_xll.BDH("ALNY US Equity","ARDR_STATUTORY_TAX_RATE_PCT","FQ4 2018","FQ4 2018","Currency=USD","Period=FQ","BEST_FPERIOD_OVERRIDE=FQ","FILING_STATUS=MR","Sort=A","Dates=H","DateFormat=P","Fill=—","Direction=H","UseDPDF=Y")</f>
        <v>—</v>
      </c>
      <c r="D87" s="14" t="str">
        <f>_xll.BDH("ALNY US Equity","ARDR_STATUTORY_TAX_RATE_PCT","FQ1 2019","FQ1 2019","Currency=USD","Period=FQ","BEST_FPERIOD_OVERRIDE=FQ","FILING_STATUS=MR","Sort=A","Dates=H","DateFormat=P","Fill=—","Direction=H","UseDPDF=Y")</f>
        <v>—</v>
      </c>
      <c r="E87" s="14" t="str">
        <f>_xll.BDH("ALNY US Equity","ARDR_STATUTORY_TAX_RATE_PCT","FQ2 2019","FQ2 2019","Currency=USD","Period=FQ","BEST_FPERIOD_OVERRIDE=FQ","FILING_STATUS=MR","Sort=A","Dates=H","DateFormat=P","Fill=—","Direction=H","UseDPDF=Y")</f>
        <v>—</v>
      </c>
      <c r="F87" s="14" t="str">
        <f>_xll.BDH("ALNY US Equity","ARDR_STATUTORY_TAX_RATE_PCT","FQ3 2019","FQ3 2019","Currency=USD","Period=FQ","BEST_FPERIOD_OVERRIDE=FQ","FILING_STATUS=MR","Sort=A","Dates=H","DateFormat=P","Fill=—","Direction=H","UseDPDF=Y")</f>
        <v>—</v>
      </c>
      <c r="G87" s="14" t="str">
        <f>_xll.BDH("ALNY US Equity","ARDR_STATUTORY_TAX_RATE_PCT","FQ4 2019","FQ4 2019","Currency=USD","Period=FQ","BEST_FPERIOD_OVERRIDE=FQ","FILING_STATUS=MR","Sort=A","Dates=H","DateFormat=P","Fill=—","Direction=H","UseDPDF=Y")</f>
        <v>—</v>
      </c>
      <c r="H87" s="14" t="str">
        <f>_xll.BDH("ALNY US Equity","ARDR_STATUTORY_TAX_RATE_PCT","FQ1 2020","FQ1 2020","Currency=USD","Period=FQ","BEST_FPERIOD_OVERRIDE=FQ","FILING_STATUS=MR","Sort=A","Dates=H","DateFormat=P","Fill=—","Direction=H","UseDPDF=Y")</f>
        <v>—</v>
      </c>
      <c r="I87" s="14" t="str">
        <f>_xll.BDH("ALNY US Equity","ARDR_STATUTORY_TAX_RATE_PCT","FQ2 2020","FQ2 2020","Currency=USD","Period=FQ","BEST_FPERIOD_OVERRIDE=FQ","FILING_STATUS=MR","Sort=A","Dates=H","DateFormat=P","Fill=—","Direction=H","UseDPDF=Y")</f>
        <v>—</v>
      </c>
      <c r="J87" s="14" t="str">
        <f>_xll.BDH("ALNY US Equity","ARDR_STATUTORY_TAX_RATE_PCT","FQ3 2020","FQ3 2020","Currency=USD","Period=FQ","BEST_FPERIOD_OVERRIDE=FQ","FILING_STATUS=MR","Sort=A","Dates=H","DateFormat=P","Fill=—","Direction=H","UseDPDF=Y")</f>
        <v>—</v>
      </c>
      <c r="K87" s="14" t="str">
        <f>_xll.BDH("ALNY US Equity","ARDR_STATUTORY_TAX_RATE_PCT","FQ4 2020","FQ4 2020","Currency=USD","Period=FQ","BEST_FPERIOD_OVERRIDE=FQ","FILING_STATUS=MR","Sort=A","Dates=H","DateFormat=P","Fill=—","Direction=H","UseDPDF=Y")</f>
        <v>—</v>
      </c>
      <c r="L87" s="14" t="str">
        <f>_xll.BDH("ALNY US Equity","ARDR_STATUTORY_TAX_RATE_PCT","FQ1 2021","FQ1 2021","Currency=USD","Period=FQ","BEST_FPERIOD_OVERRIDE=FQ","FILING_STATUS=MR","Sort=A","Dates=H","DateFormat=P","Fill=—","Direction=H","UseDPDF=Y")</f>
        <v>—</v>
      </c>
      <c r="M87" s="14" t="str">
        <f>_xll.BDH("ALNY US Equity","ARDR_STATUTORY_TAX_RATE_PCT","FQ2 2021","FQ2 2021","Currency=USD","Period=FQ","BEST_FPERIOD_OVERRIDE=FQ","FILING_STATUS=MR","Sort=A","Dates=H","DateFormat=P","Fill=—","Direction=H","UseDPDF=Y")</f>
        <v>—</v>
      </c>
      <c r="N87" s="14" t="str">
        <f>_xll.BDH("ALNY US Equity","ARDR_STATUTORY_TAX_RATE_PCT","FQ3 2021","FQ3 2021","Currency=USD","Period=FQ","BEST_FPERIOD_OVERRIDE=FQ","FILING_STATUS=MR","Sort=A","Dates=H","DateFormat=P","Fill=—","Direction=H","UseDPDF=Y")</f>
        <v>—</v>
      </c>
      <c r="O87" s="14" t="str">
        <f>_xll.BDH("ALNY US Equity","ARDR_STATUTORY_TAX_RATE_PCT","FQ4 2021","FQ4 2021","Currency=USD","Period=FQ","BEST_FPERIOD_OVERRIDE=FQ","FILING_STATUS=MR","Sort=A","Dates=H","DateFormat=P","Fill=—","Direction=H","UseDPDF=Y")</f>
        <v>—</v>
      </c>
      <c r="P87" s="14" t="str">
        <f>_xll.BDH("ALNY US Equity","ARDR_STATUTORY_TAX_RATE_PCT","FQ1 2022","FQ1 2022","Currency=USD","Period=FQ","BEST_FPERIOD_OVERRIDE=FQ","FILING_STATUS=MR","Sort=A","Dates=H","DateFormat=P","Fill=—","Direction=H","UseDPDF=Y")</f>
        <v>—</v>
      </c>
      <c r="Q87" s="14" t="str">
        <f>_xll.BDH("ALNY US Equity","ARDR_STATUTORY_TAX_RATE_PCT","FQ2 2022","FQ2 2022","Currency=USD","Period=FQ","BEST_FPERIOD_OVERRIDE=FQ","FILING_STATUS=MR","Sort=A","Dates=H","DateFormat=P","Fill=—","Direction=H","UseDPDF=Y")</f>
        <v>—</v>
      </c>
      <c r="R87" s="14" t="str">
        <f>_xll.BDH("ALNY US Equity","ARDR_STATUTORY_TAX_RATE_PCT","FQ3 2022","FQ3 2022","Currency=USD","Period=FQ","BEST_FPERIOD_OVERRIDE=FQ","FILING_STATUS=MR","Sort=A","Dates=H","DateFormat=P","Fill=—","Direction=H","UseDPDF=Y")</f>
        <v>—</v>
      </c>
      <c r="S87" s="14">
        <f>_xll.BDH("ALNY US Equity","ARDR_STATUTORY_TAX_RATE_PCT","FQ4 2022","FQ4 2022","Currency=USD","Period=FQ","BEST_FPERIOD_OVERRIDE=FQ","FILING_STATUS=MR","Sort=A","Dates=H","DateFormat=P","Fill=—","Direction=H","UseDPDF=Y")</f>
        <v>21</v>
      </c>
      <c r="T87" s="14" t="str">
        <f>_xll.BDH("ALNY US Equity","ARDR_STATUTORY_TAX_RATE_PCT","FQ1 2023","FQ1 2023","Currency=USD","Period=FQ","BEST_FPERIOD_OVERRIDE=FQ","FILING_STATUS=MR","Sort=A","Dates=H","DateFormat=P","Fill=—","Direction=H","UseDPDF=Y")</f>
        <v>—</v>
      </c>
      <c r="U87" s="14" t="str">
        <f>_xll.BDH("ALNY US Equity","ARDR_STATUTORY_TAX_RATE_PCT","FQ2 2023","FQ2 2023","Currency=USD","Period=FQ","BEST_FPERIOD_OVERRIDE=FQ","FILING_STATUS=MR","Sort=A","Dates=H","DateFormat=P","Fill=—","Direction=H","UseDPDF=Y")</f>
        <v>—</v>
      </c>
      <c r="V87" s="14" t="str">
        <f>_xll.BDH("ALNY US Equity","ARDR_STATUTORY_TAX_RATE_PCT","FQ3 2023","FQ3 2023","Currency=USD","Period=FQ","BEST_FPERIOD_OVERRIDE=FQ","FILING_STATUS=MR","Sort=A","Dates=H","DateFormat=P","Fill=—","Direction=H","UseDPDF=Y")</f>
        <v>—</v>
      </c>
      <c r="W87" s="14">
        <f>_xll.BDH("ALNY US Equity","ARDR_STATUTORY_TAX_RATE_PCT","FQ4 2023","FQ4 2023","Currency=USD","Period=FQ","BEST_FPERIOD_OVERRIDE=FQ","FILING_STATUS=MR","Sort=A","Dates=H","DateFormat=P","Fill=—","Direction=H","UseDPDF=Y")</f>
        <v>21</v>
      </c>
      <c r="X87" s="14" t="str">
        <f>_xll.BDH("ALNY US Equity","ARDR_STATUTORY_TAX_RATE_PCT","FQ1 2024","FQ1 2024","Currency=USD","Period=FQ","BEST_FPERIOD_OVERRIDE=FQ","FILING_STATUS=MR","Sort=A","Dates=H","DateFormat=P","Fill=—","Direction=H","UseDPDF=Y")</f>
        <v>—</v>
      </c>
      <c r="Y87" s="14" t="str">
        <f>_xll.BDH("ALNY US Equity","ARDR_STATUTORY_TAX_RATE_PCT","FQ2 2024","FQ2 2024","Currency=USD","Period=FQ","BEST_FPERIOD_OVERRIDE=FQ","FILING_STATUS=MR","Sort=A","Dates=H","DateFormat=P","Fill=—","Direction=H","UseDPDF=Y")</f>
        <v>—</v>
      </c>
      <c r="Z87" s="14" t="str">
        <f>_xll.BDH("ALNY US Equity","ARDR_STATUTORY_TAX_RATE_PCT","FQ3 2024","FQ3 2024","Currency=USD","Period=FQ","BEST_FPERIOD_OVERRIDE=FQ","FILING_STATUS=MR","Sort=A","Dates=H","DateFormat=P","Fill=—","Direction=H","UseDPDF=Y")</f>
        <v>—</v>
      </c>
      <c r="AA87" s="14">
        <f>_xll.BDH("ALNY US Equity","ARDR_STATUTORY_TAX_RATE_PCT","FQ4 2024","FQ4 2024","Currency=USD","Period=FQ","BEST_FPERIOD_OVERRIDE=FQ","FILING_STATUS=MR","Sort=A","Dates=H","DateFormat=P","Fill=—","Direction=H","UseDPDF=Y")</f>
        <v>21</v>
      </c>
    </row>
    <row r="88" spans="1:27" x14ac:dyDescent="0.25">
      <c r="A88" s="10" t="s">
        <v>538</v>
      </c>
      <c r="B88" s="10" t="s">
        <v>539</v>
      </c>
      <c r="C88" s="13" t="str">
        <f>_xll.BDH("ALNY US Equity","ARDR_ACQUISITION_MERGERS_AFT_TAX","FQ4 2018","FQ4 2018","Currency=USD","Period=FQ","BEST_FPERIOD_OVERRIDE=FQ","FILING_STATUS=MR","SCALING_FORMAT=MLN","Sort=A","Dates=H","DateFormat=P","Fill=—","Direction=H","UseDPDF=Y")</f>
        <v>—</v>
      </c>
      <c r="D88" s="13" t="str">
        <f>_xll.BDH("ALNY US Equity","ARDR_ACQUISITION_MERGERS_AFT_TAX","FQ1 2019","FQ1 2019","Currency=USD","Period=FQ","BEST_FPERIOD_OVERRIDE=FQ","FILING_STATUS=MR","SCALING_FORMAT=MLN","Sort=A","Dates=H","DateFormat=P","Fill=—","Direction=H","UseDPDF=Y")</f>
        <v>—</v>
      </c>
      <c r="E88" s="13" t="str">
        <f>_xll.BDH("ALNY US Equity","ARDR_ACQUISITION_MERGERS_AFT_TAX","FQ2 2019","FQ2 2019","Currency=USD","Period=FQ","BEST_FPERIOD_OVERRIDE=FQ","FILING_STATUS=MR","SCALING_FORMAT=MLN","Sort=A","Dates=H","DateFormat=P","Fill=—","Direction=H","UseDPDF=Y")</f>
        <v>—</v>
      </c>
      <c r="F88" s="13" t="str">
        <f>_xll.BDH("ALNY US Equity","ARDR_ACQUISITION_MERGERS_AFT_TAX","FQ3 2019","FQ3 2019","Currency=USD","Period=FQ","BEST_FPERIOD_OVERRIDE=FQ","FILING_STATUS=MR","SCALING_FORMAT=MLN","Sort=A","Dates=H","DateFormat=P","Fill=—","Direction=H","UseDPDF=Y")</f>
        <v>—</v>
      </c>
      <c r="G88" s="13" t="str">
        <f>_xll.BDH("ALNY US Equity","ARDR_ACQUISITION_MERGERS_AFT_TAX","FQ4 2019","FQ4 2019","Currency=USD","Period=FQ","BEST_FPERIOD_OVERRIDE=FQ","FILING_STATUS=MR","SCALING_FORMAT=MLN","Sort=A","Dates=H","DateFormat=P","Fill=—","Direction=H","UseDPDF=Y")</f>
        <v>—</v>
      </c>
      <c r="H88" s="13" t="str">
        <f>_xll.BDH("ALNY US Equity","ARDR_ACQUISITION_MERGERS_AFT_TAX","FQ1 2020","FQ1 2020","Currency=USD","Period=FQ","BEST_FPERIOD_OVERRIDE=FQ","FILING_STATUS=MR","SCALING_FORMAT=MLN","Sort=A","Dates=H","DateFormat=P","Fill=—","Direction=H","UseDPDF=Y")</f>
        <v>—</v>
      </c>
      <c r="I88" s="13" t="str">
        <f>_xll.BDH("ALNY US Equity","ARDR_ACQUISITION_MERGERS_AFT_TAX","FQ2 2020","FQ2 2020","Currency=USD","Period=FQ","BEST_FPERIOD_OVERRIDE=FQ","FILING_STATUS=MR","SCALING_FORMAT=MLN","Sort=A","Dates=H","DateFormat=P","Fill=—","Direction=H","UseDPDF=Y")</f>
        <v>—</v>
      </c>
      <c r="J88" s="13">
        <f>_xll.BDH("ALNY US Equity","ARDR_ACQUISITION_MERGERS_AFT_TAX","FQ3 2020","FQ3 2020","Currency=USD","Period=FQ","BEST_FPERIOD_OVERRIDE=FQ","FILING_STATUS=MR","SCALING_FORMAT=MLN","Sort=A","Dates=H","DateFormat=P","Fill=—","Direction=H","UseDPDF=Y")</f>
        <v>28</v>
      </c>
      <c r="K88" s="13">
        <f>_xll.BDH("ALNY US Equity","ARDR_ACQUISITION_MERGERS_AFT_TAX","FQ4 2020","FQ4 2020","Currency=USD","Period=FQ","BEST_FPERIOD_OVERRIDE=FQ","FILING_STATUS=MR","SCALING_FORMAT=MLN","Sort=A","Dates=H","DateFormat=P","Fill=—","Direction=H","UseDPDF=Y")</f>
        <v>10.215999999999999</v>
      </c>
      <c r="L88" s="13" t="str">
        <f>_xll.BDH("ALNY US Equity","ARDR_ACQUISITION_MERGERS_AFT_TAX","FQ1 2021","FQ1 2021","Currency=USD","Period=FQ","BEST_FPERIOD_OVERRIDE=FQ","FILING_STATUS=MR","SCALING_FORMAT=MLN","Sort=A","Dates=H","DateFormat=P","Fill=—","Direction=H","UseDPDF=Y")</f>
        <v>—</v>
      </c>
      <c r="M88" s="13" t="str">
        <f>_xll.BDH("ALNY US Equity","ARDR_ACQUISITION_MERGERS_AFT_TAX","FQ2 2021","FQ2 2021","Currency=USD","Period=FQ","BEST_FPERIOD_OVERRIDE=FQ","FILING_STATUS=MR","SCALING_FORMAT=MLN","Sort=A","Dates=H","DateFormat=P","Fill=—","Direction=H","UseDPDF=Y")</f>
        <v>—</v>
      </c>
      <c r="N88" s="13" t="str">
        <f>_xll.BDH("ALNY US Equity","ARDR_ACQUISITION_MERGERS_AFT_TAX","FQ3 2021","FQ3 2021","Currency=USD","Period=FQ","BEST_FPERIOD_OVERRIDE=FQ","FILING_STATUS=MR","SCALING_FORMAT=MLN","Sort=A","Dates=H","DateFormat=P","Fill=—","Direction=H","UseDPDF=Y")</f>
        <v>—</v>
      </c>
      <c r="O88" s="13">
        <f>_xll.BDH("ALNY US Equity","ARDR_ACQUISITION_MERGERS_AFT_TAX","FQ4 2021","FQ4 2021","Currency=USD","Period=FQ","BEST_FPERIOD_OVERRIDE=FQ","FILING_STATUS=MR","SCALING_FORMAT=MLN","Sort=A","Dates=H","DateFormat=P","Fill=—","Direction=H","UseDPDF=Y")</f>
        <v>0</v>
      </c>
      <c r="P88" s="13" t="str">
        <f>_xll.BDH("ALNY US Equity","ARDR_ACQUISITION_MERGERS_AFT_TAX","FQ1 2022","FQ1 2022","Currency=USD","Period=FQ","BEST_FPERIOD_OVERRIDE=FQ","FILING_STATUS=MR","SCALING_FORMAT=MLN","Sort=A","Dates=H","DateFormat=P","Fill=—","Direction=H","UseDPDF=Y")</f>
        <v>—</v>
      </c>
      <c r="Q88" s="13" t="str">
        <f>_xll.BDH("ALNY US Equity","ARDR_ACQUISITION_MERGERS_AFT_TAX","FQ2 2022","FQ2 2022","Currency=USD","Period=FQ","BEST_FPERIOD_OVERRIDE=FQ","FILING_STATUS=MR","SCALING_FORMAT=MLN","Sort=A","Dates=H","DateFormat=P","Fill=—","Direction=H","UseDPDF=Y")</f>
        <v>—</v>
      </c>
      <c r="R88" s="13" t="str">
        <f>_xll.BDH("ALNY US Equity","ARDR_ACQUISITION_MERGERS_AFT_TAX","FQ3 2022","FQ3 2022","Currency=USD","Period=FQ","BEST_FPERIOD_OVERRIDE=FQ","FILING_STATUS=MR","SCALING_FORMAT=MLN","Sort=A","Dates=H","DateFormat=P","Fill=—","Direction=H","UseDPDF=Y")</f>
        <v>—</v>
      </c>
      <c r="S88" s="13" t="str">
        <f>_xll.BDH("ALNY US Equity","ARDR_ACQUISITION_MERGERS_AFT_TAX","FQ4 2022","FQ4 2022","Currency=USD","Period=FQ","BEST_FPERIOD_OVERRIDE=FQ","FILING_STATUS=MR","SCALING_FORMAT=MLN","Sort=A","Dates=H","DateFormat=P","Fill=—","Direction=H","UseDPDF=Y")</f>
        <v>—</v>
      </c>
      <c r="T88" s="13" t="str">
        <f>_xll.BDH("ALNY US Equity","ARDR_ACQUISITION_MERGERS_AFT_TAX","FQ1 2023","FQ1 2023","Currency=USD","Period=FQ","BEST_FPERIOD_OVERRIDE=FQ","FILING_STATUS=MR","SCALING_FORMAT=MLN","Sort=A","Dates=H","DateFormat=P","Fill=—","Direction=H","UseDPDF=Y")</f>
        <v>—</v>
      </c>
      <c r="U88" s="13" t="str">
        <f>_xll.BDH("ALNY US Equity","ARDR_ACQUISITION_MERGERS_AFT_TAX","FQ2 2023","FQ2 2023","Currency=USD","Period=FQ","BEST_FPERIOD_OVERRIDE=FQ","FILING_STATUS=MR","SCALING_FORMAT=MLN","Sort=A","Dates=H","DateFormat=P","Fill=—","Direction=H","UseDPDF=Y")</f>
        <v>—</v>
      </c>
      <c r="V88" s="13" t="str">
        <f>_xll.BDH("ALNY US Equity","ARDR_ACQUISITION_MERGERS_AFT_TAX","FQ3 2023","FQ3 2023","Currency=USD","Period=FQ","BEST_FPERIOD_OVERRIDE=FQ","FILING_STATUS=MR","SCALING_FORMAT=MLN","Sort=A","Dates=H","DateFormat=P","Fill=—","Direction=H","UseDPDF=Y")</f>
        <v>—</v>
      </c>
      <c r="W88" s="13" t="str">
        <f>_xll.BDH("ALNY US Equity","ARDR_ACQUISITION_MERGERS_AFT_TAX","FQ4 2023","FQ4 2023","Currency=USD","Period=FQ","BEST_FPERIOD_OVERRIDE=FQ","FILING_STATUS=MR","SCALING_FORMAT=MLN","Sort=A","Dates=H","DateFormat=P","Fill=—","Direction=H","UseDPDF=Y")</f>
        <v>—</v>
      </c>
      <c r="X88" s="13" t="str">
        <f>_xll.BDH("ALNY US Equity","ARDR_ACQUISITION_MERGERS_AFT_TAX","FQ1 2024","FQ1 2024","Currency=USD","Period=FQ","BEST_FPERIOD_OVERRIDE=FQ","FILING_STATUS=MR","SCALING_FORMAT=MLN","Sort=A","Dates=H","DateFormat=P","Fill=—","Direction=H","UseDPDF=Y")</f>
        <v>—</v>
      </c>
      <c r="Y88" s="13" t="str">
        <f>_xll.BDH("ALNY US Equity","ARDR_ACQUISITION_MERGERS_AFT_TAX","FQ2 2024","FQ2 2024","Currency=USD","Period=FQ","BEST_FPERIOD_OVERRIDE=FQ","FILING_STATUS=MR","SCALING_FORMAT=MLN","Sort=A","Dates=H","DateFormat=P","Fill=—","Direction=H","UseDPDF=Y")</f>
        <v>—</v>
      </c>
      <c r="Z88" s="13" t="str">
        <f>_xll.BDH("ALNY US Equity","ARDR_ACQUISITION_MERGERS_AFT_TAX","FQ3 2024","FQ3 2024","Currency=USD","Period=FQ","BEST_FPERIOD_OVERRIDE=FQ","FILING_STATUS=MR","SCALING_FORMAT=MLN","Sort=A","Dates=H","DateFormat=P","Fill=—","Direction=H","UseDPDF=Y")</f>
        <v>—</v>
      </c>
      <c r="AA88" s="13" t="str">
        <f>_xll.BDH("ALNY US Equity","ARDR_ACQUISITION_MERGERS_AFT_TAX","FQ4 2024","FQ4 2024","Currency=USD","Period=FQ","BEST_FPERIOD_OVERRIDE=FQ","FILING_STATUS=MR","SCALING_FORMAT=MLN","Sort=A","Dates=H","DateFormat=P","Fill=—","Direction=H","UseDPDF=Y")</f>
        <v>—</v>
      </c>
    </row>
    <row r="89" spans="1:27" x14ac:dyDescent="0.25">
      <c r="A89" s="10" t="s">
        <v>540</v>
      </c>
      <c r="B89" s="10" t="s">
        <v>541</v>
      </c>
      <c r="C89" s="13" t="str">
        <f>_xll.BDH("ALNY US Equity","ARDR_DEBT_EXTINGUISHMENT_AFT_TAX","FQ4 2018","FQ4 2018","Currency=USD","Period=FQ","BEST_FPERIOD_OVERRIDE=FQ","FILING_STATUS=MR","SCALING_FORMAT=MLN","Sort=A","Dates=H","DateFormat=P","Fill=—","Direction=H","UseDPDF=Y")</f>
        <v>—</v>
      </c>
      <c r="D89" s="13" t="str">
        <f>_xll.BDH("ALNY US Equity","ARDR_DEBT_EXTINGUISHMENT_AFT_TAX","FQ1 2019","FQ1 2019","Currency=USD","Period=FQ","BEST_FPERIOD_OVERRIDE=FQ","FILING_STATUS=MR","SCALING_FORMAT=MLN","Sort=A","Dates=H","DateFormat=P","Fill=—","Direction=H","UseDPDF=Y")</f>
        <v>—</v>
      </c>
      <c r="E89" s="13" t="str">
        <f>_xll.BDH("ALNY US Equity","ARDR_DEBT_EXTINGUISHMENT_AFT_TAX","FQ2 2019","FQ2 2019","Currency=USD","Period=FQ","BEST_FPERIOD_OVERRIDE=FQ","FILING_STATUS=MR","SCALING_FORMAT=MLN","Sort=A","Dates=H","DateFormat=P","Fill=—","Direction=H","UseDPDF=Y")</f>
        <v>—</v>
      </c>
      <c r="F89" s="13" t="str">
        <f>_xll.BDH("ALNY US Equity","ARDR_DEBT_EXTINGUISHMENT_AFT_TAX","FQ3 2019","FQ3 2019","Currency=USD","Period=FQ","BEST_FPERIOD_OVERRIDE=FQ","FILING_STATUS=MR","SCALING_FORMAT=MLN","Sort=A","Dates=H","DateFormat=P","Fill=—","Direction=H","UseDPDF=Y")</f>
        <v>—</v>
      </c>
      <c r="G89" s="13" t="str">
        <f>_xll.BDH("ALNY US Equity","ARDR_DEBT_EXTINGUISHMENT_AFT_TAX","FQ4 2019","FQ4 2019","Currency=USD","Period=FQ","BEST_FPERIOD_OVERRIDE=FQ","FILING_STATUS=MR","SCALING_FORMAT=MLN","Sort=A","Dates=H","DateFormat=P","Fill=—","Direction=H","UseDPDF=Y")</f>
        <v>—</v>
      </c>
      <c r="H89" s="13" t="str">
        <f>_xll.BDH("ALNY US Equity","ARDR_DEBT_EXTINGUISHMENT_AFT_TAX","FQ1 2020","FQ1 2020","Currency=USD","Period=FQ","BEST_FPERIOD_OVERRIDE=FQ","FILING_STATUS=MR","SCALING_FORMAT=MLN","Sort=A","Dates=H","DateFormat=P","Fill=—","Direction=H","UseDPDF=Y")</f>
        <v>—</v>
      </c>
      <c r="I89" s="13" t="str">
        <f>_xll.BDH("ALNY US Equity","ARDR_DEBT_EXTINGUISHMENT_AFT_TAX","FQ2 2020","FQ2 2020","Currency=USD","Period=FQ","BEST_FPERIOD_OVERRIDE=FQ","FILING_STATUS=MR","SCALING_FORMAT=MLN","Sort=A","Dates=H","DateFormat=P","Fill=—","Direction=H","UseDPDF=Y")</f>
        <v>—</v>
      </c>
      <c r="J89" s="13" t="str">
        <f>_xll.BDH("ALNY US Equity","ARDR_DEBT_EXTINGUISHMENT_AFT_TAX","FQ3 2020","FQ3 2020","Currency=USD","Period=FQ","BEST_FPERIOD_OVERRIDE=FQ","FILING_STATUS=MR","SCALING_FORMAT=MLN","Sort=A","Dates=H","DateFormat=P","Fill=—","Direction=H","UseDPDF=Y")</f>
        <v>—</v>
      </c>
      <c r="K89" s="13" t="str">
        <f>_xll.BDH("ALNY US Equity","ARDR_DEBT_EXTINGUISHMENT_AFT_TAX","FQ4 2020","FQ4 2020","Currency=USD","Period=FQ","BEST_FPERIOD_OVERRIDE=FQ","FILING_STATUS=MR","SCALING_FORMAT=MLN","Sort=A","Dates=H","DateFormat=P","Fill=—","Direction=H","UseDPDF=Y")</f>
        <v>—</v>
      </c>
      <c r="L89" s="13" t="str">
        <f>_xll.BDH("ALNY US Equity","ARDR_DEBT_EXTINGUISHMENT_AFT_TAX","FQ1 2021","FQ1 2021","Currency=USD","Period=FQ","BEST_FPERIOD_OVERRIDE=FQ","FILING_STATUS=MR","SCALING_FORMAT=MLN","Sort=A","Dates=H","DateFormat=P","Fill=—","Direction=H","UseDPDF=Y")</f>
        <v>—</v>
      </c>
      <c r="M89" s="13" t="str">
        <f>_xll.BDH("ALNY US Equity","ARDR_DEBT_EXTINGUISHMENT_AFT_TAX","FQ2 2021","FQ2 2021","Currency=USD","Period=FQ","BEST_FPERIOD_OVERRIDE=FQ","FILING_STATUS=MR","SCALING_FORMAT=MLN","Sort=A","Dates=H","DateFormat=P","Fill=—","Direction=H","UseDPDF=Y")</f>
        <v>—</v>
      </c>
      <c r="N89" s="13" t="str">
        <f>_xll.BDH("ALNY US Equity","ARDR_DEBT_EXTINGUISHMENT_AFT_TAX","FQ3 2021","FQ3 2021","Currency=USD","Period=FQ","BEST_FPERIOD_OVERRIDE=FQ","FILING_STATUS=MR","SCALING_FORMAT=MLN","Sort=A","Dates=H","DateFormat=P","Fill=—","Direction=H","UseDPDF=Y")</f>
        <v>—</v>
      </c>
      <c r="O89" s="13" t="str">
        <f>_xll.BDH("ALNY US Equity","ARDR_DEBT_EXTINGUISHMENT_AFT_TAX","FQ4 2021","FQ4 2021","Currency=USD","Period=FQ","BEST_FPERIOD_OVERRIDE=FQ","FILING_STATUS=MR","SCALING_FORMAT=MLN","Sort=A","Dates=H","DateFormat=P","Fill=—","Direction=H","UseDPDF=Y")</f>
        <v>—</v>
      </c>
      <c r="P89" s="13" t="str">
        <f>_xll.BDH("ALNY US Equity","ARDR_DEBT_EXTINGUISHMENT_AFT_TAX","FQ1 2022","FQ1 2022","Currency=USD","Period=FQ","BEST_FPERIOD_OVERRIDE=FQ","FILING_STATUS=MR","SCALING_FORMAT=MLN","Sort=A","Dates=H","DateFormat=P","Fill=—","Direction=H","UseDPDF=Y")</f>
        <v>—</v>
      </c>
      <c r="Q89" s="13" t="str">
        <f>_xll.BDH("ALNY US Equity","ARDR_DEBT_EXTINGUISHMENT_AFT_TAX","FQ2 2022","FQ2 2022","Currency=USD","Period=FQ","BEST_FPERIOD_OVERRIDE=FQ","FILING_STATUS=MR","SCALING_FORMAT=MLN","Sort=A","Dates=H","DateFormat=P","Fill=—","Direction=H","UseDPDF=Y")</f>
        <v>—</v>
      </c>
      <c r="R89" s="13">
        <f>_xll.BDH("ALNY US Equity","ARDR_DEBT_EXTINGUISHMENT_AFT_TAX","FQ3 2022","FQ3 2022","Currency=USD","Period=FQ","BEST_FPERIOD_OVERRIDE=FQ","FILING_STATUS=MR","SCALING_FORMAT=MLN","Sort=A","Dates=H","DateFormat=P","Fill=—","Direction=H","UseDPDF=Y")</f>
        <v>76.585999999999999</v>
      </c>
      <c r="S89" s="13" t="str">
        <f>_xll.BDH("ALNY US Equity","ARDR_DEBT_EXTINGUISHMENT_AFT_TAX","FQ4 2022","FQ4 2022","Currency=USD","Period=FQ","BEST_FPERIOD_OVERRIDE=FQ","FILING_STATUS=MR","SCALING_FORMAT=MLN","Sort=A","Dates=H","DateFormat=P","Fill=—","Direction=H","UseDPDF=Y")</f>
        <v>—</v>
      </c>
      <c r="T89" s="13" t="str">
        <f>_xll.BDH("ALNY US Equity","ARDR_DEBT_EXTINGUISHMENT_AFT_TAX","FQ1 2023","FQ1 2023","Currency=USD","Period=FQ","BEST_FPERIOD_OVERRIDE=FQ","FILING_STATUS=MR","SCALING_FORMAT=MLN","Sort=A","Dates=H","DateFormat=P","Fill=—","Direction=H","UseDPDF=Y")</f>
        <v>—</v>
      </c>
      <c r="U89" s="13" t="str">
        <f>_xll.BDH("ALNY US Equity","ARDR_DEBT_EXTINGUISHMENT_AFT_TAX","FQ2 2023","FQ2 2023","Currency=USD","Period=FQ","BEST_FPERIOD_OVERRIDE=FQ","FILING_STATUS=MR","SCALING_FORMAT=MLN","Sort=A","Dates=H","DateFormat=P","Fill=—","Direction=H","UseDPDF=Y")</f>
        <v>—</v>
      </c>
      <c r="V89" s="13" t="str">
        <f>_xll.BDH("ALNY US Equity","ARDR_DEBT_EXTINGUISHMENT_AFT_TAX","FQ3 2023","FQ3 2023","Currency=USD","Period=FQ","BEST_FPERIOD_OVERRIDE=FQ","FILING_STATUS=MR","SCALING_FORMAT=MLN","Sort=A","Dates=H","DateFormat=P","Fill=—","Direction=H","UseDPDF=Y")</f>
        <v>—</v>
      </c>
      <c r="W89" s="13" t="str">
        <f>_xll.BDH("ALNY US Equity","ARDR_DEBT_EXTINGUISHMENT_AFT_TAX","FQ4 2023","FQ4 2023","Currency=USD","Period=FQ","BEST_FPERIOD_OVERRIDE=FQ","FILING_STATUS=MR","SCALING_FORMAT=MLN","Sort=A","Dates=H","DateFormat=P","Fill=—","Direction=H","UseDPDF=Y")</f>
        <v>—</v>
      </c>
      <c r="X89" s="13" t="str">
        <f>_xll.BDH("ALNY US Equity","ARDR_DEBT_EXTINGUISHMENT_AFT_TAX","FQ1 2024","FQ1 2024","Currency=USD","Period=FQ","BEST_FPERIOD_OVERRIDE=FQ","FILING_STATUS=MR","SCALING_FORMAT=MLN","Sort=A","Dates=H","DateFormat=P","Fill=—","Direction=H","UseDPDF=Y")</f>
        <v>—</v>
      </c>
      <c r="Y89" s="13" t="str">
        <f>_xll.BDH("ALNY US Equity","ARDR_DEBT_EXTINGUISHMENT_AFT_TAX","FQ2 2024","FQ2 2024","Currency=USD","Period=FQ","BEST_FPERIOD_OVERRIDE=FQ","FILING_STATUS=MR","SCALING_FORMAT=MLN","Sort=A","Dates=H","DateFormat=P","Fill=—","Direction=H","UseDPDF=Y")</f>
        <v>—</v>
      </c>
      <c r="Z89" s="13" t="str">
        <f>_xll.BDH("ALNY US Equity","ARDR_DEBT_EXTINGUISHMENT_AFT_TAX","FQ3 2024","FQ3 2024","Currency=USD","Period=FQ","BEST_FPERIOD_OVERRIDE=FQ","FILING_STATUS=MR","SCALING_FORMAT=MLN","Sort=A","Dates=H","DateFormat=P","Fill=—","Direction=H","UseDPDF=Y")</f>
        <v>—</v>
      </c>
      <c r="AA89" s="13" t="str">
        <f>_xll.BDH("ALNY US Equity","ARDR_DEBT_EXTINGUISHMENT_AFT_TAX","FQ4 2024","FQ4 2024","Currency=USD","Period=FQ","BEST_FPERIOD_OVERRIDE=FQ","FILING_STATUS=MR","SCALING_FORMAT=MLN","Sort=A","Dates=H","DateFormat=P","Fill=—","Direction=H","UseDPDF=Y")</f>
        <v>—</v>
      </c>
    </row>
    <row r="90" spans="1:27" x14ac:dyDescent="0.25">
      <c r="A90" s="10" t="s">
        <v>542</v>
      </c>
      <c r="B90" s="10" t="s">
        <v>543</v>
      </c>
      <c r="C90" s="13" t="str">
        <f>_xll.BDH("ALNY US Equity","ARDR_LEGAL_LIT_SETTLE_AFT_TAX","FQ4 2018","FQ4 2018","Currency=USD","Period=FQ","BEST_FPERIOD_OVERRIDE=FQ","FILING_STATUS=MR","SCALING_FORMAT=MLN","Sort=A","Dates=H","DateFormat=P","Fill=—","Direction=H","UseDPDF=Y")</f>
        <v>—</v>
      </c>
      <c r="D90" s="13" t="str">
        <f>_xll.BDH("ALNY US Equity","ARDR_LEGAL_LIT_SETTLE_AFT_TAX","FQ1 2019","FQ1 2019","Currency=USD","Period=FQ","BEST_FPERIOD_OVERRIDE=FQ","FILING_STATUS=MR","SCALING_FORMAT=MLN","Sort=A","Dates=H","DateFormat=P","Fill=—","Direction=H","UseDPDF=Y")</f>
        <v>—</v>
      </c>
      <c r="E90" s="13" t="str">
        <f>_xll.BDH("ALNY US Equity","ARDR_LEGAL_LIT_SETTLE_AFT_TAX","FQ2 2019","FQ2 2019","Currency=USD","Period=FQ","BEST_FPERIOD_OVERRIDE=FQ","FILING_STATUS=MR","SCALING_FORMAT=MLN","Sort=A","Dates=H","DateFormat=P","Fill=—","Direction=H","UseDPDF=Y")</f>
        <v>—</v>
      </c>
      <c r="F90" s="13" t="str">
        <f>_xll.BDH("ALNY US Equity","ARDR_LEGAL_LIT_SETTLE_AFT_TAX","FQ3 2019","FQ3 2019","Currency=USD","Period=FQ","BEST_FPERIOD_OVERRIDE=FQ","FILING_STATUS=MR","SCALING_FORMAT=MLN","Sort=A","Dates=H","DateFormat=P","Fill=—","Direction=H","UseDPDF=Y")</f>
        <v>—</v>
      </c>
      <c r="G90" s="13" t="str">
        <f>_xll.BDH("ALNY US Equity","ARDR_LEGAL_LIT_SETTLE_AFT_TAX","FQ4 2019","FQ4 2019","Currency=USD","Period=FQ","BEST_FPERIOD_OVERRIDE=FQ","FILING_STATUS=MR","SCALING_FORMAT=MLN","Sort=A","Dates=H","DateFormat=P","Fill=—","Direction=H","UseDPDF=Y")</f>
        <v>—</v>
      </c>
      <c r="H90" s="13" t="str">
        <f>_xll.BDH("ALNY US Equity","ARDR_LEGAL_LIT_SETTLE_AFT_TAX","FQ1 2020","FQ1 2020","Currency=USD","Period=FQ","BEST_FPERIOD_OVERRIDE=FQ","FILING_STATUS=MR","SCALING_FORMAT=MLN","Sort=A","Dates=H","DateFormat=P","Fill=—","Direction=H","UseDPDF=Y")</f>
        <v>—</v>
      </c>
      <c r="I90" s="13">
        <f>_xll.BDH("ALNY US Equity","ARDR_LEGAL_LIT_SETTLE_AFT_TAX","FQ2 2020","FQ2 2020","Currency=USD","Period=FQ","BEST_FPERIOD_OVERRIDE=FQ","FILING_STATUS=MR","SCALING_FORMAT=MLN","Sort=A","Dates=H","DateFormat=P","Fill=—","Direction=H","UseDPDF=Y")</f>
        <v>-0.64200000000000002</v>
      </c>
      <c r="J90" s="13">
        <f>_xll.BDH("ALNY US Equity","ARDR_LEGAL_LIT_SETTLE_AFT_TAX","FQ3 2020","FQ3 2020","Currency=USD","Period=FQ","BEST_FPERIOD_OVERRIDE=FQ","FILING_STATUS=MR","SCALING_FORMAT=MLN","Sort=A","Dates=H","DateFormat=P","Fill=—","Direction=H","UseDPDF=Y")</f>
        <v>0.65</v>
      </c>
      <c r="K90" s="13" t="str">
        <f>_xll.BDH("ALNY US Equity","ARDR_LEGAL_LIT_SETTLE_AFT_TAX","FQ4 2020","FQ4 2020","Currency=USD","Period=FQ","BEST_FPERIOD_OVERRIDE=FQ","FILING_STATUS=MR","SCALING_FORMAT=MLN","Sort=A","Dates=H","DateFormat=P","Fill=—","Direction=H","UseDPDF=Y")</f>
        <v>—</v>
      </c>
      <c r="L90" s="13" t="str">
        <f>_xll.BDH("ALNY US Equity","ARDR_LEGAL_LIT_SETTLE_AFT_TAX","FQ1 2021","FQ1 2021","Currency=USD","Period=FQ","BEST_FPERIOD_OVERRIDE=FQ","FILING_STATUS=MR","SCALING_FORMAT=MLN","Sort=A","Dates=H","DateFormat=P","Fill=—","Direction=H","UseDPDF=Y")</f>
        <v>—</v>
      </c>
      <c r="M90" s="13" t="str">
        <f>_xll.BDH("ALNY US Equity","ARDR_LEGAL_LIT_SETTLE_AFT_TAX","FQ2 2021","FQ2 2021","Currency=USD","Period=FQ","BEST_FPERIOD_OVERRIDE=FQ","FILING_STATUS=MR","SCALING_FORMAT=MLN","Sort=A","Dates=H","DateFormat=P","Fill=—","Direction=H","UseDPDF=Y")</f>
        <v>—</v>
      </c>
      <c r="N90" s="13" t="str">
        <f>_xll.BDH("ALNY US Equity","ARDR_LEGAL_LIT_SETTLE_AFT_TAX","FQ3 2021","FQ3 2021","Currency=USD","Period=FQ","BEST_FPERIOD_OVERRIDE=FQ","FILING_STATUS=MR","SCALING_FORMAT=MLN","Sort=A","Dates=H","DateFormat=P","Fill=—","Direction=H","UseDPDF=Y")</f>
        <v>—</v>
      </c>
      <c r="O90" s="13">
        <f>_xll.BDH("ALNY US Equity","ARDR_LEGAL_LIT_SETTLE_AFT_TAX","FQ4 2021","FQ4 2021","Currency=USD","Period=FQ","BEST_FPERIOD_OVERRIDE=FQ","FILING_STATUS=MR","SCALING_FORMAT=MLN","Sort=A","Dates=H","DateFormat=P","Fill=—","Direction=H","UseDPDF=Y")</f>
        <v>0</v>
      </c>
      <c r="P90" s="13" t="str">
        <f>_xll.BDH("ALNY US Equity","ARDR_LEGAL_LIT_SETTLE_AFT_TAX","FQ1 2022","FQ1 2022","Currency=USD","Period=FQ","BEST_FPERIOD_OVERRIDE=FQ","FILING_STATUS=MR","SCALING_FORMAT=MLN","Sort=A","Dates=H","DateFormat=P","Fill=—","Direction=H","UseDPDF=Y")</f>
        <v>—</v>
      </c>
      <c r="Q90" s="13" t="str">
        <f>_xll.BDH("ALNY US Equity","ARDR_LEGAL_LIT_SETTLE_AFT_TAX","FQ2 2022","FQ2 2022","Currency=USD","Period=FQ","BEST_FPERIOD_OVERRIDE=FQ","FILING_STATUS=MR","SCALING_FORMAT=MLN","Sort=A","Dates=H","DateFormat=P","Fill=—","Direction=H","UseDPDF=Y")</f>
        <v>—</v>
      </c>
      <c r="R90" s="13" t="str">
        <f>_xll.BDH("ALNY US Equity","ARDR_LEGAL_LIT_SETTLE_AFT_TAX","FQ3 2022","FQ3 2022","Currency=USD","Period=FQ","BEST_FPERIOD_OVERRIDE=FQ","FILING_STATUS=MR","SCALING_FORMAT=MLN","Sort=A","Dates=H","DateFormat=P","Fill=—","Direction=H","UseDPDF=Y")</f>
        <v>—</v>
      </c>
      <c r="S90" s="13" t="str">
        <f>_xll.BDH("ALNY US Equity","ARDR_LEGAL_LIT_SETTLE_AFT_TAX","FQ4 2022","FQ4 2022","Currency=USD","Period=FQ","BEST_FPERIOD_OVERRIDE=FQ","FILING_STATUS=MR","SCALING_FORMAT=MLN","Sort=A","Dates=H","DateFormat=P","Fill=—","Direction=H","UseDPDF=Y")</f>
        <v>—</v>
      </c>
      <c r="T90" s="13" t="str">
        <f>_xll.BDH("ALNY US Equity","ARDR_LEGAL_LIT_SETTLE_AFT_TAX","FQ1 2023","FQ1 2023","Currency=USD","Period=FQ","BEST_FPERIOD_OVERRIDE=FQ","FILING_STATUS=MR","SCALING_FORMAT=MLN","Sort=A","Dates=H","DateFormat=P","Fill=—","Direction=H","UseDPDF=Y")</f>
        <v>—</v>
      </c>
      <c r="U90" s="13" t="str">
        <f>_xll.BDH("ALNY US Equity","ARDR_LEGAL_LIT_SETTLE_AFT_TAX","FQ2 2023","FQ2 2023","Currency=USD","Period=FQ","BEST_FPERIOD_OVERRIDE=FQ","FILING_STATUS=MR","SCALING_FORMAT=MLN","Sort=A","Dates=H","DateFormat=P","Fill=—","Direction=H","UseDPDF=Y")</f>
        <v>—</v>
      </c>
      <c r="V90" s="13" t="str">
        <f>_xll.BDH("ALNY US Equity","ARDR_LEGAL_LIT_SETTLE_AFT_TAX","FQ3 2023","FQ3 2023","Currency=USD","Period=FQ","BEST_FPERIOD_OVERRIDE=FQ","FILING_STATUS=MR","SCALING_FORMAT=MLN","Sort=A","Dates=H","DateFormat=P","Fill=—","Direction=H","UseDPDF=Y")</f>
        <v>—</v>
      </c>
      <c r="W90" s="13" t="str">
        <f>_xll.BDH("ALNY US Equity","ARDR_LEGAL_LIT_SETTLE_AFT_TAX","FQ4 2023","FQ4 2023","Currency=USD","Period=FQ","BEST_FPERIOD_OVERRIDE=FQ","FILING_STATUS=MR","SCALING_FORMAT=MLN","Sort=A","Dates=H","DateFormat=P","Fill=—","Direction=H","UseDPDF=Y")</f>
        <v>—</v>
      </c>
      <c r="X90" s="13" t="str">
        <f>_xll.BDH("ALNY US Equity","ARDR_LEGAL_LIT_SETTLE_AFT_TAX","FQ1 2024","FQ1 2024","Currency=USD","Period=FQ","BEST_FPERIOD_OVERRIDE=FQ","FILING_STATUS=MR","SCALING_FORMAT=MLN","Sort=A","Dates=H","DateFormat=P","Fill=—","Direction=H","UseDPDF=Y")</f>
        <v>—</v>
      </c>
      <c r="Y90" s="13" t="str">
        <f>_xll.BDH("ALNY US Equity","ARDR_LEGAL_LIT_SETTLE_AFT_TAX","FQ2 2024","FQ2 2024","Currency=USD","Period=FQ","BEST_FPERIOD_OVERRIDE=FQ","FILING_STATUS=MR","SCALING_FORMAT=MLN","Sort=A","Dates=H","DateFormat=P","Fill=—","Direction=H","UseDPDF=Y")</f>
        <v>—</v>
      </c>
      <c r="Z90" s="13" t="str">
        <f>_xll.BDH("ALNY US Equity","ARDR_LEGAL_LIT_SETTLE_AFT_TAX","FQ3 2024","FQ3 2024","Currency=USD","Period=FQ","BEST_FPERIOD_OVERRIDE=FQ","FILING_STATUS=MR","SCALING_FORMAT=MLN","Sort=A","Dates=H","DateFormat=P","Fill=—","Direction=H","UseDPDF=Y")</f>
        <v>—</v>
      </c>
      <c r="AA90" s="13" t="str">
        <f>_xll.BDH("ALNY US Equity","ARDR_LEGAL_LIT_SETTLE_AFT_TAX","FQ4 2024","FQ4 2024","Currency=USD","Period=FQ","BEST_FPERIOD_OVERRIDE=FQ","FILING_STATUS=MR","SCALING_FORMAT=MLN","Sort=A","Dates=H","DateFormat=P","Fill=—","Direction=H","UseDPDF=Y")</f>
        <v>—</v>
      </c>
    </row>
    <row r="91" spans="1:27" x14ac:dyDescent="0.25">
      <c r="A91" s="10" t="s">
        <v>544</v>
      </c>
      <c r="B91" s="10" t="s">
        <v>545</v>
      </c>
      <c r="C91" s="13" t="str">
        <f>_xll.BDH("ALNY US Equity","ARDR_REALIZED_INVESTMNTS_AFT_TAX","FQ4 2018","FQ4 2018","Currency=USD","Period=FQ","BEST_FPERIOD_OVERRIDE=FQ","FILING_STATUS=MR","SCALING_FORMAT=MLN","Sort=A","Dates=H","DateFormat=P","Fill=—","Direction=H","UseDPDF=Y")</f>
        <v>—</v>
      </c>
      <c r="D91" s="13" t="str">
        <f>_xll.BDH("ALNY US Equity","ARDR_REALIZED_INVESTMNTS_AFT_TAX","FQ1 2019","FQ1 2019","Currency=USD","Period=FQ","BEST_FPERIOD_OVERRIDE=FQ","FILING_STATUS=MR","SCALING_FORMAT=MLN","Sort=A","Dates=H","DateFormat=P","Fill=—","Direction=H","UseDPDF=Y")</f>
        <v>—</v>
      </c>
      <c r="E91" s="13" t="str">
        <f>_xll.BDH("ALNY US Equity","ARDR_REALIZED_INVESTMNTS_AFT_TAX","FQ2 2019","FQ2 2019","Currency=USD","Period=FQ","BEST_FPERIOD_OVERRIDE=FQ","FILING_STATUS=MR","SCALING_FORMAT=MLN","Sort=A","Dates=H","DateFormat=P","Fill=—","Direction=H","UseDPDF=Y")</f>
        <v>—</v>
      </c>
      <c r="F91" s="13" t="str">
        <f>_xll.BDH("ALNY US Equity","ARDR_REALIZED_INVESTMNTS_AFT_TAX","FQ3 2019","FQ3 2019","Currency=USD","Period=FQ","BEST_FPERIOD_OVERRIDE=FQ","FILING_STATUS=MR","SCALING_FORMAT=MLN","Sort=A","Dates=H","DateFormat=P","Fill=—","Direction=H","UseDPDF=Y")</f>
        <v>—</v>
      </c>
      <c r="G91" s="13">
        <f>_xll.BDH("ALNY US Equity","ARDR_REALIZED_INVESTMNTS_AFT_TAX","FQ4 2019","FQ4 2019","Currency=USD","Period=FQ","BEST_FPERIOD_OVERRIDE=FQ","FILING_STATUS=MR","SCALING_FORMAT=MLN","Sort=A","Dates=H","DateFormat=P","Fill=—","Direction=H","UseDPDF=Y")</f>
        <v>-11.266999999999999</v>
      </c>
      <c r="H91" s="13" t="str">
        <f>_xll.BDH("ALNY US Equity","ARDR_REALIZED_INVESTMNTS_AFT_TAX","FQ1 2020","FQ1 2020","Currency=USD","Period=FQ","BEST_FPERIOD_OVERRIDE=FQ","FILING_STATUS=MR","SCALING_FORMAT=MLN","Sort=A","Dates=H","DateFormat=P","Fill=—","Direction=H","UseDPDF=Y")</f>
        <v>—</v>
      </c>
      <c r="I91" s="13" t="str">
        <f>_xll.BDH("ALNY US Equity","ARDR_REALIZED_INVESTMNTS_AFT_TAX","FQ2 2020","FQ2 2020","Currency=USD","Period=FQ","BEST_FPERIOD_OVERRIDE=FQ","FILING_STATUS=MR","SCALING_FORMAT=MLN","Sort=A","Dates=H","DateFormat=P","Fill=—","Direction=H","UseDPDF=Y")</f>
        <v>—</v>
      </c>
      <c r="J91" s="13" t="str">
        <f>_xll.BDH("ALNY US Equity","ARDR_REALIZED_INVESTMNTS_AFT_TAX","FQ3 2020","FQ3 2020","Currency=USD","Period=FQ","BEST_FPERIOD_OVERRIDE=FQ","FILING_STATUS=MR","SCALING_FORMAT=MLN","Sort=A","Dates=H","DateFormat=P","Fill=—","Direction=H","UseDPDF=Y")</f>
        <v>—</v>
      </c>
      <c r="K91" s="13" t="str">
        <f>_xll.BDH("ALNY US Equity","ARDR_REALIZED_INVESTMNTS_AFT_TAX","FQ4 2020","FQ4 2020","Currency=USD","Period=FQ","BEST_FPERIOD_OVERRIDE=FQ","FILING_STATUS=MR","SCALING_FORMAT=MLN","Sort=A","Dates=H","DateFormat=P","Fill=—","Direction=H","UseDPDF=Y")</f>
        <v>—</v>
      </c>
      <c r="L91" s="13" t="str">
        <f>_xll.BDH("ALNY US Equity","ARDR_REALIZED_INVESTMNTS_AFT_TAX","FQ1 2021","FQ1 2021","Currency=USD","Period=FQ","BEST_FPERIOD_OVERRIDE=FQ","FILING_STATUS=MR","SCALING_FORMAT=MLN","Sort=A","Dates=H","DateFormat=P","Fill=—","Direction=H","UseDPDF=Y")</f>
        <v>—</v>
      </c>
      <c r="M91" s="13" t="str">
        <f>_xll.BDH("ALNY US Equity","ARDR_REALIZED_INVESTMNTS_AFT_TAX","FQ2 2021","FQ2 2021","Currency=USD","Period=FQ","BEST_FPERIOD_OVERRIDE=FQ","FILING_STATUS=MR","SCALING_FORMAT=MLN","Sort=A","Dates=H","DateFormat=P","Fill=—","Direction=H","UseDPDF=Y")</f>
        <v>—</v>
      </c>
      <c r="N91" s="13" t="str">
        <f>_xll.BDH("ALNY US Equity","ARDR_REALIZED_INVESTMNTS_AFT_TAX","FQ3 2021","FQ3 2021","Currency=USD","Period=FQ","BEST_FPERIOD_OVERRIDE=FQ","FILING_STATUS=MR","SCALING_FORMAT=MLN","Sort=A","Dates=H","DateFormat=P","Fill=—","Direction=H","UseDPDF=Y")</f>
        <v>—</v>
      </c>
      <c r="O91" s="13" t="str">
        <f>_xll.BDH("ALNY US Equity","ARDR_REALIZED_INVESTMNTS_AFT_TAX","FQ4 2021","FQ4 2021","Currency=USD","Period=FQ","BEST_FPERIOD_OVERRIDE=FQ","FILING_STATUS=MR","SCALING_FORMAT=MLN","Sort=A","Dates=H","DateFormat=P","Fill=—","Direction=H","UseDPDF=Y")</f>
        <v>—</v>
      </c>
      <c r="P91" s="13" t="str">
        <f>_xll.BDH("ALNY US Equity","ARDR_REALIZED_INVESTMNTS_AFT_TAX","FQ1 2022","FQ1 2022","Currency=USD","Period=FQ","BEST_FPERIOD_OVERRIDE=FQ","FILING_STATUS=MR","SCALING_FORMAT=MLN","Sort=A","Dates=H","DateFormat=P","Fill=—","Direction=H","UseDPDF=Y")</f>
        <v>—</v>
      </c>
      <c r="Q91" s="13" t="str">
        <f>_xll.BDH("ALNY US Equity","ARDR_REALIZED_INVESTMNTS_AFT_TAX","FQ2 2022","FQ2 2022","Currency=USD","Period=FQ","BEST_FPERIOD_OVERRIDE=FQ","FILING_STATUS=MR","SCALING_FORMAT=MLN","Sort=A","Dates=H","DateFormat=P","Fill=—","Direction=H","UseDPDF=Y")</f>
        <v>—</v>
      </c>
      <c r="R91" s="13" t="str">
        <f>_xll.BDH("ALNY US Equity","ARDR_REALIZED_INVESTMNTS_AFT_TAX","FQ3 2022","FQ3 2022","Currency=USD","Period=FQ","BEST_FPERIOD_OVERRIDE=FQ","FILING_STATUS=MR","SCALING_FORMAT=MLN","Sort=A","Dates=H","DateFormat=P","Fill=—","Direction=H","UseDPDF=Y")</f>
        <v>—</v>
      </c>
      <c r="S91" s="13" t="str">
        <f>_xll.BDH("ALNY US Equity","ARDR_REALIZED_INVESTMNTS_AFT_TAX","FQ4 2022","FQ4 2022","Currency=USD","Period=FQ","BEST_FPERIOD_OVERRIDE=FQ","FILING_STATUS=MR","SCALING_FORMAT=MLN","Sort=A","Dates=H","DateFormat=P","Fill=—","Direction=H","UseDPDF=Y")</f>
        <v>—</v>
      </c>
      <c r="T91" s="13" t="str">
        <f>_xll.BDH("ALNY US Equity","ARDR_REALIZED_INVESTMNTS_AFT_TAX","FQ1 2023","FQ1 2023","Currency=USD","Period=FQ","BEST_FPERIOD_OVERRIDE=FQ","FILING_STATUS=MR","SCALING_FORMAT=MLN","Sort=A","Dates=H","DateFormat=P","Fill=—","Direction=H","UseDPDF=Y")</f>
        <v>—</v>
      </c>
      <c r="U91" s="13" t="str">
        <f>_xll.BDH("ALNY US Equity","ARDR_REALIZED_INVESTMNTS_AFT_TAX","FQ2 2023","FQ2 2023","Currency=USD","Period=FQ","BEST_FPERIOD_OVERRIDE=FQ","FILING_STATUS=MR","SCALING_FORMAT=MLN","Sort=A","Dates=H","DateFormat=P","Fill=—","Direction=H","UseDPDF=Y")</f>
        <v>—</v>
      </c>
      <c r="V91" s="13" t="str">
        <f>_xll.BDH("ALNY US Equity","ARDR_REALIZED_INVESTMNTS_AFT_TAX","FQ3 2023","FQ3 2023","Currency=USD","Period=FQ","BEST_FPERIOD_OVERRIDE=FQ","FILING_STATUS=MR","SCALING_FORMAT=MLN","Sort=A","Dates=H","DateFormat=P","Fill=—","Direction=H","UseDPDF=Y")</f>
        <v>—</v>
      </c>
      <c r="W91" s="13" t="str">
        <f>_xll.BDH("ALNY US Equity","ARDR_REALIZED_INVESTMNTS_AFT_TAX","FQ4 2023","FQ4 2023","Currency=USD","Period=FQ","BEST_FPERIOD_OVERRIDE=FQ","FILING_STATUS=MR","SCALING_FORMAT=MLN","Sort=A","Dates=H","DateFormat=P","Fill=—","Direction=H","UseDPDF=Y")</f>
        <v>—</v>
      </c>
      <c r="X91" s="13" t="str">
        <f>_xll.BDH("ALNY US Equity","ARDR_REALIZED_INVESTMNTS_AFT_TAX","FQ1 2024","FQ1 2024","Currency=USD","Period=FQ","BEST_FPERIOD_OVERRIDE=FQ","FILING_STATUS=MR","SCALING_FORMAT=MLN","Sort=A","Dates=H","DateFormat=P","Fill=—","Direction=H","UseDPDF=Y")</f>
        <v>—</v>
      </c>
      <c r="Y91" s="13" t="str">
        <f>_xll.BDH("ALNY US Equity","ARDR_REALIZED_INVESTMNTS_AFT_TAX","FQ2 2024","FQ2 2024","Currency=USD","Period=FQ","BEST_FPERIOD_OVERRIDE=FQ","FILING_STATUS=MR","SCALING_FORMAT=MLN","Sort=A","Dates=H","DateFormat=P","Fill=—","Direction=H","UseDPDF=Y")</f>
        <v>—</v>
      </c>
      <c r="Z91" s="13" t="str">
        <f>_xll.BDH("ALNY US Equity","ARDR_REALIZED_INVESTMNTS_AFT_TAX","FQ3 2024","FQ3 2024","Currency=USD","Period=FQ","BEST_FPERIOD_OVERRIDE=FQ","FILING_STATUS=MR","SCALING_FORMAT=MLN","Sort=A","Dates=H","DateFormat=P","Fill=—","Direction=H","UseDPDF=Y")</f>
        <v>—</v>
      </c>
      <c r="AA91" s="13" t="str">
        <f>_xll.BDH("ALNY US Equity","ARDR_REALIZED_INVESTMNTS_AFT_TAX","FQ4 2024","FQ4 2024","Currency=USD","Period=FQ","BEST_FPERIOD_OVERRIDE=FQ","FILING_STATUS=MR","SCALING_FORMAT=MLN","Sort=A","Dates=H","DateFormat=P","Fill=—","Direction=H","UseDPDF=Y")</f>
        <v>—</v>
      </c>
    </row>
    <row r="92" spans="1:27" x14ac:dyDescent="0.25">
      <c r="A92" s="10" t="s">
        <v>546</v>
      </c>
      <c r="B92" s="10" t="s">
        <v>547</v>
      </c>
      <c r="C92" s="13" t="str">
        <f>_xll.BDH("ALNY US Equity","ARDR_SBC_AFTER_TAX","FQ4 2018","FQ4 2018","Currency=USD","Period=FQ","BEST_FPERIOD_OVERRIDE=FQ","FILING_STATUS=MR","SCALING_FORMAT=MLN","Sort=A","Dates=H","DateFormat=P","Fill=—","Direction=H","UseDPDF=Y")</f>
        <v>—</v>
      </c>
      <c r="D92" s="13" t="str">
        <f>_xll.BDH("ALNY US Equity","ARDR_SBC_AFTER_TAX","FQ1 2019","FQ1 2019","Currency=USD","Period=FQ","BEST_FPERIOD_OVERRIDE=FQ","FILING_STATUS=MR","SCALING_FORMAT=MLN","Sort=A","Dates=H","DateFormat=P","Fill=—","Direction=H","UseDPDF=Y")</f>
        <v>—</v>
      </c>
      <c r="E92" s="13" t="str">
        <f>_xll.BDH("ALNY US Equity","ARDR_SBC_AFTER_TAX","FQ2 2019","FQ2 2019","Currency=USD","Period=FQ","BEST_FPERIOD_OVERRIDE=FQ","FILING_STATUS=MR","SCALING_FORMAT=MLN","Sort=A","Dates=H","DateFormat=P","Fill=—","Direction=H","UseDPDF=Y")</f>
        <v>—</v>
      </c>
      <c r="F92" s="13" t="str">
        <f>_xll.BDH("ALNY US Equity","ARDR_SBC_AFTER_TAX","FQ3 2019","FQ3 2019","Currency=USD","Period=FQ","BEST_FPERIOD_OVERRIDE=FQ","FILING_STATUS=MR","SCALING_FORMAT=MLN","Sort=A","Dates=H","DateFormat=P","Fill=—","Direction=H","UseDPDF=Y")</f>
        <v>—</v>
      </c>
      <c r="G92" s="13">
        <f>_xll.BDH("ALNY US Equity","ARDR_SBC_AFTER_TAX","FQ4 2019","FQ4 2019","Currency=USD","Period=FQ","BEST_FPERIOD_OVERRIDE=FQ","FILING_STATUS=MR","SCALING_FORMAT=MLN","Sort=A","Dates=H","DateFormat=P","Fill=—","Direction=H","UseDPDF=Y")</f>
        <v>66.197000000000003</v>
      </c>
      <c r="H92" s="13">
        <f>_xll.BDH("ALNY US Equity","ARDR_SBC_AFTER_TAX","FQ1 2020","FQ1 2020","Currency=USD","Period=FQ","BEST_FPERIOD_OVERRIDE=FQ","FILING_STATUS=MR","SCALING_FORMAT=MLN","Sort=A","Dates=H","DateFormat=P","Fill=—","Direction=H","UseDPDF=Y")</f>
        <v>34.578000000000003</v>
      </c>
      <c r="I92" s="13">
        <f>_xll.BDH("ALNY US Equity","ARDR_SBC_AFTER_TAX","FQ2 2020","FQ2 2020","Currency=USD","Period=FQ","BEST_FPERIOD_OVERRIDE=FQ","FILING_STATUS=MR","SCALING_FORMAT=MLN","Sort=A","Dates=H","DateFormat=P","Fill=—","Direction=H","UseDPDF=Y")</f>
        <v>33.755000000000003</v>
      </c>
      <c r="J92" s="13">
        <f>_xll.BDH("ALNY US Equity","ARDR_SBC_AFTER_TAX","FQ3 2020","FQ3 2020","Currency=USD","Period=FQ","BEST_FPERIOD_OVERRIDE=FQ","FILING_STATUS=MR","SCALING_FORMAT=MLN","Sort=A","Dates=H","DateFormat=P","Fill=—","Direction=H","UseDPDF=Y")</f>
        <v>37.264000000000003</v>
      </c>
      <c r="K92" s="13">
        <f>_xll.BDH("ALNY US Equity","ARDR_SBC_AFTER_TAX","FQ4 2020","FQ4 2020","Currency=USD","Period=FQ","BEST_FPERIOD_OVERRIDE=FQ","FILING_STATUS=MR","SCALING_FORMAT=MLN","Sort=A","Dates=H","DateFormat=P","Fill=—","Direction=H","UseDPDF=Y")</f>
        <v>34.276000000000003</v>
      </c>
      <c r="L92" s="13" t="str">
        <f>_xll.BDH("ALNY US Equity","ARDR_SBC_AFTER_TAX","FQ1 2021","FQ1 2021","Currency=USD","Period=FQ","BEST_FPERIOD_OVERRIDE=FQ","FILING_STATUS=MR","SCALING_FORMAT=MLN","Sort=A","Dates=H","DateFormat=P","Fill=—","Direction=H","UseDPDF=Y")</f>
        <v>—</v>
      </c>
      <c r="M92" s="13" t="str">
        <f>_xll.BDH("ALNY US Equity","ARDR_SBC_AFTER_TAX","FQ2 2021","FQ2 2021","Currency=USD","Period=FQ","BEST_FPERIOD_OVERRIDE=FQ","FILING_STATUS=MR","SCALING_FORMAT=MLN","Sort=A","Dates=H","DateFormat=P","Fill=—","Direction=H","UseDPDF=Y")</f>
        <v>—</v>
      </c>
      <c r="N92" s="13" t="str">
        <f>_xll.BDH("ALNY US Equity","ARDR_SBC_AFTER_TAX","FQ3 2021","FQ3 2021","Currency=USD","Period=FQ","BEST_FPERIOD_OVERRIDE=FQ","FILING_STATUS=MR","SCALING_FORMAT=MLN","Sort=A","Dates=H","DateFormat=P","Fill=—","Direction=H","UseDPDF=Y")</f>
        <v>—</v>
      </c>
      <c r="O92" s="13" t="str">
        <f>_xll.BDH("ALNY US Equity","ARDR_SBC_AFTER_TAX","FQ4 2021","FQ4 2021","Currency=USD","Period=FQ","BEST_FPERIOD_OVERRIDE=FQ","FILING_STATUS=MR","SCALING_FORMAT=MLN","Sort=A","Dates=H","DateFormat=P","Fill=—","Direction=H","UseDPDF=Y")</f>
        <v>—</v>
      </c>
      <c r="P92" s="13" t="str">
        <f>_xll.BDH("ALNY US Equity","ARDR_SBC_AFTER_TAX","FQ1 2022","FQ1 2022","Currency=USD","Period=FQ","BEST_FPERIOD_OVERRIDE=FQ","FILING_STATUS=MR","SCALING_FORMAT=MLN","Sort=A","Dates=H","DateFormat=P","Fill=—","Direction=H","UseDPDF=Y")</f>
        <v>—</v>
      </c>
      <c r="Q92" s="13" t="str">
        <f>_xll.BDH("ALNY US Equity","ARDR_SBC_AFTER_TAX","FQ2 2022","FQ2 2022","Currency=USD","Period=FQ","BEST_FPERIOD_OVERRIDE=FQ","FILING_STATUS=MR","SCALING_FORMAT=MLN","Sort=A","Dates=H","DateFormat=P","Fill=—","Direction=H","UseDPDF=Y")</f>
        <v>—</v>
      </c>
      <c r="R92" s="13" t="str">
        <f>_xll.BDH("ALNY US Equity","ARDR_SBC_AFTER_TAX","FQ3 2022","FQ3 2022","Currency=USD","Period=FQ","BEST_FPERIOD_OVERRIDE=FQ","FILING_STATUS=MR","SCALING_FORMAT=MLN","Sort=A","Dates=H","DateFormat=P","Fill=—","Direction=H","UseDPDF=Y")</f>
        <v>—</v>
      </c>
      <c r="S92" s="13">
        <f>_xll.BDH("ALNY US Equity","ARDR_SBC_AFTER_TAX","FQ4 2022","FQ4 2022","Currency=USD","Period=FQ","BEST_FPERIOD_OVERRIDE=FQ","FILING_STATUS=MR","SCALING_FORMAT=MLN","Sort=A","Dates=H","DateFormat=P","Fill=—","Direction=H","UseDPDF=Y")</f>
        <v>42.767000000000003</v>
      </c>
      <c r="T92" s="13" t="str">
        <f>_xll.BDH("ALNY US Equity","ARDR_SBC_AFTER_TAX","FQ1 2023","FQ1 2023","Currency=USD","Period=FQ","BEST_FPERIOD_OVERRIDE=FQ","FILING_STATUS=MR","SCALING_FORMAT=MLN","Sort=A","Dates=H","DateFormat=P","Fill=—","Direction=H","UseDPDF=Y")</f>
        <v>—</v>
      </c>
      <c r="U92" s="13">
        <f>_xll.BDH("ALNY US Equity","ARDR_SBC_AFTER_TAX","FQ2 2023","FQ2 2023","Currency=USD","Period=FQ","BEST_FPERIOD_OVERRIDE=FQ","FILING_STATUS=MR","SCALING_FORMAT=MLN","Sort=A","Dates=H","DateFormat=P","Fill=—","Direction=H","UseDPDF=Y")</f>
        <v>75.802000000000007</v>
      </c>
      <c r="V92" s="13">
        <f>_xll.BDH("ALNY US Equity","ARDR_SBC_AFTER_TAX","FQ3 2023","FQ3 2023","Currency=USD","Period=FQ","BEST_FPERIOD_OVERRIDE=FQ","FILING_STATUS=MR","SCALING_FORMAT=MLN","Sort=A","Dates=H","DateFormat=P","Fill=—","Direction=H","UseDPDF=Y")</f>
        <v>63.936999999999998</v>
      </c>
      <c r="W92" s="13">
        <f>_xll.BDH("ALNY US Equity","ARDR_SBC_AFTER_TAX","FQ4 2023","FQ4 2023","Currency=USD","Period=FQ","BEST_FPERIOD_OVERRIDE=FQ","FILING_STATUS=MR","SCALING_FORMAT=MLN","Sort=A","Dates=H","DateFormat=P","Fill=—","Direction=H","UseDPDF=Y")</f>
        <v>41.994</v>
      </c>
      <c r="X92" s="13" t="str">
        <f>_xll.BDH("ALNY US Equity","ARDR_SBC_AFTER_TAX","FQ1 2024","FQ1 2024","Currency=USD","Period=FQ","BEST_FPERIOD_OVERRIDE=FQ","FILING_STATUS=MR","SCALING_FORMAT=MLN","Sort=A","Dates=H","DateFormat=P","Fill=—","Direction=H","UseDPDF=Y")</f>
        <v>—</v>
      </c>
      <c r="Y92" s="13">
        <f>_xll.BDH("ALNY US Equity","ARDR_SBC_AFTER_TAX","FQ2 2024","FQ2 2024","Currency=USD","Period=FQ","BEST_FPERIOD_OVERRIDE=FQ","FILING_STATUS=MR","SCALING_FORMAT=MLN","Sort=A","Dates=H","DateFormat=P","Fill=—","Direction=H","UseDPDF=Y")</f>
        <v>89.287999999999997</v>
      </c>
      <c r="Z92" s="13">
        <f>_xll.BDH("ALNY US Equity","ARDR_SBC_AFTER_TAX","FQ3 2024","FQ3 2024","Currency=USD","Period=FQ","BEST_FPERIOD_OVERRIDE=FQ","FILING_STATUS=MR","SCALING_FORMAT=MLN","Sort=A","Dates=H","DateFormat=P","Fill=—","Direction=H","UseDPDF=Y")</f>
        <v>45.804000000000002</v>
      </c>
      <c r="AA92" s="13">
        <f>_xll.BDH("ALNY US Equity","ARDR_SBC_AFTER_TAX","FQ4 2024","FQ4 2024","Currency=USD","Period=FQ","BEST_FPERIOD_OVERRIDE=FQ","FILING_STATUS=MR","SCALING_FORMAT=MLN","Sort=A","Dates=H","DateFormat=P","Fill=—","Direction=H","UseDPDF=Y")</f>
        <v>91.644999999999996</v>
      </c>
    </row>
    <row r="93" spans="1:27" x14ac:dyDescent="0.25">
      <c r="A93" s="10" t="s">
        <v>548</v>
      </c>
      <c r="B93" s="10" t="s">
        <v>549</v>
      </c>
      <c r="C93" s="13" t="str">
        <f>_xll.BDH("ALNY US Equity","ARDR_OTHER_ONE_TIME_CHRG_AFT_TAX","FQ4 2018","FQ4 2018","Currency=USD","Period=FQ","BEST_FPERIOD_OVERRIDE=FQ","FILING_STATUS=MR","SCALING_FORMAT=MLN","Sort=A","Dates=H","DateFormat=P","Fill=—","Direction=H","UseDPDF=Y")</f>
        <v>—</v>
      </c>
      <c r="D93" s="13" t="str">
        <f>_xll.BDH("ALNY US Equity","ARDR_OTHER_ONE_TIME_CHRG_AFT_TAX","FQ1 2019","FQ1 2019","Currency=USD","Period=FQ","BEST_FPERIOD_OVERRIDE=FQ","FILING_STATUS=MR","SCALING_FORMAT=MLN","Sort=A","Dates=H","DateFormat=P","Fill=—","Direction=H","UseDPDF=Y")</f>
        <v>—</v>
      </c>
      <c r="E93" s="13">
        <f>_xll.BDH("ALNY US Equity","ARDR_OTHER_ONE_TIME_CHRG_AFT_TAX","FQ2 2019","FQ2 2019","Currency=USD","Period=FQ","BEST_FPERIOD_OVERRIDE=FQ","FILING_STATUS=MR","SCALING_FORMAT=MLN","Sort=A","Dates=H","DateFormat=P","Fill=—","Direction=H","UseDPDF=Y")</f>
        <v>-9.4220000000000006</v>
      </c>
      <c r="F93" s="13">
        <f>_xll.BDH("ALNY US Equity","ARDR_OTHER_ONE_TIME_CHRG_AFT_TAX","FQ3 2019","FQ3 2019","Currency=USD","Period=FQ","BEST_FPERIOD_OVERRIDE=FQ","FILING_STATUS=MR","SCALING_FORMAT=MLN","Sort=A","Dates=H","DateFormat=P","Fill=—","Direction=H","UseDPDF=Y")</f>
        <v>0</v>
      </c>
      <c r="G93" s="13" t="str">
        <f>_xll.BDH("ALNY US Equity","ARDR_OTHER_ONE_TIME_CHRG_AFT_TAX","FQ4 2019","FQ4 2019","Currency=USD","Period=FQ","BEST_FPERIOD_OVERRIDE=FQ","FILING_STATUS=MR","SCALING_FORMAT=MLN","Sort=A","Dates=H","DateFormat=P","Fill=—","Direction=H","UseDPDF=Y")</f>
        <v>—</v>
      </c>
      <c r="H93" s="13" t="str">
        <f>_xll.BDH("ALNY US Equity","ARDR_OTHER_ONE_TIME_CHRG_AFT_TAX","FQ1 2020","FQ1 2020","Currency=USD","Period=FQ","BEST_FPERIOD_OVERRIDE=FQ","FILING_STATUS=MR","SCALING_FORMAT=MLN","Sort=A","Dates=H","DateFormat=P","Fill=—","Direction=H","UseDPDF=Y")</f>
        <v>—</v>
      </c>
      <c r="I93" s="13">
        <f>_xll.BDH("ALNY US Equity","ARDR_OTHER_ONE_TIME_CHRG_AFT_TAX","FQ2 2020","FQ2 2020","Currency=USD","Period=FQ","BEST_FPERIOD_OVERRIDE=FQ","FILING_STATUS=MR","SCALING_FORMAT=MLN","Sort=A","Dates=H","DateFormat=P","Fill=—","Direction=H","UseDPDF=Y")</f>
        <v>0.32</v>
      </c>
      <c r="J93" s="13">
        <f>_xll.BDH("ALNY US Equity","ARDR_OTHER_ONE_TIME_CHRG_AFT_TAX","FQ3 2020","FQ3 2020","Currency=USD","Period=FQ","BEST_FPERIOD_OVERRIDE=FQ","FILING_STATUS=MR","SCALING_FORMAT=MLN","Sort=A","Dates=H","DateFormat=P","Fill=—","Direction=H","UseDPDF=Y")</f>
        <v>0.76300000000000001</v>
      </c>
      <c r="K93" s="13" t="str">
        <f>_xll.BDH("ALNY US Equity","ARDR_OTHER_ONE_TIME_CHRG_AFT_TAX","FQ4 2020","FQ4 2020","Currency=USD","Period=FQ","BEST_FPERIOD_OVERRIDE=FQ","FILING_STATUS=MR","SCALING_FORMAT=MLN","Sort=A","Dates=H","DateFormat=P","Fill=—","Direction=H","UseDPDF=Y")</f>
        <v>—</v>
      </c>
      <c r="L93" s="13" t="str">
        <f>_xll.BDH("ALNY US Equity","ARDR_OTHER_ONE_TIME_CHRG_AFT_TAX","FQ1 2021","FQ1 2021","Currency=USD","Period=FQ","BEST_FPERIOD_OVERRIDE=FQ","FILING_STATUS=MR","SCALING_FORMAT=MLN","Sort=A","Dates=H","DateFormat=P","Fill=—","Direction=H","UseDPDF=Y")</f>
        <v>—</v>
      </c>
      <c r="M93" s="13" t="str">
        <f>_xll.BDH("ALNY US Equity","ARDR_OTHER_ONE_TIME_CHRG_AFT_TAX","FQ2 2021","FQ2 2021","Currency=USD","Period=FQ","BEST_FPERIOD_OVERRIDE=FQ","FILING_STATUS=MR","SCALING_FORMAT=MLN","Sort=A","Dates=H","DateFormat=P","Fill=—","Direction=H","UseDPDF=Y")</f>
        <v>—</v>
      </c>
      <c r="N93" s="13">
        <f>_xll.BDH("ALNY US Equity","ARDR_OTHER_ONE_TIME_CHRG_AFT_TAX","FQ3 2021","FQ3 2021","Currency=USD","Period=FQ","BEST_FPERIOD_OVERRIDE=FQ","FILING_STATUS=MR","SCALING_FORMAT=MLN","Sort=A","Dates=H","DateFormat=P","Fill=—","Direction=H","UseDPDF=Y")</f>
        <v>10</v>
      </c>
      <c r="O93" s="13">
        <f>_xll.BDH("ALNY US Equity","ARDR_OTHER_ONE_TIME_CHRG_AFT_TAX","FQ4 2021","FQ4 2021","Currency=USD","Period=FQ","BEST_FPERIOD_OVERRIDE=FQ","FILING_STATUS=MR","SCALING_FORMAT=MLN","Sort=A","Dates=H","DateFormat=P","Fill=—","Direction=H","UseDPDF=Y")</f>
        <v>0</v>
      </c>
      <c r="P93" s="13" t="str">
        <f>_xll.BDH("ALNY US Equity","ARDR_OTHER_ONE_TIME_CHRG_AFT_TAX","FQ1 2022","FQ1 2022","Currency=USD","Period=FQ","BEST_FPERIOD_OVERRIDE=FQ","FILING_STATUS=MR","SCALING_FORMAT=MLN","Sort=A","Dates=H","DateFormat=P","Fill=—","Direction=H","UseDPDF=Y")</f>
        <v>—</v>
      </c>
      <c r="Q93" s="13" t="str">
        <f>_xll.BDH("ALNY US Equity","ARDR_OTHER_ONE_TIME_CHRG_AFT_TAX","FQ2 2022","FQ2 2022","Currency=USD","Period=FQ","BEST_FPERIOD_OVERRIDE=FQ","FILING_STATUS=MR","SCALING_FORMAT=MLN","Sort=A","Dates=H","DateFormat=P","Fill=—","Direction=H","UseDPDF=Y")</f>
        <v>—</v>
      </c>
      <c r="R93" s="13" t="str">
        <f>_xll.BDH("ALNY US Equity","ARDR_OTHER_ONE_TIME_CHRG_AFT_TAX","FQ3 2022","FQ3 2022","Currency=USD","Period=FQ","BEST_FPERIOD_OVERRIDE=FQ","FILING_STATUS=MR","SCALING_FORMAT=MLN","Sort=A","Dates=H","DateFormat=P","Fill=—","Direction=H","UseDPDF=Y")</f>
        <v>—</v>
      </c>
      <c r="S93" s="13" t="str">
        <f>_xll.BDH("ALNY US Equity","ARDR_OTHER_ONE_TIME_CHRG_AFT_TAX","FQ4 2022","FQ4 2022","Currency=USD","Period=FQ","BEST_FPERIOD_OVERRIDE=FQ","FILING_STATUS=MR","SCALING_FORMAT=MLN","Sort=A","Dates=H","DateFormat=P","Fill=—","Direction=H","UseDPDF=Y")</f>
        <v>—</v>
      </c>
      <c r="T93" s="13" t="str">
        <f>_xll.BDH("ALNY US Equity","ARDR_OTHER_ONE_TIME_CHRG_AFT_TAX","FQ1 2023","FQ1 2023","Currency=USD","Period=FQ","BEST_FPERIOD_OVERRIDE=FQ","FILING_STATUS=MR","SCALING_FORMAT=MLN","Sort=A","Dates=H","DateFormat=P","Fill=—","Direction=H","UseDPDF=Y")</f>
        <v>—</v>
      </c>
      <c r="U93" s="13" t="str">
        <f>_xll.BDH("ALNY US Equity","ARDR_OTHER_ONE_TIME_CHRG_AFT_TAX","FQ2 2023","FQ2 2023","Currency=USD","Period=FQ","BEST_FPERIOD_OVERRIDE=FQ","FILING_STATUS=MR","SCALING_FORMAT=MLN","Sort=A","Dates=H","DateFormat=P","Fill=—","Direction=H","UseDPDF=Y")</f>
        <v>—</v>
      </c>
      <c r="V93" s="13" t="str">
        <f>_xll.BDH("ALNY US Equity","ARDR_OTHER_ONE_TIME_CHRG_AFT_TAX","FQ3 2023","FQ3 2023","Currency=USD","Period=FQ","BEST_FPERIOD_OVERRIDE=FQ","FILING_STATUS=MR","SCALING_FORMAT=MLN","Sort=A","Dates=H","DateFormat=P","Fill=—","Direction=H","UseDPDF=Y")</f>
        <v>—</v>
      </c>
      <c r="W93" s="13" t="str">
        <f>_xll.BDH("ALNY US Equity","ARDR_OTHER_ONE_TIME_CHRG_AFT_TAX","FQ4 2023","FQ4 2023","Currency=USD","Period=FQ","BEST_FPERIOD_OVERRIDE=FQ","FILING_STATUS=MR","SCALING_FORMAT=MLN","Sort=A","Dates=H","DateFormat=P","Fill=—","Direction=H","UseDPDF=Y")</f>
        <v>—</v>
      </c>
      <c r="X93" s="13" t="str">
        <f>_xll.BDH("ALNY US Equity","ARDR_OTHER_ONE_TIME_CHRG_AFT_TAX","FQ1 2024","FQ1 2024","Currency=USD","Period=FQ","BEST_FPERIOD_OVERRIDE=FQ","FILING_STATUS=MR","SCALING_FORMAT=MLN","Sort=A","Dates=H","DateFormat=P","Fill=—","Direction=H","UseDPDF=Y")</f>
        <v>—</v>
      </c>
      <c r="Y93" s="13" t="str">
        <f>_xll.BDH("ALNY US Equity","ARDR_OTHER_ONE_TIME_CHRG_AFT_TAX","FQ2 2024","FQ2 2024","Currency=USD","Period=FQ","BEST_FPERIOD_OVERRIDE=FQ","FILING_STATUS=MR","SCALING_FORMAT=MLN","Sort=A","Dates=H","DateFormat=P","Fill=—","Direction=H","UseDPDF=Y")</f>
        <v>—</v>
      </c>
      <c r="Z93" s="13" t="str">
        <f>_xll.BDH("ALNY US Equity","ARDR_OTHER_ONE_TIME_CHRG_AFT_TAX","FQ3 2024","FQ3 2024","Currency=USD","Period=FQ","BEST_FPERIOD_OVERRIDE=FQ","FILING_STATUS=MR","SCALING_FORMAT=MLN","Sort=A","Dates=H","DateFormat=P","Fill=—","Direction=H","UseDPDF=Y")</f>
        <v>—</v>
      </c>
      <c r="AA93" s="13" t="str">
        <f>_xll.BDH("ALNY US Equity","ARDR_OTHER_ONE_TIME_CHRG_AFT_TAX","FQ4 2024","FQ4 2024","Currency=USD","Period=FQ","BEST_FPERIOD_OVERRIDE=FQ","FILING_STATUS=MR","SCALING_FORMAT=MLN","Sort=A","Dates=H","DateFormat=P","Fill=—","Direction=H","UseDPDF=Y")</f>
        <v>—</v>
      </c>
    </row>
    <row r="94" spans="1:27" x14ac:dyDescent="0.25">
      <c r="A94" s="10" t="s">
        <v>550</v>
      </c>
      <c r="B94" s="10" t="s">
        <v>551</v>
      </c>
      <c r="C94" s="13" t="str">
        <f>_xll.BDH("ALNY US Equity","ARDR_STOCK_OPT_EXPENSE_AFTER_TAX","FQ4 2018","FQ4 2018","Currency=USD","Period=FQ","BEST_FPERIOD_OVERRIDE=FQ","FILING_STATUS=MR","SCALING_FORMAT=MLN","Sort=A","Dates=H","DateFormat=P","Fill=—","Direction=H","UseDPDF=Y")</f>
        <v>—</v>
      </c>
      <c r="D94" s="13" t="str">
        <f>_xll.BDH("ALNY US Equity","ARDR_STOCK_OPT_EXPENSE_AFTER_TAX","FQ1 2019","FQ1 2019","Currency=USD","Period=FQ","BEST_FPERIOD_OVERRIDE=FQ","FILING_STATUS=MR","SCALING_FORMAT=MLN","Sort=A","Dates=H","DateFormat=P","Fill=—","Direction=H","UseDPDF=Y")</f>
        <v>—</v>
      </c>
      <c r="E94" s="13" t="str">
        <f>_xll.BDH("ALNY US Equity","ARDR_STOCK_OPT_EXPENSE_AFTER_TAX","FQ2 2019","FQ2 2019","Currency=USD","Period=FQ","BEST_FPERIOD_OVERRIDE=FQ","FILING_STATUS=MR","SCALING_FORMAT=MLN","Sort=A","Dates=H","DateFormat=P","Fill=—","Direction=H","UseDPDF=Y")</f>
        <v>—</v>
      </c>
      <c r="F94" s="13" t="str">
        <f>_xll.BDH("ALNY US Equity","ARDR_STOCK_OPT_EXPENSE_AFTER_TAX","FQ3 2019","FQ3 2019","Currency=USD","Period=FQ","BEST_FPERIOD_OVERRIDE=FQ","FILING_STATUS=MR","SCALING_FORMAT=MLN","Sort=A","Dates=H","DateFormat=P","Fill=—","Direction=H","UseDPDF=Y")</f>
        <v>—</v>
      </c>
      <c r="G94" s="13" t="str">
        <f>_xll.BDH("ALNY US Equity","ARDR_STOCK_OPT_EXPENSE_AFTER_TAX","FQ4 2019","FQ4 2019","Currency=USD","Period=FQ","BEST_FPERIOD_OVERRIDE=FQ","FILING_STATUS=MR","SCALING_FORMAT=MLN","Sort=A","Dates=H","DateFormat=P","Fill=—","Direction=H","UseDPDF=Y")</f>
        <v>—</v>
      </c>
      <c r="H94" s="13" t="str">
        <f>_xll.BDH("ALNY US Equity","ARDR_STOCK_OPT_EXPENSE_AFTER_TAX","FQ1 2020","FQ1 2020","Currency=USD","Period=FQ","BEST_FPERIOD_OVERRIDE=FQ","FILING_STATUS=MR","SCALING_FORMAT=MLN","Sort=A","Dates=H","DateFormat=P","Fill=—","Direction=H","UseDPDF=Y")</f>
        <v>—</v>
      </c>
      <c r="I94" s="13" t="str">
        <f>_xll.BDH("ALNY US Equity","ARDR_STOCK_OPT_EXPENSE_AFTER_TAX","FQ2 2020","FQ2 2020","Currency=USD","Period=FQ","BEST_FPERIOD_OVERRIDE=FQ","FILING_STATUS=MR","SCALING_FORMAT=MLN","Sort=A","Dates=H","DateFormat=P","Fill=—","Direction=H","UseDPDF=Y")</f>
        <v>—</v>
      </c>
      <c r="J94" s="13" t="str">
        <f>_xll.BDH("ALNY US Equity","ARDR_STOCK_OPT_EXPENSE_AFTER_TAX","FQ3 2020","FQ3 2020","Currency=USD","Period=FQ","BEST_FPERIOD_OVERRIDE=FQ","FILING_STATUS=MR","SCALING_FORMAT=MLN","Sort=A","Dates=H","DateFormat=P","Fill=—","Direction=H","UseDPDF=Y")</f>
        <v>—</v>
      </c>
      <c r="K94" s="13" t="str">
        <f>_xll.BDH("ALNY US Equity","ARDR_STOCK_OPT_EXPENSE_AFTER_TAX","FQ4 2020","FQ4 2020","Currency=USD","Period=FQ","BEST_FPERIOD_OVERRIDE=FQ","FILING_STATUS=MR","SCALING_FORMAT=MLN","Sort=A","Dates=H","DateFormat=P","Fill=—","Direction=H","UseDPDF=Y")</f>
        <v>—</v>
      </c>
      <c r="L94" s="13" t="str">
        <f>_xll.BDH("ALNY US Equity","ARDR_STOCK_OPT_EXPENSE_AFTER_TAX","FQ1 2021","FQ1 2021","Currency=USD","Period=FQ","BEST_FPERIOD_OVERRIDE=FQ","FILING_STATUS=MR","SCALING_FORMAT=MLN","Sort=A","Dates=H","DateFormat=P","Fill=—","Direction=H","UseDPDF=Y")</f>
        <v>—</v>
      </c>
      <c r="M94" s="13" t="str">
        <f>_xll.BDH("ALNY US Equity","ARDR_STOCK_OPT_EXPENSE_AFTER_TAX","FQ2 2021","FQ2 2021","Currency=USD","Period=FQ","BEST_FPERIOD_OVERRIDE=FQ","FILING_STATUS=MR","SCALING_FORMAT=MLN","Sort=A","Dates=H","DateFormat=P","Fill=—","Direction=H","UseDPDF=Y")</f>
        <v>—</v>
      </c>
      <c r="N94" s="13" t="str">
        <f>_xll.BDH("ALNY US Equity","ARDR_STOCK_OPT_EXPENSE_AFTER_TAX","FQ3 2021","FQ3 2021","Currency=USD","Period=FQ","BEST_FPERIOD_OVERRIDE=FQ","FILING_STATUS=MR","SCALING_FORMAT=MLN","Sort=A","Dates=H","DateFormat=P","Fill=—","Direction=H","UseDPDF=Y")</f>
        <v>—</v>
      </c>
      <c r="O94" s="13" t="str">
        <f>_xll.BDH("ALNY US Equity","ARDR_STOCK_OPT_EXPENSE_AFTER_TAX","FQ4 2021","FQ4 2021","Currency=USD","Period=FQ","BEST_FPERIOD_OVERRIDE=FQ","FILING_STATUS=MR","SCALING_FORMAT=MLN","Sort=A","Dates=H","DateFormat=P","Fill=—","Direction=H","UseDPDF=Y")</f>
        <v>—</v>
      </c>
      <c r="P94" s="13" t="str">
        <f>_xll.BDH("ALNY US Equity","ARDR_STOCK_OPT_EXPENSE_AFTER_TAX","FQ1 2022","FQ1 2022","Currency=USD","Period=FQ","BEST_FPERIOD_OVERRIDE=FQ","FILING_STATUS=MR","SCALING_FORMAT=MLN","Sort=A","Dates=H","DateFormat=P","Fill=—","Direction=H","UseDPDF=Y")</f>
        <v>—</v>
      </c>
      <c r="Q94" s="13">
        <f>_xll.BDH("ALNY US Equity","ARDR_STOCK_OPT_EXPENSE_AFTER_TAX","FQ2 2022","FQ2 2022","Currency=USD","Period=FQ","BEST_FPERIOD_OVERRIDE=FQ","FILING_STATUS=MR","SCALING_FORMAT=MLN","Sort=A","Dates=H","DateFormat=P","Fill=—","Direction=H","UseDPDF=Y")</f>
        <v>-29.292999999999999</v>
      </c>
      <c r="R94" s="13" t="str">
        <f>_xll.BDH("ALNY US Equity","ARDR_STOCK_OPT_EXPENSE_AFTER_TAX","FQ3 2022","FQ3 2022","Currency=USD","Period=FQ","BEST_FPERIOD_OVERRIDE=FQ","FILING_STATUS=MR","SCALING_FORMAT=MLN","Sort=A","Dates=H","DateFormat=P","Fill=—","Direction=H","UseDPDF=Y")</f>
        <v>—</v>
      </c>
      <c r="S94" s="13" t="str">
        <f>_xll.BDH("ALNY US Equity","ARDR_STOCK_OPT_EXPENSE_AFTER_TAX","FQ4 2022","FQ4 2022","Currency=USD","Period=FQ","BEST_FPERIOD_OVERRIDE=FQ","FILING_STATUS=MR","SCALING_FORMAT=MLN","Sort=A","Dates=H","DateFormat=P","Fill=—","Direction=H","UseDPDF=Y")</f>
        <v>—</v>
      </c>
      <c r="T94" s="13" t="str">
        <f>_xll.BDH("ALNY US Equity","ARDR_STOCK_OPT_EXPENSE_AFTER_TAX","FQ1 2023","FQ1 2023","Currency=USD","Period=FQ","BEST_FPERIOD_OVERRIDE=FQ","FILING_STATUS=MR","SCALING_FORMAT=MLN","Sort=A","Dates=H","DateFormat=P","Fill=—","Direction=H","UseDPDF=Y")</f>
        <v>—</v>
      </c>
      <c r="U94" s="13" t="str">
        <f>_xll.BDH("ALNY US Equity","ARDR_STOCK_OPT_EXPENSE_AFTER_TAX","FQ2 2023","FQ2 2023","Currency=USD","Period=FQ","BEST_FPERIOD_OVERRIDE=FQ","FILING_STATUS=MR","SCALING_FORMAT=MLN","Sort=A","Dates=H","DateFormat=P","Fill=—","Direction=H","UseDPDF=Y")</f>
        <v>—</v>
      </c>
      <c r="V94" s="13" t="str">
        <f>_xll.BDH("ALNY US Equity","ARDR_STOCK_OPT_EXPENSE_AFTER_TAX","FQ3 2023","FQ3 2023","Currency=USD","Period=FQ","BEST_FPERIOD_OVERRIDE=FQ","FILING_STATUS=MR","SCALING_FORMAT=MLN","Sort=A","Dates=H","DateFormat=P","Fill=—","Direction=H","UseDPDF=Y")</f>
        <v>—</v>
      </c>
      <c r="W94" s="13" t="str">
        <f>_xll.BDH("ALNY US Equity","ARDR_STOCK_OPT_EXPENSE_AFTER_TAX","FQ4 2023","FQ4 2023","Currency=USD","Period=FQ","BEST_FPERIOD_OVERRIDE=FQ","FILING_STATUS=MR","SCALING_FORMAT=MLN","Sort=A","Dates=H","DateFormat=P","Fill=—","Direction=H","UseDPDF=Y")</f>
        <v>—</v>
      </c>
      <c r="X94" s="13" t="str">
        <f>_xll.BDH("ALNY US Equity","ARDR_STOCK_OPT_EXPENSE_AFTER_TAX","FQ1 2024","FQ1 2024","Currency=USD","Period=FQ","BEST_FPERIOD_OVERRIDE=FQ","FILING_STATUS=MR","SCALING_FORMAT=MLN","Sort=A","Dates=H","DateFormat=P","Fill=—","Direction=H","UseDPDF=Y")</f>
        <v>—</v>
      </c>
      <c r="Y94" s="13" t="str">
        <f>_xll.BDH("ALNY US Equity","ARDR_STOCK_OPT_EXPENSE_AFTER_TAX","FQ2 2024","FQ2 2024","Currency=USD","Period=FQ","BEST_FPERIOD_OVERRIDE=FQ","FILING_STATUS=MR","SCALING_FORMAT=MLN","Sort=A","Dates=H","DateFormat=P","Fill=—","Direction=H","UseDPDF=Y")</f>
        <v>—</v>
      </c>
      <c r="Z94" s="13" t="str">
        <f>_xll.BDH("ALNY US Equity","ARDR_STOCK_OPT_EXPENSE_AFTER_TAX","FQ3 2024","FQ3 2024","Currency=USD","Period=FQ","BEST_FPERIOD_OVERRIDE=FQ","FILING_STATUS=MR","SCALING_FORMAT=MLN","Sort=A","Dates=H","DateFormat=P","Fill=—","Direction=H","UseDPDF=Y")</f>
        <v>—</v>
      </c>
      <c r="AA94" s="13" t="str">
        <f>_xll.BDH("ALNY US Equity","ARDR_STOCK_OPT_EXPENSE_AFTER_TAX","FQ4 2024","FQ4 2024","Currency=USD","Period=FQ","BEST_FPERIOD_OVERRIDE=FQ","FILING_STATUS=MR","SCALING_FORMAT=MLN","Sort=A","Dates=H","DateFormat=P","Fill=—","Direction=H","UseDPDF=Y")</f>
        <v>—</v>
      </c>
    </row>
    <row r="95" spans="1:27" x14ac:dyDescent="0.25">
      <c r="A95" s="10" t="s">
        <v>552</v>
      </c>
      <c r="B95" s="10" t="s">
        <v>553</v>
      </c>
      <c r="C95" s="13" t="str">
        <f>_xll.BDH("ALNY US Equity","ARDR_ADJ_EBIT_NON_GAAP_OP_INC","FQ4 2018","FQ4 2018","Currency=USD","Period=FQ","BEST_FPERIOD_OVERRIDE=FQ","FILING_STATUS=MR","SCALING_FORMAT=MLN","Sort=A","Dates=H","DateFormat=P","Fill=—","Direction=H","UseDPDF=Y")</f>
        <v>—</v>
      </c>
      <c r="D95" s="13" t="str">
        <f>_xll.BDH("ALNY US Equity","ARDR_ADJ_EBIT_NON_GAAP_OP_INC","FQ1 2019","FQ1 2019","Currency=USD","Period=FQ","BEST_FPERIOD_OVERRIDE=FQ","FILING_STATUS=MR","SCALING_FORMAT=MLN","Sort=A","Dates=H","DateFormat=P","Fill=—","Direction=H","UseDPDF=Y")</f>
        <v>—</v>
      </c>
      <c r="E95" s="13" t="str">
        <f>_xll.BDH("ALNY US Equity","ARDR_ADJ_EBIT_NON_GAAP_OP_INC","FQ2 2019","FQ2 2019","Currency=USD","Period=FQ","BEST_FPERIOD_OVERRIDE=FQ","FILING_STATUS=MR","SCALING_FORMAT=MLN","Sort=A","Dates=H","DateFormat=P","Fill=—","Direction=H","UseDPDF=Y")</f>
        <v>—</v>
      </c>
      <c r="F95" s="13" t="str">
        <f>_xll.BDH("ALNY US Equity","ARDR_ADJ_EBIT_NON_GAAP_OP_INC","FQ3 2019","FQ3 2019","Currency=USD","Period=FQ","BEST_FPERIOD_OVERRIDE=FQ","FILING_STATUS=MR","SCALING_FORMAT=MLN","Sort=A","Dates=H","DateFormat=P","Fill=—","Direction=H","UseDPDF=Y")</f>
        <v>—</v>
      </c>
      <c r="G95" s="13" t="str">
        <f>_xll.BDH("ALNY US Equity","ARDR_ADJ_EBIT_NON_GAAP_OP_INC","FQ4 2019","FQ4 2019","Currency=USD","Period=FQ","BEST_FPERIOD_OVERRIDE=FQ","FILING_STATUS=MR","SCALING_FORMAT=MLN","Sort=A","Dates=H","DateFormat=P","Fill=—","Direction=H","UseDPDF=Y")</f>
        <v>—</v>
      </c>
      <c r="H95" s="13">
        <f>_xll.BDH("ALNY US Equity","ARDR_ADJ_EBIT_NON_GAAP_OP_INC","FQ1 2020","FQ1 2020","Currency=USD","Period=FQ","BEST_FPERIOD_OVERRIDE=FQ","FILING_STATUS=MR","SCALING_FORMAT=MLN","Sort=A","Dates=H","DateFormat=P","Fill=—","Direction=H","UseDPDF=Y")</f>
        <v>-175.58</v>
      </c>
      <c r="I95" s="13">
        <f>_xll.BDH("ALNY US Equity","ARDR_ADJ_EBIT_NON_GAAP_OP_INC","FQ2 2020","FQ2 2020","Currency=USD","Period=FQ","BEST_FPERIOD_OVERRIDE=FQ","FILING_STATUS=MR","SCALING_FORMAT=MLN","Sort=A","Dates=H","DateFormat=P","Fill=—","Direction=H","UseDPDF=Y")</f>
        <v>-164.78399999999999</v>
      </c>
      <c r="J95" s="13">
        <f>_xll.BDH("ALNY US Equity","ARDR_ADJ_EBIT_NON_GAAP_OP_INC","FQ3 2020","FQ3 2020","Currency=USD","Period=FQ","BEST_FPERIOD_OVERRIDE=FQ","FILING_STATUS=MR","SCALING_FORMAT=MLN","Sort=A","Dates=H","DateFormat=P","Fill=—","Direction=H","UseDPDF=Y")</f>
        <v>-158.52199999999999</v>
      </c>
      <c r="K95" s="13">
        <f>_xll.BDH("ALNY US Equity","ARDR_ADJ_EBIT_NON_GAAP_OP_INC","FQ4 2020","FQ4 2020","Currency=USD","Period=FQ","BEST_FPERIOD_OVERRIDE=FQ","FILING_STATUS=MR","SCALING_FORMAT=MLN","Sort=A","Dates=H","DateFormat=P","Fill=—","Direction=H","UseDPDF=Y")</f>
        <v>-149.72999999999999</v>
      </c>
      <c r="L95" s="13">
        <f>_xll.BDH("ALNY US Equity","ARDR_ADJ_EBIT_NON_GAAP_OP_INC","FQ1 2021","FQ1 2021","Currency=USD","Period=FQ","BEST_FPERIOD_OVERRIDE=FQ","FILING_STATUS=MR","SCALING_FORMAT=MLN","Sort=A","Dates=H","DateFormat=P","Fill=—","Direction=H","UseDPDF=Y")</f>
        <v>-130.56399999999999</v>
      </c>
      <c r="M95" s="13">
        <f>_xll.BDH("ALNY US Equity","ARDR_ADJ_EBIT_NON_GAAP_OP_INC","FQ2 2021","FQ2 2021","Currency=USD","Period=FQ","BEST_FPERIOD_OVERRIDE=FQ","FILING_STATUS=MR","SCALING_FORMAT=MLN","Sort=A","Dates=H","DateFormat=P","Fill=—","Direction=H","UseDPDF=Y")</f>
        <v>-114.08199999999999</v>
      </c>
      <c r="N95" s="13">
        <f>_xll.BDH("ALNY US Equity","ARDR_ADJ_EBIT_NON_GAAP_OP_INC","FQ3 2021","FQ3 2021","Currency=USD","Period=FQ","BEST_FPERIOD_OVERRIDE=FQ","FILING_STATUS=MR","SCALING_FORMAT=MLN","Sort=A","Dates=H","DateFormat=P","Fill=—","Direction=H","UseDPDF=Y")</f>
        <v>-138.31</v>
      </c>
      <c r="O95" s="13">
        <f>_xll.BDH("ALNY US Equity","ARDR_ADJ_EBIT_NON_GAAP_OP_INC","FQ4 2021","FQ4 2021","Currency=USD","Period=FQ","BEST_FPERIOD_OVERRIDE=FQ","FILING_STATUS=MR","SCALING_FORMAT=MLN","Sort=A","Dates=H","DateFormat=P","Fill=—","Direction=H","UseDPDF=Y")</f>
        <v>-144.684</v>
      </c>
      <c r="P95" s="13">
        <f>_xll.BDH("ALNY US Equity","ARDR_ADJ_EBIT_NON_GAAP_OP_INC","FQ1 2022","FQ1 2022","Currency=USD","Period=FQ","BEST_FPERIOD_OVERRIDE=FQ","FILING_STATUS=MR","SCALING_FORMAT=MLN","Sort=A","Dates=H","DateFormat=P","Fill=—","Direction=H","UseDPDF=Y")</f>
        <v>-117.43899999999999</v>
      </c>
      <c r="Q95" s="13">
        <f>_xll.BDH("ALNY US Equity","ARDR_ADJ_EBIT_NON_GAAP_OP_INC","FQ2 2022","FQ2 2022","Currency=USD","Period=FQ","BEST_FPERIOD_OVERRIDE=FQ","FILING_STATUS=MR","SCALING_FORMAT=MLN","Sort=A","Dates=H","DateFormat=P","Fill=—","Direction=H","UseDPDF=Y")</f>
        <v>-161.215</v>
      </c>
      <c r="R95" s="13">
        <f>_xll.BDH("ALNY US Equity","ARDR_ADJ_EBIT_NON_GAAP_OP_INC","FQ3 2022","FQ3 2022","Currency=USD","Period=FQ","BEST_FPERIOD_OVERRIDE=FQ","FILING_STATUS=MR","SCALING_FORMAT=MLN","Sort=A","Dates=H","DateFormat=P","Fill=—","Direction=H","UseDPDF=Y")</f>
        <v>-129.922</v>
      </c>
      <c r="S95" s="13">
        <f>_xll.BDH("ALNY US Equity","ARDR_ADJ_EBIT_NON_GAAP_OP_INC","FQ4 2022","FQ4 2022","Currency=USD","Period=FQ","BEST_FPERIOD_OVERRIDE=FQ","FILING_STATUS=MR","SCALING_FORMAT=MLN","Sort=A","Dates=H","DateFormat=P","Fill=—","Direction=H","UseDPDF=Y")</f>
        <v>-145.84700000000001</v>
      </c>
      <c r="T95" s="13">
        <f>_xll.BDH("ALNY US Equity","ARDR_ADJ_EBIT_NON_GAAP_OP_INC","FQ1 2023","FQ1 2023","Currency=USD","Period=FQ","BEST_FPERIOD_OVERRIDE=FQ","FILING_STATUS=MR","SCALING_FORMAT=MLN","Sort=A","Dates=H","DateFormat=P","Fill=—","Direction=H","UseDPDF=Y")</f>
        <v>-109.86</v>
      </c>
      <c r="U95" s="13">
        <f>_xll.BDH("ALNY US Equity","ARDR_ADJ_EBIT_NON_GAAP_OP_INC","FQ2 2023","FQ2 2023","Currency=USD","Period=FQ","BEST_FPERIOD_OVERRIDE=FQ","FILING_STATUS=MR","SCALING_FORMAT=MLN","Sort=A","Dates=H","DateFormat=P","Fill=—","Direction=H","UseDPDF=Y")</f>
        <v>-154.029</v>
      </c>
      <c r="V95" s="13">
        <f>_xll.BDH("ALNY US Equity","ARDR_ADJ_EBIT_NON_GAAP_OP_INC","FQ3 2023","FQ3 2023","Currency=USD","Period=FQ","BEST_FPERIOD_OVERRIDE=FQ","FILING_STATUS=MR","SCALING_FORMAT=MLN","Sort=A","Dates=H","DateFormat=P","Fill=—","Direction=H","UseDPDF=Y")</f>
        <v>277.80399999999997</v>
      </c>
      <c r="W95" s="13">
        <f>_xll.BDH("ALNY US Equity","ARDR_ADJ_EBIT_NON_GAAP_OP_INC","FQ4 2023","FQ4 2023","Currency=USD","Period=FQ","BEST_FPERIOD_OVERRIDE=FQ","FILING_STATUS=MR","SCALING_FORMAT=MLN","Sort=A","Dates=H","DateFormat=P","Fill=—","Direction=H","UseDPDF=Y")</f>
        <v>-74.41</v>
      </c>
      <c r="X95" s="13">
        <f>_xll.BDH("ALNY US Equity","ARDR_ADJ_EBIT_NON_GAAP_OP_INC","FQ1 2024","FQ1 2024","Currency=USD","Period=FQ","BEST_FPERIOD_OVERRIDE=FQ","FILING_STATUS=MR","SCALING_FORMAT=MLN","Sort=A","Dates=H","DateFormat=P","Fill=—","Direction=H","UseDPDF=Y")</f>
        <v>1.9119999999999999</v>
      </c>
      <c r="Y95" s="13">
        <f>_xll.BDH("ALNY US Equity","ARDR_ADJ_EBIT_NON_GAAP_OP_INC","FQ2 2024","FQ2 2024","Currency=USD","Period=FQ","BEST_FPERIOD_OVERRIDE=FQ","FILING_STATUS=MR","SCALING_FORMAT=MLN","Sort=A","Dates=H","DateFormat=P","Fill=—","Direction=H","UseDPDF=Y")</f>
        <v>137.90199999999999</v>
      </c>
      <c r="Z95" s="13">
        <f>_xll.BDH("ALNY US Equity","ARDR_ADJ_EBIT_NON_GAAP_OP_INC","FQ3 2024","FQ3 2024","Currency=USD","Period=FQ","BEST_FPERIOD_OVERRIDE=FQ","FILING_STATUS=MR","SCALING_FORMAT=MLN","Sort=A","Dates=H","DateFormat=P","Fill=—","Direction=H","UseDPDF=Y")</f>
        <v>-31.100999999999999</v>
      </c>
      <c r="AA95" s="13">
        <f>_xll.BDH("ALNY US Equity","ARDR_ADJ_EBIT_NON_GAAP_OP_INC","FQ4 2024","FQ4 2024","Currency=USD","Period=FQ","BEST_FPERIOD_OVERRIDE=FQ","FILING_STATUS=MR","SCALING_FORMAT=MLN","Sort=A","Dates=H","DateFormat=P","Fill=—","Direction=H","UseDPDF=Y")</f>
        <v>-13.513999999999999</v>
      </c>
    </row>
    <row r="96" spans="1:27" x14ac:dyDescent="0.25">
      <c r="A96" s="10" t="s">
        <v>554</v>
      </c>
      <c r="B96" s="10" t="s">
        <v>555</v>
      </c>
      <c r="C96" s="13">
        <f>_xll.BDH("ALNY US Equity","ARDR_STOCK_BASED_CMPNSTN_IN_R&amp;D","FQ4 2018","FQ4 2018","Currency=USD","Period=FQ","BEST_FPERIOD_OVERRIDE=FQ","FILING_STATUS=MR","Sort=A","Dates=H","DateFormat=P","Fill=—","Direction=H","UseDPDF=Y")</f>
        <v>12.972</v>
      </c>
      <c r="D96" s="13">
        <f>_xll.BDH("ALNY US Equity","ARDR_STOCK_BASED_CMPNSTN_IN_R&amp;D","FQ1 2019","FQ1 2019","Currency=USD","Period=FQ","BEST_FPERIOD_OVERRIDE=FQ","FILING_STATUS=MR","Sort=A","Dates=H","DateFormat=P","Fill=—","Direction=H","UseDPDF=Y")</f>
        <v>16.125</v>
      </c>
      <c r="E96" s="13">
        <f>_xll.BDH("ALNY US Equity","ARDR_STOCK_BASED_CMPNSTN_IN_R&amp;D","FQ2 2019","FQ2 2019","Currency=USD","Period=FQ","BEST_FPERIOD_OVERRIDE=FQ","FILING_STATUS=MR","Sort=A","Dates=H","DateFormat=P","Fill=—","Direction=H","UseDPDF=Y")</f>
        <v>15.282</v>
      </c>
      <c r="F96" s="13">
        <f>_xll.BDH("ALNY US Equity","ARDR_STOCK_BASED_CMPNSTN_IN_R&amp;D","FQ3 2019","FQ3 2019","Currency=USD","Period=FQ","BEST_FPERIOD_OVERRIDE=FQ","FILING_STATUS=MR","Sort=A","Dates=H","DateFormat=P","Fill=—","Direction=H","UseDPDF=Y")</f>
        <v>22.736999999999998</v>
      </c>
      <c r="G96" s="13">
        <f>_xll.BDH("ALNY US Equity","ARDR_STOCK_BASED_CMPNSTN_IN_R&amp;D","FQ4 2019","FQ4 2019","Currency=USD","Period=FQ","BEST_FPERIOD_OVERRIDE=FQ","FILING_STATUS=MR","Sort=A","Dates=H","DateFormat=P","Fill=—","Direction=H","UseDPDF=Y")</f>
        <v>34.786000000000001</v>
      </c>
      <c r="H96" s="13" t="str">
        <f>_xll.BDH("ALNY US Equity","ARDR_STOCK_BASED_CMPNSTN_IN_R&amp;D","FQ1 2020","FQ1 2020","Currency=USD","Period=FQ","BEST_FPERIOD_OVERRIDE=FQ","FILING_STATUS=MR","Sort=A","Dates=H","DateFormat=P","Fill=—","Direction=H","UseDPDF=Y")</f>
        <v>—</v>
      </c>
      <c r="I96" s="13" t="str">
        <f>_xll.BDH("ALNY US Equity","ARDR_STOCK_BASED_CMPNSTN_IN_R&amp;D","FQ2 2020","FQ2 2020","Currency=USD","Period=FQ","BEST_FPERIOD_OVERRIDE=FQ","FILING_STATUS=MR","Sort=A","Dates=H","DateFormat=P","Fill=—","Direction=H","UseDPDF=Y")</f>
        <v>—</v>
      </c>
      <c r="J96" s="13">
        <f>_xll.BDH("ALNY US Equity","ARDR_STOCK_BASED_CMPNSTN_IN_R&amp;D","FQ3 2020","FQ3 2020","Currency=USD","Period=FQ","BEST_FPERIOD_OVERRIDE=FQ","FILING_STATUS=MR","Sort=A","Dates=H","DateFormat=P","Fill=—","Direction=H","UseDPDF=Y")</f>
        <v>13.702999999999999</v>
      </c>
      <c r="K96" s="13">
        <f>_xll.BDH("ALNY US Equity","ARDR_STOCK_BASED_CMPNSTN_IN_R&amp;D","FQ4 2020","FQ4 2020","Currency=USD","Period=FQ","BEST_FPERIOD_OVERRIDE=FQ","FILING_STATUS=MR","Sort=A","Dates=H","DateFormat=P","Fill=—","Direction=H","UseDPDF=Y")</f>
        <v>14.922000000000001</v>
      </c>
      <c r="L96" s="13">
        <f>_xll.BDH("ALNY US Equity","ARDR_STOCK_BASED_CMPNSTN_IN_R&amp;D","FQ1 2021","FQ1 2021","Currency=USD","Period=FQ","BEST_FPERIOD_OVERRIDE=FQ","FILING_STATUS=MR","Sort=A","Dates=H","DateFormat=P","Fill=—","Direction=H","UseDPDF=Y")</f>
        <v>24.375</v>
      </c>
      <c r="M96" s="13">
        <f>_xll.BDH("ALNY US Equity","ARDR_STOCK_BASED_CMPNSTN_IN_R&amp;D","FQ2 2021","FQ2 2021","Currency=USD","Period=FQ","BEST_FPERIOD_OVERRIDE=FQ","FILING_STATUS=MR","Sort=A","Dates=H","DateFormat=P","Fill=—","Direction=H","UseDPDF=Y")</f>
        <v>13.086</v>
      </c>
      <c r="N96" s="13">
        <f>_xll.BDH("ALNY US Equity","ARDR_STOCK_BASED_CMPNSTN_IN_R&amp;D","FQ3 2021","FQ3 2021","Currency=USD","Period=FQ","BEST_FPERIOD_OVERRIDE=FQ","FILING_STATUS=MR","Sort=A","Dates=H","DateFormat=P","Fill=—","Direction=H","UseDPDF=Y")</f>
        <v>12.417</v>
      </c>
      <c r="O96" s="13">
        <f>_xll.BDH("ALNY US Equity","ARDR_STOCK_BASED_CMPNSTN_IN_R&amp;D","FQ4 2021","FQ4 2021","Currency=USD","Period=FQ","BEST_FPERIOD_OVERRIDE=FQ","FILING_STATUS=MR","Sort=A","Dates=H","DateFormat=P","Fill=—","Direction=H","UseDPDF=Y")</f>
        <v>18.536999999999999</v>
      </c>
      <c r="P96" s="13">
        <f>_xll.BDH("ALNY US Equity","ARDR_STOCK_BASED_CMPNSTN_IN_R&amp;D","FQ1 2022","FQ1 2022","Currency=USD","Period=FQ","BEST_FPERIOD_OVERRIDE=FQ","FILING_STATUS=MR","Sort=A","Dates=H","DateFormat=P","Fill=—","Direction=H","UseDPDF=Y")</f>
        <v>11.617000000000001</v>
      </c>
      <c r="Q96" s="13">
        <f>_xll.BDH("ALNY US Equity","ARDR_STOCK_BASED_CMPNSTN_IN_R&amp;D","FQ2 2022","FQ2 2022","Currency=USD","Period=FQ","BEST_FPERIOD_OVERRIDE=FQ","FILING_STATUS=MR","Sort=A","Dates=H","DateFormat=P","Fill=—","Direction=H","UseDPDF=Y")</f>
        <v>10.638</v>
      </c>
      <c r="R96" s="13">
        <f>_xll.BDH("ALNY US Equity","ARDR_STOCK_BASED_CMPNSTN_IN_R&amp;D","FQ3 2022","FQ3 2022","Currency=USD","Period=FQ","BEST_FPERIOD_OVERRIDE=FQ","FILING_STATUS=MR","Sort=A","Dates=H","DateFormat=P","Fill=—","Direction=H","UseDPDF=Y")</f>
        <v>52.962000000000003</v>
      </c>
      <c r="S96" s="13">
        <f>_xll.BDH("ALNY US Equity","ARDR_STOCK_BASED_CMPNSTN_IN_R&amp;D","FQ4 2022","FQ4 2022","Currency=USD","Period=FQ","BEST_FPERIOD_OVERRIDE=FQ","FILING_STATUS=MR","Sort=A","Dates=H","DateFormat=P","Fill=—","Direction=H","UseDPDF=Y")</f>
        <v>16.943999999999999</v>
      </c>
      <c r="T96" s="13">
        <f>_xll.BDH("ALNY US Equity","ARDR_STOCK_BASED_CMPNSTN_IN_R&amp;D","FQ1 2023","FQ1 2023","Currency=USD","Period=FQ","BEST_FPERIOD_OVERRIDE=FQ","FILING_STATUS=MR","Sort=A","Dates=H","DateFormat=P","Fill=—","Direction=H","UseDPDF=Y")</f>
        <v>16.231999999999999</v>
      </c>
      <c r="U96" s="13">
        <f>_xll.BDH("ALNY US Equity","ARDR_STOCK_BASED_CMPNSTN_IN_R&amp;D","FQ2 2023","FQ2 2023","Currency=USD","Period=FQ","BEST_FPERIOD_OVERRIDE=FQ","FILING_STATUS=MR","Sort=A","Dates=H","DateFormat=P","Fill=—","Direction=H","UseDPDF=Y")</f>
        <v>32.801000000000002</v>
      </c>
      <c r="V96" s="13">
        <f>_xll.BDH("ALNY US Equity","ARDR_STOCK_BASED_CMPNSTN_IN_R&amp;D","FQ3 2023","FQ3 2023","Currency=USD","Period=FQ","BEST_FPERIOD_OVERRIDE=FQ","FILING_STATUS=MR","Sort=A","Dates=H","DateFormat=P","Fill=—","Direction=H","UseDPDF=Y")</f>
        <v>29.155000000000001</v>
      </c>
      <c r="W96" s="13">
        <f>_xll.BDH("ALNY US Equity","ARDR_STOCK_BASED_CMPNSTN_IN_R&amp;D","FQ4 2023","FQ4 2023","Currency=USD","Period=FQ","BEST_FPERIOD_OVERRIDE=FQ","FILING_STATUS=MR","Sort=A","Dates=H","DateFormat=P","Fill=—","Direction=H","UseDPDF=Y")</f>
        <v>19.085000000000001</v>
      </c>
      <c r="X96" s="13">
        <f>_xll.BDH("ALNY US Equity","ARDR_STOCK_BASED_CMPNSTN_IN_R&amp;D","FQ1 2024","FQ1 2024","Currency=USD","Period=FQ","BEST_FPERIOD_OVERRIDE=FQ","FILING_STATUS=MR","Sort=A","Dates=H","DateFormat=P","Fill=—","Direction=H","UseDPDF=Y")</f>
        <v>19.215</v>
      </c>
      <c r="Y96" s="13">
        <f>_xll.BDH("ALNY US Equity","ARDR_STOCK_BASED_CMPNSTN_IN_R&amp;D","FQ2 2024","FQ2 2024","Currency=USD","Period=FQ","BEST_FPERIOD_OVERRIDE=FQ","FILING_STATUS=MR","Sort=A","Dates=H","DateFormat=P","Fill=—","Direction=H","UseDPDF=Y")</f>
        <v>48.115000000000002</v>
      </c>
      <c r="Z96" s="13">
        <f>_xll.BDH("ALNY US Equity","ARDR_STOCK_BASED_CMPNSTN_IN_R&amp;D","FQ3 2024","FQ3 2024","Currency=USD","Period=FQ","BEST_FPERIOD_OVERRIDE=FQ","FILING_STATUS=MR","Sort=A","Dates=H","DateFormat=P","Fill=—","Direction=H","UseDPDF=Y")</f>
        <v>19.794</v>
      </c>
      <c r="AA96" s="13">
        <f>_xll.BDH("ALNY US Equity","ARDR_STOCK_BASED_CMPNSTN_IN_R&amp;D","FQ4 2024","FQ4 2024","Currency=USD","Period=FQ","BEST_FPERIOD_OVERRIDE=FQ","FILING_STATUS=MR","Sort=A","Dates=H","DateFormat=P","Fill=—","Direction=H","UseDPDF=Y")</f>
        <v>40.625</v>
      </c>
    </row>
    <row r="97" spans="1:27" x14ac:dyDescent="0.25">
      <c r="A97" s="10" t="s">
        <v>556</v>
      </c>
      <c r="B97" s="10" t="s">
        <v>557</v>
      </c>
      <c r="C97" s="13">
        <f>_xll.BDH("ALNY US Equity","ARDR_STOCK_BASED_CMPNSTN_IN_SG&amp;A","FQ4 2018","FQ4 2018","Currency=USD","Period=FQ","BEST_FPERIOD_OVERRIDE=FQ","FILING_STATUS=MR","Sort=A","Dates=H","DateFormat=P","Fill=—","Direction=H","UseDPDF=Y")</f>
        <v>15.000999999999999</v>
      </c>
      <c r="D97" s="13">
        <f>_xll.BDH("ALNY US Equity","ARDR_STOCK_BASED_CMPNSTN_IN_SG&amp;A","FQ1 2019","FQ1 2019","Currency=USD","Period=FQ","BEST_FPERIOD_OVERRIDE=FQ","FILING_STATUS=MR","Sort=A","Dates=H","DateFormat=P","Fill=—","Direction=H","UseDPDF=Y")</f>
        <v>15.907</v>
      </c>
      <c r="E97" s="13">
        <f>_xll.BDH("ALNY US Equity","ARDR_STOCK_BASED_CMPNSTN_IN_SG&amp;A","FQ2 2019","FQ2 2019","Currency=USD","Period=FQ","BEST_FPERIOD_OVERRIDE=FQ","FILING_STATUS=MR","Sort=A","Dates=H","DateFormat=P","Fill=—","Direction=H","UseDPDF=Y")</f>
        <v>15.321</v>
      </c>
      <c r="F97" s="13">
        <f>_xll.BDH("ALNY US Equity","ARDR_STOCK_BASED_CMPNSTN_IN_SG&amp;A","FQ3 2019","FQ3 2019","Currency=USD","Period=FQ","BEST_FPERIOD_OVERRIDE=FQ","FILING_STATUS=MR","Sort=A","Dates=H","DateFormat=P","Fill=—","Direction=H","UseDPDF=Y")</f>
        <v>46.009</v>
      </c>
      <c r="G97" s="13">
        <f>_xll.BDH("ALNY US Equity","ARDR_STOCK_BASED_CMPNSTN_IN_SG&amp;A","FQ4 2019","FQ4 2019","Currency=USD","Period=FQ","BEST_FPERIOD_OVERRIDE=FQ","FILING_STATUS=MR","Sort=A","Dates=H","DateFormat=P","Fill=—","Direction=H","UseDPDF=Y")</f>
        <v>31.411000000000001</v>
      </c>
      <c r="H97" s="13">
        <f>_xll.BDH("ALNY US Equity","ARDR_STOCK_BASED_CMPNSTN_IN_SG&amp;A","FQ1 2020","FQ1 2020","Currency=USD","Period=FQ","BEST_FPERIOD_OVERRIDE=FQ","FILING_STATUS=MR","Sort=A","Dates=H","DateFormat=P","Fill=—","Direction=H","UseDPDF=Y")</f>
        <v>18.529</v>
      </c>
      <c r="I97" s="13">
        <f>_xll.BDH("ALNY US Equity","ARDR_STOCK_BASED_CMPNSTN_IN_SG&amp;A","FQ2 2020","FQ2 2020","Currency=USD","Period=FQ","BEST_FPERIOD_OVERRIDE=FQ","FILING_STATUS=MR","Sort=A","Dates=H","DateFormat=P","Fill=—","Direction=H","UseDPDF=Y")</f>
        <v>17.965</v>
      </c>
      <c r="J97" s="13">
        <f>_xll.BDH("ALNY US Equity","ARDR_STOCK_BASED_CMPNSTN_IN_SG&amp;A","FQ3 2020","FQ3 2020","Currency=USD","Period=FQ","BEST_FPERIOD_OVERRIDE=FQ","FILING_STATUS=MR","Sort=A","Dates=H","DateFormat=P","Fill=—","Direction=H","UseDPDF=Y")</f>
        <v>23.561</v>
      </c>
      <c r="K97" s="13">
        <f>_xll.BDH("ALNY US Equity","ARDR_STOCK_BASED_CMPNSTN_IN_SG&amp;A","FQ4 2020","FQ4 2020","Currency=USD","Period=FQ","BEST_FPERIOD_OVERRIDE=FQ","FILING_STATUS=MR","Sort=A","Dates=H","DateFormat=P","Fill=—","Direction=H","UseDPDF=Y")</f>
        <v>19.353999999999999</v>
      </c>
      <c r="L97" s="13">
        <f>_xll.BDH("ALNY US Equity","ARDR_STOCK_BASED_CMPNSTN_IN_SG&amp;A","FQ1 2021","FQ1 2021","Currency=USD","Period=FQ","BEST_FPERIOD_OVERRIDE=FQ","FILING_STATUS=MR","Sort=A","Dates=H","DateFormat=P","Fill=—","Direction=H","UseDPDF=Y")</f>
        <v>31.315000000000001</v>
      </c>
      <c r="M97" s="13">
        <f>_xll.BDH("ALNY US Equity","ARDR_STOCK_BASED_CMPNSTN_IN_SG&amp;A","FQ2 2021","FQ2 2021","Currency=USD","Period=FQ","BEST_FPERIOD_OVERRIDE=FQ","FILING_STATUS=MR","Sort=A","Dates=H","DateFormat=P","Fill=—","Direction=H","UseDPDF=Y")</f>
        <v>18.992000000000001</v>
      </c>
      <c r="N97" s="13">
        <f>_xll.BDH("ALNY US Equity","ARDR_STOCK_BASED_CMPNSTN_IN_SG&amp;A","FQ3 2021","FQ3 2021","Currency=USD","Period=FQ","BEST_FPERIOD_OVERRIDE=FQ","FILING_STATUS=MR","Sort=A","Dates=H","DateFormat=P","Fill=—","Direction=H","UseDPDF=Y")</f>
        <v>20.95</v>
      </c>
      <c r="O97" s="13">
        <f>_xll.BDH("ALNY US Equity","ARDR_STOCK_BASED_CMPNSTN_IN_SG&amp;A","FQ4 2021","FQ4 2021","Currency=USD","Period=FQ","BEST_FPERIOD_OVERRIDE=FQ","FILING_STATUS=MR","Sort=A","Dates=H","DateFormat=P","Fill=—","Direction=H","UseDPDF=Y")</f>
        <v>26.045000000000002</v>
      </c>
      <c r="P97" s="13">
        <f>_xll.BDH("ALNY US Equity","ARDR_STOCK_BASED_CMPNSTN_IN_SG&amp;A","FQ1 2022","FQ1 2022","Currency=USD","Period=FQ","BEST_FPERIOD_OVERRIDE=FQ","FILING_STATUS=MR","Sort=A","Dates=H","DateFormat=P","Fill=—","Direction=H","UseDPDF=Y")</f>
        <v>17.675999999999998</v>
      </c>
      <c r="Q97" s="13">
        <f>_xll.BDH("ALNY US Equity","ARDR_STOCK_BASED_CMPNSTN_IN_SG&amp;A","FQ2 2022","FQ2 2022","Currency=USD","Period=FQ","BEST_FPERIOD_OVERRIDE=FQ","FILING_STATUS=MR","Sort=A","Dates=H","DateFormat=P","Fill=—","Direction=H","UseDPDF=Y")</f>
        <v>19.832999999999998</v>
      </c>
      <c r="R97" s="13">
        <f>_xll.BDH("ALNY US Equity","ARDR_STOCK_BASED_CMPNSTN_IN_SG&amp;A","FQ3 2022","FQ3 2022","Currency=USD","Period=FQ","BEST_FPERIOD_OVERRIDE=FQ","FILING_STATUS=MR","Sort=A","Dates=H","DateFormat=P","Fill=—","Direction=H","UseDPDF=Y")</f>
        <v>75.156000000000006</v>
      </c>
      <c r="S97" s="13">
        <f>_xll.BDH("ALNY US Equity","ARDR_STOCK_BASED_CMPNSTN_IN_SG&amp;A","FQ4 2022","FQ4 2022","Currency=USD","Period=FQ","BEST_FPERIOD_OVERRIDE=FQ","FILING_STATUS=MR","Sort=A","Dates=H","DateFormat=P","Fill=—","Direction=H","UseDPDF=Y")</f>
        <v>25.823</v>
      </c>
      <c r="T97" s="13">
        <f>_xll.BDH("ALNY US Equity","ARDR_STOCK_BASED_CMPNSTN_IN_SG&amp;A","FQ1 2023","FQ1 2023","Currency=USD","Period=FQ","BEST_FPERIOD_OVERRIDE=FQ","FILING_STATUS=MR","Sort=A","Dates=H","DateFormat=P","Fill=—","Direction=H","UseDPDF=Y")</f>
        <v>23.715</v>
      </c>
      <c r="U97" s="13">
        <f>_xll.BDH("ALNY US Equity","ARDR_STOCK_BASED_CMPNSTN_IN_SG&amp;A","FQ2 2023","FQ2 2023","Currency=USD","Period=FQ","BEST_FPERIOD_OVERRIDE=FQ","FILING_STATUS=MR","Sort=A","Dates=H","DateFormat=P","Fill=—","Direction=H","UseDPDF=Y")</f>
        <v>43.000999999999998</v>
      </c>
      <c r="V97" s="13">
        <f>_xll.BDH("ALNY US Equity","ARDR_STOCK_BASED_CMPNSTN_IN_SG&amp;A","FQ3 2023","FQ3 2023","Currency=USD","Period=FQ","BEST_FPERIOD_OVERRIDE=FQ","FILING_STATUS=MR","Sort=A","Dates=H","DateFormat=P","Fill=—","Direction=H","UseDPDF=Y")</f>
        <v>34.781999999999996</v>
      </c>
      <c r="W97" s="13">
        <f>_xll.BDH("ALNY US Equity","ARDR_STOCK_BASED_CMPNSTN_IN_SG&amp;A","FQ4 2023","FQ4 2023","Currency=USD","Period=FQ","BEST_FPERIOD_OVERRIDE=FQ","FILING_STATUS=MR","Sort=A","Dates=H","DateFormat=P","Fill=—","Direction=H","UseDPDF=Y")</f>
        <v>22.908999999999999</v>
      </c>
      <c r="X97" s="13">
        <f>_xll.BDH("ALNY US Equity","ARDR_STOCK_BASED_CMPNSTN_IN_SG&amp;A","FQ1 2024","FQ1 2024","Currency=USD","Period=FQ","BEST_FPERIOD_OVERRIDE=FQ","FILING_STATUS=MR","Sort=A","Dates=H","DateFormat=P","Fill=—","Direction=H","UseDPDF=Y")</f>
        <v>26.132000000000001</v>
      </c>
      <c r="Y97" s="13">
        <f>_xll.BDH("ALNY US Equity","ARDR_STOCK_BASED_CMPNSTN_IN_SG&amp;A","FQ2 2024","FQ2 2024","Currency=USD","Period=FQ","BEST_FPERIOD_OVERRIDE=FQ","FILING_STATUS=MR","Sort=A","Dates=H","DateFormat=P","Fill=—","Direction=H","UseDPDF=Y")</f>
        <v>41.173000000000002</v>
      </c>
      <c r="Z97" s="13">
        <f>_xll.BDH("ALNY US Equity","ARDR_STOCK_BASED_CMPNSTN_IN_SG&amp;A","FQ3 2024","FQ3 2024","Currency=USD","Period=FQ","BEST_FPERIOD_OVERRIDE=FQ","FILING_STATUS=MR","Sort=A","Dates=H","DateFormat=P","Fill=—","Direction=H","UseDPDF=Y")</f>
        <v>26.01</v>
      </c>
      <c r="AA97" s="13">
        <f>_xll.BDH("ALNY US Equity","ARDR_STOCK_BASED_CMPNSTN_IN_SG&amp;A","FQ4 2024","FQ4 2024","Currency=USD","Period=FQ","BEST_FPERIOD_OVERRIDE=FQ","FILING_STATUS=MR","Sort=A","Dates=H","DateFormat=P","Fill=—","Direction=H","UseDPDF=Y")</f>
        <v>51.02</v>
      </c>
    </row>
    <row r="98" spans="1:27" x14ac:dyDescent="0.25">
      <c r="A98" s="10" t="s">
        <v>558</v>
      </c>
      <c r="B98" s="10" t="s">
        <v>559</v>
      </c>
      <c r="C98" s="13" t="str">
        <f>_xll.BDH("ALNY US Equity","ARDR_STOCK_BASED_COMP_OTHER","FQ4 2018","FQ4 2018","Currency=USD","Period=FQ","BEST_FPERIOD_OVERRIDE=FQ","FILING_STATUS=MR","SCALING_FORMAT=MLN","Sort=A","Dates=H","DateFormat=P","Fill=—","Direction=H","UseDPDF=Y")</f>
        <v>—</v>
      </c>
      <c r="D98" s="13" t="str">
        <f>_xll.BDH("ALNY US Equity","ARDR_STOCK_BASED_COMP_OTHER","FQ1 2019","FQ1 2019","Currency=USD","Period=FQ","BEST_FPERIOD_OVERRIDE=FQ","FILING_STATUS=MR","SCALING_FORMAT=MLN","Sort=A","Dates=H","DateFormat=P","Fill=—","Direction=H","UseDPDF=Y")</f>
        <v>—</v>
      </c>
      <c r="E98" s="13" t="str">
        <f>_xll.BDH("ALNY US Equity","ARDR_STOCK_BASED_COMP_OTHER","FQ2 2019","FQ2 2019","Currency=USD","Period=FQ","BEST_FPERIOD_OVERRIDE=FQ","FILING_STATUS=MR","SCALING_FORMAT=MLN","Sort=A","Dates=H","DateFormat=P","Fill=—","Direction=H","UseDPDF=Y")</f>
        <v>—</v>
      </c>
      <c r="F98" s="13" t="str">
        <f>_xll.BDH("ALNY US Equity","ARDR_STOCK_BASED_COMP_OTHER","FQ3 2019","FQ3 2019","Currency=USD","Period=FQ","BEST_FPERIOD_OVERRIDE=FQ","FILING_STATUS=MR","SCALING_FORMAT=MLN","Sort=A","Dates=H","DateFormat=P","Fill=—","Direction=H","UseDPDF=Y")</f>
        <v>—</v>
      </c>
      <c r="G98" s="13" t="str">
        <f>_xll.BDH("ALNY US Equity","ARDR_STOCK_BASED_COMP_OTHER","FQ4 2019","FQ4 2019","Currency=USD","Period=FQ","BEST_FPERIOD_OVERRIDE=FQ","FILING_STATUS=MR","SCALING_FORMAT=MLN","Sort=A","Dates=H","DateFormat=P","Fill=—","Direction=H","UseDPDF=Y")</f>
        <v>—</v>
      </c>
      <c r="H98" s="13" t="str">
        <f>_xll.BDH("ALNY US Equity","ARDR_STOCK_BASED_COMP_OTHER","FQ1 2020","FQ1 2020","Currency=USD","Period=FQ","BEST_FPERIOD_OVERRIDE=FQ","FILING_STATUS=MR","SCALING_FORMAT=MLN","Sort=A","Dates=H","DateFormat=P","Fill=—","Direction=H","UseDPDF=Y")</f>
        <v>—</v>
      </c>
      <c r="I98" s="13" t="str">
        <f>_xll.BDH("ALNY US Equity","ARDR_STOCK_BASED_COMP_OTHER","FQ2 2020","FQ2 2020","Currency=USD","Period=FQ","BEST_FPERIOD_OVERRIDE=FQ","FILING_STATUS=MR","SCALING_FORMAT=MLN","Sort=A","Dates=H","DateFormat=P","Fill=—","Direction=H","UseDPDF=Y")</f>
        <v>—</v>
      </c>
      <c r="J98" s="13" t="str">
        <f>_xll.BDH("ALNY US Equity","ARDR_STOCK_BASED_COMP_OTHER","FQ3 2020","FQ3 2020","Currency=USD","Period=FQ","BEST_FPERIOD_OVERRIDE=FQ","FILING_STATUS=MR","SCALING_FORMAT=MLN","Sort=A","Dates=H","DateFormat=P","Fill=—","Direction=H","UseDPDF=Y")</f>
        <v>—</v>
      </c>
      <c r="K98" s="13" t="str">
        <f>_xll.BDH("ALNY US Equity","ARDR_STOCK_BASED_COMP_OTHER","FQ4 2020","FQ4 2020","Currency=USD","Period=FQ","BEST_FPERIOD_OVERRIDE=FQ","FILING_STATUS=MR","SCALING_FORMAT=MLN","Sort=A","Dates=H","DateFormat=P","Fill=—","Direction=H","UseDPDF=Y")</f>
        <v>—</v>
      </c>
      <c r="L98" s="13" t="str">
        <f>_xll.BDH("ALNY US Equity","ARDR_STOCK_BASED_COMP_OTHER","FQ1 2021","FQ1 2021","Currency=USD","Period=FQ","BEST_FPERIOD_OVERRIDE=FQ","FILING_STATUS=MR","SCALING_FORMAT=MLN","Sort=A","Dates=H","DateFormat=P","Fill=—","Direction=H","UseDPDF=Y")</f>
        <v>—</v>
      </c>
      <c r="M98" s="13" t="str">
        <f>_xll.BDH("ALNY US Equity","ARDR_STOCK_BASED_COMP_OTHER","FQ2 2021","FQ2 2021","Currency=USD","Period=FQ","BEST_FPERIOD_OVERRIDE=FQ","FILING_STATUS=MR","SCALING_FORMAT=MLN","Sort=A","Dates=H","DateFormat=P","Fill=—","Direction=H","UseDPDF=Y")</f>
        <v>—</v>
      </c>
      <c r="N98" s="13" t="str">
        <f>_xll.BDH("ALNY US Equity","ARDR_STOCK_BASED_COMP_OTHER","FQ3 2021","FQ3 2021","Currency=USD","Period=FQ","BEST_FPERIOD_OVERRIDE=FQ","FILING_STATUS=MR","SCALING_FORMAT=MLN","Sort=A","Dates=H","DateFormat=P","Fill=—","Direction=H","UseDPDF=Y")</f>
        <v>—</v>
      </c>
      <c r="O98" s="13" t="str">
        <f>_xll.BDH("ALNY US Equity","ARDR_STOCK_BASED_COMP_OTHER","FQ4 2021","FQ4 2021","Currency=USD","Period=FQ","BEST_FPERIOD_OVERRIDE=FQ","FILING_STATUS=MR","SCALING_FORMAT=MLN","Sort=A","Dates=H","DateFormat=P","Fill=—","Direction=H","UseDPDF=Y")</f>
        <v>—</v>
      </c>
      <c r="P98" s="13" t="str">
        <f>_xll.BDH("ALNY US Equity","ARDR_STOCK_BASED_COMP_OTHER","FQ1 2022","FQ1 2022","Currency=USD","Period=FQ","BEST_FPERIOD_OVERRIDE=FQ","FILING_STATUS=MR","SCALING_FORMAT=MLN","Sort=A","Dates=H","DateFormat=P","Fill=—","Direction=H","UseDPDF=Y")</f>
        <v>—</v>
      </c>
      <c r="Q98" s="13" t="str">
        <f>_xll.BDH("ALNY US Equity","ARDR_STOCK_BASED_COMP_OTHER","FQ2 2022","FQ2 2022","Currency=USD","Period=FQ","BEST_FPERIOD_OVERRIDE=FQ","FILING_STATUS=MR","SCALING_FORMAT=MLN","Sort=A","Dates=H","DateFormat=P","Fill=—","Direction=H","UseDPDF=Y")</f>
        <v>—</v>
      </c>
      <c r="R98" s="13" t="str">
        <f>_xll.BDH("ALNY US Equity","ARDR_STOCK_BASED_COMP_OTHER","FQ3 2022","FQ3 2022","Currency=USD","Period=FQ","BEST_FPERIOD_OVERRIDE=FQ","FILING_STATUS=MR","SCALING_FORMAT=MLN","Sort=A","Dates=H","DateFormat=P","Fill=—","Direction=H","UseDPDF=Y")</f>
        <v>—</v>
      </c>
      <c r="S98" s="13" t="str">
        <f>_xll.BDH("ALNY US Equity","ARDR_STOCK_BASED_COMP_OTHER","FQ4 2022","FQ4 2022","Currency=USD","Period=FQ","BEST_FPERIOD_OVERRIDE=FQ","FILING_STATUS=MR","SCALING_FORMAT=MLN","Sort=A","Dates=H","DateFormat=P","Fill=—","Direction=H","UseDPDF=Y")</f>
        <v>—</v>
      </c>
      <c r="T98" s="13" t="str">
        <f>_xll.BDH("ALNY US Equity","ARDR_STOCK_BASED_COMP_OTHER","FQ1 2023","FQ1 2023","Currency=USD","Period=FQ","BEST_FPERIOD_OVERRIDE=FQ","FILING_STATUS=MR","SCALING_FORMAT=MLN","Sort=A","Dates=H","DateFormat=P","Fill=—","Direction=H","UseDPDF=Y")</f>
        <v>—</v>
      </c>
      <c r="U98" s="13" t="str">
        <f>_xll.BDH("ALNY US Equity","ARDR_STOCK_BASED_COMP_OTHER","FQ2 2023","FQ2 2023","Currency=USD","Period=FQ","BEST_FPERIOD_OVERRIDE=FQ","FILING_STATUS=MR","SCALING_FORMAT=MLN","Sort=A","Dates=H","DateFormat=P","Fill=—","Direction=H","UseDPDF=Y")</f>
        <v>—</v>
      </c>
      <c r="V98" s="13" t="str">
        <f>_xll.BDH("ALNY US Equity","ARDR_STOCK_BASED_COMP_OTHER","FQ3 2023","FQ3 2023","Currency=USD","Period=FQ","BEST_FPERIOD_OVERRIDE=FQ","FILING_STATUS=MR","SCALING_FORMAT=MLN","Sort=A","Dates=H","DateFormat=P","Fill=—","Direction=H","UseDPDF=Y")</f>
        <v>—</v>
      </c>
      <c r="W98" s="13" t="str">
        <f>_xll.BDH("ALNY US Equity","ARDR_STOCK_BASED_COMP_OTHER","FQ4 2023","FQ4 2023","Currency=USD","Period=FQ","BEST_FPERIOD_OVERRIDE=FQ","FILING_STATUS=MR","SCALING_FORMAT=MLN","Sort=A","Dates=H","DateFormat=P","Fill=—","Direction=H","UseDPDF=Y")</f>
        <v>—</v>
      </c>
      <c r="X98" s="13">
        <f>_xll.BDH("ALNY US Equity","ARDR_STOCK_BASED_COMP_OTHER","FQ1 2024","FQ1 2024","Currency=USD","Period=FQ","BEST_FPERIOD_OVERRIDE=FQ","FILING_STATUS=MR","SCALING_FORMAT=MLN","Sort=A","Dates=H","DateFormat=P","Fill=—","Direction=H","UseDPDF=Y")</f>
        <v>0.80800000000000005</v>
      </c>
      <c r="Y98" s="13" t="str">
        <f>_xll.BDH("ALNY US Equity","ARDR_STOCK_BASED_COMP_OTHER","FQ2 2024","FQ2 2024","Currency=USD","Period=FQ","BEST_FPERIOD_OVERRIDE=FQ","FILING_STATUS=MR","SCALING_FORMAT=MLN","Sort=A","Dates=H","DateFormat=P","Fill=—","Direction=H","UseDPDF=Y")</f>
        <v>—</v>
      </c>
      <c r="Z98" s="13" t="str">
        <f>_xll.BDH("ALNY US Equity","ARDR_STOCK_BASED_COMP_OTHER","FQ3 2024","FQ3 2024","Currency=USD","Period=FQ","BEST_FPERIOD_OVERRIDE=FQ","FILING_STATUS=MR","SCALING_FORMAT=MLN","Sort=A","Dates=H","DateFormat=P","Fill=—","Direction=H","UseDPDF=Y")</f>
        <v>—</v>
      </c>
      <c r="AA98" s="13" t="str">
        <f>_xll.BDH("ALNY US Equity","ARDR_STOCK_BASED_COMP_OTHER","FQ4 2024","FQ4 2024","Currency=USD","Period=FQ","BEST_FPERIOD_OVERRIDE=FQ","FILING_STATUS=MR","SCALING_FORMAT=MLN","Sort=A","Dates=H","DateFormat=P","Fill=—","Direction=H","UseDPDF=Y")</f>
        <v>—</v>
      </c>
    </row>
    <row r="99" spans="1:27" x14ac:dyDescent="0.25">
      <c r="A99" s="10" t="s">
        <v>560</v>
      </c>
      <c r="B99" s="10" t="s">
        <v>561</v>
      </c>
      <c r="C99" s="13">
        <f>_xll.BDH("ALNY US Equity","ARDR_NON_GAAP_SG&amp;A","FQ4 2018","FQ4 2018","Currency=USD","Period=FQ","BEST_FPERIOD_OVERRIDE=FQ","FILING_STATUS=MR","SCALING_FORMAT=MLN","Sort=A","Dates=H","DateFormat=P","Fill=—","Direction=H","UseDPDF=Y")</f>
        <v>93.686999999999998</v>
      </c>
      <c r="D99" s="13">
        <f>_xll.BDH("ALNY US Equity","ARDR_NON_GAAP_SG&amp;A","FQ1 2019","FQ1 2019","Currency=USD","Period=FQ","BEST_FPERIOD_OVERRIDE=FQ","FILING_STATUS=MR","SCALING_FORMAT=MLN","Sort=A","Dates=H","DateFormat=P","Fill=—","Direction=H","UseDPDF=Y")</f>
        <v>73.700999999999993</v>
      </c>
      <c r="E99" s="13">
        <f>_xll.BDH("ALNY US Equity","ARDR_NON_GAAP_SG&amp;A","FQ2 2019","FQ2 2019","Currency=USD","Period=FQ","BEST_FPERIOD_OVERRIDE=FQ","FILING_STATUS=MR","SCALING_FORMAT=MLN","Sort=A","Dates=H","DateFormat=P","Fill=—","Direction=H","UseDPDF=Y")</f>
        <v>97.447999999999993</v>
      </c>
      <c r="F99" s="13">
        <f>_xll.BDH("ALNY US Equity","ARDR_NON_GAAP_SG&amp;A","FQ3 2019","FQ3 2019","Currency=USD","Period=FQ","BEST_FPERIOD_OVERRIDE=FQ","FILING_STATUS=MR","SCALING_FORMAT=MLN","Sort=A","Dates=H","DateFormat=P","Fill=—","Direction=H","UseDPDF=Y")</f>
        <v>97.078999999999994</v>
      </c>
      <c r="G99" s="13">
        <f>_xll.BDH("ALNY US Equity","ARDR_NON_GAAP_SG&amp;A","FQ4 2019","FQ4 2019","Currency=USD","Period=FQ","BEST_FPERIOD_OVERRIDE=FQ","FILING_STATUS=MR","SCALING_FORMAT=MLN","Sort=A","Dates=H","DateFormat=P","Fill=—","Direction=H","UseDPDF=Y")</f>
        <v>124.866</v>
      </c>
      <c r="H99" s="13">
        <f>_xll.BDH("ALNY US Equity","ARDR_NON_GAAP_SG&amp;A","FQ1 2020","FQ1 2020","Currency=USD","Period=FQ","BEST_FPERIOD_OVERRIDE=FQ","FILING_STATUS=MR","SCALING_FORMAT=MLN","Sort=A","Dates=H","DateFormat=P","Fill=—","Direction=H","UseDPDF=Y")</f>
        <v>153.52199999999999</v>
      </c>
      <c r="I99" s="13">
        <f>_xll.BDH("ALNY US Equity","ARDR_NON_GAAP_SG&amp;A","FQ2 2020","FQ2 2020","Currency=USD","Period=FQ","BEST_FPERIOD_OVERRIDE=FQ","FILING_STATUS=MR","SCALING_FORMAT=MLN","Sort=A","Dates=H","DateFormat=P","Fill=—","Direction=H","UseDPDF=Y")</f>
        <v>109.611</v>
      </c>
      <c r="J99" s="13">
        <f>_xll.BDH("ALNY US Equity","ARDR_NON_GAAP_SG&amp;A","FQ3 2020","FQ3 2020","Currency=USD","Period=FQ","BEST_FPERIOD_OVERRIDE=FQ","FILING_STATUS=MR","SCALING_FORMAT=MLN","Sort=A","Dates=H","DateFormat=P","Fill=—","Direction=H","UseDPDF=Y")</f>
        <v>114.498</v>
      </c>
      <c r="K99" s="13">
        <f>_xll.BDH("ALNY US Equity","ARDR_NON_GAAP_SG&amp;A","FQ4 2020","FQ4 2020","Currency=USD","Period=FQ","BEST_FPERIOD_OVERRIDE=FQ","FILING_STATUS=MR","SCALING_FORMAT=MLN","Sort=A","Dates=H","DateFormat=P","Fill=—","Direction=H","UseDPDF=Y")</f>
        <v>136.721</v>
      </c>
      <c r="L99" s="13">
        <f>_xll.BDH("ALNY US Equity","ARDR_NON_GAAP_SG&amp;A","FQ1 2021","FQ1 2021","Currency=USD","Period=FQ","BEST_FPERIOD_OVERRIDE=FQ","FILING_STATUS=MR","SCALING_FORMAT=MLN","Sort=A","Dates=H","DateFormat=P","Fill=—","Direction=H","UseDPDF=Y")</f>
        <v>115.544</v>
      </c>
      <c r="M99" s="13">
        <f>_xll.BDH("ALNY US Equity","ARDR_NON_GAAP_SG&amp;A","FQ2 2021","FQ2 2021","Currency=USD","Period=FQ","BEST_FPERIOD_OVERRIDE=FQ","FILING_STATUS=MR","SCALING_FORMAT=MLN","Sort=A","Dates=H","DateFormat=P","Fill=—","Direction=H","UseDPDF=Y")</f>
        <v>126.331</v>
      </c>
      <c r="N99" s="13">
        <f>_xll.BDH("ALNY US Equity","ARDR_NON_GAAP_SG&amp;A","FQ3 2021","FQ3 2021","Currency=USD","Period=FQ","BEST_FPERIOD_OVERRIDE=FQ","FILING_STATUS=MR","SCALING_FORMAT=MLN","Sort=A","Dates=H","DateFormat=P","Fill=—","Direction=H","UseDPDF=Y")</f>
        <v>121.125</v>
      </c>
      <c r="O99" s="13">
        <f>_xll.BDH("ALNY US Equity","ARDR_NON_GAAP_SG&amp;A","FQ4 2021","FQ4 2021","Currency=USD","Period=FQ","BEST_FPERIOD_OVERRIDE=FQ","FILING_STATUS=MR","SCALING_FORMAT=MLN","Sort=A","Dates=H","DateFormat=P","Fill=—","Direction=H","UseDPDF=Y")</f>
        <v>160.33699999999999</v>
      </c>
      <c r="P99" s="13">
        <f>_xll.BDH("ALNY US Equity","ARDR_NON_GAAP_SG&amp;A","FQ1 2022","FQ1 2022","Currency=USD","Period=FQ","BEST_FPERIOD_OVERRIDE=FQ","FILING_STATUS=MR","SCALING_FORMAT=MLN","Sort=A","Dates=H","DateFormat=P","Fill=—","Direction=H","UseDPDF=Y")</f>
        <v>136.79499999999999</v>
      </c>
      <c r="Q99" s="13">
        <f>_xll.BDH("ALNY US Equity","ARDR_NON_GAAP_SG&amp;A","FQ2 2022","FQ2 2022","Currency=USD","Period=FQ","BEST_FPERIOD_OVERRIDE=FQ","FILING_STATUS=MR","SCALING_FORMAT=MLN","Sort=A","Dates=H","DateFormat=P","Fill=—","Direction=H","UseDPDF=Y")</f>
        <v>150.15100000000001</v>
      </c>
      <c r="R99" s="13">
        <f>_xll.BDH("ALNY US Equity","ARDR_NON_GAAP_SG&amp;A","FQ3 2022","FQ3 2022","Currency=USD","Period=FQ","BEST_FPERIOD_OVERRIDE=FQ","FILING_STATUS=MR","SCALING_FORMAT=MLN","Sort=A","Dates=H","DateFormat=P","Fill=—","Direction=H","UseDPDF=Y")</f>
        <v>160.703</v>
      </c>
      <c r="S99" s="13">
        <f>_xll.BDH("ALNY US Equity","ARDR_NON_GAAP_SG&amp;A","FQ4 2022","FQ4 2022","Currency=USD","Period=FQ","BEST_FPERIOD_OVERRIDE=FQ","FILING_STATUS=MR","SCALING_FORMAT=MLN","Sort=A","Dates=H","DateFormat=P","Fill=—","Direction=H","UseDPDF=Y")</f>
        <v>184.52099999999999</v>
      </c>
      <c r="T99" s="13">
        <f>_xll.BDH("ALNY US Equity","ARDR_NON_GAAP_SG&amp;A","FQ1 2023","FQ1 2023","Currency=USD","Period=FQ","BEST_FPERIOD_OVERRIDE=FQ","FILING_STATUS=MR","SCALING_FORMAT=MLN","Sort=A","Dates=H","DateFormat=P","Fill=—","Direction=H","UseDPDF=Y")</f>
        <v>159.94399999999999</v>
      </c>
      <c r="U99" s="13">
        <f>_xll.BDH("ALNY US Equity","ARDR_NON_GAAP_SG&amp;A","FQ2 2023","FQ2 2023","Currency=USD","Period=FQ","BEST_FPERIOD_OVERRIDE=FQ","FILING_STATUS=MR","SCALING_FORMAT=MLN","Sort=A","Dates=H","DateFormat=P","Fill=—","Direction=H","UseDPDF=Y")</f>
        <v>171.68799999999999</v>
      </c>
      <c r="V99" s="13">
        <f>_xll.BDH("ALNY US Equity","ARDR_NON_GAAP_SG&amp;A","FQ3 2023","FQ3 2023","Currency=USD","Period=FQ","BEST_FPERIOD_OVERRIDE=FQ","FILING_STATUS=MR","SCALING_FORMAT=MLN","Sort=A","Dates=H","DateFormat=P","Fill=—","Direction=H","UseDPDF=Y")</f>
        <v>164.393</v>
      </c>
      <c r="W99" s="13">
        <f>_xll.BDH("ALNY US Equity","ARDR_NON_GAAP_SG&amp;A","FQ4 2023","FQ4 2023","Currency=USD","Period=FQ","BEST_FPERIOD_OVERRIDE=FQ","FILING_STATUS=MR","SCALING_FORMAT=MLN","Sort=A","Dates=H","DateFormat=P","Fill=—","Direction=H","UseDPDF=Y")</f>
        <v>175.214</v>
      </c>
      <c r="X99" s="13">
        <f>_xll.BDH("ALNY US Equity","ARDR_NON_GAAP_SG&amp;A","FQ1 2024","FQ1 2024","Currency=USD","Period=FQ","BEST_FPERIOD_OVERRIDE=FQ","FILING_STATUS=MR","SCALING_FORMAT=MLN","Sort=A","Dates=H","DateFormat=P","Fill=—","Direction=H","UseDPDF=Y")</f>
        <v>184.66499999999999</v>
      </c>
      <c r="Y99" s="13">
        <f>_xll.BDH("ALNY US Equity","ARDR_NON_GAAP_SG&amp;A","FQ2 2024","FQ2 2024","Currency=USD","Period=FQ","BEST_FPERIOD_OVERRIDE=FQ","FILING_STATUS=MR","SCALING_FORMAT=MLN","Sort=A","Dates=H","DateFormat=P","Fill=—","Direction=H","UseDPDF=Y")</f>
        <v>207.22399999999999</v>
      </c>
      <c r="Z99" s="13">
        <f>_xll.BDH("ALNY US Equity","ARDR_NON_GAAP_SG&amp;A","FQ3 2024","FQ3 2024","Currency=USD","Period=FQ","BEST_FPERIOD_OVERRIDE=FQ","FILING_STATUS=MR","SCALING_FORMAT=MLN","Sort=A","Dates=H","DateFormat=P","Fill=—","Direction=H","UseDPDF=Y")</f>
        <v>194.983</v>
      </c>
      <c r="AA99" s="13">
        <f>_xll.BDH("ALNY US Equity","ARDR_NON_GAAP_SG&amp;A","FQ4 2024","FQ4 2024","Currency=USD","Period=FQ","BEST_FPERIOD_OVERRIDE=FQ","FILING_STATUS=MR","SCALING_FORMAT=MLN","Sort=A","Dates=H","DateFormat=P","Fill=—","Direction=H","UseDPDF=Y")</f>
        <v>244.31899999999999</v>
      </c>
    </row>
    <row r="100" spans="1:27" x14ac:dyDescent="0.25">
      <c r="A100" s="10" t="s">
        <v>562</v>
      </c>
      <c r="B100" s="10" t="s">
        <v>563</v>
      </c>
      <c r="C100" s="13">
        <f>_xll.BDH("ALNY US Equity","ARDR_NON_GAAP_R&amp;D","FQ4 2018","FQ4 2018","Currency=USD","Period=FQ","BEST_FPERIOD_OVERRIDE=FQ","FILING_STATUS=MR","SCALING_FORMAT=MLN","Sort=A","Dates=H","DateFormat=P","Fill=—","Direction=H","UseDPDF=Y")</f>
        <v>118.06399999999999</v>
      </c>
      <c r="D100" s="13">
        <f>_xll.BDH("ALNY US Equity","ARDR_NON_GAAP_R&amp;D","FQ1 2019","FQ1 2019","Currency=USD","Period=FQ","BEST_FPERIOD_OVERRIDE=FQ","FILING_STATUS=MR","SCALING_FORMAT=MLN","Sort=A","Dates=H","DateFormat=P","Fill=—","Direction=H","UseDPDF=Y")</f>
        <v>113.002</v>
      </c>
      <c r="E100" s="13">
        <f>_xll.BDH("ALNY US Equity","ARDR_NON_GAAP_R&amp;D","FQ2 2019","FQ2 2019","Currency=USD","Period=FQ","BEST_FPERIOD_OVERRIDE=FQ","FILING_STATUS=MR","SCALING_FORMAT=MLN","Sort=A","Dates=H","DateFormat=P","Fill=—","Direction=H","UseDPDF=Y")</f>
        <v>148.608</v>
      </c>
      <c r="F100" s="13">
        <f>_xll.BDH("ALNY US Equity","ARDR_NON_GAAP_R&amp;D","FQ3 2019","FQ3 2019","Currency=USD","Period=FQ","BEST_FPERIOD_OVERRIDE=FQ","FILING_STATUS=MR","SCALING_FORMAT=MLN","Sort=A","Dates=H","DateFormat=P","Fill=—","Direction=H","UseDPDF=Y")</f>
        <v>138.059</v>
      </c>
      <c r="G100" s="13">
        <f>_xll.BDH("ALNY US Equity","ARDR_NON_GAAP_R&amp;D","FQ4 2019","FQ4 2019","Currency=USD","Period=FQ","BEST_FPERIOD_OVERRIDE=FQ","FILING_STATUS=MR","SCALING_FORMAT=MLN","Sort=A","Dates=H","DateFormat=P","Fill=—","Direction=H","UseDPDF=Y")</f>
        <v>166.51499999999999</v>
      </c>
      <c r="H100" s="13">
        <f>_xll.BDH("ALNY US Equity","ARDR_NON_GAAP_R&amp;D","FQ1 2020","FQ1 2020","Currency=USD","Period=FQ","BEST_FPERIOD_OVERRIDE=FQ","FILING_STATUS=MR","SCALING_FORMAT=MLN","Sort=A","Dates=H","DateFormat=P","Fill=—","Direction=H","UseDPDF=Y")</f>
        <v>108.232</v>
      </c>
      <c r="I100" s="13">
        <f>_xll.BDH("ALNY US Equity","ARDR_NON_GAAP_R&amp;D","FQ2 2020","FQ2 2020","Currency=USD","Period=FQ","BEST_FPERIOD_OVERRIDE=FQ","FILING_STATUS=MR","SCALING_FORMAT=MLN","Sort=A","Dates=H","DateFormat=P","Fill=—","Direction=H","UseDPDF=Y")</f>
        <v>139.20599999999999</v>
      </c>
      <c r="J100" s="13">
        <f>_xll.BDH("ALNY US Equity","ARDR_NON_GAAP_R&amp;D","FQ3 2020","FQ3 2020","Currency=USD","Period=FQ","BEST_FPERIOD_OVERRIDE=FQ","FILING_STATUS=MR","SCALING_FORMAT=MLN","Sort=A","Dates=H","DateFormat=P","Fill=—","Direction=H","UseDPDF=Y")</f>
        <v>148.08000000000001</v>
      </c>
      <c r="K100" s="13">
        <f>_xll.BDH("ALNY US Equity","ARDR_NON_GAAP_R&amp;D","FQ4 2020","FQ4 2020","Currency=USD","Period=FQ","BEST_FPERIOD_OVERRIDE=FQ","FILING_STATUS=MR","SCALING_FORMAT=MLN","Sort=A","Dates=H","DateFormat=P","Fill=—","Direction=H","UseDPDF=Y")</f>
        <v>153.547</v>
      </c>
      <c r="L100" s="13">
        <f>_xll.BDH("ALNY US Equity","ARDR_NON_GAAP_R&amp;D","FQ1 2021","FQ1 2021","Currency=USD","Period=FQ","BEST_FPERIOD_OVERRIDE=FQ","FILING_STATUS=MR","SCALING_FORMAT=MLN","Sort=A","Dates=H","DateFormat=P","Fill=—","Direction=H","UseDPDF=Y")</f>
        <v>161.524</v>
      </c>
      <c r="M100" s="13">
        <f>_xll.BDH("ALNY US Equity","ARDR_NON_GAAP_R&amp;D","FQ2 2021","FQ2 2021","Currency=USD","Period=FQ","BEST_FPERIOD_OVERRIDE=FQ","FILING_STATUS=MR","SCALING_FORMAT=MLN","Sort=A","Dates=H","DateFormat=P","Fill=—","Direction=H","UseDPDF=Y")</f>
        <v>169.54900000000001</v>
      </c>
      <c r="N100" s="13">
        <f>_xll.BDH("ALNY US Equity","ARDR_NON_GAAP_R&amp;D","FQ3 2021","FQ3 2021","Currency=USD","Period=FQ","BEST_FPERIOD_OVERRIDE=FQ","FILING_STATUS=MR","SCALING_FORMAT=MLN","Sort=A","Dates=H","DateFormat=P","Fill=—","Direction=H","UseDPDF=Y")</f>
        <v>172.155</v>
      </c>
      <c r="O100" s="13">
        <f>_xll.BDH("ALNY US Equity","ARDR_NON_GAAP_R&amp;D","FQ4 2021","FQ4 2021","Currency=USD","Period=FQ","BEST_FPERIOD_OVERRIDE=FQ","FILING_STATUS=MR","SCALING_FORMAT=MLN","Sort=A","Dates=H","DateFormat=P","Fill=—","Direction=H","UseDPDF=Y")</f>
        <v>205.21799999999999</v>
      </c>
      <c r="P100" s="13">
        <f>_xll.BDH("ALNY US Equity","ARDR_NON_GAAP_R&amp;D","FQ1 2022","FQ1 2022","Currency=USD","Period=FQ","BEST_FPERIOD_OVERRIDE=FQ","FILING_STATUS=MR","SCALING_FORMAT=MLN","Sort=A","Dates=H","DateFormat=P","Fill=—","Direction=H","UseDPDF=Y")</f>
        <v>158.27600000000001</v>
      </c>
      <c r="Q100" s="13">
        <f>_xll.BDH("ALNY US Equity","ARDR_NON_GAAP_R&amp;D","FQ2 2022","FQ2 2022","Currency=USD","Period=FQ","BEST_FPERIOD_OVERRIDE=FQ","FILING_STATUS=MR","SCALING_FORMAT=MLN","Sort=A","Dates=H","DateFormat=P","Fill=—","Direction=H","UseDPDF=Y")</f>
        <v>195.07400000000001</v>
      </c>
      <c r="R100" s="13">
        <f>_xll.BDH("ALNY US Equity","ARDR_NON_GAAP_R&amp;D","FQ3 2022","FQ3 2022","Currency=USD","Period=FQ","BEST_FPERIOD_OVERRIDE=FQ","FILING_STATUS=MR","SCALING_FORMAT=MLN","Sort=A","Dates=H","DateFormat=P","Fill=—","Direction=H","UseDPDF=Y")</f>
        <v>192.40899999999999</v>
      </c>
      <c r="S100" s="13">
        <f>_xll.BDH("ALNY US Equity","ARDR_NON_GAAP_R&amp;D","FQ4 2022","FQ4 2022","Currency=USD","Period=FQ","BEST_FPERIOD_OVERRIDE=FQ","FILING_STATUS=MR","SCALING_FORMAT=MLN","Sort=A","Dates=H","DateFormat=P","Fill=—","Direction=H","UseDPDF=Y")</f>
        <v>245.095</v>
      </c>
      <c r="T100" s="13">
        <f>_xll.BDH("ALNY US Equity","ARDR_NON_GAAP_R&amp;D","FQ1 2023","FQ1 2023","Currency=USD","Period=FQ","BEST_FPERIOD_OVERRIDE=FQ","FILING_STATUS=MR","SCALING_FORMAT=MLN","Sort=A","Dates=H","DateFormat=P","Fill=—","Direction=H","UseDPDF=Y")</f>
        <v>214.33699999999999</v>
      </c>
      <c r="U100" s="13">
        <f>_xll.BDH("ALNY US Equity","ARDR_NON_GAAP_R&amp;D","FQ2 2023","FQ2 2023","Currency=USD","Period=FQ","BEST_FPERIOD_OVERRIDE=FQ","FILING_STATUS=MR","SCALING_FORMAT=MLN","Sort=A","Dates=H","DateFormat=P","Fill=—","Direction=H","UseDPDF=Y")</f>
        <v>215.72499999999999</v>
      </c>
      <c r="V100" s="13">
        <f>_xll.BDH("ALNY US Equity","ARDR_NON_GAAP_R&amp;D","FQ3 2023","FQ3 2023","Currency=USD","Period=FQ","BEST_FPERIOD_OVERRIDE=FQ","FILING_STATUS=MR","SCALING_FORMAT=MLN","Sort=A","Dates=H","DateFormat=P","Fill=—","Direction=H","UseDPDF=Y")</f>
        <v>224.024</v>
      </c>
      <c r="W100" s="13">
        <f>_xll.BDH("ALNY US Equity","ARDR_NON_GAAP_R&amp;D","FQ4 2023","FQ4 2023","Currency=USD","Period=FQ","BEST_FPERIOD_OVERRIDE=FQ","FILING_STATUS=MR","SCALING_FORMAT=MLN","Sort=A","Dates=H","DateFormat=P","Fill=—","Direction=H","UseDPDF=Y")</f>
        <v>253.05600000000001</v>
      </c>
      <c r="X100" s="13">
        <f>_xll.BDH("ALNY US Equity","ARDR_NON_GAAP_R&amp;D","FQ1 2024","FQ1 2024","Currency=USD","Period=FQ","BEST_FPERIOD_OVERRIDE=FQ","FILING_STATUS=MR","SCALING_FORMAT=MLN","Sort=A","Dates=H","DateFormat=P","Fill=—","Direction=H","UseDPDF=Y")</f>
        <v>241.78</v>
      </c>
      <c r="Y100" s="13">
        <f>_xll.BDH("ALNY US Equity","ARDR_NON_GAAP_R&amp;D","FQ2 2024","FQ2 2024","Currency=USD","Period=FQ","BEST_FPERIOD_OVERRIDE=FQ","FILING_STATUS=MR","SCALING_FORMAT=MLN","Sort=A","Dates=H","DateFormat=P","Fill=—","Direction=H","UseDPDF=Y")</f>
        <v>246.02699999999999</v>
      </c>
      <c r="Z100" s="13">
        <f>_xll.BDH("ALNY US Equity","ARDR_NON_GAAP_R&amp;D","FQ3 2024","FQ3 2024","Currency=USD","Period=FQ","BEST_FPERIOD_OVERRIDE=FQ","FILING_STATUS=MR","SCALING_FORMAT=MLN","Sort=A","Dates=H","DateFormat=P","Fill=—","Direction=H","UseDPDF=Y")</f>
        <v>251.13200000000001</v>
      </c>
      <c r="AA100" s="13">
        <f>_xll.BDH("ALNY US Equity","ARDR_NON_GAAP_R&amp;D","FQ4 2024","FQ4 2024","Currency=USD","Period=FQ","BEST_FPERIOD_OVERRIDE=FQ","FILING_STATUS=MR","SCALING_FORMAT=MLN","Sort=A","Dates=H","DateFormat=P","Fill=—","Direction=H","UseDPDF=Y")</f>
        <v>259.54399999999998</v>
      </c>
    </row>
    <row r="101" spans="1:27" x14ac:dyDescent="0.25">
      <c r="A101" s="10" t="s">
        <v>564</v>
      </c>
      <c r="B101" s="10" t="s">
        <v>565</v>
      </c>
      <c r="C101" s="13">
        <f>_xll.BDH("ALNY US Equity","ARDR_NON_GAAP_OPERATING_EXPENSES","FQ4 2018","FQ4 2018","Currency=USD","Period=FQ","BEST_FPERIOD_OVERRIDE=FQ","FILING_STATUS=MR","SCALING_FORMAT=MLN","Sort=A","Dates=H","DateFormat=P","Fill=—","Direction=H","UseDPDF=Y")</f>
        <v>213.416</v>
      </c>
      <c r="D101" s="13">
        <f>_xll.BDH("ALNY US Equity","ARDR_NON_GAAP_OPERATING_EXPENSES","FQ1 2019","FQ1 2019","Currency=USD","Period=FQ","BEST_FPERIOD_OVERRIDE=FQ","FILING_STATUS=MR","SCALING_FORMAT=MLN","Sort=A","Dates=H","DateFormat=P","Fill=—","Direction=H","UseDPDF=Y")</f>
        <v>190.05</v>
      </c>
      <c r="E101" s="13">
        <f>_xll.BDH("ALNY US Equity","ARDR_NON_GAAP_OPERATING_EXPENSES","FQ2 2019","FQ2 2019","Currency=USD","Period=FQ","BEST_FPERIOD_OVERRIDE=FQ","FILING_STATUS=MR","SCALING_FORMAT=MLN","Sort=A","Dates=H","DateFormat=P","Fill=—","Direction=H","UseDPDF=Y")</f>
        <v>250.38200000000001</v>
      </c>
      <c r="F101" s="13">
        <f>_xll.BDH("ALNY US Equity","ARDR_NON_GAAP_OPERATING_EXPENSES","FQ3 2019","FQ3 2019","Currency=USD","Period=FQ","BEST_FPERIOD_OVERRIDE=FQ","FILING_STATUS=MR","SCALING_FORMAT=MLN","Sort=A","Dates=H","DateFormat=P","Fill=—","Direction=H","UseDPDF=Y")</f>
        <v>240.351</v>
      </c>
      <c r="G101" s="13">
        <f>_xll.BDH("ALNY US Equity","ARDR_NON_GAAP_OPERATING_EXPENSES","FQ4 2019","FQ4 2019","Currency=USD","Period=FQ","BEST_FPERIOD_OVERRIDE=FQ","FILING_STATUS=MR","SCALING_FORMAT=MLN","Sort=A","Dates=H","DateFormat=P","Fill=—","Direction=H","UseDPDF=Y")</f>
        <v>303.55700000000002</v>
      </c>
      <c r="H101" s="13">
        <f>_xll.BDH("ALNY US Equity","ARDR_NON_GAAP_OPERATING_EXPENSES","FQ1 2020","FQ1 2020","Currency=USD","Period=FQ","BEST_FPERIOD_OVERRIDE=FQ","FILING_STATUS=MR","SCALING_FORMAT=MLN","Sort=A","Dates=H","DateFormat=P","Fill=—","Direction=H","UseDPDF=Y")</f>
        <v>261.75400000000002</v>
      </c>
      <c r="I101" s="13">
        <f>_xll.BDH("ALNY US Equity","ARDR_NON_GAAP_OPERATING_EXPENSES","FQ2 2020","FQ2 2020","Currency=USD","Period=FQ","BEST_FPERIOD_OVERRIDE=FQ","FILING_STATUS=MR","SCALING_FORMAT=MLN","Sort=A","Dates=H","DateFormat=P","Fill=—","Direction=H","UseDPDF=Y")</f>
        <v>248.81700000000001</v>
      </c>
      <c r="J101" s="13">
        <f>_xll.BDH("ALNY US Equity","ARDR_NON_GAAP_OPERATING_EXPENSES","FQ3 2020","FQ3 2020","Currency=USD","Period=FQ","BEST_FPERIOD_OVERRIDE=FQ","FILING_STATUS=MR","SCALING_FORMAT=MLN","Sort=A","Dates=H","DateFormat=P","Fill=—","Direction=H","UseDPDF=Y")</f>
        <v>262.57799999999997</v>
      </c>
      <c r="K101" s="13">
        <f>_xll.BDH("ALNY US Equity","ARDR_NON_GAAP_OPERATING_EXPENSES","FQ4 2020","FQ4 2020","Currency=USD","Period=FQ","BEST_FPERIOD_OVERRIDE=FQ","FILING_STATUS=MR","SCALING_FORMAT=MLN","Sort=A","Dates=H","DateFormat=P","Fill=—","Direction=H","UseDPDF=Y")</f>
        <v>290.26799999999997</v>
      </c>
      <c r="L101" s="13">
        <f>_xll.BDH("ALNY US Equity","ARDR_NON_GAAP_OPERATING_EXPENSES","FQ1 2021","FQ1 2021","Currency=USD","Period=FQ","BEST_FPERIOD_OVERRIDE=FQ","FILING_STATUS=MR","SCALING_FORMAT=MLN","Sort=A","Dates=H","DateFormat=P","Fill=—","Direction=H","UseDPDF=Y")</f>
        <v>277.06799999999998</v>
      </c>
      <c r="M101" s="13">
        <f>_xll.BDH("ALNY US Equity","ARDR_NON_GAAP_OPERATING_EXPENSES","FQ2 2021","FQ2 2021","Currency=USD","Period=FQ","BEST_FPERIOD_OVERRIDE=FQ","FILING_STATUS=MR","SCALING_FORMAT=MLN","Sort=A","Dates=H","DateFormat=P","Fill=—","Direction=H","UseDPDF=Y")</f>
        <v>295.88</v>
      </c>
      <c r="N101" s="13">
        <f>_xll.BDH("ALNY US Equity","ARDR_NON_GAAP_OPERATING_EXPENSES","FQ3 2021","FQ3 2021","Currency=USD","Period=FQ","BEST_FPERIOD_OVERRIDE=FQ","FILING_STATUS=MR","SCALING_FORMAT=MLN","Sort=A","Dates=H","DateFormat=P","Fill=—","Direction=H","UseDPDF=Y")</f>
        <v>293.27999999999997</v>
      </c>
      <c r="O101" s="13">
        <f>_xll.BDH("ALNY US Equity","ARDR_NON_GAAP_OPERATING_EXPENSES","FQ4 2021","FQ4 2021","Currency=USD","Period=FQ","BEST_FPERIOD_OVERRIDE=FQ","FILING_STATUS=MR","SCALING_FORMAT=MLN","Sort=A","Dates=H","DateFormat=P","Fill=—","Direction=H","UseDPDF=Y")</f>
        <v>365.55500000000001</v>
      </c>
      <c r="P101" s="13">
        <f>_xll.BDH("ALNY US Equity","ARDR_NON_GAAP_OPERATING_EXPENSES","FQ1 2022","FQ1 2022","Currency=USD","Period=FQ","BEST_FPERIOD_OVERRIDE=FQ","FILING_STATUS=MR","SCALING_FORMAT=MLN","Sort=A","Dates=H","DateFormat=P","Fill=—","Direction=H","UseDPDF=Y")</f>
        <v>295.07100000000003</v>
      </c>
      <c r="Q101" s="13">
        <f>_xll.BDH("ALNY US Equity","ARDR_NON_GAAP_OPERATING_EXPENSES","FQ2 2022","FQ2 2022","Currency=USD","Period=FQ","BEST_FPERIOD_OVERRIDE=FQ","FILING_STATUS=MR","SCALING_FORMAT=MLN","Sort=A","Dates=H","DateFormat=P","Fill=—","Direction=H","UseDPDF=Y")</f>
        <v>345.22500000000002</v>
      </c>
      <c r="R101" s="13">
        <f>_xll.BDH("ALNY US Equity","ARDR_NON_GAAP_OPERATING_EXPENSES","FQ3 2022","FQ3 2022","Currency=USD","Period=FQ","BEST_FPERIOD_OVERRIDE=FQ","FILING_STATUS=MR","SCALING_FORMAT=MLN","Sort=A","Dates=H","DateFormat=P","Fill=—","Direction=H","UseDPDF=Y")</f>
        <v>322.33100000000002</v>
      </c>
      <c r="S101" s="13">
        <f>_xll.BDH("ALNY US Equity","ARDR_NON_GAAP_OPERATING_EXPENSES","FQ4 2022","FQ4 2022","Currency=USD","Period=FQ","BEST_FPERIOD_OVERRIDE=FQ","FILING_STATUS=MR","SCALING_FORMAT=MLN","Sort=A","Dates=H","DateFormat=P","Fill=—","Direction=H","UseDPDF=Y")</f>
        <v>429.61599999999999</v>
      </c>
      <c r="T101" s="13">
        <f>_xll.BDH("ALNY US Equity","ARDR_NON_GAAP_OPERATING_EXPENSES","FQ1 2023","FQ1 2023","Currency=USD","Period=FQ","BEST_FPERIOD_OVERRIDE=FQ","FILING_STATUS=MR","SCALING_FORMAT=MLN","Sort=A","Dates=H","DateFormat=P","Fill=—","Direction=H","UseDPDF=Y")</f>
        <v>374.28100000000001</v>
      </c>
      <c r="U101" s="13">
        <f>_xll.BDH("ALNY US Equity","ARDR_NON_GAAP_OPERATING_EXPENSES","FQ2 2023","FQ2 2023","Currency=USD","Period=FQ","BEST_FPERIOD_OVERRIDE=FQ","FILING_STATUS=MR","SCALING_FORMAT=MLN","Sort=A","Dates=H","DateFormat=P","Fill=—","Direction=H","UseDPDF=Y")</f>
        <v>387.41300000000001</v>
      </c>
      <c r="V101" s="13">
        <f>_xll.BDH("ALNY US Equity","ARDR_NON_GAAP_OPERATING_EXPENSES","FQ3 2023","FQ3 2023","Currency=USD","Period=FQ","BEST_FPERIOD_OVERRIDE=FQ","FILING_STATUS=MR","SCALING_FORMAT=MLN","Sort=A","Dates=H","DateFormat=P","Fill=—","Direction=H","UseDPDF=Y")</f>
        <v>388.41699999999997</v>
      </c>
      <c r="W101" s="13">
        <f>_xll.BDH("ALNY US Equity","ARDR_NON_GAAP_OPERATING_EXPENSES","FQ4 2023","FQ4 2023","Currency=USD","Period=FQ","BEST_FPERIOD_OVERRIDE=FQ","FILING_STATUS=MR","SCALING_FORMAT=MLN","Sort=A","Dates=H","DateFormat=P","Fill=—","Direction=H","UseDPDF=Y")</f>
        <v>428.27</v>
      </c>
      <c r="X101" s="13">
        <f>_xll.BDH("ALNY US Equity","ARDR_NON_GAAP_OPERATING_EXPENSES","FQ1 2024","FQ1 2024","Currency=USD","Period=FQ","BEST_FPERIOD_OVERRIDE=FQ","FILING_STATUS=MR","SCALING_FORMAT=MLN","Sort=A","Dates=H","DateFormat=P","Fill=—","Direction=H","UseDPDF=Y")</f>
        <v>426.44499999999999</v>
      </c>
      <c r="Y101" s="13">
        <f>_xll.BDH("ALNY US Equity","ARDR_NON_GAAP_OPERATING_EXPENSES","FQ2 2024","FQ2 2024","Currency=USD","Period=FQ","BEST_FPERIOD_OVERRIDE=FQ","FILING_STATUS=MR","SCALING_FORMAT=MLN","Sort=A","Dates=H","DateFormat=P","Fill=—","Direction=H","UseDPDF=Y")</f>
        <v>453.25099999999998</v>
      </c>
      <c r="Z101" s="13">
        <f>_xll.BDH("ALNY US Equity","ARDR_NON_GAAP_OPERATING_EXPENSES","FQ3 2024","FQ3 2024","Currency=USD","Period=FQ","BEST_FPERIOD_OVERRIDE=FQ","FILING_STATUS=MR","SCALING_FORMAT=MLN","Sort=A","Dates=H","DateFormat=P","Fill=—","Direction=H","UseDPDF=Y")</f>
        <v>446.11500000000001</v>
      </c>
      <c r="AA101" s="13">
        <f>_xll.BDH("ALNY US Equity","ARDR_NON_GAAP_OPERATING_EXPENSES","FQ4 2024","FQ4 2024","Currency=USD","Period=FQ","BEST_FPERIOD_OVERRIDE=FQ","FILING_STATUS=MR","SCALING_FORMAT=MLN","Sort=A","Dates=H","DateFormat=P","Fill=—","Direction=H","UseDPDF=Y")</f>
        <v>503.863</v>
      </c>
    </row>
    <row r="102" spans="1:27" x14ac:dyDescent="0.25">
      <c r="A102" s="10" t="s">
        <v>566</v>
      </c>
      <c r="B102" s="10" t="s">
        <v>567</v>
      </c>
      <c r="C102" s="13" t="str">
        <f>_xll.BDH("ALNY US Equity","ARDR_SBC_NON_GAAP_SG&amp;A","FQ4 2018","FQ4 2018","Currency=USD","Period=FQ","BEST_FPERIOD_OVERRIDE=FQ","FILING_STATUS=MR","SCALING_FORMAT=MLN","Sort=A","Dates=H","DateFormat=P","Fill=—","Direction=H","UseDPDF=Y")</f>
        <v>—</v>
      </c>
      <c r="D102" s="13">
        <f>_xll.BDH("ALNY US Equity","ARDR_SBC_NON_GAAP_SG&amp;A","FQ1 2019","FQ1 2019","Currency=USD","Period=FQ","BEST_FPERIOD_OVERRIDE=FQ","FILING_STATUS=MR","SCALING_FORMAT=MLN","Sort=A","Dates=H","DateFormat=P","Fill=—","Direction=H","UseDPDF=Y")</f>
        <v>15.907</v>
      </c>
      <c r="E102" s="13">
        <f>_xll.BDH("ALNY US Equity","ARDR_SBC_NON_GAAP_SG&amp;A","FQ2 2019","FQ2 2019","Currency=USD","Period=FQ","BEST_FPERIOD_OVERRIDE=FQ","FILING_STATUS=MR","SCALING_FORMAT=MLN","Sort=A","Dates=H","DateFormat=P","Fill=—","Direction=H","UseDPDF=Y")</f>
        <v>15.321</v>
      </c>
      <c r="F102" s="13">
        <f>_xll.BDH("ALNY US Equity","ARDR_SBC_NON_GAAP_SG&amp;A","FQ3 2019","FQ3 2019","Currency=USD","Period=FQ","BEST_FPERIOD_OVERRIDE=FQ","FILING_STATUS=MR","SCALING_FORMAT=MLN","Sort=A","Dates=H","DateFormat=P","Fill=—","Direction=H","UseDPDF=Y")</f>
        <v>23.271999999999998</v>
      </c>
      <c r="G102" s="13">
        <f>_xll.BDH("ALNY US Equity","ARDR_SBC_NON_GAAP_SG&amp;A","FQ4 2019","FQ4 2019","Currency=USD","Period=FQ","BEST_FPERIOD_OVERRIDE=FQ","FILING_STATUS=MR","SCALING_FORMAT=MLN","Sort=A","Dates=H","DateFormat=P","Fill=—","Direction=H","UseDPDF=Y")</f>
        <v>31.411000000000001</v>
      </c>
      <c r="H102" s="13">
        <f>_xll.BDH("ALNY US Equity","ARDR_SBC_NON_GAAP_SG&amp;A","FQ1 2020","FQ1 2020","Currency=USD","Period=FQ","BEST_FPERIOD_OVERRIDE=FQ","FILING_STATUS=MR","SCALING_FORMAT=MLN","Sort=A","Dates=H","DateFormat=P","Fill=—","Direction=H","UseDPDF=Y")</f>
        <v>18.529</v>
      </c>
      <c r="I102" s="13">
        <f>_xll.BDH("ALNY US Equity","ARDR_SBC_NON_GAAP_SG&amp;A","FQ2 2020","FQ2 2020","Currency=USD","Period=FQ","BEST_FPERIOD_OVERRIDE=FQ","FILING_STATUS=MR","SCALING_FORMAT=MLN","Sort=A","Dates=H","DateFormat=P","Fill=—","Direction=H","UseDPDF=Y")</f>
        <v>17.965</v>
      </c>
      <c r="J102" s="13">
        <f>_xll.BDH("ALNY US Equity","ARDR_SBC_NON_GAAP_SG&amp;A","FQ3 2020","FQ3 2020","Currency=USD","Period=FQ","BEST_FPERIOD_OVERRIDE=FQ","FILING_STATUS=MR","SCALING_FORMAT=MLN","Sort=A","Dates=H","DateFormat=P","Fill=—","Direction=H","UseDPDF=Y")</f>
        <v>23.561</v>
      </c>
      <c r="K102" s="13">
        <f>_xll.BDH("ALNY US Equity","ARDR_SBC_NON_GAAP_SG&amp;A","FQ4 2020","FQ4 2020","Currency=USD","Period=FQ","BEST_FPERIOD_OVERRIDE=FQ","FILING_STATUS=MR","SCALING_FORMAT=MLN","Sort=A","Dates=H","DateFormat=P","Fill=—","Direction=H","UseDPDF=Y")</f>
        <v>19.353999999999999</v>
      </c>
      <c r="L102" s="13">
        <f>_xll.BDH("ALNY US Equity","ARDR_SBC_NON_GAAP_SG&amp;A","FQ1 2021","FQ1 2021","Currency=USD","Period=FQ","BEST_FPERIOD_OVERRIDE=FQ","FILING_STATUS=MR","SCALING_FORMAT=MLN","Sort=A","Dates=H","DateFormat=P","Fill=—","Direction=H","UseDPDF=Y")</f>
        <v>31.315000000000001</v>
      </c>
      <c r="M102" s="13">
        <f>_xll.BDH("ALNY US Equity","ARDR_SBC_NON_GAAP_SG&amp;A","FQ2 2021","FQ2 2021","Currency=USD","Period=FQ","BEST_FPERIOD_OVERRIDE=FQ","FILING_STATUS=MR","SCALING_FORMAT=MLN","Sort=A","Dates=H","DateFormat=P","Fill=—","Direction=H","UseDPDF=Y")</f>
        <v>18.992000000000001</v>
      </c>
      <c r="N102" s="13">
        <f>_xll.BDH("ALNY US Equity","ARDR_SBC_NON_GAAP_SG&amp;A","FQ3 2021","FQ3 2021","Currency=USD","Period=FQ","BEST_FPERIOD_OVERRIDE=FQ","FILING_STATUS=MR","SCALING_FORMAT=MLN","Sort=A","Dates=H","DateFormat=P","Fill=—","Direction=H","UseDPDF=Y")</f>
        <v>20.95</v>
      </c>
      <c r="O102" s="13">
        <f>_xll.BDH("ALNY US Equity","ARDR_SBC_NON_GAAP_SG&amp;A","FQ4 2021","FQ4 2021","Currency=USD","Period=FQ","BEST_FPERIOD_OVERRIDE=FQ","FILING_STATUS=MR","SCALING_FORMAT=MLN","Sort=A","Dates=H","DateFormat=P","Fill=—","Direction=H","UseDPDF=Y")</f>
        <v>26.045000000000002</v>
      </c>
      <c r="P102" s="13">
        <f>_xll.BDH("ALNY US Equity","ARDR_SBC_NON_GAAP_SG&amp;A","FQ1 2022","FQ1 2022","Currency=USD","Period=FQ","BEST_FPERIOD_OVERRIDE=FQ","FILING_STATUS=MR","SCALING_FORMAT=MLN","Sort=A","Dates=H","DateFormat=P","Fill=—","Direction=H","UseDPDF=Y")</f>
        <v>17.675999999999998</v>
      </c>
      <c r="Q102" s="13">
        <f>_xll.BDH("ALNY US Equity","ARDR_SBC_NON_GAAP_SG&amp;A","FQ2 2022","FQ2 2022","Currency=USD","Period=FQ","BEST_FPERIOD_OVERRIDE=FQ","FILING_STATUS=MR","SCALING_FORMAT=MLN","Sort=A","Dates=H","DateFormat=P","Fill=—","Direction=H","UseDPDF=Y")</f>
        <v>19.832999999999998</v>
      </c>
      <c r="R102" s="13">
        <f>_xll.BDH("ALNY US Equity","ARDR_SBC_NON_GAAP_SG&amp;A","FQ3 2022","FQ3 2022","Currency=USD","Period=FQ","BEST_FPERIOD_OVERRIDE=FQ","FILING_STATUS=MR","SCALING_FORMAT=MLN","Sort=A","Dates=H","DateFormat=P","Fill=—","Direction=H","UseDPDF=Y")</f>
        <v>75.156000000000006</v>
      </c>
      <c r="S102" s="13">
        <f>_xll.BDH("ALNY US Equity","ARDR_SBC_NON_GAAP_SG&amp;A","FQ4 2022","FQ4 2022","Currency=USD","Period=FQ","BEST_FPERIOD_OVERRIDE=FQ","FILING_STATUS=MR","SCALING_FORMAT=MLN","Sort=A","Dates=H","DateFormat=P","Fill=—","Direction=H","UseDPDF=Y")</f>
        <v>25.823</v>
      </c>
      <c r="T102" s="13">
        <f>_xll.BDH("ALNY US Equity","ARDR_SBC_NON_GAAP_SG&amp;A","FQ1 2023","FQ1 2023","Currency=USD","Period=FQ","BEST_FPERIOD_OVERRIDE=FQ","FILING_STATUS=MR","SCALING_FORMAT=MLN","Sort=A","Dates=H","DateFormat=P","Fill=—","Direction=H","UseDPDF=Y")</f>
        <v>23.715</v>
      </c>
      <c r="U102" s="13">
        <f>_xll.BDH("ALNY US Equity","ARDR_SBC_NON_GAAP_SG&amp;A","FQ2 2023","FQ2 2023","Currency=USD","Period=FQ","BEST_FPERIOD_OVERRIDE=FQ","FILING_STATUS=MR","SCALING_FORMAT=MLN","Sort=A","Dates=H","DateFormat=P","Fill=—","Direction=H","UseDPDF=Y")</f>
        <v>43.000999999999998</v>
      </c>
      <c r="V102" s="13">
        <f>_xll.BDH("ALNY US Equity","ARDR_SBC_NON_GAAP_SG&amp;A","FQ3 2023","FQ3 2023","Currency=USD","Period=FQ","BEST_FPERIOD_OVERRIDE=FQ","FILING_STATUS=MR","SCALING_FORMAT=MLN","Sort=A","Dates=H","DateFormat=P","Fill=—","Direction=H","UseDPDF=Y")</f>
        <v>34.781999999999996</v>
      </c>
      <c r="W102" s="13">
        <f>_xll.BDH("ALNY US Equity","ARDR_SBC_NON_GAAP_SG&amp;A","FQ4 2023","FQ4 2023","Currency=USD","Period=FQ","BEST_FPERIOD_OVERRIDE=FQ","FILING_STATUS=MR","SCALING_FORMAT=MLN","Sort=A","Dates=H","DateFormat=P","Fill=—","Direction=H","UseDPDF=Y")</f>
        <v>22.05</v>
      </c>
      <c r="X102" s="13">
        <f>_xll.BDH("ALNY US Equity","ARDR_SBC_NON_GAAP_SG&amp;A","FQ1 2024","FQ1 2024","Currency=USD","Period=FQ","BEST_FPERIOD_OVERRIDE=FQ","FILING_STATUS=MR","SCALING_FORMAT=MLN","Sort=A","Dates=H","DateFormat=P","Fill=—","Direction=H","UseDPDF=Y")</f>
        <v>26.132000000000001</v>
      </c>
      <c r="Y102" s="13">
        <f>_xll.BDH("ALNY US Equity","ARDR_SBC_NON_GAAP_SG&amp;A","FQ2 2024","FQ2 2024","Currency=USD","Period=FQ","BEST_FPERIOD_OVERRIDE=FQ","FILING_STATUS=MR","SCALING_FORMAT=MLN","Sort=A","Dates=H","DateFormat=P","Fill=—","Direction=H","UseDPDF=Y")</f>
        <v>41.173000000000002</v>
      </c>
      <c r="Z102" s="13">
        <f>_xll.BDH("ALNY US Equity","ARDR_SBC_NON_GAAP_SG&amp;A","FQ3 2024","FQ3 2024","Currency=USD","Period=FQ","BEST_FPERIOD_OVERRIDE=FQ","FILING_STATUS=MR","SCALING_FORMAT=MLN","Sort=A","Dates=H","DateFormat=P","Fill=—","Direction=H","UseDPDF=Y")</f>
        <v>26.01</v>
      </c>
      <c r="AA102" s="13">
        <f>_xll.BDH("ALNY US Equity","ARDR_SBC_NON_GAAP_SG&amp;A","FQ4 2024","FQ4 2024","Currency=USD","Period=FQ","BEST_FPERIOD_OVERRIDE=FQ","FILING_STATUS=MR","SCALING_FORMAT=MLN","Sort=A","Dates=H","DateFormat=P","Fill=—","Direction=H","UseDPDF=Y")</f>
        <v>51.02</v>
      </c>
    </row>
    <row r="103" spans="1:27" x14ac:dyDescent="0.25">
      <c r="A103" s="10" t="s">
        <v>568</v>
      </c>
      <c r="B103" s="10" t="s">
        <v>569</v>
      </c>
      <c r="C103" s="13">
        <f>_xll.BDH("ALNY US Equity","ARDR_SBC_NON_GAAP_G&amp;A","FQ4 2018","FQ4 2018","Currency=USD","Period=FQ","BEST_FPERIOD_OVERRIDE=FQ","FILING_STATUS=MR","SCALING_FORMAT=MLN","Sort=A","Dates=H","DateFormat=P","Fill=—","Direction=H","UseDPDF=Y")</f>
        <v>15.000999999999999</v>
      </c>
      <c r="D103" s="13" t="str">
        <f>_xll.BDH("ALNY US Equity","ARDR_SBC_NON_GAAP_G&amp;A","FQ1 2019","FQ1 2019","Currency=USD","Period=FQ","BEST_FPERIOD_OVERRIDE=FQ","FILING_STATUS=MR","SCALING_FORMAT=MLN","Sort=A","Dates=H","DateFormat=P","Fill=—","Direction=H","UseDPDF=Y")</f>
        <v>—</v>
      </c>
      <c r="E103" s="13" t="str">
        <f>_xll.BDH("ALNY US Equity","ARDR_SBC_NON_GAAP_G&amp;A","FQ2 2019","FQ2 2019","Currency=USD","Period=FQ","BEST_FPERIOD_OVERRIDE=FQ","FILING_STATUS=MR","SCALING_FORMAT=MLN","Sort=A","Dates=H","DateFormat=P","Fill=—","Direction=H","UseDPDF=Y")</f>
        <v>—</v>
      </c>
      <c r="F103" s="13" t="str">
        <f>_xll.BDH("ALNY US Equity","ARDR_SBC_NON_GAAP_G&amp;A","FQ3 2019","FQ3 2019","Currency=USD","Period=FQ","BEST_FPERIOD_OVERRIDE=FQ","FILING_STATUS=MR","SCALING_FORMAT=MLN","Sort=A","Dates=H","DateFormat=P","Fill=—","Direction=H","UseDPDF=Y")</f>
        <v>—</v>
      </c>
      <c r="G103" s="13" t="str">
        <f>_xll.BDH("ALNY US Equity","ARDR_SBC_NON_GAAP_G&amp;A","FQ4 2019","FQ4 2019","Currency=USD","Period=FQ","BEST_FPERIOD_OVERRIDE=FQ","FILING_STATUS=MR","SCALING_FORMAT=MLN","Sort=A","Dates=H","DateFormat=P","Fill=—","Direction=H","UseDPDF=Y")</f>
        <v>—</v>
      </c>
      <c r="H103" s="13" t="str">
        <f>_xll.BDH("ALNY US Equity","ARDR_SBC_NON_GAAP_G&amp;A","FQ1 2020","FQ1 2020","Currency=USD","Period=FQ","BEST_FPERIOD_OVERRIDE=FQ","FILING_STATUS=MR","SCALING_FORMAT=MLN","Sort=A","Dates=H","DateFormat=P","Fill=—","Direction=H","UseDPDF=Y")</f>
        <v>—</v>
      </c>
      <c r="I103" s="13" t="str">
        <f>_xll.BDH("ALNY US Equity","ARDR_SBC_NON_GAAP_G&amp;A","FQ2 2020","FQ2 2020","Currency=USD","Period=FQ","BEST_FPERIOD_OVERRIDE=FQ","FILING_STATUS=MR","SCALING_FORMAT=MLN","Sort=A","Dates=H","DateFormat=P","Fill=—","Direction=H","UseDPDF=Y")</f>
        <v>—</v>
      </c>
      <c r="J103" s="13" t="str">
        <f>_xll.BDH("ALNY US Equity","ARDR_SBC_NON_GAAP_G&amp;A","FQ3 2020","FQ3 2020","Currency=USD","Period=FQ","BEST_FPERIOD_OVERRIDE=FQ","FILING_STATUS=MR","SCALING_FORMAT=MLN","Sort=A","Dates=H","DateFormat=P","Fill=—","Direction=H","UseDPDF=Y")</f>
        <v>—</v>
      </c>
      <c r="K103" s="13" t="str">
        <f>_xll.BDH("ALNY US Equity","ARDR_SBC_NON_GAAP_G&amp;A","FQ4 2020","FQ4 2020","Currency=USD","Period=FQ","BEST_FPERIOD_OVERRIDE=FQ","FILING_STATUS=MR","SCALING_FORMAT=MLN","Sort=A","Dates=H","DateFormat=P","Fill=—","Direction=H","UseDPDF=Y")</f>
        <v>—</v>
      </c>
      <c r="L103" s="13" t="str">
        <f>_xll.BDH("ALNY US Equity","ARDR_SBC_NON_GAAP_G&amp;A","FQ1 2021","FQ1 2021","Currency=USD","Period=FQ","BEST_FPERIOD_OVERRIDE=FQ","FILING_STATUS=MR","SCALING_FORMAT=MLN","Sort=A","Dates=H","DateFormat=P","Fill=—","Direction=H","UseDPDF=Y")</f>
        <v>—</v>
      </c>
      <c r="M103" s="13" t="str">
        <f>_xll.BDH("ALNY US Equity","ARDR_SBC_NON_GAAP_G&amp;A","FQ2 2021","FQ2 2021","Currency=USD","Period=FQ","BEST_FPERIOD_OVERRIDE=FQ","FILING_STATUS=MR","SCALING_FORMAT=MLN","Sort=A","Dates=H","DateFormat=P","Fill=—","Direction=H","UseDPDF=Y")</f>
        <v>—</v>
      </c>
      <c r="N103" s="13" t="str">
        <f>_xll.BDH("ALNY US Equity","ARDR_SBC_NON_GAAP_G&amp;A","FQ3 2021","FQ3 2021","Currency=USD","Period=FQ","BEST_FPERIOD_OVERRIDE=FQ","FILING_STATUS=MR","SCALING_FORMAT=MLN","Sort=A","Dates=H","DateFormat=P","Fill=—","Direction=H","UseDPDF=Y")</f>
        <v>—</v>
      </c>
      <c r="O103" s="13" t="str">
        <f>_xll.BDH("ALNY US Equity","ARDR_SBC_NON_GAAP_G&amp;A","FQ4 2021","FQ4 2021","Currency=USD","Period=FQ","BEST_FPERIOD_OVERRIDE=FQ","FILING_STATUS=MR","SCALING_FORMAT=MLN","Sort=A","Dates=H","DateFormat=P","Fill=—","Direction=H","UseDPDF=Y")</f>
        <v>—</v>
      </c>
      <c r="P103" s="13" t="str">
        <f>_xll.BDH("ALNY US Equity","ARDR_SBC_NON_GAAP_G&amp;A","FQ1 2022","FQ1 2022","Currency=USD","Period=FQ","BEST_FPERIOD_OVERRIDE=FQ","FILING_STATUS=MR","SCALING_FORMAT=MLN","Sort=A","Dates=H","DateFormat=P","Fill=—","Direction=H","UseDPDF=Y")</f>
        <v>—</v>
      </c>
      <c r="Q103" s="13" t="str">
        <f>_xll.BDH("ALNY US Equity","ARDR_SBC_NON_GAAP_G&amp;A","FQ2 2022","FQ2 2022","Currency=USD","Period=FQ","BEST_FPERIOD_OVERRIDE=FQ","FILING_STATUS=MR","SCALING_FORMAT=MLN","Sort=A","Dates=H","DateFormat=P","Fill=—","Direction=H","UseDPDF=Y")</f>
        <v>—</v>
      </c>
      <c r="R103" s="13" t="str">
        <f>_xll.BDH("ALNY US Equity","ARDR_SBC_NON_GAAP_G&amp;A","FQ3 2022","FQ3 2022","Currency=USD","Period=FQ","BEST_FPERIOD_OVERRIDE=FQ","FILING_STATUS=MR","SCALING_FORMAT=MLN","Sort=A","Dates=H","DateFormat=P","Fill=—","Direction=H","UseDPDF=Y")</f>
        <v>—</v>
      </c>
      <c r="S103" s="13" t="str">
        <f>_xll.BDH("ALNY US Equity","ARDR_SBC_NON_GAAP_G&amp;A","FQ4 2022","FQ4 2022","Currency=USD","Period=FQ","BEST_FPERIOD_OVERRIDE=FQ","FILING_STATUS=MR","SCALING_FORMAT=MLN","Sort=A","Dates=H","DateFormat=P","Fill=—","Direction=H","UseDPDF=Y")</f>
        <v>—</v>
      </c>
      <c r="T103" s="13" t="str">
        <f>_xll.BDH("ALNY US Equity","ARDR_SBC_NON_GAAP_G&amp;A","FQ1 2023","FQ1 2023","Currency=USD","Period=FQ","BEST_FPERIOD_OVERRIDE=FQ","FILING_STATUS=MR","SCALING_FORMAT=MLN","Sort=A","Dates=H","DateFormat=P","Fill=—","Direction=H","UseDPDF=Y")</f>
        <v>—</v>
      </c>
      <c r="U103" s="13" t="str">
        <f>_xll.BDH("ALNY US Equity","ARDR_SBC_NON_GAAP_G&amp;A","FQ2 2023","FQ2 2023","Currency=USD","Period=FQ","BEST_FPERIOD_OVERRIDE=FQ","FILING_STATUS=MR","SCALING_FORMAT=MLN","Sort=A","Dates=H","DateFormat=P","Fill=—","Direction=H","UseDPDF=Y")</f>
        <v>—</v>
      </c>
      <c r="V103" s="13" t="str">
        <f>_xll.BDH("ALNY US Equity","ARDR_SBC_NON_GAAP_G&amp;A","FQ3 2023","FQ3 2023","Currency=USD","Period=FQ","BEST_FPERIOD_OVERRIDE=FQ","FILING_STATUS=MR","SCALING_FORMAT=MLN","Sort=A","Dates=H","DateFormat=P","Fill=—","Direction=H","UseDPDF=Y")</f>
        <v>—</v>
      </c>
      <c r="W103" s="13" t="str">
        <f>_xll.BDH("ALNY US Equity","ARDR_SBC_NON_GAAP_G&amp;A","FQ4 2023","FQ4 2023","Currency=USD","Period=FQ","BEST_FPERIOD_OVERRIDE=FQ","FILING_STATUS=MR","SCALING_FORMAT=MLN","Sort=A","Dates=H","DateFormat=P","Fill=—","Direction=H","UseDPDF=Y")</f>
        <v>—</v>
      </c>
      <c r="X103" s="13" t="str">
        <f>_xll.BDH("ALNY US Equity","ARDR_SBC_NON_GAAP_G&amp;A","FQ1 2024","FQ1 2024","Currency=USD","Period=FQ","BEST_FPERIOD_OVERRIDE=FQ","FILING_STATUS=MR","SCALING_FORMAT=MLN","Sort=A","Dates=H","DateFormat=P","Fill=—","Direction=H","UseDPDF=Y")</f>
        <v>—</v>
      </c>
      <c r="Y103" s="13" t="str">
        <f>_xll.BDH("ALNY US Equity","ARDR_SBC_NON_GAAP_G&amp;A","FQ2 2024","FQ2 2024","Currency=USD","Period=FQ","BEST_FPERIOD_OVERRIDE=FQ","FILING_STATUS=MR","SCALING_FORMAT=MLN","Sort=A","Dates=H","DateFormat=P","Fill=—","Direction=H","UseDPDF=Y")</f>
        <v>—</v>
      </c>
      <c r="Z103" s="13" t="str">
        <f>_xll.BDH("ALNY US Equity","ARDR_SBC_NON_GAAP_G&amp;A","FQ3 2024","FQ3 2024","Currency=USD","Period=FQ","BEST_FPERIOD_OVERRIDE=FQ","FILING_STATUS=MR","SCALING_FORMAT=MLN","Sort=A","Dates=H","DateFormat=P","Fill=—","Direction=H","UseDPDF=Y")</f>
        <v>—</v>
      </c>
      <c r="AA103" s="13" t="str">
        <f>_xll.BDH("ALNY US Equity","ARDR_SBC_NON_GAAP_G&amp;A","FQ4 2024","FQ4 2024","Currency=USD","Period=FQ","BEST_FPERIOD_OVERRIDE=FQ","FILING_STATUS=MR","SCALING_FORMAT=MLN","Sort=A","Dates=H","DateFormat=P","Fill=—","Direction=H","UseDPDF=Y")</f>
        <v>—</v>
      </c>
    </row>
    <row r="104" spans="1:27" x14ac:dyDescent="0.25">
      <c r="A104" s="10" t="s">
        <v>570</v>
      </c>
      <c r="B104" s="10" t="s">
        <v>571</v>
      </c>
      <c r="C104" s="13">
        <f>_xll.BDH("ALNY US Equity","ARDR_SBC_NON_GAAP_R&amp;D","FQ4 2018","FQ4 2018","Currency=USD","Period=FQ","BEST_FPERIOD_OVERRIDE=FQ","FILING_STATUS=MR","SCALING_FORMAT=MLN","Sort=A","Dates=H","DateFormat=P","Fill=—","Direction=H","UseDPDF=Y")</f>
        <v>12.972</v>
      </c>
      <c r="D104" s="13">
        <f>_xll.BDH("ALNY US Equity","ARDR_SBC_NON_GAAP_R&amp;D","FQ1 2019","FQ1 2019","Currency=USD","Period=FQ","BEST_FPERIOD_OVERRIDE=FQ","FILING_STATUS=MR","SCALING_FORMAT=MLN","Sort=A","Dates=H","DateFormat=P","Fill=—","Direction=H","UseDPDF=Y")</f>
        <v>16.125</v>
      </c>
      <c r="E104" s="13">
        <f>_xll.BDH("ALNY US Equity","ARDR_SBC_NON_GAAP_R&amp;D","FQ2 2019","FQ2 2019","Currency=USD","Period=FQ","BEST_FPERIOD_OVERRIDE=FQ","FILING_STATUS=MR","SCALING_FORMAT=MLN","Sort=A","Dates=H","DateFormat=P","Fill=—","Direction=H","UseDPDF=Y")</f>
        <v>15.282</v>
      </c>
      <c r="F104" s="13">
        <f>_xll.BDH("ALNY US Equity","ARDR_SBC_NON_GAAP_R&amp;D","FQ3 2019","FQ3 2019","Currency=USD","Period=FQ","BEST_FPERIOD_OVERRIDE=FQ","FILING_STATUS=MR","SCALING_FORMAT=MLN","Sort=A","Dates=H","DateFormat=P","Fill=—","Direction=H","UseDPDF=Y")</f>
        <v>22.736999999999998</v>
      </c>
      <c r="G104" s="13">
        <f>_xll.BDH("ALNY US Equity","ARDR_SBC_NON_GAAP_R&amp;D","FQ4 2019","FQ4 2019","Currency=USD","Period=FQ","BEST_FPERIOD_OVERRIDE=FQ","FILING_STATUS=MR","SCALING_FORMAT=MLN","Sort=A","Dates=H","DateFormat=P","Fill=—","Direction=H","UseDPDF=Y")</f>
        <v>34.786000000000001</v>
      </c>
      <c r="H104" s="13">
        <f>_xll.BDH("ALNY US Equity","ARDR_SBC_NON_GAAP_R&amp;D","FQ1 2020","FQ1 2020","Currency=USD","Period=FQ","BEST_FPERIOD_OVERRIDE=FQ","FILING_STATUS=MR","SCALING_FORMAT=MLN","Sort=A","Dates=H","DateFormat=P","Fill=—","Direction=H","UseDPDF=Y")</f>
        <v>16.048999999999999</v>
      </c>
      <c r="I104" s="13">
        <f>_xll.BDH("ALNY US Equity","ARDR_SBC_NON_GAAP_R&amp;D","FQ2 2020","FQ2 2020","Currency=USD","Period=FQ","BEST_FPERIOD_OVERRIDE=FQ","FILING_STATUS=MR","SCALING_FORMAT=MLN","Sort=A","Dates=H","DateFormat=P","Fill=—","Direction=H","UseDPDF=Y")</f>
        <v>15.79</v>
      </c>
      <c r="J104" s="13">
        <f>_xll.BDH("ALNY US Equity","ARDR_SBC_NON_GAAP_R&amp;D","FQ3 2020","FQ3 2020","Currency=USD","Period=FQ","BEST_FPERIOD_OVERRIDE=FQ","FILING_STATUS=MR","SCALING_FORMAT=MLN","Sort=A","Dates=H","DateFormat=P","Fill=—","Direction=H","UseDPDF=Y")</f>
        <v>13.702999999999999</v>
      </c>
      <c r="K104" s="13">
        <f>_xll.BDH("ALNY US Equity","ARDR_SBC_NON_GAAP_R&amp;D","FQ4 2020","FQ4 2020","Currency=USD","Period=FQ","BEST_FPERIOD_OVERRIDE=FQ","FILING_STATUS=MR","SCALING_FORMAT=MLN","Sort=A","Dates=H","DateFormat=P","Fill=—","Direction=H","UseDPDF=Y")</f>
        <v>14.922000000000001</v>
      </c>
      <c r="L104" s="13">
        <f>_xll.BDH("ALNY US Equity","ARDR_SBC_NON_GAAP_R&amp;D","FQ1 2021","FQ1 2021","Currency=USD","Period=FQ","BEST_FPERIOD_OVERRIDE=FQ","FILING_STATUS=MR","SCALING_FORMAT=MLN","Sort=A","Dates=H","DateFormat=P","Fill=—","Direction=H","UseDPDF=Y")</f>
        <v>24.375</v>
      </c>
      <c r="M104" s="13">
        <f>_xll.BDH("ALNY US Equity","ARDR_SBC_NON_GAAP_R&amp;D","FQ2 2021","FQ2 2021","Currency=USD","Period=FQ","BEST_FPERIOD_OVERRIDE=FQ","FILING_STATUS=MR","SCALING_FORMAT=MLN","Sort=A","Dates=H","DateFormat=P","Fill=—","Direction=H","UseDPDF=Y")</f>
        <v>13.086</v>
      </c>
      <c r="N104" s="13">
        <f>_xll.BDH("ALNY US Equity","ARDR_SBC_NON_GAAP_R&amp;D","FQ3 2021","FQ3 2021","Currency=USD","Period=FQ","BEST_FPERIOD_OVERRIDE=FQ","FILING_STATUS=MR","SCALING_FORMAT=MLN","Sort=A","Dates=H","DateFormat=P","Fill=—","Direction=H","UseDPDF=Y")</f>
        <v>12.417</v>
      </c>
      <c r="O104" s="13">
        <f>_xll.BDH("ALNY US Equity","ARDR_SBC_NON_GAAP_R&amp;D","FQ4 2021","FQ4 2021","Currency=USD","Period=FQ","BEST_FPERIOD_OVERRIDE=FQ","FILING_STATUS=MR","SCALING_FORMAT=MLN","Sort=A","Dates=H","DateFormat=P","Fill=—","Direction=H","UseDPDF=Y")</f>
        <v>18.536999999999999</v>
      </c>
      <c r="P104" s="13">
        <f>_xll.BDH("ALNY US Equity","ARDR_SBC_NON_GAAP_R&amp;D","FQ1 2022","FQ1 2022","Currency=USD","Period=FQ","BEST_FPERIOD_OVERRIDE=FQ","FILING_STATUS=MR","SCALING_FORMAT=MLN","Sort=A","Dates=H","DateFormat=P","Fill=—","Direction=H","UseDPDF=Y")</f>
        <v>11.617000000000001</v>
      </c>
      <c r="Q104" s="13">
        <f>_xll.BDH("ALNY US Equity","ARDR_SBC_NON_GAAP_R&amp;D","FQ2 2022","FQ2 2022","Currency=USD","Period=FQ","BEST_FPERIOD_OVERRIDE=FQ","FILING_STATUS=MR","SCALING_FORMAT=MLN","Sort=A","Dates=H","DateFormat=P","Fill=—","Direction=H","UseDPDF=Y")</f>
        <v>10.638</v>
      </c>
      <c r="R104" s="13">
        <f>_xll.BDH("ALNY US Equity","ARDR_SBC_NON_GAAP_R&amp;D","FQ3 2022","FQ3 2022","Currency=USD","Period=FQ","BEST_FPERIOD_OVERRIDE=FQ","FILING_STATUS=MR","SCALING_FORMAT=MLN","Sort=A","Dates=H","DateFormat=P","Fill=—","Direction=H","UseDPDF=Y")</f>
        <v>52.962000000000003</v>
      </c>
      <c r="S104" s="13">
        <f>_xll.BDH("ALNY US Equity","ARDR_SBC_NON_GAAP_R&amp;D","FQ4 2022","FQ4 2022","Currency=USD","Period=FQ","BEST_FPERIOD_OVERRIDE=FQ","FILING_STATUS=MR","SCALING_FORMAT=MLN","Sort=A","Dates=H","DateFormat=P","Fill=—","Direction=H","UseDPDF=Y")</f>
        <v>16.943999999999999</v>
      </c>
      <c r="T104" s="13">
        <f>_xll.BDH("ALNY US Equity","ARDR_SBC_NON_GAAP_R&amp;D","FQ1 2023","FQ1 2023","Currency=USD","Period=FQ","BEST_FPERIOD_OVERRIDE=FQ","FILING_STATUS=MR","SCALING_FORMAT=MLN","Sort=A","Dates=H","DateFormat=P","Fill=—","Direction=H","UseDPDF=Y")</f>
        <v>16.231999999999999</v>
      </c>
      <c r="U104" s="13">
        <f>_xll.BDH("ALNY US Equity","ARDR_SBC_NON_GAAP_R&amp;D","FQ2 2023","FQ2 2023","Currency=USD","Period=FQ","BEST_FPERIOD_OVERRIDE=FQ","FILING_STATUS=MR","SCALING_FORMAT=MLN","Sort=A","Dates=H","DateFormat=P","Fill=—","Direction=H","UseDPDF=Y")</f>
        <v>32.801000000000002</v>
      </c>
      <c r="V104" s="13">
        <f>_xll.BDH("ALNY US Equity","ARDR_SBC_NON_GAAP_R&amp;D","FQ3 2023","FQ3 2023","Currency=USD","Period=FQ","BEST_FPERIOD_OVERRIDE=FQ","FILING_STATUS=MR","SCALING_FORMAT=MLN","Sort=A","Dates=H","DateFormat=P","Fill=—","Direction=H","UseDPDF=Y")</f>
        <v>29.155000000000001</v>
      </c>
      <c r="W104" s="13">
        <f>_xll.BDH("ALNY US Equity","ARDR_SBC_NON_GAAP_R&amp;D","FQ4 2023","FQ4 2023","Currency=USD","Period=FQ","BEST_FPERIOD_OVERRIDE=FQ","FILING_STATUS=MR","SCALING_FORMAT=MLN","Sort=A","Dates=H","DateFormat=P","Fill=—","Direction=H","UseDPDF=Y")</f>
        <v>19.085000000000001</v>
      </c>
      <c r="X104" s="13">
        <f>_xll.BDH("ALNY US Equity","ARDR_SBC_NON_GAAP_R&amp;D","FQ1 2024","FQ1 2024","Currency=USD","Period=FQ","BEST_FPERIOD_OVERRIDE=FQ","FILING_STATUS=MR","SCALING_FORMAT=MLN","Sort=A","Dates=H","DateFormat=P","Fill=—","Direction=H","UseDPDF=Y")</f>
        <v>19.215</v>
      </c>
      <c r="Y104" s="13">
        <f>_xll.BDH("ALNY US Equity","ARDR_SBC_NON_GAAP_R&amp;D","FQ2 2024","FQ2 2024","Currency=USD","Period=FQ","BEST_FPERIOD_OVERRIDE=FQ","FILING_STATUS=MR","SCALING_FORMAT=MLN","Sort=A","Dates=H","DateFormat=P","Fill=—","Direction=H","UseDPDF=Y")</f>
        <v>48.115000000000002</v>
      </c>
      <c r="Z104" s="13">
        <f>_xll.BDH("ALNY US Equity","ARDR_SBC_NON_GAAP_R&amp;D","FQ3 2024","FQ3 2024","Currency=USD","Period=FQ","BEST_FPERIOD_OVERRIDE=FQ","FILING_STATUS=MR","SCALING_FORMAT=MLN","Sort=A","Dates=H","DateFormat=P","Fill=—","Direction=H","UseDPDF=Y")</f>
        <v>19.794</v>
      </c>
      <c r="AA104" s="13">
        <f>_xll.BDH("ALNY US Equity","ARDR_SBC_NON_GAAP_R&amp;D","FQ4 2024","FQ4 2024","Currency=USD","Period=FQ","BEST_FPERIOD_OVERRIDE=FQ","FILING_STATUS=MR","SCALING_FORMAT=MLN","Sort=A","Dates=H","DateFormat=P","Fill=—","Direction=H","UseDPDF=Y")</f>
        <v>40.625</v>
      </c>
    </row>
    <row r="105" spans="1:27" x14ac:dyDescent="0.25">
      <c r="A105" s="10" t="s">
        <v>572</v>
      </c>
      <c r="B105" s="10" t="s">
        <v>573</v>
      </c>
      <c r="C105" s="14" t="str">
        <f>_xll.BDH("ALNY US Equity","ARDR_ACQ_REL_CHRG_NON-GAAP_EPS","FQ4 2018","FQ4 2018","Currency=USD","Period=FQ","BEST_FPERIOD_OVERRIDE=FQ","FILING_STATUS=MR","Sort=A","Dates=H","DateFormat=P","Fill=—","Direction=H","UseDPDF=Y")</f>
        <v>—</v>
      </c>
      <c r="D105" s="14" t="str">
        <f>_xll.BDH("ALNY US Equity","ARDR_ACQ_REL_CHRG_NON-GAAP_EPS","FQ1 2019","FQ1 2019","Currency=USD","Period=FQ","BEST_FPERIOD_OVERRIDE=FQ","FILING_STATUS=MR","Sort=A","Dates=H","DateFormat=P","Fill=—","Direction=H","UseDPDF=Y")</f>
        <v>—</v>
      </c>
      <c r="E105" s="14" t="str">
        <f>_xll.BDH("ALNY US Equity","ARDR_ACQ_REL_CHRG_NON-GAAP_EPS","FQ2 2019","FQ2 2019","Currency=USD","Period=FQ","BEST_FPERIOD_OVERRIDE=FQ","FILING_STATUS=MR","Sort=A","Dates=H","DateFormat=P","Fill=—","Direction=H","UseDPDF=Y")</f>
        <v>—</v>
      </c>
      <c r="F105" s="14" t="str">
        <f>_xll.BDH("ALNY US Equity","ARDR_ACQ_REL_CHRG_NON-GAAP_EPS","FQ3 2019","FQ3 2019","Currency=USD","Period=FQ","BEST_FPERIOD_OVERRIDE=FQ","FILING_STATUS=MR","Sort=A","Dates=H","DateFormat=P","Fill=—","Direction=H","UseDPDF=Y")</f>
        <v>—</v>
      </c>
      <c r="G105" s="14" t="str">
        <f>_xll.BDH("ALNY US Equity","ARDR_ACQ_REL_CHRG_NON-GAAP_EPS","FQ4 2019","FQ4 2019","Currency=USD","Period=FQ","BEST_FPERIOD_OVERRIDE=FQ","FILING_STATUS=MR","Sort=A","Dates=H","DateFormat=P","Fill=—","Direction=H","UseDPDF=Y")</f>
        <v>—</v>
      </c>
      <c r="H105" s="14" t="str">
        <f>_xll.BDH("ALNY US Equity","ARDR_ACQ_REL_CHRG_NON-GAAP_EPS","FQ1 2020","FQ1 2020","Currency=USD","Period=FQ","BEST_FPERIOD_OVERRIDE=FQ","FILING_STATUS=MR","Sort=A","Dates=H","DateFormat=P","Fill=—","Direction=H","UseDPDF=Y")</f>
        <v>—</v>
      </c>
      <c r="I105" s="14" t="str">
        <f>_xll.BDH("ALNY US Equity","ARDR_ACQ_REL_CHRG_NON-GAAP_EPS","FQ2 2020","FQ2 2020","Currency=USD","Period=FQ","BEST_FPERIOD_OVERRIDE=FQ","FILING_STATUS=MR","Sort=A","Dates=H","DateFormat=P","Fill=—","Direction=H","UseDPDF=Y")</f>
        <v>—</v>
      </c>
      <c r="J105" s="14">
        <f>_xll.BDH("ALNY US Equity","ARDR_ACQ_REL_CHRG_NON-GAAP_EPS","FQ3 2020","FQ3 2020","Currency=USD","Period=FQ","BEST_FPERIOD_OVERRIDE=FQ","FILING_STATUS=MR","Sort=A","Dates=H","DateFormat=P","Fill=—","Direction=H","UseDPDF=Y")</f>
        <v>0.24</v>
      </c>
      <c r="K105" s="14" t="str">
        <f>_xll.BDH("ALNY US Equity","ARDR_ACQ_REL_CHRG_NON-GAAP_EPS","FQ4 2020","FQ4 2020","Currency=USD","Period=FQ","BEST_FPERIOD_OVERRIDE=FQ","FILING_STATUS=MR","Sort=A","Dates=H","DateFormat=P","Fill=—","Direction=H","UseDPDF=Y")</f>
        <v>—</v>
      </c>
      <c r="L105" s="14" t="str">
        <f>_xll.BDH("ALNY US Equity","ARDR_ACQ_REL_CHRG_NON-GAAP_EPS","FQ1 2021","FQ1 2021","Currency=USD","Period=FQ","BEST_FPERIOD_OVERRIDE=FQ","FILING_STATUS=MR","Sort=A","Dates=H","DateFormat=P","Fill=—","Direction=H","UseDPDF=Y")</f>
        <v>—</v>
      </c>
      <c r="M105" s="14" t="str">
        <f>_xll.BDH("ALNY US Equity","ARDR_ACQ_REL_CHRG_NON-GAAP_EPS","FQ2 2021","FQ2 2021","Currency=USD","Period=FQ","BEST_FPERIOD_OVERRIDE=FQ","FILING_STATUS=MR","Sort=A","Dates=H","DateFormat=P","Fill=—","Direction=H","UseDPDF=Y")</f>
        <v>—</v>
      </c>
      <c r="N105" s="14" t="str">
        <f>_xll.BDH("ALNY US Equity","ARDR_ACQ_REL_CHRG_NON-GAAP_EPS","FQ3 2021","FQ3 2021","Currency=USD","Period=FQ","BEST_FPERIOD_OVERRIDE=FQ","FILING_STATUS=MR","Sort=A","Dates=H","DateFormat=P","Fill=—","Direction=H","UseDPDF=Y")</f>
        <v>—</v>
      </c>
      <c r="O105" s="14">
        <f>_xll.BDH("ALNY US Equity","ARDR_ACQ_REL_CHRG_NON-GAAP_EPS","FQ4 2021","FQ4 2021","Currency=USD","Period=FQ","BEST_FPERIOD_OVERRIDE=FQ","FILING_STATUS=MR","Sort=A","Dates=H","DateFormat=P","Fill=—","Direction=H","UseDPDF=Y")</f>
        <v>0</v>
      </c>
      <c r="P105" s="14" t="str">
        <f>_xll.BDH("ALNY US Equity","ARDR_ACQ_REL_CHRG_NON-GAAP_EPS","FQ1 2022","FQ1 2022","Currency=USD","Period=FQ","BEST_FPERIOD_OVERRIDE=FQ","FILING_STATUS=MR","Sort=A","Dates=H","DateFormat=P","Fill=—","Direction=H","UseDPDF=Y")</f>
        <v>—</v>
      </c>
      <c r="Q105" s="14" t="str">
        <f>_xll.BDH("ALNY US Equity","ARDR_ACQ_REL_CHRG_NON-GAAP_EPS","FQ2 2022","FQ2 2022","Currency=USD","Period=FQ","BEST_FPERIOD_OVERRIDE=FQ","FILING_STATUS=MR","Sort=A","Dates=H","DateFormat=P","Fill=—","Direction=H","UseDPDF=Y")</f>
        <v>—</v>
      </c>
      <c r="R105" s="14" t="str">
        <f>_xll.BDH("ALNY US Equity","ARDR_ACQ_REL_CHRG_NON-GAAP_EPS","FQ3 2022","FQ3 2022","Currency=USD","Period=FQ","BEST_FPERIOD_OVERRIDE=FQ","FILING_STATUS=MR","Sort=A","Dates=H","DateFormat=P","Fill=—","Direction=H","UseDPDF=Y")</f>
        <v>—</v>
      </c>
      <c r="S105" s="14" t="str">
        <f>_xll.BDH("ALNY US Equity","ARDR_ACQ_REL_CHRG_NON-GAAP_EPS","FQ4 2022","FQ4 2022","Currency=USD","Period=FQ","BEST_FPERIOD_OVERRIDE=FQ","FILING_STATUS=MR","Sort=A","Dates=H","DateFormat=P","Fill=—","Direction=H","UseDPDF=Y")</f>
        <v>—</v>
      </c>
      <c r="T105" s="14" t="str">
        <f>_xll.BDH("ALNY US Equity","ARDR_ACQ_REL_CHRG_NON-GAAP_EPS","FQ1 2023","FQ1 2023","Currency=USD","Period=FQ","BEST_FPERIOD_OVERRIDE=FQ","FILING_STATUS=MR","Sort=A","Dates=H","DateFormat=P","Fill=—","Direction=H","UseDPDF=Y")</f>
        <v>—</v>
      </c>
      <c r="U105" s="14" t="str">
        <f>_xll.BDH("ALNY US Equity","ARDR_ACQ_REL_CHRG_NON-GAAP_EPS","FQ2 2023","FQ2 2023","Currency=USD","Period=FQ","BEST_FPERIOD_OVERRIDE=FQ","FILING_STATUS=MR","Sort=A","Dates=H","DateFormat=P","Fill=—","Direction=H","UseDPDF=Y")</f>
        <v>—</v>
      </c>
      <c r="V105" s="14" t="str">
        <f>_xll.BDH("ALNY US Equity","ARDR_ACQ_REL_CHRG_NON-GAAP_EPS","FQ3 2023","FQ3 2023","Currency=USD","Period=FQ","BEST_FPERIOD_OVERRIDE=FQ","FILING_STATUS=MR","Sort=A","Dates=H","DateFormat=P","Fill=—","Direction=H","UseDPDF=Y")</f>
        <v>—</v>
      </c>
      <c r="W105" s="14" t="str">
        <f>_xll.BDH("ALNY US Equity","ARDR_ACQ_REL_CHRG_NON-GAAP_EPS","FQ4 2023","FQ4 2023","Currency=USD","Period=FQ","BEST_FPERIOD_OVERRIDE=FQ","FILING_STATUS=MR","Sort=A","Dates=H","DateFormat=P","Fill=—","Direction=H","UseDPDF=Y")</f>
        <v>—</v>
      </c>
      <c r="X105" s="14" t="str">
        <f>_xll.BDH("ALNY US Equity","ARDR_ACQ_REL_CHRG_NON-GAAP_EPS","FQ1 2024","FQ1 2024","Currency=USD","Period=FQ","BEST_FPERIOD_OVERRIDE=FQ","FILING_STATUS=MR","Sort=A","Dates=H","DateFormat=P","Fill=—","Direction=H","UseDPDF=Y")</f>
        <v>—</v>
      </c>
      <c r="Y105" s="14" t="str">
        <f>_xll.BDH("ALNY US Equity","ARDR_ACQ_REL_CHRG_NON-GAAP_EPS","FQ2 2024","FQ2 2024","Currency=USD","Period=FQ","BEST_FPERIOD_OVERRIDE=FQ","FILING_STATUS=MR","Sort=A","Dates=H","DateFormat=P","Fill=—","Direction=H","UseDPDF=Y")</f>
        <v>—</v>
      </c>
      <c r="Z105" s="14" t="str">
        <f>_xll.BDH("ALNY US Equity","ARDR_ACQ_REL_CHRG_NON-GAAP_EPS","FQ3 2024","FQ3 2024","Currency=USD","Period=FQ","BEST_FPERIOD_OVERRIDE=FQ","FILING_STATUS=MR","Sort=A","Dates=H","DateFormat=P","Fill=—","Direction=H","UseDPDF=Y")</f>
        <v>—</v>
      </c>
      <c r="AA105" s="14" t="str">
        <f>_xll.BDH("ALNY US Equity","ARDR_ACQ_REL_CHRG_NON-GAAP_EPS","FQ4 2024","FQ4 2024","Currency=USD","Period=FQ","BEST_FPERIOD_OVERRIDE=FQ","FILING_STATUS=MR","Sort=A","Dates=H","DateFormat=P","Fill=—","Direction=H","UseDPDF=Y")</f>
        <v>—</v>
      </c>
    </row>
    <row r="106" spans="1:27" x14ac:dyDescent="0.25">
      <c r="A106" s="10" t="s">
        <v>574</v>
      </c>
      <c r="B106" s="10" t="s">
        <v>575</v>
      </c>
      <c r="C106" s="14">
        <f>_xll.BDH("ALNY US Equity","ARDR_SBC_NON-GAAP_EPS","FQ4 2018","FQ4 2018","Currency=USD","Period=FQ","BEST_FPERIOD_OVERRIDE=FQ","FILING_STATUS=MR","Sort=A","Dates=H","DateFormat=P","Fill=—","Direction=H","UseDPDF=Y")</f>
        <v>0.27</v>
      </c>
      <c r="D106" s="14">
        <f>_xll.BDH("ALNY US Equity","ARDR_SBC_NON-GAAP_EPS","FQ1 2019","FQ1 2019","Currency=USD","Period=FQ","BEST_FPERIOD_OVERRIDE=FQ","FILING_STATUS=MR","Sort=A","Dates=H","DateFormat=P","Fill=—","Direction=H","UseDPDF=Y")</f>
        <v>0.31</v>
      </c>
      <c r="E106" s="14">
        <f>_xll.BDH("ALNY US Equity","ARDR_SBC_NON-GAAP_EPS","FQ2 2019","FQ2 2019","Currency=USD","Period=FQ","BEST_FPERIOD_OVERRIDE=FQ","FILING_STATUS=MR","Sort=A","Dates=H","DateFormat=P","Fill=—","Direction=H","UseDPDF=Y")</f>
        <v>0.28000000000000003</v>
      </c>
      <c r="F106" s="14">
        <f>_xll.BDH("ALNY US Equity","ARDR_SBC_NON-GAAP_EPS","FQ3 2019","FQ3 2019","Currency=USD","Period=FQ","BEST_FPERIOD_OVERRIDE=FQ","FILING_STATUS=MR","Sort=A","Dates=H","DateFormat=P","Fill=—","Direction=H","UseDPDF=Y")</f>
        <v>0.42</v>
      </c>
      <c r="G106" s="14">
        <f>_xll.BDH("ALNY US Equity","ARDR_SBC_NON-GAAP_EPS","FQ4 2019","FQ4 2019","Currency=USD","Period=FQ","BEST_FPERIOD_OVERRIDE=FQ","FILING_STATUS=MR","Sort=A","Dates=H","DateFormat=P","Fill=—","Direction=H","UseDPDF=Y")</f>
        <v>0.59</v>
      </c>
      <c r="H106" s="14">
        <f>_xll.BDH("ALNY US Equity","ARDR_SBC_NON-GAAP_EPS","FQ1 2020","FQ1 2020","Currency=USD","Period=FQ","BEST_FPERIOD_OVERRIDE=FQ","FILING_STATUS=MR","Sort=A","Dates=H","DateFormat=P","Fill=—","Direction=H","UseDPDF=Y")</f>
        <v>0.31</v>
      </c>
      <c r="I106" s="14">
        <f>_xll.BDH("ALNY US Equity","ARDR_SBC_NON-GAAP_EPS","FQ2 2020","FQ2 2020","Currency=USD","Period=FQ","BEST_FPERIOD_OVERRIDE=FQ","FILING_STATUS=MR","Sort=A","Dates=H","DateFormat=P","Fill=—","Direction=H","UseDPDF=Y")</f>
        <v>0.28999999999999998</v>
      </c>
      <c r="J106" s="14">
        <f>_xll.BDH("ALNY US Equity","ARDR_SBC_NON-GAAP_EPS","FQ3 2020","FQ3 2020","Currency=USD","Period=FQ","BEST_FPERIOD_OVERRIDE=FQ","FILING_STATUS=MR","Sort=A","Dates=H","DateFormat=P","Fill=—","Direction=H","UseDPDF=Y")</f>
        <v>0.32</v>
      </c>
      <c r="K106" s="14">
        <f>_xll.BDH("ALNY US Equity","ARDR_SBC_NON-GAAP_EPS","FQ4 2020","FQ4 2020","Currency=USD","Period=FQ","BEST_FPERIOD_OVERRIDE=FQ","FILING_STATUS=MR","Sort=A","Dates=H","DateFormat=P","Fill=—","Direction=H","UseDPDF=Y")</f>
        <v>0.28999999999999998</v>
      </c>
      <c r="L106" s="14" t="str">
        <f>_xll.BDH("ALNY US Equity","ARDR_SBC_NON-GAAP_EPS","FQ1 2021","FQ1 2021","Currency=USD","Period=FQ","BEST_FPERIOD_OVERRIDE=FQ","FILING_STATUS=MR","Sort=A","Dates=H","DateFormat=P","Fill=—","Direction=H","UseDPDF=Y")</f>
        <v>—</v>
      </c>
      <c r="M106" s="14">
        <f>_xll.BDH("ALNY US Equity","ARDR_SBC_NON-GAAP_EPS","FQ2 2021","FQ2 2021","Currency=USD","Period=FQ","BEST_FPERIOD_OVERRIDE=FQ","FILING_STATUS=MR","Sort=A","Dates=H","DateFormat=P","Fill=—","Direction=H","UseDPDF=Y")</f>
        <v>0.27</v>
      </c>
      <c r="N106" s="14">
        <f>_xll.BDH("ALNY US Equity","ARDR_SBC_NON-GAAP_EPS","FQ3 2021","FQ3 2021","Currency=USD","Period=FQ","BEST_FPERIOD_OVERRIDE=FQ","FILING_STATUS=MR","Sort=A","Dates=H","DateFormat=P","Fill=—","Direction=H","UseDPDF=Y")</f>
        <v>0.28000000000000003</v>
      </c>
      <c r="O106" s="14" t="str">
        <f>_xll.BDH("ALNY US Equity","ARDR_SBC_NON-GAAP_EPS","FQ4 2021","FQ4 2021","Currency=USD","Period=FQ","BEST_FPERIOD_OVERRIDE=FQ","FILING_STATUS=MR","Sort=A","Dates=H","DateFormat=P","Fill=—","Direction=H","UseDPDF=Y")</f>
        <v>—</v>
      </c>
      <c r="P106" s="14">
        <f>_xll.BDH("ALNY US Equity","ARDR_SBC_NON-GAAP_EPS","FQ1 2022","FQ1 2022","Currency=USD","Period=FQ","BEST_FPERIOD_OVERRIDE=FQ","FILING_STATUS=MR","Sort=A","Dates=H","DateFormat=P","Fill=—","Direction=H","UseDPDF=Y")</f>
        <v>0.24</v>
      </c>
      <c r="Q106" s="14">
        <f>_xll.BDH("ALNY US Equity","ARDR_SBC_NON-GAAP_EPS","FQ2 2022","FQ2 2022","Currency=USD","Period=FQ","BEST_FPERIOD_OVERRIDE=FQ","FILING_STATUS=MR","Sort=A","Dates=H","DateFormat=P","Fill=—","Direction=H","UseDPDF=Y")</f>
        <v>0.25</v>
      </c>
      <c r="R106" s="14">
        <f>_xll.BDH("ALNY US Equity","ARDR_SBC_NON-GAAP_EPS","FQ3 2022","FQ3 2022","Currency=USD","Period=FQ","BEST_FPERIOD_OVERRIDE=FQ","FILING_STATUS=MR","Sort=A","Dates=H","DateFormat=P","Fill=—","Direction=H","UseDPDF=Y")</f>
        <v>1.05</v>
      </c>
      <c r="S106" s="14">
        <f>_xll.BDH("ALNY US Equity","ARDR_SBC_NON-GAAP_EPS","FQ4 2022","FQ4 2022","Currency=USD","Period=FQ","BEST_FPERIOD_OVERRIDE=FQ","FILING_STATUS=MR","Sort=A","Dates=H","DateFormat=P","Fill=—","Direction=H","UseDPDF=Y")</f>
        <v>0.35</v>
      </c>
      <c r="T106" s="14">
        <f>_xll.BDH("ALNY US Equity","ARDR_SBC_NON-GAAP_EPS","FQ1 2023","FQ1 2023","Currency=USD","Period=FQ","BEST_FPERIOD_OVERRIDE=FQ","FILING_STATUS=MR","Sort=A","Dates=H","DateFormat=P","Fill=—","Direction=H","UseDPDF=Y")</f>
        <v>0.32</v>
      </c>
      <c r="U106" s="14">
        <f>_xll.BDH("ALNY US Equity","ARDR_SBC_NON-GAAP_EPS","FQ2 2023","FQ2 2023","Currency=USD","Period=FQ","BEST_FPERIOD_OVERRIDE=FQ","FILING_STATUS=MR","Sort=A","Dates=H","DateFormat=P","Fill=—","Direction=H","UseDPDF=Y")</f>
        <v>0.61</v>
      </c>
      <c r="V106" s="14">
        <f>_xll.BDH("ALNY US Equity","ARDR_SBC_NON-GAAP_EPS","FQ3 2023","FQ3 2023","Currency=USD","Period=FQ","BEST_FPERIOD_OVERRIDE=FQ","FILING_STATUS=MR","Sort=A","Dates=H","DateFormat=P","Fill=—","Direction=H","UseDPDF=Y")</f>
        <v>0.51</v>
      </c>
      <c r="W106" s="14">
        <f>_xll.BDH("ALNY US Equity","ARDR_SBC_NON-GAAP_EPS","FQ4 2023","FQ4 2023","Currency=USD","Period=FQ","BEST_FPERIOD_OVERRIDE=FQ","FILING_STATUS=MR","Sort=A","Dates=H","DateFormat=P","Fill=—","Direction=H","UseDPDF=Y")</f>
        <v>0.33</v>
      </c>
      <c r="X106" s="14">
        <f>_xll.BDH("ALNY US Equity","ARDR_SBC_NON-GAAP_EPS","FQ1 2024","FQ1 2024","Currency=USD","Period=FQ","BEST_FPERIOD_OVERRIDE=FQ","FILING_STATUS=MR","Sort=A","Dates=H","DateFormat=P","Fill=—","Direction=H","UseDPDF=Y")</f>
        <v>0.36</v>
      </c>
      <c r="Y106" s="14">
        <f>_xll.BDH("ALNY US Equity","ARDR_SBC_NON-GAAP_EPS","FQ2 2024","FQ2 2024","Currency=USD","Period=FQ","BEST_FPERIOD_OVERRIDE=FQ","FILING_STATUS=MR","Sort=A","Dates=H","DateFormat=P","Fill=—","Direction=H","UseDPDF=Y")</f>
        <v>0.7</v>
      </c>
      <c r="Z106" s="14">
        <f>_xll.BDH("ALNY US Equity","ARDR_SBC_NON-GAAP_EPS","FQ3 2024","FQ3 2024","Currency=USD","Period=FQ","BEST_FPERIOD_OVERRIDE=FQ","FILING_STATUS=MR","Sort=A","Dates=H","DateFormat=P","Fill=—","Direction=H","UseDPDF=Y")</f>
        <v>0.36</v>
      </c>
      <c r="AA106" s="14">
        <f>_xll.BDH("ALNY US Equity","ARDR_SBC_NON-GAAP_EPS","FQ4 2024","FQ4 2024","Currency=USD","Period=FQ","BEST_FPERIOD_OVERRIDE=FQ","FILING_STATUS=MR","Sort=A","Dates=H","DateFormat=P","Fill=—","Direction=H","UseDPDF=Y")</f>
        <v>0.71</v>
      </c>
    </row>
    <row r="107" spans="1:27" x14ac:dyDescent="0.25">
      <c r="A107" s="10" t="s">
        <v>576</v>
      </c>
      <c r="B107" s="10" t="s">
        <v>577</v>
      </c>
      <c r="C107" s="14" t="str">
        <f>_xll.BDH("ALNY US Equity","ARDR_OTHER_ADJ_NON-GAAP_EPS","FQ4 2018","FQ4 2018","Currency=USD","Period=FQ","BEST_FPERIOD_OVERRIDE=FQ","FILING_STATUS=MR","Sort=A","Dates=H","DateFormat=P","Fill=—","Direction=H","UseDPDF=Y")</f>
        <v>—</v>
      </c>
      <c r="D107" s="14" t="str">
        <f>_xll.BDH("ALNY US Equity","ARDR_OTHER_ADJ_NON-GAAP_EPS","FQ1 2019","FQ1 2019","Currency=USD","Period=FQ","BEST_FPERIOD_OVERRIDE=FQ","FILING_STATUS=MR","Sort=A","Dates=H","DateFormat=P","Fill=—","Direction=H","UseDPDF=Y")</f>
        <v>—</v>
      </c>
      <c r="E107" s="14">
        <f>_xll.BDH("ALNY US Equity","ARDR_OTHER_ADJ_NON-GAAP_EPS","FQ2 2019","FQ2 2019","Currency=USD","Period=FQ","BEST_FPERIOD_OVERRIDE=FQ","FILING_STATUS=MR","Sort=A","Dates=H","DateFormat=P","Fill=—","Direction=H","UseDPDF=Y")</f>
        <v>-0.09</v>
      </c>
      <c r="F107" s="14" t="str">
        <f>_xll.BDH("ALNY US Equity","ARDR_OTHER_ADJ_NON-GAAP_EPS","FQ3 2019","FQ3 2019","Currency=USD","Period=FQ","BEST_FPERIOD_OVERRIDE=FQ","FILING_STATUS=MR","Sort=A","Dates=H","DateFormat=P","Fill=—","Direction=H","UseDPDF=Y")</f>
        <v>—</v>
      </c>
      <c r="G107" s="14" t="str">
        <f>_xll.BDH("ALNY US Equity","ARDR_OTHER_ADJ_NON-GAAP_EPS","FQ4 2019","FQ4 2019","Currency=USD","Period=FQ","BEST_FPERIOD_OVERRIDE=FQ","FILING_STATUS=MR","Sort=A","Dates=H","DateFormat=P","Fill=—","Direction=H","UseDPDF=Y")</f>
        <v>—</v>
      </c>
      <c r="H107" s="14" t="str">
        <f>_xll.BDH("ALNY US Equity","ARDR_OTHER_ADJ_NON-GAAP_EPS","FQ1 2020","FQ1 2020","Currency=USD","Period=FQ","BEST_FPERIOD_OVERRIDE=FQ","FILING_STATUS=MR","Sort=A","Dates=H","DateFormat=P","Fill=—","Direction=H","UseDPDF=Y")</f>
        <v>—</v>
      </c>
      <c r="I107" s="14">
        <f>_xll.BDH("ALNY US Equity","ARDR_OTHER_ADJ_NON-GAAP_EPS","FQ2 2020","FQ2 2020","Currency=USD","Period=FQ","BEST_FPERIOD_OVERRIDE=FQ","FILING_STATUS=MR","Sort=A","Dates=H","DateFormat=P","Fill=—","Direction=H","UseDPDF=Y")</f>
        <v>0</v>
      </c>
      <c r="J107" s="14">
        <f>_xll.BDH("ALNY US Equity","ARDR_OTHER_ADJ_NON-GAAP_EPS","FQ3 2020","FQ3 2020","Currency=USD","Period=FQ","BEST_FPERIOD_OVERRIDE=FQ","FILING_STATUS=MR","Sort=A","Dates=H","DateFormat=P","Fill=—","Direction=H","UseDPDF=Y")</f>
        <v>0.01</v>
      </c>
      <c r="K107" s="14">
        <f>_xll.BDH("ALNY US Equity","ARDR_OTHER_ADJ_NON-GAAP_EPS","FQ4 2020","FQ4 2020","Currency=USD","Period=FQ","BEST_FPERIOD_OVERRIDE=FQ","FILING_STATUS=MR","Sort=A","Dates=H","DateFormat=P","Fill=—","Direction=H","UseDPDF=Y")</f>
        <v>0</v>
      </c>
      <c r="L107" s="14" t="str">
        <f>_xll.BDH("ALNY US Equity","ARDR_OTHER_ADJ_NON-GAAP_EPS","FQ1 2021","FQ1 2021","Currency=USD","Period=FQ","BEST_FPERIOD_OVERRIDE=FQ","FILING_STATUS=MR","Sort=A","Dates=H","DateFormat=P","Fill=—","Direction=H","UseDPDF=Y")</f>
        <v>—</v>
      </c>
      <c r="M107" s="14" t="str">
        <f>_xll.BDH("ALNY US Equity","ARDR_OTHER_ADJ_NON-GAAP_EPS","FQ2 2021","FQ2 2021","Currency=USD","Period=FQ","BEST_FPERIOD_OVERRIDE=FQ","FILING_STATUS=MR","Sort=A","Dates=H","DateFormat=P","Fill=—","Direction=H","UseDPDF=Y")</f>
        <v>—</v>
      </c>
      <c r="N107" s="14">
        <f>_xll.BDH("ALNY US Equity","ARDR_OTHER_ADJ_NON-GAAP_EPS","FQ3 2021","FQ3 2021","Currency=USD","Period=FQ","BEST_FPERIOD_OVERRIDE=FQ","FILING_STATUS=MR","Sort=A","Dates=H","DateFormat=P","Fill=—","Direction=H","UseDPDF=Y")</f>
        <v>0.08</v>
      </c>
      <c r="O107" s="14">
        <f>_xll.BDH("ALNY US Equity","ARDR_OTHER_ADJ_NON-GAAP_EPS","FQ4 2021","FQ4 2021","Currency=USD","Period=FQ","BEST_FPERIOD_OVERRIDE=FQ","FILING_STATUS=MR","Sort=A","Dates=H","DateFormat=P","Fill=—","Direction=H","UseDPDF=Y")</f>
        <v>0</v>
      </c>
      <c r="P107" s="14" t="str">
        <f>_xll.BDH("ALNY US Equity","ARDR_OTHER_ADJ_NON-GAAP_EPS","FQ1 2022","FQ1 2022","Currency=USD","Period=FQ","BEST_FPERIOD_OVERRIDE=FQ","FILING_STATUS=MR","Sort=A","Dates=H","DateFormat=P","Fill=—","Direction=H","UseDPDF=Y")</f>
        <v>—</v>
      </c>
      <c r="Q107" s="14" t="str">
        <f>_xll.BDH("ALNY US Equity","ARDR_OTHER_ADJ_NON-GAAP_EPS","FQ2 2022","FQ2 2022","Currency=USD","Period=FQ","BEST_FPERIOD_OVERRIDE=FQ","FILING_STATUS=MR","Sort=A","Dates=H","DateFormat=P","Fill=—","Direction=H","UseDPDF=Y")</f>
        <v>—</v>
      </c>
      <c r="R107" s="14" t="str">
        <f>_xll.BDH("ALNY US Equity","ARDR_OTHER_ADJ_NON-GAAP_EPS","FQ3 2022","FQ3 2022","Currency=USD","Period=FQ","BEST_FPERIOD_OVERRIDE=FQ","FILING_STATUS=MR","Sort=A","Dates=H","DateFormat=P","Fill=—","Direction=H","UseDPDF=Y")</f>
        <v>—</v>
      </c>
      <c r="S107" s="14" t="str">
        <f>_xll.BDH("ALNY US Equity","ARDR_OTHER_ADJ_NON-GAAP_EPS","FQ4 2022","FQ4 2022","Currency=USD","Period=FQ","BEST_FPERIOD_OVERRIDE=FQ","FILING_STATUS=MR","Sort=A","Dates=H","DateFormat=P","Fill=—","Direction=H","UseDPDF=Y")</f>
        <v>—</v>
      </c>
      <c r="T107" s="14" t="str">
        <f>_xll.BDH("ALNY US Equity","ARDR_OTHER_ADJ_NON-GAAP_EPS","FQ1 2023","FQ1 2023","Currency=USD","Period=FQ","BEST_FPERIOD_OVERRIDE=FQ","FILING_STATUS=MR","Sort=A","Dates=H","DateFormat=P","Fill=—","Direction=H","UseDPDF=Y")</f>
        <v>—</v>
      </c>
      <c r="U107" s="14" t="str">
        <f>_xll.BDH("ALNY US Equity","ARDR_OTHER_ADJ_NON-GAAP_EPS","FQ2 2023","FQ2 2023","Currency=USD","Period=FQ","BEST_FPERIOD_OVERRIDE=FQ","FILING_STATUS=MR","Sort=A","Dates=H","DateFormat=P","Fill=—","Direction=H","UseDPDF=Y")</f>
        <v>—</v>
      </c>
      <c r="V107" s="14" t="str">
        <f>_xll.BDH("ALNY US Equity","ARDR_OTHER_ADJ_NON-GAAP_EPS","FQ3 2023","FQ3 2023","Currency=USD","Period=FQ","BEST_FPERIOD_OVERRIDE=FQ","FILING_STATUS=MR","Sort=A","Dates=H","DateFormat=P","Fill=—","Direction=H","UseDPDF=Y")</f>
        <v>—</v>
      </c>
      <c r="W107" s="14" t="str">
        <f>_xll.BDH("ALNY US Equity","ARDR_OTHER_ADJ_NON-GAAP_EPS","FQ4 2023","FQ4 2023","Currency=USD","Period=FQ","BEST_FPERIOD_OVERRIDE=FQ","FILING_STATUS=MR","Sort=A","Dates=H","DateFormat=P","Fill=—","Direction=H","UseDPDF=Y")</f>
        <v>—</v>
      </c>
      <c r="X107" s="14" t="str">
        <f>_xll.BDH("ALNY US Equity","ARDR_OTHER_ADJ_NON-GAAP_EPS","FQ1 2024","FQ1 2024","Currency=USD","Period=FQ","BEST_FPERIOD_OVERRIDE=FQ","FILING_STATUS=MR","Sort=A","Dates=H","DateFormat=P","Fill=—","Direction=H","UseDPDF=Y")</f>
        <v>—</v>
      </c>
      <c r="Y107" s="14" t="str">
        <f>_xll.BDH("ALNY US Equity","ARDR_OTHER_ADJ_NON-GAAP_EPS","FQ2 2024","FQ2 2024","Currency=USD","Period=FQ","BEST_FPERIOD_OVERRIDE=FQ","FILING_STATUS=MR","Sort=A","Dates=H","DateFormat=P","Fill=—","Direction=H","UseDPDF=Y")</f>
        <v>—</v>
      </c>
      <c r="Z107" s="14" t="str">
        <f>_xll.BDH("ALNY US Equity","ARDR_OTHER_ADJ_NON-GAAP_EPS","FQ3 2024","FQ3 2024","Currency=USD","Period=FQ","BEST_FPERIOD_OVERRIDE=FQ","FILING_STATUS=MR","Sort=A","Dates=H","DateFormat=P","Fill=—","Direction=H","UseDPDF=Y")</f>
        <v>—</v>
      </c>
      <c r="AA107" s="14" t="str">
        <f>_xll.BDH("ALNY US Equity","ARDR_OTHER_ADJ_NON-GAAP_EPS","FQ4 2024","FQ4 2024","Currency=USD","Period=FQ","BEST_FPERIOD_OVERRIDE=FQ","FILING_STATUS=MR","Sort=A","Dates=H","DateFormat=P","Fill=—","Direction=H","UseDPDF=Y")</f>
        <v>—</v>
      </c>
    </row>
    <row r="108" spans="1:27" x14ac:dyDescent="0.25">
      <c r="A108" s="10" t="s">
        <v>578</v>
      </c>
      <c r="B108" s="10" t="s">
        <v>579</v>
      </c>
      <c r="C108" s="14" t="str">
        <f>_xll.BDH("ALNY US Equity","ARDR_LGL_LIT_SETTLE_NON-GAAP_EPS","FQ4 2018","FQ4 2018","Currency=USD","Period=FQ","BEST_FPERIOD_OVERRIDE=FQ","FILING_STATUS=MR","Sort=A","Dates=H","DateFormat=P","Fill=—","Direction=H","UseDPDF=Y")</f>
        <v>—</v>
      </c>
      <c r="D108" s="14" t="str">
        <f>_xll.BDH("ALNY US Equity","ARDR_LGL_LIT_SETTLE_NON-GAAP_EPS","FQ1 2019","FQ1 2019","Currency=USD","Period=FQ","BEST_FPERIOD_OVERRIDE=FQ","FILING_STATUS=MR","Sort=A","Dates=H","DateFormat=P","Fill=—","Direction=H","UseDPDF=Y")</f>
        <v>—</v>
      </c>
      <c r="E108" s="14" t="str">
        <f>_xll.BDH("ALNY US Equity","ARDR_LGL_LIT_SETTLE_NON-GAAP_EPS","FQ2 2019","FQ2 2019","Currency=USD","Period=FQ","BEST_FPERIOD_OVERRIDE=FQ","FILING_STATUS=MR","Sort=A","Dates=H","DateFormat=P","Fill=—","Direction=H","UseDPDF=Y")</f>
        <v>—</v>
      </c>
      <c r="F108" s="14">
        <f>_xll.BDH("ALNY US Equity","ARDR_LGL_LIT_SETTLE_NON-GAAP_EPS","FQ3 2019","FQ3 2019","Currency=USD","Period=FQ","BEST_FPERIOD_OVERRIDE=FQ","FILING_STATUS=MR","Sort=A","Dates=H","DateFormat=P","Fill=—","Direction=H","UseDPDF=Y")</f>
        <v>0</v>
      </c>
      <c r="G108" s="14" t="str">
        <f>_xll.BDH("ALNY US Equity","ARDR_LGL_LIT_SETTLE_NON-GAAP_EPS","FQ4 2019","FQ4 2019","Currency=USD","Period=FQ","BEST_FPERIOD_OVERRIDE=FQ","FILING_STATUS=MR","Sort=A","Dates=H","DateFormat=P","Fill=—","Direction=H","UseDPDF=Y")</f>
        <v>—</v>
      </c>
      <c r="H108" s="14" t="str">
        <f>_xll.BDH("ALNY US Equity","ARDR_LGL_LIT_SETTLE_NON-GAAP_EPS","FQ1 2020","FQ1 2020","Currency=USD","Period=FQ","BEST_FPERIOD_OVERRIDE=FQ","FILING_STATUS=MR","Sort=A","Dates=H","DateFormat=P","Fill=—","Direction=H","UseDPDF=Y")</f>
        <v>—</v>
      </c>
      <c r="I108" s="14" t="str">
        <f>_xll.BDH("ALNY US Equity","ARDR_LGL_LIT_SETTLE_NON-GAAP_EPS","FQ2 2020","FQ2 2020","Currency=USD","Period=FQ","BEST_FPERIOD_OVERRIDE=FQ","FILING_STATUS=MR","Sort=A","Dates=H","DateFormat=P","Fill=—","Direction=H","UseDPDF=Y")</f>
        <v>—</v>
      </c>
      <c r="J108" s="14">
        <f>_xll.BDH("ALNY US Equity","ARDR_LGL_LIT_SETTLE_NON-GAAP_EPS","FQ3 2020","FQ3 2020","Currency=USD","Period=FQ","BEST_FPERIOD_OVERRIDE=FQ","FILING_STATUS=MR","Sort=A","Dates=H","DateFormat=P","Fill=—","Direction=H","UseDPDF=Y")</f>
        <v>0.01</v>
      </c>
      <c r="K108" s="14" t="str">
        <f>_xll.BDH("ALNY US Equity","ARDR_LGL_LIT_SETTLE_NON-GAAP_EPS","FQ4 2020","FQ4 2020","Currency=USD","Period=FQ","BEST_FPERIOD_OVERRIDE=FQ","FILING_STATUS=MR","Sort=A","Dates=H","DateFormat=P","Fill=—","Direction=H","UseDPDF=Y")</f>
        <v>—</v>
      </c>
      <c r="L108" s="14" t="str">
        <f>_xll.BDH("ALNY US Equity","ARDR_LGL_LIT_SETTLE_NON-GAAP_EPS","FQ1 2021","FQ1 2021","Currency=USD","Period=FQ","BEST_FPERIOD_OVERRIDE=FQ","FILING_STATUS=MR","Sort=A","Dates=H","DateFormat=P","Fill=—","Direction=H","UseDPDF=Y")</f>
        <v>—</v>
      </c>
      <c r="M108" s="14" t="str">
        <f>_xll.BDH("ALNY US Equity","ARDR_LGL_LIT_SETTLE_NON-GAAP_EPS","FQ2 2021","FQ2 2021","Currency=USD","Period=FQ","BEST_FPERIOD_OVERRIDE=FQ","FILING_STATUS=MR","Sort=A","Dates=H","DateFormat=P","Fill=—","Direction=H","UseDPDF=Y")</f>
        <v>—</v>
      </c>
      <c r="N108" s="14" t="str">
        <f>_xll.BDH("ALNY US Equity","ARDR_LGL_LIT_SETTLE_NON-GAAP_EPS","FQ3 2021","FQ3 2021","Currency=USD","Period=FQ","BEST_FPERIOD_OVERRIDE=FQ","FILING_STATUS=MR","Sort=A","Dates=H","DateFormat=P","Fill=—","Direction=H","UseDPDF=Y")</f>
        <v>—</v>
      </c>
      <c r="O108" s="14">
        <f>_xll.BDH("ALNY US Equity","ARDR_LGL_LIT_SETTLE_NON-GAAP_EPS","FQ4 2021","FQ4 2021","Currency=USD","Period=FQ","BEST_FPERIOD_OVERRIDE=FQ","FILING_STATUS=MR","Sort=A","Dates=H","DateFormat=P","Fill=—","Direction=H","UseDPDF=Y")</f>
        <v>0</v>
      </c>
      <c r="P108" s="14" t="str">
        <f>_xll.BDH("ALNY US Equity","ARDR_LGL_LIT_SETTLE_NON-GAAP_EPS","FQ1 2022","FQ1 2022","Currency=USD","Period=FQ","BEST_FPERIOD_OVERRIDE=FQ","FILING_STATUS=MR","Sort=A","Dates=H","DateFormat=P","Fill=—","Direction=H","UseDPDF=Y")</f>
        <v>—</v>
      </c>
      <c r="Q108" s="14" t="str">
        <f>_xll.BDH("ALNY US Equity","ARDR_LGL_LIT_SETTLE_NON-GAAP_EPS","FQ2 2022","FQ2 2022","Currency=USD","Period=FQ","BEST_FPERIOD_OVERRIDE=FQ","FILING_STATUS=MR","Sort=A","Dates=H","DateFormat=P","Fill=—","Direction=H","UseDPDF=Y")</f>
        <v>—</v>
      </c>
      <c r="R108" s="14" t="str">
        <f>_xll.BDH("ALNY US Equity","ARDR_LGL_LIT_SETTLE_NON-GAAP_EPS","FQ3 2022","FQ3 2022","Currency=USD","Period=FQ","BEST_FPERIOD_OVERRIDE=FQ","FILING_STATUS=MR","Sort=A","Dates=H","DateFormat=P","Fill=—","Direction=H","UseDPDF=Y")</f>
        <v>—</v>
      </c>
      <c r="S108" s="14" t="str">
        <f>_xll.BDH("ALNY US Equity","ARDR_LGL_LIT_SETTLE_NON-GAAP_EPS","FQ4 2022","FQ4 2022","Currency=USD","Period=FQ","BEST_FPERIOD_OVERRIDE=FQ","FILING_STATUS=MR","Sort=A","Dates=H","DateFormat=P","Fill=—","Direction=H","UseDPDF=Y")</f>
        <v>—</v>
      </c>
      <c r="T108" s="14" t="str">
        <f>_xll.BDH("ALNY US Equity","ARDR_LGL_LIT_SETTLE_NON-GAAP_EPS","FQ1 2023","FQ1 2023","Currency=USD","Period=FQ","BEST_FPERIOD_OVERRIDE=FQ","FILING_STATUS=MR","Sort=A","Dates=H","DateFormat=P","Fill=—","Direction=H","UseDPDF=Y")</f>
        <v>—</v>
      </c>
      <c r="U108" s="14" t="str">
        <f>_xll.BDH("ALNY US Equity","ARDR_LGL_LIT_SETTLE_NON-GAAP_EPS","FQ2 2023","FQ2 2023","Currency=USD","Period=FQ","BEST_FPERIOD_OVERRIDE=FQ","FILING_STATUS=MR","Sort=A","Dates=H","DateFormat=P","Fill=—","Direction=H","UseDPDF=Y")</f>
        <v>—</v>
      </c>
      <c r="V108" s="14" t="str">
        <f>_xll.BDH("ALNY US Equity","ARDR_LGL_LIT_SETTLE_NON-GAAP_EPS","FQ3 2023","FQ3 2023","Currency=USD","Period=FQ","BEST_FPERIOD_OVERRIDE=FQ","FILING_STATUS=MR","Sort=A","Dates=H","DateFormat=P","Fill=—","Direction=H","UseDPDF=Y")</f>
        <v>—</v>
      </c>
      <c r="W108" s="14" t="str">
        <f>_xll.BDH("ALNY US Equity","ARDR_LGL_LIT_SETTLE_NON-GAAP_EPS","FQ4 2023","FQ4 2023","Currency=USD","Period=FQ","BEST_FPERIOD_OVERRIDE=FQ","FILING_STATUS=MR","Sort=A","Dates=H","DateFormat=P","Fill=—","Direction=H","UseDPDF=Y")</f>
        <v>—</v>
      </c>
      <c r="X108" s="14" t="str">
        <f>_xll.BDH("ALNY US Equity","ARDR_LGL_LIT_SETTLE_NON-GAAP_EPS","FQ1 2024","FQ1 2024","Currency=USD","Period=FQ","BEST_FPERIOD_OVERRIDE=FQ","FILING_STATUS=MR","Sort=A","Dates=H","DateFormat=P","Fill=—","Direction=H","UseDPDF=Y")</f>
        <v>—</v>
      </c>
      <c r="Y108" s="14" t="str">
        <f>_xll.BDH("ALNY US Equity","ARDR_LGL_LIT_SETTLE_NON-GAAP_EPS","FQ2 2024","FQ2 2024","Currency=USD","Period=FQ","BEST_FPERIOD_OVERRIDE=FQ","FILING_STATUS=MR","Sort=A","Dates=H","DateFormat=P","Fill=—","Direction=H","UseDPDF=Y")</f>
        <v>—</v>
      </c>
      <c r="Z108" s="14" t="str">
        <f>_xll.BDH("ALNY US Equity","ARDR_LGL_LIT_SETTLE_NON-GAAP_EPS","FQ3 2024","FQ3 2024","Currency=USD","Period=FQ","BEST_FPERIOD_OVERRIDE=FQ","FILING_STATUS=MR","Sort=A","Dates=H","DateFormat=P","Fill=—","Direction=H","UseDPDF=Y")</f>
        <v>—</v>
      </c>
      <c r="AA108" s="14" t="str">
        <f>_xll.BDH("ALNY US Equity","ARDR_LGL_LIT_SETTLE_NON-GAAP_EPS","FQ4 2024","FQ4 2024","Currency=USD","Period=FQ","BEST_FPERIOD_OVERRIDE=FQ","FILING_STATUS=MR","Sort=A","Dates=H","DateFormat=P","Fill=—","Direction=H","UseDPDF=Y")</f>
        <v>—</v>
      </c>
    </row>
    <row r="109" spans="1:27" x14ac:dyDescent="0.25">
      <c r="A109" s="10" t="s">
        <v>580</v>
      </c>
      <c r="B109" s="10" t="s">
        <v>581</v>
      </c>
      <c r="C109" s="13" t="str">
        <f>_xll.BDH("ALNY US Equity","ARDR_EBIT","FQ4 2018","FQ4 2018","Currency=USD","Period=FQ","BEST_FPERIOD_OVERRIDE=FQ","FILING_STATUS=MR","SCALING_FORMAT=MLN","Sort=A","Dates=H","DateFormat=P","Fill=—","Direction=H","UseDPDF=Y")</f>
        <v>—</v>
      </c>
      <c r="D109" s="13">
        <f>_xll.BDH("ALNY US Equity","ARDR_EBIT","FQ1 2019","FQ1 2019","Currency=USD","Period=FQ","BEST_FPERIOD_OVERRIDE=FQ","FILING_STATUS=MR","SCALING_FORMAT=MLN","Sort=A","Dates=H","DateFormat=P","Fill=—","Direction=H","UseDPDF=Y")</f>
        <v>-188.78800000000001</v>
      </c>
      <c r="E109" s="13">
        <f>_xll.BDH("ALNY US Equity","ARDR_EBIT","FQ2 2019","FQ2 2019","Currency=USD","Period=FQ","BEST_FPERIOD_OVERRIDE=FQ","FILING_STATUS=MR","SCALING_FORMAT=MLN","Sort=A","Dates=H","DateFormat=P","Fill=—","Direction=H","UseDPDF=Y")</f>
        <v>-236.27099999999999</v>
      </c>
      <c r="F109" s="13" t="str">
        <f>_xll.BDH("ALNY US Equity","ARDR_EBIT","FQ3 2019","FQ3 2019","Currency=USD","Period=FQ","BEST_FPERIOD_OVERRIDE=FQ","FILING_STATUS=MR","SCALING_FORMAT=MLN","Sort=A","Dates=H","DateFormat=P","Fill=—","Direction=H","UseDPDF=Y")</f>
        <v>—</v>
      </c>
      <c r="G109" s="13" t="str">
        <f>_xll.BDH("ALNY US Equity","ARDR_EBIT","FQ4 2019","FQ4 2019","Currency=USD","Period=FQ","BEST_FPERIOD_OVERRIDE=FQ","FILING_STATUS=MR","SCALING_FORMAT=MLN","Sort=A","Dates=H","DateFormat=P","Fill=—","Direction=H","UseDPDF=Y")</f>
        <v>—</v>
      </c>
      <c r="H109" s="13" t="str">
        <f>_xll.BDH("ALNY US Equity","ARDR_EBIT","FQ1 2020","FQ1 2020","Currency=USD","Period=FQ","BEST_FPERIOD_OVERRIDE=FQ","FILING_STATUS=MR","SCALING_FORMAT=MLN","Sort=A","Dates=H","DateFormat=P","Fill=—","Direction=H","UseDPDF=Y")</f>
        <v>—</v>
      </c>
      <c r="I109" s="13" t="str">
        <f>_xll.BDH("ALNY US Equity","ARDR_EBIT","FQ2 2020","FQ2 2020","Currency=USD","Period=FQ","BEST_FPERIOD_OVERRIDE=FQ","FILING_STATUS=MR","SCALING_FORMAT=MLN","Sort=A","Dates=H","DateFormat=P","Fill=—","Direction=H","UseDPDF=Y")</f>
        <v>—</v>
      </c>
      <c r="J109" s="13" t="str">
        <f>_xll.BDH("ALNY US Equity","ARDR_EBIT","FQ3 2020","FQ3 2020","Currency=USD","Period=FQ","BEST_FPERIOD_OVERRIDE=FQ","FILING_STATUS=MR","SCALING_FORMAT=MLN","Sort=A","Dates=H","DateFormat=P","Fill=—","Direction=H","UseDPDF=Y")</f>
        <v>—</v>
      </c>
      <c r="K109" s="13" t="str">
        <f>_xll.BDH("ALNY US Equity","ARDR_EBIT","FQ4 2020","FQ4 2020","Currency=USD","Period=FQ","BEST_FPERIOD_OVERRIDE=FQ","FILING_STATUS=MR","SCALING_FORMAT=MLN","Sort=A","Dates=H","DateFormat=P","Fill=—","Direction=H","UseDPDF=Y")</f>
        <v>—</v>
      </c>
      <c r="L109" s="13">
        <f>_xll.BDH("ALNY US Equity","ARDR_EBIT","FQ1 2021","FQ1 2021","Currency=USD","Period=FQ","BEST_FPERIOD_OVERRIDE=FQ","FILING_STATUS=MR","SCALING_FORMAT=MLN","Sort=A","Dates=H","DateFormat=P","Fill=—","Direction=H","UseDPDF=Y")</f>
        <v>-186.25399999999999</v>
      </c>
      <c r="M109" s="13">
        <f>_xll.BDH("ALNY US Equity","ARDR_EBIT","FQ2 2021","FQ2 2021","Currency=USD","Period=FQ","BEST_FPERIOD_OVERRIDE=FQ","FILING_STATUS=MR","SCALING_FORMAT=MLN","Sort=A","Dates=H","DateFormat=P","Fill=—","Direction=H","UseDPDF=Y")</f>
        <v>-146.16</v>
      </c>
      <c r="N109" s="13">
        <f>_xll.BDH("ALNY US Equity","ARDR_EBIT","FQ3 2021","FQ3 2021","Currency=USD","Period=FQ","BEST_FPERIOD_OVERRIDE=FQ","FILING_STATUS=MR","SCALING_FORMAT=MLN","Sort=A","Dates=H","DateFormat=P","Fill=—","Direction=H","UseDPDF=Y")</f>
        <v>-181.67699999999999</v>
      </c>
      <c r="O109" s="13">
        <f>_xll.BDH("ALNY US Equity","ARDR_EBIT","FQ4 2021","FQ4 2021","Currency=USD","Period=FQ","BEST_FPERIOD_OVERRIDE=FQ","FILING_STATUS=MR","SCALING_FORMAT=MLN","Sort=A","Dates=H","DateFormat=P","Fill=—","Direction=H","UseDPDF=Y")</f>
        <v>-194.56100000000001</v>
      </c>
      <c r="P109" s="13">
        <f>_xll.BDH("ALNY US Equity","ARDR_EBIT","FQ1 2022","FQ1 2022","Currency=USD","Period=FQ","BEST_FPERIOD_OVERRIDE=FQ","FILING_STATUS=MR","SCALING_FORMAT=MLN","Sort=A","Dates=H","DateFormat=P","Fill=—","Direction=H","UseDPDF=Y")</f>
        <v>-146.732</v>
      </c>
      <c r="Q109" s="13">
        <f>_xll.BDH("ALNY US Equity","ARDR_EBIT","FQ2 2022","FQ2 2022","Currency=USD","Period=FQ","BEST_FPERIOD_OVERRIDE=FQ","FILING_STATUS=MR","SCALING_FORMAT=MLN","Sort=A","Dates=H","DateFormat=P","Fill=—","Direction=H","UseDPDF=Y")</f>
        <v>-191.68600000000001</v>
      </c>
      <c r="R109" s="13">
        <f>_xll.BDH("ALNY US Equity","ARDR_EBIT","FQ3 2022","FQ3 2022","Currency=USD","Period=FQ","BEST_FPERIOD_OVERRIDE=FQ","FILING_STATUS=MR","SCALING_FORMAT=MLN","Sort=A","Dates=H","DateFormat=P","Fill=—","Direction=H","UseDPDF=Y")</f>
        <v>-258.04000000000002</v>
      </c>
      <c r="S109" s="13">
        <f>_xll.BDH("ALNY US Equity","ARDR_EBIT","FQ4 2022","FQ4 2022","Currency=USD","Period=FQ","BEST_FPERIOD_OVERRIDE=FQ","FILING_STATUS=MR","SCALING_FORMAT=MLN","Sort=A","Dates=H","DateFormat=P","Fill=—","Direction=H","UseDPDF=Y")</f>
        <v>-188.614</v>
      </c>
      <c r="T109" s="13">
        <f>_xll.BDH("ALNY US Equity","ARDR_EBIT","FQ1 2023","FQ1 2023","Currency=USD","Period=FQ","BEST_FPERIOD_OVERRIDE=FQ","FILING_STATUS=MR","SCALING_FORMAT=MLN","Sort=A","Dates=H","DateFormat=P","Fill=—","Direction=H","UseDPDF=Y")</f>
        <v>-149.80699999999999</v>
      </c>
      <c r="U109" s="13">
        <f>_xll.BDH("ALNY US Equity","ARDR_EBIT","FQ2 2023","FQ2 2023","Currency=USD","Period=FQ","BEST_FPERIOD_OVERRIDE=FQ","FILING_STATUS=MR","SCALING_FORMAT=MLN","Sort=A","Dates=H","DateFormat=P","Fill=—","Direction=H","UseDPDF=Y")</f>
        <v>-229.83099999999999</v>
      </c>
      <c r="V109" s="13">
        <f>_xll.BDH("ALNY US Equity","ARDR_EBIT","FQ3 2023","FQ3 2023","Currency=USD","Period=FQ","BEST_FPERIOD_OVERRIDE=FQ","FILING_STATUS=MR","SCALING_FORMAT=MLN","Sort=A","Dates=H","DateFormat=P","Fill=—","Direction=H","UseDPDF=Y")</f>
        <v>213.86699999999999</v>
      </c>
      <c r="W109" s="13">
        <f>_xll.BDH("ALNY US Equity","ARDR_EBIT","FQ4 2023","FQ4 2023","Currency=USD","Period=FQ","BEST_FPERIOD_OVERRIDE=FQ","FILING_STATUS=MR","SCALING_FORMAT=MLN","Sort=A","Dates=H","DateFormat=P","Fill=—","Direction=H","UseDPDF=Y")</f>
        <v>-116.404</v>
      </c>
      <c r="X109" s="13">
        <f>_xll.BDH("ALNY US Equity","ARDR_EBIT","FQ1 2024","FQ1 2024","Currency=USD","Period=FQ","BEST_FPERIOD_OVERRIDE=FQ","FILING_STATUS=MR","SCALING_FORMAT=MLN","Sort=A","Dates=H","DateFormat=P","Fill=—","Direction=H","UseDPDF=Y")</f>
        <v>-43.435000000000002</v>
      </c>
      <c r="Y109" s="13">
        <f>_xll.BDH("ALNY US Equity","ARDR_EBIT","FQ2 2024","FQ2 2024","Currency=USD","Period=FQ","BEST_FPERIOD_OVERRIDE=FQ","FILING_STATUS=MR","SCALING_FORMAT=MLN","Sort=A","Dates=H","DateFormat=P","Fill=—","Direction=H","UseDPDF=Y")</f>
        <v>48.613999999999997</v>
      </c>
      <c r="Z109" s="13">
        <f>_xll.BDH("ALNY US Equity","ARDR_EBIT","FQ3 2024","FQ3 2024","Currency=USD","Period=FQ","BEST_FPERIOD_OVERRIDE=FQ","FILING_STATUS=MR","SCALING_FORMAT=MLN","Sort=A","Dates=H","DateFormat=P","Fill=—","Direction=H","UseDPDF=Y")</f>
        <v>-76.905000000000001</v>
      </c>
      <c r="AA109" s="13">
        <f>_xll.BDH("ALNY US Equity","ARDR_EBIT","FQ4 2024","FQ4 2024","Currency=USD","Period=FQ","BEST_FPERIOD_OVERRIDE=FQ","FILING_STATUS=MR","SCALING_FORMAT=MLN","Sort=A","Dates=H","DateFormat=P","Fill=—","Direction=H","UseDPDF=Y")</f>
        <v>-105.15900000000001</v>
      </c>
    </row>
    <row r="110" spans="1:27" x14ac:dyDescent="0.25">
      <c r="A110" s="10" t="s">
        <v>582</v>
      </c>
      <c r="B110" s="10" t="s">
        <v>583</v>
      </c>
      <c r="C110" s="14" t="str">
        <f>_xll.BDH("ALNY US Equity","ARDR_REVENUE_GROWTH","FQ4 2018","FQ4 2018","Currency=USD","Period=FQ","BEST_FPERIOD_OVERRIDE=FQ","FILING_STATUS=MR","Sort=A","Dates=H","DateFormat=P","Fill=—","Direction=H","UseDPDF=Y")</f>
        <v>—</v>
      </c>
      <c r="D110" s="14" t="str">
        <f>_xll.BDH("ALNY US Equity","ARDR_REVENUE_GROWTH","FQ1 2019","FQ1 2019","Currency=USD","Period=FQ","BEST_FPERIOD_OVERRIDE=FQ","FILING_STATUS=MR","Sort=A","Dates=H","DateFormat=P","Fill=—","Direction=H","UseDPDF=Y")</f>
        <v>—</v>
      </c>
      <c r="E110" s="14" t="str">
        <f>_xll.BDH("ALNY US Equity","ARDR_REVENUE_GROWTH","FQ2 2019","FQ2 2019","Currency=USD","Period=FQ","BEST_FPERIOD_OVERRIDE=FQ","FILING_STATUS=MR","Sort=A","Dates=H","DateFormat=P","Fill=—","Direction=H","UseDPDF=Y")</f>
        <v>—</v>
      </c>
      <c r="F110" s="14" t="str">
        <f>_xll.BDH("ALNY US Equity","ARDR_REVENUE_GROWTH","FQ3 2019","FQ3 2019","Currency=USD","Period=FQ","BEST_FPERIOD_OVERRIDE=FQ","FILING_STATUS=MR","Sort=A","Dates=H","DateFormat=P","Fill=—","Direction=H","UseDPDF=Y")</f>
        <v>—</v>
      </c>
      <c r="G110" s="14" t="str">
        <f>_xll.BDH("ALNY US Equity","ARDR_REVENUE_GROWTH","FQ4 2019","FQ4 2019","Currency=USD","Period=FQ","BEST_FPERIOD_OVERRIDE=FQ","FILING_STATUS=MR","Sort=A","Dates=H","DateFormat=P","Fill=—","Direction=H","UseDPDF=Y")</f>
        <v>—</v>
      </c>
      <c r="H110" s="14" t="str">
        <f>_xll.BDH("ALNY US Equity","ARDR_REVENUE_GROWTH","FQ1 2020","FQ1 2020","Currency=USD","Period=FQ","BEST_FPERIOD_OVERRIDE=FQ","FILING_STATUS=MR","Sort=A","Dates=H","DateFormat=P","Fill=—","Direction=H","UseDPDF=Y")</f>
        <v>—</v>
      </c>
      <c r="I110" s="14" t="str">
        <f>_xll.BDH("ALNY US Equity","ARDR_REVENUE_GROWTH","FQ2 2020","FQ2 2020","Currency=USD","Period=FQ","BEST_FPERIOD_OVERRIDE=FQ","FILING_STATUS=MR","Sort=A","Dates=H","DateFormat=P","Fill=—","Direction=H","UseDPDF=Y")</f>
        <v>—</v>
      </c>
      <c r="J110" s="14" t="str">
        <f>_xll.BDH("ALNY US Equity","ARDR_REVENUE_GROWTH","FQ3 2020","FQ3 2020","Currency=USD","Period=FQ","BEST_FPERIOD_OVERRIDE=FQ","FILING_STATUS=MR","Sort=A","Dates=H","DateFormat=P","Fill=—","Direction=H","UseDPDF=Y")</f>
        <v>—</v>
      </c>
      <c r="K110" s="14" t="str">
        <f>_xll.BDH("ALNY US Equity","ARDR_REVENUE_GROWTH","FQ4 2020","FQ4 2020","Currency=USD","Period=FQ","BEST_FPERIOD_OVERRIDE=FQ","FILING_STATUS=MR","Sort=A","Dates=H","DateFormat=P","Fill=—","Direction=H","UseDPDF=Y")</f>
        <v>—</v>
      </c>
      <c r="L110" s="14">
        <f>_xll.BDH("ALNY US Equity","ARDR_REVENUE_GROWTH","FQ1 2021","FQ1 2021","Currency=USD","Period=FQ","BEST_FPERIOD_OVERRIDE=FQ","FILING_STATUS=MR","Sort=A","Dates=H","DateFormat=P","Fill=—","Direction=H","UseDPDF=Y")</f>
        <v>79</v>
      </c>
      <c r="M110" s="14">
        <f>_xll.BDH("ALNY US Equity","ARDR_REVENUE_GROWTH","FQ2 2021","FQ2 2021","Currency=USD","Period=FQ","BEST_FPERIOD_OVERRIDE=FQ","FILING_STATUS=MR","Sort=A","Dates=H","DateFormat=P","Fill=—","Direction=H","UseDPDF=Y")</f>
        <v>96</v>
      </c>
      <c r="N110" s="14">
        <f>_xll.BDH("ALNY US Equity","ARDR_REVENUE_GROWTH","FQ3 2021","FQ3 2021","Currency=USD","Period=FQ","BEST_FPERIOD_OVERRIDE=FQ","FILING_STATUS=MR","Sort=A","Dates=H","DateFormat=P","Fill=—","Direction=H","UseDPDF=Y")</f>
        <v>49</v>
      </c>
      <c r="O110" s="14">
        <f>_xll.BDH("ALNY US Equity","ARDR_REVENUE_GROWTH","FQ4 2021","FQ4 2021","Currency=USD","Period=FQ","BEST_FPERIOD_OVERRIDE=FQ","FILING_STATUS=MR","Sort=A","Dates=H","DateFormat=P","Fill=—","Direction=H","UseDPDF=Y")</f>
        <v>83</v>
      </c>
      <c r="P110" s="14">
        <f>_xll.BDH("ALNY US Equity","ARDR_REVENUE_GROWTH","FQ1 2022","FQ1 2022","Currency=USD","Period=FQ","BEST_FPERIOD_OVERRIDE=FQ","FILING_STATUS=MR","Sort=A","Dates=H","DateFormat=P","Fill=—","Direction=H","UseDPDF=Y")</f>
        <v>20</v>
      </c>
      <c r="Q110" s="14">
        <f>_xll.BDH("ALNY US Equity","ARDR_REVENUE_GROWTH","FQ2 2022","FQ2 2022","Currency=USD","Period=FQ","BEST_FPERIOD_OVERRIDE=FQ","FILING_STATUS=MR","Sort=A","Dates=H","DateFormat=P","Fill=—","Direction=H","UseDPDF=Y")</f>
        <v>33</v>
      </c>
      <c r="R110" s="14">
        <f>_xll.BDH("ALNY US Equity","ARDR_REVENUE_GROWTH","FQ3 2022","FQ3 2022","Currency=USD","Period=FQ","BEST_FPERIOD_OVERRIDE=FQ","FILING_STATUS=MR","Sort=A","Dates=H","DateFormat=P","Fill=—","Direction=H","UseDPDF=Y")</f>
        <v>41</v>
      </c>
      <c r="S110" s="14">
        <f>_xll.BDH("ALNY US Equity","ARDR_REVENUE_GROWTH","FQ4 2022","FQ4 2022","Currency=USD","Period=FQ","BEST_FPERIOD_OVERRIDE=FQ","FILING_STATUS=MR","Sort=A","Dates=H","DateFormat=P","Fill=—","Direction=H","UseDPDF=Y")</f>
        <v>35</v>
      </c>
      <c r="T110" s="14">
        <f>_xll.BDH("ALNY US Equity","ARDR_REVENUE_GROWTH","FQ1 2023","FQ1 2023","Currency=USD","Period=FQ","BEST_FPERIOD_OVERRIDE=FQ","FILING_STATUS=MR","Sort=A","Dates=H","DateFormat=P","Fill=—","Direction=H","UseDPDF=Y")</f>
        <v>50</v>
      </c>
      <c r="U110" s="14">
        <f>_xll.BDH("ALNY US Equity","ARDR_REVENUE_GROWTH","FQ2 2023","FQ2 2023","Currency=USD","Period=FQ","BEST_FPERIOD_OVERRIDE=FQ","FILING_STATUS=MR","Sort=A","Dates=H","DateFormat=P","Fill=—","Direction=H","UseDPDF=Y")</f>
        <v>42</v>
      </c>
      <c r="V110" s="14">
        <f>_xll.BDH("ALNY US Equity","ARDR_REVENUE_GROWTH","FQ3 2023","FQ3 2023","Currency=USD","Period=FQ","BEST_FPERIOD_OVERRIDE=FQ","FILING_STATUS=MR","Sort=A","Dates=H","DateFormat=P","Fill=—","Direction=H","UseDPDF=Y")</f>
        <v>35</v>
      </c>
      <c r="W110" s="14">
        <f>_xll.BDH("ALNY US Equity","ARDR_REVENUE_GROWTH","FQ4 2023","FQ4 2023","Currency=USD","Period=FQ","BEST_FPERIOD_OVERRIDE=FQ","FILING_STATUS=MR","Sort=A","Dates=H","DateFormat=P","Fill=—","Direction=H","UseDPDF=Y")</f>
        <v>29</v>
      </c>
      <c r="X110" s="14">
        <f>_xll.BDH("ALNY US Equity","ARDR_REVENUE_GROWTH","FQ1 2024","FQ1 2024","Currency=USD","Period=FQ","BEST_FPERIOD_OVERRIDE=FQ","FILING_STATUS=MR","Sort=A","Dates=H","DateFormat=P","Fill=—","Direction=H","UseDPDF=Y")</f>
        <v>55</v>
      </c>
      <c r="Y110" s="14">
        <f>_xll.BDH("ALNY US Equity","ARDR_REVENUE_GROWTH","FQ2 2024","FQ2 2024","Currency=USD","Period=FQ","BEST_FPERIOD_OVERRIDE=FQ","FILING_STATUS=MR","Sort=A","Dates=H","DateFormat=P","Fill=—","Direction=H","UseDPDF=Y")</f>
        <v>34</v>
      </c>
      <c r="Z110" s="14">
        <f>_xll.BDH("ALNY US Equity","ARDR_REVENUE_GROWTH","FQ3 2024","FQ3 2024","Currency=USD","Period=FQ","BEST_FPERIOD_OVERRIDE=FQ","FILING_STATUS=MR","Sort=A","Dates=H","DateFormat=P","Fill=—","Direction=H","UseDPDF=Y")</f>
        <v>34</v>
      </c>
      <c r="AA110" s="14" t="str">
        <f>_xll.BDH("ALNY US Equity","ARDR_REVENUE_GROWTH","FQ4 2024","FQ4 2024","Currency=USD","Period=FQ","BEST_FPERIOD_OVERRIDE=FQ","FILING_STATUS=MR","Sort=A","Dates=H","DateFormat=P","Fill=—","Direction=H","UseDPDF=Y")</f>
        <v>—</v>
      </c>
    </row>
    <row r="111" spans="1:27" x14ac:dyDescent="0.25">
      <c r="A111" s="10" t="s">
        <v>584</v>
      </c>
      <c r="B111" s="10" t="s">
        <v>585</v>
      </c>
      <c r="C111" s="13" t="str">
        <f>_xll.BDH("ALNY US Equity","ARDR_CAPEX_AS_REPORTED","FQ4 2018","FQ4 2018","Currency=USD","Period=FQ","BEST_FPERIOD_OVERRIDE=FQ","FILING_STATUS=MR","SCALING_FORMAT=MLN","Sort=A","Dates=H","DateFormat=P","Fill=—","Direction=H","UseDPDF=Y")</f>
        <v>—</v>
      </c>
      <c r="D111" s="13" t="str">
        <f>_xll.BDH("ALNY US Equity","ARDR_CAPEX_AS_REPORTED","FQ1 2019","FQ1 2019","Currency=USD","Period=FQ","BEST_FPERIOD_OVERRIDE=FQ","FILING_STATUS=MR","SCALING_FORMAT=MLN","Sort=A","Dates=H","DateFormat=P","Fill=—","Direction=H","UseDPDF=Y")</f>
        <v>—</v>
      </c>
      <c r="E111" s="13" t="str">
        <f>_xll.BDH("ALNY US Equity","ARDR_CAPEX_AS_REPORTED","FQ2 2019","FQ2 2019","Currency=USD","Period=FQ","BEST_FPERIOD_OVERRIDE=FQ","FILING_STATUS=MR","SCALING_FORMAT=MLN","Sort=A","Dates=H","DateFormat=P","Fill=—","Direction=H","UseDPDF=Y")</f>
        <v>—</v>
      </c>
      <c r="F111" s="13" t="str">
        <f>_xll.BDH("ALNY US Equity","ARDR_CAPEX_AS_REPORTED","FQ3 2019","FQ3 2019","Currency=USD","Period=FQ","BEST_FPERIOD_OVERRIDE=FQ","FILING_STATUS=MR","SCALING_FORMAT=MLN","Sort=A","Dates=H","DateFormat=P","Fill=—","Direction=H","UseDPDF=Y")</f>
        <v>—</v>
      </c>
      <c r="G111" s="13" t="str">
        <f>_xll.BDH("ALNY US Equity","ARDR_CAPEX_AS_REPORTED","FQ4 2019","FQ4 2019","Currency=USD","Period=FQ","BEST_FPERIOD_OVERRIDE=FQ","FILING_STATUS=MR","SCALING_FORMAT=MLN","Sort=A","Dates=H","DateFormat=P","Fill=—","Direction=H","UseDPDF=Y")</f>
        <v>—</v>
      </c>
      <c r="H111" s="13" t="str">
        <f>_xll.BDH("ALNY US Equity","ARDR_CAPEX_AS_REPORTED","FQ1 2020","FQ1 2020","Currency=USD","Period=FQ","BEST_FPERIOD_OVERRIDE=FQ","FILING_STATUS=MR","SCALING_FORMAT=MLN","Sort=A","Dates=H","DateFormat=P","Fill=—","Direction=H","UseDPDF=Y")</f>
        <v>—</v>
      </c>
      <c r="I111" s="13" t="str">
        <f>_xll.BDH("ALNY US Equity","ARDR_CAPEX_AS_REPORTED","FQ2 2020","FQ2 2020","Currency=USD","Period=FQ","BEST_FPERIOD_OVERRIDE=FQ","FILING_STATUS=MR","SCALING_FORMAT=MLN","Sort=A","Dates=H","DateFormat=P","Fill=—","Direction=H","UseDPDF=Y")</f>
        <v>—</v>
      </c>
      <c r="J111" s="13" t="str">
        <f>_xll.BDH("ALNY US Equity","ARDR_CAPEX_AS_REPORTED","FQ3 2020","FQ3 2020","Currency=USD","Period=FQ","BEST_FPERIOD_OVERRIDE=FQ","FILING_STATUS=MR","SCALING_FORMAT=MLN","Sort=A","Dates=H","DateFormat=P","Fill=—","Direction=H","UseDPDF=Y")</f>
        <v>—</v>
      </c>
      <c r="K111" s="13" t="str">
        <f>_xll.BDH("ALNY US Equity","ARDR_CAPEX_AS_REPORTED","FQ4 2020","FQ4 2020","Currency=USD","Period=FQ","BEST_FPERIOD_OVERRIDE=FQ","FILING_STATUS=MR","SCALING_FORMAT=MLN","Sort=A","Dates=H","DateFormat=P","Fill=—","Direction=H","UseDPDF=Y")</f>
        <v>—</v>
      </c>
      <c r="L111" s="13" t="str">
        <f>_xll.BDH("ALNY US Equity","ARDR_CAPEX_AS_REPORTED","FQ1 2021","FQ1 2021","Currency=USD","Period=FQ","BEST_FPERIOD_OVERRIDE=FQ","FILING_STATUS=MR","SCALING_FORMAT=MLN","Sort=A","Dates=H","DateFormat=P","Fill=—","Direction=H","UseDPDF=Y")</f>
        <v>—</v>
      </c>
      <c r="M111" s="13" t="str">
        <f>_xll.BDH("ALNY US Equity","ARDR_CAPEX_AS_REPORTED","FQ2 2021","FQ2 2021","Currency=USD","Period=FQ","BEST_FPERIOD_OVERRIDE=FQ","FILING_STATUS=MR","SCALING_FORMAT=MLN","Sort=A","Dates=H","DateFormat=P","Fill=—","Direction=H","UseDPDF=Y")</f>
        <v>—</v>
      </c>
      <c r="N111" s="13" t="str">
        <f>_xll.BDH("ALNY US Equity","ARDR_CAPEX_AS_REPORTED","FQ3 2021","FQ3 2021","Currency=USD","Period=FQ","BEST_FPERIOD_OVERRIDE=FQ","FILING_STATUS=MR","SCALING_FORMAT=MLN","Sort=A","Dates=H","DateFormat=P","Fill=—","Direction=H","UseDPDF=Y")</f>
        <v>—</v>
      </c>
      <c r="O111" s="13" t="str">
        <f>_xll.BDH("ALNY US Equity","ARDR_CAPEX_AS_REPORTED","FQ4 2021","FQ4 2021","Currency=USD","Period=FQ","BEST_FPERIOD_OVERRIDE=FQ","FILING_STATUS=MR","SCALING_FORMAT=MLN","Sort=A","Dates=H","DateFormat=P","Fill=—","Direction=H","UseDPDF=Y")</f>
        <v>—</v>
      </c>
      <c r="P111" s="13" t="str">
        <f>_xll.BDH("ALNY US Equity","ARDR_CAPEX_AS_REPORTED","FQ1 2022","FQ1 2022","Currency=USD","Period=FQ","BEST_FPERIOD_OVERRIDE=FQ","FILING_STATUS=MR","SCALING_FORMAT=MLN","Sort=A","Dates=H","DateFormat=P","Fill=—","Direction=H","UseDPDF=Y")</f>
        <v>—</v>
      </c>
      <c r="Q111" s="13" t="str">
        <f>_xll.BDH("ALNY US Equity","ARDR_CAPEX_AS_REPORTED","FQ2 2022","FQ2 2022","Currency=USD","Period=FQ","BEST_FPERIOD_OVERRIDE=FQ","FILING_STATUS=MR","SCALING_FORMAT=MLN","Sort=A","Dates=H","DateFormat=P","Fill=—","Direction=H","UseDPDF=Y")</f>
        <v>—</v>
      </c>
      <c r="R111" s="13" t="str">
        <f>_xll.BDH("ALNY US Equity","ARDR_CAPEX_AS_REPORTED","FQ3 2022","FQ3 2022","Currency=USD","Period=FQ","BEST_FPERIOD_OVERRIDE=FQ","FILING_STATUS=MR","SCALING_FORMAT=MLN","Sort=A","Dates=H","DateFormat=P","Fill=—","Direction=H","UseDPDF=Y")</f>
        <v>—</v>
      </c>
      <c r="S111" s="13" t="str">
        <f>_xll.BDH("ALNY US Equity","ARDR_CAPEX_AS_REPORTED","FQ4 2022","FQ4 2022","Currency=USD","Period=FQ","BEST_FPERIOD_OVERRIDE=FQ","FILING_STATUS=MR","SCALING_FORMAT=MLN","Sort=A","Dates=H","DateFormat=P","Fill=—","Direction=H","UseDPDF=Y")</f>
        <v>—</v>
      </c>
      <c r="T111" s="13" t="str">
        <f>_xll.BDH("ALNY US Equity","ARDR_CAPEX_AS_REPORTED","FQ1 2023","FQ1 2023","Currency=USD","Period=FQ","BEST_FPERIOD_OVERRIDE=FQ","FILING_STATUS=MR","SCALING_FORMAT=MLN","Sort=A","Dates=H","DateFormat=P","Fill=—","Direction=H","UseDPDF=Y")</f>
        <v>—</v>
      </c>
      <c r="U111" s="13" t="str">
        <f>_xll.BDH("ALNY US Equity","ARDR_CAPEX_AS_REPORTED","FQ2 2023","FQ2 2023","Currency=USD","Period=FQ","BEST_FPERIOD_OVERRIDE=FQ","FILING_STATUS=MR","SCALING_FORMAT=MLN","Sort=A","Dates=H","DateFormat=P","Fill=—","Direction=H","UseDPDF=Y")</f>
        <v>—</v>
      </c>
      <c r="V111" s="13" t="str">
        <f>_xll.BDH("ALNY US Equity","ARDR_CAPEX_AS_REPORTED","FQ3 2023","FQ3 2023","Currency=USD","Period=FQ","BEST_FPERIOD_OVERRIDE=FQ","FILING_STATUS=MR","SCALING_FORMAT=MLN","Sort=A","Dates=H","DateFormat=P","Fill=—","Direction=H","UseDPDF=Y")</f>
        <v>—</v>
      </c>
      <c r="W111" s="13" t="str">
        <f>_xll.BDH("ALNY US Equity","ARDR_CAPEX_AS_REPORTED","FQ4 2023","FQ4 2023","Currency=USD","Period=FQ","BEST_FPERIOD_OVERRIDE=FQ","FILING_STATUS=MR","SCALING_FORMAT=MLN","Sort=A","Dates=H","DateFormat=P","Fill=—","Direction=H","UseDPDF=Y")</f>
        <v>—</v>
      </c>
      <c r="X111" s="13" t="str">
        <f>_xll.BDH("ALNY US Equity","ARDR_CAPEX_AS_REPORTED","FQ1 2024","FQ1 2024","Currency=USD","Period=FQ","BEST_FPERIOD_OVERRIDE=FQ","FILING_STATUS=MR","SCALING_FORMAT=MLN","Sort=A","Dates=H","DateFormat=P","Fill=—","Direction=H","UseDPDF=Y")</f>
        <v>—</v>
      </c>
      <c r="Y111" s="13" t="str">
        <f>_xll.BDH("ALNY US Equity","ARDR_CAPEX_AS_REPORTED","FQ2 2024","FQ2 2024","Currency=USD","Period=FQ","BEST_FPERIOD_OVERRIDE=FQ","FILING_STATUS=MR","SCALING_FORMAT=MLN","Sort=A","Dates=H","DateFormat=P","Fill=—","Direction=H","UseDPDF=Y")</f>
        <v>—</v>
      </c>
      <c r="Z111" s="13" t="str">
        <f>_xll.BDH("ALNY US Equity","ARDR_CAPEX_AS_REPORTED","FQ3 2024","FQ3 2024","Currency=USD","Period=FQ","BEST_FPERIOD_OVERRIDE=FQ","FILING_STATUS=MR","SCALING_FORMAT=MLN","Sort=A","Dates=H","DateFormat=P","Fill=—","Direction=H","UseDPDF=Y")</f>
        <v>—</v>
      </c>
      <c r="AA111" s="13">
        <f>_xll.BDH("ALNY US Equity","ARDR_CAPEX_AS_REPORTED","FQ4 2024","FQ4 2024","Currency=USD","Period=FQ","BEST_FPERIOD_OVERRIDE=FQ","FILING_STATUS=MR","SCALING_FORMAT=MLN","Sort=A","Dates=H","DateFormat=P","Fill=—","Direction=H","UseDPDF=Y")</f>
        <v>9.0939999999999994</v>
      </c>
    </row>
    <row r="112" spans="1:27" x14ac:dyDescent="0.25">
      <c r="A112" s="10" t="s">
        <v>586</v>
      </c>
      <c r="B112" s="10" t="s">
        <v>587</v>
      </c>
      <c r="C112" s="13">
        <f>_xll.BDH("ALNY US Equity","ARDR_STK_BSD_CMPNSTN_CF_PRE_TAX","FQ4 2018","FQ4 2018","Currency=USD","Period=FQ","BEST_FPERIOD_OVERRIDE=FQ","FILING_STATUS=MR","SCALING_FORMAT=MLN","Sort=A","Dates=H","DateFormat=P","Fill=—","Direction=H","UseDPDF=Y")</f>
        <v>27.972999999999999</v>
      </c>
      <c r="D112" s="13">
        <f>_xll.BDH("ALNY US Equity","ARDR_STK_BSD_CMPNSTN_CF_PRE_TAX","FQ1 2019","FQ1 2019","Currency=USD","Period=FQ","BEST_FPERIOD_OVERRIDE=FQ","FILING_STATUS=MR","SCALING_FORMAT=MLN","Sort=A","Dates=H","DateFormat=P","Fill=—","Direction=H","UseDPDF=Y")</f>
        <v>32.031999999999996</v>
      </c>
      <c r="E112" s="13">
        <f>_xll.BDH("ALNY US Equity","ARDR_STK_BSD_CMPNSTN_CF_PRE_TAX","FQ2 2019","FQ2 2019","Currency=USD","Period=FQ","BEST_FPERIOD_OVERRIDE=FQ","FILING_STATUS=MR","SCALING_FORMAT=MLN","Sort=A","Dates=H","DateFormat=P","Fill=—","Direction=H","UseDPDF=Y")</f>
        <v>30.603000000000002</v>
      </c>
      <c r="F112" s="13">
        <f>_xll.BDH("ALNY US Equity","ARDR_STK_BSD_CMPNSTN_CF_PRE_TAX","FQ3 2019","FQ3 2019","Currency=USD","Period=FQ","BEST_FPERIOD_OVERRIDE=FQ","FILING_STATUS=MR","SCALING_FORMAT=MLN","Sort=A","Dates=H","DateFormat=P","Fill=—","Direction=H","UseDPDF=Y")</f>
        <v>46.009</v>
      </c>
      <c r="G112" s="13">
        <f>_xll.BDH("ALNY US Equity","ARDR_STK_BSD_CMPNSTN_CF_PRE_TAX","FQ4 2019","FQ4 2019","Currency=USD","Period=FQ","BEST_FPERIOD_OVERRIDE=FQ","FILING_STATUS=MR","SCALING_FORMAT=MLN","Sort=A","Dates=H","DateFormat=P","Fill=—","Direction=H","UseDPDF=Y")</f>
        <v>66.197000000000003</v>
      </c>
      <c r="H112" s="13">
        <f>_xll.BDH("ALNY US Equity","ARDR_STK_BSD_CMPNSTN_CF_PRE_TAX","FQ1 2020","FQ1 2020","Currency=USD","Period=FQ","BEST_FPERIOD_OVERRIDE=FQ","FILING_STATUS=MR","SCALING_FORMAT=MLN","Sort=A","Dates=H","DateFormat=P","Fill=—","Direction=H","UseDPDF=Y")</f>
        <v>34.578000000000003</v>
      </c>
      <c r="I112" s="13">
        <f>_xll.BDH("ALNY US Equity","ARDR_STK_BSD_CMPNSTN_CF_PRE_TAX","FQ2 2020","FQ2 2020","Currency=USD","Period=FQ","BEST_FPERIOD_OVERRIDE=FQ","FILING_STATUS=MR","SCALING_FORMAT=MLN","Sort=A","Dates=H","DateFormat=P","Fill=—","Direction=H","UseDPDF=Y")</f>
        <v>33.755000000000003</v>
      </c>
      <c r="J112" s="13">
        <f>_xll.BDH("ALNY US Equity","ARDR_STK_BSD_CMPNSTN_CF_PRE_TAX","FQ3 2020","FQ3 2020","Currency=USD","Period=FQ","BEST_FPERIOD_OVERRIDE=FQ","FILING_STATUS=MR","SCALING_FORMAT=MLN","Sort=A","Dates=H","DateFormat=P","Fill=—","Direction=H","UseDPDF=Y")</f>
        <v>37.264000000000003</v>
      </c>
      <c r="K112" s="13">
        <f>_xll.BDH("ALNY US Equity","ARDR_STK_BSD_CMPNSTN_CF_PRE_TAX","FQ4 2020","FQ4 2020","Currency=USD","Period=FQ","BEST_FPERIOD_OVERRIDE=FQ","FILING_STATUS=MR","SCALING_FORMAT=MLN","Sort=A","Dates=H","DateFormat=P","Fill=—","Direction=H","UseDPDF=Y")</f>
        <v>34.276000000000003</v>
      </c>
      <c r="L112" s="13">
        <f>_xll.BDH("ALNY US Equity","ARDR_STK_BSD_CMPNSTN_CF_PRE_TAX","FQ1 2021","FQ1 2021","Currency=USD","Period=FQ","BEST_FPERIOD_OVERRIDE=FQ","FILING_STATUS=MR","SCALING_FORMAT=MLN","Sort=A","Dates=H","DateFormat=P","Fill=—","Direction=H","UseDPDF=Y")</f>
        <v>55.69</v>
      </c>
      <c r="M112" s="13">
        <f>_xll.BDH("ALNY US Equity","ARDR_STK_BSD_CMPNSTN_CF_PRE_TAX","FQ2 2021","FQ2 2021","Currency=USD","Period=FQ","BEST_FPERIOD_OVERRIDE=FQ","FILING_STATUS=MR","SCALING_FORMAT=MLN","Sort=A","Dates=H","DateFormat=P","Fill=—","Direction=H","UseDPDF=Y")</f>
        <v>32.078000000000003</v>
      </c>
      <c r="N112" s="13">
        <f>_xll.BDH("ALNY US Equity","ARDR_STK_BSD_CMPNSTN_CF_PRE_TAX","FQ3 2021","FQ3 2021","Currency=USD","Period=FQ","BEST_FPERIOD_OVERRIDE=FQ","FILING_STATUS=MR","SCALING_FORMAT=MLN","Sort=A","Dates=H","DateFormat=P","Fill=—","Direction=H","UseDPDF=Y")</f>
        <v>33.366999999999997</v>
      </c>
      <c r="O112" s="13" t="str">
        <f>_xll.BDH("ALNY US Equity","ARDR_STK_BSD_CMPNSTN_CF_PRE_TAX","FQ4 2021","FQ4 2021","Currency=USD","Period=FQ","BEST_FPERIOD_OVERRIDE=FQ","FILING_STATUS=MR","SCALING_FORMAT=MLN","Sort=A","Dates=H","DateFormat=P","Fill=—","Direction=H","UseDPDF=Y")</f>
        <v>—</v>
      </c>
      <c r="P112" s="13">
        <f>_xll.BDH("ALNY US Equity","ARDR_STK_BSD_CMPNSTN_CF_PRE_TAX","FQ1 2022","FQ1 2022","Currency=USD","Period=FQ","BEST_FPERIOD_OVERRIDE=FQ","FILING_STATUS=MR","SCALING_FORMAT=MLN","Sort=A","Dates=H","DateFormat=P","Fill=—","Direction=H","UseDPDF=Y")</f>
        <v>29.292999999999999</v>
      </c>
      <c r="Q112" s="13">
        <f>_xll.BDH("ALNY US Equity","ARDR_STK_BSD_CMPNSTN_CF_PRE_TAX","FQ2 2022","FQ2 2022","Currency=USD","Period=FQ","BEST_FPERIOD_OVERRIDE=FQ","FILING_STATUS=MR","SCALING_FORMAT=MLN","Sort=A","Dates=H","DateFormat=P","Fill=—","Direction=H","UseDPDF=Y")</f>
        <v>59.764000000000003</v>
      </c>
      <c r="R112" s="13">
        <f>_xll.BDH("ALNY US Equity","ARDR_STK_BSD_CMPNSTN_CF_PRE_TAX","FQ3 2022","FQ3 2022","Currency=USD","Period=FQ","BEST_FPERIOD_OVERRIDE=FQ","FILING_STATUS=MR","SCALING_FORMAT=MLN","Sort=A","Dates=H","DateFormat=P","Fill=—","Direction=H","UseDPDF=Y")</f>
        <v>128.11799999999999</v>
      </c>
      <c r="S112" s="13">
        <f>_xll.BDH("ALNY US Equity","ARDR_STK_BSD_CMPNSTN_CF_PRE_TAX","FQ4 2022","FQ4 2022","Currency=USD","Period=FQ","BEST_FPERIOD_OVERRIDE=FQ","FILING_STATUS=MR","SCALING_FORMAT=MLN","Sort=A","Dates=H","DateFormat=P","Fill=—","Direction=H","UseDPDF=Y")</f>
        <v>42.767000000000003</v>
      </c>
      <c r="T112" s="13">
        <f>_xll.BDH("ALNY US Equity","ARDR_STK_BSD_CMPNSTN_CF_PRE_TAX","FQ1 2023","FQ1 2023","Currency=USD","Period=FQ","BEST_FPERIOD_OVERRIDE=FQ","FILING_STATUS=MR","SCALING_FORMAT=MLN","Sort=A","Dates=H","DateFormat=P","Fill=—","Direction=H","UseDPDF=Y")</f>
        <v>39.947000000000003</v>
      </c>
      <c r="U112" s="13">
        <f>_xll.BDH("ALNY US Equity","ARDR_STK_BSD_CMPNSTN_CF_PRE_TAX","FQ2 2023","FQ2 2023","Currency=USD","Period=FQ","BEST_FPERIOD_OVERRIDE=FQ","FILING_STATUS=MR","SCALING_FORMAT=MLN","Sort=A","Dates=H","DateFormat=P","Fill=—","Direction=H","UseDPDF=Y")</f>
        <v>75.802000000000007</v>
      </c>
      <c r="V112" s="13">
        <f>_xll.BDH("ALNY US Equity","ARDR_STK_BSD_CMPNSTN_CF_PRE_TAX","FQ3 2023","FQ3 2023","Currency=USD","Period=FQ","BEST_FPERIOD_OVERRIDE=FQ","FILING_STATUS=MR","SCALING_FORMAT=MLN","Sort=A","Dates=H","DateFormat=P","Fill=—","Direction=H","UseDPDF=Y")</f>
        <v>63.936999999999998</v>
      </c>
      <c r="W112" s="13">
        <f>_xll.BDH("ALNY US Equity","ARDR_STK_BSD_CMPNSTN_CF_PRE_TAX","FQ4 2023","FQ4 2023","Currency=USD","Period=FQ","BEST_FPERIOD_OVERRIDE=FQ","FILING_STATUS=MR","SCALING_FORMAT=MLN","Sort=A","Dates=H","DateFormat=P","Fill=—","Direction=H","UseDPDF=Y")</f>
        <v>41.994</v>
      </c>
      <c r="X112" s="13">
        <f>_xll.BDH("ALNY US Equity","ARDR_STK_BSD_CMPNSTN_CF_PRE_TAX","FQ1 2024","FQ1 2024","Currency=USD","Period=FQ","BEST_FPERIOD_OVERRIDE=FQ","FILING_STATUS=MR","SCALING_FORMAT=MLN","Sort=A","Dates=H","DateFormat=P","Fill=—","Direction=H","UseDPDF=Y")</f>
        <v>45.347000000000001</v>
      </c>
      <c r="Y112" s="13">
        <f>_xll.BDH("ALNY US Equity","ARDR_STK_BSD_CMPNSTN_CF_PRE_TAX","FQ2 2024","FQ2 2024","Currency=USD","Period=FQ","BEST_FPERIOD_OVERRIDE=FQ","FILING_STATUS=MR","SCALING_FORMAT=MLN","Sort=A","Dates=H","DateFormat=P","Fill=—","Direction=H","UseDPDF=Y")</f>
        <v>89.287999999999997</v>
      </c>
      <c r="Z112" s="13">
        <f>_xll.BDH("ALNY US Equity","ARDR_STK_BSD_CMPNSTN_CF_PRE_TAX","FQ3 2024","FQ3 2024","Currency=USD","Period=FQ","BEST_FPERIOD_OVERRIDE=FQ","FILING_STATUS=MR","SCALING_FORMAT=MLN","Sort=A","Dates=H","DateFormat=P","Fill=—","Direction=H","UseDPDF=Y")</f>
        <v>45.804000000000002</v>
      </c>
      <c r="AA112" s="13">
        <f>_xll.BDH("ALNY US Equity","ARDR_STK_BSD_CMPNSTN_CF_PRE_TAX","FQ4 2024","FQ4 2024","Currency=USD","Period=FQ","BEST_FPERIOD_OVERRIDE=FQ","FILING_STATUS=MR","SCALING_FORMAT=MLN","Sort=A","Dates=H","DateFormat=P","Fill=—","Direction=H","UseDPDF=Y")</f>
        <v>91.644999999999996</v>
      </c>
    </row>
    <row r="113" spans="1:27" x14ac:dyDescent="0.25">
      <c r="A113" s="7" t="s">
        <v>90</v>
      </c>
      <c r="B113" s="7"/>
      <c r="C113" s="7" t="s">
        <v>5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588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589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6" t="s">
        <v>590</v>
      </c>
      <c r="B7" s="6" t="s">
        <v>99</v>
      </c>
      <c r="C7" s="19">
        <f>_xll.BDH("ALNY US Equity","IS_OPER_INC","FQ4 2018","FQ4 2018","Currency=USD","Period=FQ","BEST_FPERIOD_OVERRIDE=FQ","FILING_STATUS=MR","SCALING_FORMAT=MLN","FA_ADJUSTED=GAAP","Sort=A","Dates=H","DateFormat=P","Fill=—","Direction=H","UseDPDF=Y")</f>
        <v>-220.35599999999999</v>
      </c>
      <c r="D7" s="19">
        <f>_xll.BDH("ALNY US Equity","IS_OPER_INC","FQ1 2019","FQ1 2019","Currency=USD","Period=FQ","BEST_FPERIOD_OVERRIDE=FQ","FILING_STATUS=MR","SCALING_FORMAT=MLN","FA_ADJUSTED=GAAP","Sort=A","Dates=H","DateFormat=P","Fill=—","Direction=H","UseDPDF=Y")</f>
        <v>-188.78800000000001</v>
      </c>
      <c r="E7" s="19">
        <f>_xll.BDH("ALNY US Equity","IS_OPER_INC","FQ2 2019","FQ2 2019","Currency=USD","Period=FQ","BEST_FPERIOD_OVERRIDE=FQ","FILING_STATUS=MR","SCALING_FORMAT=MLN","FA_ADJUSTED=GAAP","Sort=A","Dates=H","DateFormat=P","Fill=—","Direction=H","UseDPDF=Y")</f>
        <v>-236.27099999999999</v>
      </c>
      <c r="F7" s="19">
        <f>_xll.BDH("ALNY US Equity","IS_OPER_INC","FQ3 2019","FQ3 2019","Currency=USD","Period=FQ","BEST_FPERIOD_OVERRIDE=FQ","FILING_STATUS=MR","SCALING_FORMAT=MLN","FA_ADJUSTED=GAAP","Sort=A","Dates=H","DateFormat=P","Fill=—","Direction=H","UseDPDF=Y")</f>
        <v>-216.29900000000001</v>
      </c>
      <c r="G7" s="19">
        <f>_xll.BDH("ALNY US Equity","IS_OPER_INC","FQ4 2019","FQ4 2019","Currency=USD","Period=FQ","BEST_FPERIOD_OVERRIDE=FQ","FILING_STATUS=MR","SCALING_FORMAT=MLN","FA_ADJUSTED=GAAP","Sort=A","Dates=H","DateFormat=P","Fill=—","Direction=H","UseDPDF=Y")</f>
        <v>-298.07299999999998</v>
      </c>
      <c r="H7" s="19">
        <f>_xll.BDH("ALNY US Equity","IS_OPER_INC","FQ1 2020","FQ1 2020","Currency=USD","Period=FQ","BEST_FPERIOD_OVERRIDE=FQ","FILING_STATUS=MR","SCALING_FORMAT=MLN","FA_ADJUSTED=GAAP","Sort=A","Dates=H","DateFormat=P","Fill=—","Direction=H","UseDPDF=Y")</f>
        <v>-210.15799999999999</v>
      </c>
      <c r="I7" s="19">
        <f>_xll.BDH("ALNY US Equity","IS_OPER_INC","FQ2 2020","FQ2 2020","Currency=USD","Period=FQ","BEST_FPERIOD_OVERRIDE=FQ","FILING_STATUS=MR","SCALING_FORMAT=MLN","FA_ADJUSTED=GAAP","Sort=A","Dates=H","DateFormat=P","Fill=—","Direction=H","UseDPDF=Y")</f>
        <v>-198.85900000000001</v>
      </c>
      <c r="J7" s="19">
        <f>_xll.BDH("ALNY US Equity","IS_OPER_INC","FQ3 2020","FQ3 2020","Currency=USD","Period=FQ","BEST_FPERIOD_OVERRIDE=FQ","FILING_STATUS=MR","SCALING_FORMAT=MLN","FA_ADJUSTED=GAAP","Sort=A","Dates=H","DateFormat=P","Fill=—","Direction=H","UseDPDF=Y")</f>
        <v>-225.19900000000001</v>
      </c>
      <c r="K7" s="19">
        <f>_xll.BDH("ALNY US Equity","IS_OPER_INC","FQ4 2020","FQ4 2020","Currency=USD","Period=FQ","BEST_FPERIOD_OVERRIDE=FQ","FILING_STATUS=MR","SCALING_FORMAT=MLN","FA_ADJUSTED=GAAP","Sort=A","Dates=H","DateFormat=P","Fill=—","Direction=H","UseDPDF=Y")</f>
        <v>-194.22200000000001</v>
      </c>
      <c r="L7" s="19">
        <f>_xll.BDH("ALNY US Equity","IS_OPER_INC","FQ1 2021","FQ1 2021","Currency=USD","Period=FQ","BEST_FPERIOD_OVERRIDE=FQ","FILING_STATUS=MR","SCALING_FORMAT=MLN","FA_ADJUSTED=GAAP","Sort=A","Dates=H","DateFormat=P","Fill=—","Direction=H","UseDPDF=Y")</f>
        <v>-186.25399999999999</v>
      </c>
      <c r="M7" s="19">
        <f>_xll.BDH("ALNY US Equity","IS_OPER_INC","FQ2 2021","FQ2 2021","Currency=USD","Period=FQ","BEST_FPERIOD_OVERRIDE=FQ","FILING_STATUS=MR","SCALING_FORMAT=MLN","FA_ADJUSTED=GAAP","Sort=A","Dates=H","DateFormat=P","Fill=—","Direction=H","UseDPDF=Y")</f>
        <v>-146.16</v>
      </c>
      <c r="N7" s="19">
        <f>_xll.BDH("ALNY US Equity","IS_OPER_INC","FQ3 2021","FQ3 2021","Currency=USD","Period=FQ","BEST_FPERIOD_OVERRIDE=FQ","FILING_STATUS=MR","SCALING_FORMAT=MLN","FA_ADJUSTED=GAAP","Sort=A","Dates=H","DateFormat=P","Fill=—","Direction=H","UseDPDF=Y")</f>
        <v>-181.67699999999999</v>
      </c>
      <c r="O7" s="19">
        <f>_xll.BDH("ALNY US Equity","IS_OPER_INC","FQ4 2021","FQ4 2021","Currency=USD","Period=FQ","BEST_FPERIOD_OVERRIDE=FQ","FILING_STATUS=MR","SCALING_FORMAT=MLN","FA_ADJUSTED=GAAP","Sort=A","Dates=H","DateFormat=P","Fill=—","Direction=H","UseDPDF=Y")</f>
        <v>-194.56100000000001</v>
      </c>
      <c r="P7" s="19">
        <f>_xll.BDH("ALNY US Equity","IS_OPER_INC","FQ1 2022","FQ1 2022","Currency=USD","Period=FQ","BEST_FPERIOD_OVERRIDE=FQ","FILING_STATUS=MR","SCALING_FORMAT=MLN","FA_ADJUSTED=GAAP","Sort=A","Dates=H","DateFormat=P","Fill=—","Direction=H","UseDPDF=Y")</f>
        <v>-146.732</v>
      </c>
      <c r="Q7" s="19">
        <f>_xll.BDH("ALNY US Equity","IS_OPER_INC","FQ2 2022","FQ2 2022","Currency=USD","Period=FQ","BEST_FPERIOD_OVERRIDE=FQ","FILING_STATUS=MR","SCALING_FORMAT=MLN","FA_ADJUSTED=GAAP","Sort=A","Dates=H","DateFormat=P","Fill=—","Direction=H","UseDPDF=Y")</f>
        <v>-191.68600000000001</v>
      </c>
      <c r="R7" s="19">
        <f>_xll.BDH("ALNY US Equity","IS_OPER_INC","FQ3 2022","FQ3 2022","Currency=USD","Period=FQ","BEST_FPERIOD_OVERRIDE=FQ","FILING_STATUS=MR","SCALING_FORMAT=MLN","FA_ADJUSTED=GAAP","Sort=A","Dates=H","DateFormat=P","Fill=—","Direction=H","UseDPDF=Y")</f>
        <v>-258.04000000000002</v>
      </c>
      <c r="S7" s="19">
        <f>_xll.BDH("ALNY US Equity","IS_OPER_INC","FQ4 2022","FQ4 2022","Currency=USD","Period=FQ","BEST_FPERIOD_OVERRIDE=FQ","FILING_STATUS=MR","SCALING_FORMAT=MLN","FA_ADJUSTED=GAAP","Sort=A","Dates=H","DateFormat=P","Fill=—","Direction=H","UseDPDF=Y")</f>
        <v>-188.614</v>
      </c>
      <c r="T7" s="19">
        <f>_xll.BDH("ALNY US Equity","IS_OPER_INC","FQ1 2023","FQ1 2023","Currency=USD","Period=FQ","BEST_FPERIOD_OVERRIDE=FQ","FILING_STATUS=MR","SCALING_FORMAT=MLN","FA_ADJUSTED=GAAP","Sort=A","Dates=H","DateFormat=P","Fill=—","Direction=H","UseDPDF=Y")</f>
        <v>-149.80699999999999</v>
      </c>
      <c r="U7" s="19">
        <f>_xll.BDH("ALNY US Equity","IS_OPER_INC","FQ2 2023","FQ2 2023","Currency=USD","Period=FQ","BEST_FPERIOD_OVERRIDE=FQ","FILING_STATUS=MR","SCALING_FORMAT=MLN","FA_ADJUSTED=GAAP","Sort=A","Dates=H","DateFormat=P","Fill=—","Direction=H","UseDPDF=Y")</f>
        <v>-229.83099999999999</v>
      </c>
      <c r="V7" s="19">
        <f>_xll.BDH("ALNY US Equity","IS_OPER_INC","FQ3 2023","FQ3 2023","Currency=USD","Period=FQ","BEST_FPERIOD_OVERRIDE=FQ","FILING_STATUS=MR","SCALING_FORMAT=MLN","FA_ADJUSTED=GAAP","Sort=A","Dates=H","DateFormat=P","Fill=—","Direction=H","UseDPDF=Y")</f>
        <v>213.86699999999999</v>
      </c>
      <c r="W7" s="19">
        <f>_xll.BDH("ALNY US Equity","IS_OPER_INC","FQ4 2023","FQ4 2023","Currency=USD","Period=FQ","BEST_FPERIOD_OVERRIDE=FQ","FILING_STATUS=MR","SCALING_FORMAT=MLN","FA_ADJUSTED=GAAP","Sort=A","Dates=H","DateFormat=P","Fill=—","Direction=H","UseDPDF=Y")</f>
        <v>-116.404</v>
      </c>
      <c r="X7" s="19">
        <f>_xll.BDH("ALNY US Equity","IS_OPER_INC","FQ1 2024","FQ1 2024","Currency=USD","Period=FQ","BEST_FPERIOD_OVERRIDE=FQ","FILING_STATUS=MR","SCALING_FORMAT=MLN","FA_ADJUSTED=GAAP","Sort=A","Dates=H","DateFormat=P","Fill=—","Direction=H","UseDPDF=Y")</f>
        <v>-43.435000000000002</v>
      </c>
      <c r="Y7" s="19">
        <f>_xll.BDH("ALNY US Equity","IS_OPER_INC","FQ2 2024","FQ2 2024","Currency=USD","Period=FQ","BEST_FPERIOD_OVERRIDE=FQ","FILING_STATUS=MR","SCALING_FORMAT=MLN","FA_ADJUSTED=GAAP","Sort=A","Dates=H","DateFormat=P","Fill=—","Direction=H","UseDPDF=Y")</f>
        <v>48.613999999999997</v>
      </c>
      <c r="Z7" s="19">
        <f>_xll.BDH("ALNY US Equity","IS_OPER_INC","FQ3 2024","FQ3 2024","Currency=USD","Period=FQ","BEST_FPERIOD_OVERRIDE=FQ","FILING_STATUS=MR","SCALING_FORMAT=MLN","FA_ADJUSTED=GAAP","Sort=A","Dates=H","DateFormat=P","Fill=—","Direction=H","UseDPDF=Y")</f>
        <v>-76.905000000000001</v>
      </c>
      <c r="AA7" s="19">
        <f>_xll.BDH("ALNY US Equity","IS_OPER_INC","FQ4 2024","FQ4 2024","Currency=USD","Period=FQ","BEST_FPERIOD_OVERRIDE=FQ","FILING_STATUS=MR","SCALING_FORMAT=MLN","FA_ADJUSTED=GAAP","Sort=A","Dates=H","DateFormat=P","Fill=—","Direction=H","UseDPDF=Y")</f>
        <v>-105.15900000000001</v>
      </c>
    </row>
    <row r="8" spans="1:27" x14ac:dyDescent="0.25">
      <c r="A8" s="10" t="s">
        <v>591</v>
      </c>
      <c r="B8" s="10" t="s">
        <v>592</v>
      </c>
      <c r="C8" s="13">
        <f>_xll.BDH("ALNY US Equity","IS_REVENUE_ADJUSTMENTS","FQ4 2018","FQ4 2018","Currency=USD","Period=FQ","BEST_FPERIOD_OVERRIDE=FQ","FILING_STATUS=MR","SCALING_FORMAT=MLN","Sort=A","Dates=H","DateFormat=P","Fill=—","Direction=H","UseDPDF=Y")</f>
        <v>0</v>
      </c>
      <c r="D8" s="13">
        <f>_xll.BDH("ALNY US Equity","IS_REVENUE_ADJUSTMENTS","FQ1 2019","FQ1 2019","Currency=USD","Period=FQ","BEST_FPERIOD_OVERRIDE=FQ","FILING_STATUS=MR","SCALING_FORMAT=MLN","Sort=A","Dates=H","DateFormat=P","Fill=—","Direction=H","UseDPDF=Y")</f>
        <v>0</v>
      </c>
      <c r="E8" s="13">
        <f>_xll.BDH("ALNY US Equity","IS_REVENUE_ADJUSTMENTS","FQ2 2019","FQ2 2019","Currency=USD","Period=FQ","BEST_FPERIOD_OVERRIDE=FQ","FILING_STATUS=MR","SCALING_FORMAT=MLN","Sort=A","Dates=H","DateFormat=P","Fill=—","Direction=H","UseDPDF=Y")</f>
        <v>0</v>
      </c>
      <c r="F8" s="13">
        <f>_xll.BDH("ALNY US Equity","IS_REVENUE_ADJUSTMENTS","FQ3 2019","FQ3 2019","Currency=USD","Period=FQ","BEST_FPERIOD_OVERRIDE=FQ","FILING_STATUS=MR","SCALING_FORMAT=MLN","Sort=A","Dates=H","DateFormat=P","Fill=—","Direction=H","UseDPDF=Y")</f>
        <v>0</v>
      </c>
      <c r="G8" s="13">
        <f>_xll.BDH("ALNY US Equity","IS_REVENUE_ADJUSTMENTS","FQ4 2019","FQ4 2019","Currency=USD","Period=FQ","BEST_FPERIOD_OVERRIDE=FQ","FILING_STATUS=MR","SCALING_FORMAT=MLN","Sort=A","Dates=H","DateFormat=P","Fill=—","Direction=H","UseDPDF=Y")</f>
        <v>0</v>
      </c>
      <c r="H8" s="13">
        <f>_xll.BDH("ALNY US Equity","IS_REVENUE_ADJUSTMENTS","FQ1 2020","FQ1 2020","Currency=USD","Period=FQ","BEST_FPERIOD_OVERRIDE=FQ","FILING_STATUS=MR","SCALING_FORMAT=MLN","Sort=A","Dates=H","DateFormat=P","Fill=—","Direction=H","UseDPDF=Y")</f>
        <v>0</v>
      </c>
      <c r="I8" s="13">
        <f>_xll.BDH("ALNY US Equity","IS_REVENUE_ADJUSTMENTS","FQ2 2020","FQ2 2020","Currency=USD","Period=FQ","BEST_FPERIOD_OVERRIDE=FQ","FILING_STATUS=MR","SCALING_FORMAT=MLN","Sort=A","Dates=H","DateFormat=P","Fill=—","Direction=H","UseDPDF=Y")</f>
        <v>0</v>
      </c>
      <c r="J8" s="13">
        <f>_xll.BDH("ALNY US Equity","IS_REVENUE_ADJUSTMENTS","FQ3 2020","FQ3 2020","Currency=USD","Period=FQ","BEST_FPERIOD_OVERRIDE=FQ","FILING_STATUS=MR","SCALING_FORMAT=MLN","Sort=A","Dates=H","DateFormat=P","Fill=—","Direction=H","UseDPDF=Y")</f>
        <v>0</v>
      </c>
      <c r="K8" s="13">
        <f>_xll.BDH("ALNY US Equity","IS_REVENUE_ADJUSTMENTS","FQ4 2020","FQ4 2020","Currency=USD","Period=FQ","BEST_FPERIOD_OVERRIDE=FQ","FILING_STATUS=MR","SCALING_FORMAT=MLN","Sort=A","Dates=H","DateFormat=P","Fill=—","Direction=H","UseDPDF=Y")</f>
        <v>0</v>
      </c>
      <c r="L8" s="13">
        <f>_xll.BDH("ALNY US Equity","IS_REVENUE_ADJUSTMENTS","FQ1 2021","FQ1 2021","Currency=USD","Period=FQ","BEST_FPERIOD_OVERRIDE=FQ","FILING_STATUS=MR","SCALING_FORMAT=MLN","Sort=A","Dates=H","DateFormat=P","Fill=—","Direction=H","UseDPDF=Y")</f>
        <v>0</v>
      </c>
      <c r="M8" s="13">
        <f>_xll.BDH("ALNY US Equity","IS_REVENUE_ADJUSTMENTS","FQ2 2021","FQ2 2021","Currency=USD","Period=FQ","BEST_FPERIOD_OVERRIDE=FQ","FILING_STATUS=MR","SCALING_FORMAT=MLN","Sort=A","Dates=H","DateFormat=P","Fill=—","Direction=H","UseDPDF=Y")</f>
        <v>0</v>
      </c>
      <c r="N8" s="13">
        <f>_xll.BDH("ALNY US Equity","IS_REVENUE_ADJUSTMENTS","FQ3 2021","FQ3 2021","Currency=USD","Period=FQ","BEST_FPERIOD_OVERRIDE=FQ","FILING_STATUS=MR","SCALING_FORMAT=MLN","Sort=A","Dates=H","DateFormat=P","Fill=—","Direction=H","UseDPDF=Y")</f>
        <v>0</v>
      </c>
      <c r="O8" s="13">
        <f>_xll.BDH("ALNY US Equity","IS_REVENUE_ADJUSTMENTS","FQ4 2021","FQ4 2021","Currency=USD","Period=FQ","BEST_FPERIOD_OVERRIDE=FQ","FILING_STATUS=MR","SCALING_FORMAT=MLN","Sort=A","Dates=H","DateFormat=P","Fill=—","Direction=H","UseDPDF=Y")</f>
        <v>0</v>
      </c>
      <c r="P8" s="13">
        <f>_xll.BDH("ALNY US Equity","IS_REVENUE_ADJUSTMENTS","FQ1 2022","FQ1 2022","Currency=USD","Period=FQ","BEST_FPERIOD_OVERRIDE=FQ","FILING_STATUS=MR","SCALING_FORMAT=MLN","Sort=A","Dates=H","DateFormat=P","Fill=—","Direction=H","UseDPDF=Y")</f>
        <v>0</v>
      </c>
      <c r="Q8" s="13">
        <f>_xll.BDH("ALNY US Equity","IS_REVENUE_ADJUSTMENTS","FQ2 2022","FQ2 2022","Currency=USD","Period=FQ","BEST_FPERIOD_OVERRIDE=FQ","FILING_STATUS=MR","SCALING_FORMAT=MLN","Sort=A","Dates=H","DateFormat=P","Fill=—","Direction=H","UseDPDF=Y")</f>
        <v>0</v>
      </c>
      <c r="R8" s="13">
        <f>_xll.BDH("ALNY US Equity","IS_REVENUE_ADJUSTMENTS","FQ3 2022","FQ3 2022","Currency=USD","Period=FQ","BEST_FPERIOD_OVERRIDE=FQ","FILING_STATUS=MR","SCALING_FORMAT=MLN","Sort=A","Dates=H","DateFormat=P","Fill=—","Direction=H","UseDPDF=Y")</f>
        <v>0</v>
      </c>
      <c r="S8" s="13">
        <f>_xll.BDH("ALNY US Equity","IS_REVENUE_ADJUSTMENTS","FQ4 2022","FQ4 2022","Currency=USD","Period=FQ","BEST_FPERIOD_OVERRIDE=FQ","FILING_STATUS=MR","SCALING_FORMAT=MLN","Sort=A","Dates=H","DateFormat=P","Fill=—","Direction=H","UseDPDF=Y")</f>
        <v>0</v>
      </c>
      <c r="T8" s="13">
        <f>_xll.BDH("ALNY US Equity","IS_REVENUE_ADJUSTMENTS","FQ1 2023","FQ1 2023","Currency=USD","Period=FQ","BEST_FPERIOD_OVERRIDE=FQ","FILING_STATUS=MR","SCALING_FORMAT=MLN","Sort=A","Dates=H","DateFormat=P","Fill=—","Direction=H","UseDPDF=Y")</f>
        <v>0</v>
      </c>
      <c r="U8" s="13">
        <f>_xll.BDH("ALNY US Equity","IS_REVENUE_ADJUSTMENTS","FQ2 2023","FQ2 2023","Currency=USD","Period=FQ","BEST_FPERIOD_OVERRIDE=FQ","FILING_STATUS=MR","SCALING_FORMAT=MLN","Sort=A","Dates=H","DateFormat=P","Fill=—","Direction=H","UseDPDF=Y")</f>
        <v>0</v>
      </c>
      <c r="V8" s="13">
        <f>_xll.BDH("ALNY US Equity","IS_REVENUE_ADJUSTMENTS","FQ3 2023","FQ3 2023","Currency=USD","Period=FQ","BEST_FPERIOD_OVERRIDE=FQ","FILING_STATUS=MR","SCALING_FORMAT=MLN","Sort=A","Dates=H","DateFormat=P","Fill=—","Direction=H","UseDPDF=Y")</f>
        <v>0</v>
      </c>
      <c r="W8" s="13">
        <f>_xll.BDH("ALNY US Equity","IS_REVENUE_ADJUSTMENTS","FQ4 2023","FQ4 2023","Currency=USD","Period=FQ","BEST_FPERIOD_OVERRIDE=FQ","FILING_STATUS=MR","SCALING_FORMAT=MLN","Sort=A","Dates=H","DateFormat=P","Fill=—","Direction=H","UseDPDF=Y")</f>
        <v>0</v>
      </c>
      <c r="X8" s="13">
        <f>_xll.BDH("ALNY US Equity","IS_REVENUE_ADJUSTMENTS","FQ1 2024","FQ1 2024","Currency=USD","Period=FQ","BEST_FPERIOD_OVERRIDE=FQ","FILING_STATUS=MR","SCALING_FORMAT=MLN","Sort=A","Dates=H","DateFormat=P","Fill=—","Direction=H","UseDPDF=Y")</f>
        <v>0</v>
      </c>
      <c r="Y8" s="13">
        <f>_xll.BDH("ALNY US Equity","IS_REVENUE_ADJUSTMENTS","FQ2 2024","FQ2 2024","Currency=USD","Period=FQ","BEST_FPERIOD_OVERRIDE=FQ","FILING_STATUS=MR","SCALING_FORMAT=MLN","Sort=A","Dates=H","DateFormat=P","Fill=—","Direction=H","UseDPDF=Y")</f>
        <v>0</v>
      </c>
      <c r="Z8" s="13">
        <f>_xll.BDH("ALNY US Equity","IS_REVENUE_ADJUSTMENTS","FQ3 2024","FQ3 2024","Currency=USD","Period=FQ","BEST_FPERIOD_OVERRIDE=FQ","FILING_STATUS=MR","SCALING_FORMAT=MLN","Sort=A","Dates=H","DateFormat=P","Fill=—","Direction=H","UseDPDF=Y")</f>
        <v>0</v>
      </c>
      <c r="AA8" s="13">
        <f>_xll.BDH("ALNY US Equity","IS_REVENUE_ADJUSTMENTS","FQ4 2024","FQ4 2024","Currency=USD","Period=FQ","BEST_FPERIOD_OVERRIDE=FQ","FILING_STATUS=MR","SCALING_FORMAT=MLN","Sort=A","Dates=H","DateFormat=P","Fill=—","Direction=H","UseDPDF=Y")</f>
        <v>0</v>
      </c>
    </row>
    <row r="9" spans="1:27" x14ac:dyDescent="0.25">
      <c r="A9" s="10" t="s">
        <v>593</v>
      </c>
      <c r="B9" s="10" t="s">
        <v>594</v>
      </c>
      <c r="C9" s="13">
        <f>_xll.BDH("ALNY US Equity","IS_COST_OF_REVENUE_ADJUSTMENTS","FQ4 2018","FQ4 2018","Currency=USD","Period=FQ","BEST_FPERIOD_OVERRIDE=FQ","FILING_STATUS=MR","SCALING_FORMAT=MLN","Sort=A","Dates=H","DateFormat=P","Fill=—","Direction=H","UseDPDF=Y")</f>
        <v>0</v>
      </c>
      <c r="D9" s="13">
        <f>_xll.BDH("ALNY US Equity","IS_COST_OF_REVENUE_ADJUSTMENTS","FQ1 2019","FQ1 2019","Currency=USD","Period=FQ","BEST_FPERIOD_OVERRIDE=FQ","FILING_STATUS=MR","SCALING_FORMAT=MLN","Sort=A","Dates=H","DateFormat=P","Fill=—","Direction=H","UseDPDF=Y")</f>
        <v>0</v>
      </c>
      <c r="E9" s="13">
        <f>_xll.BDH("ALNY US Equity","IS_COST_OF_REVENUE_ADJUSTMENTS","FQ2 2019","FQ2 2019","Currency=USD","Period=FQ","BEST_FPERIOD_OVERRIDE=FQ","FILING_STATUS=MR","SCALING_FORMAT=MLN","Sort=A","Dates=H","DateFormat=P","Fill=—","Direction=H","UseDPDF=Y")</f>
        <v>0</v>
      </c>
      <c r="F9" s="13">
        <f>_xll.BDH("ALNY US Equity","IS_COST_OF_REVENUE_ADJUSTMENTS","FQ3 2019","FQ3 2019","Currency=USD","Period=FQ","BEST_FPERIOD_OVERRIDE=FQ","FILING_STATUS=MR","SCALING_FORMAT=MLN","Sort=A","Dates=H","DateFormat=P","Fill=—","Direction=H","UseDPDF=Y")</f>
        <v>0</v>
      </c>
      <c r="G9" s="13">
        <f>_xll.BDH("ALNY US Equity","IS_COST_OF_REVENUE_ADJUSTMENTS","FQ4 2019","FQ4 2019","Currency=USD","Period=FQ","BEST_FPERIOD_OVERRIDE=FQ","FILING_STATUS=MR","SCALING_FORMAT=MLN","Sort=A","Dates=H","DateFormat=P","Fill=—","Direction=H","UseDPDF=Y")</f>
        <v>0</v>
      </c>
      <c r="H9" s="13">
        <f>_xll.BDH("ALNY US Equity","IS_COST_OF_REVENUE_ADJUSTMENTS","FQ1 2020","FQ1 2020","Currency=USD","Period=FQ","BEST_FPERIOD_OVERRIDE=FQ","FILING_STATUS=MR","SCALING_FORMAT=MLN","Sort=A","Dates=H","DateFormat=P","Fill=—","Direction=H","UseDPDF=Y")</f>
        <v>0</v>
      </c>
      <c r="I9" s="13">
        <f>_xll.BDH("ALNY US Equity","IS_COST_OF_REVENUE_ADJUSTMENTS","FQ2 2020","FQ2 2020","Currency=USD","Period=FQ","BEST_FPERIOD_OVERRIDE=FQ","FILING_STATUS=MR","SCALING_FORMAT=MLN","Sort=A","Dates=H","DateFormat=P","Fill=—","Direction=H","UseDPDF=Y")</f>
        <v>0</v>
      </c>
      <c r="J9" s="13">
        <f>_xll.BDH("ALNY US Equity","IS_COST_OF_REVENUE_ADJUSTMENTS","FQ3 2020","FQ3 2020","Currency=USD","Period=FQ","BEST_FPERIOD_OVERRIDE=FQ","FILING_STATUS=MR","SCALING_FORMAT=MLN","Sort=A","Dates=H","DateFormat=P","Fill=—","Direction=H","UseDPDF=Y")</f>
        <v>0</v>
      </c>
      <c r="K9" s="13">
        <f>_xll.BDH("ALNY US Equity","IS_COST_OF_REVENUE_ADJUSTMENTS","FQ4 2020","FQ4 2020","Currency=USD","Period=FQ","BEST_FPERIOD_OVERRIDE=FQ","FILING_STATUS=MR","SCALING_FORMAT=MLN","Sort=A","Dates=H","DateFormat=P","Fill=—","Direction=H","UseDPDF=Y")</f>
        <v>0</v>
      </c>
      <c r="L9" s="13">
        <f>_xll.BDH("ALNY US Equity","IS_COST_OF_REVENUE_ADJUSTMENTS","FQ1 2021","FQ1 2021","Currency=USD","Period=FQ","BEST_FPERIOD_OVERRIDE=FQ","FILING_STATUS=MR","SCALING_FORMAT=MLN","Sort=A","Dates=H","DateFormat=P","Fill=—","Direction=H","UseDPDF=Y")</f>
        <v>0</v>
      </c>
      <c r="M9" s="13">
        <f>_xll.BDH("ALNY US Equity","IS_COST_OF_REVENUE_ADJUSTMENTS","FQ2 2021","FQ2 2021","Currency=USD","Period=FQ","BEST_FPERIOD_OVERRIDE=FQ","FILING_STATUS=MR","SCALING_FORMAT=MLN","Sort=A","Dates=H","DateFormat=P","Fill=—","Direction=H","UseDPDF=Y")</f>
        <v>0</v>
      </c>
      <c r="N9" s="13">
        <f>_xll.BDH("ALNY US Equity","IS_COST_OF_REVENUE_ADJUSTMENTS","FQ3 2021","FQ3 2021","Currency=USD","Period=FQ","BEST_FPERIOD_OVERRIDE=FQ","FILING_STATUS=MR","SCALING_FORMAT=MLN","Sort=A","Dates=H","DateFormat=P","Fill=—","Direction=H","UseDPDF=Y")</f>
        <v>0</v>
      </c>
      <c r="O9" s="13">
        <f>_xll.BDH("ALNY US Equity","IS_COST_OF_REVENUE_ADJUSTMENTS","FQ4 2021","FQ4 2021","Currency=USD","Period=FQ","BEST_FPERIOD_OVERRIDE=FQ","FILING_STATUS=MR","SCALING_FORMAT=MLN","Sort=A","Dates=H","DateFormat=P","Fill=—","Direction=H","UseDPDF=Y")</f>
        <v>0</v>
      </c>
      <c r="P9" s="13">
        <f>_xll.BDH("ALNY US Equity","IS_COST_OF_REVENUE_ADJUSTMENTS","FQ1 2022","FQ1 2022","Currency=USD","Period=FQ","BEST_FPERIOD_OVERRIDE=FQ","FILING_STATUS=MR","SCALING_FORMAT=MLN","Sort=A","Dates=H","DateFormat=P","Fill=—","Direction=H","UseDPDF=Y")</f>
        <v>0</v>
      </c>
      <c r="Q9" s="13">
        <f>_xll.BDH("ALNY US Equity","IS_COST_OF_REVENUE_ADJUSTMENTS","FQ2 2022","FQ2 2022","Currency=USD","Period=FQ","BEST_FPERIOD_OVERRIDE=FQ","FILING_STATUS=MR","SCALING_FORMAT=MLN","Sort=A","Dates=H","DateFormat=P","Fill=—","Direction=H","UseDPDF=Y")</f>
        <v>0</v>
      </c>
      <c r="R9" s="13">
        <f>_xll.BDH("ALNY US Equity","IS_COST_OF_REVENUE_ADJUSTMENTS","FQ3 2022","FQ3 2022","Currency=USD","Period=FQ","BEST_FPERIOD_OVERRIDE=FQ","FILING_STATUS=MR","SCALING_FORMAT=MLN","Sort=A","Dates=H","DateFormat=P","Fill=—","Direction=H","UseDPDF=Y")</f>
        <v>0</v>
      </c>
      <c r="S9" s="13">
        <f>_xll.BDH("ALNY US Equity","IS_COST_OF_REVENUE_ADJUSTMENTS","FQ4 2022","FQ4 2022","Currency=USD","Period=FQ","BEST_FPERIOD_OVERRIDE=FQ","FILING_STATUS=MR","SCALING_FORMAT=MLN","Sort=A","Dates=H","DateFormat=P","Fill=—","Direction=H","UseDPDF=Y")</f>
        <v>0</v>
      </c>
      <c r="T9" s="13">
        <f>_xll.BDH("ALNY US Equity","IS_COST_OF_REVENUE_ADJUSTMENTS","FQ1 2023","FQ1 2023","Currency=USD","Period=FQ","BEST_FPERIOD_OVERRIDE=FQ","FILING_STATUS=MR","SCALING_FORMAT=MLN","Sort=A","Dates=H","DateFormat=P","Fill=—","Direction=H","UseDPDF=Y")</f>
        <v>0</v>
      </c>
      <c r="U9" s="13">
        <f>_xll.BDH("ALNY US Equity","IS_COST_OF_REVENUE_ADJUSTMENTS","FQ2 2023","FQ2 2023","Currency=USD","Period=FQ","BEST_FPERIOD_OVERRIDE=FQ","FILING_STATUS=MR","SCALING_FORMAT=MLN","Sort=A","Dates=H","DateFormat=P","Fill=—","Direction=H","UseDPDF=Y")</f>
        <v>0</v>
      </c>
      <c r="V9" s="13">
        <f>_xll.BDH("ALNY US Equity","IS_COST_OF_REVENUE_ADJUSTMENTS","FQ3 2023","FQ3 2023","Currency=USD","Period=FQ","BEST_FPERIOD_OVERRIDE=FQ","FILING_STATUS=MR","SCALING_FORMAT=MLN","Sort=A","Dates=H","DateFormat=P","Fill=—","Direction=H","UseDPDF=Y")</f>
        <v>0</v>
      </c>
      <c r="W9" s="13">
        <f>_xll.BDH("ALNY US Equity","IS_COST_OF_REVENUE_ADJUSTMENTS","FQ4 2023","FQ4 2023","Currency=USD","Period=FQ","BEST_FPERIOD_OVERRIDE=FQ","FILING_STATUS=MR","SCALING_FORMAT=MLN","Sort=A","Dates=H","DateFormat=P","Fill=—","Direction=H","UseDPDF=Y")</f>
        <v>0</v>
      </c>
      <c r="X9" s="13">
        <f>_xll.BDH("ALNY US Equity","IS_COST_OF_REVENUE_ADJUSTMENTS","FQ1 2024","FQ1 2024","Currency=USD","Period=FQ","BEST_FPERIOD_OVERRIDE=FQ","FILING_STATUS=MR","SCALING_FORMAT=MLN","Sort=A","Dates=H","DateFormat=P","Fill=—","Direction=H","UseDPDF=Y")</f>
        <v>0</v>
      </c>
      <c r="Y9" s="13">
        <f>_xll.BDH("ALNY US Equity","IS_COST_OF_REVENUE_ADJUSTMENTS","FQ2 2024","FQ2 2024","Currency=USD","Period=FQ","BEST_FPERIOD_OVERRIDE=FQ","FILING_STATUS=MR","SCALING_FORMAT=MLN","Sort=A","Dates=H","DateFormat=P","Fill=—","Direction=H","UseDPDF=Y")</f>
        <v>0</v>
      </c>
      <c r="Z9" s="13">
        <f>_xll.BDH("ALNY US Equity","IS_COST_OF_REVENUE_ADJUSTMENTS","FQ3 2024","FQ3 2024","Currency=USD","Period=FQ","BEST_FPERIOD_OVERRIDE=FQ","FILING_STATUS=MR","SCALING_FORMAT=MLN","Sort=A","Dates=H","DateFormat=P","Fill=—","Direction=H","UseDPDF=Y")</f>
        <v>0</v>
      </c>
      <c r="AA9" s="13">
        <f>_xll.BDH("ALNY US Equity","IS_COST_OF_REVENUE_ADJUSTMENTS","FQ4 2024","FQ4 2024","Currency=USD","Period=FQ","BEST_FPERIOD_OVERRIDE=FQ","FILING_STATUS=MR","SCALING_FORMAT=MLN","Sort=A","Dates=H","DateFormat=P","Fill=—","Direction=H","UseDPDF=Y")</f>
        <v>0</v>
      </c>
    </row>
    <row r="10" spans="1:27" x14ac:dyDescent="0.25">
      <c r="A10" s="10" t="s">
        <v>595</v>
      </c>
      <c r="B10" s="10" t="s">
        <v>596</v>
      </c>
      <c r="C10" s="13">
        <f>_xll.BDH("ALNY US Equity","IS_OTHER_OPER_INC_NONGAAP_ADJUST","FQ4 2018","FQ4 2018","Currency=USD","Period=FQ","BEST_FPERIOD_OVERRIDE=FQ","FILING_STATUS=MR","SCALING_FORMAT=MLN","Sort=A","Dates=H","DateFormat=P","Fill=—","Direction=H","UseDPDF=Y")</f>
        <v>0</v>
      </c>
      <c r="D10" s="13">
        <f>_xll.BDH("ALNY US Equity","IS_OTHER_OPER_INC_NONGAAP_ADJUST","FQ1 2019","FQ1 2019","Currency=USD","Period=FQ","BEST_FPERIOD_OVERRIDE=FQ","FILING_STATUS=MR","SCALING_FORMAT=MLN","Sort=A","Dates=H","DateFormat=P","Fill=—","Direction=H","UseDPDF=Y")</f>
        <v>0</v>
      </c>
      <c r="E10" s="13">
        <f>_xll.BDH("ALNY US Equity","IS_OTHER_OPER_INC_NONGAAP_ADJUST","FQ2 2019","FQ2 2019","Currency=USD","Period=FQ","BEST_FPERIOD_OVERRIDE=FQ","FILING_STATUS=MR","SCALING_FORMAT=MLN","Sort=A","Dates=H","DateFormat=P","Fill=—","Direction=H","UseDPDF=Y")</f>
        <v>0</v>
      </c>
      <c r="F10" s="13">
        <f>_xll.BDH("ALNY US Equity","IS_OTHER_OPER_INC_NONGAAP_ADJUST","FQ3 2019","FQ3 2019","Currency=USD","Period=FQ","BEST_FPERIOD_OVERRIDE=FQ","FILING_STATUS=MR","SCALING_FORMAT=MLN","Sort=A","Dates=H","DateFormat=P","Fill=—","Direction=H","UseDPDF=Y")</f>
        <v>0</v>
      </c>
      <c r="G10" s="13">
        <f>_xll.BDH("ALNY US Equity","IS_OTHER_OPER_INC_NONGAAP_ADJUST","FQ4 2019","FQ4 2019","Currency=USD","Period=FQ","BEST_FPERIOD_OVERRIDE=FQ","FILING_STATUS=MR","SCALING_FORMAT=MLN","Sort=A","Dates=H","DateFormat=P","Fill=—","Direction=H","UseDPDF=Y")</f>
        <v>0</v>
      </c>
      <c r="H10" s="13">
        <f>_xll.BDH("ALNY US Equity","IS_OTHER_OPER_INC_NONGAAP_ADJUST","FQ1 2020","FQ1 2020","Currency=USD","Period=FQ","BEST_FPERIOD_OVERRIDE=FQ","FILING_STATUS=MR","SCALING_FORMAT=MLN","Sort=A","Dates=H","DateFormat=P","Fill=—","Direction=H","UseDPDF=Y")</f>
        <v>0</v>
      </c>
      <c r="I10" s="13">
        <f>_xll.BDH("ALNY US Equity","IS_OTHER_OPER_INC_NONGAAP_ADJUST","FQ2 2020","FQ2 2020","Currency=USD","Period=FQ","BEST_FPERIOD_OVERRIDE=FQ","FILING_STATUS=MR","SCALING_FORMAT=MLN","Sort=A","Dates=H","DateFormat=P","Fill=—","Direction=H","UseDPDF=Y")</f>
        <v>0</v>
      </c>
      <c r="J10" s="13">
        <f>_xll.BDH("ALNY US Equity","IS_OTHER_OPER_INC_NONGAAP_ADJUST","FQ3 2020","FQ3 2020","Currency=USD","Period=FQ","BEST_FPERIOD_OVERRIDE=FQ","FILING_STATUS=MR","SCALING_FORMAT=MLN","Sort=A","Dates=H","DateFormat=P","Fill=—","Direction=H","UseDPDF=Y")</f>
        <v>0</v>
      </c>
      <c r="K10" s="13">
        <f>_xll.BDH("ALNY US Equity","IS_OTHER_OPER_INC_NONGAAP_ADJUST","FQ4 2020","FQ4 2020","Currency=USD","Period=FQ","BEST_FPERIOD_OVERRIDE=FQ","FILING_STATUS=MR","SCALING_FORMAT=MLN","Sort=A","Dates=H","DateFormat=P","Fill=—","Direction=H","UseDPDF=Y")</f>
        <v>0</v>
      </c>
      <c r="L10" s="13">
        <f>_xll.BDH("ALNY US Equity","IS_OTHER_OPER_INC_NONGAAP_ADJUST","FQ1 2021","FQ1 2021","Currency=USD","Period=FQ","BEST_FPERIOD_OVERRIDE=FQ","FILING_STATUS=MR","SCALING_FORMAT=MLN","Sort=A","Dates=H","DateFormat=P","Fill=—","Direction=H","UseDPDF=Y")</f>
        <v>0</v>
      </c>
      <c r="M10" s="13">
        <f>_xll.BDH("ALNY US Equity","IS_OTHER_OPER_INC_NONGAAP_ADJUST","FQ2 2021","FQ2 2021","Currency=USD","Period=FQ","BEST_FPERIOD_OVERRIDE=FQ","FILING_STATUS=MR","SCALING_FORMAT=MLN","Sort=A","Dates=H","DateFormat=P","Fill=—","Direction=H","UseDPDF=Y")</f>
        <v>0</v>
      </c>
      <c r="N10" s="13">
        <f>_xll.BDH("ALNY US Equity","IS_OTHER_OPER_INC_NONGAAP_ADJUST","FQ3 2021","FQ3 2021","Currency=USD","Period=FQ","BEST_FPERIOD_OVERRIDE=FQ","FILING_STATUS=MR","SCALING_FORMAT=MLN","Sort=A","Dates=H","DateFormat=P","Fill=—","Direction=H","UseDPDF=Y")</f>
        <v>0</v>
      </c>
      <c r="O10" s="13">
        <f>_xll.BDH("ALNY US Equity","IS_OTHER_OPER_INC_NONGAAP_ADJUST","FQ4 2021","FQ4 2021","Currency=USD","Period=FQ","BEST_FPERIOD_OVERRIDE=FQ","FILING_STATUS=MR","SCALING_FORMAT=MLN","Sort=A","Dates=H","DateFormat=P","Fill=—","Direction=H","UseDPDF=Y")</f>
        <v>0</v>
      </c>
      <c r="P10" s="13">
        <f>_xll.BDH("ALNY US Equity","IS_OTHER_OPER_INC_NONGAAP_ADJUST","FQ1 2022","FQ1 2022","Currency=USD","Period=FQ","BEST_FPERIOD_OVERRIDE=FQ","FILING_STATUS=MR","SCALING_FORMAT=MLN","Sort=A","Dates=H","DateFormat=P","Fill=—","Direction=H","UseDPDF=Y")</f>
        <v>0</v>
      </c>
      <c r="Q10" s="13">
        <f>_xll.BDH("ALNY US Equity","IS_OTHER_OPER_INC_NONGAAP_ADJUST","FQ2 2022","FQ2 2022","Currency=USD","Period=FQ","BEST_FPERIOD_OVERRIDE=FQ","FILING_STATUS=MR","SCALING_FORMAT=MLN","Sort=A","Dates=H","DateFormat=P","Fill=—","Direction=H","UseDPDF=Y")</f>
        <v>0</v>
      </c>
      <c r="R10" s="13">
        <f>_xll.BDH("ALNY US Equity","IS_OTHER_OPER_INC_NONGAAP_ADJUST","FQ3 2022","FQ3 2022","Currency=USD","Period=FQ","BEST_FPERIOD_OVERRIDE=FQ","FILING_STATUS=MR","SCALING_FORMAT=MLN","Sort=A","Dates=H","DateFormat=P","Fill=—","Direction=H","UseDPDF=Y")</f>
        <v>0</v>
      </c>
      <c r="S10" s="13">
        <f>_xll.BDH("ALNY US Equity","IS_OTHER_OPER_INC_NONGAAP_ADJUST","FQ4 2022","FQ4 2022","Currency=USD","Period=FQ","BEST_FPERIOD_OVERRIDE=FQ","FILING_STATUS=MR","SCALING_FORMAT=MLN","Sort=A","Dates=H","DateFormat=P","Fill=—","Direction=H","UseDPDF=Y")</f>
        <v>0</v>
      </c>
      <c r="T10" s="13">
        <f>_xll.BDH("ALNY US Equity","IS_OTHER_OPER_INC_NONGAAP_ADJUST","FQ1 2023","FQ1 2023","Currency=USD","Period=FQ","BEST_FPERIOD_OVERRIDE=FQ","FILING_STATUS=MR","SCALING_FORMAT=MLN","Sort=A","Dates=H","DateFormat=P","Fill=—","Direction=H","UseDPDF=Y")</f>
        <v>0</v>
      </c>
      <c r="U10" s="13">
        <f>_xll.BDH("ALNY US Equity","IS_OTHER_OPER_INC_NONGAAP_ADJUST","FQ2 2023","FQ2 2023","Currency=USD","Period=FQ","BEST_FPERIOD_OVERRIDE=FQ","FILING_STATUS=MR","SCALING_FORMAT=MLN","Sort=A","Dates=H","DateFormat=P","Fill=—","Direction=H","UseDPDF=Y")</f>
        <v>0</v>
      </c>
      <c r="V10" s="13">
        <f>_xll.BDH("ALNY US Equity","IS_OTHER_OPER_INC_NONGAAP_ADJUST","FQ3 2023","FQ3 2023","Currency=USD","Period=FQ","BEST_FPERIOD_OVERRIDE=FQ","FILING_STATUS=MR","SCALING_FORMAT=MLN","Sort=A","Dates=H","DateFormat=P","Fill=—","Direction=H","UseDPDF=Y")</f>
        <v>0</v>
      </c>
      <c r="W10" s="13">
        <f>_xll.BDH("ALNY US Equity","IS_OTHER_OPER_INC_NONGAAP_ADJUST","FQ4 2023","FQ4 2023","Currency=USD","Period=FQ","BEST_FPERIOD_OVERRIDE=FQ","FILING_STATUS=MR","SCALING_FORMAT=MLN","Sort=A","Dates=H","DateFormat=P","Fill=—","Direction=H","UseDPDF=Y")</f>
        <v>0</v>
      </c>
      <c r="X10" s="13">
        <f>_xll.BDH("ALNY US Equity","IS_OTHER_OPER_INC_NONGAAP_ADJUST","FQ1 2024","FQ1 2024","Currency=USD","Period=FQ","BEST_FPERIOD_OVERRIDE=FQ","FILING_STATUS=MR","SCALING_FORMAT=MLN","Sort=A","Dates=H","DateFormat=P","Fill=—","Direction=H","UseDPDF=Y")</f>
        <v>0</v>
      </c>
      <c r="Y10" s="13">
        <f>_xll.BDH("ALNY US Equity","IS_OTHER_OPER_INC_NONGAAP_ADJUST","FQ2 2024","FQ2 2024","Currency=USD","Period=FQ","BEST_FPERIOD_OVERRIDE=FQ","FILING_STATUS=MR","SCALING_FORMAT=MLN","Sort=A","Dates=H","DateFormat=P","Fill=—","Direction=H","UseDPDF=Y")</f>
        <v>0</v>
      </c>
      <c r="Z10" s="13">
        <f>_xll.BDH("ALNY US Equity","IS_OTHER_OPER_INC_NONGAAP_ADJUST","FQ3 2024","FQ3 2024","Currency=USD","Period=FQ","BEST_FPERIOD_OVERRIDE=FQ","FILING_STATUS=MR","SCALING_FORMAT=MLN","Sort=A","Dates=H","DateFormat=P","Fill=—","Direction=H","UseDPDF=Y")</f>
        <v>0</v>
      </c>
      <c r="AA10" s="13">
        <f>_xll.BDH("ALNY US Equity","IS_OTHER_OPER_INC_NONGAAP_ADJUST","FQ4 2024","FQ4 2024","Currency=USD","Period=FQ","BEST_FPERIOD_OVERRIDE=FQ","FILING_STATUS=MR","SCALING_FORMAT=MLN","Sort=A","Dates=H","DateFormat=P","Fill=—","Direction=H","UseDPDF=Y")</f>
        <v>0</v>
      </c>
    </row>
    <row r="11" spans="1:27" x14ac:dyDescent="0.25">
      <c r="A11" s="10" t="s">
        <v>597</v>
      </c>
      <c r="B11" s="10" t="s">
        <v>598</v>
      </c>
      <c r="C11" s="13">
        <f>_xll.BDH("ALNY US Equity","IS_SGA_ADJ","FQ4 2018","FQ4 2018","Currency=USD","Period=FQ","BEST_FPERIOD_OVERRIDE=FQ","FILING_STATUS=MR","SCALING_FORMAT=MLN","Sort=A","Dates=H","DateFormat=P","Fill=—","Direction=H","UseDPDF=Y")</f>
        <v>0</v>
      </c>
      <c r="D11" s="13">
        <f>_xll.BDH("ALNY US Equity","IS_SGA_ADJ","FQ1 2019","FQ1 2019","Currency=USD","Period=FQ","BEST_FPERIOD_OVERRIDE=FQ","FILING_STATUS=MR","SCALING_FORMAT=MLN","Sort=A","Dates=H","DateFormat=P","Fill=—","Direction=H","UseDPDF=Y")</f>
        <v>0</v>
      </c>
      <c r="E11" s="13">
        <f>_xll.BDH("ALNY US Equity","IS_SGA_ADJ","FQ2 2019","FQ2 2019","Currency=USD","Period=FQ","BEST_FPERIOD_OVERRIDE=FQ","FILING_STATUS=MR","SCALING_FORMAT=MLN","Sort=A","Dates=H","DateFormat=P","Fill=—","Direction=H","UseDPDF=Y")</f>
        <v>0</v>
      </c>
      <c r="F11" s="13">
        <f>_xll.BDH("ALNY US Equity","IS_SGA_ADJ","FQ3 2019","FQ3 2019","Currency=USD","Period=FQ","BEST_FPERIOD_OVERRIDE=FQ","FILING_STATUS=MR","SCALING_FORMAT=MLN","Sort=A","Dates=H","DateFormat=P","Fill=—","Direction=H","UseDPDF=Y")</f>
        <v>0</v>
      </c>
      <c r="G11" s="13">
        <f>_xll.BDH("ALNY US Equity","IS_SGA_ADJ","FQ4 2019","FQ4 2019","Currency=USD","Period=FQ","BEST_FPERIOD_OVERRIDE=FQ","FILING_STATUS=MR","SCALING_FORMAT=MLN","Sort=A","Dates=H","DateFormat=P","Fill=—","Direction=H","UseDPDF=Y")</f>
        <v>0</v>
      </c>
      <c r="H11" s="13">
        <f>_xll.BDH("ALNY US Equity","IS_SGA_ADJ","FQ1 2020","FQ1 2020","Currency=USD","Period=FQ","BEST_FPERIOD_OVERRIDE=FQ","FILING_STATUS=MR","SCALING_FORMAT=MLN","Sort=A","Dates=H","DateFormat=P","Fill=—","Direction=H","UseDPDF=Y")</f>
        <v>0</v>
      </c>
      <c r="I11" s="13">
        <f>_xll.BDH("ALNY US Equity","IS_SGA_ADJ","FQ2 2020","FQ2 2020","Currency=USD","Period=FQ","BEST_FPERIOD_OVERRIDE=FQ","FILING_STATUS=MR","SCALING_FORMAT=MLN","Sort=A","Dates=H","DateFormat=P","Fill=—","Direction=H","UseDPDF=Y")</f>
        <v>0</v>
      </c>
      <c r="J11" s="13">
        <f>_xll.BDH("ALNY US Equity","IS_SGA_ADJ","FQ3 2020","FQ3 2020","Currency=USD","Period=FQ","BEST_FPERIOD_OVERRIDE=FQ","FILING_STATUS=MR","SCALING_FORMAT=MLN","Sort=A","Dates=H","DateFormat=P","Fill=—","Direction=H","UseDPDF=Y")</f>
        <v>0</v>
      </c>
      <c r="K11" s="13">
        <f>_xll.BDH("ALNY US Equity","IS_SGA_ADJ","FQ4 2020","FQ4 2020","Currency=USD","Period=FQ","BEST_FPERIOD_OVERRIDE=FQ","FILING_STATUS=MR","SCALING_FORMAT=MLN","Sort=A","Dates=H","DateFormat=P","Fill=—","Direction=H","UseDPDF=Y")</f>
        <v>0</v>
      </c>
      <c r="L11" s="13">
        <f>_xll.BDH("ALNY US Equity","IS_SGA_ADJ","FQ1 2021","FQ1 2021","Currency=USD","Period=FQ","BEST_FPERIOD_OVERRIDE=FQ","FILING_STATUS=MR","SCALING_FORMAT=MLN","Sort=A","Dates=H","DateFormat=P","Fill=—","Direction=H","UseDPDF=Y")</f>
        <v>0</v>
      </c>
      <c r="M11" s="13">
        <f>_xll.BDH("ALNY US Equity","IS_SGA_ADJ","FQ2 2021","FQ2 2021","Currency=USD","Period=FQ","BEST_FPERIOD_OVERRIDE=FQ","FILING_STATUS=MR","SCALING_FORMAT=MLN","Sort=A","Dates=H","DateFormat=P","Fill=—","Direction=H","UseDPDF=Y")</f>
        <v>0</v>
      </c>
      <c r="N11" s="13">
        <f>_xll.BDH("ALNY US Equity","IS_SGA_ADJ","FQ3 2021","FQ3 2021","Currency=USD","Period=FQ","BEST_FPERIOD_OVERRIDE=FQ","FILING_STATUS=MR","SCALING_FORMAT=MLN","Sort=A","Dates=H","DateFormat=P","Fill=—","Direction=H","UseDPDF=Y")</f>
        <v>0</v>
      </c>
      <c r="O11" s="13">
        <f>_xll.BDH("ALNY US Equity","IS_SGA_ADJ","FQ4 2021","FQ4 2021","Currency=USD","Period=FQ","BEST_FPERIOD_OVERRIDE=FQ","FILING_STATUS=MR","SCALING_FORMAT=MLN","Sort=A","Dates=H","DateFormat=P","Fill=—","Direction=H","UseDPDF=Y")</f>
        <v>0</v>
      </c>
      <c r="P11" s="13">
        <f>_xll.BDH("ALNY US Equity","IS_SGA_ADJ","FQ1 2022","FQ1 2022","Currency=USD","Period=FQ","BEST_FPERIOD_OVERRIDE=FQ","FILING_STATUS=MR","SCALING_FORMAT=MLN","Sort=A","Dates=H","DateFormat=P","Fill=—","Direction=H","UseDPDF=Y")</f>
        <v>0</v>
      </c>
      <c r="Q11" s="13">
        <f>_xll.BDH("ALNY US Equity","IS_SGA_ADJ","FQ2 2022","FQ2 2022","Currency=USD","Period=FQ","BEST_FPERIOD_OVERRIDE=FQ","FILING_STATUS=MR","SCALING_FORMAT=MLN","Sort=A","Dates=H","DateFormat=P","Fill=—","Direction=H","UseDPDF=Y")</f>
        <v>0</v>
      </c>
      <c r="R11" s="13">
        <f>_xll.BDH("ALNY US Equity","IS_SGA_ADJ","FQ3 2022","FQ3 2022","Currency=USD","Period=FQ","BEST_FPERIOD_OVERRIDE=FQ","FILING_STATUS=MR","SCALING_FORMAT=MLN","Sort=A","Dates=H","DateFormat=P","Fill=—","Direction=H","UseDPDF=Y")</f>
        <v>0</v>
      </c>
      <c r="S11" s="13">
        <f>_xll.BDH("ALNY US Equity","IS_SGA_ADJ","FQ4 2022","FQ4 2022","Currency=USD","Period=FQ","BEST_FPERIOD_OVERRIDE=FQ","FILING_STATUS=MR","SCALING_FORMAT=MLN","Sort=A","Dates=H","DateFormat=P","Fill=—","Direction=H","UseDPDF=Y")</f>
        <v>0</v>
      </c>
      <c r="T11" s="13">
        <f>_xll.BDH("ALNY US Equity","IS_SGA_ADJ","FQ1 2023","FQ1 2023","Currency=USD","Period=FQ","BEST_FPERIOD_OVERRIDE=FQ","FILING_STATUS=MR","SCALING_FORMAT=MLN","Sort=A","Dates=H","DateFormat=P","Fill=—","Direction=H","UseDPDF=Y")</f>
        <v>0</v>
      </c>
      <c r="U11" s="13">
        <f>_xll.BDH("ALNY US Equity","IS_SGA_ADJ","FQ2 2023","FQ2 2023","Currency=USD","Period=FQ","BEST_FPERIOD_OVERRIDE=FQ","FILING_STATUS=MR","SCALING_FORMAT=MLN","Sort=A","Dates=H","DateFormat=P","Fill=—","Direction=H","UseDPDF=Y")</f>
        <v>0</v>
      </c>
      <c r="V11" s="13">
        <f>_xll.BDH("ALNY US Equity","IS_SGA_ADJ","FQ3 2023","FQ3 2023","Currency=USD","Period=FQ","BEST_FPERIOD_OVERRIDE=FQ","FILING_STATUS=MR","SCALING_FORMAT=MLN","Sort=A","Dates=H","DateFormat=P","Fill=—","Direction=H","UseDPDF=Y")</f>
        <v>0</v>
      </c>
      <c r="W11" s="13">
        <f>_xll.BDH("ALNY US Equity","IS_SGA_ADJ","FQ4 2023","FQ4 2023","Currency=USD","Period=FQ","BEST_FPERIOD_OVERRIDE=FQ","FILING_STATUS=MR","SCALING_FORMAT=MLN","Sort=A","Dates=H","DateFormat=P","Fill=—","Direction=H","UseDPDF=Y")</f>
        <v>0</v>
      </c>
      <c r="X11" s="13">
        <f>_xll.BDH("ALNY US Equity","IS_SGA_ADJ","FQ1 2024","FQ1 2024","Currency=USD","Period=FQ","BEST_FPERIOD_OVERRIDE=FQ","FILING_STATUS=MR","SCALING_FORMAT=MLN","Sort=A","Dates=H","DateFormat=P","Fill=—","Direction=H","UseDPDF=Y")</f>
        <v>0</v>
      </c>
      <c r="Y11" s="13">
        <f>_xll.BDH("ALNY US Equity","IS_SGA_ADJ","FQ2 2024","FQ2 2024","Currency=USD","Period=FQ","BEST_FPERIOD_OVERRIDE=FQ","FILING_STATUS=MR","SCALING_FORMAT=MLN","Sort=A","Dates=H","DateFormat=P","Fill=—","Direction=H","UseDPDF=Y")</f>
        <v>0</v>
      </c>
      <c r="Z11" s="13">
        <f>_xll.BDH("ALNY US Equity","IS_SGA_ADJ","FQ3 2024","FQ3 2024","Currency=USD","Period=FQ","BEST_FPERIOD_OVERRIDE=FQ","FILING_STATUS=MR","SCALING_FORMAT=MLN","Sort=A","Dates=H","DateFormat=P","Fill=—","Direction=H","UseDPDF=Y")</f>
        <v>0</v>
      </c>
      <c r="AA11" s="13">
        <f>_xll.BDH("ALNY US Equity","IS_SGA_ADJ","FQ4 2024","FQ4 2024","Currency=USD","Period=FQ","BEST_FPERIOD_OVERRIDE=FQ","FILING_STATUS=MR","SCALING_FORMAT=MLN","Sort=A","Dates=H","DateFormat=P","Fill=—","Direction=H","UseDPDF=Y")</f>
        <v>0</v>
      </c>
    </row>
    <row r="12" spans="1:27" x14ac:dyDescent="0.25">
      <c r="A12" s="10" t="s">
        <v>599</v>
      </c>
      <c r="B12" s="10" t="s">
        <v>600</v>
      </c>
      <c r="C12" s="13">
        <f>_xll.BDH("ALNY US Equity","IS_RD_EXPENSE_NON_GAAP_ADJ","FQ4 2018","FQ4 2018","Currency=USD","Period=FQ","BEST_FPERIOD_OVERRIDE=FQ","FILING_STATUS=MR","SCALING_FORMAT=MLN","Sort=A","Dates=H","DateFormat=P","Fill=—","Direction=H","UseDPDF=Y")</f>
        <v>0</v>
      </c>
      <c r="D12" s="13">
        <f>_xll.BDH("ALNY US Equity","IS_RD_EXPENSE_NON_GAAP_ADJ","FQ1 2019","FQ1 2019","Currency=USD","Period=FQ","BEST_FPERIOD_OVERRIDE=FQ","FILING_STATUS=MR","SCALING_FORMAT=MLN","Sort=A","Dates=H","DateFormat=P","Fill=—","Direction=H","UseDPDF=Y")</f>
        <v>0</v>
      </c>
      <c r="E12" s="13">
        <f>_xll.BDH("ALNY US Equity","IS_RD_EXPENSE_NON_GAAP_ADJ","FQ2 2019","FQ2 2019","Currency=USD","Period=FQ","BEST_FPERIOD_OVERRIDE=FQ","FILING_STATUS=MR","SCALING_FORMAT=MLN","Sort=A","Dates=H","DateFormat=P","Fill=—","Direction=H","UseDPDF=Y")</f>
        <v>0</v>
      </c>
      <c r="F12" s="13">
        <f>_xll.BDH("ALNY US Equity","IS_RD_EXPENSE_NON_GAAP_ADJ","FQ3 2019","FQ3 2019","Currency=USD","Period=FQ","BEST_FPERIOD_OVERRIDE=FQ","FILING_STATUS=MR","SCALING_FORMAT=MLN","Sort=A","Dates=H","DateFormat=P","Fill=—","Direction=H","UseDPDF=Y")</f>
        <v>0</v>
      </c>
      <c r="G12" s="13">
        <f>_xll.BDH("ALNY US Equity","IS_RD_EXPENSE_NON_GAAP_ADJ","FQ4 2019","FQ4 2019","Currency=USD","Period=FQ","BEST_FPERIOD_OVERRIDE=FQ","FILING_STATUS=MR","SCALING_FORMAT=MLN","Sort=A","Dates=H","DateFormat=P","Fill=—","Direction=H","UseDPDF=Y")</f>
        <v>0</v>
      </c>
      <c r="H12" s="13">
        <f>_xll.BDH("ALNY US Equity","IS_RD_EXPENSE_NON_GAAP_ADJ","FQ1 2020","FQ1 2020","Currency=USD","Period=FQ","BEST_FPERIOD_OVERRIDE=FQ","FILING_STATUS=MR","SCALING_FORMAT=MLN","Sort=A","Dates=H","DateFormat=P","Fill=—","Direction=H","UseDPDF=Y")</f>
        <v>0</v>
      </c>
      <c r="I12" s="13">
        <f>_xll.BDH("ALNY US Equity","IS_RD_EXPENSE_NON_GAAP_ADJ","FQ2 2020","FQ2 2020","Currency=USD","Period=FQ","BEST_FPERIOD_OVERRIDE=FQ","FILING_STATUS=MR","SCALING_FORMAT=MLN","Sort=A","Dates=H","DateFormat=P","Fill=—","Direction=H","UseDPDF=Y")</f>
        <v>0</v>
      </c>
      <c r="J12" s="13">
        <f>_xll.BDH("ALNY US Equity","IS_RD_EXPENSE_NON_GAAP_ADJ","FQ3 2020","FQ3 2020","Currency=USD","Period=FQ","BEST_FPERIOD_OVERRIDE=FQ","FILING_STATUS=MR","SCALING_FORMAT=MLN","Sort=A","Dates=H","DateFormat=P","Fill=—","Direction=H","UseDPDF=Y")</f>
        <v>0</v>
      </c>
      <c r="K12" s="13">
        <f>_xll.BDH("ALNY US Equity","IS_RD_EXPENSE_NON_GAAP_ADJ","FQ4 2020","FQ4 2020","Currency=USD","Period=FQ","BEST_FPERIOD_OVERRIDE=FQ","FILING_STATUS=MR","SCALING_FORMAT=MLN","Sort=A","Dates=H","DateFormat=P","Fill=—","Direction=H","UseDPDF=Y")</f>
        <v>0</v>
      </c>
      <c r="L12" s="13">
        <f>_xll.BDH("ALNY US Equity","IS_RD_EXPENSE_NON_GAAP_ADJ","FQ1 2021","FQ1 2021","Currency=USD","Period=FQ","BEST_FPERIOD_OVERRIDE=FQ","FILING_STATUS=MR","SCALING_FORMAT=MLN","Sort=A","Dates=H","DateFormat=P","Fill=—","Direction=H","UseDPDF=Y")</f>
        <v>0</v>
      </c>
      <c r="M12" s="13">
        <f>_xll.BDH("ALNY US Equity","IS_RD_EXPENSE_NON_GAAP_ADJ","FQ2 2021","FQ2 2021","Currency=USD","Period=FQ","BEST_FPERIOD_OVERRIDE=FQ","FILING_STATUS=MR","SCALING_FORMAT=MLN","Sort=A","Dates=H","DateFormat=P","Fill=—","Direction=H","UseDPDF=Y")</f>
        <v>0</v>
      </c>
      <c r="N12" s="13">
        <f>_xll.BDH("ALNY US Equity","IS_RD_EXPENSE_NON_GAAP_ADJ","FQ3 2021","FQ3 2021","Currency=USD","Period=FQ","BEST_FPERIOD_OVERRIDE=FQ","FILING_STATUS=MR","SCALING_FORMAT=MLN","Sort=A","Dates=H","DateFormat=P","Fill=—","Direction=H","UseDPDF=Y")</f>
        <v>0</v>
      </c>
      <c r="O12" s="13">
        <f>_xll.BDH("ALNY US Equity","IS_RD_EXPENSE_NON_GAAP_ADJ","FQ4 2021","FQ4 2021","Currency=USD","Period=FQ","BEST_FPERIOD_OVERRIDE=FQ","FILING_STATUS=MR","SCALING_FORMAT=MLN","Sort=A","Dates=H","DateFormat=P","Fill=—","Direction=H","UseDPDF=Y")</f>
        <v>0</v>
      </c>
      <c r="P12" s="13">
        <f>_xll.BDH("ALNY US Equity","IS_RD_EXPENSE_NON_GAAP_ADJ","FQ1 2022","FQ1 2022","Currency=USD","Period=FQ","BEST_FPERIOD_OVERRIDE=FQ","FILING_STATUS=MR","SCALING_FORMAT=MLN","Sort=A","Dates=H","DateFormat=P","Fill=—","Direction=H","UseDPDF=Y")</f>
        <v>0</v>
      </c>
      <c r="Q12" s="13">
        <f>_xll.BDH("ALNY US Equity","IS_RD_EXPENSE_NON_GAAP_ADJ","FQ2 2022","FQ2 2022","Currency=USD","Period=FQ","BEST_FPERIOD_OVERRIDE=FQ","FILING_STATUS=MR","SCALING_FORMAT=MLN","Sort=A","Dates=H","DateFormat=P","Fill=—","Direction=H","UseDPDF=Y")</f>
        <v>0</v>
      </c>
      <c r="R12" s="13">
        <f>_xll.BDH("ALNY US Equity","IS_RD_EXPENSE_NON_GAAP_ADJ","FQ3 2022","FQ3 2022","Currency=USD","Period=FQ","BEST_FPERIOD_OVERRIDE=FQ","FILING_STATUS=MR","SCALING_FORMAT=MLN","Sort=A","Dates=H","DateFormat=P","Fill=—","Direction=H","UseDPDF=Y")</f>
        <v>0</v>
      </c>
      <c r="S12" s="13">
        <f>_xll.BDH("ALNY US Equity","IS_RD_EXPENSE_NON_GAAP_ADJ","FQ4 2022","FQ4 2022","Currency=USD","Period=FQ","BEST_FPERIOD_OVERRIDE=FQ","FILING_STATUS=MR","SCALING_FORMAT=MLN","Sort=A","Dates=H","DateFormat=P","Fill=—","Direction=H","UseDPDF=Y")</f>
        <v>0</v>
      </c>
      <c r="T12" s="13">
        <f>_xll.BDH("ALNY US Equity","IS_RD_EXPENSE_NON_GAAP_ADJ","FQ1 2023","FQ1 2023","Currency=USD","Period=FQ","BEST_FPERIOD_OVERRIDE=FQ","FILING_STATUS=MR","SCALING_FORMAT=MLN","Sort=A","Dates=H","DateFormat=P","Fill=—","Direction=H","UseDPDF=Y")</f>
        <v>0</v>
      </c>
      <c r="U12" s="13">
        <f>_xll.BDH("ALNY US Equity","IS_RD_EXPENSE_NON_GAAP_ADJ","FQ2 2023","FQ2 2023","Currency=USD","Period=FQ","BEST_FPERIOD_OVERRIDE=FQ","FILING_STATUS=MR","SCALING_FORMAT=MLN","Sort=A","Dates=H","DateFormat=P","Fill=—","Direction=H","UseDPDF=Y")</f>
        <v>0</v>
      </c>
      <c r="V12" s="13">
        <f>_xll.BDH("ALNY US Equity","IS_RD_EXPENSE_NON_GAAP_ADJ","FQ3 2023","FQ3 2023","Currency=USD","Period=FQ","BEST_FPERIOD_OVERRIDE=FQ","FILING_STATUS=MR","SCALING_FORMAT=MLN","Sort=A","Dates=H","DateFormat=P","Fill=—","Direction=H","UseDPDF=Y")</f>
        <v>0</v>
      </c>
      <c r="W12" s="13">
        <f>_xll.BDH("ALNY US Equity","IS_RD_EXPENSE_NON_GAAP_ADJ","FQ4 2023","FQ4 2023","Currency=USD","Period=FQ","BEST_FPERIOD_OVERRIDE=FQ","FILING_STATUS=MR","SCALING_FORMAT=MLN","Sort=A","Dates=H","DateFormat=P","Fill=—","Direction=H","UseDPDF=Y")</f>
        <v>0</v>
      </c>
      <c r="X12" s="13">
        <f>_xll.BDH("ALNY US Equity","IS_RD_EXPENSE_NON_GAAP_ADJ","FQ1 2024","FQ1 2024","Currency=USD","Period=FQ","BEST_FPERIOD_OVERRIDE=FQ","FILING_STATUS=MR","SCALING_FORMAT=MLN","Sort=A","Dates=H","DateFormat=P","Fill=—","Direction=H","UseDPDF=Y")</f>
        <v>0</v>
      </c>
      <c r="Y12" s="13">
        <f>_xll.BDH("ALNY US Equity","IS_RD_EXPENSE_NON_GAAP_ADJ","FQ2 2024","FQ2 2024","Currency=USD","Period=FQ","BEST_FPERIOD_OVERRIDE=FQ","FILING_STATUS=MR","SCALING_FORMAT=MLN","Sort=A","Dates=H","DateFormat=P","Fill=—","Direction=H","UseDPDF=Y")</f>
        <v>0</v>
      </c>
      <c r="Z12" s="13">
        <f>_xll.BDH("ALNY US Equity","IS_RD_EXPENSE_NON_GAAP_ADJ","FQ3 2024","FQ3 2024","Currency=USD","Period=FQ","BEST_FPERIOD_OVERRIDE=FQ","FILING_STATUS=MR","SCALING_FORMAT=MLN","Sort=A","Dates=H","DateFormat=P","Fill=—","Direction=H","UseDPDF=Y")</f>
        <v>0</v>
      </c>
      <c r="AA12" s="13">
        <f>_xll.BDH("ALNY US Equity","IS_RD_EXPENSE_NON_GAAP_ADJ","FQ4 2024","FQ4 2024","Currency=USD","Period=FQ","BEST_FPERIOD_OVERRIDE=FQ","FILING_STATUS=MR","SCALING_FORMAT=MLN","Sort=A","Dates=H","DateFormat=P","Fill=—","Direction=H","UseDPDF=Y")</f>
        <v>0</v>
      </c>
    </row>
    <row r="13" spans="1:27" x14ac:dyDescent="0.25">
      <c r="A13" s="10" t="s">
        <v>601</v>
      </c>
      <c r="B13" s="10" t="s">
        <v>602</v>
      </c>
      <c r="C13" s="13">
        <f>_xll.BDH("ALNY US Equity","IS_DA_NON_GAAP_ADJ","FQ4 2018","FQ4 2018","Currency=USD","Period=FQ","BEST_FPERIOD_OVERRIDE=FQ","FILING_STATUS=MR","SCALING_FORMAT=MLN","Sort=A","Dates=H","DateFormat=P","Fill=—","Direction=H","UseDPDF=Y")</f>
        <v>0</v>
      </c>
      <c r="D13" s="13">
        <f>_xll.BDH("ALNY US Equity","IS_DA_NON_GAAP_ADJ","FQ1 2019","FQ1 2019","Currency=USD","Period=FQ","BEST_FPERIOD_OVERRIDE=FQ","FILING_STATUS=MR","SCALING_FORMAT=MLN","Sort=A","Dates=H","DateFormat=P","Fill=—","Direction=H","UseDPDF=Y")</f>
        <v>0</v>
      </c>
      <c r="E13" s="13">
        <f>_xll.BDH("ALNY US Equity","IS_DA_NON_GAAP_ADJ","FQ2 2019","FQ2 2019","Currency=USD","Period=FQ","BEST_FPERIOD_OVERRIDE=FQ","FILING_STATUS=MR","SCALING_FORMAT=MLN","Sort=A","Dates=H","DateFormat=P","Fill=—","Direction=H","UseDPDF=Y")</f>
        <v>0</v>
      </c>
      <c r="F13" s="13">
        <f>_xll.BDH("ALNY US Equity","IS_DA_NON_GAAP_ADJ","FQ3 2019","FQ3 2019","Currency=USD","Period=FQ","BEST_FPERIOD_OVERRIDE=FQ","FILING_STATUS=MR","SCALING_FORMAT=MLN","Sort=A","Dates=H","DateFormat=P","Fill=—","Direction=H","UseDPDF=Y")</f>
        <v>0</v>
      </c>
      <c r="G13" s="13">
        <f>_xll.BDH("ALNY US Equity","IS_DA_NON_GAAP_ADJ","FQ4 2019","FQ4 2019","Currency=USD","Period=FQ","BEST_FPERIOD_OVERRIDE=FQ","FILING_STATUS=MR","SCALING_FORMAT=MLN","Sort=A","Dates=H","DateFormat=P","Fill=—","Direction=H","UseDPDF=Y")</f>
        <v>0</v>
      </c>
      <c r="H13" s="13">
        <f>_xll.BDH("ALNY US Equity","IS_DA_NON_GAAP_ADJ","FQ1 2020","FQ1 2020","Currency=USD","Period=FQ","BEST_FPERIOD_OVERRIDE=FQ","FILING_STATUS=MR","SCALING_FORMAT=MLN","Sort=A","Dates=H","DateFormat=P","Fill=—","Direction=H","UseDPDF=Y")</f>
        <v>0</v>
      </c>
      <c r="I13" s="13">
        <f>_xll.BDH("ALNY US Equity","IS_DA_NON_GAAP_ADJ","FQ2 2020","FQ2 2020","Currency=USD","Period=FQ","BEST_FPERIOD_OVERRIDE=FQ","FILING_STATUS=MR","SCALING_FORMAT=MLN","Sort=A","Dates=H","DateFormat=P","Fill=—","Direction=H","UseDPDF=Y")</f>
        <v>0</v>
      </c>
      <c r="J13" s="13">
        <f>_xll.BDH("ALNY US Equity","IS_DA_NON_GAAP_ADJ","FQ3 2020","FQ3 2020","Currency=USD","Period=FQ","BEST_FPERIOD_OVERRIDE=FQ","FILING_STATUS=MR","SCALING_FORMAT=MLN","Sort=A","Dates=H","DateFormat=P","Fill=—","Direction=H","UseDPDF=Y")</f>
        <v>0</v>
      </c>
      <c r="K13" s="13">
        <f>_xll.BDH("ALNY US Equity","IS_DA_NON_GAAP_ADJ","FQ4 2020","FQ4 2020","Currency=USD","Period=FQ","BEST_FPERIOD_OVERRIDE=FQ","FILING_STATUS=MR","SCALING_FORMAT=MLN","Sort=A","Dates=H","DateFormat=P","Fill=—","Direction=H","UseDPDF=Y")</f>
        <v>0</v>
      </c>
      <c r="L13" s="13">
        <f>_xll.BDH("ALNY US Equity","IS_DA_NON_GAAP_ADJ","FQ1 2021","FQ1 2021","Currency=USD","Period=FQ","BEST_FPERIOD_OVERRIDE=FQ","FILING_STATUS=MR","SCALING_FORMAT=MLN","Sort=A","Dates=H","DateFormat=P","Fill=—","Direction=H","UseDPDF=Y")</f>
        <v>0</v>
      </c>
      <c r="M13" s="13">
        <f>_xll.BDH("ALNY US Equity","IS_DA_NON_GAAP_ADJ","FQ2 2021","FQ2 2021","Currency=USD","Period=FQ","BEST_FPERIOD_OVERRIDE=FQ","FILING_STATUS=MR","SCALING_FORMAT=MLN","Sort=A","Dates=H","DateFormat=P","Fill=—","Direction=H","UseDPDF=Y")</f>
        <v>0</v>
      </c>
      <c r="N13" s="13">
        <f>_xll.BDH("ALNY US Equity","IS_DA_NON_GAAP_ADJ","FQ3 2021","FQ3 2021","Currency=USD","Period=FQ","BEST_FPERIOD_OVERRIDE=FQ","FILING_STATUS=MR","SCALING_FORMAT=MLN","Sort=A","Dates=H","DateFormat=P","Fill=—","Direction=H","UseDPDF=Y")</f>
        <v>0</v>
      </c>
      <c r="O13" s="13">
        <f>_xll.BDH("ALNY US Equity","IS_DA_NON_GAAP_ADJ","FQ4 2021","FQ4 2021","Currency=USD","Period=FQ","BEST_FPERIOD_OVERRIDE=FQ","FILING_STATUS=MR","SCALING_FORMAT=MLN","Sort=A","Dates=H","DateFormat=P","Fill=—","Direction=H","UseDPDF=Y")</f>
        <v>0</v>
      </c>
      <c r="P13" s="13">
        <f>_xll.BDH("ALNY US Equity","IS_DA_NON_GAAP_ADJ","FQ1 2022","FQ1 2022","Currency=USD","Period=FQ","BEST_FPERIOD_OVERRIDE=FQ","FILING_STATUS=MR","SCALING_FORMAT=MLN","Sort=A","Dates=H","DateFormat=P","Fill=—","Direction=H","UseDPDF=Y")</f>
        <v>0</v>
      </c>
      <c r="Q13" s="13">
        <f>_xll.BDH("ALNY US Equity","IS_DA_NON_GAAP_ADJ","FQ2 2022","FQ2 2022","Currency=USD","Period=FQ","BEST_FPERIOD_OVERRIDE=FQ","FILING_STATUS=MR","SCALING_FORMAT=MLN","Sort=A","Dates=H","DateFormat=P","Fill=—","Direction=H","UseDPDF=Y")</f>
        <v>0</v>
      </c>
      <c r="R13" s="13">
        <f>_xll.BDH("ALNY US Equity","IS_DA_NON_GAAP_ADJ","FQ3 2022","FQ3 2022","Currency=USD","Period=FQ","BEST_FPERIOD_OVERRIDE=FQ","FILING_STATUS=MR","SCALING_FORMAT=MLN","Sort=A","Dates=H","DateFormat=P","Fill=—","Direction=H","UseDPDF=Y")</f>
        <v>0</v>
      </c>
      <c r="S13" s="13">
        <f>_xll.BDH("ALNY US Equity","IS_DA_NON_GAAP_ADJ","FQ4 2022","FQ4 2022","Currency=USD","Period=FQ","BEST_FPERIOD_OVERRIDE=FQ","FILING_STATUS=MR","SCALING_FORMAT=MLN","Sort=A","Dates=H","DateFormat=P","Fill=—","Direction=H","UseDPDF=Y")</f>
        <v>0</v>
      </c>
      <c r="T13" s="13">
        <f>_xll.BDH("ALNY US Equity","IS_DA_NON_GAAP_ADJ","FQ1 2023","FQ1 2023","Currency=USD","Period=FQ","BEST_FPERIOD_OVERRIDE=FQ","FILING_STATUS=MR","SCALING_FORMAT=MLN","Sort=A","Dates=H","DateFormat=P","Fill=—","Direction=H","UseDPDF=Y")</f>
        <v>0</v>
      </c>
      <c r="U13" s="13">
        <f>_xll.BDH("ALNY US Equity","IS_DA_NON_GAAP_ADJ","FQ2 2023","FQ2 2023","Currency=USD","Period=FQ","BEST_FPERIOD_OVERRIDE=FQ","FILING_STATUS=MR","SCALING_FORMAT=MLN","Sort=A","Dates=H","DateFormat=P","Fill=—","Direction=H","UseDPDF=Y")</f>
        <v>0</v>
      </c>
      <c r="V13" s="13">
        <f>_xll.BDH("ALNY US Equity","IS_DA_NON_GAAP_ADJ","FQ3 2023","FQ3 2023","Currency=USD","Period=FQ","BEST_FPERIOD_OVERRIDE=FQ","FILING_STATUS=MR","SCALING_FORMAT=MLN","Sort=A","Dates=H","DateFormat=P","Fill=—","Direction=H","UseDPDF=Y")</f>
        <v>0</v>
      </c>
      <c r="W13" s="13">
        <f>_xll.BDH("ALNY US Equity","IS_DA_NON_GAAP_ADJ","FQ4 2023","FQ4 2023","Currency=USD","Period=FQ","BEST_FPERIOD_OVERRIDE=FQ","FILING_STATUS=MR","SCALING_FORMAT=MLN","Sort=A","Dates=H","DateFormat=P","Fill=—","Direction=H","UseDPDF=Y")</f>
        <v>0</v>
      </c>
      <c r="X13" s="13">
        <f>_xll.BDH("ALNY US Equity","IS_DA_NON_GAAP_ADJ","FQ1 2024","FQ1 2024","Currency=USD","Period=FQ","BEST_FPERIOD_OVERRIDE=FQ","FILING_STATUS=MR","SCALING_FORMAT=MLN","Sort=A","Dates=H","DateFormat=P","Fill=—","Direction=H","UseDPDF=Y")</f>
        <v>0</v>
      </c>
      <c r="Y13" s="13">
        <f>_xll.BDH("ALNY US Equity","IS_DA_NON_GAAP_ADJ","FQ2 2024","FQ2 2024","Currency=USD","Period=FQ","BEST_FPERIOD_OVERRIDE=FQ","FILING_STATUS=MR","SCALING_FORMAT=MLN","Sort=A","Dates=H","DateFormat=P","Fill=—","Direction=H","UseDPDF=Y")</f>
        <v>0</v>
      </c>
      <c r="Z13" s="13">
        <f>_xll.BDH("ALNY US Equity","IS_DA_NON_GAAP_ADJ","FQ3 2024","FQ3 2024","Currency=USD","Period=FQ","BEST_FPERIOD_OVERRIDE=FQ","FILING_STATUS=MR","SCALING_FORMAT=MLN","Sort=A","Dates=H","DateFormat=P","Fill=—","Direction=H","UseDPDF=Y")</f>
        <v>0</v>
      </c>
      <c r="AA13" s="13">
        <f>_xll.BDH("ALNY US Equity","IS_DA_NON_GAAP_ADJ","FQ4 2024","FQ4 2024","Currency=USD","Period=FQ","BEST_FPERIOD_OVERRIDE=FQ","FILING_STATUS=MR","SCALING_FORMAT=MLN","Sort=A","Dates=H","DateFormat=P","Fill=—","Direction=H","UseDPDF=Y")</f>
        <v>0</v>
      </c>
    </row>
    <row r="14" spans="1:27" x14ac:dyDescent="0.25">
      <c r="A14" s="10" t="s">
        <v>603</v>
      </c>
      <c r="B14" s="10" t="s">
        <v>604</v>
      </c>
      <c r="C14" s="13">
        <f>_xll.BDH("ALNY US Equity","IS_PDA_NONGAAP_ADJUSTMENTS","FQ4 2018","FQ4 2018","Currency=USD","Period=FQ","BEST_FPERIOD_OVERRIDE=FQ","FILING_STATUS=MR","SCALING_FORMAT=MLN","Sort=A","Dates=H","DateFormat=P","Fill=—","Direction=H","UseDPDF=Y")</f>
        <v>0</v>
      </c>
      <c r="D14" s="13">
        <f>_xll.BDH("ALNY US Equity","IS_PDA_NONGAAP_ADJUSTMENTS","FQ1 2019","FQ1 2019","Currency=USD","Period=FQ","BEST_FPERIOD_OVERRIDE=FQ","FILING_STATUS=MR","SCALING_FORMAT=MLN","Sort=A","Dates=H","DateFormat=P","Fill=—","Direction=H","UseDPDF=Y")</f>
        <v>0</v>
      </c>
      <c r="E14" s="13">
        <f>_xll.BDH("ALNY US Equity","IS_PDA_NONGAAP_ADJUSTMENTS","FQ2 2019","FQ2 2019","Currency=USD","Period=FQ","BEST_FPERIOD_OVERRIDE=FQ","FILING_STATUS=MR","SCALING_FORMAT=MLN","Sort=A","Dates=H","DateFormat=P","Fill=—","Direction=H","UseDPDF=Y")</f>
        <v>0</v>
      </c>
      <c r="F14" s="13">
        <f>_xll.BDH("ALNY US Equity","IS_PDA_NONGAAP_ADJUSTMENTS","FQ3 2019","FQ3 2019","Currency=USD","Period=FQ","BEST_FPERIOD_OVERRIDE=FQ","FILING_STATUS=MR","SCALING_FORMAT=MLN","Sort=A","Dates=H","DateFormat=P","Fill=—","Direction=H","UseDPDF=Y")</f>
        <v>0</v>
      </c>
      <c r="G14" s="13">
        <f>_xll.BDH("ALNY US Equity","IS_PDA_NONGAAP_ADJUSTMENTS","FQ4 2019","FQ4 2019","Currency=USD","Period=FQ","BEST_FPERIOD_OVERRIDE=FQ","FILING_STATUS=MR","SCALING_FORMAT=MLN","Sort=A","Dates=H","DateFormat=P","Fill=—","Direction=H","UseDPDF=Y")</f>
        <v>0</v>
      </c>
      <c r="H14" s="13">
        <f>_xll.BDH("ALNY US Equity","IS_PDA_NONGAAP_ADJUSTMENTS","FQ1 2020","FQ1 2020","Currency=USD","Period=FQ","BEST_FPERIOD_OVERRIDE=FQ","FILING_STATUS=MR","SCALING_FORMAT=MLN","Sort=A","Dates=H","DateFormat=P","Fill=—","Direction=H","UseDPDF=Y")</f>
        <v>0</v>
      </c>
      <c r="I14" s="13">
        <f>_xll.BDH("ALNY US Equity","IS_PDA_NONGAAP_ADJUSTMENTS","FQ2 2020","FQ2 2020","Currency=USD","Period=FQ","BEST_FPERIOD_OVERRIDE=FQ","FILING_STATUS=MR","SCALING_FORMAT=MLN","Sort=A","Dates=H","DateFormat=P","Fill=—","Direction=H","UseDPDF=Y")</f>
        <v>0</v>
      </c>
      <c r="J14" s="13">
        <f>_xll.BDH("ALNY US Equity","IS_PDA_NONGAAP_ADJUSTMENTS","FQ3 2020","FQ3 2020","Currency=USD","Period=FQ","BEST_FPERIOD_OVERRIDE=FQ","FILING_STATUS=MR","SCALING_FORMAT=MLN","Sort=A","Dates=H","DateFormat=P","Fill=—","Direction=H","UseDPDF=Y")</f>
        <v>0</v>
      </c>
      <c r="K14" s="13">
        <f>_xll.BDH("ALNY US Equity","IS_PDA_NONGAAP_ADJUSTMENTS","FQ4 2020","FQ4 2020","Currency=USD","Period=FQ","BEST_FPERIOD_OVERRIDE=FQ","FILING_STATUS=MR","SCALING_FORMAT=MLN","Sort=A","Dates=H","DateFormat=P","Fill=—","Direction=H","UseDPDF=Y")</f>
        <v>0</v>
      </c>
      <c r="L14" s="13">
        <f>_xll.BDH("ALNY US Equity","IS_PDA_NONGAAP_ADJUSTMENTS","FQ1 2021","FQ1 2021","Currency=USD","Period=FQ","BEST_FPERIOD_OVERRIDE=FQ","FILING_STATUS=MR","SCALING_FORMAT=MLN","Sort=A","Dates=H","DateFormat=P","Fill=—","Direction=H","UseDPDF=Y")</f>
        <v>0</v>
      </c>
      <c r="M14" s="13">
        <f>_xll.BDH("ALNY US Equity","IS_PDA_NONGAAP_ADJUSTMENTS","FQ2 2021","FQ2 2021","Currency=USD","Period=FQ","BEST_FPERIOD_OVERRIDE=FQ","FILING_STATUS=MR","SCALING_FORMAT=MLN","Sort=A","Dates=H","DateFormat=P","Fill=—","Direction=H","UseDPDF=Y")</f>
        <v>0</v>
      </c>
      <c r="N14" s="13">
        <f>_xll.BDH("ALNY US Equity","IS_PDA_NONGAAP_ADJUSTMENTS","FQ3 2021","FQ3 2021","Currency=USD","Period=FQ","BEST_FPERIOD_OVERRIDE=FQ","FILING_STATUS=MR","SCALING_FORMAT=MLN","Sort=A","Dates=H","DateFormat=P","Fill=—","Direction=H","UseDPDF=Y")</f>
        <v>0</v>
      </c>
      <c r="O14" s="13">
        <f>_xll.BDH("ALNY US Equity","IS_PDA_NONGAAP_ADJUSTMENTS","FQ4 2021","FQ4 2021","Currency=USD","Period=FQ","BEST_FPERIOD_OVERRIDE=FQ","FILING_STATUS=MR","SCALING_FORMAT=MLN","Sort=A","Dates=H","DateFormat=P","Fill=—","Direction=H","UseDPDF=Y")</f>
        <v>0</v>
      </c>
      <c r="P14" s="13">
        <f>_xll.BDH("ALNY US Equity","IS_PDA_NONGAAP_ADJUSTMENTS","FQ1 2022","FQ1 2022","Currency=USD","Period=FQ","BEST_FPERIOD_OVERRIDE=FQ","FILING_STATUS=MR","SCALING_FORMAT=MLN","Sort=A","Dates=H","DateFormat=P","Fill=—","Direction=H","UseDPDF=Y")</f>
        <v>0</v>
      </c>
      <c r="Q14" s="13">
        <f>_xll.BDH("ALNY US Equity","IS_PDA_NONGAAP_ADJUSTMENTS","FQ2 2022","FQ2 2022","Currency=USD","Period=FQ","BEST_FPERIOD_OVERRIDE=FQ","FILING_STATUS=MR","SCALING_FORMAT=MLN","Sort=A","Dates=H","DateFormat=P","Fill=—","Direction=H","UseDPDF=Y")</f>
        <v>0</v>
      </c>
      <c r="R14" s="13">
        <f>_xll.BDH("ALNY US Equity","IS_PDA_NONGAAP_ADJUSTMENTS","FQ3 2022","FQ3 2022","Currency=USD","Period=FQ","BEST_FPERIOD_OVERRIDE=FQ","FILING_STATUS=MR","SCALING_FORMAT=MLN","Sort=A","Dates=H","DateFormat=P","Fill=—","Direction=H","UseDPDF=Y")</f>
        <v>0</v>
      </c>
      <c r="S14" s="13">
        <f>_xll.BDH("ALNY US Equity","IS_PDA_NONGAAP_ADJUSTMENTS","FQ4 2022","FQ4 2022","Currency=USD","Period=FQ","BEST_FPERIOD_OVERRIDE=FQ","FILING_STATUS=MR","SCALING_FORMAT=MLN","Sort=A","Dates=H","DateFormat=P","Fill=—","Direction=H","UseDPDF=Y")</f>
        <v>0</v>
      </c>
      <c r="T14" s="13">
        <f>_xll.BDH("ALNY US Equity","IS_PDA_NONGAAP_ADJUSTMENTS","FQ1 2023","FQ1 2023","Currency=USD","Period=FQ","BEST_FPERIOD_OVERRIDE=FQ","FILING_STATUS=MR","SCALING_FORMAT=MLN","Sort=A","Dates=H","DateFormat=P","Fill=—","Direction=H","UseDPDF=Y")</f>
        <v>0</v>
      </c>
      <c r="U14" s="13">
        <f>_xll.BDH("ALNY US Equity","IS_PDA_NONGAAP_ADJUSTMENTS","FQ2 2023","FQ2 2023","Currency=USD","Period=FQ","BEST_FPERIOD_OVERRIDE=FQ","FILING_STATUS=MR","SCALING_FORMAT=MLN","Sort=A","Dates=H","DateFormat=P","Fill=—","Direction=H","UseDPDF=Y")</f>
        <v>0</v>
      </c>
      <c r="V14" s="13">
        <f>_xll.BDH("ALNY US Equity","IS_PDA_NONGAAP_ADJUSTMENTS","FQ3 2023","FQ3 2023","Currency=USD","Period=FQ","BEST_FPERIOD_OVERRIDE=FQ","FILING_STATUS=MR","SCALING_FORMAT=MLN","Sort=A","Dates=H","DateFormat=P","Fill=—","Direction=H","UseDPDF=Y")</f>
        <v>0</v>
      </c>
      <c r="W14" s="13">
        <f>_xll.BDH("ALNY US Equity","IS_PDA_NONGAAP_ADJUSTMENTS","FQ4 2023","FQ4 2023","Currency=USD","Period=FQ","BEST_FPERIOD_OVERRIDE=FQ","FILING_STATUS=MR","SCALING_FORMAT=MLN","Sort=A","Dates=H","DateFormat=P","Fill=—","Direction=H","UseDPDF=Y")</f>
        <v>0</v>
      </c>
      <c r="X14" s="13">
        <f>_xll.BDH("ALNY US Equity","IS_PDA_NONGAAP_ADJUSTMENTS","FQ1 2024","FQ1 2024","Currency=USD","Period=FQ","BEST_FPERIOD_OVERRIDE=FQ","FILING_STATUS=MR","SCALING_FORMAT=MLN","Sort=A","Dates=H","DateFormat=P","Fill=—","Direction=H","UseDPDF=Y")</f>
        <v>0</v>
      </c>
      <c r="Y14" s="13">
        <f>_xll.BDH("ALNY US Equity","IS_PDA_NONGAAP_ADJUSTMENTS","FQ2 2024","FQ2 2024","Currency=USD","Period=FQ","BEST_FPERIOD_OVERRIDE=FQ","FILING_STATUS=MR","SCALING_FORMAT=MLN","Sort=A","Dates=H","DateFormat=P","Fill=—","Direction=H","UseDPDF=Y")</f>
        <v>0</v>
      </c>
      <c r="Z14" s="13">
        <f>_xll.BDH("ALNY US Equity","IS_PDA_NONGAAP_ADJUSTMENTS","FQ3 2024","FQ3 2024","Currency=USD","Period=FQ","BEST_FPERIOD_OVERRIDE=FQ","FILING_STATUS=MR","SCALING_FORMAT=MLN","Sort=A","Dates=H","DateFormat=P","Fill=—","Direction=H","UseDPDF=Y")</f>
        <v>0</v>
      </c>
      <c r="AA14" s="13">
        <f>_xll.BDH("ALNY US Equity","IS_PDA_NONGAAP_ADJUSTMENTS","FQ4 2024","FQ4 2024","Currency=USD","Period=FQ","BEST_FPERIOD_OVERRIDE=FQ","FILING_STATUS=MR","SCALING_FORMAT=MLN","Sort=A","Dates=H","DateFormat=P","Fill=—","Direction=H","UseDPDF=Y")</f>
        <v>0</v>
      </c>
    </row>
    <row r="15" spans="1:27" x14ac:dyDescent="0.25">
      <c r="A15" s="10" t="s">
        <v>605</v>
      </c>
      <c r="B15" s="10" t="s">
        <v>606</v>
      </c>
      <c r="C15" s="13">
        <f>_xll.BDH("ALNY US Equity","IS_OTHER_OPERATING_EXPN_ADJUST","FQ4 2018","FQ4 2018","Currency=USD","Period=FQ","BEST_FPERIOD_OVERRIDE=FQ","FILING_STATUS=MR","SCALING_FORMAT=MLN","Sort=A","Dates=H","DateFormat=P","Fill=—","Direction=H","UseDPDF=Y")</f>
        <v>0</v>
      </c>
      <c r="D15" s="13">
        <f>_xll.BDH("ALNY US Equity","IS_OTHER_OPERATING_EXPN_ADJUST","FQ1 2019","FQ1 2019","Currency=USD","Period=FQ","BEST_FPERIOD_OVERRIDE=FQ","FILING_STATUS=MR","SCALING_FORMAT=MLN","Sort=A","Dates=H","DateFormat=P","Fill=—","Direction=H","UseDPDF=Y")</f>
        <v>0</v>
      </c>
      <c r="E15" s="13">
        <f>_xll.BDH("ALNY US Equity","IS_OTHER_OPERATING_EXPN_ADJUST","FQ2 2019","FQ2 2019","Currency=USD","Period=FQ","BEST_FPERIOD_OVERRIDE=FQ","FILING_STATUS=MR","SCALING_FORMAT=MLN","Sort=A","Dates=H","DateFormat=P","Fill=—","Direction=H","UseDPDF=Y")</f>
        <v>0</v>
      </c>
      <c r="F15" s="13">
        <f>_xll.BDH("ALNY US Equity","IS_OTHER_OPERATING_EXPN_ADJUST","FQ3 2019","FQ3 2019","Currency=USD","Period=FQ","BEST_FPERIOD_OVERRIDE=FQ","FILING_STATUS=MR","SCALING_FORMAT=MLN","Sort=A","Dates=H","DateFormat=P","Fill=—","Direction=H","UseDPDF=Y")</f>
        <v>0</v>
      </c>
      <c r="G15" s="13">
        <f>_xll.BDH("ALNY US Equity","IS_OTHER_OPERATING_EXPN_ADJUST","FQ4 2019","FQ4 2019","Currency=USD","Period=FQ","BEST_FPERIOD_OVERRIDE=FQ","FILING_STATUS=MR","SCALING_FORMAT=MLN","Sort=A","Dates=H","DateFormat=P","Fill=—","Direction=H","UseDPDF=Y")</f>
        <v>0</v>
      </c>
      <c r="H15" s="13">
        <f>_xll.BDH("ALNY US Equity","IS_OTHER_OPERATING_EXPN_ADJUST","FQ1 2020","FQ1 2020","Currency=USD","Period=FQ","BEST_FPERIOD_OVERRIDE=FQ","FILING_STATUS=MR","SCALING_FORMAT=MLN","Sort=A","Dates=H","DateFormat=P","Fill=—","Direction=H","UseDPDF=Y")</f>
        <v>0</v>
      </c>
      <c r="I15" s="13">
        <f>_xll.BDH("ALNY US Equity","IS_OTHER_OPERATING_EXPN_ADJUST","FQ2 2020","FQ2 2020","Currency=USD","Period=FQ","BEST_FPERIOD_OVERRIDE=FQ","FILING_STATUS=MR","SCALING_FORMAT=MLN","Sort=A","Dates=H","DateFormat=P","Fill=—","Direction=H","UseDPDF=Y")</f>
        <v>-0.81269999999999998</v>
      </c>
      <c r="J15" s="13">
        <f>_xll.BDH("ALNY US Equity","IS_OTHER_OPERATING_EXPN_ADJUST","FQ3 2020","FQ3 2020","Currency=USD","Period=FQ","BEST_FPERIOD_OVERRIDE=FQ","FILING_STATUS=MR","SCALING_FORMAT=MLN","Sort=A","Dates=H","DateFormat=P","Fill=—","Direction=H","UseDPDF=Y")</f>
        <v>29.413</v>
      </c>
      <c r="K15" s="13">
        <f>_xll.BDH("ALNY US Equity","IS_OTHER_OPERATING_EXPN_ADJUST","FQ4 2020","FQ4 2020","Currency=USD","Period=FQ","BEST_FPERIOD_OVERRIDE=FQ","FILING_STATUS=MR","SCALING_FORMAT=MLN","Sort=A","Dates=H","DateFormat=P","Fill=—","Direction=H","UseDPDF=Y")</f>
        <v>10.215999999999999</v>
      </c>
      <c r="L15" s="13">
        <f>_xll.BDH("ALNY US Equity","IS_OTHER_OPERATING_EXPN_ADJUST","FQ1 2021","FQ1 2021","Currency=USD","Period=FQ","BEST_FPERIOD_OVERRIDE=FQ","FILING_STATUS=MR","SCALING_FORMAT=MLN","Sort=A","Dates=H","DateFormat=P","Fill=—","Direction=H","UseDPDF=Y")</f>
        <v>0</v>
      </c>
      <c r="M15" s="13">
        <f>_xll.BDH("ALNY US Equity","IS_OTHER_OPERATING_EXPN_ADJUST","FQ2 2021","FQ2 2021","Currency=USD","Period=FQ","BEST_FPERIOD_OVERRIDE=FQ","FILING_STATUS=MR","SCALING_FORMAT=MLN","Sort=A","Dates=H","DateFormat=P","Fill=—","Direction=H","UseDPDF=Y")</f>
        <v>0</v>
      </c>
      <c r="N15" s="13">
        <f>_xll.BDH("ALNY US Equity","IS_OTHER_OPERATING_EXPN_ADJUST","FQ3 2021","FQ3 2021","Currency=USD","Period=FQ","BEST_FPERIOD_OVERRIDE=FQ","FILING_STATUS=MR","SCALING_FORMAT=MLN","Sort=A","Dates=H","DateFormat=P","Fill=—","Direction=H","UseDPDF=Y")</f>
        <v>10</v>
      </c>
      <c r="O15" s="13">
        <f>_xll.BDH("ALNY US Equity","IS_OTHER_OPERATING_EXPN_ADJUST","FQ4 2021","FQ4 2021","Currency=USD","Period=FQ","BEST_FPERIOD_OVERRIDE=FQ","FILING_STATUS=MR","SCALING_FORMAT=MLN","Sort=A","Dates=H","DateFormat=P","Fill=—","Direction=H","UseDPDF=Y")</f>
        <v>0</v>
      </c>
      <c r="P15" s="13">
        <f>_xll.BDH("ALNY US Equity","IS_OTHER_OPERATING_EXPN_ADJUST","FQ1 2022","FQ1 2022","Currency=USD","Period=FQ","BEST_FPERIOD_OVERRIDE=FQ","FILING_STATUS=MR","SCALING_FORMAT=MLN","Sort=A","Dates=H","DateFormat=P","Fill=—","Direction=H","UseDPDF=Y")</f>
        <v>0</v>
      </c>
      <c r="Q15" s="13">
        <f>_xll.BDH("ALNY US Equity","IS_OTHER_OPERATING_EXPN_ADJUST","FQ2 2022","FQ2 2022","Currency=USD","Period=FQ","BEST_FPERIOD_OVERRIDE=FQ","FILING_STATUS=MR","SCALING_FORMAT=MLN","Sort=A","Dates=H","DateFormat=P","Fill=—","Direction=H","UseDPDF=Y")</f>
        <v>0</v>
      </c>
      <c r="R15" s="13">
        <f>_xll.BDH("ALNY US Equity","IS_OTHER_OPERATING_EXPN_ADJUST","FQ3 2022","FQ3 2022","Currency=USD","Period=FQ","BEST_FPERIOD_OVERRIDE=FQ","FILING_STATUS=MR","SCALING_FORMAT=MLN","Sort=A","Dates=H","DateFormat=P","Fill=—","Direction=H","UseDPDF=Y")</f>
        <v>0</v>
      </c>
      <c r="S15" s="13">
        <f>_xll.BDH("ALNY US Equity","IS_OTHER_OPERATING_EXPN_ADJUST","FQ4 2022","FQ4 2022","Currency=USD","Period=FQ","BEST_FPERIOD_OVERRIDE=FQ","FILING_STATUS=MR","SCALING_FORMAT=MLN","Sort=A","Dates=H","DateFormat=P","Fill=—","Direction=H","UseDPDF=Y")</f>
        <v>0</v>
      </c>
      <c r="T15" s="13">
        <f>_xll.BDH("ALNY US Equity","IS_OTHER_OPERATING_EXPN_ADJUST","FQ1 2023","FQ1 2023","Currency=USD","Period=FQ","BEST_FPERIOD_OVERRIDE=FQ","FILING_STATUS=MR","SCALING_FORMAT=MLN","Sort=A","Dates=H","DateFormat=P","Fill=—","Direction=H","UseDPDF=Y")</f>
        <v>0</v>
      </c>
      <c r="U15" s="13">
        <f>_xll.BDH("ALNY US Equity","IS_OTHER_OPERATING_EXPN_ADJUST","FQ2 2023","FQ2 2023","Currency=USD","Period=FQ","BEST_FPERIOD_OVERRIDE=FQ","FILING_STATUS=MR","SCALING_FORMAT=MLN","Sort=A","Dates=H","DateFormat=P","Fill=—","Direction=H","UseDPDF=Y")</f>
        <v>0</v>
      </c>
      <c r="V15" s="13">
        <f>_xll.BDH("ALNY US Equity","IS_OTHER_OPERATING_EXPN_ADJUST","FQ3 2023","FQ3 2023","Currency=USD","Period=FQ","BEST_FPERIOD_OVERRIDE=FQ","FILING_STATUS=MR","SCALING_FORMAT=MLN","Sort=A","Dates=H","DateFormat=P","Fill=—","Direction=H","UseDPDF=Y")</f>
        <v>0</v>
      </c>
      <c r="W15" s="13">
        <f>_xll.BDH("ALNY US Equity","IS_OTHER_OPERATING_EXPN_ADJUST","FQ4 2023","FQ4 2023","Currency=USD","Period=FQ","BEST_FPERIOD_OVERRIDE=FQ","FILING_STATUS=MR","SCALING_FORMAT=MLN","Sort=A","Dates=H","DateFormat=P","Fill=—","Direction=H","UseDPDF=Y")</f>
        <v>0</v>
      </c>
      <c r="X15" s="13">
        <f>_xll.BDH("ALNY US Equity","IS_OTHER_OPERATING_EXPN_ADJUST","FQ1 2024","FQ1 2024","Currency=USD","Period=FQ","BEST_FPERIOD_OVERRIDE=FQ","FILING_STATUS=MR","SCALING_FORMAT=MLN","Sort=A","Dates=H","DateFormat=P","Fill=—","Direction=H","UseDPDF=Y")</f>
        <v>0</v>
      </c>
      <c r="Y15" s="13">
        <f>_xll.BDH("ALNY US Equity","IS_OTHER_OPERATING_EXPN_ADJUST","FQ2 2024","FQ2 2024","Currency=USD","Period=FQ","BEST_FPERIOD_OVERRIDE=FQ","FILING_STATUS=MR","SCALING_FORMAT=MLN","Sort=A","Dates=H","DateFormat=P","Fill=—","Direction=H","UseDPDF=Y")</f>
        <v>0</v>
      </c>
      <c r="Z15" s="13">
        <f>_xll.BDH("ALNY US Equity","IS_OTHER_OPERATING_EXPN_ADJUST","FQ3 2024","FQ3 2024","Currency=USD","Period=FQ","BEST_FPERIOD_OVERRIDE=FQ","FILING_STATUS=MR","SCALING_FORMAT=MLN","Sort=A","Dates=H","DateFormat=P","Fill=—","Direction=H","UseDPDF=Y")</f>
        <v>0</v>
      </c>
      <c r="AA15" s="13">
        <f>_xll.BDH("ALNY US Equity","IS_OTHER_OPERATING_EXPN_ADJUST","FQ4 2024","FQ4 2024","Currency=USD","Period=FQ","BEST_FPERIOD_OVERRIDE=FQ","FILING_STATUS=MR","SCALING_FORMAT=MLN","Sort=A","Dates=H","DateFormat=P","Fill=—","Direction=H","UseDPDF=Y")</f>
        <v>0</v>
      </c>
    </row>
    <row r="16" spans="1:27" x14ac:dyDescent="0.25">
      <c r="A16" s="6" t="s">
        <v>607</v>
      </c>
      <c r="B16" s="6" t="s">
        <v>99</v>
      </c>
      <c r="C16" s="19">
        <f>_xll.BDH("ALNY US Equity","IS_OPER_INC","FQ4 2018","FQ4 2018","Currency=USD","Period=FQ","BEST_FPERIOD_OVERRIDE=FQ","FILING_STATUS=MR","SCALING_FORMAT=MLN","FA_ADJUSTED=Adjusted","Sort=A","Dates=H","DateFormat=P","Fill=—","Direction=H","UseDPDF=Y")</f>
        <v>-220.35599999999999</v>
      </c>
      <c r="D16" s="19">
        <f>_xll.BDH("ALNY US Equity","IS_OPER_INC","FQ1 2019","FQ1 2019","Currency=USD","Period=FQ","BEST_FPERIOD_OVERRIDE=FQ","FILING_STATUS=MR","SCALING_FORMAT=MLN","FA_ADJUSTED=Adjusted","Sort=A","Dates=H","DateFormat=P","Fill=—","Direction=H","UseDPDF=Y")</f>
        <v>-188.78800000000001</v>
      </c>
      <c r="E16" s="19">
        <f>_xll.BDH("ALNY US Equity","IS_OPER_INC","FQ2 2019","FQ2 2019","Currency=USD","Period=FQ","BEST_FPERIOD_OVERRIDE=FQ","FILING_STATUS=MR","SCALING_FORMAT=MLN","FA_ADJUSTED=Adjusted","Sort=A","Dates=H","DateFormat=P","Fill=—","Direction=H","UseDPDF=Y")</f>
        <v>-236.27099999999999</v>
      </c>
      <c r="F16" s="19">
        <f>_xll.BDH("ALNY US Equity","IS_OPER_INC","FQ3 2019","FQ3 2019","Currency=USD","Period=FQ","BEST_FPERIOD_OVERRIDE=FQ","FILING_STATUS=MR","SCALING_FORMAT=MLN","FA_ADJUSTED=Adjusted","Sort=A","Dates=H","DateFormat=P","Fill=—","Direction=H","UseDPDF=Y")</f>
        <v>-216.29900000000001</v>
      </c>
      <c r="G16" s="19">
        <f>_xll.BDH("ALNY US Equity","IS_OPER_INC","FQ4 2019","FQ4 2019","Currency=USD","Period=FQ","BEST_FPERIOD_OVERRIDE=FQ","FILING_STATUS=MR","SCALING_FORMAT=MLN","FA_ADJUSTED=Adjusted","Sort=A","Dates=H","DateFormat=P","Fill=—","Direction=H","UseDPDF=Y")</f>
        <v>-298.07299999999998</v>
      </c>
      <c r="H16" s="19">
        <f>_xll.BDH("ALNY US Equity","IS_OPER_INC","FQ1 2020","FQ1 2020","Currency=USD","Period=FQ","BEST_FPERIOD_OVERRIDE=FQ","FILING_STATUS=MR","SCALING_FORMAT=MLN","FA_ADJUSTED=Adjusted","Sort=A","Dates=H","DateFormat=P","Fill=—","Direction=H","UseDPDF=Y")</f>
        <v>-210.15799999999999</v>
      </c>
      <c r="I16" s="19">
        <f>_xll.BDH("ALNY US Equity","IS_OPER_INC","FQ2 2020","FQ2 2020","Currency=USD","Period=FQ","BEST_FPERIOD_OVERRIDE=FQ","FILING_STATUS=MR","SCALING_FORMAT=MLN","FA_ADJUSTED=Adjusted","Sort=A","Dates=H","DateFormat=P","Fill=—","Direction=H","UseDPDF=Y")</f>
        <v>-199.67169999999999</v>
      </c>
      <c r="J16" s="19">
        <f>_xll.BDH("ALNY US Equity","IS_OPER_INC","FQ3 2020","FQ3 2020","Currency=USD","Period=FQ","BEST_FPERIOD_OVERRIDE=FQ","FILING_STATUS=MR","SCALING_FORMAT=MLN","FA_ADJUSTED=Adjusted","Sort=A","Dates=H","DateFormat=P","Fill=—","Direction=H","UseDPDF=Y")</f>
        <v>-195.786</v>
      </c>
      <c r="K16" s="19">
        <f>_xll.BDH("ALNY US Equity","IS_OPER_INC","FQ4 2020","FQ4 2020","Currency=USD","Period=FQ","BEST_FPERIOD_OVERRIDE=FQ","FILING_STATUS=MR","SCALING_FORMAT=MLN","FA_ADJUSTED=Adjusted","Sort=A","Dates=H","DateFormat=P","Fill=—","Direction=H","UseDPDF=Y")</f>
        <v>-184.006</v>
      </c>
      <c r="L16" s="19">
        <f>_xll.BDH("ALNY US Equity","IS_OPER_INC","FQ1 2021","FQ1 2021","Currency=USD","Period=FQ","BEST_FPERIOD_OVERRIDE=FQ","FILING_STATUS=MR","SCALING_FORMAT=MLN","FA_ADJUSTED=Adjusted","Sort=A","Dates=H","DateFormat=P","Fill=—","Direction=H","UseDPDF=Y")</f>
        <v>-186.25399999999999</v>
      </c>
      <c r="M16" s="19">
        <f>_xll.BDH("ALNY US Equity","IS_OPER_INC","FQ2 2021","FQ2 2021","Currency=USD","Period=FQ","BEST_FPERIOD_OVERRIDE=FQ","FILING_STATUS=MR","SCALING_FORMAT=MLN","FA_ADJUSTED=Adjusted","Sort=A","Dates=H","DateFormat=P","Fill=—","Direction=H","UseDPDF=Y")</f>
        <v>-146.16</v>
      </c>
      <c r="N16" s="19">
        <f>_xll.BDH("ALNY US Equity","IS_OPER_INC","FQ3 2021","FQ3 2021","Currency=USD","Period=FQ","BEST_FPERIOD_OVERRIDE=FQ","FILING_STATUS=MR","SCALING_FORMAT=MLN","FA_ADJUSTED=Adjusted","Sort=A","Dates=H","DateFormat=P","Fill=—","Direction=H","UseDPDF=Y")</f>
        <v>-171.67699999999999</v>
      </c>
      <c r="O16" s="19">
        <f>_xll.BDH("ALNY US Equity","IS_OPER_INC","FQ4 2021","FQ4 2021","Currency=USD","Period=FQ","BEST_FPERIOD_OVERRIDE=FQ","FILING_STATUS=MR","SCALING_FORMAT=MLN","FA_ADJUSTED=Adjusted","Sort=A","Dates=H","DateFormat=P","Fill=—","Direction=H","UseDPDF=Y")</f>
        <v>-194.56100000000001</v>
      </c>
      <c r="P16" s="19">
        <f>_xll.BDH("ALNY US Equity","IS_OPER_INC","FQ1 2022","FQ1 2022","Currency=USD","Period=FQ","BEST_FPERIOD_OVERRIDE=FQ","FILING_STATUS=MR","SCALING_FORMAT=MLN","FA_ADJUSTED=Adjusted","Sort=A","Dates=H","DateFormat=P","Fill=—","Direction=H","UseDPDF=Y")</f>
        <v>-146.732</v>
      </c>
      <c r="Q16" s="19">
        <f>_xll.BDH("ALNY US Equity","IS_OPER_INC","FQ2 2022","FQ2 2022","Currency=USD","Period=FQ","BEST_FPERIOD_OVERRIDE=FQ","FILING_STATUS=MR","SCALING_FORMAT=MLN","FA_ADJUSTED=Adjusted","Sort=A","Dates=H","DateFormat=P","Fill=—","Direction=H","UseDPDF=Y")</f>
        <v>-191.68600000000001</v>
      </c>
      <c r="R16" s="19">
        <f>_xll.BDH("ALNY US Equity","IS_OPER_INC","FQ3 2022","FQ3 2022","Currency=USD","Period=FQ","BEST_FPERIOD_OVERRIDE=FQ","FILING_STATUS=MR","SCALING_FORMAT=MLN","FA_ADJUSTED=Adjusted","Sort=A","Dates=H","DateFormat=P","Fill=—","Direction=H","UseDPDF=Y")</f>
        <v>-258.04000000000002</v>
      </c>
      <c r="S16" s="19">
        <f>_xll.BDH("ALNY US Equity","IS_OPER_INC","FQ4 2022","FQ4 2022","Currency=USD","Period=FQ","BEST_FPERIOD_OVERRIDE=FQ","FILING_STATUS=MR","SCALING_FORMAT=MLN","FA_ADJUSTED=Adjusted","Sort=A","Dates=H","DateFormat=P","Fill=—","Direction=H","UseDPDF=Y")</f>
        <v>-188.614</v>
      </c>
      <c r="T16" s="19">
        <f>_xll.BDH("ALNY US Equity","IS_OPER_INC","FQ1 2023","FQ1 2023","Currency=USD","Period=FQ","BEST_FPERIOD_OVERRIDE=FQ","FILING_STATUS=MR","SCALING_FORMAT=MLN","FA_ADJUSTED=Adjusted","Sort=A","Dates=H","DateFormat=P","Fill=—","Direction=H","UseDPDF=Y")</f>
        <v>-149.80699999999999</v>
      </c>
      <c r="U16" s="19">
        <f>_xll.BDH("ALNY US Equity","IS_OPER_INC","FQ2 2023","FQ2 2023","Currency=USD","Period=FQ","BEST_FPERIOD_OVERRIDE=FQ","FILING_STATUS=MR","SCALING_FORMAT=MLN","FA_ADJUSTED=Adjusted","Sort=A","Dates=H","DateFormat=P","Fill=—","Direction=H","UseDPDF=Y")</f>
        <v>-229.83099999999999</v>
      </c>
      <c r="V16" s="19">
        <f>_xll.BDH("ALNY US Equity","IS_OPER_INC","FQ3 2023","FQ3 2023","Currency=USD","Period=FQ","BEST_FPERIOD_OVERRIDE=FQ","FILING_STATUS=MR","SCALING_FORMAT=MLN","FA_ADJUSTED=Adjusted","Sort=A","Dates=H","DateFormat=P","Fill=—","Direction=H","UseDPDF=Y")</f>
        <v>213.86699999999999</v>
      </c>
      <c r="W16" s="19">
        <f>_xll.BDH("ALNY US Equity","IS_OPER_INC","FQ4 2023","FQ4 2023","Currency=USD","Period=FQ","BEST_FPERIOD_OVERRIDE=FQ","FILING_STATUS=MR","SCALING_FORMAT=MLN","FA_ADJUSTED=Adjusted","Sort=A","Dates=H","DateFormat=P","Fill=—","Direction=H","UseDPDF=Y")</f>
        <v>-116.404</v>
      </c>
      <c r="X16" s="19">
        <f>_xll.BDH("ALNY US Equity","IS_OPER_INC","FQ1 2024","FQ1 2024","Currency=USD","Period=FQ","BEST_FPERIOD_OVERRIDE=FQ","FILING_STATUS=MR","SCALING_FORMAT=MLN","FA_ADJUSTED=Adjusted","Sort=A","Dates=H","DateFormat=P","Fill=—","Direction=H","UseDPDF=Y")</f>
        <v>-43.435000000000002</v>
      </c>
      <c r="Y16" s="19">
        <f>_xll.BDH("ALNY US Equity","IS_OPER_INC","FQ2 2024","FQ2 2024","Currency=USD","Period=FQ","BEST_FPERIOD_OVERRIDE=FQ","FILING_STATUS=MR","SCALING_FORMAT=MLN","FA_ADJUSTED=Adjusted","Sort=A","Dates=H","DateFormat=P","Fill=—","Direction=H","UseDPDF=Y")</f>
        <v>48.613999999999997</v>
      </c>
      <c r="Z16" s="19">
        <f>_xll.BDH("ALNY US Equity","IS_OPER_INC","FQ3 2024","FQ3 2024","Currency=USD","Period=FQ","BEST_FPERIOD_OVERRIDE=FQ","FILING_STATUS=MR","SCALING_FORMAT=MLN","FA_ADJUSTED=Adjusted","Sort=A","Dates=H","DateFormat=P","Fill=—","Direction=H","UseDPDF=Y")</f>
        <v>-76.905000000000001</v>
      </c>
      <c r="AA16" s="19">
        <f>_xll.BDH("ALNY US Equity","IS_OPER_INC","FQ4 2024","FQ4 2024","Currency=USD","Period=FQ","BEST_FPERIOD_OVERRIDE=FQ","FILING_STATUS=MR","SCALING_FORMAT=MLN","FA_ADJUSTED=Adjusted","Sort=A","Dates=H","DateFormat=P","Fill=—","Direction=H","UseDPDF=Y")</f>
        <v>-105.15900000000001</v>
      </c>
    </row>
    <row r="17" spans="1:27" x14ac:dyDescent="0.25">
      <c r="A17" s="10" t="s">
        <v>608</v>
      </c>
      <c r="B17" s="10" t="s">
        <v>609</v>
      </c>
      <c r="C17" s="13">
        <f>_xll.BDH("ALNY US Equity","ADJUSTED_DA_EXPENSES","FQ4 2018","FQ4 2018","Currency=USD","Period=FQ","BEST_FPERIOD_OVERRIDE=FQ","FILING_STATUS=MR","SCALING_FORMAT=MLN","Sort=A","Dates=H","DateFormat=P","Fill=—","Direction=H","UseDPDF=Y")</f>
        <v>-2.2280000000000002</v>
      </c>
      <c r="D17" s="13">
        <f>_xll.BDH("ALNY US Equity","ADJUSTED_DA_EXPENSES","FQ1 2019","FQ1 2019","Currency=USD","Period=FQ","BEST_FPERIOD_OVERRIDE=FQ","FILING_STATUS=MR","SCALING_FORMAT=MLN","Sort=A","Dates=H","DateFormat=P","Fill=—","Direction=H","UseDPDF=Y")</f>
        <v>12.21</v>
      </c>
      <c r="E17" s="13">
        <f>_xll.BDH("ALNY US Equity","ADJUSTED_DA_EXPENSES","FQ2 2019","FQ2 2019","Currency=USD","Period=FQ","BEST_FPERIOD_OVERRIDE=FQ","FILING_STATUS=MR","SCALING_FORMAT=MLN","Sort=A","Dates=H","DateFormat=P","Fill=—","Direction=H","UseDPDF=Y")</f>
        <v>9.7449999999999992</v>
      </c>
      <c r="F17" s="13">
        <f>_xll.BDH("ALNY US Equity","ADJUSTED_DA_EXPENSES","FQ3 2019","FQ3 2019","Currency=USD","Period=FQ","BEST_FPERIOD_OVERRIDE=FQ","FILING_STATUS=MR","SCALING_FORMAT=MLN","Sort=A","Dates=H","DateFormat=P","Fill=—","Direction=H","UseDPDF=Y")</f>
        <v>17.651</v>
      </c>
      <c r="G17" s="13">
        <f>_xll.BDH("ALNY US Equity","ADJUSTED_DA_EXPENSES","FQ4 2019","FQ4 2019","Currency=USD","Period=FQ","BEST_FPERIOD_OVERRIDE=FQ","FILING_STATUS=MR","SCALING_FORMAT=MLN","Sort=A","Dates=H","DateFormat=P","Fill=—","Direction=H","UseDPDF=Y")</f>
        <v>14.762</v>
      </c>
      <c r="H17" s="13">
        <f>_xll.BDH("ALNY US Equity","ADJUSTED_DA_EXPENSES","FQ1 2020","FQ1 2020","Currency=USD","Period=FQ","BEST_FPERIOD_OVERRIDE=FQ","FILING_STATUS=MR","SCALING_FORMAT=MLN","Sort=A","Dates=H","DateFormat=P","Fill=—","Direction=H","UseDPDF=Y")</f>
        <v>17.006</v>
      </c>
      <c r="I17" s="13">
        <f>_xll.BDH("ALNY US Equity","ADJUSTED_DA_EXPENSES","FQ2 2020","FQ2 2020","Currency=USD","Period=FQ","BEST_FPERIOD_OVERRIDE=FQ","FILING_STATUS=MR","SCALING_FORMAT=MLN","Sort=A","Dates=H","DateFormat=P","Fill=—","Direction=H","UseDPDF=Y")</f>
        <v>17.777999999999999</v>
      </c>
      <c r="J17" s="13">
        <f>_xll.BDH("ALNY US Equity","ADJUSTED_DA_EXPENSES","FQ3 2020","FQ3 2020","Currency=USD","Period=FQ","BEST_FPERIOD_OVERRIDE=FQ","FILING_STATUS=MR","SCALING_FORMAT=MLN","Sort=A","Dates=H","DateFormat=P","Fill=—","Direction=H","UseDPDF=Y")</f>
        <v>18.771000000000001</v>
      </c>
      <c r="K17" s="13">
        <f>_xll.BDH("ALNY US Equity","ADJUSTED_DA_EXPENSES","FQ4 2020","FQ4 2020","Currency=USD","Period=FQ","BEST_FPERIOD_OVERRIDE=FQ","FILING_STATUS=MR","SCALING_FORMAT=MLN","Sort=A","Dates=H","DateFormat=P","Fill=—","Direction=H","UseDPDF=Y")</f>
        <v>20.88</v>
      </c>
      <c r="L17" s="13">
        <f>_xll.BDH("ALNY US Equity","ADJUSTED_DA_EXPENSES","FQ1 2021","FQ1 2021","Currency=USD","Period=FQ","BEST_FPERIOD_OVERRIDE=FQ","FILING_STATUS=MR","SCALING_FORMAT=MLN","Sort=A","Dates=H","DateFormat=P","Fill=—","Direction=H","UseDPDF=Y")</f>
        <v>22.861999999999998</v>
      </c>
      <c r="M17" s="13">
        <f>_xll.BDH("ALNY US Equity","ADJUSTED_DA_EXPENSES","FQ2 2021","FQ2 2021","Currency=USD","Period=FQ","BEST_FPERIOD_OVERRIDE=FQ","FILING_STATUS=MR","SCALING_FORMAT=MLN","Sort=A","Dates=H","DateFormat=P","Fill=—","Direction=H","UseDPDF=Y")</f>
        <v>22.161000000000001</v>
      </c>
      <c r="N17" s="13">
        <f>_xll.BDH("ALNY US Equity","ADJUSTED_DA_EXPENSES","FQ3 2021","FQ3 2021","Currency=USD","Period=FQ","BEST_FPERIOD_OVERRIDE=FQ","FILING_STATUS=MR","SCALING_FORMAT=MLN","Sort=A","Dates=H","DateFormat=P","Fill=—","Direction=H","UseDPDF=Y")</f>
        <v>23.22</v>
      </c>
      <c r="O17" s="13">
        <f>_xll.BDH("ALNY US Equity","ADJUSTED_DA_EXPENSES","FQ4 2021","FQ4 2021","Currency=USD","Period=FQ","BEST_FPERIOD_OVERRIDE=FQ","FILING_STATUS=MR","SCALING_FORMAT=MLN","Sort=A","Dates=H","DateFormat=P","Fill=—","Direction=H","UseDPDF=Y")</f>
        <v>21.451000000000001</v>
      </c>
      <c r="P17" s="13">
        <f>_xll.BDH("ALNY US Equity","ADJUSTED_DA_EXPENSES","FQ1 2022","FQ1 2022","Currency=USD","Period=FQ","BEST_FPERIOD_OVERRIDE=FQ","FILING_STATUS=MR","SCALING_FORMAT=MLN","Sort=A","Dates=H","DateFormat=P","Fill=—","Direction=H","UseDPDF=Y")</f>
        <v>19.777999999999999</v>
      </c>
      <c r="Q17" s="13">
        <f>_xll.BDH("ALNY US Equity","ADJUSTED_DA_EXPENSES","FQ2 2022","FQ2 2022","Currency=USD","Period=FQ","BEST_FPERIOD_OVERRIDE=FQ","FILING_STATUS=MR","SCALING_FORMAT=MLN","Sort=A","Dates=H","DateFormat=P","Fill=—","Direction=H","UseDPDF=Y")</f>
        <v>20.236999999999998</v>
      </c>
      <c r="R17" s="13">
        <f>_xll.BDH("ALNY US Equity","ADJUSTED_DA_EXPENSES","FQ3 2022","FQ3 2022","Currency=USD","Period=FQ","BEST_FPERIOD_OVERRIDE=FQ","FILING_STATUS=MR","SCALING_FORMAT=MLN","Sort=A","Dates=H","DateFormat=P","Fill=—","Direction=H","UseDPDF=Y")</f>
        <v>20.65</v>
      </c>
      <c r="S17" s="13">
        <f>_xll.BDH("ALNY US Equity","ADJUSTED_DA_EXPENSES","FQ4 2022","FQ4 2022","Currency=USD","Period=FQ","BEST_FPERIOD_OVERRIDE=FQ","FILING_STATUS=MR","SCALING_FORMAT=MLN","Sort=A","Dates=H","DateFormat=P","Fill=—","Direction=H","UseDPDF=Y")</f>
        <v>24.885000000000002</v>
      </c>
      <c r="T17" s="13">
        <f>_xll.BDH("ALNY US Equity","ADJUSTED_DA_EXPENSES","FQ1 2023","FQ1 2023","Currency=USD","Period=FQ","BEST_FPERIOD_OVERRIDE=FQ","FILING_STATUS=MR","SCALING_FORMAT=MLN","Sort=A","Dates=H","DateFormat=P","Fill=—","Direction=H","UseDPDF=Y")</f>
        <v>26.079000000000001</v>
      </c>
      <c r="U17" s="13">
        <f>_xll.BDH("ALNY US Equity","ADJUSTED_DA_EXPENSES","FQ2 2023","FQ2 2023","Currency=USD","Period=FQ","BEST_FPERIOD_OVERRIDE=FQ","FILING_STATUS=MR","SCALING_FORMAT=MLN","Sort=A","Dates=H","DateFormat=P","Fill=—","Direction=H","UseDPDF=Y")</f>
        <v>23.446999999999999</v>
      </c>
      <c r="V17" s="13">
        <f>_xll.BDH("ALNY US Equity","ADJUSTED_DA_EXPENSES","FQ3 2023","FQ3 2023","Currency=USD","Period=FQ","BEST_FPERIOD_OVERRIDE=FQ","FILING_STATUS=MR","SCALING_FORMAT=MLN","Sort=A","Dates=H","DateFormat=P","Fill=—","Direction=H","UseDPDF=Y")</f>
        <v>23.532</v>
      </c>
      <c r="W17" s="13">
        <f>_xll.BDH("ALNY US Equity","ADJUSTED_DA_EXPENSES","FQ4 2023","FQ4 2023","Currency=USD","Period=FQ","BEST_FPERIOD_OVERRIDE=FQ","FILING_STATUS=MR","SCALING_FORMAT=MLN","Sort=A","Dates=H","DateFormat=P","Fill=—","Direction=H","UseDPDF=Y")</f>
        <v>23.972999999999999</v>
      </c>
      <c r="X17" s="13">
        <f>_xll.BDH("ALNY US Equity","ADJUSTED_DA_EXPENSES","FQ1 2024","FQ1 2024","Currency=USD","Period=FQ","BEST_FPERIOD_OVERRIDE=FQ","FILING_STATUS=MR","SCALING_FORMAT=MLN","Sort=A","Dates=H","DateFormat=P","Fill=—","Direction=H","UseDPDF=Y")</f>
        <v>25.486000000000001</v>
      </c>
      <c r="Y17" s="13">
        <f>_xll.BDH("ALNY US Equity","ADJUSTED_DA_EXPENSES","FQ2 2024","FQ2 2024","Currency=USD","Period=FQ","BEST_FPERIOD_OVERRIDE=FQ","FILING_STATUS=MR","SCALING_FORMAT=MLN","Sort=A","Dates=H","DateFormat=P","Fill=—","Direction=H","UseDPDF=Y")</f>
        <v>24.692</v>
      </c>
      <c r="Z17" s="13">
        <f>_xll.BDH("ALNY US Equity","ADJUSTED_DA_EXPENSES","FQ3 2024","FQ3 2024","Currency=USD","Period=FQ","BEST_FPERIOD_OVERRIDE=FQ","FILING_STATUS=MR","SCALING_FORMAT=MLN","Sort=A","Dates=H","DateFormat=P","Fill=—","Direction=H","UseDPDF=Y")</f>
        <v>27.038</v>
      </c>
      <c r="AA17" s="13">
        <f>_xll.BDH("ALNY US Equity","ADJUSTED_DA_EXPENSES","FQ4 2024","FQ4 2024","Currency=USD","Period=FQ","BEST_FPERIOD_OVERRIDE=FQ","FILING_STATUS=MR","SCALING_FORMAT=MLN","Sort=A","Dates=H","DateFormat=P","Fill=—","Direction=H","UseDPDF=Y")</f>
        <v>14.167999999999999</v>
      </c>
    </row>
    <row r="18" spans="1:27" x14ac:dyDescent="0.25">
      <c r="A18" s="10" t="s">
        <v>610</v>
      </c>
      <c r="B18" s="10" t="s">
        <v>611</v>
      </c>
      <c r="C18" s="13">
        <f>_xll.BDH("ALNY US Equity","COST_CAPITALIZED_OPERATING_LEAS","FQ4 2018","FQ4 2018","Currency=USD","Period=FQ","BEST_FPERIOD_OVERRIDE=FQ","FILING_STATUS=MR","SCALING_FORMAT=MLN","Sort=A","Dates=H","DateFormat=P","Fill=—","Direction=H","UseDPDF=Y")</f>
        <v>0</v>
      </c>
      <c r="D18" s="13">
        <f>_xll.BDH("ALNY US Equity","COST_CAPITALIZED_OPERATING_LEAS","FQ1 2019","FQ1 2019","Currency=USD","Period=FQ","BEST_FPERIOD_OVERRIDE=FQ","FILING_STATUS=MR","SCALING_FORMAT=MLN","Sort=A","Dates=H","DateFormat=P","Fill=—","Direction=H","UseDPDF=Y")</f>
        <v>9.2899999999999991</v>
      </c>
      <c r="E18" s="13">
        <f>_xll.BDH("ALNY US Equity","COST_CAPITALIZED_OPERATING_LEAS","FQ2 2019","FQ2 2019","Currency=USD","Period=FQ","BEST_FPERIOD_OVERRIDE=FQ","FILING_STATUS=MR","SCALING_FORMAT=MLN","Sort=A","Dates=H","DateFormat=P","Fill=—","Direction=H","UseDPDF=Y")</f>
        <v>9.2910000000000004</v>
      </c>
      <c r="F18" s="13">
        <f>_xll.BDH("ALNY US Equity","COST_CAPITALIZED_OPERATING_LEAS","FQ3 2019","FQ3 2019","Currency=USD","Period=FQ","BEST_FPERIOD_OVERRIDE=FQ","FILING_STATUS=MR","SCALING_FORMAT=MLN","Sort=A","Dates=H","DateFormat=P","Fill=—","Direction=H","UseDPDF=Y")</f>
        <v>9.282</v>
      </c>
      <c r="G18" s="13">
        <f>_xll.BDH("ALNY US Equity","COST_CAPITALIZED_OPERATING_LEAS","FQ4 2019","FQ4 2019","Currency=USD","Period=FQ","BEST_FPERIOD_OVERRIDE=FQ","FILING_STATUS=MR","SCALING_FORMAT=MLN","Sort=A","Dates=H","DateFormat=P","Fill=—","Direction=H","UseDPDF=Y")</f>
        <v>10.75</v>
      </c>
      <c r="H18" s="13">
        <f>_xll.BDH("ALNY US Equity","COST_CAPITALIZED_OPERATING_LEAS","FQ1 2020","FQ1 2020","Currency=USD","Period=FQ","BEST_FPERIOD_OVERRIDE=FQ","FILING_STATUS=MR","SCALING_FORMAT=MLN","Sort=A","Dates=H","DateFormat=P","Fill=—","Direction=H","UseDPDF=Y")</f>
        <v>0</v>
      </c>
      <c r="I18" s="13">
        <f>_xll.BDH("ALNY US Equity","COST_CAPITALIZED_OPERATING_LEAS","FQ2 2020","FQ2 2020","Currency=USD","Period=FQ","BEST_FPERIOD_OVERRIDE=FQ","FILING_STATUS=MR","SCALING_FORMAT=MLN","Sort=A","Dates=H","DateFormat=P","Fill=—","Direction=H","UseDPDF=Y")</f>
        <v>0</v>
      </c>
      <c r="J18" s="13">
        <f>_xll.BDH("ALNY US Equity","COST_CAPITALIZED_OPERATING_LEAS","FQ3 2020","FQ3 2020","Currency=USD","Period=FQ","BEST_FPERIOD_OVERRIDE=FQ","FILING_STATUS=MR","SCALING_FORMAT=MLN","Sort=A","Dates=H","DateFormat=P","Fill=—","Direction=H","UseDPDF=Y")</f>
        <v>0</v>
      </c>
      <c r="K18" s="13">
        <f>_xll.BDH("ALNY US Equity","COST_CAPITALIZED_OPERATING_LEAS","FQ4 2020","FQ4 2020","Currency=USD","Period=FQ","BEST_FPERIOD_OVERRIDE=FQ","FILING_STATUS=MR","SCALING_FORMAT=MLN","Sort=A","Dates=H","DateFormat=P","Fill=—","Direction=H","UseDPDF=Y")</f>
        <v>0</v>
      </c>
      <c r="L18" s="13">
        <f>_xll.BDH("ALNY US Equity","COST_CAPITALIZED_OPERATING_LEAS","FQ1 2021","FQ1 2021","Currency=USD","Period=FQ","BEST_FPERIOD_OVERRIDE=FQ","FILING_STATUS=MR","SCALING_FORMAT=MLN","Sort=A","Dates=H","DateFormat=P","Fill=—","Direction=H","UseDPDF=Y")</f>
        <v>0</v>
      </c>
      <c r="M18" s="13">
        <f>_xll.BDH("ALNY US Equity","COST_CAPITALIZED_OPERATING_LEAS","FQ2 2021","FQ2 2021","Currency=USD","Period=FQ","BEST_FPERIOD_OVERRIDE=FQ","FILING_STATUS=MR","SCALING_FORMAT=MLN","Sort=A","Dates=H","DateFormat=P","Fill=—","Direction=H","UseDPDF=Y")</f>
        <v>0</v>
      </c>
      <c r="N18" s="13">
        <f>_xll.BDH("ALNY US Equity","COST_CAPITALIZED_OPERATING_LEAS","FQ3 2021","FQ3 2021","Currency=USD","Period=FQ","BEST_FPERIOD_OVERRIDE=FQ","FILING_STATUS=MR","SCALING_FORMAT=MLN","Sort=A","Dates=H","DateFormat=P","Fill=—","Direction=H","UseDPDF=Y")</f>
        <v>0</v>
      </c>
      <c r="O18" s="13">
        <f>_xll.BDH("ALNY US Equity","COST_CAPITALIZED_OPERATING_LEAS","FQ4 2021","FQ4 2021","Currency=USD","Period=FQ","BEST_FPERIOD_OVERRIDE=FQ","FILING_STATUS=MR","SCALING_FORMAT=MLN","Sort=A","Dates=H","DateFormat=P","Fill=—","Direction=H","UseDPDF=Y")</f>
        <v>0</v>
      </c>
      <c r="P18" s="13">
        <f>_xll.BDH("ALNY US Equity","COST_CAPITALIZED_OPERATING_LEAS","FQ1 2022","FQ1 2022","Currency=USD","Period=FQ","BEST_FPERIOD_OVERRIDE=FQ","FILING_STATUS=MR","SCALING_FORMAT=MLN","Sort=A","Dates=H","DateFormat=P","Fill=—","Direction=H","UseDPDF=Y")</f>
        <v>0</v>
      </c>
      <c r="Q18" s="13">
        <f>_xll.BDH("ALNY US Equity","COST_CAPITALIZED_OPERATING_LEAS","FQ2 2022","FQ2 2022","Currency=USD","Period=FQ","BEST_FPERIOD_OVERRIDE=FQ","FILING_STATUS=MR","SCALING_FORMAT=MLN","Sort=A","Dates=H","DateFormat=P","Fill=—","Direction=H","UseDPDF=Y")</f>
        <v>0</v>
      </c>
      <c r="R18" s="13">
        <f>_xll.BDH("ALNY US Equity","COST_CAPITALIZED_OPERATING_LEAS","FQ3 2022","FQ3 2022","Currency=USD","Period=FQ","BEST_FPERIOD_OVERRIDE=FQ","FILING_STATUS=MR","SCALING_FORMAT=MLN","Sort=A","Dates=H","DateFormat=P","Fill=—","Direction=H","UseDPDF=Y")</f>
        <v>0</v>
      </c>
      <c r="S18" s="13">
        <f>_xll.BDH("ALNY US Equity","COST_CAPITALIZED_OPERATING_LEAS","FQ4 2022","FQ4 2022","Currency=USD","Period=FQ","BEST_FPERIOD_OVERRIDE=FQ","FILING_STATUS=MR","SCALING_FORMAT=MLN","Sort=A","Dates=H","DateFormat=P","Fill=—","Direction=H","UseDPDF=Y")</f>
        <v>0</v>
      </c>
      <c r="T18" s="13">
        <f>_xll.BDH("ALNY US Equity","COST_CAPITALIZED_OPERATING_LEAS","FQ1 2023","FQ1 2023","Currency=USD","Period=FQ","BEST_FPERIOD_OVERRIDE=FQ","FILING_STATUS=MR","SCALING_FORMAT=MLN","Sort=A","Dates=H","DateFormat=P","Fill=—","Direction=H","UseDPDF=Y")</f>
        <v>0</v>
      </c>
      <c r="U18" s="13">
        <f>_xll.BDH("ALNY US Equity","COST_CAPITALIZED_OPERATING_LEAS","FQ2 2023","FQ2 2023","Currency=USD","Period=FQ","BEST_FPERIOD_OVERRIDE=FQ","FILING_STATUS=MR","SCALING_FORMAT=MLN","Sort=A","Dates=H","DateFormat=P","Fill=—","Direction=H","UseDPDF=Y")</f>
        <v>0</v>
      </c>
      <c r="V18" s="13">
        <f>_xll.BDH("ALNY US Equity","COST_CAPITALIZED_OPERATING_LEAS","FQ3 2023","FQ3 2023","Currency=USD","Period=FQ","BEST_FPERIOD_OVERRIDE=FQ","FILING_STATUS=MR","SCALING_FORMAT=MLN","Sort=A","Dates=H","DateFormat=P","Fill=—","Direction=H","UseDPDF=Y")</f>
        <v>0</v>
      </c>
      <c r="W18" s="13">
        <f>_xll.BDH("ALNY US Equity","COST_CAPITALIZED_OPERATING_LEAS","FQ4 2023","FQ4 2023","Currency=USD","Period=FQ","BEST_FPERIOD_OVERRIDE=FQ","FILING_STATUS=MR","SCALING_FORMAT=MLN","Sort=A","Dates=H","DateFormat=P","Fill=—","Direction=H","UseDPDF=Y")</f>
        <v>0</v>
      </c>
      <c r="X18" s="13">
        <f>_xll.BDH("ALNY US Equity","COST_CAPITALIZED_OPERATING_LEAS","FQ1 2024","FQ1 2024","Currency=USD","Period=FQ","BEST_FPERIOD_OVERRIDE=FQ","FILING_STATUS=MR","SCALING_FORMAT=MLN","Sort=A","Dates=H","DateFormat=P","Fill=—","Direction=H","UseDPDF=Y")</f>
        <v>0</v>
      </c>
      <c r="Y18" s="13">
        <f>_xll.BDH("ALNY US Equity","COST_CAPITALIZED_OPERATING_LEAS","FQ2 2024","FQ2 2024","Currency=USD","Period=FQ","BEST_FPERIOD_OVERRIDE=FQ","FILING_STATUS=MR","SCALING_FORMAT=MLN","Sort=A","Dates=H","DateFormat=P","Fill=—","Direction=H","UseDPDF=Y")</f>
        <v>0</v>
      </c>
      <c r="Z18" s="13">
        <f>_xll.BDH("ALNY US Equity","COST_CAPITALIZED_OPERATING_LEAS","FQ3 2024","FQ3 2024","Currency=USD","Period=FQ","BEST_FPERIOD_OVERRIDE=FQ","FILING_STATUS=MR","SCALING_FORMAT=MLN","Sort=A","Dates=H","DateFormat=P","Fill=—","Direction=H","UseDPDF=Y")</f>
        <v>0</v>
      </c>
      <c r="AA18" s="13">
        <f>_xll.BDH("ALNY US Equity","COST_CAPITALIZED_OPERATING_LEAS","FQ4 2024","FQ4 2024","Currency=USD","Period=FQ","BEST_FPERIOD_OVERRIDE=FQ","FILING_STATUS=MR","SCALING_FORMAT=MLN","Sort=A","Dates=H","DateFormat=P","Fill=—","Direction=H","UseDPDF=Y")</f>
        <v>0</v>
      </c>
    </row>
    <row r="19" spans="1:27" x14ac:dyDescent="0.25">
      <c r="A19" s="6" t="s">
        <v>612</v>
      </c>
      <c r="B19" s="6" t="s">
        <v>78</v>
      </c>
      <c r="C19" s="19">
        <f>_xll.BDH("ALNY US Equity","EBITDA","FQ4 2018","FQ4 2018","Currency=USD","Period=FQ","BEST_FPERIOD_OVERRIDE=FQ","FILING_STATUS=MR","SCALING_FORMAT=MLN","FA_ADJUSTED=Adjusted","Sort=A","Dates=H","DateFormat=P","Fill=—","Direction=H","UseDPDF=Y")</f>
        <v>-222.584</v>
      </c>
      <c r="D19" s="19">
        <f>_xll.BDH("ALNY US Equity","EBITDA","FQ1 2019","FQ1 2019","Currency=USD","Period=FQ","BEST_FPERIOD_OVERRIDE=FQ","FILING_STATUS=MR","SCALING_FORMAT=MLN","FA_ADJUSTED=Adjusted","Sort=A","Dates=H","DateFormat=P","Fill=—","Direction=H","UseDPDF=Y")</f>
        <v>-167.28800000000001</v>
      </c>
      <c r="E19" s="19">
        <f>_xll.BDH("ALNY US Equity","EBITDA","FQ2 2019","FQ2 2019","Currency=USD","Period=FQ","BEST_FPERIOD_OVERRIDE=FQ","FILING_STATUS=MR","SCALING_FORMAT=MLN","FA_ADJUSTED=Adjusted","Sort=A","Dates=H","DateFormat=P","Fill=—","Direction=H","UseDPDF=Y")</f>
        <v>-217.23500000000001</v>
      </c>
      <c r="F19" s="19">
        <f>_xll.BDH("ALNY US Equity","EBITDA","FQ3 2019","FQ3 2019","Currency=USD","Period=FQ","BEST_FPERIOD_OVERRIDE=FQ","FILING_STATUS=MR","SCALING_FORMAT=MLN","FA_ADJUSTED=Adjusted","Sort=A","Dates=H","DateFormat=P","Fill=—","Direction=H","UseDPDF=Y")</f>
        <v>-189.36600000000001</v>
      </c>
      <c r="G19" s="19">
        <f>_xll.BDH("ALNY US Equity","EBITDA","FQ4 2019","FQ4 2019","Currency=USD","Period=FQ","BEST_FPERIOD_OVERRIDE=FQ","FILING_STATUS=MR","SCALING_FORMAT=MLN","FA_ADJUSTED=Adjusted","Sort=A","Dates=H","DateFormat=P","Fill=—","Direction=H","UseDPDF=Y")</f>
        <v>-272.56099999999998</v>
      </c>
      <c r="H19" s="19">
        <f>_xll.BDH("ALNY US Equity","EBITDA","FQ1 2020","FQ1 2020","Currency=USD","Period=FQ","BEST_FPERIOD_OVERRIDE=FQ","FILING_STATUS=MR","SCALING_FORMAT=MLN","FA_ADJUSTED=Adjusted","Sort=A","Dates=H","DateFormat=P","Fill=—","Direction=H","UseDPDF=Y")</f>
        <v>-193.15199999999999</v>
      </c>
      <c r="I19" s="19">
        <f>_xll.BDH("ALNY US Equity","EBITDA","FQ2 2020","FQ2 2020","Currency=USD","Period=FQ","BEST_FPERIOD_OVERRIDE=FQ","FILING_STATUS=MR","SCALING_FORMAT=MLN","FA_ADJUSTED=Adjusted","Sort=A","Dates=H","DateFormat=P","Fill=—","Direction=H","UseDPDF=Y")</f>
        <v>-181.8937</v>
      </c>
      <c r="J19" s="19">
        <f>_xll.BDH("ALNY US Equity","EBITDA","FQ3 2020","FQ3 2020","Currency=USD","Period=FQ","BEST_FPERIOD_OVERRIDE=FQ","FILING_STATUS=MR","SCALING_FORMAT=MLN","FA_ADJUSTED=Adjusted","Sort=A","Dates=H","DateFormat=P","Fill=—","Direction=H","UseDPDF=Y")</f>
        <v>-177.01499999999999</v>
      </c>
      <c r="K19" s="19">
        <f>_xll.BDH("ALNY US Equity","EBITDA","FQ4 2020","FQ4 2020","Currency=USD","Period=FQ","BEST_FPERIOD_OVERRIDE=FQ","FILING_STATUS=MR","SCALING_FORMAT=MLN","FA_ADJUSTED=Adjusted","Sort=A","Dates=H","DateFormat=P","Fill=—","Direction=H","UseDPDF=Y")</f>
        <v>-163.126</v>
      </c>
      <c r="L19" s="19">
        <f>_xll.BDH("ALNY US Equity","EBITDA","FQ1 2021","FQ1 2021","Currency=USD","Period=FQ","BEST_FPERIOD_OVERRIDE=FQ","FILING_STATUS=MR","SCALING_FORMAT=MLN","FA_ADJUSTED=Adjusted","Sort=A","Dates=H","DateFormat=P","Fill=—","Direction=H","UseDPDF=Y")</f>
        <v>-163.392</v>
      </c>
      <c r="M19" s="19">
        <f>_xll.BDH("ALNY US Equity","EBITDA","FQ2 2021","FQ2 2021","Currency=USD","Period=FQ","BEST_FPERIOD_OVERRIDE=FQ","FILING_STATUS=MR","SCALING_FORMAT=MLN","FA_ADJUSTED=Adjusted","Sort=A","Dates=H","DateFormat=P","Fill=—","Direction=H","UseDPDF=Y")</f>
        <v>-123.999</v>
      </c>
      <c r="N19" s="19">
        <f>_xll.BDH("ALNY US Equity","EBITDA","FQ3 2021","FQ3 2021","Currency=USD","Period=FQ","BEST_FPERIOD_OVERRIDE=FQ","FILING_STATUS=MR","SCALING_FORMAT=MLN","FA_ADJUSTED=Adjusted","Sort=A","Dates=H","DateFormat=P","Fill=—","Direction=H","UseDPDF=Y")</f>
        <v>-148.45699999999999</v>
      </c>
      <c r="O19" s="19">
        <f>_xll.BDH("ALNY US Equity","EBITDA","FQ4 2021","FQ4 2021","Currency=USD","Period=FQ","BEST_FPERIOD_OVERRIDE=FQ","FILING_STATUS=MR","SCALING_FORMAT=MLN","FA_ADJUSTED=Adjusted","Sort=A","Dates=H","DateFormat=P","Fill=—","Direction=H","UseDPDF=Y")</f>
        <v>-173.11</v>
      </c>
      <c r="P19" s="19">
        <f>_xll.BDH("ALNY US Equity","EBITDA","FQ1 2022","FQ1 2022","Currency=USD","Period=FQ","BEST_FPERIOD_OVERRIDE=FQ","FILING_STATUS=MR","SCALING_FORMAT=MLN","FA_ADJUSTED=Adjusted","Sort=A","Dates=H","DateFormat=P","Fill=—","Direction=H","UseDPDF=Y")</f>
        <v>-126.95399999999999</v>
      </c>
      <c r="Q19" s="19">
        <f>_xll.BDH("ALNY US Equity","EBITDA","FQ2 2022","FQ2 2022","Currency=USD","Period=FQ","BEST_FPERIOD_OVERRIDE=FQ","FILING_STATUS=MR","SCALING_FORMAT=MLN","FA_ADJUSTED=Adjusted","Sort=A","Dates=H","DateFormat=P","Fill=—","Direction=H","UseDPDF=Y")</f>
        <v>-171.44900000000001</v>
      </c>
      <c r="R19" s="19">
        <f>_xll.BDH("ALNY US Equity","EBITDA","FQ3 2022","FQ3 2022","Currency=USD","Period=FQ","BEST_FPERIOD_OVERRIDE=FQ","FILING_STATUS=MR","SCALING_FORMAT=MLN","FA_ADJUSTED=Adjusted","Sort=A","Dates=H","DateFormat=P","Fill=—","Direction=H","UseDPDF=Y")</f>
        <v>-237.39</v>
      </c>
      <c r="S19" s="19">
        <f>_xll.BDH("ALNY US Equity","EBITDA","FQ4 2022","FQ4 2022","Currency=USD","Period=FQ","BEST_FPERIOD_OVERRIDE=FQ","FILING_STATUS=MR","SCALING_FORMAT=MLN","FA_ADJUSTED=Adjusted","Sort=A","Dates=H","DateFormat=P","Fill=—","Direction=H","UseDPDF=Y")</f>
        <v>-163.72900000000001</v>
      </c>
      <c r="T19" s="19">
        <f>_xll.BDH("ALNY US Equity","EBITDA","FQ1 2023","FQ1 2023","Currency=USD","Period=FQ","BEST_FPERIOD_OVERRIDE=FQ","FILING_STATUS=MR","SCALING_FORMAT=MLN","FA_ADJUSTED=Adjusted","Sort=A","Dates=H","DateFormat=P","Fill=—","Direction=H","UseDPDF=Y")</f>
        <v>-123.72799999999999</v>
      </c>
      <c r="U19" s="19">
        <f>_xll.BDH("ALNY US Equity","EBITDA","FQ2 2023","FQ2 2023","Currency=USD","Period=FQ","BEST_FPERIOD_OVERRIDE=FQ","FILING_STATUS=MR","SCALING_FORMAT=MLN","FA_ADJUSTED=Adjusted","Sort=A","Dates=H","DateFormat=P","Fill=—","Direction=H","UseDPDF=Y")</f>
        <v>-206.38399999999999</v>
      </c>
      <c r="V19" s="19">
        <f>_xll.BDH("ALNY US Equity","EBITDA","FQ3 2023","FQ3 2023","Currency=USD","Period=FQ","BEST_FPERIOD_OVERRIDE=FQ","FILING_STATUS=MR","SCALING_FORMAT=MLN","FA_ADJUSTED=Adjusted","Sort=A","Dates=H","DateFormat=P","Fill=—","Direction=H","UseDPDF=Y")</f>
        <v>237.399</v>
      </c>
      <c r="W19" s="19">
        <f>_xll.BDH("ALNY US Equity","EBITDA","FQ4 2023","FQ4 2023","Currency=USD","Period=FQ","BEST_FPERIOD_OVERRIDE=FQ","FILING_STATUS=MR","SCALING_FORMAT=MLN","FA_ADJUSTED=Adjusted","Sort=A","Dates=H","DateFormat=P","Fill=—","Direction=H","UseDPDF=Y")</f>
        <v>-92.430999999999997</v>
      </c>
      <c r="X19" s="19">
        <f>_xll.BDH("ALNY US Equity","EBITDA","FQ1 2024","FQ1 2024","Currency=USD","Period=FQ","BEST_FPERIOD_OVERRIDE=FQ","FILING_STATUS=MR","SCALING_FORMAT=MLN","FA_ADJUSTED=Adjusted","Sort=A","Dates=H","DateFormat=P","Fill=—","Direction=H","UseDPDF=Y")</f>
        <v>-17.949000000000002</v>
      </c>
      <c r="Y19" s="19">
        <f>_xll.BDH("ALNY US Equity","EBITDA","FQ2 2024","FQ2 2024","Currency=USD","Period=FQ","BEST_FPERIOD_OVERRIDE=FQ","FILING_STATUS=MR","SCALING_FORMAT=MLN","FA_ADJUSTED=Adjusted","Sort=A","Dates=H","DateFormat=P","Fill=—","Direction=H","UseDPDF=Y")</f>
        <v>73.305999999999997</v>
      </c>
      <c r="Z19" s="19">
        <f>_xll.BDH("ALNY US Equity","EBITDA","FQ3 2024","FQ3 2024","Currency=USD","Period=FQ","BEST_FPERIOD_OVERRIDE=FQ","FILING_STATUS=MR","SCALING_FORMAT=MLN","FA_ADJUSTED=Adjusted","Sort=A","Dates=H","DateFormat=P","Fill=—","Direction=H","UseDPDF=Y")</f>
        <v>-49.866999999999997</v>
      </c>
      <c r="AA19" s="19">
        <f>_xll.BDH("ALNY US Equity","EBITDA","FQ4 2024","FQ4 2024","Currency=USD","Period=FQ","BEST_FPERIOD_OVERRIDE=FQ","FILING_STATUS=MR","SCALING_FORMAT=MLN","FA_ADJUSTED=Adjusted","Sort=A","Dates=H","DateFormat=P","Fill=—","Direction=H","UseDPDF=Y")</f>
        <v>-90.991</v>
      </c>
    </row>
    <row r="20" spans="1:27" x14ac:dyDescent="0.25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6" t="s">
        <v>613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6" t="s">
        <v>590</v>
      </c>
      <c r="B22" s="6" t="s">
        <v>99</v>
      </c>
      <c r="C22" s="19">
        <f>_xll.BDH("ALNY US Equity","IS_OPER_INC","FQ4 2018","FQ4 2018","Currency=USD","Period=FQ","BEST_FPERIOD_OVERRIDE=FQ","FILING_STATUS=MR","SCALING_FORMAT=MLN","FA_ADJUSTED=GAAP","Sort=A","Dates=H","DateFormat=P","Fill=—","Direction=H","UseDPDF=Y")</f>
        <v>-220.35599999999999</v>
      </c>
      <c r="D22" s="19">
        <f>_xll.BDH("ALNY US Equity","IS_OPER_INC","FQ1 2019","FQ1 2019","Currency=USD","Period=FQ","BEST_FPERIOD_OVERRIDE=FQ","FILING_STATUS=MR","SCALING_FORMAT=MLN","FA_ADJUSTED=GAAP","Sort=A","Dates=H","DateFormat=P","Fill=—","Direction=H","UseDPDF=Y")</f>
        <v>-188.78800000000001</v>
      </c>
      <c r="E22" s="19">
        <f>_xll.BDH("ALNY US Equity","IS_OPER_INC","FQ2 2019","FQ2 2019","Currency=USD","Period=FQ","BEST_FPERIOD_OVERRIDE=FQ","FILING_STATUS=MR","SCALING_FORMAT=MLN","FA_ADJUSTED=GAAP","Sort=A","Dates=H","DateFormat=P","Fill=—","Direction=H","UseDPDF=Y")</f>
        <v>-236.27099999999999</v>
      </c>
      <c r="F22" s="19">
        <f>_xll.BDH("ALNY US Equity","IS_OPER_INC","FQ3 2019","FQ3 2019","Currency=USD","Period=FQ","BEST_FPERIOD_OVERRIDE=FQ","FILING_STATUS=MR","SCALING_FORMAT=MLN","FA_ADJUSTED=GAAP","Sort=A","Dates=H","DateFormat=P","Fill=—","Direction=H","UseDPDF=Y")</f>
        <v>-216.29900000000001</v>
      </c>
      <c r="G22" s="19">
        <f>_xll.BDH("ALNY US Equity","IS_OPER_INC","FQ4 2019","FQ4 2019","Currency=USD","Period=FQ","BEST_FPERIOD_OVERRIDE=FQ","FILING_STATUS=MR","SCALING_FORMAT=MLN","FA_ADJUSTED=GAAP","Sort=A","Dates=H","DateFormat=P","Fill=—","Direction=H","UseDPDF=Y")</f>
        <v>-298.07299999999998</v>
      </c>
      <c r="H22" s="19">
        <f>_xll.BDH("ALNY US Equity","IS_OPER_INC","FQ1 2020","FQ1 2020","Currency=USD","Period=FQ","BEST_FPERIOD_OVERRIDE=FQ","FILING_STATUS=MR","SCALING_FORMAT=MLN","FA_ADJUSTED=GAAP","Sort=A","Dates=H","DateFormat=P","Fill=—","Direction=H","UseDPDF=Y")</f>
        <v>-210.15799999999999</v>
      </c>
      <c r="I22" s="19">
        <f>_xll.BDH("ALNY US Equity","IS_OPER_INC","FQ2 2020","FQ2 2020","Currency=USD","Period=FQ","BEST_FPERIOD_OVERRIDE=FQ","FILING_STATUS=MR","SCALING_FORMAT=MLN","FA_ADJUSTED=GAAP","Sort=A","Dates=H","DateFormat=P","Fill=—","Direction=H","UseDPDF=Y")</f>
        <v>-198.85900000000001</v>
      </c>
      <c r="J22" s="19">
        <f>_xll.BDH("ALNY US Equity","IS_OPER_INC","FQ3 2020","FQ3 2020","Currency=USD","Period=FQ","BEST_FPERIOD_OVERRIDE=FQ","FILING_STATUS=MR","SCALING_FORMAT=MLN","FA_ADJUSTED=GAAP","Sort=A","Dates=H","DateFormat=P","Fill=—","Direction=H","UseDPDF=Y")</f>
        <v>-225.19900000000001</v>
      </c>
      <c r="K22" s="19">
        <f>_xll.BDH("ALNY US Equity","IS_OPER_INC","FQ4 2020","FQ4 2020","Currency=USD","Period=FQ","BEST_FPERIOD_OVERRIDE=FQ","FILING_STATUS=MR","SCALING_FORMAT=MLN","FA_ADJUSTED=GAAP","Sort=A","Dates=H","DateFormat=P","Fill=—","Direction=H","UseDPDF=Y")</f>
        <v>-194.22200000000001</v>
      </c>
      <c r="L22" s="19">
        <f>_xll.BDH("ALNY US Equity","IS_OPER_INC","FQ1 2021","FQ1 2021","Currency=USD","Period=FQ","BEST_FPERIOD_OVERRIDE=FQ","FILING_STATUS=MR","SCALING_FORMAT=MLN","FA_ADJUSTED=GAAP","Sort=A","Dates=H","DateFormat=P","Fill=—","Direction=H","UseDPDF=Y")</f>
        <v>-186.25399999999999</v>
      </c>
      <c r="M22" s="19">
        <f>_xll.BDH("ALNY US Equity","IS_OPER_INC","FQ2 2021","FQ2 2021","Currency=USD","Period=FQ","BEST_FPERIOD_OVERRIDE=FQ","FILING_STATUS=MR","SCALING_FORMAT=MLN","FA_ADJUSTED=GAAP","Sort=A","Dates=H","DateFormat=P","Fill=—","Direction=H","UseDPDF=Y")</f>
        <v>-146.16</v>
      </c>
      <c r="N22" s="19">
        <f>_xll.BDH("ALNY US Equity","IS_OPER_INC","FQ3 2021","FQ3 2021","Currency=USD","Period=FQ","BEST_FPERIOD_OVERRIDE=FQ","FILING_STATUS=MR","SCALING_FORMAT=MLN","FA_ADJUSTED=GAAP","Sort=A","Dates=H","DateFormat=P","Fill=—","Direction=H","UseDPDF=Y")</f>
        <v>-181.67699999999999</v>
      </c>
      <c r="O22" s="19">
        <f>_xll.BDH("ALNY US Equity","IS_OPER_INC","FQ4 2021","FQ4 2021","Currency=USD","Period=FQ","BEST_FPERIOD_OVERRIDE=FQ","FILING_STATUS=MR","SCALING_FORMAT=MLN","FA_ADJUSTED=GAAP","Sort=A","Dates=H","DateFormat=P","Fill=—","Direction=H","UseDPDF=Y")</f>
        <v>-194.56100000000001</v>
      </c>
      <c r="P22" s="19">
        <f>_xll.BDH("ALNY US Equity","IS_OPER_INC","FQ1 2022","FQ1 2022","Currency=USD","Period=FQ","BEST_FPERIOD_OVERRIDE=FQ","FILING_STATUS=MR","SCALING_FORMAT=MLN","FA_ADJUSTED=GAAP","Sort=A","Dates=H","DateFormat=P","Fill=—","Direction=H","UseDPDF=Y")</f>
        <v>-146.732</v>
      </c>
      <c r="Q22" s="19">
        <f>_xll.BDH("ALNY US Equity","IS_OPER_INC","FQ2 2022","FQ2 2022","Currency=USD","Period=FQ","BEST_FPERIOD_OVERRIDE=FQ","FILING_STATUS=MR","SCALING_FORMAT=MLN","FA_ADJUSTED=GAAP","Sort=A","Dates=H","DateFormat=P","Fill=—","Direction=H","UseDPDF=Y")</f>
        <v>-191.68600000000001</v>
      </c>
      <c r="R22" s="19">
        <f>_xll.BDH("ALNY US Equity","IS_OPER_INC","FQ3 2022","FQ3 2022","Currency=USD","Period=FQ","BEST_FPERIOD_OVERRIDE=FQ","FILING_STATUS=MR","SCALING_FORMAT=MLN","FA_ADJUSTED=GAAP","Sort=A","Dates=H","DateFormat=P","Fill=—","Direction=H","UseDPDF=Y")</f>
        <v>-258.04000000000002</v>
      </c>
      <c r="S22" s="19">
        <f>_xll.BDH("ALNY US Equity","IS_OPER_INC","FQ4 2022","FQ4 2022","Currency=USD","Period=FQ","BEST_FPERIOD_OVERRIDE=FQ","FILING_STATUS=MR","SCALING_FORMAT=MLN","FA_ADJUSTED=GAAP","Sort=A","Dates=H","DateFormat=P","Fill=—","Direction=H","UseDPDF=Y")</f>
        <v>-188.614</v>
      </c>
      <c r="T22" s="19">
        <f>_xll.BDH("ALNY US Equity","IS_OPER_INC","FQ1 2023","FQ1 2023","Currency=USD","Period=FQ","BEST_FPERIOD_OVERRIDE=FQ","FILING_STATUS=MR","SCALING_FORMAT=MLN","FA_ADJUSTED=GAAP","Sort=A","Dates=H","DateFormat=P","Fill=—","Direction=H","UseDPDF=Y")</f>
        <v>-149.80699999999999</v>
      </c>
      <c r="U22" s="19">
        <f>_xll.BDH("ALNY US Equity","IS_OPER_INC","FQ2 2023","FQ2 2023","Currency=USD","Period=FQ","BEST_FPERIOD_OVERRIDE=FQ","FILING_STATUS=MR","SCALING_FORMAT=MLN","FA_ADJUSTED=GAAP","Sort=A","Dates=H","DateFormat=P","Fill=—","Direction=H","UseDPDF=Y")</f>
        <v>-229.83099999999999</v>
      </c>
      <c r="V22" s="19">
        <f>_xll.BDH("ALNY US Equity","IS_OPER_INC","FQ3 2023","FQ3 2023","Currency=USD","Period=FQ","BEST_FPERIOD_OVERRIDE=FQ","FILING_STATUS=MR","SCALING_FORMAT=MLN","FA_ADJUSTED=GAAP","Sort=A","Dates=H","DateFormat=P","Fill=—","Direction=H","UseDPDF=Y")</f>
        <v>213.86699999999999</v>
      </c>
      <c r="W22" s="19">
        <f>_xll.BDH("ALNY US Equity","IS_OPER_INC","FQ4 2023","FQ4 2023","Currency=USD","Period=FQ","BEST_FPERIOD_OVERRIDE=FQ","FILING_STATUS=MR","SCALING_FORMAT=MLN","FA_ADJUSTED=GAAP","Sort=A","Dates=H","DateFormat=P","Fill=—","Direction=H","UseDPDF=Y")</f>
        <v>-116.404</v>
      </c>
      <c r="X22" s="19">
        <f>_xll.BDH("ALNY US Equity","IS_OPER_INC","FQ1 2024","FQ1 2024","Currency=USD","Period=FQ","BEST_FPERIOD_OVERRIDE=FQ","FILING_STATUS=MR","SCALING_FORMAT=MLN","FA_ADJUSTED=GAAP","Sort=A","Dates=H","DateFormat=P","Fill=—","Direction=H","UseDPDF=Y")</f>
        <v>-43.435000000000002</v>
      </c>
      <c r="Y22" s="19">
        <f>_xll.BDH("ALNY US Equity","IS_OPER_INC","FQ2 2024","FQ2 2024","Currency=USD","Period=FQ","BEST_FPERIOD_OVERRIDE=FQ","FILING_STATUS=MR","SCALING_FORMAT=MLN","FA_ADJUSTED=GAAP","Sort=A","Dates=H","DateFormat=P","Fill=—","Direction=H","UseDPDF=Y")</f>
        <v>48.613999999999997</v>
      </c>
      <c r="Z22" s="19">
        <f>_xll.BDH("ALNY US Equity","IS_OPER_INC","FQ3 2024","FQ3 2024","Currency=USD","Period=FQ","BEST_FPERIOD_OVERRIDE=FQ","FILING_STATUS=MR","SCALING_FORMAT=MLN","FA_ADJUSTED=GAAP","Sort=A","Dates=H","DateFormat=P","Fill=—","Direction=H","UseDPDF=Y")</f>
        <v>-76.905000000000001</v>
      </c>
      <c r="AA22" s="19">
        <f>_xll.BDH("ALNY US Equity","IS_OPER_INC","FQ4 2024","FQ4 2024","Currency=USD","Period=FQ","BEST_FPERIOD_OVERRIDE=FQ","FILING_STATUS=MR","SCALING_FORMAT=MLN","FA_ADJUSTED=GAAP","Sort=A","Dates=H","DateFormat=P","Fill=—","Direction=H","UseDPDF=Y")</f>
        <v>-105.15900000000001</v>
      </c>
    </row>
    <row r="23" spans="1:27" x14ac:dyDescent="0.25">
      <c r="A23" s="10" t="s">
        <v>614</v>
      </c>
      <c r="B23" s="10" t="s">
        <v>615</v>
      </c>
      <c r="C23" s="13" t="str">
        <f>_xll.BDH("ALNY US Equity","IS_MERGER_ACQ_EXPENSE_OPERATING","FQ4 2018","FQ4 2018","Currency=USD","Period=FQ","BEST_FPERIOD_OVERRIDE=FQ","FILING_STATUS=MR","SCALING_FORMAT=MLN","Sort=A","Dates=H","DateFormat=P","Fill=—","Direction=H","UseDPDF=Y")</f>
        <v>—</v>
      </c>
      <c r="D23" s="13" t="str">
        <f>_xll.BDH("ALNY US Equity","IS_MERGER_ACQ_EXPENSE_OPERATING","FQ1 2019","FQ1 2019","Currency=USD","Period=FQ","BEST_FPERIOD_OVERRIDE=FQ","FILING_STATUS=MR","SCALING_FORMAT=MLN","Sort=A","Dates=H","DateFormat=P","Fill=—","Direction=H","UseDPDF=Y")</f>
        <v>—</v>
      </c>
      <c r="E23" s="13" t="str">
        <f>_xll.BDH("ALNY US Equity","IS_MERGER_ACQ_EXPENSE_OPERATING","FQ2 2019","FQ2 2019","Currency=USD","Period=FQ","BEST_FPERIOD_OVERRIDE=FQ","FILING_STATUS=MR","SCALING_FORMAT=MLN","Sort=A","Dates=H","DateFormat=P","Fill=—","Direction=H","UseDPDF=Y")</f>
        <v>—</v>
      </c>
      <c r="F23" s="13" t="str">
        <f>_xll.BDH("ALNY US Equity","IS_MERGER_ACQ_EXPENSE_OPERATING","FQ3 2019","FQ3 2019","Currency=USD","Period=FQ","BEST_FPERIOD_OVERRIDE=FQ","FILING_STATUS=MR","SCALING_FORMAT=MLN","Sort=A","Dates=H","DateFormat=P","Fill=—","Direction=H","UseDPDF=Y")</f>
        <v>—</v>
      </c>
      <c r="G23" s="13" t="str">
        <f>_xll.BDH("ALNY US Equity","IS_MERGER_ACQ_EXPENSE_OPERATING","FQ4 2019","FQ4 2019","Currency=USD","Period=FQ","BEST_FPERIOD_OVERRIDE=FQ","FILING_STATUS=MR","SCALING_FORMAT=MLN","Sort=A","Dates=H","DateFormat=P","Fill=—","Direction=H","UseDPDF=Y")</f>
        <v>—</v>
      </c>
      <c r="H23" s="13" t="str">
        <f>_xll.BDH("ALNY US Equity","IS_MERGER_ACQ_EXPENSE_OPERATING","FQ1 2020","FQ1 2020","Currency=USD","Period=FQ","BEST_FPERIOD_OVERRIDE=FQ","FILING_STATUS=MR","SCALING_FORMAT=MLN","Sort=A","Dates=H","DateFormat=P","Fill=—","Direction=H","UseDPDF=Y")</f>
        <v>—</v>
      </c>
      <c r="I23" s="13" t="str">
        <f>_xll.BDH("ALNY US Equity","IS_MERGER_ACQ_EXPENSE_OPERATING","FQ2 2020","FQ2 2020","Currency=USD","Period=FQ","BEST_FPERIOD_OVERRIDE=FQ","FILING_STATUS=MR","SCALING_FORMAT=MLN","Sort=A","Dates=H","DateFormat=P","Fill=—","Direction=H","UseDPDF=Y")</f>
        <v>—</v>
      </c>
      <c r="J23" s="13">
        <f>_xll.BDH("ALNY US Equity","IS_MERGER_ACQ_EXPENSE_OPERATING","FQ3 2020","FQ3 2020","Currency=USD","Period=FQ","BEST_FPERIOD_OVERRIDE=FQ","FILING_STATUS=MR","SCALING_FORMAT=MLN","Sort=A","Dates=H","DateFormat=P","Fill=—","Direction=H","UseDPDF=Y")</f>
        <v>28</v>
      </c>
      <c r="K23" s="13">
        <f>_xll.BDH("ALNY US Equity","IS_MERGER_ACQ_EXPENSE_OPERATING","FQ4 2020","FQ4 2020","Currency=USD","Period=FQ","BEST_FPERIOD_OVERRIDE=FQ","FILING_STATUS=MR","SCALING_FORMAT=MLN","Sort=A","Dates=H","DateFormat=P","Fill=—","Direction=H","UseDPDF=Y")</f>
        <v>10.215999999999999</v>
      </c>
      <c r="L23" s="13" t="str">
        <f>_xll.BDH("ALNY US Equity","IS_MERGER_ACQ_EXPENSE_OPERATING","FQ1 2021","FQ1 2021","Currency=USD","Period=FQ","BEST_FPERIOD_OVERRIDE=FQ","FILING_STATUS=MR","SCALING_FORMAT=MLN","Sort=A","Dates=H","DateFormat=P","Fill=—","Direction=H","UseDPDF=Y")</f>
        <v>—</v>
      </c>
      <c r="M23" s="13" t="str">
        <f>_xll.BDH("ALNY US Equity","IS_MERGER_ACQ_EXPENSE_OPERATING","FQ2 2021","FQ2 2021","Currency=USD","Period=FQ","BEST_FPERIOD_OVERRIDE=FQ","FILING_STATUS=MR","SCALING_FORMAT=MLN","Sort=A","Dates=H","DateFormat=P","Fill=—","Direction=H","UseDPDF=Y")</f>
        <v>—</v>
      </c>
      <c r="N23" s="13" t="str">
        <f>_xll.BDH("ALNY US Equity","IS_MERGER_ACQ_EXPENSE_OPERATING","FQ3 2021","FQ3 2021","Currency=USD","Period=FQ","BEST_FPERIOD_OVERRIDE=FQ","FILING_STATUS=MR","SCALING_FORMAT=MLN","Sort=A","Dates=H","DateFormat=P","Fill=—","Direction=H","UseDPDF=Y")</f>
        <v>—</v>
      </c>
      <c r="O23" s="13" t="str">
        <f>_xll.BDH("ALNY US Equity","IS_MERGER_ACQ_EXPENSE_OPERATING","FQ4 2021","FQ4 2021","Currency=USD","Period=FQ","BEST_FPERIOD_OVERRIDE=FQ","FILING_STATUS=MR","SCALING_FORMAT=MLN","Sort=A","Dates=H","DateFormat=P","Fill=—","Direction=H","UseDPDF=Y")</f>
        <v>—</v>
      </c>
      <c r="P23" s="13" t="str">
        <f>_xll.BDH("ALNY US Equity","IS_MERGER_ACQ_EXPENSE_OPERATING","FQ1 2022","FQ1 2022","Currency=USD","Period=FQ","BEST_FPERIOD_OVERRIDE=FQ","FILING_STATUS=MR","SCALING_FORMAT=MLN","Sort=A","Dates=H","DateFormat=P","Fill=—","Direction=H","UseDPDF=Y")</f>
        <v>—</v>
      </c>
      <c r="Q23" s="13" t="str">
        <f>_xll.BDH("ALNY US Equity","IS_MERGER_ACQ_EXPENSE_OPERATING","FQ2 2022","FQ2 2022","Currency=USD","Period=FQ","BEST_FPERIOD_OVERRIDE=FQ","FILING_STATUS=MR","SCALING_FORMAT=MLN","Sort=A","Dates=H","DateFormat=P","Fill=—","Direction=H","UseDPDF=Y")</f>
        <v>—</v>
      </c>
      <c r="R23" s="13" t="str">
        <f>_xll.BDH("ALNY US Equity","IS_MERGER_ACQ_EXPENSE_OPERATING","FQ3 2022","FQ3 2022","Currency=USD","Period=FQ","BEST_FPERIOD_OVERRIDE=FQ","FILING_STATUS=MR","SCALING_FORMAT=MLN","Sort=A","Dates=H","DateFormat=P","Fill=—","Direction=H","UseDPDF=Y")</f>
        <v>—</v>
      </c>
      <c r="S23" s="13" t="str">
        <f>_xll.BDH("ALNY US Equity","IS_MERGER_ACQ_EXPENSE_OPERATING","FQ4 2022","FQ4 2022","Currency=USD","Period=FQ","BEST_FPERIOD_OVERRIDE=FQ","FILING_STATUS=MR","SCALING_FORMAT=MLN","Sort=A","Dates=H","DateFormat=P","Fill=—","Direction=H","UseDPDF=Y")</f>
        <v>—</v>
      </c>
      <c r="T23" s="13" t="str">
        <f>_xll.BDH("ALNY US Equity","IS_MERGER_ACQ_EXPENSE_OPERATING","FQ1 2023","FQ1 2023","Currency=USD","Period=FQ","BEST_FPERIOD_OVERRIDE=FQ","FILING_STATUS=MR","SCALING_FORMAT=MLN","Sort=A","Dates=H","DateFormat=P","Fill=—","Direction=H","UseDPDF=Y")</f>
        <v>—</v>
      </c>
      <c r="U23" s="13" t="str">
        <f>_xll.BDH("ALNY US Equity","IS_MERGER_ACQ_EXPENSE_OPERATING","FQ2 2023","FQ2 2023","Currency=USD","Period=FQ","BEST_FPERIOD_OVERRIDE=FQ","FILING_STATUS=MR","SCALING_FORMAT=MLN","Sort=A","Dates=H","DateFormat=P","Fill=—","Direction=H","UseDPDF=Y")</f>
        <v>—</v>
      </c>
      <c r="V23" s="13" t="str">
        <f>_xll.BDH("ALNY US Equity","IS_MERGER_ACQ_EXPENSE_OPERATING","FQ3 2023","FQ3 2023","Currency=USD","Period=FQ","BEST_FPERIOD_OVERRIDE=FQ","FILING_STATUS=MR","SCALING_FORMAT=MLN","Sort=A","Dates=H","DateFormat=P","Fill=—","Direction=H","UseDPDF=Y")</f>
        <v>—</v>
      </c>
      <c r="W23" s="13" t="str">
        <f>_xll.BDH("ALNY US Equity","IS_MERGER_ACQ_EXPENSE_OPERATING","FQ4 2023","FQ4 2023","Currency=USD","Period=FQ","BEST_FPERIOD_OVERRIDE=FQ","FILING_STATUS=MR","SCALING_FORMAT=MLN","Sort=A","Dates=H","DateFormat=P","Fill=—","Direction=H","UseDPDF=Y")</f>
        <v>—</v>
      </c>
      <c r="X23" s="13" t="str">
        <f>_xll.BDH("ALNY US Equity","IS_MERGER_ACQ_EXPENSE_OPERATING","FQ1 2024","FQ1 2024","Currency=USD","Period=FQ","BEST_FPERIOD_OVERRIDE=FQ","FILING_STATUS=MR","SCALING_FORMAT=MLN","Sort=A","Dates=H","DateFormat=P","Fill=—","Direction=H","UseDPDF=Y")</f>
        <v>—</v>
      </c>
      <c r="Y23" s="13" t="str">
        <f>_xll.BDH("ALNY US Equity","IS_MERGER_ACQ_EXPENSE_OPERATING","FQ2 2024","FQ2 2024","Currency=USD","Period=FQ","BEST_FPERIOD_OVERRIDE=FQ","FILING_STATUS=MR","SCALING_FORMAT=MLN","Sort=A","Dates=H","DateFormat=P","Fill=—","Direction=H","UseDPDF=Y")</f>
        <v>—</v>
      </c>
      <c r="Z23" s="13" t="str">
        <f>_xll.BDH("ALNY US Equity","IS_MERGER_ACQ_EXPENSE_OPERATING","FQ3 2024","FQ3 2024","Currency=USD","Period=FQ","BEST_FPERIOD_OVERRIDE=FQ","FILING_STATUS=MR","SCALING_FORMAT=MLN","Sort=A","Dates=H","DateFormat=P","Fill=—","Direction=H","UseDPDF=Y")</f>
        <v>—</v>
      </c>
      <c r="AA23" s="13" t="str">
        <f>_xll.BDH("ALNY US Equity","IS_MERGER_ACQ_EXPENSE_OPERATING","FQ4 2024","FQ4 2024","Currency=USD","Period=FQ","BEST_FPERIOD_OVERRIDE=FQ","FILING_STATUS=MR","SCALING_FORMAT=MLN","Sort=A","Dates=H","DateFormat=P","Fill=—","Direction=H","UseDPDF=Y")</f>
        <v>—</v>
      </c>
    </row>
    <row r="24" spans="1:27" x14ac:dyDescent="0.25">
      <c r="A24" s="10" t="s">
        <v>616</v>
      </c>
      <c r="B24" s="10" t="s">
        <v>617</v>
      </c>
      <c r="C24" s="13" t="str">
        <f>_xll.BDH("ALNY US Equity","IS_LEGAL_LIT_SETTLE_EXPN_OP","FQ4 2018","FQ4 2018","Currency=USD","Period=FQ","BEST_FPERIOD_OVERRIDE=FQ","FILING_STATUS=MR","SCALING_FORMAT=MLN","Sort=A","Dates=H","DateFormat=P","Fill=—","Direction=H","UseDPDF=Y")</f>
        <v>—</v>
      </c>
      <c r="D24" s="13" t="str">
        <f>_xll.BDH("ALNY US Equity","IS_LEGAL_LIT_SETTLE_EXPN_OP","FQ1 2019","FQ1 2019","Currency=USD","Period=FQ","BEST_FPERIOD_OVERRIDE=FQ","FILING_STATUS=MR","SCALING_FORMAT=MLN","Sort=A","Dates=H","DateFormat=P","Fill=—","Direction=H","UseDPDF=Y")</f>
        <v>—</v>
      </c>
      <c r="E24" s="13" t="str">
        <f>_xll.BDH("ALNY US Equity","IS_LEGAL_LIT_SETTLE_EXPN_OP","FQ2 2019","FQ2 2019","Currency=USD","Period=FQ","BEST_FPERIOD_OVERRIDE=FQ","FILING_STATUS=MR","SCALING_FORMAT=MLN","Sort=A","Dates=H","DateFormat=P","Fill=—","Direction=H","UseDPDF=Y")</f>
        <v>—</v>
      </c>
      <c r="F24" s="13" t="str">
        <f>_xll.BDH("ALNY US Equity","IS_LEGAL_LIT_SETTLE_EXPN_OP","FQ3 2019","FQ3 2019","Currency=USD","Period=FQ","BEST_FPERIOD_OVERRIDE=FQ","FILING_STATUS=MR","SCALING_FORMAT=MLN","Sort=A","Dates=H","DateFormat=P","Fill=—","Direction=H","UseDPDF=Y")</f>
        <v>—</v>
      </c>
      <c r="G24" s="13" t="str">
        <f>_xll.BDH("ALNY US Equity","IS_LEGAL_LIT_SETTLE_EXPN_OP","FQ4 2019","FQ4 2019","Currency=USD","Period=FQ","BEST_FPERIOD_OVERRIDE=FQ","FILING_STATUS=MR","SCALING_FORMAT=MLN","Sort=A","Dates=H","DateFormat=P","Fill=—","Direction=H","UseDPDF=Y")</f>
        <v>—</v>
      </c>
      <c r="H24" s="13" t="str">
        <f>_xll.BDH("ALNY US Equity","IS_LEGAL_LIT_SETTLE_EXPN_OP","FQ1 2020","FQ1 2020","Currency=USD","Period=FQ","BEST_FPERIOD_OVERRIDE=FQ","FILING_STATUS=MR","SCALING_FORMAT=MLN","Sort=A","Dates=H","DateFormat=P","Fill=—","Direction=H","UseDPDF=Y")</f>
        <v>—</v>
      </c>
      <c r="I24" s="13">
        <f>_xll.BDH("ALNY US Equity","IS_LEGAL_LIT_SETTLE_EXPN_OP","FQ2 2020","FQ2 2020","Currency=USD","Period=FQ","BEST_FPERIOD_OVERRIDE=FQ","FILING_STATUS=MR","SCALING_FORMAT=MLN","Sort=A","Dates=H","DateFormat=P","Fill=—","Direction=H","UseDPDF=Y")</f>
        <v>-0.81269999999999998</v>
      </c>
      <c r="J24" s="13">
        <f>_xll.BDH("ALNY US Equity","IS_LEGAL_LIT_SETTLE_EXPN_OP","FQ3 2020","FQ3 2020","Currency=USD","Period=FQ","BEST_FPERIOD_OVERRIDE=FQ","FILING_STATUS=MR","SCALING_FORMAT=MLN","Sort=A","Dates=H","DateFormat=P","Fill=—","Direction=H","UseDPDF=Y")</f>
        <v>0.65</v>
      </c>
      <c r="K24" s="13" t="str">
        <f>_xll.BDH("ALNY US Equity","IS_LEGAL_LIT_SETTLE_EXPN_OP","FQ4 2020","FQ4 2020","Currency=USD","Period=FQ","BEST_FPERIOD_OVERRIDE=FQ","FILING_STATUS=MR","SCALING_FORMAT=MLN","Sort=A","Dates=H","DateFormat=P","Fill=—","Direction=H","UseDPDF=Y")</f>
        <v>—</v>
      </c>
      <c r="L24" s="13" t="str">
        <f>_xll.BDH("ALNY US Equity","IS_LEGAL_LIT_SETTLE_EXPN_OP","FQ1 2021","FQ1 2021","Currency=USD","Period=FQ","BEST_FPERIOD_OVERRIDE=FQ","FILING_STATUS=MR","SCALING_FORMAT=MLN","Sort=A","Dates=H","DateFormat=P","Fill=—","Direction=H","UseDPDF=Y")</f>
        <v>—</v>
      </c>
      <c r="M24" s="13" t="str">
        <f>_xll.BDH("ALNY US Equity","IS_LEGAL_LIT_SETTLE_EXPN_OP","FQ2 2021","FQ2 2021","Currency=USD","Period=FQ","BEST_FPERIOD_OVERRIDE=FQ","FILING_STATUS=MR","SCALING_FORMAT=MLN","Sort=A","Dates=H","DateFormat=P","Fill=—","Direction=H","UseDPDF=Y")</f>
        <v>—</v>
      </c>
      <c r="N24" s="13" t="str">
        <f>_xll.BDH("ALNY US Equity","IS_LEGAL_LIT_SETTLE_EXPN_OP","FQ3 2021","FQ3 2021","Currency=USD","Period=FQ","BEST_FPERIOD_OVERRIDE=FQ","FILING_STATUS=MR","SCALING_FORMAT=MLN","Sort=A","Dates=H","DateFormat=P","Fill=—","Direction=H","UseDPDF=Y")</f>
        <v>—</v>
      </c>
      <c r="O24" s="13" t="str">
        <f>_xll.BDH("ALNY US Equity","IS_LEGAL_LIT_SETTLE_EXPN_OP","FQ4 2021","FQ4 2021","Currency=USD","Period=FQ","BEST_FPERIOD_OVERRIDE=FQ","FILING_STATUS=MR","SCALING_FORMAT=MLN","Sort=A","Dates=H","DateFormat=P","Fill=—","Direction=H","UseDPDF=Y")</f>
        <v>—</v>
      </c>
      <c r="P24" s="13" t="str">
        <f>_xll.BDH("ALNY US Equity","IS_LEGAL_LIT_SETTLE_EXPN_OP","FQ1 2022","FQ1 2022","Currency=USD","Period=FQ","BEST_FPERIOD_OVERRIDE=FQ","FILING_STATUS=MR","SCALING_FORMAT=MLN","Sort=A","Dates=H","DateFormat=P","Fill=—","Direction=H","UseDPDF=Y")</f>
        <v>—</v>
      </c>
      <c r="Q24" s="13" t="str">
        <f>_xll.BDH("ALNY US Equity","IS_LEGAL_LIT_SETTLE_EXPN_OP","FQ2 2022","FQ2 2022","Currency=USD","Period=FQ","BEST_FPERIOD_OVERRIDE=FQ","FILING_STATUS=MR","SCALING_FORMAT=MLN","Sort=A","Dates=H","DateFormat=P","Fill=—","Direction=H","UseDPDF=Y")</f>
        <v>—</v>
      </c>
      <c r="R24" s="13" t="str">
        <f>_xll.BDH("ALNY US Equity","IS_LEGAL_LIT_SETTLE_EXPN_OP","FQ3 2022","FQ3 2022","Currency=USD","Period=FQ","BEST_FPERIOD_OVERRIDE=FQ","FILING_STATUS=MR","SCALING_FORMAT=MLN","Sort=A","Dates=H","DateFormat=P","Fill=—","Direction=H","UseDPDF=Y")</f>
        <v>—</v>
      </c>
      <c r="S24" s="13" t="str">
        <f>_xll.BDH("ALNY US Equity","IS_LEGAL_LIT_SETTLE_EXPN_OP","FQ4 2022","FQ4 2022","Currency=USD","Period=FQ","BEST_FPERIOD_OVERRIDE=FQ","FILING_STATUS=MR","SCALING_FORMAT=MLN","Sort=A","Dates=H","DateFormat=P","Fill=—","Direction=H","UseDPDF=Y")</f>
        <v>—</v>
      </c>
      <c r="T24" s="13" t="str">
        <f>_xll.BDH("ALNY US Equity","IS_LEGAL_LIT_SETTLE_EXPN_OP","FQ1 2023","FQ1 2023","Currency=USD","Period=FQ","BEST_FPERIOD_OVERRIDE=FQ","FILING_STATUS=MR","SCALING_FORMAT=MLN","Sort=A","Dates=H","DateFormat=P","Fill=—","Direction=H","UseDPDF=Y")</f>
        <v>—</v>
      </c>
      <c r="U24" s="13" t="str">
        <f>_xll.BDH("ALNY US Equity","IS_LEGAL_LIT_SETTLE_EXPN_OP","FQ2 2023","FQ2 2023","Currency=USD","Period=FQ","BEST_FPERIOD_OVERRIDE=FQ","FILING_STATUS=MR","SCALING_FORMAT=MLN","Sort=A","Dates=H","DateFormat=P","Fill=—","Direction=H","UseDPDF=Y")</f>
        <v>—</v>
      </c>
      <c r="V24" s="13" t="str">
        <f>_xll.BDH("ALNY US Equity","IS_LEGAL_LIT_SETTLE_EXPN_OP","FQ3 2023","FQ3 2023","Currency=USD","Period=FQ","BEST_FPERIOD_OVERRIDE=FQ","FILING_STATUS=MR","SCALING_FORMAT=MLN","Sort=A","Dates=H","DateFormat=P","Fill=—","Direction=H","UseDPDF=Y")</f>
        <v>—</v>
      </c>
      <c r="W24" s="13" t="str">
        <f>_xll.BDH("ALNY US Equity","IS_LEGAL_LIT_SETTLE_EXPN_OP","FQ4 2023","FQ4 2023","Currency=USD","Period=FQ","BEST_FPERIOD_OVERRIDE=FQ","FILING_STATUS=MR","SCALING_FORMAT=MLN","Sort=A","Dates=H","DateFormat=P","Fill=—","Direction=H","UseDPDF=Y")</f>
        <v>—</v>
      </c>
      <c r="X24" s="13" t="str">
        <f>_xll.BDH("ALNY US Equity","IS_LEGAL_LIT_SETTLE_EXPN_OP","FQ1 2024","FQ1 2024","Currency=USD","Period=FQ","BEST_FPERIOD_OVERRIDE=FQ","FILING_STATUS=MR","SCALING_FORMAT=MLN","Sort=A","Dates=H","DateFormat=P","Fill=—","Direction=H","UseDPDF=Y")</f>
        <v>—</v>
      </c>
      <c r="Y24" s="13" t="str">
        <f>_xll.BDH("ALNY US Equity","IS_LEGAL_LIT_SETTLE_EXPN_OP","FQ2 2024","FQ2 2024","Currency=USD","Period=FQ","BEST_FPERIOD_OVERRIDE=FQ","FILING_STATUS=MR","SCALING_FORMAT=MLN","Sort=A","Dates=H","DateFormat=P","Fill=—","Direction=H","UseDPDF=Y")</f>
        <v>—</v>
      </c>
      <c r="Z24" s="13" t="str">
        <f>_xll.BDH("ALNY US Equity","IS_LEGAL_LIT_SETTLE_EXPN_OP","FQ3 2024","FQ3 2024","Currency=USD","Period=FQ","BEST_FPERIOD_OVERRIDE=FQ","FILING_STATUS=MR","SCALING_FORMAT=MLN","Sort=A","Dates=H","DateFormat=P","Fill=—","Direction=H","UseDPDF=Y")</f>
        <v>—</v>
      </c>
      <c r="AA24" s="13" t="str">
        <f>_xll.BDH("ALNY US Equity","IS_LEGAL_LIT_SETTLE_EXPN_OP","FQ4 2024","FQ4 2024","Currency=USD","Period=FQ","BEST_FPERIOD_OVERRIDE=FQ","FILING_STATUS=MR","SCALING_FORMAT=MLN","Sort=A","Dates=H","DateFormat=P","Fill=—","Direction=H","UseDPDF=Y")</f>
        <v>—</v>
      </c>
    </row>
    <row r="25" spans="1:27" x14ac:dyDescent="0.25">
      <c r="A25" s="10" t="s">
        <v>618</v>
      </c>
      <c r="B25" s="10" t="s">
        <v>619</v>
      </c>
      <c r="C25" s="13" t="str">
        <f>_xll.BDH("ALNY US Equity","IS_OTHER_ONE_TIME_ITEMS_OP","FQ4 2018","FQ4 2018","Currency=USD","Period=FQ","BEST_FPERIOD_OVERRIDE=FQ","FILING_STATUS=MR","SCALING_FORMAT=MLN","Sort=A","Dates=H","DateFormat=P","Fill=—","Direction=H","UseDPDF=Y")</f>
        <v>—</v>
      </c>
      <c r="D25" s="13" t="str">
        <f>_xll.BDH("ALNY US Equity","IS_OTHER_ONE_TIME_ITEMS_OP","FQ1 2019","FQ1 2019","Currency=USD","Period=FQ","BEST_FPERIOD_OVERRIDE=FQ","FILING_STATUS=MR","SCALING_FORMAT=MLN","Sort=A","Dates=H","DateFormat=P","Fill=—","Direction=H","UseDPDF=Y")</f>
        <v>—</v>
      </c>
      <c r="E25" s="13" t="str">
        <f>_xll.BDH("ALNY US Equity","IS_OTHER_ONE_TIME_ITEMS_OP","FQ2 2019","FQ2 2019","Currency=USD","Period=FQ","BEST_FPERIOD_OVERRIDE=FQ","FILING_STATUS=MR","SCALING_FORMAT=MLN","Sort=A","Dates=H","DateFormat=P","Fill=—","Direction=H","UseDPDF=Y")</f>
        <v>—</v>
      </c>
      <c r="F25" s="13" t="str">
        <f>_xll.BDH("ALNY US Equity","IS_OTHER_ONE_TIME_ITEMS_OP","FQ3 2019","FQ3 2019","Currency=USD","Period=FQ","BEST_FPERIOD_OVERRIDE=FQ","FILING_STATUS=MR","SCALING_FORMAT=MLN","Sort=A","Dates=H","DateFormat=P","Fill=—","Direction=H","UseDPDF=Y")</f>
        <v>—</v>
      </c>
      <c r="G25" s="13" t="str">
        <f>_xll.BDH("ALNY US Equity","IS_OTHER_ONE_TIME_ITEMS_OP","FQ4 2019","FQ4 2019","Currency=USD","Period=FQ","BEST_FPERIOD_OVERRIDE=FQ","FILING_STATUS=MR","SCALING_FORMAT=MLN","Sort=A","Dates=H","DateFormat=P","Fill=—","Direction=H","UseDPDF=Y")</f>
        <v>—</v>
      </c>
      <c r="H25" s="13" t="str">
        <f>_xll.BDH("ALNY US Equity","IS_OTHER_ONE_TIME_ITEMS_OP","FQ1 2020","FQ1 2020","Currency=USD","Period=FQ","BEST_FPERIOD_OVERRIDE=FQ","FILING_STATUS=MR","SCALING_FORMAT=MLN","Sort=A","Dates=H","DateFormat=P","Fill=—","Direction=H","UseDPDF=Y")</f>
        <v>—</v>
      </c>
      <c r="I25" s="13" t="str">
        <f>_xll.BDH("ALNY US Equity","IS_OTHER_ONE_TIME_ITEMS_OP","FQ2 2020","FQ2 2020","Currency=USD","Period=FQ","BEST_FPERIOD_OVERRIDE=FQ","FILING_STATUS=MR","SCALING_FORMAT=MLN","Sort=A","Dates=H","DateFormat=P","Fill=—","Direction=H","UseDPDF=Y")</f>
        <v>—</v>
      </c>
      <c r="J25" s="13">
        <f>_xll.BDH("ALNY US Equity","IS_OTHER_ONE_TIME_ITEMS_OP","FQ3 2020","FQ3 2020","Currency=USD","Period=FQ","BEST_FPERIOD_OVERRIDE=FQ","FILING_STATUS=MR","SCALING_FORMAT=MLN","Sort=A","Dates=H","DateFormat=P","Fill=—","Direction=H","UseDPDF=Y")</f>
        <v>0.76300000000000001</v>
      </c>
      <c r="K25" s="13" t="str">
        <f>_xll.BDH("ALNY US Equity","IS_OTHER_ONE_TIME_ITEMS_OP","FQ4 2020","FQ4 2020","Currency=USD","Period=FQ","BEST_FPERIOD_OVERRIDE=FQ","FILING_STATUS=MR","SCALING_FORMAT=MLN","Sort=A","Dates=H","DateFormat=P","Fill=—","Direction=H","UseDPDF=Y")</f>
        <v>—</v>
      </c>
      <c r="L25" s="13" t="str">
        <f>_xll.BDH("ALNY US Equity","IS_OTHER_ONE_TIME_ITEMS_OP","FQ1 2021","FQ1 2021","Currency=USD","Period=FQ","BEST_FPERIOD_OVERRIDE=FQ","FILING_STATUS=MR","SCALING_FORMAT=MLN","Sort=A","Dates=H","DateFormat=P","Fill=—","Direction=H","UseDPDF=Y")</f>
        <v>—</v>
      </c>
      <c r="M25" s="13" t="str">
        <f>_xll.BDH("ALNY US Equity","IS_OTHER_ONE_TIME_ITEMS_OP","FQ2 2021","FQ2 2021","Currency=USD","Period=FQ","BEST_FPERIOD_OVERRIDE=FQ","FILING_STATUS=MR","SCALING_FORMAT=MLN","Sort=A","Dates=H","DateFormat=P","Fill=—","Direction=H","UseDPDF=Y")</f>
        <v>—</v>
      </c>
      <c r="N25" s="13">
        <f>_xll.BDH("ALNY US Equity","IS_OTHER_ONE_TIME_ITEMS_OP","FQ3 2021","FQ3 2021","Currency=USD","Period=FQ","BEST_FPERIOD_OVERRIDE=FQ","FILING_STATUS=MR","SCALING_FORMAT=MLN","Sort=A","Dates=H","DateFormat=P","Fill=—","Direction=H","UseDPDF=Y")</f>
        <v>10</v>
      </c>
      <c r="O25" s="13" t="str">
        <f>_xll.BDH("ALNY US Equity","IS_OTHER_ONE_TIME_ITEMS_OP","FQ4 2021","FQ4 2021","Currency=USD","Period=FQ","BEST_FPERIOD_OVERRIDE=FQ","FILING_STATUS=MR","SCALING_FORMAT=MLN","Sort=A","Dates=H","DateFormat=P","Fill=—","Direction=H","UseDPDF=Y")</f>
        <v>—</v>
      </c>
      <c r="P25" s="13" t="str">
        <f>_xll.BDH("ALNY US Equity","IS_OTHER_ONE_TIME_ITEMS_OP","FQ1 2022","FQ1 2022","Currency=USD","Period=FQ","BEST_FPERIOD_OVERRIDE=FQ","FILING_STATUS=MR","SCALING_FORMAT=MLN","Sort=A","Dates=H","DateFormat=P","Fill=—","Direction=H","UseDPDF=Y")</f>
        <v>—</v>
      </c>
      <c r="Q25" s="13" t="str">
        <f>_xll.BDH("ALNY US Equity","IS_OTHER_ONE_TIME_ITEMS_OP","FQ2 2022","FQ2 2022","Currency=USD","Period=FQ","BEST_FPERIOD_OVERRIDE=FQ","FILING_STATUS=MR","SCALING_FORMAT=MLN","Sort=A","Dates=H","DateFormat=P","Fill=—","Direction=H","UseDPDF=Y")</f>
        <v>—</v>
      </c>
      <c r="R25" s="13" t="str">
        <f>_xll.BDH("ALNY US Equity","IS_OTHER_ONE_TIME_ITEMS_OP","FQ3 2022","FQ3 2022","Currency=USD","Period=FQ","BEST_FPERIOD_OVERRIDE=FQ","FILING_STATUS=MR","SCALING_FORMAT=MLN","Sort=A","Dates=H","DateFormat=P","Fill=—","Direction=H","UseDPDF=Y")</f>
        <v>—</v>
      </c>
      <c r="S25" s="13" t="str">
        <f>_xll.BDH("ALNY US Equity","IS_OTHER_ONE_TIME_ITEMS_OP","FQ4 2022","FQ4 2022","Currency=USD","Period=FQ","BEST_FPERIOD_OVERRIDE=FQ","FILING_STATUS=MR","SCALING_FORMAT=MLN","Sort=A","Dates=H","DateFormat=P","Fill=—","Direction=H","UseDPDF=Y")</f>
        <v>—</v>
      </c>
      <c r="T25" s="13" t="str">
        <f>_xll.BDH("ALNY US Equity","IS_OTHER_ONE_TIME_ITEMS_OP","FQ1 2023","FQ1 2023","Currency=USD","Period=FQ","BEST_FPERIOD_OVERRIDE=FQ","FILING_STATUS=MR","SCALING_FORMAT=MLN","Sort=A","Dates=H","DateFormat=P","Fill=—","Direction=H","UseDPDF=Y")</f>
        <v>—</v>
      </c>
      <c r="U25" s="13" t="str">
        <f>_xll.BDH("ALNY US Equity","IS_OTHER_ONE_TIME_ITEMS_OP","FQ2 2023","FQ2 2023","Currency=USD","Period=FQ","BEST_FPERIOD_OVERRIDE=FQ","FILING_STATUS=MR","SCALING_FORMAT=MLN","Sort=A","Dates=H","DateFormat=P","Fill=—","Direction=H","UseDPDF=Y")</f>
        <v>—</v>
      </c>
      <c r="V25" s="13" t="str">
        <f>_xll.BDH("ALNY US Equity","IS_OTHER_ONE_TIME_ITEMS_OP","FQ3 2023","FQ3 2023","Currency=USD","Period=FQ","BEST_FPERIOD_OVERRIDE=FQ","FILING_STATUS=MR","SCALING_FORMAT=MLN","Sort=A","Dates=H","DateFormat=P","Fill=—","Direction=H","UseDPDF=Y")</f>
        <v>—</v>
      </c>
      <c r="W25" s="13" t="str">
        <f>_xll.BDH("ALNY US Equity","IS_OTHER_ONE_TIME_ITEMS_OP","FQ4 2023","FQ4 2023","Currency=USD","Period=FQ","BEST_FPERIOD_OVERRIDE=FQ","FILING_STATUS=MR","SCALING_FORMAT=MLN","Sort=A","Dates=H","DateFormat=P","Fill=—","Direction=H","UseDPDF=Y")</f>
        <v>—</v>
      </c>
      <c r="X25" s="13" t="str">
        <f>_xll.BDH("ALNY US Equity","IS_OTHER_ONE_TIME_ITEMS_OP","FQ1 2024","FQ1 2024","Currency=USD","Period=FQ","BEST_FPERIOD_OVERRIDE=FQ","FILING_STATUS=MR","SCALING_FORMAT=MLN","Sort=A","Dates=H","DateFormat=P","Fill=—","Direction=H","UseDPDF=Y")</f>
        <v>—</v>
      </c>
      <c r="Y25" s="13" t="str">
        <f>_xll.BDH("ALNY US Equity","IS_OTHER_ONE_TIME_ITEMS_OP","FQ2 2024","FQ2 2024","Currency=USD","Period=FQ","BEST_FPERIOD_OVERRIDE=FQ","FILING_STATUS=MR","SCALING_FORMAT=MLN","Sort=A","Dates=H","DateFormat=P","Fill=—","Direction=H","UseDPDF=Y")</f>
        <v>—</v>
      </c>
      <c r="Z25" s="13" t="str">
        <f>_xll.BDH("ALNY US Equity","IS_OTHER_ONE_TIME_ITEMS_OP","FQ3 2024","FQ3 2024","Currency=USD","Period=FQ","BEST_FPERIOD_OVERRIDE=FQ","FILING_STATUS=MR","SCALING_FORMAT=MLN","Sort=A","Dates=H","DateFormat=P","Fill=—","Direction=H","UseDPDF=Y")</f>
        <v>—</v>
      </c>
      <c r="AA25" s="13" t="str">
        <f>_xll.BDH("ALNY US Equity","IS_OTHER_ONE_TIME_ITEMS_OP","FQ4 2024","FQ4 2024","Currency=USD","Period=FQ","BEST_FPERIOD_OVERRIDE=FQ","FILING_STATUS=MR","SCALING_FORMAT=MLN","Sort=A","Dates=H","DateFormat=P","Fill=—","Direction=H","UseDPDF=Y")</f>
        <v>—</v>
      </c>
    </row>
    <row r="26" spans="1:27" x14ac:dyDescent="0.25">
      <c r="A26" s="6" t="s">
        <v>607</v>
      </c>
      <c r="B26" s="6" t="s">
        <v>99</v>
      </c>
      <c r="C26" s="19">
        <f>_xll.BDH("ALNY US Equity","IS_OPER_INC","FQ4 2018","FQ4 2018","Currency=USD","Period=FQ","BEST_FPERIOD_OVERRIDE=FQ","FILING_STATUS=MR","SCALING_FORMAT=MLN","FA_ADJUSTED=Adjusted","Sort=A","Dates=H","DateFormat=P","Fill=—","Direction=H","UseDPDF=Y")</f>
        <v>-220.35599999999999</v>
      </c>
      <c r="D26" s="19">
        <f>_xll.BDH("ALNY US Equity","IS_OPER_INC","FQ1 2019","FQ1 2019","Currency=USD","Period=FQ","BEST_FPERIOD_OVERRIDE=FQ","FILING_STATUS=MR","SCALING_FORMAT=MLN","FA_ADJUSTED=Adjusted","Sort=A","Dates=H","DateFormat=P","Fill=—","Direction=H","UseDPDF=Y")</f>
        <v>-188.78800000000001</v>
      </c>
      <c r="E26" s="19">
        <f>_xll.BDH("ALNY US Equity","IS_OPER_INC","FQ2 2019","FQ2 2019","Currency=USD","Period=FQ","BEST_FPERIOD_OVERRIDE=FQ","FILING_STATUS=MR","SCALING_FORMAT=MLN","FA_ADJUSTED=Adjusted","Sort=A","Dates=H","DateFormat=P","Fill=—","Direction=H","UseDPDF=Y")</f>
        <v>-236.27099999999999</v>
      </c>
      <c r="F26" s="19">
        <f>_xll.BDH("ALNY US Equity","IS_OPER_INC","FQ3 2019","FQ3 2019","Currency=USD","Period=FQ","BEST_FPERIOD_OVERRIDE=FQ","FILING_STATUS=MR","SCALING_FORMAT=MLN","FA_ADJUSTED=Adjusted","Sort=A","Dates=H","DateFormat=P","Fill=—","Direction=H","UseDPDF=Y")</f>
        <v>-216.29900000000001</v>
      </c>
      <c r="G26" s="19">
        <f>_xll.BDH("ALNY US Equity","IS_OPER_INC","FQ4 2019","FQ4 2019","Currency=USD","Period=FQ","BEST_FPERIOD_OVERRIDE=FQ","FILING_STATUS=MR","SCALING_FORMAT=MLN","FA_ADJUSTED=Adjusted","Sort=A","Dates=H","DateFormat=P","Fill=—","Direction=H","UseDPDF=Y")</f>
        <v>-298.07299999999998</v>
      </c>
      <c r="H26" s="19">
        <f>_xll.BDH("ALNY US Equity","IS_OPER_INC","FQ1 2020","FQ1 2020","Currency=USD","Period=FQ","BEST_FPERIOD_OVERRIDE=FQ","FILING_STATUS=MR","SCALING_FORMAT=MLN","FA_ADJUSTED=Adjusted","Sort=A","Dates=H","DateFormat=P","Fill=—","Direction=H","UseDPDF=Y")</f>
        <v>-210.15799999999999</v>
      </c>
      <c r="I26" s="19">
        <f>_xll.BDH("ALNY US Equity","IS_OPER_INC","FQ2 2020","FQ2 2020","Currency=USD","Period=FQ","BEST_FPERIOD_OVERRIDE=FQ","FILING_STATUS=MR","SCALING_FORMAT=MLN","FA_ADJUSTED=Adjusted","Sort=A","Dates=H","DateFormat=P","Fill=—","Direction=H","UseDPDF=Y")</f>
        <v>-199.67169999999999</v>
      </c>
      <c r="J26" s="19">
        <f>_xll.BDH("ALNY US Equity","IS_OPER_INC","FQ3 2020","FQ3 2020","Currency=USD","Period=FQ","BEST_FPERIOD_OVERRIDE=FQ","FILING_STATUS=MR","SCALING_FORMAT=MLN","FA_ADJUSTED=Adjusted","Sort=A","Dates=H","DateFormat=P","Fill=—","Direction=H","UseDPDF=Y")</f>
        <v>-195.786</v>
      </c>
      <c r="K26" s="19">
        <f>_xll.BDH("ALNY US Equity","IS_OPER_INC","FQ4 2020","FQ4 2020","Currency=USD","Period=FQ","BEST_FPERIOD_OVERRIDE=FQ","FILING_STATUS=MR","SCALING_FORMAT=MLN","FA_ADJUSTED=Adjusted","Sort=A","Dates=H","DateFormat=P","Fill=—","Direction=H","UseDPDF=Y")</f>
        <v>-184.006</v>
      </c>
      <c r="L26" s="19">
        <f>_xll.BDH("ALNY US Equity","IS_OPER_INC","FQ1 2021","FQ1 2021","Currency=USD","Period=FQ","BEST_FPERIOD_OVERRIDE=FQ","FILING_STATUS=MR","SCALING_FORMAT=MLN","FA_ADJUSTED=Adjusted","Sort=A","Dates=H","DateFormat=P","Fill=—","Direction=H","UseDPDF=Y")</f>
        <v>-186.25399999999999</v>
      </c>
      <c r="M26" s="19">
        <f>_xll.BDH("ALNY US Equity","IS_OPER_INC","FQ2 2021","FQ2 2021","Currency=USD","Period=FQ","BEST_FPERIOD_OVERRIDE=FQ","FILING_STATUS=MR","SCALING_FORMAT=MLN","FA_ADJUSTED=Adjusted","Sort=A","Dates=H","DateFormat=P","Fill=—","Direction=H","UseDPDF=Y")</f>
        <v>-146.16</v>
      </c>
      <c r="N26" s="19">
        <f>_xll.BDH("ALNY US Equity","IS_OPER_INC","FQ3 2021","FQ3 2021","Currency=USD","Period=FQ","BEST_FPERIOD_OVERRIDE=FQ","FILING_STATUS=MR","SCALING_FORMAT=MLN","FA_ADJUSTED=Adjusted","Sort=A","Dates=H","DateFormat=P","Fill=—","Direction=H","UseDPDF=Y")</f>
        <v>-171.67699999999999</v>
      </c>
      <c r="O26" s="19">
        <f>_xll.BDH("ALNY US Equity","IS_OPER_INC","FQ4 2021","FQ4 2021","Currency=USD","Period=FQ","BEST_FPERIOD_OVERRIDE=FQ","FILING_STATUS=MR","SCALING_FORMAT=MLN","FA_ADJUSTED=Adjusted","Sort=A","Dates=H","DateFormat=P","Fill=—","Direction=H","UseDPDF=Y")</f>
        <v>-194.56100000000001</v>
      </c>
      <c r="P26" s="19">
        <f>_xll.BDH("ALNY US Equity","IS_OPER_INC","FQ1 2022","FQ1 2022","Currency=USD","Period=FQ","BEST_FPERIOD_OVERRIDE=FQ","FILING_STATUS=MR","SCALING_FORMAT=MLN","FA_ADJUSTED=Adjusted","Sort=A","Dates=H","DateFormat=P","Fill=—","Direction=H","UseDPDF=Y")</f>
        <v>-146.732</v>
      </c>
      <c r="Q26" s="19">
        <f>_xll.BDH("ALNY US Equity","IS_OPER_INC","FQ2 2022","FQ2 2022","Currency=USD","Period=FQ","BEST_FPERIOD_OVERRIDE=FQ","FILING_STATUS=MR","SCALING_FORMAT=MLN","FA_ADJUSTED=Adjusted","Sort=A","Dates=H","DateFormat=P","Fill=—","Direction=H","UseDPDF=Y")</f>
        <v>-191.68600000000001</v>
      </c>
      <c r="R26" s="19">
        <f>_xll.BDH("ALNY US Equity","IS_OPER_INC","FQ3 2022","FQ3 2022","Currency=USD","Period=FQ","BEST_FPERIOD_OVERRIDE=FQ","FILING_STATUS=MR","SCALING_FORMAT=MLN","FA_ADJUSTED=Adjusted","Sort=A","Dates=H","DateFormat=P","Fill=—","Direction=H","UseDPDF=Y")</f>
        <v>-258.04000000000002</v>
      </c>
      <c r="S26" s="19">
        <f>_xll.BDH("ALNY US Equity","IS_OPER_INC","FQ4 2022","FQ4 2022","Currency=USD","Period=FQ","BEST_FPERIOD_OVERRIDE=FQ","FILING_STATUS=MR","SCALING_FORMAT=MLN","FA_ADJUSTED=Adjusted","Sort=A","Dates=H","DateFormat=P","Fill=—","Direction=H","UseDPDF=Y")</f>
        <v>-188.614</v>
      </c>
      <c r="T26" s="19">
        <f>_xll.BDH("ALNY US Equity","IS_OPER_INC","FQ1 2023","FQ1 2023","Currency=USD","Period=FQ","BEST_FPERIOD_OVERRIDE=FQ","FILING_STATUS=MR","SCALING_FORMAT=MLN","FA_ADJUSTED=Adjusted","Sort=A","Dates=H","DateFormat=P","Fill=—","Direction=H","UseDPDF=Y")</f>
        <v>-149.80699999999999</v>
      </c>
      <c r="U26" s="19">
        <f>_xll.BDH("ALNY US Equity","IS_OPER_INC","FQ2 2023","FQ2 2023","Currency=USD","Period=FQ","BEST_FPERIOD_OVERRIDE=FQ","FILING_STATUS=MR","SCALING_FORMAT=MLN","FA_ADJUSTED=Adjusted","Sort=A","Dates=H","DateFormat=P","Fill=—","Direction=H","UseDPDF=Y")</f>
        <v>-229.83099999999999</v>
      </c>
      <c r="V26" s="19">
        <f>_xll.BDH("ALNY US Equity","IS_OPER_INC","FQ3 2023","FQ3 2023","Currency=USD","Period=FQ","BEST_FPERIOD_OVERRIDE=FQ","FILING_STATUS=MR","SCALING_FORMAT=MLN","FA_ADJUSTED=Adjusted","Sort=A","Dates=H","DateFormat=P","Fill=—","Direction=H","UseDPDF=Y")</f>
        <v>213.86699999999999</v>
      </c>
      <c r="W26" s="19">
        <f>_xll.BDH("ALNY US Equity","IS_OPER_INC","FQ4 2023","FQ4 2023","Currency=USD","Period=FQ","BEST_FPERIOD_OVERRIDE=FQ","FILING_STATUS=MR","SCALING_FORMAT=MLN","FA_ADJUSTED=Adjusted","Sort=A","Dates=H","DateFormat=P","Fill=—","Direction=H","UseDPDF=Y")</f>
        <v>-116.404</v>
      </c>
      <c r="X26" s="19">
        <f>_xll.BDH("ALNY US Equity","IS_OPER_INC","FQ1 2024","FQ1 2024","Currency=USD","Period=FQ","BEST_FPERIOD_OVERRIDE=FQ","FILING_STATUS=MR","SCALING_FORMAT=MLN","FA_ADJUSTED=Adjusted","Sort=A","Dates=H","DateFormat=P","Fill=—","Direction=H","UseDPDF=Y")</f>
        <v>-43.435000000000002</v>
      </c>
      <c r="Y26" s="19">
        <f>_xll.BDH("ALNY US Equity","IS_OPER_INC","FQ2 2024","FQ2 2024","Currency=USD","Period=FQ","BEST_FPERIOD_OVERRIDE=FQ","FILING_STATUS=MR","SCALING_FORMAT=MLN","FA_ADJUSTED=Adjusted","Sort=A","Dates=H","DateFormat=P","Fill=—","Direction=H","UseDPDF=Y")</f>
        <v>48.613999999999997</v>
      </c>
      <c r="Z26" s="19">
        <f>_xll.BDH("ALNY US Equity","IS_OPER_INC","FQ3 2024","FQ3 2024","Currency=USD","Period=FQ","BEST_FPERIOD_OVERRIDE=FQ","FILING_STATUS=MR","SCALING_FORMAT=MLN","FA_ADJUSTED=Adjusted","Sort=A","Dates=H","DateFormat=P","Fill=—","Direction=H","UseDPDF=Y")</f>
        <v>-76.905000000000001</v>
      </c>
      <c r="AA26" s="19">
        <f>_xll.BDH("ALNY US Equity","IS_OPER_INC","FQ4 2024","FQ4 2024","Currency=USD","Period=FQ","BEST_FPERIOD_OVERRIDE=FQ","FILING_STATUS=MR","SCALING_FORMAT=MLN","FA_ADJUSTED=Adjusted","Sort=A","Dates=H","DateFormat=P","Fill=—","Direction=H","UseDPDF=Y")</f>
        <v>-105.15900000000001</v>
      </c>
    </row>
    <row r="27" spans="1:27" x14ac:dyDescent="0.25">
      <c r="A27" s="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5">
      <c r="A28" s="6" t="s">
        <v>620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5">
      <c r="A29" s="6" t="s">
        <v>344</v>
      </c>
      <c r="B29" s="6" t="s">
        <v>158</v>
      </c>
      <c r="C29" s="19">
        <f>_xll.BDH("ALNY US Equity","PRETAX_INC","FQ4 2018","FQ4 2018","Currency=USD","Period=FQ","BEST_FPERIOD_OVERRIDE=FQ","FILING_STATUS=MR","SCALING_FORMAT=MLN","FA_ADJUSTED=GAAP","Sort=A","Dates=H","DateFormat=P","Fill=—","Direction=H","UseDPDF=Y")</f>
        <v>-211.08</v>
      </c>
      <c r="D29" s="19">
        <f>_xll.BDH("ALNY US Equity","PRETAX_INC","FQ1 2019","FQ1 2019","Currency=USD","Period=FQ","BEST_FPERIOD_OVERRIDE=FQ","FILING_STATUS=MR","SCALING_FORMAT=MLN","FA_ADJUSTED=GAAP","Sort=A","Dates=H","DateFormat=P","Fill=—","Direction=H","UseDPDF=Y")</f>
        <v>-181.22</v>
      </c>
      <c r="E29" s="19">
        <f>_xll.BDH("ALNY US Equity","PRETAX_INC","FQ2 2019","FQ2 2019","Currency=USD","Period=FQ","BEST_FPERIOD_OVERRIDE=FQ","FILING_STATUS=MR","SCALING_FORMAT=MLN","FA_ADJUSTED=GAAP","Sort=A","Dates=H","DateFormat=P","Fill=—","Direction=H","UseDPDF=Y")</f>
        <v>-218.52099999999999</v>
      </c>
      <c r="F29" s="19">
        <f>_xll.BDH("ALNY US Equity","PRETAX_INC","FQ3 2019","FQ3 2019","Currency=USD","Period=FQ","BEST_FPERIOD_OVERRIDE=FQ","FILING_STATUS=MR","SCALING_FORMAT=MLN","FA_ADJUSTED=GAAP","Sort=A","Dates=H","DateFormat=P","Fill=—","Direction=H","UseDPDF=Y")</f>
        <v>-208.929</v>
      </c>
      <c r="G29" s="19">
        <f>_xll.BDH("ALNY US Equity","PRETAX_INC","FQ4 2019","FQ4 2019","Currency=USD","Period=FQ","BEST_FPERIOD_OVERRIDE=FQ","FILING_STATUS=MR","SCALING_FORMAT=MLN","FA_ADJUSTED=GAAP","Sort=A","Dates=H","DateFormat=P","Fill=—","Direction=H","UseDPDF=Y")</f>
        <v>-276.58300000000003</v>
      </c>
      <c r="H29" s="19">
        <f>_xll.BDH("ALNY US Equity","PRETAX_INC","FQ1 2020","FQ1 2020","Currency=USD","Period=FQ","BEST_FPERIOD_OVERRIDE=FQ","FILING_STATUS=MR","SCALING_FORMAT=MLN","FA_ADJUSTED=GAAP","Sort=A","Dates=H","DateFormat=P","Fill=—","Direction=H","UseDPDF=Y")</f>
        <v>-181.64599999999999</v>
      </c>
      <c r="I29" s="19">
        <f>_xll.BDH("ALNY US Equity","PRETAX_INC","FQ2 2020","FQ2 2020","Currency=USD","Period=FQ","BEST_FPERIOD_OVERRIDE=FQ","FILING_STATUS=MR","SCALING_FORMAT=MLN","FA_ADJUSTED=GAAP","Sort=A","Dates=H","DateFormat=P","Fill=—","Direction=H","UseDPDF=Y")</f>
        <v>-177.90299999999999</v>
      </c>
      <c r="J29" s="19">
        <f>_xll.BDH("ALNY US Equity","PRETAX_INC","FQ3 2020","FQ3 2020","Currency=USD","Period=FQ","BEST_FPERIOD_OVERRIDE=FQ","FILING_STATUS=MR","SCALING_FORMAT=MLN","FA_ADJUSTED=GAAP","Sort=A","Dates=H","DateFormat=P","Fill=—","Direction=H","UseDPDF=Y")</f>
        <v>-252.452</v>
      </c>
      <c r="K29" s="19">
        <f>_xll.BDH("ALNY US Equity","PRETAX_INC","FQ4 2020","FQ4 2020","Currency=USD","Period=FQ","BEST_FPERIOD_OVERRIDE=FQ","FILING_STATUS=MR","SCALING_FORMAT=MLN","FA_ADJUSTED=GAAP","Sort=A","Dates=H","DateFormat=P","Fill=—","Direction=H","UseDPDF=Y")</f>
        <v>-243.59899999999999</v>
      </c>
      <c r="L29" s="19">
        <f>_xll.BDH("ALNY US Equity","PRETAX_INC","FQ1 2021","FQ1 2021","Currency=USD","Period=FQ","BEST_FPERIOD_OVERRIDE=FQ","FILING_STATUS=MR","SCALING_FORMAT=MLN","FA_ADJUSTED=GAAP","Sort=A","Dates=H","DateFormat=P","Fill=—","Direction=H","UseDPDF=Y")</f>
        <v>-199.27500000000001</v>
      </c>
      <c r="M29" s="19">
        <f>_xll.BDH("ALNY US Equity","PRETAX_INC","FQ2 2021","FQ2 2021","Currency=USD","Period=FQ","BEST_FPERIOD_OVERRIDE=FQ","FILING_STATUS=MR","SCALING_FORMAT=MLN","FA_ADJUSTED=GAAP","Sort=A","Dates=H","DateFormat=P","Fill=—","Direction=H","UseDPDF=Y")</f>
        <v>-188.33099999999999</v>
      </c>
      <c r="N29" s="19">
        <f>_xll.BDH("ALNY US Equity","PRETAX_INC","FQ3 2021","FQ3 2021","Currency=USD","Period=FQ","BEST_FPERIOD_OVERRIDE=FQ","FILING_STATUS=MR","SCALING_FORMAT=MLN","FA_ADJUSTED=GAAP","Sort=A","Dates=H","DateFormat=P","Fill=—","Direction=H","UseDPDF=Y")</f>
        <v>-204.23599999999999</v>
      </c>
      <c r="O29" s="19">
        <f>_xll.BDH("ALNY US Equity","PRETAX_INC","FQ4 2021","FQ4 2021","Currency=USD","Period=FQ","BEST_FPERIOD_OVERRIDE=FQ","FILING_STATUS=MR","SCALING_FORMAT=MLN","FA_ADJUSTED=GAAP","Sort=A","Dates=H","DateFormat=P","Fill=—","Direction=H","UseDPDF=Y")</f>
        <v>-260.30200000000002</v>
      </c>
      <c r="P29" s="19">
        <f>_xll.BDH("ALNY US Equity","PRETAX_INC","FQ1 2022","FQ1 2022","Currency=USD","Period=FQ","BEST_FPERIOD_OVERRIDE=FQ","FILING_STATUS=MR","SCALING_FORMAT=MLN","FA_ADJUSTED=GAAP","Sort=A","Dates=H","DateFormat=P","Fill=—","Direction=H","UseDPDF=Y")</f>
        <v>-239.35599999999999</v>
      </c>
      <c r="Q29" s="19">
        <f>_xll.BDH("ALNY US Equity","PRETAX_INC","FQ2 2022","FQ2 2022","Currency=USD","Period=FQ","BEST_FPERIOD_OVERRIDE=FQ","FILING_STATUS=MR","SCALING_FORMAT=MLN","FA_ADJUSTED=GAAP","Sort=A","Dates=H","DateFormat=P","Fill=—","Direction=H","UseDPDF=Y")</f>
        <v>-274.673</v>
      </c>
      <c r="R29" s="19">
        <f>_xll.BDH("ALNY US Equity","PRETAX_INC","FQ3 2022","FQ3 2022","Currency=USD","Period=FQ","BEST_FPERIOD_OVERRIDE=FQ","FILING_STATUS=MR","SCALING_FORMAT=MLN","FA_ADJUSTED=GAAP","Sort=A","Dates=H","DateFormat=P","Fill=—","Direction=H","UseDPDF=Y")</f>
        <v>-405.94299999999998</v>
      </c>
      <c r="S29" s="19">
        <f>_xll.BDH("ALNY US Equity","PRETAX_INC","FQ4 2022","FQ4 2022","Currency=USD","Period=FQ","BEST_FPERIOD_OVERRIDE=FQ","FILING_STATUS=MR","SCALING_FORMAT=MLN","FA_ADJUSTED=GAAP","Sort=A","Dates=H","DateFormat=P","Fill=—","Direction=H","UseDPDF=Y")</f>
        <v>-207.02099999999999</v>
      </c>
      <c r="T29" s="19">
        <f>_xll.BDH("ALNY US Equity","PRETAX_INC","FQ1 2023","FQ1 2023","Currency=USD","Period=FQ","BEST_FPERIOD_OVERRIDE=FQ","FILING_STATUS=MR","SCALING_FORMAT=MLN","FA_ADJUSTED=GAAP","Sort=A","Dates=H","DateFormat=P","Fill=—","Direction=H","UseDPDF=Y")</f>
        <v>-172.36199999999999</v>
      </c>
      <c r="U29" s="19">
        <f>_xll.BDH("ALNY US Equity","PRETAX_INC","FQ2 2023","FQ2 2023","Currency=USD","Period=FQ","BEST_FPERIOD_OVERRIDE=FQ","FILING_STATUS=MR","SCALING_FORMAT=MLN","FA_ADJUSTED=GAAP","Sort=A","Dates=H","DateFormat=P","Fill=—","Direction=H","UseDPDF=Y")</f>
        <v>-274.209</v>
      </c>
      <c r="V29" s="19">
        <f>_xll.BDH("ALNY US Equity","PRETAX_INC","FQ3 2023","FQ3 2023","Currency=USD","Period=FQ","BEST_FPERIOD_OVERRIDE=FQ","FILING_STATUS=MR","SCALING_FORMAT=MLN","FA_ADJUSTED=GAAP","Sort=A","Dates=H","DateFormat=P","Fill=—","Direction=H","UseDPDF=Y")</f>
        <v>150.74100000000001</v>
      </c>
      <c r="W29" s="19">
        <f>_xll.BDH("ALNY US Equity","PRETAX_INC","FQ4 2023","FQ4 2023","Currency=USD","Period=FQ","BEST_FPERIOD_OVERRIDE=FQ","FILING_STATUS=MR","SCALING_FORMAT=MLN","FA_ADJUSTED=GAAP","Sort=A","Dates=H","DateFormat=P","Fill=—","Direction=H","UseDPDF=Y")</f>
        <v>-137.68700000000001</v>
      </c>
      <c r="X29" s="19">
        <f>_xll.BDH("ALNY US Equity","PRETAX_INC","FQ1 2024","FQ1 2024","Currency=USD","Period=FQ","BEST_FPERIOD_OVERRIDE=FQ","FILING_STATUS=MR","SCALING_FORMAT=MLN","FA_ADJUSTED=GAAP","Sort=A","Dates=H","DateFormat=P","Fill=—","Direction=H","UseDPDF=Y")</f>
        <v>-63.587000000000003</v>
      </c>
      <c r="Y29" s="19">
        <f>_xll.BDH("ALNY US Equity","PRETAX_INC","FQ2 2024","FQ2 2024","Currency=USD","Period=FQ","BEST_FPERIOD_OVERRIDE=FQ","FILING_STATUS=MR","SCALING_FORMAT=MLN","FA_ADJUSTED=GAAP","Sort=A","Dates=H","DateFormat=P","Fill=—","Direction=H","UseDPDF=Y")</f>
        <v>-11.167</v>
      </c>
      <c r="Z29" s="19">
        <f>_xll.BDH("ALNY US Equity","PRETAX_INC","FQ3 2024","FQ3 2024","Currency=USD","Period=FQ","BEST_FPERIOD_OVERRIDE=FQ","FILING_STATUS=MR","SCALING_FORMAT=MLN","FA_ADJUSTED=GAAP","Sort=A","Dates=H","DateFormat=P","Fill=—","Direction=H","UseDPDF=Y")</f>
        <v>-108.663</v>
      </c>
      <c r="AA29" s="19">
        <f>_xll.BDH("ALNY US Equity","PRETAX_INC","FQ4 2024","FQ4 2024","Currency=USD","Period=FQ","BEST_FPERIOD_OVERRIDE=FQ","FILING_STATUS=MR","SCALING_FORMAT=MLN","FA_ADJUSTED=GAAP","Sort=A","Dates=H","DateFormat=P","Fill=—","Direction=H","UseDPDF=Y")</f>
        <v>-193.958</v>
      </c>
    </row>
    <row r="30" spans="1:27" x14ac:dyDescent="0.25">
      <c r="A30" s="10" t="s">
        <v>614</v>
      </c>
      <c r="B30" s="10" t="s">
        <v>333</v>
      </c>
      <c r="C30" s="13" t="str">
        <f>_xll.BDH("ALNY US Equity","IS_MERGER_ACQUISITION_EXPENSE","FQ4 2018","FQ4 2018","Currency=USD","Period=FQ","BEST_FPERIOD_OVERRIDE=FQ","FILING_STATUS=MR","SCALING_FORMAT=MLN","Sort=A","Dates=H","DateFormat=P","Fill=—","Direction=H","UseDPDF=Y")</f>
        <v>—</v>
      </c>
      <c r="D30" s="13" t="str">
        <f>_xll.BDH("ALNY US Equity","IS_MERGER_ACQUISITION_EXPENSE","FQ1 2019","FQ1 2019","Currency=USD","Period=FQ","BEST_FPERIOD_OVERRIDE=FQ","FILING_STATUS=MR","SCALING_FORMAT=MLN","Sort=A","Dates=H","DateFormat=P","Fill=—","Direction=H","UseDPDF=Y")</f>
        <v>—</v>
      </c>
      <c r="E30" s="13" t="str">
        <f>_xll.BDH("ALNY US Equity","IS_MERGER_ACQUISITION_EXPENSE","FQ2 2019","FQ2 2019","Currency=USD","Period=FQ","BEST_FPERIOD_OVERRIDE=FQ","FILING_STATUS=MR","SCALING_FORMAT=MLN","Sort=A","Dates=H","DateFormat=P","Fill=—","Direction=H","UseDPDF=Y")</f>
        <v>—</v>
      </c>
      <c r="F30" s="13" t="str">
        <f>_xll.BDH("ALNY US Equity","IS_MERGER_ACQUISITION_EXPENSE","FQ3 2019","FQ3 2019","Currency=USD","Period=FQ","BEST_FPERIOD_OVERRIDE=FQ","FILING_STATUS=MR","SCALING_FORMAT=MLN","Sort=A","Dates=H","DateFormat=P","Fill=—","Direction=H","UseDPDF=Y")</f>
        <v>—</v>
      </c>
      <c r="G30" s="13" t="str">
        <f>_xll.BDH("ALNY US Equity","IS_MERGER_ACQUISITION_EXPENSE","FQ4 2019","FQ4 2019","Currency=USD","Period=FQ","BEST_FPERIOD_OVERRIDE=FQ","FILING_STATUS=MR","SCALING_FORMAT=MLN","Sort=A","Dates=H","DateFormat=P","Fill=—","Direction=H","UseDPDF=Y")</f>
        <v>—</v>
      </c>
      <c r="H30" s="13" t="str">
        <f>_xll.BDH("ALNY US Equity","IS_MERGER_ACQUISITION_EXPENSE","FQ1 2020","FQ1 2020","Currency=USD","Period=FQ","BEST_FPERIOD_OVERRIDE=FQ","FILING_STATUS=MR","SCALING_FORMAT=MLN","Sort=A","Dates=H","DateFormat=P","Fill=—","Direction=H","UseDPDF=Y")</f>
        <v>—</v>
      </c>
      <c r="I30" s="13" t="str">
        <f>_xll.BDH("ALNY US Equity","IS_MERGER_ACQUISITION_EXPENSE","FQ2 2020","FQ2 2020","Currency=USD","Period=FQ","BEST_FPERIOD_OVERRIDE=FQ","FILING_STATUS=MR","SCALING_FORMAT=MLN","Sort=A","Dates=H","DateFormat=P","Fill=—","Direction=H","UseDPDF=Y")</f>
        <v>—</v>
      </c>
      <c r="J30" s="13">
        <f>_xll.BDH("ALNY US Equity","IS_MERGER_ACQUISITION_EXPENSE","FQ3 2020","FQ3 2020","Currency=USD","Period=FQ","BEST_FPERIOD_OVERRIDE=FQ","FILING_STATUS=MR","SCALING_FORMAT=MLN","Sort=A","Dates=H","DateFormat=P","Fill=—","Direction=H","UseDPDF=Y")</f>
        <v>28</v>
      </c>
      <c r="K30" s="13">
        <f>_xll.BDH("ALNY US Equity","IS_MERGER_ACQUISITION_EXPENSE","FQ4 2020","FQ4 2020","Currency=USD","Period=FQ","BEST_FPERIOD_OVERRIDE=FQ","FILING_STATUS=MR","SCALING_FORMAT=MLN","Sort=A","Dates=H","DateFormat=P","Fill=—","Direction=H","UseDPDF=Y")</f>
        <v>10.215999999999999</v>
      </c>
      <c r="L30" s="13" t="str">
        <f>_xll.BDH("ALNY US Equity","IS_MERGER_ACQUISITION_EXPENSE","FQ1 2021","FQ1 2021","Currency=USD","Period=FQ","BEST_FPERIOD_OVERRIDE=FQ","FILING_STATUS=MR","SCALING_FORMAT=MLN","Sort=A","Dates=H","DateFormat=P","Fill=—","Direction=H","UseDPDF=Y")</f>
        <v>—</v>
      </c>
      <c r="M30" s="13" t="str">
        <f>_xll.BDH("ALNY US Equity","IS_MERGER_ACQUISITION_EXPENSE","FQ2 2021","FQ2 2021","Currency=USD","Period=FQ","BEST_FPERIOD_OVERRIDE=FQ","FILING_STATUS=MR","SCALING_FORMAT=MLN","Sort=A","Dates=H","DateFormat=P","Fill=—","Direction=H","UseDPDF=Y")</f>
        <v>—</v>
      </c>
      <c r="N30" s="13" t="str">
        <f>_xll.BDH("ALNY US Equity","IS_MERGER_ACQUISITION_EXPENSE","FQ3 2021","FQ3 2021","Currency=USD","Period=FQ","BEST_FPERIOD_OVERRIDE=FQ","FILING_STATUS=MR","SCALING_FORMAT=MLN","Sort=A","Dates=H","DateFormat=P","Fill=—","Direction=H","UseDPDF=Y")</f>
        <v>—</v>
      </c>
      <c r="O30" s="13" t="str">
        <f>_xll.BDH("ALNY US Equity","IS_MERGER_ACQUISITION_EXPENSE","FQ4 2021","FQ4 2021","Currency=USD","Period=FQ","BEST_FPERIOD_OVERRIDE=FQ","FILING_STATUS=MR","SCALING_FORMAT=MLN","Sort=A","Dates=H","DateFormat=P","Fill=—","Direction=H","UseDPDF=Y")</f>
        <v>—</v>
      </c>
      <c r="P30" s="13" t="str">
        <f>_xll.BDH("ALNY US Equity","IS_MERGER_ACQUISITION_EXPENSE","FQ1 2022","FQ1 2022","Currency=USD","Period=FQ","BEST_FPERIOD_OVERRIDE=FQ","FILING_STATUS=MR","SCALING_FORMAT=MLN","Sort=A","Dates=H","DateFormat=P","Fill=—","Direction=H","UseDPDF=Y")</f>
        <v>—</v>
      </c>
      <c r="Q30" s="13" t="str">
        <f>_xll.BDH("ALNY US Equity","IS_MERGER_ACQUISITION_EXPENSE","FQ2 2022","FQ2 2022","Currency=USD","Period=FQ","BEST_FPERIOD_OVERRIDE=FQ","FILING_STATUS=MR","SCALING_FORMAT=MLN","Sort=A","Dates=H","DateFormat=P","Fill=—","Direction=H","UseDPDF=Y")</f>
        <v>—</v>
      </c>
      <c r="R30" s="13" t="str">
        <f>_xll.BDH("ALNY US Equity","IS_MERGER_ACQUISITION_EXPENSE","FQ3 2022","FQ3 2022","Currency=USD","Period=FQ","BEST_FPERIOD_OVERRIDE=FQ","FILING_STATUS=MR","SCALING_FORMAT=MLN","Sort=A","Dates=H","DateFormat=P","Fill=—","Direction=H","UseDPDF=Y")</f>
        <v>—</v>
      </c>
      <c r="S30" s="13" t="str">
        <f>_xll.BDH("ALNY US Equity","IS_MERGER_ACQUISITION_EXPENSE","FQ4 2022","FQ4 2022","Currency=USD","Period=FQ","BEST_FPERIOD_OVERRIDE=FQ","FILING_STATUS=MR","SCALING_FORMAT=MLN","Sort=A","Dates=H","DateFormat=P","Fill=—","Direction=H","UseDPDF=Y")</f>
        <v>—</v>
      </c>
      <c r="T30" s="13" t="str">
        <f>_xll.BDH("ALNY US Equity","IS_MERGER_ACQUISITION_EXPENSE","FQ1 2023","FQ1 2023","Currency=USD","Period=FQ","BEST_FPERIOD_OVERRIDE=FQ","FILING_STATUS=MR","SCALING_FORMAT=MLN","Sort=A","Dates=H","DateFormat=P","Fill=—","Direction=H","UseDPDF=Y")</f>
        <v>—</v>
      </c>
      <c r="U30" s="13" t="str">
        <f>_xll.BDH("ALNY US Equity","IS_MERGER_ACQUISITION_EXPENSE","FQ2 2023","FQ2 2023","Currency=USD","Period=FQ","BEST_FPERIOD_OVERRIDE=FQ","FILING_STATUS=MR","SCALING_FORMAT=MLN","Sort=A","Dates=H","DateFormat=P","Fill=—","Direction=H","UseDPDF=Y")</f>
        <v>—</v>
      </c>
      <c r="V30" s="13" t="str">
        <f>_xll.BDH("ALNY US Equity","IS_MERGER_ACQUISITION_EXPENSE","FQ3 2023","FQ3 2023","Currency=USD","Period=FQ","BEST_FPERIOD_OVERRIDE=FQ","FILING_STATUS=MR","SCALING_FORMAT=MLN","Sort=A","Dates=H","DateFormat=P","Fill=—","Direction=H","UseDPDF=Y")</f>
        <v>—</v>
      </c>
      <c r="W30" s="13" t="str">
        <f>_xll.BDH("ALNY US Equity","IS_MERGER_ACQUISITION_EXPENSE","FQ4 2023","FQ4 2023","Currency=USD","Period=FQ","BEST_FPERIOD_OVERRIDE=FQ","FILING_STATUS=MR","SCALING_FORMAT=MLN","Sort=A","Dates=H","DateFormat=P","Fill=—","Direction=H","UseDPDF=Y")</f>
        <v>—</v>
      </c>
      <c r="X30" s="13" t="str">
        <f>_xll.BDH("ALNY US Equity","IS_MERGER_ACQUISITION_EXPENSE","FQ1 2024","FQ1 2024","Currency=USD","Period=FQ","BEST_FPERIOD_OVERRIDE=FQ","FILING_STATUS=MR","SCALING_FORMAT=MLN","Sort=A","Dates=H","DateFormat=P","Fill=—","Direction=H","UseDPDF=Y")</f>
        <v>—</v>
      </c>
      <c r="Y30" s="13" t="str">
        <f>_xll.BDH("ALNY US Equity","IS_MERGER_ACQUISITION_EXPENSE","FQ2 2024","FQ2 2024","Currency=USD","Period=FQ","BEST_FPERIOD_OVERRIDE=FQ","FILING_STATUS=MR","SCALING_FORMAT=MLN","Sort=A","Dates=H","DateFormat=P","Fill=—","Direction=H","UseDPDF=Y")</f>
        <v>—</v>
      </c>
      <c r="Z30" s="13" t="str">
        <f>_xll.BDH("ALNY US Equity","IS_MERGER_ACQUISITION_EXPENSE","FQ3 2024","FQ3 2024","Currency=USD","Period=FQ","BEST_FPERIOD_OVERRIDE=FQ","FILING_STATUS=MR","SCALING_FORMAT=MLN","Sort=A","Dates=H","DateFormat=P","Fill=—","Direction=H","UseDPDF=Y")</f>
        <v>—</v>
      </c>
      <c r="AA30" s="13" t="str">
        <f>_xll.BDH("ALNY US Equity","IS_MERGER_ACQUISITION_EXPENSE","FQ4 2024","FQ4 2024","Currency=USD","Period=FQ","BEST_FPERIOD_OVERRIDE=FQ","FILING_STATUS=MR","SCALING_FORMAT=MLN","Sort=A","Dates=H","DateFormat=P","Fill=—","Direction=H","UseDPDF=Y")</f>
        <v>—</v>
      </c>
    </row>
    <row r="31" spans="1:27" x14ac:dyDescent="0.25">
      <c r="A31" s="10" t="s">
        <v>621</v>
      </c>
      <c r="B31" s="10" t="s">
        <v>335</v>
      </c>
      <c r="C31" s="13" t="str">
        <f>_xll.BDH("ALNY US Equity","IS_G_L_ON_EXT_DBT_OR_SETTLE_DBT","FQ4 2018","FQ4 2018","Currency=USD","Period=FQ","BEST_FPERIOD_OVERRIDE=FQ","FILING_STATUS=MR","SCALING_FORMAT=MLN","Sort=A","Dates=H","DateFormat=P","Fill=—","Direction=H","UseDPDF=Y")</f>
        <v>—</v>
      </c>
      <c r="D31" s="13" t="str">
        <f>_xll.BDH("ALNY US Equity","IS_G_L_ON_EXT_DBT_OR_SETTLE_DBT","FQ1 2019","FQ1 2019","Currency=USD","Period=FQ","BEST_FPERIOD_OVERRIDE=FQ","FILING_STATUS=MR","SCALING_FORMAT=MLN","Sort=A","Dates=H","DateFormat=P","Fill=—","Direction=H","UseDPDF=Y")</f>
        <v>—</v>
      </c>
      <c r="E31" s="13" t="str">
        <f>_xll.BDH("ALNY US Equity","IS_G_L_ON_EXT_DBT_OR_SETTLE_DBT","FQ2 2019","FQ2 2019","Currency=USD","Period=FQ","BEST_FPERIOD_OVERRIDE=FQ","FILING_STATUS=MR","SCALING_FORMAT=MLN","Sort=A","Dates=H","DateFormat=P","Fill=—","Direction=H","UseDPDF=Y")</f>
        <v>—</v>
      </c>
      <c r="F31" s="13" t="str">
        <f>_xll.BDH("ALNY US Equity","IS_G_L_ON_EXT_DBT_OR_SETTLE_DBT","FQ3 2019","FQ3 2019","Currency=USD","Period=FQ","BEST_FPERIOD_OVERRIDE=FQ","FILING_STATUS=MR","SCALING_FORMAT=MLN","Sort=A","Dates=H","DateFormat=P","Fill=—","Direction=H","UseDPDF=Y")</f>
        <v>—</v>
      </c>
      <c r="G31" s="13" t="str">
        <f>_xll.BDH("ALNY US Equity","IS_G_L_ON_EXT_DBT_OR_SETTLE_DBT","FQ4 2019","FQ4 2019","Currency=USD","Period=FQ","BEST_FPERIOD_OVERRIDE=FQ","FILING_STATUS=MR","SCALING_FORMAT=MLN","Sort=A","Dates=H","DateFormat=P","Fill=—","Direction=H","UseDPDF=Y")</f>
        <v>—</v>
      </c>
      <c r="H31" s="13" t="str">
        <f>_xll.BDH("ALNY US Equity","IS_G_L_ON_EXT_DBT_OR_SETTLE_DBT","FQ1 2020","FQ1 2020","Currency=USD","Period=FQ","BEST_FPERIOD_OVERRIDE=FQ","FILING_STATUS=MR","SCALING_FORMAT=MLN","Sort=A","Dates=H","DateFormat=P","Fill=—","Direction=H","UseDPDF=Y")</f>
        <v>—</v>
      </c>
      <c r="I31" s="13" t="str">
        <f>_xll.BDH("ALNY US Equity","IS_G_L_ON_EXT_DBT_OR_SETTLE_DBT","FQ2 2020","FQ2 2020","Currency=USD","Period=FQ","BEST_FPERIOD_OVERRIDE=FQ","FILING_STATUS=MR","SCALING_FORMAT=MLN","Sort=A","Dates=H","DateFormat=P","Fill=—","Direction=H","UseDPDF=Y")</f>
        <v>—</v>
      </c>
      <c r="J31" s="13" t="str">
        <f>_xll.BDH("ALNY US Equity","IS_G_L_ON_EXT_DBT_OR_SETTLE_DBT","FQ3 2020","FQ3 2020","Currency=USD","Period=FQ","BEST_FPERIOD_OVERRIDE=FQ","FILING_STATUS=MR","SCALING_FORMAT=MLN","Sort=A","Dates=H","DateFormat=P","Fill=—","Direction=H","UseDPDF=Y")</f>
        <v>—</v>
      </c>
      <c r="K31" s="13" t="str">
        <f>_xll.BDH("ALNY US Equity","IS_G_L_ON_EXT_DBT_OR_SETTLE_DBT","FQ4 2020","FQ4 2020","Currency=USD","Period=FQ","BEST_FPERIOD_OVERRIDE=FQ","FILING_STATUS=MR","SCALING_FORMAT=MLN","Sort=A","Dates=H","DateFormat=P","Fill=—","Direction=H","UseDPDF=Y")</f>
        <v>—</v>
      </c>
      <c r="L31" s="13" t="str">
        <f>_xll.BDH("ALNY US Equity","IS_G_L_ON_EXT_DBT_OR_SETTLE_DBT","FQ1 2021","FQ1 2021","Currency=USD","Period=FQ","BEST_FPERIOD_OVERRIDE=FQ","FILING_STATUS=MR","SCALING_FORMAT=MLN","Sort=A","Dates=H","DateFormat=P","Fill=—","Direction=H","UseDPDF=Y")</f>
        <v>—</v>
      </c>
      <c r="M31" s="13" t="str">
        <f>_xll.BDH("ALNY US Equity","IS_G_L_ON_EXT_DBT_OR_SETTLE_DBT","FQ2 2021","FQ2 2021","Currency=USD","Period=FQ","BEST_FPERIOD_OVERRIDE=FQ","FILING_STATUS=MR","SCALING_FORMAT=MLN","Sort=A","Dates=H","DateFormat=P","Fill=—","Direction=H","UseDPDF=Y")</f>
        <v>—</v>
      </c>
      <c r="N31" s="13" t="str">
        <f>_xll.BDH("ALNY US Equity","IS_G_L_ON_EXT_DBT_OR_SETTLE_DBT","FQ3 2021","FQ3 2021","Currency=USD","Period=FQ","BEST_FPERIOD_OVERRIDE=FQ","FILING_STATUS=MR","SCALING_FORMAT=MLN","Sort=A","Dates=H","DateFormat=P","Fill=—","Direction=H","UseDPDF=Y")</f>
        <v>—</v>
      </c>
      <c r="O31" s="13" t="str">
        <f>_xll.BDH("ALNY US Equity","IS_G_L_ON_EXT_DBT_OR_SETTLE_DBT","FQ4 2021","FQ4 2021","Currency=USD","Period=FQ","BEST_FPERIOD_OVERRIDE=FQ","FILING_STATUS=MR","SCALING_FORMAT=MLN","Sort=A","Dates=H","DateFormat=P","Fill=—","Direction=H","UseDPDF=Y")</f>
        <v>—</v>
      </c>
      <c r="P31" s="13" t="str">
        <f>_xll.BDH("ALNY US Equity","IS_G_L_ON_EXT_DBT_OR_SETTLE_DBT","FQ1 2022","FQ1 2022","Currency=USD","Period=FQ","BEST_FPERIOD_OVERRIDE=FQ","FILING_STATUS=MR","SCALING_FORMAT=MLN","Sort=A","Dates=H","DateFormat=P","Fill=—","Direction=H","UseDPDF=Y")</f>
        <v>—</v>
      </c>
      <c r="Q31" s="13" t="str">
        <f>_xll.BDH("ALNY US Equity","IS_G_L_ON_EXT_DBT_OR_SETTLE_DBT","FQ2 2022","FQ2 2022","Currency=USD","Period=FQ","BEST_FPERIOD_OVERRIDE=FQ","FILING_STATUS=MR","SCALING_FORMAT=MLN","Sort=A","Dates=H","DateFormat=P","Fill=—","Direction=H","UseDPDF=Y")</f>
        <v>—</v>
      </c>
      <c r="R31" s="13">
        <f>_xll.BDH("ALNY US Equity","IS_G_L_ON_EXT_DBT_OR_SETTLE_DBT","FQ3 2022","FQ3 2022","Currency=USD","Period=FQ","BEST_FPERIOD_OVERRIDE=FQ","FILING_STATUS=MR","SCALING_FORMAT=MLN","Sort=A","Dates=H","DateFormat=P","Fill=—","Direction=H","UseDPDF=Y")</f>
        <v>76.585999999999999</v>
      </c>
      <c r="S31" s="13" t="str">
        <f>_xll.BDH("ALNY US Equity","IS_G_L_ON_EXT_DBT_OR_SETTLE_DBT","FQ4 2022","FQ4 2022","Currency=USD","Period=FQ","BEST_FPERIOD_OVERRIDE=FQ","FILING_STATUS=MR","SCALING_FORMAT=MLN","Sort=A","Dates=H","DateFormat=P","Fill=—","Direction=H","UseDPDF=Y")</f>
        <v>—</v>
      </c>
      <c r="T31" s="13" t="str">
        <f>_xll.BDH("ALNY US Equity","IS_G_L_ON_EXT_DBT_OR_SETTLE_DBT","FQ1 2023","FQ1 2023","Currency=USD","Period=FQ","BEST_FPERIOD_OVERRIDE=FQ","FILING_STATUS=MR","SCALING_FORMAT=MLN","Sort=A","Dates=H","DateFormat=P","Fill=—","Direction=H","UseDPDF=Y")</f>
        <v>—</v>
      </c>
      <c r="U31" s="13" t="str">
        <f>_xll.BDH("ALNY US Equity","IS_G_L_ON_EXT_DBT_OR_SETTLE_DBT","FQ2 2023","FQ2 2023","Currency=USD","Period=FQ","BEST_FPERIOD_OVERRIDE=FQ","FILING_STATUS=MR","SCALING_FORMAT=MLN","Sort=A","Dates=H","DateFormat=P","Fill=—","Direction=H","UseDPDF=Y")</f>
        <v>—</v>
      </c>
      <c r="V31" s="13" t="str">
        <f>_xll.BDH("ALNY US Equity","IS_G_L_ON_EXT_DBT_OR_SETTLE_DBT","FQ3 2023","FQ3 2023","Currency=USD","Period=FQ","BEST_FPERIOD_OVERRIDE=FQ","FILING_STATUS=MR","SCALING_FORMAT=MLN","Sort=A","Dates=H","DateFormat=P","Fill=—","Direction=H","UseDPDF=Y")</f>
        <v>—</v>
      </c>
      <c r="W31" s="13" t="str">
        <f>_xll.BDH("ALNY US Equity","IS_G_L_ON_EXT_DBT_OR_SETTLE_DBT","FQ4 2023","FQ4 2023","Currency=USD","Period=FQ","BEST_FPERIOD_OVERRIDE=FQ","FILING_STATUS=MR","SCALING_FORMAT=MLN","Sort=A","Dates=H","DateFormat=P","Fill=—","Direction=H","UseDPDF=Y")</f>
        <v>—</v>
      </c>
      <c r="X31" s="13" t="str">
        <f>_xll.BDH("ALNY US Equity","IS_G_L_ON_EXT_DBT_OR_SETTLE_DBT","FQ1 2024","FQ1 2024","Currency=USD","Period=FQ","BEST_FPERIOD_OVERRIDE=FQ","FILING_STATUS=MR","SCALING_FORMAT=MLN","Sort=A","Dates=H","DateFormat=P","Fill=—","Direction=H","UseDPDF=Y")</f>
        <v>—</v>
      </c>
      <c r="Y31" s="13" t="str">
        <f>_xll.BDH("ALNY US Equity","IS_G_L_ON_EXT_DBT_OR_SETTLE_DBT","FQ2 2024","FQ2 2024","Currency=USD","Period=FQ","BEST_FPERIOD_OVERRIDE=FQ","FILING_STATUS=MR","SCALING_FORMAT=MLN","Sort=A","Dates=H","DateFormat=P","Fill=—","Direction=H","UseDPDF=Y")</f>
        <v>—</v>
      </c>
      <c r="Z31" s="13" t="str">
        <f>_xll.BDH("ALNY US Equity","IS_G_L_ON_EXT_DBT_OR_SETTLE_DBT","FQ3 2024","FQ3 2024","Currency=USD","Period=FQ","BEST_FPERIOD_OVERRIDE=FQ","FILING_STATUS=MR","SCALING_FORMAT=MLN","Sort=A","Dates=H","DateFormat=P","Fill=—","Direction=H","UseDPDF=Y")</f>
        <v>—</v>
      </c>
      <c r="AA31" s="13" t="str">
        <f>_xll.BDH("ALNY US Equity","IS_G_L_ON_EXT_DBT_OR_SETTLE_DBT","FQ4 2024","FQ4 2024","Currency=USD","Period=FQ","BEST_FPERIOD_OVERRIDE=FQ","FILING_STATUS=MR","SCALING_FORMAT=MLN","Sort=A","Dates=H","DateFormat=P","Fill=—","Direction=H","UseDPDF=Y")</f>
        <v>—</v>
      </c>
    </row>
    <row r="32" spans="1:27" x14ac:dyDescent="0.25">
      <c r="A32" s="10" t="s">
        <v>616</v>
      </c>
      <c r="B32" s="10" t="s">
        <v>337</v>
      </c>
      <c r="C32" s="13" t="str">
        <f>_xll.BDH("ALNY US Equity","IS_LEGAL_LITIGATION_SETTLEMENT","FQ4 2018","FQ4 2018","Currency=USD","Period=FQ","BEST_FPERIOD_OVERRIDE=FQ","FILING_STATUS=MR","SCALING_FORMAT=MLN","Sort=A","Dates=H","DateFormat=P","Fill=—","Direction=H","UseDPDF=Y")</f>
        <v>—</v>
      </c>
      <c r="D32" s="13" t="str">
        <f>_xll.BDH("ALNY US Equity","IS_LEGAL_LITIGATION_SETTLEMENT","FQ1 2019","FQ1 2019","Currency=USD","Period=FQ","BEST_FPERIOD_OVERRIDE=FQ","FILING_STATUS=MR","SCALING_FORMAT=MLN","Sort=A","Dates=H","DateFormat=P","Fill=—","Direction=H","UseDPDF=Y")</f>
        <v>—</v>
      </c>
      <c r="E32" s="13" t="str">
        <f>_xll.BDH("ALNY US Equity","IS_LEGAL_LITIGATION_SETTLEMENT","FQ2 2019","FQ2 2019","Currency=USD","Period=FQ","BEST_FPERIOD_OVERRIDE=FQ","FILING_STATUS=MR","SCALING_FORMAT=MLN","Sort=A","Dates=H","DateFormat=P","Fill=—","Direction=H","UseDPDF=Y")</f>
        <v>—</v>
      </c>
      <c r="F32" s="13" t="str">
        <f>_xll.BDH("ALNY US Equity","IS_LEGAL_LITIGATION_SETTLEMENT","FQ3 2019","FQ3 2019","Currency=USD","Period=FQ","BEST_FPERIOD_OVERRIDE=FQ","FILING_STATUS=MR","SCALING_FORMAT=MLN","Sort=A","Dates=H","DateFormat=P","Fill=—","Direction=H","UseDPDF=Y")</f>
        <v>—</v>
      </c>
      <c r="G32" s="13" t="str">
        <f>_xll.BDH("ALNY US Equity","IS_LEGAL_LITIGATION_SETTLEMENT","FQ4 2019","FQ4 2019","Currency=USD","Period=FQ","BEST_FPERIOD_OVERRIDE=FQ","FILING_STATUS=MR","SCALING_FORMAT=MLN","Sort=A","Dates=H","DateFormat=P","Fill=—","Direction=H","UseDPDF=Y")</f>
        <v>—</v>
      </c>
      <c r="H32" s="13" t="str">
        <f>_xll.BDH("ALNY US Equity","IS_LEGAL_LITIGATION_SETTLEMENT","FQ1 2020","FQ1 2020","Currency=USD","Period=FQ","BEST_FPERIOD_OVERRIDE=FQ","FILING_STATUS=MR","SCALING_FORMAT=MLN","Sort=A","Dates=H","DateFormat=P","Fill=—","Direction=H","UseDPDF=Y")</f>
        <v>—</v>
      </c>
      <c r="I32" s="13">
        <f>_xll.BDH("ALNY US Equity","IS_LEGAL_LITIGATION_SETTLEMENT","FQ2 2020","FQ2 2020","Currency=USD","Period=FQ","BEST_FPERIOD_OVERRIDE=FQ","FILING_STATUS=MR","SCALING_FORMAT=MLN","Sort=A","Dates=H","DateFormat=P","Fill=—","Direction=H","UseDPDF=Y")</f>
        <v>-0.81269999999999998</v>
      </c>
      <c r="J32" s="13">
        <f>_xll.BDH("ALNY US Equity","IS_LEGAL_LITIGATION_SETTLEMENT","FQ3 2020","FQ3 2020","Currency=USD","Period=FQ","BEST_FPERIOD_OVERRIDE=FQ","FILING_STATUS=MR","SCALING_FORMAT=MLN","Sort=A","Dates=H","DateFormat=P","Fill=—","Direction=H","UseDPDF=Y")</f>
        <v>0.65</v>
      </c>
      <c r="K32" s="13" t="str">
        <f>_xll.BDH("ALNY US Equity","IS_LEGAL_LITIGATION_SETTLEMENT","FQ4 2020","FQ4 2020","Currency=USD","Period=FQ","BEST_FPERIOD_OVERRIDE=FQ","FILING_STATUS=MR","SCALING_FORMAT=MLN","Sort=A","Dates=H","DateFormat=P","Fill=—","Direction=H","UseDPDF=Y")</f>
        <v>—</v>
      </c>
      <c r="L32" s="13" t="str">
        <f>_xll.BDH("ALNY US Equity","IS_LEGAL_LITIGATION_SETTLEMENT","FQ1 2021","FQ1 2021","Currency=USD","Period=FQ","BEST_FPERIOD_OVERRIDE=FQ","FILING_STATUS=MR","SCALING_FORMAT=MLN","Sort=A","Dates=H","DateFormat=P","Fill=—","Direction=H","UseDPDF=Y")</f>
        <v>—</v>
      </c>
      <c r="M32" s="13" t="str">
        <f>_xll.BDH("ALNY US Equity","IS_LEGAL_LITIGATION_SETTLEMENT","FQ2 2021","FQ2 2021","Currency=USD","Period=FQ","BEST_FPERIOD_OVERRIDE=FQ","FILING_STATUS=MR","SCALING_FORMAT=MLN","Sort=A","Dates=H","DateFormat=P","Fill=—","Direction=H","UseDPDF=Y")</f>
        <v>—</v>
      </c>
      <c r="N32" s="13" t="str">
        <f>_xll.BDH("ALNY US Equity","IS_LEGAL_LITIGATION_SETTLEMENT","FQ3 2021","FQ3 2021","Currency=USD","Period=FQ","BEST_FPERIOD_OVERRIDE=FQ","FILING_STATUS=MR","SCALING_FORMAT=MLN","Sort=A","Dates=H","DateFormat=P","Fill=—","Direction=H","UseDPDF=Y")</f>
        <v>—</v>
      </c>
      <c r="O32" s="13" t="str">
        <f>_xll.BDH("ALNY US Equity","IS_LEGAL_LITIGATION_SETTLEMENT","FQ4 2021","FQ4 2021","Currency=USD","Period=FQ","BEST_FPERIOD_OVERRIDE=FQ","FILING_STATUS=MR","SCALING_FORMAT=MLN","Sort=A","Dates=H","DateFormat=P","Fill=—","Direction=H","UseDPDF=Y")</f>
        <v>—</v>
      </c>
      <c r="P32" s="13" t="str">
        <f>_xll.BDH("ALNY US Equity","IS_LEGAL_LITIGATION_SETTLEMENT","FQ1 2022","FQ1 2022","Currency=USD","Period=FQ","BEST_FPERIOD_OVERRIDE=FQ","FILING_STATUS=MR","SCALING_FORMAT=MLN","Sort=A","Dates=H","DateFormat=P","Fill=—","Direction=H","UseDPDF=Y")</f>
        <v>—</v>
      </c>
      <c r="Q32" s="13" t="str">
        <f>_xll.BDH("ALNY US Equity","IS_LEGAL_LITIGATION_SETTLEMENT","FQ2 2022","FQ2 2022","Currency=USD","Period=FQ","BEST_FPERIOD_OVERRIDE=FQ","FILING_STATUS=MR","SCALING_FORMAT=MLN","Sort=A","Dates=H","DateFormat=P","Fill=—","Direction=H","UseDPDF=Y")</f>
        <v>—</v>
      </c>
      <c r="R32" s="13" t="str">
        <f>_xll.BDH("ALNY US Equity","IS_LEGAL_LITIGATION_SETTLEMENT","FQ3 2022","FQ3 2022","Currency=USD","Period=FQ","BEST_FPERIOD_OVERRIDE=FQ","FILING_STATUS=MR","SCALING_FORMAT=MLN","Sort=A","Dates=H","DateFormat=P","Fill=—","Direction=H","UseDPDF=Y")</f>
        <v>—</v>
      </c>
      <c r="S32" s="13" t="str">
        <f>_xll.BDH("ALNY US Equity","IS_LEGAL_LITIGATION_SETTLEMENT","FQ4 2022","FQ4 2022","Currency=USD","Period=FQ","BEST_FPERIOD_OVERRIDE=FQ","FILING_STATUS=MR","SCALING_FORMAT=MLN","Sort=A","Dates=H","DateFormat=P","Fill=—","Direction=H","UseDPDF=Y")</f>
        <v>—</v>
      </c>
      <c r="T32" s="13" t="str">
        <f>_xll.BDH("ALNY US Equity","IS_LEGAL_LITIGATION_SETTLEMENT","FQ1 2023","FQ1 2023","Currency=USD","Period=FQ","BEST_FPERIOD_OVERRIDE=FQ","FILING_STATUS=MR","SCALING_FORMAT=MLN","Sort=A","Dates=H","DateFormat=P","Fill=—","Direction=H","UseDPDF=Y")</f>
        <v>—</v>
      </c>
      <c r="U32" s="13" t="str">
        <f>_xll.BDH("ALNY US Equity","IS_LEGAL_LITIGATION_SETTLEMENT","FQ2 2023","FQ2 2023","Currency=USD","Period=FQ","BEST_FPERIOD_OVERRIDE=FQ","FILING_STATUS=MR","SCALING_FORMAT=MLN","Sort=A","Dates=H","DateFormat=P","Fill=—","Direction=H","UseDPDF=Y")</f>
        <v>—</v>
      </c>
      <c r="V32" s="13" t="str">
        <f>_xll.BDH("ALNY US Equity","IS_LEGAL_LITIGATION_SETTLEMENT","FQ3 2023","FQ3 2023","Currency=USD","Period=FQ","BEST_FPERIOD_OVERRIDE=FQ","FILING_STATUS=MR","SCALING_FORMAT=MLN","Sort=A","Dates=H","DateFormat=P","Fill=—","Direction=H","UseDPDF=Y")</f>
        <v>—</v>
      </c>
      <c r="W32" s="13" t="str">
        <f>_xll.BDH("ALNY US Equity","IS_LEGAL_LITIGATION_SETTLEMENT","FQ4 2023","FQ4 2023","Currency=USD","Period=FQ","BEST_FPERIOD_OVERRIDE=FQ","FILING_STATUS=MR","SCALING_FORMAT=MLN","Sort=A","Dates=H","DateFormat=P","Fill=—","Direction=H","UseDPDF=Y")</f>
        <v>—</v>
      </c>
      <c r="X32" s="13" t="str">
        <f>_xll.BDH("ALNY US Equity","IS_LEGAL_LITIGATION_SETTLEMENT","FQ1 2024","FQ1 2024","Currency=USD","Period=FQ","BEST_FPERIOD_OVERRIDE=FQ","FILING_STATUS=MR","SCALING_FORMAT=MLN","Sort=A","Dates=H","DateFormat=P","Fill=—","Direction=H","UseDPDF=Y")</f>
        <v>—</v>
      </c>
      <c r="Y32" s="13" t="str">
        <f>_xll.BDH("ALNY US Equity","IS_LEGAL_LITIGATION_SETTLEMENT","FQ2 2024","FQ2 2024","Currency=USD","Period=FQ","BEST_FPERIOD_OVERRIDE=FQ","FILING_STATUS=MR","SCALING_FORMAT=MLN","Sort=A","Dates=H","DateFormat=P","Fill=—","Direction=H","UseDPDF=Y")</f>
        <v>—</v>
      </c>
      <c r="Z32" s="13" t="str">
        <f>_xll.BDH("ALNY US Equity","IS_LEGAL_LITIGATION_SETTLEMENT","FQ3 2024","FQ3 2024","Currency=USD","Period=FQ","BEST_FPERIOD_OVERRIDE=FQ","FILING_STATUS=MR","SCALING_FORMAT=MLN","Sort=A","Dates=H","DateFormat=P","Fill=—","Direction=H","UseDPDF=Y")</f>
        <v>—</v>
      </c>
      <c r="AA32" s="13" t="str">
        <f>_xll.BDH("ALNY US Equity","IS_LEGAL_LITIGATION_SETTLEMENT","FQ4 2024","FQ4 2024","Currency=USD","Period=FQ","BEST_FPERIOD_OVERRIDE=FQ","FILING_STATUS=MR","SCALING_FORMAT=MLN","Sort=A","Dates=H","DateFormat=P","Fill=—","Direction=H","UseDPDF=Y")</f>
        <v>—</v>
      </c>
    </row>
    <row r="33" spans="1:27" x14ac:dyDescent="0.25">
      <c r="A33" s="10" t="s">
        <v>622</v>
      </c>
      <c r="B33" s="10" t="s">
        <v>339</v>
      </c>
      <c r="C33" s="13" t="str">
        <f>_xll.BDH("ALNY US Equity","IS_GAIN_LOSS_ON_INVESTMENTS","FQ4 2018","FQ4 2018","Currency=USD","Period=FQ","BEST_FPERIOD_OVERRIDE=FQ","FILING_STATUS=MR","SCALING_FORMAT=MLN","Sort=A","Dates=H","DateFormat=P","Fill=—","Direction=H","UseDPDF=Y")</f>
        <v>—</v>
      </c>
      <c r="D33" s="13" t="str">
        <f>_xll.BDH("ALNY US Equity","IS_GAIN_LOSS_ON_INVESTMENTS","FQ1 2019","FQ1 2019","Currency=USD","Period=FQ","BEST_FPERIOD_OVERRIDE=FQ","FILING_STATUS=MR","SCALING_FORMAT=MLN","Sort=A","Dates=H","DateFormat=P","Fill=—","Direction=H","UseDPDF=Y")</f>
        <v>—</v>
      </c>
      <c r="E33" s="13" t="str">
        <f>_xll.BDH("ALNY US Equity","IS_GAIN_LOSS_ON_INVESTMENTS","FQ2 2019","FQ2 2019","Currency=USD","Period=FQ","BEST_FPERIOD_OVERRIDE=FQ","FILING_STATUS=MR","SCALING_FORMAT=MLN","Sort=A","Dates=H","DateFormat=P","Fill=—","Direction=H","UseDPDF=Y")</f>
        <v>—</v>
      </c>
      <c r="F33" s="13" t="str">
        <f>_xll.BDH("ALNY US Equity","IS_GAIN_LOSS_ON_INVESTMENTS","FQ3 2019","FQ3 2019","Currency=USD","Period=FQ","BEST_FPERIOD_OVERRIDE=FQ","FILING_STATUS=MR","SCALING_FORMAT=MLN","Sort=A","Dates=H","DateFormat=P","Fill=—","Direction=H","UseDPDF=Y")</f>
        <v>—</v>
      </c>
      <c r="G33" s="13">
        <f>_xll.BDH("ALNY US Equity","IS_GAIN_LOSS_ON_INVESTMENTS","FQ4 2019","FQ4 2019","Currency=USD","Period=FQ","BEST_FPERIOD_OVERRIDE=FQ","FILING_STATUS=MR","SCALING_FORMAT=MLN","Sort=A","Dates=H","DateFormat=P","Fill=—","Direction=H","UseDPDF=Y")</f>
        <v>-14.262</v>
      </c>
      <c r="H33" s="13" t="str">
        <f>_xll.BDH("ALNY US Equity","IS_GAIN_LOSS_ON_INVESTMENTS","FQ1 2020","FQ1 2020","Currency=USD","Period=FQ","BEST_FPERIOD_OVERRIDE=FQ","FILING_STATUS=MR","SCALING_FORMAT=MLN","Sort=A","Dates=H","DateFormat=P","Fill=—","Direction=H","UseDPDF=Y")</f>
        <v>—</v>
      </c>
      <c r="I33" s="13" t="str">
        <f>_xll.BDH("ALNY US Equity","IS_GAIN_LOSS_ON_INVESTMENTS","FQ2 2020","FQ2 2020","Currency=USD","Period=FQ","BEST_FPERIOD_OVERRIDE=FQ","FILING_STATUS=MR","SCALING_FORMAT=MLN","Sort=A","Dates=H","DateFormat=P","Fill=—","Direction=H","UseDPDF=Y")</f>
        <v>—</v>
      </c>
      <c r="J33" s="13" t="str">
        <f>_xll.BDH("ALNY US Equity","IS_GAIN_LOSS_ON_INVESTMENTS","FQ3 2020","FQ3 2020","Currency=USD","Period=FQ","BEST_FPERIOD_OVERRIDE=FQ","FILING_STATUS=MR","SCALING_FORMAT=MLN","Sort=A","Dates=H","DateFormat=P","Fill=—","Direction=H","UseDPDF=Y")</f>
        <v>—</v>
      </c>
      <c r="K33" s="13" t="str">
        <f>_xll.BDH("ALNY US Equity","IS_GAIN_LOSS_ON_INVESTMENTS","FQ4 2020","FQ4 2020","Currency=USD","Period=FQ","BEST_FPERIOD_OVERRIDE=FQ","FILING_STATUS=MR","SCALING_FORMAT=MLN","Sort=A","Dates=H","DateFormat=P","Fill=—","Direction=H","UseDPDF=Y")</f>
        <v>—</v>
      </c>
      <c r="L33" s="13" t="str">
        <f>_xll.BDH("ALNY US Equity","IS_GAIN_LOSS_ON_INVESTMENTS","FQ1 2021","FQ1 2021","Currency=USD","Period=FQ","BEST_FPERIOD_OVERRIDE=FQ","FILING_STATUS=MR","SCALING_FORMAT=MLN","Sort=A","Dates=H","DateFormat=P","Fill=—","Direction=H","UseDPDF=Y")</f>
        <v>—</v>
      </c>
      <c r="M33" s="13" t="str">
        <f>_xll.BDH("ALNY US Equity","IS_GAIN_LOSS_ON_INVESTMENTS","FQ2 2021","FQ2 2021","Currency=USD","Period=FQ","BEST_FPERIOD_OVERRIDE=FQ","FILING_STATUS=MR","SCALING_FORMAT=MLN","Sort=A","Dates=H","DateFormat=P","Fill=—","Direction=H","UseDPDF=Y")</f>
        <v>—</v>
      </c>
      <c r="N33" s="13" t="str">
        <f>_xll.BDH("ALNY US Equity","IS_GAIN_LOSS_ON_INVESTMENTS","FQ3 2021","FQ3 2021","Currency=USD","Period=FQ","BEST_FPERIOD_OVERRIDE=FQ","FILING_STATUS=MR","SCALING_FORMAT=MLN","Sort=A","Dates=H","DateFormat=P","Fill=—","Direction=H","UseDPDF=Y")</f>
        <v>—</v>
      </c>
      <c r="O33" s="13" t="str">
        <f>_xll.BDH("ALNY US Equity","IS_GAIN_LOSS_ON_INVESTMENTS","FQ4 2021","FQ4 2021","Currency=USD","Period=FQ","BEST_FPERIOD_OVERRIDE=FQ","FILING_STATUS=MR","SCALING_FORMAT=MLN","Sort=A","Dates=H","DateFormat=P","Fill=—","Direction=H","UseDPDF=Y")</f>
        <v>—</v>
      </c>
      <c r="P33" s="13" t="str">
        <f>_xll.BDH("ALNY US Equity","IS_GAIN_LOSS_ON_INVESTMENTS","FQ1 2022","FQ1 2022","Currency=USD","Period=FQ","BEST_FPERIOD_OVERRIDE=FQ","FILING_STATUS=MR","SCALING_FORMAT=MLN","Sort=A","Dates=H","DateFormat=P","Fill=—","Direction=H","UseDPDF=Y")</f>
        <v>—</v>
      </c>
      <c r="Q33" s="13" t="str">
        <f>_xll.BDH("ALNY US Equity","IS_GAIN_LOSS_ON_INVESTMENTS","FQ2 2022","FQ2 2022","Currency=USD","Period=FQ","BEST_FPERIOD_OVERRIDE=FQ","FILING_STATUS=MR","SCALING_FORMAT=MLN","Sort=A","Dates=H","DateFormat=P","Fill=—","Direction=H","UseDPDF=Y")</f>
        <v>—</v>
      </c>
      <c r="R33" s="13" t="str">
        <f>_xll.BDH("ALNY US Equity","IS_GAIN_LOSS_ON_INVESTMENTS","FQ3 2022","FQ3 2022","Currency=USD","Period=FQ","BEST_FPERIOD_OVERRIDE=FQ","FILING_STATUS=MR","SCALING_FORMAT=MLN","Sort=A","Dates=H","DateFormat=P","Fill=—","Direction=H","UseDPDF=Y")</f>
        <v>—</v>
      </c>
      <c r="S33" s="13" t="str">
        <f>_xll.BDH("ALNY US Equity","IS_GAIN_LOSS_ON_INVESTMENTS","FQ4 2022","FQ4 2022","Currency=USD","Period=FQ","BEST_FPERIOD_OVERRIDE=FQ","FILING_STATUS=MR","SCALING_FORMAT=MLN","Sort=A","Dates=H","DateFormat=P","Fill=—","Direction=H","UseDPDF=Y")</f>
        <v>—</v>
      </c>
      <c r="T33" s="13" t="str">
        <f>_xll.BDH("ALNY US Equity","IS_GAIN_LOSS_ON_INVESTMENTS","FQ1 2023","FQ1 2023","Currency=USD","Period=FQ","BEST_FPERIOD_OVERRIDE=FQ","FILING_STATUS=MR","SCALING_FORMAT=MLN","Sort=A","Dates=H","DateFormat=P","Fill=—","Direction=H","UseDPDF=Y")</f>
        <v>—</v>
      </c>
      <c r="U33" s="13" t="str">
        <f>_xll.BDH("ALNY US Equity","IS_GAIN_LOSS_ON_INVESTMENTS","FQ2 2023","FQ2 2023","Currency=USD","Period=FQ","BEST_FPERIOD_OVERRIDE=FQ","FILING_STATUS=MR","SCALING_FORMAT=MLN","Sort=A","Dates=H","DateFormat=P","Fill=—","Direction=H","UseDPDF=Y")</f>
        <v>—</v>
      </c>
      <c r="V33" s="13" t="str">
        <f>_xll.BDH("ALNY US Equity","IS_GAIN_LOSS_ON_INVESTMENTS","FQ3 2023","FQ3 2023","Currency=USD","Period=FQ","BEST_FPERIOD_OVERRIDE=FQ","FILING_STATUS=MR","SCALING_FORMAT=MLN","Sort=A","Dates=H","DateFormat=P","Fill=—","Direction=H","UseDPDF=Y")</f>
        <v>—</v>
      </c>
      <c r="W33" s="13" t="str">
        <f>_xll.BDH("ALNY US Equity","IS_GAIN_LOSS_ON_INVESTMENTS","FQ4 2023","FQ4 2023","Currency=USD","Period=FQ","BEST_FPERIOD_OVERRIDE=FQ","FILING_STATUS=MR","SCALING_FORMAT=MLN","Sort=A","Dates=H","DateFormat=P","Fill=—","Direction=H","UseDPDF=Y")</f>
        <v>—</v>
      </c>
      <c r="X33" s="13" t="str">
        <f>_xll.BDH("ALNY US Equity","IS_GAIN_LOSS_ON_INVESTMENTS","FQ1 2024","FQ1 2024","Currency=USD","Period=FQ","BEST_FPERIOD_OVERRIDE=FQ","FILING_STATUS=MR","SCALING_FORMAT=MLN","Sort=A","Dates=H","DateFormat=P","Fill=—","Direction=H","UseDPDF=Y")</f>
        <v>—</v>
      </c>
      <c r="Y33" s="13" t="str">
        <f>_xll.BDH("ALNY US Equity","IS_GAIN_LOSS_ON_INVESTMENTS","FQ2 2024","FQ2 2024","Currency=USD","Period=FQ","BEST_FPERIOD_OVERRIDE=FQ","FILING_STATUS=MR","SCALING_FORMAT=MLN","Sort=A","Dates=H","DateFormat=P","Fill=—","Direction=H","UseDPDF=Y")</f>
        <v>—</v>
      </c>
      <c r="Z33" s="13" t="str">
        <f>_xll.BDH("ALNY US Equity","IS_GAIN_LOSS_ON_INVESTMENTS","FQ3 2024","FQ3 2024","Currency=USD","Period=FQ","BEST_FPERIOD_OVERRIDE=FQ","FILING_STATUS=MR","SCALING_FORMAT=MLN","Sort=A","Dates=H","DateFormat=P","Fill=—","Direction=H","UseDPDF=Y")</f>
        <v>—</v>
      </c>
      <c r="AA33" s="13" t="str">
        <f>_xll.BDH("ALNY US Equity","IS_GAIN_LOSS_ON_INVESTMENTS","FQ4 2024","FQ4 2024","Currency=USD","Period=FQ","BEST_FPERIOD_OVERRIDE=FQ","FILING_STATUS=MR","SCALING_FORMAT=MLN","Sort=A","Dates=H","DateFormat=P","Fill=—","Direction=H","UseDPDF=Y")</f>
        <v>—</v>
      </c>
    </row>
    <row r="34" spans="1:27" x14ac:dyDescent="0.25">
      <c r="A34" s="10" t="s">
        <v>623</v>
      </c>
      <c r="B34" s="10" t="s">
        <v>341</v>
      </c>
      <c r="C34" s="13" t="str">
        <f>_xll.BDH("ALNY US Equity","IS_UNREALIZED_INVESTMENTS","FQ4 2018","FQ4 2018","Currency=USD","Period=FQ","BEST_FPERIOD_OVERRIDE=FQ","FILING_STATUS=MR","SCALING_FORMAT=MLN","Sort=A","Dates=H","DateFormat=P","Fill=—","Direction=H","UseDPDF=Y")</f>
        <v>—</v>
      </c>
      <c r="D34" s="13" t="str">
        <f>_xll.BDH("ALNY US Equity","IS_UNREALIZED_INVESTMENTS","FQ1 2019","FQ1 2019","Currency=USD","Period=FQ","BEST_FPERIOD_OVERRIDE=FQ","FILING_STATUS=MR","SCALING_FORMAT=MLN","Sort=A","Dates=H","DateFormat=P","Fill=—","Direction=H","UseDPDF=Y")</f>
        <v>—</v>
      </c>
      <c r="E34" s="13" t="str">
        <f>_xll.BDH("ALNY US Equity","IS_UNREALIZED_INVESTMENTS","FQ2 2019","FQ2 2019","Currency=USD","Period=FQ","BEST_FPERIOD_OVERRIDE=FQ","FILING_STATUS=MR","SCALING_FORMAT=MLN","Sort=A","Dates=H","DateFormat=P","Fill=—","Direction=H","UseDPDF=Y")</f>
        <v>—</v>
      </c>
      <c r="F34" s="13" t="str">
        <f>_xll.BDH("ALNY US Equity","IS_UNREALIZED_INVESTMENTS","FQ3 2019","FQ3 2019","Currency=USD","Period=FQ","BEST_FPERIOD_OVERRIDE=FQ","FILING_STATUS=MR","SCALING_FORMAT=MLN","Sort=A","Dates=H","DateFormat=P","Fill=—","Direction=H","UseDPDF=Y")</f>
        <v>—</v>
      </c>
      <c r="G34" s="13" t="str">
        <f>_xll.BDH("ALNY US Equity","IS_UNREALIZED_INVESTMENTS","FQ4 2019","FQ4 2019","Currency=USD","Period=FQ","BEST_FPERIOD_OVERRIDE=FQ","FILING_STATUS=MR","SCALING_FORMAT=MLN","Sort=A","Dates=H","DateFormat=P","Fill=—","Direction=H","UseDPDF=Y")</f>
        <v>—</v>
      </c>
      <c r="H34" s="13">
        <f>_xll.BDH("ALNY US Equity","IS_UNREALIZED_INVESTMENTS","FQ1 2020","FQ1 2020","Currency=USD","Period=FQ","BEST_FPERIOD_OVERRIDE=FQ","FILING_STATUS=MR","SCALING_FORMAT=MLN","Sort=A","Dates=H","DateFormat=P","Fill=—","Direction=H","UseDPDF=Y")</f>
        <v>-24.111000000000001</v>
      </c>
      <c r="I34" s="13">
        <f>_xll.BDH("ALNY US Equity","IS_UNREALIZED_INVESTMENTS","FQ2 2020","FQ2 2020","Currency=USD","Period=FQ","BEST_FPERIOD_OVERRIDE=FQ","FILING_STATUS=MR","SCALING_FORMAT=MLN","Sort=A","Dates=H","DateFormat=P","Fill=—","Direction=H","UseDPDF=Y")</f>
        <v>-57.635399999999997</v>
      </c>
      <c r="J34" s="13">
        <f>_xll.BDH("ALNY US Equity","IS_UNREALIZED_INVESTMENTS","FQ3 2020","FQ3 2020","Currency=USD","Period=FQ","BEST_FPERIOD_OVERRIDE=FQ","FILING_STATUS=MR","SCALING_FORMAT=MLN","Sort=A","Dates=H","DateFormat=P","Fill=—","Direction=H","UseDPDF=Y")</f>
        <v>3.0169999999999999</v>
      </c>
      <c r="K34" s="13">
        <f>_xll.BDH("ALNY US Equity","IS_UNREALIZED_INVESTMENTS","FQ4 2020","FQ4 2020","Currency=USD","Period=FQ","BEST_FPERIOD_OVERRIDE=FQ","FILING_STATUS=MR","SCALING_FORMAT=MLN","Sort=A","Dates=H","DateFormat=P","Fill=—","Direction=H","UseDPDF=Y")</f>
        <v>15.9291</v>
      </c>
      <c r="L34" s="13">
        <f>_xll.BDH("ALNY US Equity","IS_UNREALIZED_INVESTMENTS","FQ1 2021","FQ1 2021","Currency=USD","Period=FQ","BEST_FPERIOD_OVERRIDE=FQ","FILING_STATUS=MR","SCALING_FORMAT=MLN","Sort=A","Dates=H","DateFormat=P","Fill=—","Direction=H","UseDPDF=Y")</f>
        <v>-47.015999999999998</v>
      </c>
      <c r="M34" s="13">
        <f>_xll.BDH("ALNY US Equity","IS_UNREALIZED_INVESTMENTS","FQ2 2021","FQ2 2021","Currency=USD","Period=FQ","BEST_FPERIOD_OVERRIDE=FQ","FILING_STATUS=MR","SCALING_FORMAT=MLN","Sort=A","Dates=H","DateFormat=P","Fill=—","Direction=H","UseDPDF=Y")</f>
        <v>5.6127000000000002</v>
      </c>
      <c r="N34" s="13">
        <f>_xll.BDH("ALNY US Equity","IS_UNREALIZED_INVESTMENTS","FQ3 2021","FQ3 2021","Currency=USD","Period=FQ","BEST_FPERIOD_OVERRIDE=FQ","FILING_STATUS=MR","SCALING_FORMAT=MLN","Sort=A","Dates=H","DateFormat=P","Fill=—","Direction=H","UseDPDF=Y")</f>
        <v>-18.690999999999999</v>
      </c>
      <c r="O34" s="13">
        <f>_xll.BDH("ALNY US Equity","IS_UNREALIZED_INVESTMENTS","FQ4 2021","FQ4 2021","Currency=USD","Period=FQ","BEST_FPERIOD_OVERRIDE=FQ","FILING_STATUS=MR","SCALING_FORMAT=MLN","Sort=A","Dates=H","DateFormat=P","Fill=—","Direction=H","UseDPDF=Y")</f>
        <v>5.5780000000000003</v>
      </c>
      <c r="P34" s="13">
        <f>_xll.BDH("ALNY US Equity","IS_UNREALIZED_INVESTMENTS","FQ1 2022","FQ1 2022","Currency=USD","Period=FQ","BEST_FPERIOD_OVERRIDE=FQ","FILING_STATUS=MR","SCALING_FORMAT=MLN","Sort=A","Dates=H","DateFormat=P","Fill=—","Direction=H","UseDPDF=Y")</f>
        <v>31.161000000000001</v>
      </c>
      <c r="Q34" s="13">
        <f>_xll.BDH("ALNY US Equity","IS_UNREALIZED_INVESTMENTS","FQ2 2022","FQ2 2022","Currency=USD","Period=FQ","BEST_FPERIOD_OVERRIDE=FQ","FILING_STATUS=MR","SCALING_FORMAT=MLN","Sort=A","Dates=H","DateFormat=P","Fill=—","Direction=H","UseDPDF=Y")</f>
        <v>1.097</v>
      </c>
      <c r="R34" s="13">
        <f>_xll.BDH("ALNY US Equity","IS_UNREALIZED_INVESTMENTS","FQ3 2022","FQ3 2022","Currency=USD","Period=FQ","BEST_FPERIOD_OVERRIDE=FQ","FILING_STATUS=MR","SCALING_FORMAT=MLN","Sort=A","Dates=H","DateFormat=P","Fill=—","Direction=H","UseDPDF=Y")</f>
        <v>7.85</v>
      </c>
      <c r="S34" s="13">
        <f>_xll.BDH("ALNY US Equity","IS_UNREALIZED_INVESTMENTS","FQ4 2022","FQ4 2022","Currency=USD","Period=FQ","BEST_FPERIOD_OVERRIDE=FQ","FILING_STATUS=MR","SCALING_FORMAT=MLN","Sort=A","Dates=H","DateFormat=P","Fill=—","Direction=H","UseDPDF=Y")</f>
        <v>-6.7960000000000003</v>
      </c>
      <c r="T34" s="13">
        <f>_xll.BDH("ALNY US Equity","IS_UNREALIZED_INVESTMENTS","FQ1 2023","FQ1 2023","Currency=USD","Period=FQ","BEST_FPERIOD_OVERRIDE=FQ","FILING_STATUS=MR","SCALING_FORMAT=MLN","Sort=A","Dates=H","DateFormat=P","Fill=—","Direction=H","UseDPDF=Y")</f>
        <v>2.2669999999999999</v>
      </c>
      <c r="U34" s="13">
        <f>_xll.BDH("ALNY US Equity","IS_UNREALIZED_INVESTMENTS","FQ2 2023","FQ2 2023","Currency=USD","Period=FQ","BEST_FPERIOD_OVERRIDE=FQ","FILING_STATUS=MR","SCALING_FORMAT=MLN","Sort=A","Dates=H","DateFormat=P","Fill=—","Direction=H","UseDPDF=Y")</f>
        <v>-1.4</v>
      </c>
      <c r="V34" s="13">
        <f>_xll.BDH("ALNY US Equity","IS_UNREALIZED_INVESTMENTS","FQ3 2023","FQ3 2023","Currency=USD","Period=FQ","BEST_FPERIOD_OVERRIDE=FQ","FILING_STATUS=MR","SCALING_FORMAT=MLN","Sort=A","Dates=H","DateFormat=P","Fill=—","Direction=H","UseDPDF=Y")</f>
        <v>16.844000000000001</v>
      </c>
      <c r="W34" s="13">
        <f>_xll.BDH("ALNY US Equity","IS_UNREALIZED_INVESTMENTS","FQ4 2023","FQ4 2023","Currency=USD","Period=FQ","BEST_FPERIOD_OVERRIDE=FQ","FILING_STATUS=MR","SCALING_FORMAT=MLN","Sort=A","Dates=H","DateFormat=P","Fill=—","Direction=H","UseDPDF=Y")</f>
        <v>-0.76700000000000002</v>
      </c>
      <c r="X34" s="13">
        <f>_xll.BDH("ALNY US Equity","IS_UNREALIZED_INVESTMENTS","FQ1 2024","FQ1 2024","Currency=USD","Period=FQ","BEST_FPERIOD_OVERRIDE=FQ","FILING_STATUS=MR","SCALING_FORMAT=MLN","Sort=A","Dates=H","DateFormat=P","Fill=—","Direction=H","UseDPDF=Y")</f>
        <v>-7.8E-2</v>
      </c>
      <c r="Y34" s="13">
        <f>_xll.BDH("ALNY US Equity","IS_UNREALIZED_INVESTMENTS","FQ2 2024","FQ2 2024","Currency=USD","Period=FQ","BEST_FPERIOD_OVERRIDE=FQ","FILING_STATUS=MR","SCALING_FORMAT=MLN","Sort=A","Dates=H","DateFormat=P","Fill=—","Direction=H","UseDPDF=Y")</f>
        <v>1.367</v>
      </c>
      <c r="Z34" s="13">
        <f>_xll.BDH("ALNY US Equity","IS_UNREALIZED_INVESTMENTS","FQ3 2024","FQ3 2024","Currency=USD","Period=FQ","BEST_FPERIOD_OVERRIDE=FQ","FILING_STATUS=MR","SCALING_FORMAT=MLN","Sort=A","Dates=H","DateFormat=P","Fill=—","Direction=H","UseDPDF=Y")</f>
        <v>1.5669999999999999</v>
      </c>
      <c r="AA34" s="13">
        <f>_xll.BDH("ALNY US Equity","IS_UNREALIZED_INVESTMENTS","FQ4 2024","FQ4 2024","Currency=USD","Period=FQ","BEST_FPERIOD_OVERRIDE=FQ","FILING_STATUS=MR","SCALING_FORMAT=MLN","Sort=A","Dates=H","DateFormat=P","Fill=—","Direction=H","UseDPDF=Y")</f>
        <v>0.16600000000000001</v>
      </c>
    </row>
    <row r="35" spans="1:27" x14ac:dyDescent="0.25">
      <c r="A35" s="10" t="s">
        <v>618</v>
      </c>
      <c r="B35" s="10" t="s">
        <v>343</v>
      </c>
      <c r="C35" s="13" t="str">
        <f>_xll.BDH("ALNY US Equity","IS_OTHER_ONE_TIME_ITEMS","FQ4 2018","FQ4 2018","Currency=USD","Period=FQ","BEST_FPERIOD_OVERRIDE=FQ","FILING_STATUS=MR","SCALING_FORMAT=MLN","Sort=A","Dates=H","DateFormat=P","Fill=—","Direction=H","UseDPDF=Y")</f>
        <v>—</v>
      </c>
      <c r="D35" s="13" t="str">
        <f>_xll.BDH("ALNY US Equity","IS_OTHER_ONE_TIME_ITEMS","FQ1 2019","FQ1 2019","Currency=USD","Period=FQ","BEST_FPERIOD_OVERRIDE=FQ","FILING_STATUS=MR","SCALING_FORMAT=MLN","Sort=A","Dates=H","DateFormat=P","Fill=—","Direction=H","UseDPDF=Y")</f>
        <v>—</v>
      </c>
      <c r="E35" s="13">
        <f>_xll.BDH("ALNY US Equity","IS_OTHER_ONE_TIME_ITEMS","FQ2 2019","FQ2 2019","Currency=USD","Period=FQ","BEST_FPERIOD_OVERRIDE=FQ","FILING_STATUS=MR","SCALING_FORMAT=MLN","Sort=A","Dates=H","DateFormat=P","Fill=—","Direction=H","UseDPDF=Y")</f>
        <v>-9.4220000000000006</v>
      </c>
      <c r="F35" s="13" t="str">
        <f>_xll.BDH("ALNY US Equity","IS_OTHER_ONE_TIME_ITEMS","FQ3 2019","FQ3 2019","Currency=USD","Period=FQ","BEST_FPERIOD_OVERRIDE=FQ","FILING_STATUS=MR","SCALING_FORMAT=MLN","Sort=A","Dates=H","DateFormat=P","Fill=—","Direction=H","UseDPDF=Y")</f>
        <v>—</v>
      </c>
      <c r="G35" s="13" t="str">
        <f>_xll.BDH("ALNY US Equity","IS_OTHER_ONE_TIME_ITEMS","FQ4 2019","FQ4 2019","Currency=USD","Period=FQ","BEST_FPERIOD_OVERRIDE=FQ","FILING_STATUS=MR","SCALING_FORMAT=MLN","Sort=A","Dates=H","DateFormat=P","Fill=—","Direction=H","UseDPDF=Y")</f>
        <v>—</v>
      </c>
      <c r="H35" s="13" t="str">
        <f>_xll.BDH("ALNY US Equity","IS_OTHER_ONE_TIME_ITEMS","FQ1 2020","FQ1 2020","Currency=USD","Period=FQ","BEST_FPERIOD_OVERRIDE=FQ","FILING_STATUS=MR","SCALING_FORMAT=MLN","Sort=A","Dates=H","DateFormat=P","Fill=—","Direction=H","UseDPDF=Y")</f>
        <v>—</v>
      </c>
      <c r="I35" s="13">
        <f>_xll.BDH("ALNY US Equity","IS_OTHER_ONE_TIME_ITEMS","FQ2 2020","FQ2 2020","Currency=USD","Period=FQ","BEST_FPERIOD_OVERRIDE=FQ","FILING_STATUS=MR","SCALING_FORMAT=MLN","Sort=A","Dates=H","DateFormat=P","Fill=—","Direction=H","UseDPDF=Y")</f>
        <v>0.32</v>
      </c>
      <c r="J35" s="13">
        <f>_xll.BDH("ALNY US Equity","IS_OTHER_ONE_TIME_ITEMS","FQ3 2020","FQ3 2020","Currency=USD","Period=FQ","BEST_FPERIOD_OVERRIDE=FQ","FILING_STATUS=MR","SCALING_FORMAT=MLN","Sort=A","Dates=H","DateFormat=P","Fill=—","Direction=H","UseDPDF=Y")</f>
        <v>0.76300000000000001</v>
      </c>
      <c r="K35" s="13" t="str">
        <f>_xll.BDH("ALNY US Equity","IS_OTHER_ONE_TIME_ITEMS","FQ4 2020","FQ4 2020","Currency=USD","Period=FQ","BEST_FPERIOD_OVERRIDE=FQ","FILING_STATUS=MR","SCALING_FORMAT=MLN","Sort=A","Dates=H","DateFormat=P","Fill=—","Direction=H","UseDPDF=Y")</f>
        <v>—</v>
      </c>
      <c r="L35" s="13" t="str">
        <f>_xll.BDH("ALNY US Equity","IS_OTHER_ONE_TIME_ITEMS","FQ1 2021","FQ1 2021","Currency=USD","Period=FQ","BEST_FPERIOD_OVERRIDE=FQ","FILING_STATUS=MR","SCALING_FORMAT=MLN","Sort=A","Dates=H","DateFormat=P","Fill=—","Direction=H","UseDPDF=Y")</f>
        <v>—</v>
      </c>
      <c r="M35" s="13" t="str">
        <f>_xll.BDH("ALNY US Equity","IS_OTHER_ONE_TIME_ITEMS","FQ2 2021","FQ2 2021","Currency=USD","Period=FQ","BEST_FPERIOD_OVERRIDE=FQ","FILING_STATUS=MR","SCALING_FORMAT=MLN","Sort=A","Dates=H","DateFormat=P","Fill=—","Direction=H","UseDPDF=Y")</f>
        <v>—</v>
      </c>
      <c r="N35" s="13">
        <f>_xll.BDH("ALNY US Equity","IS_OTHER_ONE_TIME_ITEMS","FQ3 2021","FQ3 2021","Currency=USD","Period=FQ","BEST_FPERIOD_OVERRIDE=FQ","FILING_STATUS=MR","SCALING_FORMAT=MLN","Sort=A","Dates=H","DateFormat=P","Fill=—","Direction=H","UseDPDF=Y")</f>
        <v>10</v>
      </c>
      <c r="O35" s="13" t="str">
        <f>_xll.BDH("ALNY US Equity","IS_OTHER_ONE_TIME_ITEMS","FQ4 2021","FQ4 2021","Currency=USD","Period=FQ","BEST_FPERIOD_OVERRIDE=FQ","FILING_STATUS=MR","SCALING_FORMAT=MLN","Sort=A","Dates=H","DateFormat=P","Fill=—","Direction=H","UseDPDF=Y")</f>
        <v>—</v>
      </c>
      <c r="P35" s="13" t="str">
        <f>_xll.BDH("ALNY US Equity","IS_OTHER_ONE_TIME_ITEMS","FQ1 2022","FQ1 2022","Currency=USD","Period=FQ","BEST_FPERIOD_OVERRIDE=FQ","FILING_STATUS=MR","SCALING_FORMAT=MLN","Sort=A","Dates=H","DateFormat=P","Fill=—","Direction=H","UseDPDF=Y")</f>
        <v>—</v>
      </c>
      <c r="Q35" s="13" t="str">
        <f>_xll.BDH("ALNY US Equity","IS_OTHER_ONE_TIME_ITEMS","FQ2 2022","FQ2 2022","Currency=USD","Period=FQ","BEST_FPERIOD_OVERRIDE=FQ","FILING_STATUS=MR","SCALING_FORMAT=MLN","Sort=A","Dates=H","DateFormat=P","Fill=—","Direction=H","UseDPDF=Y")</f>
        <v>—</v>
      </c>
      <c r="R35" s="13" t="str">
        <f>_xll.BDH("ALNY US Equity","IS_OTHER_ONE_TIME_ITEMS","FQ3 2022","FQ3 2022","Currency=USD","Period=FQ","BEST_FPERIOD_OVERRIDE=FQ","FILING_STATUS=MR","SCALING_FORMAT=MLN","Sort=A","Dates=H","DateFormat=P","Fill=—","Direction=H","UseDPDF=Y")</f>
        <v>—</v>
      </c>
      <c r="S35" s="13" t="str">
        <f>_xll.BDH("ALNY US Equity","IS_OTHER_ONE_TIME_ITEMS","FQ4 2022","FQ4 2022","Currency=USD","Period=FQ","BEST_FPERIOD_OVERRIDE=FQ","FILING_STATUS=MR","SCALING_FORMAT=MLN","Sort=A","Dates=H","DateFormat=P","Fill=—","Direction=H","UseDPDF=Y")</f>
        <v>—</v>
      </c>
      <c r="T35" s="13" t="str">
        <f>_xll.BDH("ALNY US Equity","IS_OTHER_ONE_TIME_ITEMS","FQ1 2023","FQ1 2023","Currency=USD","Period=FQ","BEST_FPERIOD_OVERRIDE=FQ","FILING_STATUS=MR","SCALING_FORMAT=MLN","Sort=A","Dates=H","DateFormat=P","Fill=—","Direction=H","UseDPDF=Y")</f>
        <v>—</v>
      </c>
      <c r="U35" s="13" t="str">
        <f>_xll.BDH("ALNY US Equity","IS_OTHER_ONE_TIME_ITEMS","FQ2 2023","FQ2 2023","Currency=USD","Period=FQ","BEST_FPERIOD_OVERRIDE=FQ","FILING_STATUS=MR","SCALING_FORMAT=MLN","Sort=A","Dates=H","DateFormat=P","Fill=—","Direction=H","UseDPDF=Y")</f>
        <v>—</v>
      </c>
      <c r="V35" s="13" t="str">
        <f>_xll.BDH("ALNY US Equity","IS_OTHER_ONE_TIME_ITEMS","FQ3 2023","FQ3 2023","Currency=USD","Period=FQ","BEST_FPERIOD_OVERRIDE=FQ","FILING_STATUS=MR","SCALING_FORMAT=MLN","Sort=A","Dates=H","DateFormat=P","Fill=—","Direction=H","UseDPDF=Y")</f>
        <v>—</v>
      </c>
      <c r="W35" s="13" t="str">
        <f>_xll.BDH("ALNY US Equity","IS_OTHER_ONE_TIME_ITEMS","FQ4 2023","FQ4 2023","Currency=USD","Period=FQ","BEST_FPERIOD_OVERRIDE=FQ","FILING_STATUS=MR","SCALING_FORMAT=MLN","Sort=A","Dates=H","DateFormat=P","Fill=—","Direction=H","UseDPDF=Y")</f>
        <v>—</v>
      </c>
      <c r="X35" s="13" t="str">
        <f>_xll.BDH("ALNY US Equity","IS_OTHER_ONE_TIME_ITEMS","FQ1 2024","FQ1 2024","Currency=USD","Period=FQ","BEST_FPERIOD_OVERRIDE=FQ","FILING_STATUS=MR","SCALING_FORMAT=MLN","Sort=A","Dates=H","DateFormat=P","Fill=—","Direction=H","UseDPDF=Y")</f>
        <v>—</v>
      </c>
      <c r="Y35" s="13" t="str">
        <f>_xll.BDH("ALNY US Equity","IS_OTHER_ONE_TIME_ITEMS","FQ2 2024","FQ2 2024","Currency=USD","Period=FQ","BEST_FPERIOD_OVERRIDE=FQ","FILING_STATUS=MR","SCALING_FORMAT=MLN","Sort=A","Dates=H","DateFormat=P","Fill=—","Direction=H","UseDPDF=Y")</f>
        <v>—</v>
      </c>
      <c r="Z35" s="13" t="str">
        <f>_xll.BDH("ALNY US Equity","IS_OTHER_ONE_TIME_ITEMS","FQ3 2024","FQ3 2024","Currency=USD","Period=FQ","BEST_FPERIOD_OVERRIDE=FQ","FILING_STATUS=MR","SCALING_FORMAT=MLN","Sort=A","Dates=H","DateFormat=P","Fill=—","Direction=H","UseDPDF=Y")</f>
        <v>—</v>
      </c>
      <c r="AA35" s="13" t="str">
        <f>_xll.BDH("ALNY US Equity","IS_OTHER_ONE_TIME_ITEMS","FQ4 2024","FQ4 2024","Currency=USD","Period=FQ","BEST_FPERIOD_OVERRIDE=FQ","FILING_STATUS=MR","SCALING_FORMAT=MLN","Sort=A","Dates=H","DateFormat=P","Fill=—","Direction=H","UseDPDF=Y")</f>
        <v>—</v>
      </c>
    </row>
    <row r="36" spans="1:27" x14ac:dyDescent="0.25">
      <c r="A36" s="6" t="s">
        <v>329</v>
      </c>
      <c r="B36" s="6" t="s">
        <v>158</v>
      </c>
      <c r="C36" s="19">
        <f>_xll.BDH("ALNY US Equity","PRETAX_INC","FQ4 2018","FQ4 2018","Currency=USD","Period=FQ","BEST_FPERIOD_OVERRIDE=FQ","FILING_STATUS=MR","SCALING_FORMAT=MLN","FA_ADJUSTED=Adjusted","Sort=A","Dates=H","DateFormat=P","Fill=—","Direction=H","UseDPDF=Y")</f>
        <v>-211.08</v>
      </c>
      <c r="D36" s="19">
        <f>_xll.BDH("ALNY US Equity","PRETAX_INC","FQ1 2019","FQ1 2019","Currency=USD","Period=FQ","BEST_FPERIOD_OVERRIDE=FQ","FILING_STATUS=MR","SCALING_FORMAT=MLN","FA_ADJUSTED=Adjusted","Sort=A","Dates=H","DateFormat=P","Fill=—","Direction=H","UseDPDF=Y")</f>
        <v>-181.22</v>
      </c>
      <c r="E36" s="19">
        <f>_xll.BDH("ALNY US Equity","PRETAX_INC","FQ2 2019","FQ2 2019","Currency=USD","Period=FQ","BEST_FPERIOD_OVERRIDE=FQ","FILING_STATUS=MR","SCALING_FORMAT=MLN","FA_ADJUSTED=Adjusted","Sort=A","Dates=H","DateFormat=P","Fill=—","Direction=H","UseDPDF=Y")</f>
        <v>-227.94300000000001</v>
      </c>
      <c r="F36" s="19">
        <f>_xll.BDH("ALNY US Equity","PRETAX_INC","FQ3 2019","FQ3 2019","Currency=USD","Period=FQ","BEST_FPERIOD_OVERRIDE=FQ","FILING_STATUS=MR","SCALING_FORMAT=MLN","FA_ADJUSTED=Adjusted","Sort=A","Dates=H","DateFormat=P","Fill=—","Direction=H","UseDPDF=Y")</f>
        <v>-208.929</v>
      </c>
      <c r="G36" s="19">
        <f>_xll.BDH("ALNY US Equity","PRETAX_INC","FQ4 2019","FQ4 2019","Currency=USD","Period=FQ","BEST_FPERIOD_OVERRIDE=FQ","FILING_STATUS=MR","SCALING_FORMAT=MLN","FA_ADJUSTED=Adjusted","Sort=A","Dates=H","DateFormat=P","Fill=—","Direction=H","UseDPDF=Y")</f>
        <v>-290.84500000000003</v>
      </c>
      <c r="H36" s="19">
        <f>_xll.BDH("ALNY US Equity","PRETAX_INC","FQ1 2020","FQ1 2020","Currency=USD","Period=FQ","BEST_FPERIOD_OVERRIDE=FQ","FILING_STATUS=MR","SCALING_FORMAT=MLN","FA_ADJUSTED=Adjusted","Sort=A","Dates=H","DateFormat=P","Fill=—","Direction=H","UseDPDF=Y")</f>
        <v>-205.75700000000001</v>
      </c>
      <c r="I36" s="19">
        <f>_xll.BDH("ALNY US Equity","PRETAX_INC","FQ2 2020","FQ2 2020","Currency=USD","Period=FQ","BEST_FPERIOD_OVERRIDE=FQ","FILING_STATUS=MR","SCALING_FORMAT=MLN","FA_ADJUSTED=Adjusted","Sort=A","Dates=H","DateFormat=P","Fill=—","Direction=H","UseDPDF=Y")</f>
        <v>-236.03110000000001</v>
      </c>
      <c r="J36" s="19">
        <f>_xll.BDH("ALNY US Equity","PRETAX_INC","FQ3 2020","FQ3 2020","Currency=USD","Period=FQ","BEST_FPERIOD_OVERRIDE=FQ","FILING_STATUS=MR","SCALING_FORMAT=MLN","FA_ADJUSTED=Adjusted","Sort=A","Dates=H","DateFormat=P","Fill=—","Direction=H","UseDPDF=Y")</f>
        <v>-220.02199999999999</v>
      </c>
      <c r="K36" s="19">
        <f>_xll.BDH("ALNY US Equity","PRETAX_INC","FQ4 2020","FQ4 2020","Currency=USD","Period=FQ","BEST_FPERIOD_OVERRIDE=FQ","FILING_STATUS=MR","SCALING_FORMAT=MLN","FA_ADJUSTED=Adjusted","Sort=A","Dates=H","DateFormat=P","Fill=—","Direction=H","UseDPDF=Y")</f>
        <v>-217.4539</v>
      </c>
      <c r="L36" s="19">
        <f>_xll.BDH("ALNY US Equity","PRETAX_INC","FQ1 2021","FQ1 2021","Currency=USD","Period=FQ","BEST_FPERIOD_OVERRIDE=FQ","FILING_STATUS=MR","SCALING_FORMAT=MLN","FA_ADJUSTED=Adjusted","Sort=A","Dates=H","DateFormat=P","Fill=—","Direction=H","UseDPDF=Y")</f>
        <v>-246.291</v>
      </c>
      <c r="M36" s="19">
        <f>_xll.BDH("ALNY US Equity","PRETAX_INC","FQ2 2021","FQ2 2021","Currency=USD","Period=FQ","BEST_FPERIOD_OVERRIDE=FQ","FILING_STATUS=MR","SCALING_FORMAT=MLN","FA_ADJUSTED=Adjusted","Sort=A","Dates=H","DateFormat=P","Fill=—","Direction=H","UseDPDF=Y")</f>
        <v>-182.7183</v>
      </c>
      <c r="N36" s="19">
        <f>_xll.BDH("ALNY US Equity","PRETAX_INC","FQ3 2021","FQ3 2021","Currency=USD","Period=FQ","BEST_FPERIOD_OVERRIDE=FQ","FILING_STATUS=MR","SCALING_FORMAT=MLN","FA_ADJUSTED=Adjusted","Sort=A","Dates=H","DateFormat=P","Fill=—","Direction=H","UseDPDF=Y")</f>
        <v>-212.92699999999999</v>
      </c>
      <c r="O36" s="19">
        <f>_xll.BDH("ALNY US Equity","PRETAX_INC","FQ4 2021","FQ4 2021","Currency=USD","Period=FQ","BEST_FPERIOD_OVERRIDE=FQ","FILING_STATUS=MR","SCALING_FORMAT=MLN","FA_ADJUSTED=Adjusted","Sort=A","Dates=H","DateFormat=P","Fill=—","Direction=H","UseDPDF=Y")</f>
        <v>-254.72399999999999</v>
      </c>
      <c r="P36" s="19">
        <f>_xll.BDH("ALNY US Equity","PRETAX_INC","FQ1 2022","FQ1 2022","Currency=USD","Period=FQ","BEST_FPERIOD_OVERRIDE=FQ","FILING_STATUS=MR","SCALING_FORMAT=MLN","FA_ADJUSTED=Adjusted","Sort=A","Dates=H","DateFormat=P","Fill=—","Direction=H","UseDPDF=Y")</f>
        <v>-208.19499999999999</v>
      </c>
      <c r="Q36" s="19">
        <f>_xll.BDH("ALNY US Equity","PRETAX_INC","FQ2 2022","FQ2 2022","Currency=USD","Period=FQ","BEST_FPERIOD_OVERRIDE=FQ","FILING_STATUS=MR","SCALING_FORMAT=MLN","FA_ADJUSTED=Adjusted","Sort=A","Dates=H","DateFormat=P","Fill=—","Direction=H","UseDPDF=Y")</f>
        <v>-273.57600000000002</v>
      </c>
      <c r="R36" s="19">
        <f>_xll.BDH("ALNY US Equity","PRETAX_INC","FQ3 2022","FQ3 2022","Currency=USD","Period=FQ","BEST_FPERIOD_OVERRIDE=FQ","FILING_STATUS=MR","SCALING_FORMAT=MLN","FA_ADJUSTED=Adjusted","Sort=A","Dates=H","DateFormat=P","Fill=—","Direction=H","UseDPDF=Y")</f>
        <v>-321.50700000000001</v>
      </c>
      <c r="S36" s="19">
        <f>_xll.BDH("ALNY US Equity","PRETAX_INC","FQ4 2022","FQ4 2022","Currency=USD","Period=FQ","BEST_FPERIOD_OVERRIDE=FQ","FILING_STATUS=MR","SCALING_FORMAT=MLN","FA_ADJUSTED=Adjusted","Sort=A","Dates=H","DateFormat=P","Fill=—","Direction=H","UseDPDF=Y")</f>
        <v>-213.81700000000001</v>
      </c>
      <c r="T36" s="19">
        <f>_xll.BDH("ALNY US Equity","PRETAX_INC","FQ1 2023","FQ1 2023","Currency=USD","Period=FQ","BEST_FPERIOD_OVERRIDE=FQ","FILING_STATUS=MR","SCALING_FORMAT=MLN","FA_ADJUSTED=Adjusted","Sort=A","Dates=H","DateFormat=P","Fill=—","Direction=H","UseDPDF=Y")</f>
        <v>-170.095</v>
      </c>
      <c r="U36" s="19">
        <f>_xll.BDH("ALNY US Equity","PRETAX_INC","FQ2 2023","FQ2 2023","Currency=USD","Period=FQ","BEST_FPERIOD_OVERRIDE=FQ","FILING_STATUS=MR","SCALING_FORMAT=MLN","FA_ADJUSTED=Adjusted","Sort=A","Dates=H","DateFormat=P","Fill=—","Direction=H","UseDPDF=Y")</f>
        <v>-275.60899999999998</v>
      </c>
      <c r="V36" s="19">
        <f>_xll.BDH("ALNY US Equity","PRETAX_INC","FQ3 2023","FQ3 2023","Currency=USD","Period=FQ","BEST_FPERIOD_OVERRIDE=FQ","FILING_STATUS=MR","SCALING_FORMAT=MLN","FA_ADJUSTED=Adjusted","Sort=A","Dates=H","DateFormat=P","Fill=—","Direction=H","UseDPDF=Y")</f>
        <v>167.58500000000001</v>
      </c>
      <c r="W36" s="19">
        <f>_xll.BDH("ALNY US Equity","PRETAX_INC","FQ4 2023","FQ4 2023","Currency=USD","Period=FQ","BEST_FPERIOD_OVERRIDE=FQ","FILING_STATUS=MR","SCALING_FORMAT=MLN","FA_ADJUSTED=Adjusted","Sort=A","Dates=H","DateFormat=P","Fill=—","Direction=H","UseDPDF=Y")</f>
        <v>-138.45400000000001</v>
      </c>
      <c r="X36" s="19">
        <f>_xll.BDH("ALNY US Equity","PRETAX_INC","FQ1 2024","FQ1 2024","Currency=USD","Period=FQ","BEST_FPERIOD_OVERRIDE=FQ","FILING_STATUS=MR","SCALING_FORMAT=MLN","FA_ADJUSTED=Adjusted","Sort=A","Dates=H","DateFormat=P","Fill=—","Direction=H","UseDPDF=Y")</f>
        <v>-63.664999999999999</v>
      </c>
      <c r="Y36" s="19">
        <f>_xll.BDH("ALNY US Equity","PRETAX_INC","FQ2 2024","FQ2 2024","Currency=USD","Period=FQ","BEST_FPERIOD_OVERRIDE=FQ","FILING_STATUS=MR","SCALING_FORMAT=MLN","FA_ADJUSTED=Adjusted","Sort=A","Dates=H","DateFormat=P","Fill=—","Direction=H","UseDPDF=Y")</f>
        <v>-9.8000000000000007</v>
      </c>
      <c r="Z36" s="19">
        <f>_xll.BDH("ALNY US Equity","PRETAX_INC","FQ3 2024","FQ3 2024","Currency=USD","Period=FQ","BEST_FPERIOD_OVERRIDE=FQ","FILING_STATUS=MR","SCALING_FORMAT=MLN","FA_ADJUSTED=Adjusted","Sort=A","Dates=H","DateFormat=P","Fill=—","Direction=H","UseDPDF=Y")</f>
        <v>-107.096</v>
      </c>
      <c r="AA36" s="19">
        <f>_xll.BDH("ALNY US Equity","PRETAX_INC","FQ4 2024","FQ4 2024","Currency=USD","Period=FQ","BEST_FPERIOD_OVERRIDE=FQ","FILING_STATUS=MR","SCALING_FORMAT=MLN","FA_ADJUSTED=Adjusted","Sort=A","Dates=H","DateFormat=P","Fill=—","Direction=H","UseDPDF=Y")</f>
        <v>-193.792</v>
      </c>
    </row>
    <row r="37" spans="1:27" x14ac:dyDescent="0.25">
      <c r="A37" s="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5">
      <c r="A38" s="6" t="s">
        <v>624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5">
      <c r="A39" s="6" t="s">
        <v>625</v>
      </c>
      <c r="B39" s="6" t="s">
        <v>80</v>
      </c>
      <c r="C39" s="19">
        <f>_xll.BDH("ALNY US Equity","EARN_FOR_COMMON","FQ4 2018","FQ4 2018","Currency=USD","Period=FQ","BEST_FPERIOD_OVERRIDE=FQ","FILING_STATUS=MR","SCALING_FORMAT=MLN","FA_ADJUSTED=GAAP","Sort=A","Dates=H","DateFormat=P","Fill=—","Direction=H","UseDPDF=Y")</f>
        <v>-211.441</v>
      </c>
      <c r="D39" s="19">
        <f>_xll.BDH("ALNY US Equity","EARN_FOR_COMMON","FQ1 2019","FQ1 2019","Currency=USD","Period=FQ","BEST_FPERIOD_OVERRIDE=FQ","FILING_STATUS=MR","SCALING_FORMAT=MLN","FA_ADJUSTED=GAAP","Sort=A","Dates=H","DateFormat=P","Fill=—","Direction=H","UseDPDF=Y")</f>
        <v>-181.91499999999999</v>
      </c>
      <c r="E39" s="19">
        <f>_xll.BDH("ALNY US Equity","EARN_FOR_COMMON","FQ2 2019","FQ2 2019","Currency=USD","Period=FQ","BEST_FPERIOD_OVERRIDE=FQ","FILING_STATUS=MR","SCALING_FORMAT=MLN","FA_ADJUSTED=GAAP","Sort=A","Dates=H","DateFormat=P","Fill=—","Direction=H","UseDPDF=Y")</f>
        <v>-219.48099999999999</v>
      </c>
      <c r="F39" s="19">
        <f>_xll.BDH("ALNY US Equity","EARN_FOR_COMMON","FQ3 2019","FQ3 2019","Currency=USD","Period=FQ","BEST_FPERIOD_OVERRIDE=FQ","FILING_STATUS=MR","SCALING_FORMAT=MLN","FA_ADJUSTED=GAAP","Sort=A","Dates=H","DateFormat=P","Fill=—","Direction=H","UseDPDF=Y")</f>
        <v>-208.535</v>
      </c>
      <c r="G39" s="19">
        <f>_xll.BDH("ALNY US Equity","EARN_FOR_COMMON","FQ4 2019","FQ4 2019","Currency=USD","Period=FQ","BEST_FPERIOD_OVERRIDE=FQ","FILING_STATUS=MR","SCALING_FORMAT=MLN","FA_ADJUSTED=GAAP","Sort=A","Dates=H","DateFormat=P","Fill=—","Direction=H","UseDPDF=Y")</f>
        <v>-276.185</v>
      </c>
      <c r="H39" s="19">
        <f>_xll.BDH("ALNY US Equity","EARN_FOR_COMMON","FQ1 2020","FQ1 2020","Currency=USD","Period=FQ","BEST_FPERIOD_OVERRIDE=FQ","FILING_STATUS=MR","SCALING_FORMAT=MLN","FA_ADJUSTED=GAAP","Sort=A","Dates=H","DateFormat=P","Fill=—","Direction=H","UseDPDF=Y")</f>
        <v>-182.221</v>
      </c>
      <c r="I39" s="19">
        <f>_xll.BDH("ALNY US Equity","EARN_FOR_COMMON","FQ2 2020","FQ2 2020","Currency=USD","Period=FQ","BEST_FPERIOD_OVERRIDE=FQ","FILING_STATUS=MR","SCALING_FORMAT=MLN","FA_ADJUSTED=GAAP","Sort=A","Dates=H","DateFormat=P","Fill=—","Direction=H","UseDPDF=Y")</f>
        <v>-179.22900000000001</v>
      </c>
      <c r="J39" s="19">
        <f>_xll.BDH("ALNY US Equity","EARN_FOR_COMMON","FQ3 2020","FQ3 2020","Currency=USD","Period=FQ","BEST_FPERIOD_OVERRIDE=FQ","FILING_STATUS=MR","SCALING_FORMAT=MLN","FA_ADJUSTED=GAAP","Sort=A","Dates=H","DateFormat=P","Fill=—","Direction=H","UseDPDF=Y")</f>
        <v>-253.291</v>
      </c>
      <c r="K39" s="19">
        <f>_xll.BDH("ALNY US Equity","EARN_FOR_COMMON","FQ4 2020","FQ4 2020","Currency=USD","Period=FQ","BEST_FPERIOD_OVERRIDE=FQ","FILING_STATUS=MR","SCALING_FORMAT=MLN","FA_ADJUSTED=GAAP","Sort=A","Dates=H","DateFormat=P","Fill=—","Direction=H","UseDPDF=Y")</f>
        <v>-243.54</v>
      </c>
      <c r="L39" s="19">
        <f>_xll.BDH("ALNY US Equity","EARN_FOR_COMMON","FQ1 2021","FQ1 2021","Currency=USD","Period=FQ","BEST_FPERIOD_OVERRIDE=FQ","FILING_STATUS=MR","SCALING_FORMAT=MLN","FA_ADJUSTED=GAAP","Sort=A","Dates=H","DateFormat=P","Fill=—","Direction=H","UseDPDF=Y")</f>
        <v>-200.291</v>
      </c>
      <c r="M39" s="19">
        <f>_xll.BDH("ALNY US Equity","EARN_FOR_COMMON","FQ2 2021","FQ2 2021","Currency=USD","Period=FQ","BEST_FPERIOD_OVERRIDE=FQ","FILING_STATUS=MR","SCALING_FORMAT=MLN","FA_ADJUSTED=GAAP","Sort=A","Dates=H","DateFormat=P","Fill=—","Direction=H","UseDPDF=Y")</f>
        <v>-189.559</v>
      </c>
      <c r="N39" s="19">
        <f>_xll.BDH("ALNY US Equity","EARN_FOR_COMMON","FQ3 2021","FQ3 2021","Currency=USD","Period=FQ","BEST_FPERIOD_OVERRIDE=FQ","FILING_STATUS=MR","SCALING_FORMAT=MLN","FA_ADJUSTED=GAAP","Sort=A","Dates=H","DateFormat=P","Fill=—","Direction=H","UseDPDF=Y")</f>
        <v>-204.51400000000001</v>
      </c>
      <c r="O39" s="19">
        <f>_xll.BDH("ALNY US Equity","EARN_FOR_COMMON","FQ4 2021","FQ4 2021","Currency=USD","Period=FQ","BEST_FPERIOD_OVERRIDE=FQ","FILING_STATUS=MR","SCALING_FORMAT=MLN","FA_ADJUSTED=GAAP","Sort=A","Dates=H","DateFormat=P","Fill=—","Direction=H","UseDPDF=Y")</f>
        <v>-258.45999999999998</v>
      </c>
      <c r="P39" s="19">
        <f>_xll.BDH("ALNY US Equity","EARN_FOR_COMMON","FQ1 2022","FQ1 2022","Currency=USD","Period=FQ","BEST_FPERIOD_OVERRIDE=FQ","FILING_STATUS=MR","SCALING_FORMAT=MLN","FA_ADJUSTED=GAAP","Sort=A","Dates=H","DateFormat=P","Fill=—","Direction=H","UseDPDF=Y")</f>
        <v>-240.34100000000001</v>
      </c>
      <c r="Q39" s="19">
        <f>_xll.BDH("ALNY US Equity","EARN_FOR_COMMON","FQ2 2022","FQ2 2022","Currency=USD","Period=FQ","BEST_FPERIOD_OVERRIDE=FQ","FILING_STATUS=MR","SCALING_FORMAT=MLN","FA_ADJUSTED=GAAP","Sort=A","Dates=H","DateFormat=P","Fill=—","Direction=H","UseDPDF=Y")</f>
        <v>-277.40199999999999</v>
      </c>
      <c r="R39" s="19">
        <f>_xll.BDH("ALNY US Equity","EARN_FOR_COMMON","FQ3 2022","FQ3 2022","Currency=USD","Period=FQ","BEST_FPERIOD_OVERRIDE=FQ","FILING_STATUS=MR","SCALING_FORMAT=MLN","FA_ADJUSTED=GAAP","Sort=A","Dates=H","DateFormat=P","Fill=—","Direction=H","UseDPDF=Y")</f>
        <v>-405.92</v>
      </c>
      <c r="S39" s="19">
        <f>_xll.BDH("ALNY US Equity","EARN_FOR_COMMON","FQ4 2022","FQ4 2022","Currency=USD","Period=FQ","BEST_FPERIOD_OVERRIDE=FQ","FILING_STATUS=MR","SCALING_FORMAT=MLN","FA_ADJUSTED=GAAP","Sort=A","Dates=H","DateFormat=P","Fill=—","Direction=H","UseDPDF=Y")</f>
        <v>-207.49299999999999</v>
      </c>
      <c r="T39" s="19">
        <f>_xll.BDH("ALNY US Equity","EARN_FOR_COMMON","FQ1 2023","FQ1 2023","Currency=USD","Period=FQ","BEST_FPERIOD_OVERRIDE=FQ","FILING_STATUS=MR","SCALING_FORMAT=MLN","FA_ADJUSTED=GAAP","Sort=A","Dates=H","DateFormat=P","Fill=—","Direction=H","UseDPDF=Y")</f>
        <v>-174.101</v>
      </c>
      <c r="U39" s="19">
        <f>_xll.BDH("ALNY US Equity","EARN_FOR_COMMON","FQ2 2023","FQ2 2023","Currency=USD","Period=FQ","BEST_FPERIOD_OVERRIDE=FQ","FILING_STATUS=MR","SCALING_FORMAT=MLN","FA_ADJUSTED=GAAP","Sort=A","Dates=H","DateFormat=P","Fill=—","Direction=H","UseDPDF=Y")</f>
        <v>-276.024</v>
      </c>
      <c r="V39" s="19">
        <f>_xll.BDH("ALNY US Equity","EARN_FOR_COMMON","FQ3 2023","FQ3 2023","Currency=USD","Period=FQ","BEST_FPERIOD_OVERRIDE=FQ","FILING_STATUS=MR","SCALING_FORMAT=MLN","FA_ADJUSTED=GAAP","Sort=A","Dates=H","DateFormat=P","Fill=—","Direction=H","UseDPDF=Y")</f>
        <v>147.75299999999999</v>
      </c>
      <c r="W39" s="19">
        <f>_xll.BDH("ALNY US Equity","EARN_FOR_COMMON","FQ4 2023","FQ4 2023","Currency=USD","Period=FQ","BEST_FPERIOD_OVERRIDE=FQ","FILING_STATUS=MR","SCALING_FORMAT=MLN","FA_ADJUSTED=GAAP","Sort=A","Dates=H","DateFormat=P","Fill=—","Direction=H","UseDPDF=Y")</f>
        <v>-137.87</v>
      </c>
      <c r="X39" s="19">
        <f>_xll.BDH("ALNY US Equity","EARN_FOR_COMMON","FQ1 2024","FQ1 2024","Currency=USD","Period=FQ","BEST_FPERIOD_OVERRIDE=FQ","FILING_STATUS=MR","SCALING_FORMAT=MLN","FA_ADJUSTED=GAAP","Sort=A","Dates=H","DateFormat=P","Fill=—","Direction=H","UseDPDF=Y")</f>
        <v>-65.935000000000002</v>
      </c>
      <c r="Y39" s="19">
        <f>_xll.BDH("ALNY US Equity","EARN_FOR_COMMON","FQ2 2024","FQ2 2024","Currency=USD","Period=FQ","BEST_FPERIOD_OVERRIDE=FQ","FILING_STATUS=MR","SCALING_FORMAT=MLN","FA_ADJUSTED=GAAP","Sort=A","Dates=H","DateFormat=P","Fill=—","Direction=H","UseDPDF=Y")</f>
        <v>-16.888999999999999</v>
      </c>
      <c r="Z39" s="19">
        <f>_xll.BDH("ALNY US Equity","EARN_FOR_COMMON","FQ3 2024","FQ3 2024","Currency=USD","Period=FQ","BEST_FPERIOD_OVERRIDE=FQ","FILING_STATUS=MR","SCALING_FORMAT=MLN","FA_ADJUSTED=GAAP","Sort=A","Dates=H","DateFormat=P","Fill=—","Direction=H","UseDPDF=Y")</f>
        <v>-111.57</v>
      </c>
      <c r="AA39" s="19">
        <f>_xll.BDH("ALNY US Equity","EARN_FOR_COMMON","FQ4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40" spans="1:27" x14ac:dyDescent="0.25">
      <c r="A40" s="10" t="s">
        <v>626</v>
      </c>
      <c r="B40" s="10" t="s">
        <v>352</v>
      </c>
      <c r="C40" s="13">
        <f>_xll.BDH("ALNY US Equity","IS_DISCONTINUED_OPERATIONS","FQ4 2018","FQ4 2018","Currency=USD","Period=FQ","BEST_FPERIOD_OVERRIDE=FQ","FILING_STATUS=MR","SCALING_FORMAT=MLN","Sort=A","Dates=H","DateFormat=P","Fill=—","Direction=H","UseDPDF=Y")</f>
        <v>0</v>
      </c>
      <c r="D40" s="13">
        <f>_xll.BDH("ALNY US Equity","IS_DISCONTINUED_OPERATIONS","FQ1 2019","FQ1 2019","Currency=USD","Period=FQ","BEST_FPERIOD_OVERRIDE=FQ","FILING_STATUS=MR","SCALING_FORMAT=MLN","Sort=A","Dates=H","DateFormat=P","Fill=—","Direction=H","UseDPDF=Y")</f>
        <v>0</v>
      </c>
      <c r="E40" s="13">
        <f>_xll.BDH("ALNY US Equity","IS_DISCONTINUED_OPERATIONS","FQ2 2019","FQ2 2019","Currency=USD","Period=FQ","BEST_FPERIOD_OVERRIDE=FQ","FILING_STATUS=MR","SCALING_FORMAT=MLN","Sort=A","Dates=H","DateFormat=P","Fill=—","Direction=H","UseDPDF=Y")</f>
        <v>0</v>
      </c>
      <c r="F40" s="13">
        <f>_xll.BDH("ALNY US Equity","IS_DISCONTINUED_OPERATIONS","FQ3 2019","FQ3 2019","Currency=USD","Period=FQ","BEST_FPERIOD_OVERRIDE=FQ","FILING_STATUS=MR","SCALING_FORMAT=MLN","Sort=A","Dates=H","DateFormat=P","Fill=—","Direction=H","UseDPDF=Y")</f>
        <v>0</v>
      </c>
      <c r="G40" s="13">
        <f>_xll.BDH("ALNY US Equity","IS_DISCONTINUED_OPERATIONS","FQ4 2019","FQ4 2019","Currency=USD","Period=FQ","BEST_FPERIOD_OVERRIDE=FQ","FILING_STATUS=MR","SCALING_FORMAT=MLN","Sort=A","Dates=H","DateFormat=P","Fill=—","Direction=H","UseDPDF=Y")</f>
        <v>0</v>
      </c>
      <c r="H40" s="13">
        <f>_xll.BDH("ALNY US Equity","IS_DISCONTINUED_OPERATIONS","FQ1 2020","FQ1 2020","Currency=USD","Period=FQ","BEST_FPERIOD_OVERRIDE=FQ","FILING_STATUS=MR","SCALING_FORMAT=MLN","Sort=A","Dates=H","DateFormat=P","Fill=—","Direction=H","UseDPDF=Y")</f>
        <v>0</v>
      </c>
      <c r="I40" s="13">
        <f>_xll.BDH("ALNY US Equity","IS_DISCONTINUED_OPERATIONS","FQ2 2020","FQ2 2020","Currency=USD","Period=FQ","BEST_FPERIOD_OVERRIDE=FQ","FILING_STATUS=MR","SCALING_FORMAT=MLN","Sort=A","Dates=H","DateFormat=P","Fill=—","Direction=H","UseDPDF=Y")</f>
        <v>0</v>
      </c>
      <c r="J40" s="13">
        <f>_xll.BDH("ALNY US Equity","IS_DISCONTINUED_OPERATIONS","FQ3 2020","FQ3 2020","Currency=USD","Period=FQ","BEST_FPERIOD_OVERRIDE=FQ","FILING_STATUS=MR","SCALING_FORMAT=MLN","Sort=A","Dates=H","DateFormat=P","Fill=—","Direction=H","UseDPDF=Y")</f>
        <v>0</v>
      </c>
      <c r="K40" s="13">
        <f>_xll.BDH("ALNY US Equity","IS_DISCONTINUED_OPERATIONS","FQ4 2020","FQ4 2020","Currency=USD","Period=FQ","BEST_FPERIOD_OVERRIDE=FQ","FILING_STATUS=MR","SCALING_FORMAT=MLN","Sort=A","Dates=H","DateFormat=P","Fill=—","Direction=H","UseDPDF=Y")</f>
        <v>0</v>
      </c>
      <c r="L40" s="13">
        <f>_xll.BDH("ALNY US Equity","IS_DISCONTINUED_OPERATIONS","FQ1 2021","FQ1 2021","Currency=USD","Period=FQ","BEST_FPERIOD_OVERRIDE=FQ","FILING_STATUS=MR","SCALING_FORMAT=MLN","Sort=A","Dates=H","DateFormat=P","Fill=—","Direction=H","UseDPDF=Y")</f>
        <v>0</v>
      </c>
      <c r="M40" s="13">
        <f>_xll.BDH("ALNY US Equity","IS_DISCONTINUED_OPERATIONS","FQ2 2021","FQ2 2021","Currency=USD","Period=FQ","BEST_FPERIOD_OVERRIDE=FQ","FILING_STATUS=MR","SCALING_FORMAT=MLN","Sort=A","Dates=H","DateFormat=P","Fill=—","Direction=H","UseDPDF=Y")</f>
        <v>0</v>
      </c>
      <c r="N40" s="13">
        <f>_xll.BDH("ALNY US Equity","IS_DISCONTINUED_OPERATIONS","FQ3 2021","FQ3 2021","Currency=USD","Period=FQ","BEST_FPERIOD_OVERRIDE=FQ","FILING_STATUS=MR","SCALING_FORMAT=MLN","Sort=A","Dates=H","DateFormat=P","Fill=—","Direction=H","UseDPDF=Y")</f>
        <v>0</v>
      </c>
      <c r="O40" s="13">
        <f>_xll.BDH("ALNY US Equity","IS_DISCONTINUED_OPERATIONS","FQ4 2021","FQ4 2021","Currency=USD","Period=FQ","BEST_FPERIOD_OVERRIDE=FQ","FILING_STATUS=MR","SCALING_FORMAT=MLN","Sort=A","Dates=H","DateFormat=P","Fill=—","Direction=H","UseDPDF=Y")</f>
        <v>0</v>
      </c>
      <c r="P40" s="13">
        <f>_xll.BDH("ALNY US Equity","IS_DISCONTINUED_OPERATIONS","FQ1 2022","FQ1 2022","Currency=USD","Period=FQ","BEST_FPERIOD_OVERRIDE=FQ","FILING_STATUS=MR","SCALING_FORMAT=MLN","Sort=A","Dates=H","DateFormat=P","Fill=—","Direction=H","UseDPDF=Y")</f>
        <v>0</v>
      </c>
      <c r="Q40" s="13">
        <f>_xll.BDH("ALNY US Equity","IS_DISCONTINUED_OPERATIONS","FQ2 2022","FQ2 2022","Currency=USD","Period=FQ","BEST_FPERIOD_OVERRIDE=FQ","FILING_STATUS=MR","SCALING_FORMAT=MLN","Sort=A","Dates=H","DateFormat=P","Fill=—","Direction=H","UseDPDF=Y")</f>
        <v>0</v>
      </c>
      <c r="R40" s="13">
        <f>_xll.BDH("ALNY US Equity","IS_DISCONTINUED_OPERATIONS","FQ3 2022","FQ3 2022","Currency=USD","Period=FQ","BEST_FPERIOD_OVERRIDE=FQ","FILING_STATUS=MR","SCALING_FORMAT=MLN","Sort=A","Dates=H","DateFormat=P","Fill=—","Direction=H","UseDPDF=Y")</f>
        <v>0</v>
      </c>
      <c r="S40" s="13">
        <f>_xll.BDH("ALNY US Equity","IS_DISCONTINUED_OPERATIONS","FQ4 2022","FQ4 2022","Currency=USD","Period=FQ","BEST_FPERIOD_OVERRIDE=FQ","FILING_STATUS=MR","SCALING_FORMAT=MLN","Sort=A","Dates=H","DateFormat=P","Fill=—","Direction=H","UseDPDF=Y")</f>
        <v>0</v>
      </c>
      <c r="T40" s="13">
        <f>_xll.BDH("ALNY US Equity","IS_DISCONTINUED_OPERATIONS","FQ1 2023","FQ1 2023","Currency=USD","Period=FQ","BEST_FPERIOD_OVERRIDE=FQ","FILING_STATUS=MR","SCALING_FORMAT=MLN","Sort=A","Dates=H","DateFormat=P","Fill=—","Direction=H","UseDPDF=Y")</f>
        <v>0</v>
      </c>
      <c r="U40" s="13">
        <f>_xll.BDH("ALNY US Equity","IS_DISCONTINUED_OPERATIONS","FQ2 2023","FQ2 2023","Currency=USD","Period=FQ","BEST_FPERIOD_OVERRIDE=FQ","FILING_STATUS=MR","SCALING_FORMAT=MLN","Sort=A","Dates=H","DateFormat=P","Fill=—","Direction=H","UseDPDF=Y")</f>
        <v>0</v>
      </c>
      <c r="V40" s="13">
        <f>_xll.BDH("ALNY US Equity","IS_DISCONTINUED_OPERATIONS","FQ3 2023","FQ3 2023","Currency=USD","Period=FQ","BEST_FPERIOD_OVERRIDE=FQ","FILING_STATUS=MR","SCALING_FORMAT=MLN","Sort=A","Dates=H","DateFormat=P","Fill=—","Direction=H","UseDPDF=Y")</f>
        <v>0</v>
      </c>
      <c r="W40" s="13">
        <f>_xll.BDH("ALNY US Equity","IS_DISCONTINUED_OPERATIONS","FQ4 2023","FQ4 2023","Currency=USD","Period=FQ","BEST_FPERIOD_OVERRIDE=FQ","FILING_STATUS=MR","SCALING_FORMAT=MLN","Sort=A","Dates=H","DateFormat=P","Fill=—","Direction=H","UseDPDF=Y")</f>
        <v>0</v>
      </c>
      <c r="X40" s="13">
        <f>_xll.BDH("ALNY US Equity","IS_DISCONTINUED_OPERATIONS","FQ1 2024","FQ1 2024","Currency=USD","Period=FQ","BEST_FPERIOD_OVERRIDE=FQ","FILING_STATUS=MR","SCALING_FORMAT=MLN","Sort=A","Dates=H","DateFormat=P","Fill=—","Direction=H","UseDPDF=Y")</f>
        <v>0</v>
      </c>
      <c r="Y40" s="13">
        <f>_xll.BDH("ALNY US Equity","IS_DISCONTINUED_OPERATIONS","FQ2 2024","FQ2 2024","Currency=USD","Period=FQ","BEST_FPERIOD_OVERRIDE=FQ","FILING_STATUS=MR","SCALING_FORMAT=MLN","Sort=A","Dates=H","DateFormat=P","Fill=—","Direction=H","UseDPDF=Y")</f>
        <v>0</v>
      </c>
      <c r="Z40" s="13">
        <f>_xll.BDH("ALNY US Equity","IS_DISCONTINUED_OPERATIONS","FQ3 2024","FQ3 2024","Currency=USD","Period=FQ","BEST_FPERIOD_OVERRIDE=FQ","FILING_STATUS=MR","SCALING_FORMAT=MLN","Sort=A","Dates=H","DateFormat=P","Fill=—","Direction=H","UseDPDF=Y")</f>
        <v>0</v>
      </c>
      <c r="AA40" s="13">
        <f>_xll.BDH("ALNY US Equity","IS_DISCONTINUED_OPERATIONS","FQ4 2024","FQ4 2024","Currency=USD","Period=FQ","BEST_FPERIOD_OVERRIDE=FQ","FILING_STATUS=MR","SCALING_FORMAT=MLN","Sort=A","Dates=H","DateFormat=P","Fill=—","Direction=H","UseDPDF=Y")</f>
        <v>0</v>
      </c>
    </row>
    <row r="41" spans="1:27" x14ac:dyDescent="0.25">
      <c r="A41" s="10" t="s">
        <v>627</v>
      </c>
      <c r="B41" s="10" t="s">
        <v>354</v>
      </c>
      <c r="C41" s="13">
        <f>_xll.BDH("ALNY US Equity","EXTRAORD_ITEMS_ACCOUNTING_CHANGS","FQ4 2018","FQ4 2018","Currency=USD","Period=FQ","BEST_FPERIOD_OVERRIDE=FQ","FILING_STATUS=MR","SCALING_FORMAT=MLN","Sort=A","Dates=H","DateFormat=P","Fill=—","Direction=H","UseDPDF=Y")</f>
        <v>0</v>
      </c>
      <c r="D41" s="13">
        <f>_xll.BDH("ALNY US Equity","EXTRAORD_ITEMS_ACCOUNTING_CHANGS","FQ1 2019","FQ1 2019","Currency=USD","Period=FQ","BEST_FPERIOD_OVERRIDE=FQ","FILING_STATUS=MR","SCALING_FORMAT=MLN","Sort=A","Dates=H","DateFormat=P","Fill=—","Direction=H","UseDPDF=Y")</f>
        <v>0</v>
      </c>
      <c r="E41" s="13">
        <f>_xll.BDH("ALNY US Equity","EXTRAORD_ITEMS_ACCOUNTING_CHANGS","FQ2 2019","FQ2 2019","Currency=USD","Period=FQ","BEST_FPERIOD_OVERRIDE=FQ","FILING_STATUS=MR","SCALING_FORMAT=MLN","Sort=A","Dates=H","DateFormat=P","Fill=—","Direction=H","UseDPDF=Y")</f>
        <v>0</v>
      </c>
      <c r="F41" s="13">
        <f>_xll.BDH("ALNY US Equity","EXTRAORD_ITEMS_ACCOUNTING_CHANGS","FQ3 2019","FQ3 2019","Currency=USD","Period=FQ","BEST_FPERIOD_OVERRIDE=FQ","FILING_STATUS=MR","SCALING_FORMAT=MLN","Sort=A","Dates=H","DateFormat=P","Fill=—","Direction=H","UseDPDF=Y")</f>
        <v>0</v>
      </c>
      <c r="G41" s="13">
        <f>_xll.BDH("ALNY US Equity","EXTRAORD_ITEMS_ACCOUNTING_CHANGS","FQ4 2019","FQ4 2019","Currency=USD","Period=FQ","BEST_FPERIOD_OVERRIDE=FQ","FILING_STATUS=MR","SCALING_FORMAT=MLN","Sort=A","Dates=H","DateFormat=P","Fill=—","Direction=H","UseDPDF=Y")</f>
        <v>0</v>
      </c>
      <c r="H41" s="13">
        <f>_xll.BDH("ALNY US Equity","EXTRAORD_ITEMS_ACCOUNTING_CHANGS","FQ1 2020","FQ1 2020","Currency=USD","Period=FQ","BEST_FPERIOD_OVERRIDE=FQ","FILING_STATUS=MR","SCALING_FORMAT=MLN","Sort=A","Dates=H","DateFormat=P","Fill=—","Direction=H","UseDPDF=Y")</f>
        <v>0</v>
      </c>
      <c r="I41" s="13">
        <f>_xll.BDH("ALNY US Equity","EXTRAORD_ITEMS_ACCOUNTING_CHANGS","FQ2 2020","FQ2 2020","Currency=USD","Period=FQ","BEST_FPERIOD_OVERRIDE=FQ","FILING_STATUS=MR","SCALING_FORMAT=MLN","Sort=A","Dates=H","DateFormat=P","Fill=—","Direction=H","UseDPDF=Y")</f>
        <v>0</v>
      </c>
      <c r="J41" s="13">
        <f>_xll.BDH("ALNY US Equity","EXTRAORD_ITEMS_ACCOUNTING_CHANGS","FQ3 2020","FQ3 2020","Currency=USD","Period=FQ","BEST_FPERIOD_OVERRIDE=FQ","FILING_STATUS=MR","SCALING_FORMAT=MLN","Sort=A","Dates=H","DateFormat=P","Fill=—","Direction=H","UseDPDF=Y")</f>
        <v>0</v>
      </c>
      <c r="K41" s="13">
        <f>_xll.BDH("ALNY US Equity","EXTRAORD_ITEMS_ACCOUNTING_CHANGS","FQ4 2020","FQ4 2020","Currency=USD","Period=FQ","BEST_FPERIOD_OVERRIDE=FQ","FILING_STATUS=MR","SCALING_FORMAT=MLN","Sort=A","Dates=H","DateFormat=P","Fill=—","Direction=H","UseDPDF=Y")</f>
        <v>0</v>
      </c>
      <c r="L41" s="13">
        <f>_xll.BDH("ALNY US Equity","EXTRAORD_ITEMS_ACCOUNTING_CHANGS","FQ1 2021","FQ1 2021","Currency=USD","Period=FQ","BEST_FPERIOD_OVERRIDE=FQ","FILING_STATUS=MR","SCALING_FORMAT=MLN","Sort=A","Dates=H","DateFormat=P","Fill=—","Direction=H","UseDPDF=Y")</f>
        <v>0</v>
      </c>
      <c r="M41" s="13">
        <f>_xll.BDH("ALNY US Equity","EXTRAORD_ITEMS_ACCOUNTING_CHANGS","FQ2 2021","FQ2 2021","Currency=USD","Period=FQ","BEST_FPERIOD_OVERRIDE=FQ","FILING_STATUS=MR","SCALING_FORMAT=MLN","Sort=A","Dates=H","DateFormat=P","Fill=—","Direction=H","UseDPDF=Y")</f>
        <v>0</v>
      </c>
      <c r="N41" s="13">
        <f>_xll.BDH("ALNY US Equity","EXTRAORD_ITEMS_ACCOUNTING_CHANGS","FQ3 2021","FQ3 2021","Currency=USD","Period=FQ","BEST_FPERIOD_OVERRIDE=FQ","FILING_STATUS=MR","SCALING_FORMAT=MLN","Sort=A","Dates=H","DateFormat=P","Fill=—","Direction=H","UseDPDF=Y")</f>
        <v>0</v>
      </c>
      <c r="O41" s="13">
        <f>_xll.BDH("ALNY US Equity","EXTRAORD_ITEMS_ACCOUNTING_CHANGS","FQ4 2021","FQ4 2021","Currency=USD","Period=FQ","BEST_FPERIOD_OVERRIDE=FQ","FILING_STATUS=MR","SCALING_FORMAT=MLN","Sort=A","Dates=H","DateFormat=P","Fill=—","Direction=H","UseDPDF=Y")</f>
        <v>0</v>
      </c>
      <c r="P41" s="13">
        <f>_xll.BDH("ALNY US Equity","EXTRAORD_ITEMS_ACCOUNTING_CHANGS","FQ1 2022","FQ1 2022","Currency=USD","Period=FQ","BEST_FPERIOD_OVERRIDE=FQ","FILING_STATUS=MR","SCALING_FORMAT=MLN","Sort=A","Dates=H","DateFormat=P","Fill=—","Direction=H","UseDPDF=Y")</f>
        <v>0</v>
      </c>
      <c r="Q41" s="13">
        <f>_xll.BDH("ALNY US Equity","EXTRAORD_ITEMS_ACCOUNTING_CHANGS","FQ2 2022","FQ2 2022","Currency=USD","Period=FQ","BEST_FPERIOD_OVERRIDE=FQ","FILING_STATUS=MR","SCALING_FORMAT=MLN","Sort=A","Dates=H","DateFormat=P","Fill=—","Direction=H","UseDPDF=Y")</f>
        <v>0</v>
      </c>
      <c r="R41" s="13">
        <f>_xll.BDH("ALNY US Equity","EXTRAORD_ITEMS_ACCOUNTING_CHANGS","FQ3 2022","FQ3 2022","Currency=USD","Period=FQ","BEST_FPERIOD_OVERRIDE=FQ","FILING_STATUS=MR","SCALING_FORMAT=MLN","Sort=A","Dates=H","DateFormat=P","Fill=—","Direction=H","UseDPDF=Y")</f>
        <v>0</v>
      </c>
      <c r="S41" s="13">
        <f>_xll.BDH("ALNY US Equity","EXTRAORD_ITEMS_ACCOUNTING_CHANGS","FQ4 2022","FQ4 2022","Currency=USD","Period=FQ","BEST_FPERIOD_OVERRIDE=FQ","FILING_STATUS=MR","SCALING_FORMAT=MLN","Sort=A","Dates=H","DateFormat=P","Fill=—","Direction=H","UseDPDF=Y")</f>
        <v>0</v>
      </c>
      <c r="T41" s="13">
        <f>_xll.BDH("ALNY US Equity","EXTRAORD_ITEMS_ACCOUNTING_CHANGS","FQ1 2023","FQ1 2023","Currency=USD","Period=FQ","BEST_FPERIOD_OVERRIDE=FQ","FILING_STATUS=MR","SCALING_FORMAT=MLN","Sort=A","Dates=H","DateFormat=P","Fill=—","Direction=H","UseDPDF=Y")</f>
        <v>0</v>
      </c>
      <c r="U41" s="13">
        <f>_xll.BDH("ALNY US Equity","EXTRAORD_ITEMS_ACCOUNTING_CHANGS","FQ2 2023","FQ2 2023","Currency=USD","Period=FQ","BEST_FPERIOD_OVERRIDE=FQ","FILING_STATUS=MR","SCALING_FORMAT=MLN","Sort=A","Dates=H","DateFormat=P","Fill=—","Direction=H","UseDPDF=Y")</f>
        <v>0</v>
      </c>
      <c r="V41" s="13">
        <f>_xll.BDH("ALNY US Equity","EXTRAORD_ITEMS_ACCOUNTING_CHANGS","FQ3 2023","FQ3 2023","Currency=USD","Period=FQ","BEST_FPERIOD_OVERRIDE=FQ","FILING_STATUS=MR","SCALING_FORMAT=MLN","Sort=A","Dates=H","DateFormat=P","Fill=—","Direction=H","UseDPDF=Y")</f>
        <v>0</v>
      </c>
      <c r="W41" s="13">
        <f>_xll.BDH("ALNY US Equity","EXTRAORD_ITEMS_ACCOUNTING_CHANGS","FQ4 2023","FQ4 2023","Currency=USD","Period=FQ","BEST_FPERIOD_OVERRIDE=FQ","FILING_STATUS=MR","SCALING_FORMAT=MLN","Sort=A","Dates=H","DateFormat=P","Fill=—","Direction=H","UseDPDF=Y")</f>
        <v>0</v>
      </c>
      <c r="X41" s="13">
        <f>_xll.BDH("ALNY US Equity","EXTRAORD_ITEMS_ACCOUNTING_CHANGS","FQ1 2024","FQ1 2024","Currency=USD","Period=FQ","BEST_FPERIOD_OVERRIDE=FQ","FILING_STATUS=MR","SCALING_FORMAT=MLN","Sort=A","Dates=H","DateFormat=P","Fill=—","Direction=H","UseDPDF=Y")</f>
        <v>0</v>
      </c>
      <c r="Y41" s="13">
        <f>_xll.BDH("ALNY US Equity","EXTRAORD_ITEMS_ACCOUNTING_CHANGS","FQ2 2024","FQ2 2024","Currency=USD","Period=FQ","BEST_FPERIOD_OVERRIDE=FQ","FILING_STATUS=MR","SCALING_FORMAT=MLN","Sort=A","Dates=H","DateFormat=P","Fill=—","Direction=H","UseDPDF=Y")</f>
        <v>0</v>
      </c>
      <c r="Z41" s="13">
        <f>_xll.BDH("ALNY US Equity","EXTRAORD_ITEMS_ACCOUNTING_CHANGS","FQ3 2024","FQ3 2024","Currency=USD","Period=FQ","BEST_FPERIOD_OVERRIDE=FQ","FILING_STATUS=MR","SCALING_FORMAT=MLN","Sort=A","Dates=H","DateFormat=P","Fill=—","Direction=H","UseDPDF=Y")</f>
        <v>0</v>
      </c>
      <c r="AA41" s="13">
        <f>_xll.BDH("ALNY US Equity","EXTRAORD_ITEMS_ACCOUNTING_CHANGS","FQ4 2024","FQ4 2024","Currency=USD","Period=FQ","BEST_FPERIOD_OVERRIDE=FQ","FILING_STATUS=MR","SCALING_FORMAT=MLN","Sort=A","Dates=H","DateFormat=P","Fill=—","Direction=H","UseDPDF=Y")</f>
        <v>0</v>
      </c>
    </row>
    <row r="42" spans="1:27" x14ac:dyDescent="0.25">
      <c r="A42" s="6" t="s">
        <v>628</v>
      </c>
      <c r="B42" s="6" t="s">
        <v>629</v>
      </c>
      <c r="C42" s="19">
        <f>_xll.BDH("ALNY US Equity","INC_BEF_XO_LESS_MIN_INT_PREF_DVD","FQ4 2018","FQ4 2018","Currency=USD","Period=FQ","BEST_FPERIOD_OVERRIDE=FQ","FILING_STATUS=MR","SCALING_FORMAT=MLN","FA_ADJUSTED=GAAP","Sort=A","Dates=H","DateFormat=P","Fill=—","Direction=H","UseDPDF=Y")</f>
        <v>-211.441</v>
      </c>
      <c r="D42" s="19">
        <f>_xll.BDH("ALNY US Equity","INC_BEF_XO_LESS_MIN_INT_PREF_DVD","FQ1 2019","FQ1 2019","Currency=USD","Period=FQ","BEST_FPERIOD_OVERRIDE=FQ","FILING_STATUS=MR","SCALING_FORMAT=MLN","FA_ADJUSTED=GAAP","Sort=A","Dates=H","DateFormat=P","Fill=—","Direction=H","UseDPDF=Y")</f>
        <v>-181.91499999999999</v>
      </c>
      <c r="E42" s="19">
        <f>_xll.BDH("ALNY US Equity","INC_BEF_XO_LESS_MIN_INT_PREF_DVD","FQ2 2019","FQ2 2019","Currency=USD","Period=FQ","BEST_FPERIOD_OVERRIDE=FQ","FILING_STATUS=MR","SCALING_FORMAT=MLN","FA_ADJUSTED=GAAP","Sort=A","Dates=H","DateFormat=P","Fill=—","Direction=H","UseDPDF=Y")</f>
        <v>-219.48099999999999</v>
      </c>
      <c r="F42" s="19">
        <f>_xll.BDH("ALNY US Equity","INC_BEF_XO_LESS_MIN_INT_PREF_DVD","FQ3 2019","FQ3 2019","Currency=USD","Period=FQ","BEST_FPERIOD_OVERRIDE=FQ","FILING_STATUS=MR","SCALING_FORMAT=MLN","FA_ADJUSTED=GAAP","Sort=A","Dates=H","DateFormat=P","Fill=—","Direction=H","UseDPDF=Y")</f>
        <v>-208.535</v>
      </c>
      <c r="G42" s="19">
        <f>_xll.BDH("ALNY US Equity","INC_BEF_XO_LESS_MIN_INT_PREF_DVD","FQ4 2019","FQ4 2019","Currency=USD","Period=FQ","BEST_FPERIOD_OVERRIDE=FQ","FILING_STATUS=MR","SCALING_FORMAT=MLN","FA_ADJUSTED=GAAP","Sort=A","Dates=H","DateFormat=P","Fill=—","Direction=H","UseDPDF=Y")</f>
        <v>-276.185</v>
      </c>
      <c r="H42" s="19">
        <f>_xll.BDH("ALNY US Equity","INC_BEF_XO_LESS_MIN_INT_PREF_DVD","FQ1 2020","FQ1 2020","Currency=USD","Period=FQ","BEST_FPERIOD_OVERRIDE=FQ","FILING_STATUS=MR","SCALING_FORMAT=MLN","FA_ADJUSTED=GAAP","Sort=A","Dates=H","DateFormat=P","Fill=—","Direction=H","UseDPDF=Y")</f>
        <v>-182.221</v>
      </c>
      <c r="I42" s="19">
        <f>_xll.BDH("ALNY US Equity","INC_BEF_XO_LESS_MIN_INT_PREF_DVD","FQ2 2020","FQ2 2020","Currency=USD","Period=FQ","BEST_FPERIOD_OVERRIDE=FQ","FILING_STATUS=MR","SCALING_FORMAT=MLN","FA_ADJUSTED=GAAP","Sort=A","Dates=H","DateFormat=P","Fill=—","Direction=H","UseDPDF=Y")</f>
        <v>-179.22900000000001</v>
      </c>
      <c r="J42" s="19">
        <f>_xll.BDH("ALNY US Equity","INC_BEF_XO_LESS_MIN_INT_PREF_DVD","FQ3 2020","FQ3 2020","Currency=USD","Period=FQ","BEST_FPERIOD_OVERRIDE=FQ","FILING_STATUS=MR","SCALING_FORMAT=MLN","FA_ADJUSTED=GAAP","Sort=A","Dates=H","DateFormat=P","Fill=—","Direction=H","UseDPDF=Y")</f>
        <v>-253.291</v>
      </c>
      <c r="K42" s="19">
        <f>_xll.BDH("ALNY US Equity","INC_BEF_XO_LESS_MIN_INT_PREF_DVD","FQ4 2020","FQ4 2020","Currency=USD","Period=FQ","BEST_FPERIOD_OVERRIDE=FQ","FILING_STATUS=MR","SCALING_FORMAT=MLN","FA_ADJUSTED=GAAP","Sort=A","Dates=H","DateFormat=P","Fill=—","Direction=H","UseDPDF=Y")</f>
        <v>-243.54</v>
      </c>
      <c r="L42" s="19">
        <f>_xll.BDH("ALNY US Equity","INC_BEF_XO_LESS_MIN_INT_PREF_DVD","FQ1 2021","FQ1 2021","Currency=USD","Period=FQ","BEST_FPERIOD_OVERRIDE=FQ","FILING_STATUS=MR","SCALING_FORMAT=MLN","FA_ADJUSTED=GAAP","Sort=A","Dates=H","DateFormat=P","Fill=—","Direction=H","UseDPDF=Y")</f>
        <v>-200.291</v>
      </c>
      <c r="M42" s="19">
        <f>_xll.BDH("ALNY US Equity","INC_BEF_XO_LESS_MIN_INT_PREF_DVD","FQ2 2021","FQ2 2021","Currency=USD","Period=FQ","BEST_FPERIOD_OVERRIDE=FQ","FILING_STATUS=MR","SCALING_FORMAT=MLN","FA_ADJUSTED=GAAP","Sort=A","Dates=H","DateFormat=P","Fill=—","Direction=H","UseDPDF=Y")</f>
        <v>-189.559</v>
      </c>
      <c r="N42" s="19">
        <f>_xll.BDH("ALNY US Equity","INC_BEF_XO_LESS_MIN_INT_PREF_DVD","FQ3 2021","FQ3 2021","Currency=USD","Period=FQ","BEST_FPERIOD_OVERRIDE=FQ","FILING_STATUS=MR","SCALING_FORMAT=MLN","FA_ADJUSTED=GAAP","Sort=A","Dates=H","DateFormat=P","Fill=—","Direction=H","UseDPDF=Y")</f>
        <v>-204.51400000000001</v>
      </c>
      <c r="O42" s="19">
        <f>_xll.BDH("ALNY US Equity","INC_BEF_XO_LESS_MIN_INT_PREF_DVD","FQ4 2021","FQ4 2021","Currency=USD","Period=FQ","BEST_FPERIOD_OVERRIDE=FQ","FILING_STATUS=MR","SCALING_FORMAT=MLN","FA_ADJUSTED=GAAP","Sort=A","Dates=H","DateFormat=P","Fill=—","Direction=H","UseDPDF=Y")</f>
        <v>-258.45999999999998</v>
      </c>
      <c r="P42" s="19">
        <f>_xll.BDH("ALNY US Equity","INC_BEF_XO_LESS_MIN_INT_PREF_DVD","FQ1 2022","FQ1 2022","Currency=USD","Period=FQ","BEST_FPERIOD_OVERRIDE=FQ","FILING_STATUS=MR","SCALING_FORMAT=MLN","FA_ADJUSTED=GAAP","Sort=A","Dates=H","DateFormat=P","Fill=—","Direction=H","UseDPDF=Y")</f>
        <v>-240.34100000000001</v>
      </c>
      <c r="Q42" s="19">
        <f>_xll.BDH("ALNY US Equity","INC_BEF_XO_LESS_MIN_INT_PREF_DVD","FQ2 2022","FQ2 2022","Currency=USD","Period=FQ","BEST_FPERIOD_OVERRIDE=FQ","FILING_STATUS=MR","SCALING_FORMAT=MLN","FA_ADJUSTED=GAAP","Sort=A","Dates=H","DateFormat=P","Fill=—","Direction=H","UseDPDF=Y")</f>
        <v>-277.40199999999999</v>
      </c>
      <c r="R42" s="19">
        <f>_xll.BDH("ALNY US Equity","INC_BEF_XO_LESS_MIN_INT_PREF_DVD","FQ3 2022","FQ3 2022","Currency=USD","Period=FQ","BEST_FPERIOD_OVERRIDE=FQ","FILING_STATUS=MR","SCALING_FORMAT=MLN","FA_ADJUSTED=GAAP","Sort=A","Dates=H","DateFormat=P","Fill=—","Direction=H","UseDPDF=Y")</f>
        <v>-405.92</v>
      </c>
      <c r="S42" s="19">
        <f>_xll.BDH("ALNY US Equity","INC_BEF_XO_LESS_MIN_INT_PREF_DVD","FQ4 2022","FQ4 2022","Currency=USD","Period=FQ","BEST_FPERIOD_OVERRIDE=FQ","FILING_STATUS=MR","SCALING_FORMAT=MLN","FA_ADJUSTED=GAAP","Sort=A","Dates=H","DateFormat=P","Fill=—","Direction=H","UseDPDF=Y")</f>
        <v>-207.49299999999999</v>
      </c>
      <c r="T42" s="19">
        <f>_xll.BDH("ALNY US Equity","INC_BEF_XO_LESS_MIN_INT_PREF_DVD","FQ1 2023","FQ1 2023","Currency=USD","Period=FQ","BEST_FPERIOD_OVERRIDE=FQ","FILING_STATUS=MR","SCALING_FORMAT=MLN","FA_ADJUSTED=GAAP","Sort=A","Dates=H","DateFormat=P","Fill=—","Direction=H","UseDPDF=Y")</f>
        <v>-174.101</v>
      </c>
      <c r="U42" s="19">
        <f>_xll.BDH("ALNY US Equity","INC_BEF_XO_LESS_MIN_INT_PREF_DVD","FQ2 2023","FQ2 2023","Currency=USD","Period=FQ","BEST_FPERIOD_OVERRIDE=FQ","FILING_STATUS=MR","SCALING_FORMAT=MLN","FA_ADJUSTED=GAAP","Sort=A","Dates=H","DateFormat=P","Fill=—","Direction=H","UseDPDF=Y")</f>
        <v>-276.024</v>
      </c>
      <c r="V42" s="19">
        <f>_xll.BDH("ALNY US Equity","INC_BEF_XO_LESS_MIN_INT_PREF_DVD","FQ3 2023","FQ3 2023","Currency=USD","Period=FQ","BEST_FPERIOD_OVERRIDE=FQ","FILING_STATUS=MR","SCALING_FORMAT=MLN","FA_ADJUSTED=GAAP","Sort=A","Dates=H","DateFormat=P","Fill=—","Direction=H","UseDPDF=Y")</f>
        <v>147.75299999999999</v>
      </c>
      <c r="W42" s="19">
        <f>_xll.BDH("ALNY US Equity","INC_BEF_XO_LESS_MIN_INT_PREF_DVD","FQ4 2023","FQ4 2023","Currency=USD","Period=FQ","BEST_FPERIOD_OVERRIDE=FQ","FILING_STATUS=MR","SCALING_FORMAT=MLN","FA_ADJUSTED=GAAP","Sort=A","Dates=H","DateFormat=P","Fill=—","Direction=H","UseDPDF=Y")</f>
        <v>-137.87</v>
      </c>
      <c r="X42" s="19">
        <f>_xll.BDH("ALNY US Equity","INC_BEF_XO_LESS_MIN_INT_PREF_DVD","FQ1 2024","FQ1 2024","Currency=USD","Period=FQ","BEST_FPERIOD_OVERRIDE=FQ","FILING_STATUS=MR","SCALING_FORMAT=MLN","FA_ADJUSTED=GAAP","Sort=A","Dates=H","DateFormat=P","Fill=—","Direction=H","UseDPDF=Y")</f>
        <v>-65.935000000000002</v>
      </c>
      <c r="Y42" s="19">
        <f>_xll.BDH("ALNY US Equity","INC_BEF_XO_LESS_MIN_INT_PREF_DVD","FQ2 2024","FQ2 2024","Currency=USD","Period=FQ","BEST_FPERIOD_OVERRIDE=FQ","FILING_STATUS=MR","SCALING_FORMAT=MLN","FA_ADJUSTED=GAAP","Sort=A","Dates=H","DateFormat=P","Fill=—","Direction=H","UseDPDF=Y")</f>
        <v>-16.888999999999999</v>
      </c>
      <c r="Z42" s="19">
        <f>_xll.BDH("ALNY US Equity","INC_BEF_XO_LESS_MIN_INT_PREF_DVD","FQ3 2024","FQ3 2024","Currency=USD","Period=FQ","BEST_FPERIOD_OVERRIDE=FQ","FILING_STATUS=MR","SCALING_FORMAT=MLN","FA_ADJUSTED=GAAP","Sort=A","Dates=H","DateFormat=P","Fill=—","Direction=H","UseDPDF=Y")</f>
        <v>-111.57</v>
      </c>
      <c r="AA42" s="19">
        <f>_xll.BDH("ALNY US Equity","INC_BEF_XO_LESS_MIN_INT_PREF_DVD","FQ4 2024","FQ4 2024","Currency=USD","Period=FQ","BEST_FPERIOD_OVERRIDE=FQ","FILING_STATUS=MR","SCALING_FORMAT=MLN","FA_ADJUSTED=GAAP","Sort=A","Dates=H","DateFormat=P","Fill=—","Direction=H","UseDPDF=Y")</f>
        <v>-83.763000000000005</v>
      </c>
    </row>
    <row r="43" spans="1:27" x14ac:dyDescent="0.25">
      <c r="A43" s="10" t="s">
        <v>614</v>
      </c>
      <c r="B43" s="10" t="s">
        <v>630</v>
      </c>
      <c r="C43" s="13" t="str">
        <f>_xll.BDH("ALNY US Equity","IS_MA_EXPENSE_AFTER_TAX","FQ4 2018","FQ4 2018","Currency=USD","Period=FQ","BEST_FPERIOD_OVERRIDE=FQ","FILING_STATUS=MR","SCALING_FORMAT=MLN","Sort=A","Dates=H","DateFormat=P","Fill=—","Direction=H","UseDPDF=Y")</f>
        <v>—</v>
      </c>
      <c r="D43" s="13" t="str">
        <f>_xll.BDH("ALNY US Equity","IS_MA_EXPENSE_AFTER_TAX","FQ1 2019","FQ1 2019","Currency=USD","Period=FQ","BEST_FPERIOD_OVERRIDE=FQ","FILING_STATUS=MR","SCALING_FORMAT=MLN","Sort=A","Dates=H","DateFormat=P","Fill=—","Direction=H","UseDPDF=Y")</f>
        <v>—</v>
      </c>
      <c r="E43" s="13" t="str">
        <f>_xll.BDH("ALNY US Equity","IS_MA_EXPENSE_AFTER_TAX","FQ2 2019","FQ2 2019","Currency=USD","Period=FQ","BEST_FPERIOD_OVERRIDE=FQ","FILING_STATUS=MR","SCALING_FORMAT=MLN","Sort=A","Dates=H","DateFormat=P","Fill=—","Direction=H","UseDPDF=Y")</f>
        <v>—</v>
      </c>
      <c r="F43" s="13" t="str">
        <f>_xll.BDH("ALNY US Equity","IS_MA_EXPENSE_AFTER_TAX","FQ3 2019","FQ3 2019","Currency=USD","Period=FQ","BEST_FPERIOD_OVERRIDE=FQ","FILING_STATUS=MR","SCALING_FORMAT=MLN","Sort=A","Dates=H","DateFormat=P","Fill=—","Direction=H","UseDPDF=Y")</f>
        <v>—</v>
      </c>
      <c r="G43" s="13" t="str">
        <f>_xll.BDH("ALNY US Equity","IS_MA_EXPENSE_AFTER_TAX","FQ4 2019","FQ4 2019","Currency=USD","Period=FQ","BEST_FPERIOD_OVERRIDE=FQ","FILING_STATUS=MR","SCALING_FORMAT=MLN","Sort=A","Dates=H","DateFormat=P","Fill=—","Direction=H","UseDPDF=Y")</f>
        <v>—</v>
      </c>
      <c r="H43" s="13" t="str">
        <f>_xll.BDH("ALNY US Equity","IS_MA_EXPENSE_AFTER_TAX","FQ1 2020","FQ1 2020","Currency=USD","Period=FQ","BEST_FPERIOD_OVERRIDE=FQ","FILING_STATUS=MR","SCALING_FORMAT=MLN","Sort=A","Dates=H","DateFormat=P","Fill=—","Direction=H","UseDPDF=Y")</f>
        <v>—</v>
      </c>
      <c r="I43" s="13" t="str">
        <f>_xll.BDH("ALNY US Equity","IS_MA_EXPENSE_AFTER_TAX","FQ2 2020","FQ2 2020","Currency=USD","Period=FQ","BEST_FPERIOD_OVERRIDE=FQ","FILING_STATUS=MR","SCALING_FORMAT=MLN","Sort=A","Dates=H","DateFormat=P","Fill=—","Direction=H","UseDPDF=Y")</f>
        <v>—</v>
      </c>
      <c r="J43" s="13">
        <f>_xll.BDH("ALNY US Equity","IS_MA_EXPENSE_AFTER_TAX","FQ3 2020","FQ3 2020","Currency=USD","Period=FQ","BEST_FPERIOD_OVERRIDE=FQ","FILING_STATUS=MR","SCALING_FORMAT=MLN","Sort=A","Dates=H","DateFormat=P","Fill=—","Direction=H","UseDPDF=Y")</f>
        <v>28</v>
      </c>
      <c r="K43" s="13">
        <f>_xll.BDH("ALNY US Equity","IS_MA_EXPENSE_AFTER_TAX","FQ4 2020","FQ4 2020","Currency=USD","Period=FQ","BEST_FPERIOD_OVERRIDE=FQ","FILING_STATUS=MR","SCALING_FORMAT=MLN","Sort=A","Dates=H","DateFormat=P","Fill=—","Direction=H","UseDPDF=Y")</f>
        <v>10.215999999999999</v>
      </c>
      <c r="L43" s="13" t="str">
        <f>_xll.BDH("ALNY US Equity","IS_MA_EXPENSE_AFTER_TAX","FQ1 2021","FQ1 2021","Currency=USD","Period=FQ","BEST_FPERIOD_OVERRIDE=FQ","FILING_STATUS=MR","SCALING_FORMAT=MLN","Sort=A","Dates=H","DateFormat=P","Fill=—","Direction=H","UseDPDF=Y")</f>
        <v>—</v>
      </c>
      <c r="M43" s="13" t="str">
        <f>_xll.BDH("ALNY US Equity","IS_MA_EXPENSE_AFTER_TAX","FQ2 2021","FQ2 2021","Currency=USD","Period=FQ","BEST_FPERIOD_OVERRIDE=FQ","FILING_STATUS=MR","SCALING_FORMAT=MLN","Sort=A","Dates=H","DateFormat=P","Fill=—","Direction=H","UseDPDF=Y")</f>
        <v>—</v>
      </c>
      <c r="N43" s="13" t="str">
        <f>_xll.BDH("ALNY US Equity","IS_MA_EXPENSE_AFTER_TAX","FQ3 2021","FQ3 2021","Currency=USD","Period=FQ","BEST_FPERIOD_OVERRIDE=FQ","FILING_STATUS=MR","SCALING_FORMAT=MLN","Sort=A","Dates=H","DateFormat=P","Fill=—","Direction=H","UseDPDF=Y")</f>
        <v>—</v>
      </c>
      <c r="O43" s="13" t="str">
        <f>_xll.BDH("ALNY US Equity","IS_MA_EXPENSE_AFTER_TAX","FQ4 2021","FQ4 2021","Currency=USD","Period=FQ","BEST_FPERIOD_OVERRIDE=FQ","FILING_STATUS=MR","SCALING_FORMAT=MLN","Sort=A","Dates=H","DateFormat=P","Fill=—","Direction=H","UseDPDF=Y")</f>
        <v>—</v>
      </c>
      <c r="P43" s="13" t="str">
        <f>_xll.BDH("ALNY US Equity","IS_MA_EXPENSE_AFTER_TAX","FQ1 2022","FQ1 2022","Currency=USD","Period=FQ","BEST_FPERIOD_OVERRIDE=FQ","FILING_STATUS=MR","SCALING_FORMAT=MLN","Sort=A","Dates=H","DateFormat=P","Fill=—","Direction=H","UseDPDF=Y")</f>
        <v>—</v>
      </c>
      <c r="Q43" s="13" t="str">
        <f>_xll.BDH("ALNY US Equity","IS_MA_EXPENSE_AFTER_TAX","FQ2 2022","FQ2 2022","Currency=USD","Period=FQ","BEST_FPERIOD_OVERRIDE=FQ","FILING_STATUS=MR","SCALING_FORMAT=MLN","Sort=A","Dates=H","DateFormat=P","Fill=—","Direction=H","UseDPDF=Y")</f>
        <v>—</v>
      </c>
      <c r="R43" s="13" t="str">
        <f>_xll.BDH("ALNY US Equity","IS_MA_EXPENSE_AFTER_TAX","FQ3 2022","FQ3 2022","Currency=USD","Period=FQ","BEST_FPERIOD_OVERRIDE=FQ","FILING_STATUS=MR","SCALING_FORMAT=MLN","Sort=A","Dates=H","DateFormat=P","Fill=—","Direction=H","UseDPDF=Y")</f>
        <v>—</v>
      </c>
      <c r="S43" s="13" t="str">
        <f>_xll.BDH("ALNY US Equity","IS_MA_EXPENSE_AFTER_TAX","FQ4 2022","FQ4 2022","Currency=USD","Period=FQ","BEST_FPERIOD_OVERRIDE=FQ","FILING_STATUS=MR","SCALING_FORMAT=MLN","Sort=A","Dates=H","DateFormat=P","Fill=—","Direction=H","UseDPDF=Y")</f>
        <v>—</v>
      </c>
      <c r="T43" s="13" t="str">
        <f>_xll.BDH("ALNY US Equity","IS_MA_EXPENSE_AFTER_TAX","FQ1 2023","FQ1 2023","Currency=USD","Period=FQ","BEST_FPERIOD_OVERRIDE=FQ","FILING_STATUS=MR","SCALING_FORMAT=MLN","Sort=A","Dates=H","DateFormat=P","Fill=—","Direction=H","UseDPDF=Y")</f>
        <v>—</v>
      </c>
      <c r="U43" s="13" t="str">
        <f>_xll.BDH("ALNY US Equity","IS_MA_EXPENSE_AFTER_TAX","FQ2 2023","FQ2 2023","Currency=USD","Period=FQ","BEST_FPERIOD_OVERRIDE=FQ","FILING_STATUS=MR","SCALING_FORMAT=MLN","Sort=A","Dates=H","DateFormat=P","Fill=—","Direction=H","UseDPDF=Y")</f>
        <v>—</v>
      </c>
      <c r="V43" s="13" t="str">
        <f>_xll.BDH("ALNY US Equity","IS_MA_EXPENSE_AFTER_TAX","FQ3 2023","FQ3 2023","Currency=USD","Period=FQ","BEST_FPERIOD_OVERRIDE=FQ","FILING_STATUS=MR","SCALING_FORMAT=MLN","Sort=A","Dates=H","DateFormat=P","Fill=—","Direction=H","UseDPDF=Y")</f>
        <v>—</v>
      </c>
      <c r="W43" s="13" t="str">
        <f>_xll.BDH("ALNY US Equity","IS_MA_EXPENSE_AFTER_TAX","FQ4 2023","FQ4 2023","Currency=USD","Period=FQ","BEST_FPERIOD_OVERRIDE=FQ","FILING_STATUS=MR","SCALING_FORMAT=MLN","Sort=A","Dates=H","DateFormat=P","Fill=—","Direction=H","UseDPDF=Y")</f>
        <v>—</v>
      </c>
      <c r="X43" s="13" t="str">
        <f>_xll.BDH("ALNY US Equity","IS_MA_EXPENSE_AFTER_TAX","FQ1 2024","FQ1 2024","Currency=USD","Period=FQ","BEST_FPERIOD_OVERRIDE=FQ","FILING_STATUS=MR","SCALING_FORMAT=MLN","Sort=A","Dates=H","DateFormat=P","Fill=—","Direction=H","UseDPDF=Y")</f>
        <v>—</v>
      </c>
      <c r="Y43" s="13" t="str">
        <f>_xll.BDH("ALNY US Equity","IS_MA_EXPENSE_AFTER_TAX","FQ2 2024","FQ2 2024","Currency=USD","Period=FQ","BEST_FPERIOD_OVERRIDE=FQ","FILING_STATUS=MR","SCALING_FORMAT=MLN","Sort=A","Dates=H","DateFormat=P","Fill=—","Direction=H","UseDPDF=Y")</f>
        <v>—</v>
      </c>
      <c r="Z43" s="13" t="str">
        <f>_xll.BDH("ALNY US Equity","IS_MA_EXPENSE_AFTER_TAX","FQ3 2024","FQ3 2024","Currency=USD","Period=FQ","BEST_FPERIOD_OVERRIDE=FQ","FILING_STATUS=MR","SCALING_FORMAT=MLN","Sort=A","Dates=H","DateFormat=P","Fill=—","Direction=H","UseDPDF=Y")</f>
        <v>—</v>
      </c>
      <c r="AA43" s="13" t="str">
        <f>_xll.BDH("ALNY US Equity","IS_MA_EXPENSE_AFTER_TAX","FQ4 2024","FQ4 2024","Currency=USD","Period=FQ","BEST_FPERIOD_OVERRIDE=FQ","FILING_STATUS=MR","SCALING_FORMAT=MLN","Sort=A","Dates=H","DateFormat=P","Fill=—","Direction=H","UseDPDF=Y")</f>
        <v>—</v>
      </c>
    </row>
    <row r="44" spans="1:27" x14ac:dyDescent="0.25">
      <c r="A44" s="10" t="s">
        <v>621</v>
      </c>
      <c r="B44" s="10" t="s">
        <v>631</v>
      </c>
      <c r="C44" s="13" t="str">
        <f>_xll.BDH("ALNY US Equity","IS_EEOD_AFTER_TAX","FQ4 2018","FQ4 2018","Currency=USD","Period=FQ","BEST_FPERIOD_OVERRIDE=FQ","FILING_STATUS=MR","SCALING_FORMAT=MLN","Sort=A","Dates=H","DateFormat=P","Fill=—","Direction=H","UseDPDF=Y")</f>
        <v>—</v>
      </c>
      <c r="D44" s="13" t="str">
        <f>_xll.BDH("ALNY US Equity","IS_EEOD_AFTER_TAX","FQ1 2019","FQ1 2019","Currency=USD","Period=FQ","BEST_FPERIOD_OVERRIDE=FQ","FILING_STATUS=MR","SCALING_FORMAT=MLN","Sort=A","Dates=H","DateFormat=P","Fill=—","Direction=H","UseDPDF=Y")</f>
        <v>—</v>
      </c>
      <c r="E44" s="13" t="str">
        <f>_xll.BDH("ALNY US Equity","IS_EEOD_AFTER_TAX","FQ2 2019","FQ2 2019","Currency=USD","Period=FQ","BEST_FPERIOD_OVERRIDE=FQ","FILING_STATUS=MR","SCALING_FORMAT=MLN","Sort=A","Dates=H","DateFormat=P","Fill=—","Direction=H","UseDPDF=Y")</f>
        <v>—</v>
      </c>
      <c r="F44" s="13" t="str">
        <f>_xll.BDH("ALNY US Equity","IS_EEOD_AFTER_TAX","FQ3 2019","FQ3 2019","Currency=USD","Period=FQ","BEST_FPERIOD_OVERRIDE=FQ","FILING_STATUS=MR","SCALING_FORMAT=MLN","Sort=A","Dates=H","DateFormat=P","Fill=—","Direction=H","UseDPDF=Y")</f>
        <v>—</v>
      </c>
      <c r="G44" s="13" t="str">
        <f>_xll.BDH("ALNY US Equity","IS_EEOD_AFTER_TAX","FQ4 2019","FQ4 2019","Currency=USD","Period=FQ","BEST_FPERIOD_OVERRIDE=FQ","FILING_STATUS=MR","SCALING_FORMAT=MLN","Sort=A","Dates=H","DateFormat=P","Fill=—","Direction=H","UseDPDF=Y")</f>
        <v>—</v>
      </c>
      <c r="H44" s="13" t="str">
        <f>_xll.BDH("ALNY US Equity","IS_EEOD_AFTER_TAX","FQ1 2020","FQ1 2020","Currency=USD","Period=FQ","BEST_FPERIOD_OVERRIDE=FQ","FILING_STATUS=MR","SCALING_FORMAT=MLN","Sort=A","Dates=H","DateFormat=P","Fill=—","Direction=H","UseDPDF=Y")</f>
        <v>—</v>
      </c>
      <c r="I44" s="13" t="str">
        <f>_xll.BDH("ALNY US Equity","IS_EEOD_AFTER_TAX","FQ2 2020","FQ2 2020","Currency=USD","Period=FQ","BEST_FPERIOD_OVERRIDE=FQ","FILING_STATUS=MR","SCALING_FORMAT=MLN","Sort=A","Dates=H","DateFormat=P","Fill=—","Direction=H","UseDPDF=Y")</f>
        <v>—</v>
      </c>
      <c r="J44" s="13" t="str">
        <f>_xll.BDH("ALNY US Equity","IS_EEOD_AFTER_TAX","FQ3 2020","FQ3 2020","Currency=USD","Period=FQ","BEST_FPERIOD_OVERRIDE=FQ","FILING_STATUS=MR","SCALING_FORMAT=MLN","Sort=A","Dates=H","DateFormat=P","Fill=—","Direction=H","UseDPDF=Y")</f>
        <v>—</v>
      </c>
      <c r="K44" s="13" t="str">
        <f>_xll.BDH("ALNY US Equity","IS_EEOD_AFTER_TAX","FQ4 2020","FQ4 2020","Currency=USD","Period=FQ","BEST_FPERIOD_OVERRIDE=FQ","FILING_STATUS=MR","SCALING_FORMAT=MLN","Sort=A","Dates=H","DateFormat=P","Fill=—","Direction=H","UseDPDF=Y")</f>
        <v>—</v>
      </c>
      <c r="L44" s="13" t="str">
        <f>_xll.BDH("ALNY US Equity","IS_EEOD_AFTER_TAX","FQ1 2021","FQ1 2021","Currency=USD","Period=FQ","BEST_FPERIOD_OVERRIDE=FQ","FILING_STATUS=MR","SCALING_FORMAT=MLN","Sort=A","Dates=H","DateFormat=P","Fill=—","Direction=H","UseDPDF=Y")</f>
        <v>—</v>
      </c>
      <c r="M44" s="13" t="str">
        <f>_xll.BDH("ALNY US Equity","IS_EEOD_AFTER_TAX","FQ2 2021","FQ2 2021","Currency=USD","Period=FQ","BEST_FPERIOD_OVERRIDE=FQ","FILING_STATUS=MR","SCALING_FORMAT=MLN","Sort=A","Dates=H","DateFormat=P","Fill=—","Direction=H","UseDPDF=Y")</f>
        <v>—</v>
      </c>
      <c r="N44" s="13" t="str">
        <f>_xll.BDH("ALNY US Equity","IS_EEOD_AFTER_TAX","FQ3 2021","FQ3 2021","Currency=USD","Period=FQ","BEST_FPERIOD_OVERRIDE=FQ","FILING_STATUS=MR","SCALING_FORMAT=MLN","Sort=A","Dates=H","DateFormat=P","Fill=—","Direction=H","UseDPDF=Y")</f>
        <v>—</v>
      </c>
      <c r="O44" s="13" t="str">
        <f>_xll.BDH("ALNY US Equity","IS_EEOD_AFTER_TAX","FQ4 2021","FQ4 2021","Currency=USD","Period=FQ","BEST_FPERIOD_OVERRIDE=FQ","FILING_STATUS=MR","SCALING_FORMAT=MLN","Sort=A","Dates=H","DateFormat=P","Fill=—","Direction=H","UseDPDF=Y")</f>
        <v>—</v>
      </c>
      <c r="P44" s="13" t="str">
        <f>_xll.BDH("ALNY US Equity","IS_EEOD_AFTER_TAX","FQ1 2022","FQ1 2022","Currency=USD","Period=FQ","BEST_FPERIOD_OVERRIDE=FQ","FILING_STATUS=MR","SCALING_FORMAT=MLN","Sort=A","Dates=H","DateFormat=P","Fill=—","Direction=H","UseDPDF=Y")</f>
        <v>—</v>
      </c>
      <c r="Q44" s="13" t="str">
        <f>_xll.BDH("ALNY US Equity","IS_EEOD_AFTER_TAX","FQ2 2022","FQ2 2022","Currency=USD","Period=FQ","BEST_FPERIOD_OVERRIDE=FQ","FILING_STATUS=MR","SCALING_FORMAT=MLN","Sort=A","Dates=H","DateFormat=P","Fill=—","Direction=H","UseDPDF=Y")</f>
        <v>—</v>
      </c>
      <c r="R44" s="13">
        <f>_xll.BDH("ALNY US Equity","IS_EEOD_AFTER_TAX","FQ3 2022","FQ3 2022","Currency=USD","Period=FQ","BEST_FPERIOD_OVERRIDE=FQ","FILING_STATUS=MR","SCALING_FORMAT=MLN","Sort=A","Dates=H","DateFormat=P","Fill=—","Direction=H","UseDPDF=Y")</f>
        <v>76.585999999999999</v>
      </c>
      <c r="S44" s="13" t="str">
        <f>_xll.BDH("ALNY US Equity","IS_EEOD_AFTER_TAX","FQ4 2022","FQ4 2022","Currency=USD","Period=FQ","BEST_FPERIOD_OVERRIDE=FQ","FILING_STATUS=MR","SCALING_FORMAT=MLN","Sort=A","Dates=H","DateFormat=P","Fill=—","Direction=H","UseDPDF=Y")</f>
        <v>—</v>
      </c>
      <c r="T44" s="13" t="str">
        <f>_xll.BDH("ALNY US Equity","IS_EEOD_AFTER_TAX","FQ1 2023","FQ1 2023","Currency=USD","Period=FQ","BEST_FPERIOD_OVERRIDE=FQ","FILING_STATUS=MR","SCALING_FORMAT=MLN","Sort=A","Dates=H","DateFormat=P","Fill=—","Direction=H","UseDPDF=Y")</f>
        <v>—</v>
      </c>
      <c r="U44" s="13" t="str">
        <f>_xll.BDH("ALNY US Equity","IS_EEOD_AFTER_TAX","FQ2 2023","FQ2 2023","Currency=USD","Period=FQ","BEST_FPERIOD_OVERRIDE=FQ","FILING_STATUS=MR","SCALING_FORMAT=MLN","Sort=A","Dates=H","DateFormat=P","Fill=—","Direction=H","UseDPDF=Y")</f>
        <v>—</v>
      </c>
      <c r="V44" s="13" t="str">
        <f>_xll.BDH("ALNY US Equity","IS_EEOD_AFTER_TAX","FQ3 2023","FQ3 2023","Currency=USD","Period=FQ","BEST_FPERIOD_OVERRIDE=FQ","FILING_STATUS=MR","SCALING_FORMAT=MLN","Sort=A","Dates=H","DateFormat=P","Fill=—","Direction=H","UseDPDF=Y")</f>
        <v>—</v>
      </c>
      <c r="W44" s="13" t="str">
        <f>_xll.BDH("ALNY US Equity","IS_EEOD_AFTER_TAX","FQ4 2023","FQ4 2023","Currency=USD","Period=FQ","BEST_FPERIOD_OVERRIDE=FQ","FILING_STATUS=MR","SCALING_FORMAT=MLN","Sort=A","Dates=H","DateFormat=P","Fill=—","Direction=H","UseDPDF=Y")</f>
        <v>—</v>
      </c>
      <c r="X44" s="13" t="str">
        <f>_xll.BDH("ALNY US Equity","IS_EEOD_AFTER_TAX","FQ1 2024","FQ1 2024","Currency=USD","Period=FQ","BEST_FPERIOD_OVERRIDE=FQ","FILING_STATUS=MR","SCALING_FORMAT=MLN","Sort=A","Dates=H","DateFormat=P","Fill=—","Direction=H","UseDPDF=Y")</f>
        <v>—</v>
      </c>
      <c r="Y44" s="13" t="str">
        <f>_xll.BDH("ALNY US Equity","IS_EEOD_AFTER_TAX","FQ2 2024","FQ2 2024","Currency=USD","Period=FQ","BEST_FPERIOD_OVERRIDE=FQ","FILING_STATUS=MR","SCALING_FORMAT=MLN","Sort=A","Dates=H","DateFormat=P","Fill=—","Direction=H","UseDPDF=Y")</f>
        <v>—</v>
      </c>
      <c r="Z44" s="13" t="str">
        <f>_xll.BDH("ALNY US Equity","IS_EEOD_AFTER_TAX","FQ3 2024","FQ3 2024","Currency=USD","Period=FQ","BEST_FPERIOD_OVERRIDE=FQ","FILING_STATUS=MR","SCALING_FORMAT=MLN","Sort=A","Dates=H","DateFormat=P","Fill=—","Direction=H","UseDPDF=Y")</f>
        <v>—</v>
      </c>
      <c r="AA44" s="13" t="str">
        <f>_xll.BDH("ALNY US Equity","IS_EEOD_AFTER_TAX","FQ4 2024","FQ4 2024","Currency=USD","Period=FQ","BEST_FPERIOD_OVERRIDE=FQ","FILING_STATUS=MR","SCALING_FORMAT=MLN","Sort=A","Dates=H","DateFormat=P","Fill=—","Direction=H","UseDPDF=Y")</f>
        <v>—</v>
      </c>
    </row>
    <row r="45" spans="1:27" x14ac:dyDescent="0.25">
      <c r="A45" s="10" t="s">
        <v>616</v>
      </c>
      <c r="B45" s="10" t="s">
        <v>632</v>
      </c>
      <c r="C45" s="13" t="str">
        <f>_xll.BDH("ALNY US Equity","IS_LEGAL_LITIG_SETTLE_AFTER_TAX","FQ4 2018","FQ4 2018","Currency=USD","Period=FQ","BEST_FPERIOD_OVERRIDE=FQ","FILING_STATUS=MR","SCALING_FORMAT=MLN","Sort=A","Dates=H","DateFormat=P","Fill=—","Direction=H","UseDPDF=Y")</f>
        <v>—</v>
      </c>
      <c r="D45" s="13" t="str">
        <f>_xll.BDH("ALNY US Equity","IS_LEGAL_LITIG_SETTLE_AFTER_TAX","FQ1 2019","FQ1 2019","Currency=USD","Period=FQ","BEST_FPERIOD_OVERRIDE=FQ","FILING_STATUS=MR","SCALING_FORMAT=MLN","Sort=A","Dates=H","DateFormat=P","Fill=—","Direction=H","UseDPDF=Y")</f>
        <v>—</v>
      </c>
      <c r="E45" s="13" t="str">
        <f>_xll.BDH("ALNY US Equity","IS_LEGAL_LITIG_SETTLE_AFTER_TAX","FQ2 2019","FQ2 2019","Currency=USD","Period=FQ","BEST_FPERIOD_OVERRIDE=FQ","FILING_STATUS=MR","SCALING_FORMAT=MLN","Sort=A","Dates=H","DateFormat=P","Fill=—","Direction=H","UseDPDF=Y")</f>
        <v>—</v>
      </c>
      <c r="F45" s="13" t="str">
        <f>_xll.BDH("ALNY US Equity","IS_LEGAL_LITIG_SETTLE_AFTER_TAX","FQ3 2019","FQ3 2019","Currency=USD","Period=FQ","BEST_FPERIOD_OVERRIDE=FQ","FILING_STATUS=MR","SCALING_FORMAT=MLN","Sort=A","Dates=H","DateFormat=P","Fill=—","Direction=H","UseDPDF=Y")</f>
        <v>—</v>
      </c>
      <c r="G45" s="13" t="str">
        <f>_xll.BDH("ALNY US Equity","IS_LEGAL_LITIG_SETTLE_AFTER_TAX","FQ4 2019","FQ4 2019","Currency=USD","Period=FQ","BEST_FPERIOD_OVERRIDE=FQ","FILING_STATUS=MR","SCALING_FORMAT=MLN","Sort=A","Dates=H","DateFormat=P","Fill=—","Direction=H","UseDPDF=Y")</f>
        <v>—</v>
      </c>
      <c r="H45" s="13" t="str">
        <f>_xll.BDH("ALNY US Equity","IS_LEGAL_LITIG_SETTLE_AFTER_TAX","FQ1 2020","FQ1 2020","Currency=USD","Period=FQ","BEST_FPERIOD_OVERRIDE=FQ","FILING_STATUS=MR","SCALING_FORMAT=MLN","Sort=A","Dates=H","DateFormat=P","Fill=—","Direction=H","UseDPDF=Y")</f>
        <v>—</v>
      </c>
      <c r="I45" s="13">
        <f>_xll.BDH("ALNY US Equity","IS_LEGAL_LITIG_SETTLE_AFTER_TAX","FQ2 2020","FQ2 2020","Currency=USD","Period=FQ","BEST_FPERIOD_OVERRIDE=FQ","FILING_STATUS=MR","SCALING_FORMAT=MLN","Sort=A","Dates=H","DateFormat=P","Fill=—","Direction=H","UseDPDF=Y")</f>
        <v>-0.64200000000000002</v>
      </c>
      <c r="J45" s="13">
        <f>_xll.BDH("ALNY US Equity","IS_LEGAL_LITIG_SETTLE_AFTER_TAX","FQ3 2020","FQ3 2020","Currency=USD","Period=FQ","BEST_FPERIOD_OVERRIDE=FQ","FILING_STATUS=MR","SCALING_FORMAT=MLN","Sort=A","Dates=H","DateFormat=P","Fill=—","Direction=H","UseDPDF=Y")</f>
        <v>0.65</v>
      </c>
      <c r="K45" s="13" t="str">
        <f>_xll.BDH("ALNY US Equity","IS_LEGAL_LITIG_SETTLE_AFTER_TAX","FQ4 2020","FQ4 2020","Currency=USD","Period=FQ","BEST_FPERIOD_OVERRIDE=FQ","FILING_STATUS=MR","SCALING_FORMAT=MLN","Sort=A","Dates=H","DateFormat=P","Fill=—","Direction=H","UseDPDF=Y")</f>
        <v>—</v>
      </c>
      <c r="L45" s="13" t="str">
        <f>_xll.BDH("ALNY US Equity","IS_LEGAL_LITIG_SETTLE_AFTER_TAX","FQ1 2021","FQ1 2021","Currency=USD","Period=FQ","BEST_FPERIOD_OVERRIDE=FQ","FILING_STATUS=MR","SCALING_FORMAT=MLN","Sort=A","Dates=H","DateFormat=P","Fill=—","Direction=H","UseDPDF=Y")</f>
        <v>—</v>
      </c>
      <c r="M45" s="13" t="str">
        <f>_xll.BDH("ALNY US Equity","IS_LEGAL_LITIG_SETTLE_AFTER_TAX","FQ2 2021","FQ2 2021","Currency=USD","Period=FQ","BEST_FPERIOD_OVERRIDE=FQ","FILING_STATUS=MR","SCALING_FORMAT=MLN","Sort=A","Dates=H","DateFormat=P","Fill=—","Direction=H","UseDPDF=Y")</f>
        <v>—</v>
      </c>
      <c r="N45" s="13" t="str">
        <f>_xll.BDH("ALNY US Equity","IS_LEGAL_LITIG_SETTLE_AFTER_TAX","FQ3 2021","FQ3 2021","Currency=USD","Period=FQ","BEST_FPERIOD_OVERRIDE=FQ","FILING_STATUS=MR","SCALING_FORMAT=MLN","Sort=A","Dates=H","DateFormat=P","Fill=—","Direction=H","UseDPDF=Y")</f>
        <v>—</v>
      </c>
      <c r="O45" s="13" t="str">
        <f>_xll.BDH("ALNY US Equity","IS_LEGAL_LITIG_SETTLE_AFTER_TAX","FQ4 2021","FQ4 2021","Currency=USD","Period=FQ","BEST_FPERIOD_OVERRIDE=FQ","FILING_STATUS=MR","SCALING_FORMAT=MLN","Sort=A","Dates=H","DateFormat=P","Fill=—","Direction=H","UseDPDF=Y")</f>
        <v>—</v>
      </c>
      <c r="P45" s="13" t="str">
        <f>_xll.BDH("ALNY US Equity","IS_LEGAL_LITIG_SETTLE_AFTER_TAX","FQ1 2022","FQ1 2022","Currency=USD","Period=FQ","BEST_FPERIOD_OVERRIDE=FQ","FILING_STATUS=MR","SCALING_FORMAT=MLN","Sort=A","Dates=H","DateFormat=P","Fill=—","Direction=H","UseDPDF=Y")</f>
        <v>—</v>
      </c>
      <c r="Q45" s="13" t="str">
        <f>_xll.BDH("ALNY US Equity","IS_LEGAL_LITIG_SETTLE_AFTER_TAX","FQ2 2022","FQ2 2022","Currency=USD","Period=FQ","BEST_FPERIOD_OVERRIDE=FQ","FILING_STATUS=MR","SCALING_FORMAT=MLN","Sort=A","Dates=H","DateFormat=P","Fill=—","Direction=H","UseDPDF=Y")</f>
        <v>—</v>
      </c>
      <c r="R45" s="13" t="str">
        <f>_xll.BDH("ALNY US Equity","IS_LEGAL_LITIG_SETTLE_AFTER_TAX","FQ3 2022","FQ3 2022","Currency=USD","Period=FQ","BEST_FPERIOD_OVERRIDE=FQ","FILING_STATUS=MR","SCALING_FORMAT=MLN","Sort=A","Dates=H","DateFormat=P","Fill=—","Direction=H","UseDPDF=Y")</f>
        <v>—</v>
      </c>
      <c r="S45" s="13" t="str">
        <f>_xll.BDH("ALNY US Equity","IS_LEGAL_LITIG_SETTLE_AFTER_TAX","FQ4 2022","FQ4 2022","Currency=USD","Period=FQ","BEST_FPERIOD_OVERRIDE=FQ","FILING_STATUS=MR","SCALING_FORMAT=MLN","Sort=A","Dates=H","DateFormat=P","Fill=—","Direction=H","UseDPDF=Y")</f>
        <v>—</v>
      </c>
      <c r="T45" s="13" t="str">
        <f>_xll.BDH("ALNY US Equity","IS_LEGAL_LITIG_SETTLE_AFTER_TAX","FQ1 2023","FQ1 2023","Currency=USD","Period=FQ","BEST_FPERIOD_OVERRIDE=FQ","FILING_STATUS=MR","SCALING_FORMAT=MLN","Sort=A","Dates=H","DateFormat=P","Fill=—","Direction=H","UseDPDF=Y")</f>
        <v>—</v>
      </c>
      <c r="U45" s="13" t="str">
        <f>_xll.BDH("ALNY US Equity","IS_LEGAL_LITIG_SETTLE_AFTER_TAX","FQ2 2023","FQ2 2023","Currency=USD","Period=FQ","BEST_FPERIOD_OVERRIDE=FQ","FILING_STATUS=MR","SCALING_FORMAT=MLN","Sort=A","Dates=H","DateFormat=P","Fill=—","Direction=H","UseDPDF=Y")</f>
        <v>—</v>
      </c>
      <c r="V45" s="13" t="str">
        <f>_xll.BDH("ALNY US Equity","IS_LEGAL_LITIG_SETTLE_AFTER_TAX","FQ3 2023","FQ3 2023","Currency=USD","Period=FQ","BEST_FPERIOD_OVERRIDE=FQ","FILING_STATUS=MR","SCALING_FORMAT=MLN","Sort=A","Dates=H","DateFormat=P","Fill=—","Direction=H","UseDPDF=Y")</f>
        <v>—</v>
      </c>
      <c r="W45" s="13" t="str">
        <f>_xll.BDH("ALNY US Equity","IS_LEGAL_LITIG_SETTLE_AFTER_TAX","FQ4 2023","FQ4 2023","Currency=USD","Period=FQ","BEST_FPERIOD_OVERRIDE=FQ","FILING_STATUS=MR","SCALING_FORMAT=MLN","Sort=A","Dates=H","DateFormat=P","Fill=—","Direction=H","UseDPDF=Y")</f>
        <v>—</v>
      </c>
      <c r="X45" s="13" t="str">
        <f>_xll.BDH("ALNY US Equity","IS_LEGAL_LITIG_SETTLE_AFTER_TAX","FQ1 2024","FQ1 2024","Currency=USD","Period=FQ","BEST_FPERIOD_OVERRIDE=FQ","FILING_STATUS=MR","SCALING_FORMAT=MLN","Sort=A","Dates=H","DateFormat=P","Fill=—","Direction=H","UseDPDF=Y")</f>
        <v>—</v>
      </c>
      <c r="Y45" s="13" t="str">
        <f>_xll.BDH("ALNY US Equity","IS_LEGAL_LITIG_SETTLE_AFTER_TAX","FQ2 2024","FQ2 2024","Currency=USD","Period=FQ","BEST_FPERIOD_OVERRIDE=FQ","FILING_STATUS=MR","SCALING_FORMAT=MLN","Sort=A","Dates=H","DateFormat=P","Fill=—","Direction=H","UseDPDF=Y")</f>
        <v>—</v>
      </c>
      <c r="Z45" s="13" t="str">
        <f>_xll.BDH("ALNY US Equity","IS_LEGAL_LITIG_SETTLE_AFTER_TAX","FQ3 2024","FQ3 2024","Currency=USD","Period=FQ","BEST_FPERIOD_OVERRIDE=FQ","FILING_STATUS=MR","SCALING_FORMAT=MLN","Sort=A","Dates=H","DateFormat=P","Fill=—","Direction=H","UseDPDF=Y")</f>
        <v>—</v>
      </c>
      <c r="AA45" s="13" t="str">
        <f>_xll.BDH("ALNY US Equity","IS_LEGAL_LITIG_SETTLE_AFTER_TAX","FQ4 2024","FQ4 2024","Currency=USD","Period=FQ","BEST_FPERIOD_OVERRIDE=FQ","FILING_STATUS=MR","SCALING_FORMAT=MLN","Sort=A","Dates=H","DateFormat=P","Fill=—","Direction=H","UseDPDF=Y")</f>
        <v>—</v>
      </c>
    </row>
    <row r="46" spans="1:27" x14ac:dyDescent="0.25">
      <c r="A46" s="10" t="s">
        <v>622</v>
      </c>
      <c r="B46" s="10" t="s">
        <v>633</v>
      </c>
      <c r="C46" s="13" t="str">
        <f>_xll.BDH("ALNY US Equity","IS_SALE_OF_INVESTMENTS_AFTER_TAX","FQ4 2018","FQ4 2018","Currency=USD","Period=FQ","BEST_FPERIOD_OVERRIDE=FQ","FILING_STATUS=MR","SCALING_FORMAT=MLN","Sort=A","Dates=H","DateFormat=P","Fill=—","Direction=H","UseDPDF=Y")</f>
        <v>—</v>
      </c>
      <c r="D46" s="13" t="str">
        <f>_xll.BDH("ALNY US Equity","IS_SALE_OF_INVESTMENTS_AFTER_TAX","FQ1 2019","FQ1 2019","Currency=USD","Period=FQ","BEST_FPERIOD_OVERRIDE=FQ","FILING_STATUS=MR","SCALING_FORMAT=MLN","Sort=A","Dates=H","DateFormat=P","Fill=—","Direction=H","UseDPDF=Y")</f>
        <v>—</v>
      </c>
      <c r="E46" s="13" t="str">
        <f>_xll.BDH("ALNY US Equity","IS_SALE_OF_INVESTMENTS_AFTER_TAX","FQ2 2019","FQ2 2019","Currency=USD","Period=FQ","BEST_FPERIOD_OVERRIDE=FQ","FILING_STATUS=MR","SCALING_FORMAT=MLN","Sort=A","Dates=H","DateFormat=P","Fill=—","Direction=H","UseDPDF=Y")</f>
        <v>—</v>
      </c>
      <c r="F46" s="13" t="str">
        <f>_xll.BDH("ALNY US Equity","IS_SALE_OF_INVESTMENTS_AFTER_TAX","FQ3 2019","FQ3 2019","Currency=USD","Period=FQ","BEST_FPERIOD_OVERRIDE=FQ","FILING_STATUS=MR","SCALING_FORMAT=MLN","Sort=A","Dates=H","DateFormat=P","Fill=—","Direction=H","UseDPDF=Y")</f>
        <v>—</v>
      </c>
      <c r="G46" s="13">
        <f>_xll.BDH("ALNY US Equity","IS_SALE_OF_INVESTMENTS_AFTER_TAX","FQ4 2019","FQ4 2019","Currency=USD","Period=FQ","BEST_FPERIOD_OVERRIDE=FQ","FILING_STATUS=MR","SCALING_FORMAT=MLN","Sort=A","Dates=H","DateFormat=P","Fill=—","Direction=H","UseDPDF=Y")</f>
        <v>-11.266999999999999</v>
      </c>
      <c r="H46" s="13" t="str">
        <f>_xll.BDH("ALNY US Equity","IS_SALE_OF_INVESTMENTS_AFTER_TAX","FQ1 2020","FQ1 2020","Currency=USD","Period=FQ","BEST_FPERIOD_OVERRIDE=FQ","FILING_STATUS=MR","SCALING_FORMAT=MLN","Sort=A","Dates=H","DateFormat=P","Fill=—","Direction=H","UseDPDF=Y")</f>
        <v>—</v>
      </c>
      <c r="I46" s="13" t="str">
        <f>_xll.BDH("ALNY US Equity","IS_SALE_OF_INVESTMENTS_AFTER_TAX","FQ2 2020","FQ2 2020","Currency=USD","Period=FQ","BEST_FPERIOD_OVERRIDE=FQ","FILING_STATUS=MR","SCALING_FORMAT=MLN","Sort=A","Dates=H","DateFormat=P","Fill=—","Direction=H","UseDPDF=Y")</f>
        <v>—</v>
      </c>
      <c r="J46" s="13" t="str">
        <f>_xll.BDH("ALNY US Equity","IS_SALE_OF_INVESTMENTS_AFTER_TAX","FQ3 2020","FQ3 2020","Currency=USD","Period=FQ","BEST_FPERIOD_OVERRIDE=FQ","FILING_STATUS=MR","SCALING_FORMAT=MLN","Sort=A","Dates=H","DateFormat=P","Fill=—","Direction=H","UseDPDF=Y")</f>
        <v>—</v>
      </c>
      <c r="K46" s="13" t="str">
        <f>_xll.BDH("ALNY US Equity","IS_SALE_OF_INVESTMENTS_AFTER_TAX","FQ4 2020","FQ4 2020","Currency=USD","Period=FQ","BEST_FPERIOD_OVERRIDE=FQ","FILING_STATUS=MR","SCALING_FORMAT=MLN","Sort=A","Dates=H","DateFormat=P","Fill=—","Direction=H","UseDPDF=Y")</f>
        <v>—</v>
      </c>
      <c r="L46" s="13" t="str">
        <f>_xll.BDH("ALNY US Equity","IS_SALE_OF_INVESTMENTS_AFTER_TAX","FQ1 2021","FQ1 2021","Currency=USD","Period=FQ","BEST_FPERIOD_OVERRIDE=FQ","FILING_STATUS=MR","SCALING_FORMAT=MLN","Sort=A","Dates=H","DateFormat=P","Fill=—","Direction=H","UseDPDF=Y")</f>
        <v>—</v>
      </c>
      <c r="M46" s="13" t="str">
        <f>_xll.BDH("ALNY US Equity","IS_SALE_OF_INVESTMENTS_AFTER_TAX","FQ2 2021","FQ2 2021","Currency=USD","Period=FQ","BEST_FPERIOD_OVERRIDE=FQ","FILING_STATUS=MR","SCALING_FORMAT=MLN","Sort=A","Dates=H","DateFormat=P","Fill=—","Direction=H","UseDPDF=Y")</f>
        <v>—</v>
      </c>
      <c r="N46" s="13" t="str">
        <f>_xll.BDH("ALNY US Equity","IS_SALE_OF_INVESTMENTS_AFTER_TAX","FQ3 2021","FQ3 2021","Currency=USD","Period=FQ","BEST_FPERIOD_OVERRIDE=FQ","FILING_STATUS=MR","SCALING_FORMAT=MLN","Sort=A","Dates=H","DateFormat=P","Fill=—","Direction=H","UseDPDF=Y")</f>
        <v>—</v>
      </c>
      <c r="O46" s="13" t="str">
        <f>_xll.BDH("ALNY US Equity","IS_SALE_OF_INVESTMENTS_AFTER_TAX","FQ4 2021","FQ4 2021","Currency=USD","Period=FQ","BEST_FPERIOD_OVERRIDE=FQ","FILING_STATUS=MR","SCALING_FORMAT=MLN","Sort=A","Dates=H","DateFormat=P","Fill=—","Direction=H","UseDPDF=Y")</f>
        <v>—</v>
      </c>
      <c r="P46" s="13" t="str">
        <f>_xll.BDH("ALNY US Equity","IS_SALE_OF_INVESTMENTS_AFTER_TAX","FQ1 2022","FQ1 2022","Currency=USD","Period=FQ","BEST_FPERIOD_OVERRIDE=FQ","FILING_STATUS=MR","SCALING_FORMAT=MLN","Sort=A","Dates=H","DateFormat=P","Fill=—","Direction=H","UseDPDF=Y")</f>
        <v>—</v>
      </c>
      <c r="Q46" s="13" t="str">
        <f>_xll.BDH("ALNY US Equity","IS_SALE_OF_INVESTMENTS_AFTER_TAX","FQ2 2022","FQ2 2022","Currency=USD","Period=FQ","BEST_FPERIOD_OVERRIDE=FQ","FILING_STATUS=MR","SCALING_FORMAT=MLN","Sort=A","Dates=H","DateFormat=P","Fill=—","Direction=H","UseDPDF=Y")</f>
        <v>—</v>
      </c>
      <c r="R46" s="13" t="str">
        <f>_xll.BDH("ALNY US Equity","IS_SALE_OF_INVESTMENTS_AFTER_TAX","FQ3 2022","FQ3 2022","Currency=USD","Period=FQ","BEST_FPERIOD_OVERRIDE=FQ","FILING_STATUS=MR","SCALING_FORMAT=MLN","Sort=A","Dates=H","DateFormat=P","Fill=—","Direction=H","UseDPDF=Y")</f>
        <v>—</v>
      </c>
      <c r="S46" s="13" t="str">
        <f>_xll.BDH("ALNY US Equity","IS_SALE_OF_INVESTMENTS_AFTER_TAX","FQ4 2022","FQ4 2022","Currency=USD","Period=FQ","BEST_FPERIOD_OVERRIDE=FQ","FILING_STATUS=MR","SCALING_FORMAT=MLN","Sort=A","Dates=H","DateFormat=P","Fill=—","Direction=H","UseDPDF=Y")</f>
        <v>—</v>
      </c>
      <c r="T46" s="13" t="str">
        <f>_xll.BDH("ALNY US Equity","IS_SALE_OF_INVESTMENTS_AFTER_TAX","FQ1 2023","FQ1 2023","Currency=USD","Period=FQ","BEST_FPERIOD_OVERRIDE=FQ","FILING_STATUS=MR","SCALING_FORMAT=MLN","Sort=A","Dates=H","DateFormat=P","Fill=—","Direction=H","UseDPDF=Y")</f>
        <v>—</v>
      </c>
      <c r="U46" s="13" t="str">
        <f>_xll.BDH("ALNY US Equity","IS_SALE_OF_INVESTMENTS_AFTER_TAX","FQ2 2023","FQ2 2023","Currency=USD","Period=FQ","BEST_FPERIOD_OVERRIDE=FQ","FILING_STATUS=MR","SCALING_FORMAT=MLN","Sort=A","Dates=H","DateFormat=P","Fill=—","Direction=H","UseDPDF=Y")</f>
        <v>—</v>
      </c>
      <c r="V46" s="13" t="str">
        <f>_xll.BDH("ALNY US Equity","IS_SALE_OF_INVESTMENTS_AFTER_TAX","FQ3 2023","FQ3 2023","Currency=USD","Period=FQ","BEST_FPERIOD_OVERRIDE=FQ","FILING_STATUS=MR","SCALING_FORMAT=MLN","Sort=A","Dates=H","DateFormat=P","Fill=—","Direction=H","UseDPDF=Y")</f>
        <v>—</v>
      </c>
      <c r="W46" s="13" t="str">
        <f>_xll.BDH("ALNY US Equity","IS_SALE_OF_INVESTMENTS_AFTER_TAX","FQ4 2023","FQ4 2023","Currency=USD","Period=FQ","BEST_FPERIOD_OVERRIDE=FQ","FILING_STATUS=MR","SCALING_FORMAT=MLN","Sort=A","Dates=H","DateFormat=P","Fill=—","Direction=H","UseDPDF=Y")</f>
        <v>—</v>
      </c>
      <c r="X46" s="13" t="str">
        <f>_xll.BDH("ALNY US Equity","IS_SALE_OF_INVESTMENTS_AFTER_TAX","FQ1 2024","FQ1 2024","Currency=USD","Period=FQ","BEST_FPERIOD_OVERRIDE=FQ","FILING_STATUS=MR","SCALING_FORMAT=MLN","Sort=A","Dates=H","DateFormat=P","Fill=—","Direction=H","UseDPDF=Y")</f>
        <v>—</v>
      </c>
      <c r="Y46" s="13" t="str">
        <f>_xll.BDH("ALNY US Equity","IS_SALE_OF_INVESTMENTS_AFTER_TAX","FQ2 2024","FQ2 2024","Currency=USD","Period=FQ","BEST_FPERIOD_OVERRIDE=FQ","FILING_STATUS=MR","SCALING_FORMAT=MLN","Sort=A","Dates=H","DateFormat=P","Fill=—","Direction=H","UseDPDF=Y")</f>
        <v>—</v>
      </c>
      <c r="Z46" s="13" t="str">
        <f>_xll.BDH("ALNY US Equity","IS_SALE_OF_INVESTMENTS_AFTER_TAX","FQ3 2024","FQ3 2024","Currency=USD","Period=FQ","BEST_FPERIOD_OVERRIDE=FQ","FILING_STATUS=MR","SCALING_FORMAT=MLN","Sort=A","Dates=H","DateFormat=P","Fill=—","Direction=H","UseDPDF=Y")</f>
        <v>—</v>
      </c>
      <c r="AA46" s="13" t="str">
        <f>_xll.BDH("ALNY US Equity","IS_SALE_OF_INVESTMENTS_AFTER_TAX","FQ4 2024","FQ4 2024","Currency=USD","Period=FQ","BEST_FPERIOD_OVERRIDE=FQ","FILING_STATUS=MR","SCALING_FORMAT=MLN","Sort=A","Dates=H","DateFormat=P","Fill=—","Direction=H","UseDPDF=Y")</f>
        <v>—</v>
      </c>
    </row>
    <row r="47" spans="1:27" x14ac:dyDescent="0.25">
      <c r="A47" s="10" t="s">
        <v>623</v>
      </c>
      <c r="B47" s="10" t="s">
        <v>634</v>
      </c>
      <c r="C47" s="13" t="str">
        <f>_xll.BDH("ALNY US Equity","IS_UNREALIZED_INVEST_AFT_TAX","FQ4 2018","FQ4 2018","Currency=USD","Period=FQ","BEST_FPERIOD_OVERRIDE=FQ","FILING_STATUS=MR","SCALING_FORMAT=MLN","Sort=A","Dates=H","DateFormat=P","Fill=—","Direction=H","UseDPDF=Y")</f>
        <v>—</v>
      </c>
      <c r="D47" s="13" t="str">
        <f>_xll.BDH("ALNY US Equity","IS_UNREALIZED_INVEST_AFT_TAX","FQ1 2019","FQ1 2019","Currency=USD","Period=FQ","BEST_FPERIOD_OVERRIDE=FQ","FILING_STATUS=MR","SCALING_FORMAT=MLN","Sort=A","Dates=H","DateFormat=P","Fill=—","Direction=H","UseDPDF=Y")</f>
        <v>—</v>
      </c>
      <c r="E47" s="13" t="str">
        <f>_xll.BDH("ALNY US Equity","IS_UNREALIZED_INVEST_AFT_TAX","FQ2 2019","FQ2 2019","Currency=USD","Period=FQ","BEST_FPERIOD_OVERRIDE=FQ","FILING_STATUS=MR","SCALING_FORMAT=MLN","Sort=A","Dates=H","DateFormat=P","Fill=—","Direction=H","UseDPDF=Y")</f>
        <v>—</v>
      </c>
      <c r="F47" s="13" t="str">
        <f>_xll.BDH("ALNY US Equity","IS_UNREALIZED_INVEST_AFT_TAX","FQ3 2019","FQ3 2019","Currency=USD","Period=FQ","BEST_FPERIOD_OVERRIDE=FQ","FILING_STATUS=MR","SCALING_FORMAT=MLN","Sort=A","Dates=H","DateFormat=P","Fill=—","Direction=H","UseDPDF=Y")</f>
        <v>—</v>
      </c>
      <c r="G47" s="13" t="str">
        <f>_xll.BDH("ALNY US Equity","IS_UNREALIZED_INVEST_AFT_TAX","FQ4 2019","FQ4 2019","Currency=USD","Period=FQ","BEST_FPERIOD_OVERRIDE=FQ","FILING_STATUS=MR","SCALING_FORMAT=MLN","Sort=A","Dates=H","DateFormat=P","Fill=—","Direction=H","UseDPDF=Y")</f>
        <v>—</v>
      </c>
      <c r="H47" s="13">
        <f>_xll.BDH("ALNY US Equity","IS_UNREALIZED_INVEST_AFT_TAX","FQ1 2020","FQ1 2020","Currency=USD","Period=FQ","BEST_FPERIOD_OVERRIDE=FQ","FILING_STATUS=MR","SCALING_FORMAT=MLN","Sort=A","Dates=H","DateFormat=P","Fill=—","Direction=H","UseDPDF=Y")</f>
        <v>-24.111000000000001</v>
      </c>
      <c r="I47" s="13">
        <f>_xll.BDH("ALNY US Equity","IS_UNREALIZED_INVEST_AFT_TAX","FQ2 2020","FQ2 2020","Currency=USD","Period=FQ","BEST_FPERIOD_OVERRIDE=FQ","FILING_STATUS=MR","SCALING_FORMAT=MLN","Sort=A","Dates=H","DateFormat=P","Fill=—","Direction=H","UseDPDF=Y")</f>
        <v>-45.531999999999996</v>
      </c>
      <c r="J47" s="13">
        <f>_xll.BDH("ALNY US Equity","IS_UNREALIZED_INVEST_AFT_TAX","FQ3 2020","FQ3 2020","Currency=USD","Period=FQ","BEST_FPERIOD_OVERRIDE=FQ","FILING_STATUS=MR","SCALING_FORMAT=MLN","Sort=A","Dates=H","DateFormat=P","Fill=—","Direction=H","UseDPDF=Y")</f>
        <v>3.0169999999999999</v>
      </c>
      <c r="K47" s="13">
        <f>_xll.BDH("ALNY US Equity","IS_UNREALIZED_INVEST_AFT_TAX","FQ4 2020","FQ4 2020","Currency=USD","Period=FQ","BEST_FPERIOD_OVERRIDE=FQ","FILING_STATUS=MR","SCALING_FORMAT=MLN","Sort=A","Dates=H","DateFormat=P","Fill=—","Direction=H","UseDPDF=Y")</f>
        <v>12.584</v>
      </c>
      <c r="L47" s="13">
        <f>_xll.BDH("ALNY US Equity","IS_UNREALIZED_INVEST_AFT_TAX","FQ1 2021","FQ1 2021","Currency=USD","Period=FQ","BEST_FPERIOD_OVERRIDE=FQ","FILING_STATUS=MR","SCALING_FORMAT=MLN","Sort=A","Dates=H","DateFormat=P","Fill=—","Direction=H","UseDPDF=Y")</f>
        <v>-47.015999999999998</v>
      </c>
      <c r="M47" s="13">
        <f>_xll.BDH("ALNY US Equity","IS_UNREALIZED_INVEST_AFT_TAX","FQ2 2021","FQ2 2021","Currency=USD","Period=FQ","BEST_FPERIOD_OVERRIDE=FQ","FILING_STATUS=MR","SCALING_FORMAT=MLN","Sort=A","Dates=H","DateFormat=P","Fill=—","Direction=H","UseDPDF=Y")</f>
        <v>4.4340000000000002</v>
      </c>
      <c r="N47" s="13">
        <f>_xll.BDH("ALNY US Equity","IS_UNREALIZED_INVEST_AFT_TAX","FQ3 2021","FQ3 2021","Currency=USD","Period=FQ","BEST_FPERIOD_OVERRIDE=FQ","FILING_STATUS=MR","SCALING_FORMAT=MLN","Sort=A","Dates=H","DateFormat=P","Fill=—","Direction=H","UseDPDF=Y")</f>
        <v>-18.690999999999999</v>
      </c>
      <c r="O47" s="13">
        <f>_xll.BDH("ALNY US Equity","IS_UNREALIZED_INVEST_AFT_TAX","FQ4 2021","FQ4 2021","Currency=USD","Period=FQ","BEST_FPERIOD_OVERRIDE=FQ","FILING_STATUS=MR","SCALING_FORMAT=MLN","Sort=A","Dates=H","DateFormat=P","Fill=—","Direction=H","UseDPDF=Y")</f>
        <v>5.5780000000000003</v>
      </c>
      <c r="P47" s="13">
        <f>_xll.BDH("ALNY US Equity","IS_UNREALIZED_INVEST_AFT_TAX","FQ1 2022","FQ1 2022","Currency=USD","Period=FQ","BEST_FPERIOD_OVERRIDE=FQ","FILING_STATUS=MR","SCALING_FORMAT=MLN","Sort=A","Dates=H","DateFormat=P","Fill=—","Direction=H","UseDPDF=Y")</f>
        <v>31.161000000000001</v>
      </c>
      <c r="Q47" s="13">
        <f>_xll.BDH("ALNY US Equity","IS_UNREALIZED_INVEST_AFT_TAX","FQ2 2022","FQ2 2022","Currency=USD","Period=FQ","BEST_FPERIOD_OVERRIDE=FQ","FILING_STATUS=MR","SCALING_FORMAT=MLN","Sort=A","Dates=H","DateFormat=P","Fill=—","Direction=H","UseDPDF=Y")</f>
        <v>1.097</v>
      </c>
      <c r="R47" s="13">
        <f>_xll.BDH("ALNY US Equity","IS_UNREALIZED_INVEST_AFT_TAX","FQ3 2022","FQ3 2022","Currency=USD","Period=FQ","BEST_FPERIOD_OVERRIDE=FQ","FILING_STATUS=MR","SCALING_FORMAT=MLN","Sort=A","Dates=H","DateFormat=P","Fill=—","Direction=H","UseDPDF=Y")</f>
        <v>7.85</v>
      </c>
      <c r="S47" s="13">
        <f>_xll.BDH("ALNY US Equity","IS_UNREALIZED_INVEST_AFT_TAX","FQ4 2022","FQ4 2022","Currency=USD","Period=FQ","BEST_FPERIOD_OVERRIDE=FQ","FILING_STATUS=MR","SCALING_FORMAT=MLN","Sort=A","Dates=H","DateFormat=P","Fill=—","Direction=H","UseDPDF=Y")</f>
        <v>-6.7960000000000003</v>
      </c>
      <c r="T47" s="13">
        <f>_xll.BDH("ALNY US Equity","IS_UNREALIZED_INVEST_AFT_TAX","FQ1 2023","FQ1 2023","Currency=USD","Period=FQ","BEST_FPERIOD_OVERRIDE=FQ","FILING_STATUS=MR","SCALING_FORMAT=MLN","Sort=A","Dates=H","DateFormat=P","Fill=—","Direction=H","UseDPDF=Y")</f>
        <v>2.2669999999999999</v>
      </c>
      <c r="U47" s="13">
        <f>_xll.BDH("ALNY US Equity","IS_UNREALIZED_INVEST_AFT_TAX","FQ2 2023","FQ2 2023","Currency=USD","Period=FQ","BEST_FPERIOD_OVERRIDE=FQ","FILING_STATUS=MR","SCALING_FORMAT=MLN","Sort=A","Dates=H","DateFormat=P","Fill=—","Direction=H","UseDPDF=Y")</f>
        <v>-1.4</v>
      </c>
      <c r="V47" s="13">
        <f>_xll.BDH("ALNY US Equity","IS_UNREALIZED_INVEST_AFT_TAX","FQ3 2023","FQ3 2023","Currency=USD","Period=FQ","BEST_FPERIOD_OVERRIDE=FQ","FILING_STATUS=MR","SCALING_FORMAT=MLN","Sort=A","Dates=H","DateFormat=P","Fill=—","Direction=H","UseDPDF=Y")</f>
        <v>16.844000000000001</v>
      </c>
      <c r="W47" s="13">
        <f>_xll.BDH("ALNY US Equity","IS_UNREALIZED_INVEST_AFT_TAX","FQ4 2023","FQ4 2023","Currency=USD","Period=FQ","BEST_FPERIOD_OVERRIDE=FQ","FILING_STATUS=MR","SCALING_FORMAT=MLN","Sort=A","Dates=H","DateFormat=P","Fill=—","Direction=H","UseDPDF=Y")</f>
        <v>-0.76700000000000002</v>
      </c>
      <c r="X47" s="13">
        <f>_xll.BDH("ALNY US Equity","IS_UNREALIZED_INVEST_AFT_TAX","FQ1 2024","FQ1 2024","Currency=USD","Period=FQ","BEST_FPERIOD_OVERRIDE=FQ","FILING_STATUS=MR","SCALING_FORMAT=MLN","Sort=A","Dates=H","DateFormat=P","Fill=—","Direction=H","UseDPDF=Y")</f>
        <v>-7.8E-2</v>
      </c>
      <c r="Y47" s="13">
        <f>_xll.BDH("ALNY US Equity","IS_UNREALIZED_INVEST_AFT_TAX","FQ2 2024","FQ2 2024","Currency=USD","Period=FQ","BEST_FPERIOD_OVERRIDE=FQ","FILING_STATUS=MR","SCALING_FORMAT=MLN","Sort=A","Dates=H","DateFormat=P","Fill=—","Direction=H","UseDPDF=Y")</f>
        <v>1.367</v>
      </c>
      <c r="Z47" s="13">
        <f>_xll.BDH("ALNY US Equity","IS_UNREALIZED_INVEST_AFT_TAX","FQ3 2024","FQ3 2024","Currency=USD","Period=FQ","BEST_FPERIOD_OVERRIDE=FQ","FILING_STATUS=MR","SCALING_FORMAT=MLN","Sort=A","Dates=H","DateFormat=P","Fill=—","Direction=H","UseDPDF=Y")</f>
        <v>1.5669999999999999</v>
      </c>
      <c r="AA47" s="13">
        <f>_xll.BDH("ALNY US Equity","IS_UNREALIZED_INVEST_AFT_TAX","FQ4 2024","FQ4 2024","Currency=USD","Period=FQ","BEST_FPERIOD_OVERRIDE=FQ","FILING_STATUS=MR","SCALING_FORMAT=MLN","Sort=A","Dates=H","DateFormat=P","Fill=—","Direction=H","UseDPDF=Y")</f>
        <v>0.16600000000000001</v>
      </c>
    </row>
    <row r="48" spans="1:27" x14ac:dyDescent="0.25">
      <c r="A48" s="10" t="s">
        <v>618</v>
      </c>
      <c r="B48" s="10" t="s">
        <v>635</v>
      </c>
      <c r="C48" s="13" t="str">
        <f>_xll.BDH("ALNY US Equity","IS_OTH_ONE_TIME_ITEMS_AFTER_TAX","FQ4 2018","FQ4 2018","Currency=USD","Period=FQ","BEST_FPERIOD_OVERRIDE=FQ","FILING_STATUS=MR","SCALING_FORMAT=MLN","Sort=A","Dates=H","DateFormat=P","Fill=—","Direction=H","UseDPDF=Y")</f>
        <v>—</v>
      </c>
      <c r="D48" s="13" t="str">
        <f>_xll.BDH("ALNY US Equity","IS_OTH_ONE_TIME_ITEMS_AFTER_TAX","FQ1 2019","FQ1 2019","Currency=USD","Period=FQ","BEST_FPERIOD_OVERRIDE=FQ","FILING_STATUS=MR","SCALING_FORMAT=MLN","Sort=A","Dates=H","DateFormat=P","Fill=—","Direction=H","UseDPDF=Y")</f>
        <v>—</v>
      </c>
      <c r="E48" s="13">
        <f>_xll.BDH("ALNY US Equity","IS_OTH_ONE_TIME_ITEMS_AFTER_TAX","FQ2 2019","FQ2 2019","Currency=USD","Period=FQ","BEST_FPERIOD_OVERRIDE=FQ","FILING_STATUS=MR","SCALING_FORMAT=MLN","Sort=A","Dates=H","DateFormat=P","Fill=—","Direction=H","UseDPDF=Y")</f>
        <v>-9.4220000000000006</v>
      </c>
      <c r="F48" s="13" t="str">
        <f>_xll.BDH("ALNY US Equity","IS_OTH_ONE_TIME_ITEMS_AFTER_TAX","FQ3 2019","FQ3 2019","Currency=USD","Period=FQ","BEST_FPERIOD_OVERRIDE=FQ","FILING_STATUS=MR","SCALING_FORMAT=MLN","Sort=A","Dates=H","DateFormat=P","Fill=—","Direction=H","UseDPDF=Y")</f>
        <v>—</v>
      </c>
      <c r="G48" s="13" t="str">
        <f>_xll.BDH("ALNY US Equity","IS_OTH_ONE_TIME_ITEMS_AFTER_TAX","FQ4 2019","FQ4 2019","Currency=USD","Period=FQ","BEST_FPERIOD_OVERRIDE=FQ","FILING_STATUS=MR","SCALING_FORMAT=MLN","Sort=A","Dates=H","DateFormat=P","Fill=—","Direction=H","UseDPDF=Y")</f>
        <v>—</v>
      </c>
      <c r="H48" s="13" t="str">
        <f>_xll.BDH("ALNY US Equity","IS_OTH_ONE_TIME_ITEMS_AFTER_TAX","FQ1 2020","FQ1 2020","Currency=USD","Period=FQ","BEST_FPERIOD_OVERRIDE=FQ","FILING_STATUS=MR","SCALING_FORMAT=MLN","Sort=A","Dates=H","DateFormat=P","Fill=—","Direction=H","UseDPDF=Y")</f>
        <v>—</v>
      </c>
      <c r="I48" s="13">
        <f>_xll.BDH("ALNY US Equity","IS_OTH_ONE_TIME_ITEMS_AFTER_TAX","FQ2 2020","FQ2 2020","Currency=USD","Period=FQ","BEST_FPERIOD_OVERRIDE=FQ","FILING_STATUS=MR","SCALING_FORMAT=MLN","Sort=A","Dates=H","DateFormat=P","Fill=—","Direction=H","UseDPDF=Y")</f>
        <v>0.32</v>
      </c>
      <c r="J48" s="13">
        <f>_xll.BDH("ALNY US Equity","IS_OTH_ONE_TIME_ITEMS_AFTER_TAX","FQ3 2020","FQ3 2020","Currency=USD","Period=FQ","BEST_FPERIOD_OVERRIDE=FQ","FILING_STATUS=MR","SCALING_FORMAT=MLN","Sort=A","Dates=H","DateFormat=P","Fill=—","Direction=H","UseDPDF=Y")</f>
        <v>0.76300000000000001</v>
      </c>
      <c r="K48" s="13" t="str">
        <f>_xll.BDH("ALNY US Equity","IS_OTH_ONE_TIME_ITEMS_AFTER_TAX","FQ4 2020","FQ4 2020","Currency=USD","Period=FQ","BEST_FPERIOD_OVERRIDE=FQ","FILING_STATUS=MR","SCALING_FORMAT=MLN","Sort=A","Dates=H","DateFormat=P","Fill=—","Direction=H","UseDPDF=Y")</f>
        <v>—</v>
      </c>
      <c r="L48" s="13" t="str">
        <f>_xll.BDH("ALNY US Equity","IS_OTH_ONE_TIME_ITEMS_AFTER_TAX","FQ1 2021","FQ1 2021","Currency=USD","Period=FQ","BEST_FPERIOD_OVERRIDE=FQ","FILING_STATUS=MR","SCALING_FORMAT=MLN","Sort=A","Dates=H","DateFormat=P","Fill=—","Direction=H","UseDPDF=Y")</f>
        <v>—</v>
      </c>
      <c r="M48" s="13" t="str">
        <f>_xll.BDH("ALNY US Equity","IS_OTH_ONE_TIME_ITEMS_AFTER_TAX","FQ2 2021","FQ2 2021","Currency=USD","Period=FQ","BEST_FPERIOD_OVERRIDE=FQ","FILING_STATUS=MR","SCALING_FORMAT=MLN","Sort=A","Dates=H","DateFormat=P","Fill=—","Direction=H","UseDPDF=Y")</f>
        <v>—</v>
      </c>
      <c r="N48" s="13">
        <f>_xll.BDH("ALNY US Equity","IS_OTH_ONE_TIME_ITEMS_AFTER_TAX","FQ3 2021","FQ3 2021","Currency=USD","Period=FQ","BEST_FPERIOD_OVERRIDE=FQ","FILING_STATUS=MR","SCALING_FORMAT=MLN","Sort=A","Dates=H","DateFormat=P","Fill=—","Direction=H","UseDPDF=Y")</f>
        <v>10</v>
      </c>
      <c r="O48" s="13">
        <f>_xll.BDH("ALNY US Equity","IS_OTH_ONE_TIME_ITEMS_AFTER_TAX","FQ4 2021","FQ4 2021","Currency=USD","Period=FQ","BEST_FPERIOD_OVERRIDE=FQ","FILING_STATUS=MR","SCALING_FORMAT=MLN","Sort=A","Dates=H","DateFormat=P","Fill=—","Direction=H","UseDPDF=Y")</f>
        <v>0</v>
      </c>
      <c r="P48" s="13" t="str">
        <f>_xll.BDH("ALNY US Equity","IS_OTH_ONE_TIME_ITEMS_AFTER_TAX","FQ1 2022","FQ1 2022","Currency=USD","Period=FQ","BEST_FPERIOD_OVERRIDE=FQ","FILING_STATUS=MR","SCALING_FORMAT=MLN","Sort=A","Dates=H","DateFormat=P","Fill=—","Direction=H","UseDPDF=Y")</f>
        <v>—</v>
      </c>
      <c r="Q48" s="13" t="str">
        <f>_xll.BDH("ALNY US Equity","IS_OTH_ONE_TIME_ITEMS_AFTER_TAX","FQ2 2022","FQ2 2022","Currency=USD","Period=FQ","BEST_FPERIOD_OVERRIDE=FQ","FILING_STATUS=MR","SCALING_FORMAT=MLN","Sort=A","Dates=H","DateFormat=P","Fill=—","Direction=H","UseDPDF=Y")</f>
        <v>—</v>
      </c>
      <c r="R48" s="13" t="str">
        <f>_xll.BDH("ALNY US Equity","IS_OTH_ONE_TIME_ITEMS_AFTER_TAX","FQ3 2022","FQ3 2022","Currency=USD","Period=FQ","BEST_FPERIOD_OVERRIDE=FQ","FILING_STATUS=MR","SCALING_FORMAT=MLN","Sort=A","Dates=H","DateFormat=P","Fill=—","Direction=H","UseDPDF=Y")</f>
        <v>—</v>
      </c>
      <c r="S48" s="13" t="str">
        <f>_xll.BDH("ALNY US Equity","IS_OTH_ONE_TIME_ITEMS_AFTER_TAX","FQ4 2022","FQ4 2022","Currency=USD","Period=FQ","BEST_FPERIOD_OVERRIDE=FQ","FILING_STATUS=MR","SCALING_FORMAT=MLN","Sort=A","Dates=H","DateFormat=P","Fill=—","Direction=H","UseDPDF=Y")</f>
        <v>—</v>
      </c>
      <c r="T48" s="13" t="str">
        <f>_xll.BDH("ALNY US Equity","IS_OTH_ONE_TIME_ITEMS_AFTER_TAX","FQ1 2023","FQ1 2023","Currency=USD","Period=FQ","BEST_FPERIOD_OVERRIDE=FQ","FILING_STATUS=MR","SCALING_FORMAT=MLN","Sort=A","Dates=H","DateFormat=P","Fill=—","Direction=H","UseDPDF=Y")</f>
        <v>—</v>
      </c>
      <c r="U48" s="13" t="str">
        <f>_xll.BDH("ALNY US Equity","IS_OTH_ONE_TIME_ITEMS_AFTER_TAX","FQ2 2023","FQ2 2023","Currency=USD","Period=FQ","BEST_FPERIOD_OVERRIDE=FQ","FILING_STATUS=MR","SCALING_FORMAT=MLN","Sort=A","Dates=H","DateFormat=P","Fill=—","Direction=H","UseDPDF=Y")</f>
        <v>—</v>
      </c>
      <c r="V48" s="13" t="str">
        <f>_xll.BDH("ALNY US Equity","IS_OTH_ONE_TIME_ITEMS_AFTER_TAX","FQ3 2023","FQ3 2023","Currency=USD","Period=FQ","BEST_FPERIOD_OVERRIDE=FQ","FILING_STATUS=MR","SCALING_FORMAT=MLN","Sort=A","Dates=H","DateFormat=P","Fill=—","Direction=H","UseDPDF=Y")</f>
        <v>—</v>
      </c>
      <c r="W48" s="13" t="str">
        <f>_xll.BDH("ALNY US Equity","IS_OTH_ONE_TIME_ITEMS_AFTER_TAX","FQ4 2023","FQ4 2023","Currency=USD","Period=FQ","BEST_FPERIOD_OVERRIDE=FQ","FILING_STATUS=MR","SCALING_FORMAT=MLN","Sort=A","Dates=H","DateFormat=P","Fill=—","Direction=H","UseDPDF=Y")</f>
        <v>—</v>
      </c>
      <c r="X48" s="13" t="str">
        <f>_xll.BDH("ALNY US Equity","IS_OTH_ONE_TIME_ITEMS_AFTER_TAX","FQ1 2024","FQ1 2024","Currency=USD","Period=FQ","BEST_FPERIOD_OVERRIDE=FQ","FILING_STATUS=MR","SCALING_FORMAT=MLN","Sort=A","Dates=H","DateFormat=P","Fill=—","Direction=H","UseDPDF=Y")</f>
        <v>—</v>
      </c>
      <c r="Y48" s="13" t="str">
        <f>_xll.BDH("ALNY US Equity","IS_OTH_ONE_TIME_ITEMS_AFTER_TAX","FQ2 2024","FQ2 2024","Currency=USD","Period=FQ","BEST_FPERIOD_OVERRIDE=FQ","FILING_STATUS=MR","SCALING_FORMAT=MLN","Sort=A","Dates=H","DateFormat=P","Fill=—","Direction=H","UseDPDF=Y")</f>
        <v>—</v>
      </c>
      <c r="Z48" s="13" t="str">
        <f>_xll.BDH("ALNY US Equity","IS_OTH_ONE_TIME_ITEMS_AFTER_TAX","FQ3 2024","FQ3 2024","Currency=USD","Period=FQ","BEST_FPERIOD_OVERRIDE=FQ","FILING_STATUS=MR","SCALING_FORMAT=MLN","Sort=A","Dates=H","DateFormat=P","Fill=—","Direction=H","UseDPDF=Y")</f>
        <v>—</v>
      </c>
      <c r="AA48" s="13" t="str">
        <f>_xll.BDH("ALNY US Equity","IS_OTH_ONE_TIME_ITEMS_AFTER_TAX","FQ4 2024","FQ4 2024","Currency=USD","Period=FQ","BEST_FPERIOD_OVERRIDE=FQ","FILING_STATUS=MR","SCALING_FORMAT=MLN","Sort=A","Dates=H","DateFormat=P","Fill=—","Direction=H","UseDPDF=Y")</f>
        <v>—</v>
      </c>
    </row>
    <row r="49" spans="1:27" x14ac:dyDescent="0.25">
      <c r="A49" s="6" t="s">
        <v>366</v>
      </c>
      <c r="B49" s="6" t="s">
        <v>80</v>
      </c>
      <c r="C49" s="19">
        <f>_xll.BDH("ALNY US Equity","EARN_FOR_COMMON","FQ4 2018","FQ4 2018","Currency=USD","Period=FQ","BEST_FPERIOD_OVERRIDE=FQ","FILING_STATUS=MR","SCALING_FORMAT=MLN","FA_ADJUSTED=Adjusted","Sort=A","Dates=H","DateFormat=P","Fill=—","Direction=H","UseDPDF=Y")</f>
        <v>-211.441</v>
      </c>
      <c r="D49" s="19">
        <f>_xll.BDH("ALNY US Equity","EARN_FOR_COMMON","FQ1 2019","FQ1 2019","Currency=USD","Period=FQ","BEST_FPERIOD_OVERRIDE=FQ","FILING_STATUS=MR","SCALING_FORMAT=MLN","FA_ADJUSTED=Adjusted","Sort=A","Dates=H","DateFormat=P","Fill=—","Direction=H","UseDPDF=Y")</f>
        <v>-181.91499999999999</v>
      </c>
      <c r="E49" s="19">
        <f>_xll.BDH("ALNY US Equity","EARN_FOR_COMMON","FQ2 2019","FQ2 2019","Currency=USD","Period=FQ","BEST_FPERIOD_OVERRIDE=FQ","FILING_STATUS=MR","SCALING_FORMAT=MLN","FA_ADJUSTED=Adjusted","Sort=A","Dates=H","DateFormat=P","Fill=—","Direction=H","UseDPDF=Y")</f>
        <v>-228.90299999999999</v>
      </c>
      <c r="F49" s="19">
        <f>_xll.BDH("ALNY US Equity","EARN_FOR_COMMON","FQ3 2019","FQ3 2019","Currency=USD","Period=FQ","BEST_FPERIOD_OVERRIDE=FQ","FILING_STATUS=MR","SCALING_FORMAT=MLN","FA_ADJUSTED=Adjusted","Sort=A","Dates=H","DateFormat=P","Fill=—","Direction=H","UseDPDF=Y")</f>
        <v>-208.535</v>
      </c>
      <c r="G49" s="19">
        <f>_xll.BDH("ALNY US Equity","EARN_FOR_COMMON","FQ4 2019","FQ4 2019","Currency=USD","Period=FQ","BEST_FPERIOD_OVERRIDE=FQ","FILING_STATUS=MR","SCALING_FORMAT=MLN","FA_ADJUSTED=Adjusted","Sort=A","Dates=H","DateFormat=P","Fill=—","Direction=H","UseDPDF=Y")</f>
        <v>-287.452</v>
      </c>
      <c r="H49" s="19">
        <f>_xll.BDH("ALNY US Equity","EARN_FOR_COMMON","FQ1 2020","FQ1 2020","Currency=USD","Period=FQ","BEST_FPERIOD_OVERRIDE=FQ","FILING_STATUS=MR","SCALING_FORMAT=MLN","FA_ADJUSTED=Adjusted","Sort=A","Dates=H","DateFormat=P","Fill=—","Direction=H","UseDPDF=Y")</f>
        <v>-206.33199999999999</v>
      </c>
      <c r="I49" s="19">
        <f>_xll.BDH("ALNY US Equity","EARN_FOR_COMMON","FQ2 2020","FQ2 2020","Currency=USD","Period=FQ","BEST_FPERIOD_OVERRIDE=FQ","FILING_STATUS=MR","SCALING_FORMAT=MLN","FA_ADJUSTED=Adjusted","Sort=A","Dates=H","DateFormat=P","Fill=—","Direction=H","UseDPDF=Y")</f>
        <v>-225.083</v>
      </c>
      <c r="J49" s="19">
        <f>_xll.BDH("ALNY US Equity","EARN_FOR_COMMON","FQ3 2020","FQ3 2020","Currency=USD","Period=FQ","BEST_FPERIOD_OVERRIDE=FQ","FILING_STATUS=MR","SCALING_FORMAT=MLN","FA_ADJUSTED=Adjusted","Sort=A","Dates=H","DateFormat=P","Fill=—","Direction=H","UseDPDF=Y")</f>
        <v>-220.86099999999999</v>
      </c>
      <c r="K49" s="19">
        <f>_xll.BDH("ALNY US Equity","EARN_FOR_COMMON","FQ4 2020","FQ4 2020","Currency=USD","Period=FQ","BEST_FPERIOD_OVERRIDE=FQ","FILING_STATUS=MR","SCALING_FORMAT=MLN","FA_ADJUSTED=Adjusted","Sort=A","Dates=H","DateFormat=P","Fill=—","Direction=H","UseDPDF=Y")</f>
        <v>-220.74</v>
      </c>
      <c r="L49" s="19">
        <f>_xll.BDH("ALNY US Equity","EARN_FOR_COMMON","FQ1 2021","FQ1 2021","Currency=USD","Period=FQ","BEST_FPERIOD_OVERRIDE=FQ","FILING_STATUS=MR","SCALING_FORMAT=MLN","FA_ADJUSTED=Adjusted","Sort=A","Dates=H","DateFormat=P","Fill=—","Direction=H","UseDPDF=Y")</f>
        <v>-247.30699999999999</v>
      </c>
      <c r="M49" s="19">
        <f>_xll.BDH("ALNY US Equity","EARN_FOR_COMMON","FQ2 2021","FQ2 2021","Currency=USD","Period=FQ","BEST_FPERIOD_OVERRIDE=FQ","FILING_STATUS=MR","SCALING_FORMAT=MLN","FA_ADJUSTED=Adjusted","Sort=A","Dates=H","DateFormat=P","Fill=—","Direction=H","UseDPDF=Y")</f>
        <v>-185.125</v>
      </c>
      <c r="N49" s="19">
        <f>_xll.BDH("ALNY US Equity","EARN_FOR_COMMON","FQ3 2021","FQ3 2021","Currency=USD","Period=FQ","BEST_FPERIOD_OVERRIDE=FQ","FILING_STATUS=MR","SCALING_FORMAT=MLN","FA_ADJUSTED=Adjusted","Sort=A","Dates=H","DateFormat=P","Fill=—","Direction=H","UseDPDF=Y")</f>
        <v>-213.20500000000001</v>
      </c>
      <c r="O49" s="19">
        <f>_xll.BDH("ALNY US Equity","EARN_FOR_COMMON","FQ4 2021","FQ4 2021","Currency=USD","Period=FQ","BEST_FPERIOD_OVERRIDE=FQ","FILING_STATUS=MR","SCALING_FORMAT=MLN","FA_ADJUSTED=Adjusted","Sort=A","Dates=H","DateFormat=P","Fill=—","Direction=H","UseDPDF=Y")</f>
        <v>-252.88200000000001</v>
      </c>
      <c r="P49" s="19">
        <f>_xll.BDH("ALNY US Equity","EARN_FOR_COMMON","FQ1 2022","FQ1 2022","Currency=USD","Period=FQ","BEST_FPERIOD_OVERRIDE=FQ","FILING_STATUS=MR","SCALING_FORMAT=MLN","FA_ADJUSTED=Adjusted","Sort=A","Dates=H","DateFormat=P","Fill=—","Direction=H","UseDPDF=Y")</f>
        <v>-209.18</v>
      </c>
      <c r="Q49" s="19">
        <f>_xll.BDH("ALNY US Equity","EARN_FOR_COMMON","FQ2 2022","FQ2 2022","Currency=USD","Period=FQ","BEST_FPERIOD_OVERRIDE=FQ","FILING_STATUS=MR","SCALING_FORMAT=MLN","FA_ADJUSTED=Adjusted","Sort=A","Dates=H","DateFormat=P","Fill=—","Direction=H","UseDPDF=Y")</f>
        <v>-276.30500000000001</v>
      </c>
      <c r="R49" s="19">
        <f>_xll.BDH("ALNY US Equity","EARN_FOR_COMMON","FQ3 2022","FQ3 2022","Currency=USD","Period=FQ","BEST_FPERIOD_OVERRIDE=FQ","FILING_STATUS=MR","SCALING_FORMAT=MLN","FA_ADJUSTED=Adjusted","Sort=A","Dates=H","DateFormat=P","Fill=—","Direction=H","UseDPDF=Y")</f>
        <v>-321.48399999999998</v>
      </c>
      <c r="S49" s="19">
        <f>_xll.BDH("ALNY US Equity","EARN_FOR_COMMON","FQ4 2022","FQ4 2022","Currency=USD","Period=FQ","BEST_FPERIOD_OVERRIDE=FQ","FILING_STATUS=MR","SCALING_FORMAT=MLN","FA_ADJUSTED=Adjusted","Sort=A","Dates=H","DateFormat=P","Fill=—","Direction=H","UseDPDF=Y")</f>
        <v>-214.28899999999999</v>
      </c>
      <c r="T49" s="19">
        <f>_xll.BDH("ALNY US Equity","EARN_FOR_COMMON","FQ1 2023","FQ1 2023","Currency=USD","Period=FQ","BEST_FPERIOD_OVERRIDE=FQ","FILING_STATUS=MR","SCALING_FORMAT=MLN","FA_ADJUSTED=Adjusted","Sort=A","Dates=H","DateFormat=P","Fill=—","Direction=H","UseDPDF=Y")</f>
        <v>-171.834</v>
      </c>
      <c r="U49" s="19">
        <f>_xll.BDH("ALNY US Equity","EARN_FOR_COMMON","FQ2 2023","FQ2 2023","Currency=USD","Period=FQ","BEST_FPERIOD_OVERRIDE=FQ","FILING_STATUS=MR","SCALING_FORMAT=MLN","FA_ADJUSTED=Adjusted","Sort=A","Dates=H","DateFormat=P","Fill=—","Direction=H","UseDPDF=Y")</f>
        <v>-277.42399999999998</v>
      </c>
      <c r="V49" s="19">
        <f>_xll.BDH("ALNY US Equity","EARN_FOR_COMMON","FQ3 2023","FQ3 2023","Currency=USD","Period=FQ","BEST_FPERIOD_OVERRIDE=FQ","FILING_STATUS=MR","SCALING_FORMAT=MLN","FA_ADJUSTED=Adjusted","Sort=A","Dates=H","DateFormat=P","Fill=—","Direction=H","UseDPDF=Y")</f>
        <v>164.59700000000001</v>
      </c>
      <c r="W49" s="19">
        <f>_xll.BDH("ALNY US Equity","EARN_FOR_COMMON","FQ4 2023","FQ4 2023","Currency=USD","Period=FQ","BEST_FPERIOD_OVERRIDE=FQ","FILING_STATUS=MR","SCALING_FORMAT=MLN","FA_ADJUSTED=Adjusted","Sort=A","Dates=H","DateFormat=P","Fill=—","Direction=H","UseDPDF=Y")</f>
        <v>-138.637</v>
      </c>
      <c r="X49" s="19">
        <f>_xll.BDH("ALNY US Equity","EARN_FOR_COMMON","FQ1 2024","FQ1 2024","Currency=USD","Period=FQ","BEST_FPERIOD_OVERRIDE=FQ","FILING_STATUS=MR","SCALING_FORMAT=MLN","FA_ADJUSTED=Adjusted","Sort=A","Dates=H","DateFormat=P","Fill=—","Direction=H","UseDPDF=Y")</f>
        <v>-66.013000000000005</v>
      </c>
      <c r="Y49" s="19">
        <f>_xll.BDH("ALNY US Equity","EARN_FOR_COMMON","FQ2 2024","FQ2 2024","Currency=USD","Period=FQ","BEST_FPERIOD_OVERRIDE=FQ","FILING_STATUS=MR","SCALING_FORMAT=MLN","FA_ADJUSTED=Adjusted","Sort=A","Dates=H","DateFormat=P","Fill=—","Direction=H","UseDPDF=Y")</f>
        <v>-15.522</v>
      </c>
      <c r="Z49" s="19">
        <f>_xll.BDH("ALNY US Equity","EARN_FOR_COMMON","FQ3 2024","FQ3 2024","Currency=USD","Period=FQ","BEST_FPERIOD_OVERRIDE=FQ","FILING_STATUS=MR","SCALING_FORMAT=MLN","FA_ADJUSTED=Adjusted","Sort=A","Dates=H","DateFormat=P","Fill=—","Direction=H","UseDPDF=Y")</f>
        <v>-110.003</v>
      </c>
      <c r="AA49" s="19">
        <f>_xll.BDH("ALNY US Equity","EARN_FOR_COMMON","FQ4 2024","FQ4 2024","Currency=USD","Period=FQ","BEST_FPERIOD_OVERRIDE=FQ","FILING_STATUS=MR","SCALING_FORMAT=MLN","FA_ADJUSTED=Adjusted","Sort=A","Dates=H","DateFormat=P","Fill=—","Direction=H","UseDPDF=Y")</f>
        <v>-83.596999999999994</v>
      </c>
    </row>
    <row r="50" spans="1:27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x14ac:dyDescent="0.25">
      <c r="A51" s="6" t="s">
        <v>636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x14ac:dyDescent="0.25">
      <c r="A52" s="6" t="s">
        <v>103</v>
      </c>
      <c r="B52" s="6" t="s">
        <v>104</v>
      </c>
      <c r="C52" s="20">
        <f>_xll.BDH("ALNY US Equity","IS_DILUTED_EPS","FQ4 2018","FQ4 2018","Currency=USD","Period=FQ","BEST_FPERIOD_OVERRIDE=FQ","FILING_STATUS=MR","FA_ADJUSTED=GAAP","Sort=A","Dates=H","DateFormat=P","Fill=—","Direction=H","UseDPDF=Y")</f>
        <v>-2.09</v>
      </c>
      <c r="D52" s="20">
        <f>_xll.BDH("ALNY US Equity","IS_DILUTED_EPS","FQ1 2019","FQ1 2019","Currency=USD","Period=FQ","BEST_FPERIOD_OVERRIDE=FQ","FILING_STATUS=MR","FA_ADJUSTED=GAAP","Sort=A","Dates=H","DateFormat=P","Fill=—","Direction=H","UseDPDF=Y")</f>
        <v>-1.73</v>
      </c>
      <c r="E52" s="20">
        <f>_xll.BDH("ALNY US Equity","IS_DILUTED_EPS","FQ2 2019","FQ2 2019","Currency=USD","Period=FQ","BEST_FPERIOD_OVERRIDE=FQ","FILING_STATUS=MR","FA_ADJUSTED=GAAP","Sort=A","Dates=H","DateFormat=P","Fill=—","Direction=H","UseDPDF=Y")</f>
        <v>-2.02</v>
      </c>
      <c r="F52" s="20">
        <f>_xll.BDH("ALNY US Equity","IS_DILUTED_EPS","FQ3 2019","FQ3 2019","Currency=USD","Period=FQ","BEST_FPERIOD_OVERRIDE=FQ","FILING_STATUS=MR","FA_ADJUSTED=GAAP","Sort=A","Dates=H","DateFormat=P","Fill=—","Direction=H","UseDPDF=Y")</f>
        <v>-1.92</v>
      </c>
      <c r="G52" s="20">
        <f>_xll.BDH("ALNY US Equity","IS_DILUTED_EPS","FQ4 2019","FQ4 2019","Currency=USD","Period=FQ","BEST_FPERIOD_OVERRIDE=FQ","FILING_STATUS=MR","FA_ADJUSTED=GAAP","Sort=A","Dates=H","DateFormat=P","Fill=—","Direction=H","UseDPDF=Y")</f>
        <v>-2.4700000000000002</v>
      </c>
      <c r="H52" s="20">
        <f>_xll.BDH("ALNY US Equity","IS_DILUTED_EPS","FQ1 2020","FQ1 2020","Currency=USD","Period=FQ","BEST_FPERIOD_OVERRIDE=FQ","FILING_STATUS=MR","FA_ADJUSTED=GAAP","Sort=A","Dates=H","DateFormat=P","Fill=—","Direction=H","UseDPDF=Y")</f>
        <v>-1.62</v>
      </c>
      <c r="I52" s="20">
        <f>_xll.BDH("ALNY US Equity","IS_DILUTED_EPS","FQ2 2020","FQ2 2020","Currency=USD","Period=FQ","BEST_FPERIOD_OVERRIDE=FQ","FILING_STATUS=MR","FA_ADJUSTED=GAAP","Sort=A","Dates=H","DateFormat=P","Fill=—","Direction=H","UseDPDF=Y")</f>
        <v>-1.56</v>
      </c>
      <c r="J52" s="20">
        <f>_xll.BDH("ALNY US Equity","IS_DILUTED_EPS","FQ3 2020","FQ3 2020","Currency=USD","Period=FQ","BEST_FPERIOD_OVERRIDE=FQ","FILING_STATUS=MR","FA_ADJUSTED=GAAP","Sort=A","Dates=H","DateFormat=P","Fill=—","Direction=H","UseDPDF=Y")</f>
        <v>-2.1800000000000002</v>
      </c>
      <c r="K52" s="20">
        <f>_xll.BDH("ALNY US Equity","IS_DILUTED_EPS","FQ4 2020","FQ4 2020","Currency=USD","Period=FQ","BEST_FPERIOD_OVERRIDE=FQ","FILING_STATUS=MR","FA_ADJUSTED=GAAP","Sort=A","Dates=H","DateFormat=P","Fill=—","Direction=H","UseDPDF=Y")</f>
        <v>-2.09</v>
      </c>
      <c r="L52" s="20">
        <f>_xll.BDH("ALNY US Equity","IS_DILUTED_EPS","FQ1 2021","FQ1 2021","Currency=USD","Period=FQ","BEST_FPERIOD_OVERRIDE=FQ","FILING_STATUS=MR","FA_ADJUSTED=GAAP","Sort=A","Dates=H","DateFormat=P","Fill=—","Direction=H","UseDPDF=Y")</f>
        <v>-1.71</v>
      </c>
      <c r="M52" s="20">
        <f>_xll.BDH("ALNY US Equity","IS_DILUTED_EPS","FQ2 2021","FQ2 2021","Currency=USD","Period=FQ","BEST_FPERIOD_OVERRIDE=FQ","FILING_STATUS=MR","FA_ADJUSTED=GAAP","Sort=A","Dates=H","DateFormat=P","Fill=—","Direction=H","UseDPDF=Y")</f>
        <v>-1.61</v>
      </c>
      <c r="N52" s="20">
        <f>_xll.BDH("ALNY US Equity","IS_DILUTED_EPS","FQ3 2021","FQ3 2021","Currency=USD","Period=FQ","BEST_FPERIOD_OVERRIDE=FQ","FILING_STATUS=MR","FA_ADJUSTED=GAAP","Sort=A","Dates=H","DateFormat=P","Fill=—","Direction=H","UseDPDF=Y")</f>
        <v>-1.72</v>
      </c>
      <c r="O52" s="20">
        <f>_xll.BDH("ALNY US Equity","IS_DILUTED_EPS","FQ4 2021","FQ4 2021","Currency=USD","Period=FQ","BEST_FPERIOD_OVERRIDE=FQ","FILING_STATUS=MR","FA_ADJUSTED=GAAP","Sort=A","Dates=H","DateFormat=P","Fill=—","Direction=H","UseDPDF=Y")</f>
        <v>-2.16</v>
      </c>
      <c r="P52" s="20">
        <f>_xll.BDH("ALNY US Equity","IS_DILUTED_EPS","FQ1 2022","FQ1 2022","Currency=USD","Period=FQ","BEST_FPERIOD_OVERRIDE=FQ","FILING_STATUS=MR","FA_ADJUSTED=GAAP","Sort=A","Dates=H","DateFormat=P","Fill=—","Direction=H","UseDPDF=Y")</f>
        <v>-2</v>
      </c>
      <c r="Q52" s="20">
        <f>_xll.BDH("ALNY US Equity","IS_DILUTED_EPS","FQ2 2022","FQ2 2022","Currency=USD","Period=FQ","BEST_FPERIOD_OVERRIDE=FQ","FILING_STATUS=MR","FA_ADJUSTED=GAAP","Sort=A","Dates=H","DateFormat=P","Fill=—","Direction=H","UseDPDF=Y")</f>
        <v>-2.29</v>
      </c>
      <c r="R52" s="20">
        <f>_xll.BDH("ALNY US Equity","IS_DILUTED_EPS","FQ3 2022","FQ3 2022","Currency=USD","Period=FQ","BEST_FPERIOD_OVERRIDE=FQ","FILING_STATUS=MR","FA_ADJUSTED=GAAP","Sort=A","Dates=H","DateFormat=P","Fill=—","Direction=H","UseDPDF=Y")</f>
        <v>-3.32</v>
      </c>
      <c r="S52" s="20">
        <f>_xll.BDH("ALNY US Equity","IS_DILUTED_EPS","FQ4 2022","FQ4 2022","Currency=USD","Period=FQ","BEST_FPERIOD_OVERRIDE=FQ","FILING_STATUS=MR","FA_ADJUSTED=GAAP","Sort=A","Dates=H","DateFormat=P","Fill=—","Direction=H","UseDPDF=Y")</f>
        <v>-1.68</v>
      </c>
      <c r="T52" s="20">
        <f>_xll.BDH("ALNY US Equity","IS_DILUTED_EPS","FQ1 2023","FQ1 2023","Currency=USD","Period=FQ","BEST_FPERIOD_OVERRIDE=FQ","FILING_STATUS=MR","FA_ADJUSTED=GAAP","Sort=A","Dates=H","DateFormat=P","Fill=—","Direction=H","UseDPDF=Y")</f>
        <v>-1.4</v>
      </c>
      <c r="U52" s="20">
        <f>_xll.BDH("ALNY US Equity","IS_DILUTED_EPS","FQ2 2023","FQ2 2023","Currency=USD","Period=FQ","BEST_FPERIOD_OVERRIDE=FQ","FILING_STATUS=MR","FA_ADJUSTED=GAAP","Sort=A","Dates=H","DateFormat=P","Fill=—","Direction=H","UseDPDF=Y")</f>
        <v>-2.21</v>
      </c>
      <c r="V52" s="20">
        <f>_xll.BDH("ALNY US Equity","IS_DILUTED_EPS","FQ3 2023","FQ3 2023","Currency=USD","Period=FQ","BEST_FPERIOD_OVERRIDE=FQ","FILING_STATUS=MR","FA_ADJUSTED=GAAP","Sort=A","Dates=H","DateFormat=P","Fill=—","Direction=H","UseDPDF=Y")</f>
        <v>1.1499999999999999</v>
      </c>
      <c r="W52" s="20">
        <f>_xll.BDH("ALNY US Equity","IS_DILUTED_EPS","FQ4 2023","FQ4 2023","Currency=USD","Period=FQ","BEST_FPERIOD_OVERRIDE=FQ","FILING_STATUS=MR","FA_ADJUSTED=GAAP","Sort=A","Dates=H","DateFormat=P","Fill=—","Direction=H","UseDPDF=Y")</f>
        <v>-1.1000000000000001</v>
      </c>
      <c r="X52" s="20">
        <f>_xll.BDH("ALNY US Equity","IS_DILUTED_EPS","FQ1 2024","FQ1 2024","Currency=USD","Period=FQ","BEST_FPERIOD_OVERRIDE=FQ","FILING_STATUS=MR","FA_ADJUSTED=GAAP","Sort=A","Dates=H","DateFormat=P","Fill=—","Direction=H","UseDPDF=Y")</f>
        <v>-0.52</v>
      </c>
      <c r="Y52" s="20">
        <f>_xll.BDH("ALNY US Equity","IS_DILUTED_EPS","FQ2 2024","FQ2 2024","Currency=USD","Period=FQ","BEST_FPERIOD_OVERRIDE=FQ","FILING_STATUS=MR","FA_ADJUSTED=GAAP","Sort=A","Dates=H","DateFormat=P","Fill=—","Direction=H","UseDPDF=Y")</f>
        <v>-0.13</v>
      </c>
      <c r="Z52" s="20">
        <f>_xll.BDH("ALNY US Equity","IS_DILUTED_EPS","FQ3 2024","FQ3 2024","Currency=USD","Period=FQ","BEST_FPERIOD_OVERRIDE=FQ","FILING_STATUS=MR","FA_ADJUSTED=GAAP","Sort=A","Dates=H","DateFormat=P","Fill=—","Direction=H","UseDPDF=Y")</f>
        <v>-0.87</v>
      </c>
      <c r="AA52" s="20">
        <f>_xll.BDH("ALNY US Equity","IS_DILUTED_EPS","FQ4 2024","FQ4 2024","Currency=USD","Period=FQ","BEST_FPERIOD_OVERRIDE=FQ","FILING_STATUS=MR","FA_ADJUSTED=GAAP","Sort=A","Dates=H","DateFormat=P","Fill=—","Direction=H","UseDPDF=Y")</f>
        <v>-0.65</v>
      </c>
    </row>
    <row r="53" spans="1:27" x14ac:dyDescent="0.25">
      <c r="A53" s="10" t="s">
        <v>626</v>
      </c>
      <c r="B53" s="10" t="s">
        <v>637</v>
      </c>
      <c r="C53" s="14">
        <f>_xll.BDH("ALNY US Equity","IS_DISC_OPS_DILUTED_SH","FQ4 2018","FQ4 2018","Currency=USD","Period=FQ","BEST_FPERIOD_OVERRIDE=FQ","FILING_STATUS=MR","Sort=A","Dates=H","DateFormat=P","Fill=—","Direction=H","UseDPDF=Y")</f>
        <v>0</v>
      </c>
      <c r="D53" s="14">
        <f>_xll.BDH("ALNY US Equity","IS_DISC_OPS_DILUTED_SH","FQ1 2019","FQ1 2019","Currency=USD","Period=FQ","BEST_FPERIOD_OVERRIDE=FQ","FILING_STATUS=MR","Sort=A","Dates=H","DateFormat=P","Fill=—","Direction=H","UseDPDF=Y")</f>
        <v>0</v>
      </c>
      <c r="E53" s="14">
        <f>_xll.BDH("ALNY US Equity","IS_DISC_OPS_DILUTED_SH","FQ2 2019","FQ2 2019","Currency=USD","Period=FQ","BEST_FPERIOD_OVERRIDE=FQ","FILING_STATUS=MR","Sort=A","Dates=H","DateFormat=P","Fill=—","Direction=H","UseDPDF=Y")</f>
        <v>0</v>
      </c>
      <c r="F53" s="14">
        <f>_xll.BDH("ALNY US Equity","IS_DISC_OPS_DILUTED_SH","FQ3 2019","FQ3 2019","Currency=USD","Period=FQ","BEST_FPERIOD_OVERRIDE=FQ","FILING_STATUS=MR","Sort=A","Dates=H","DateFormat=P","Fill=—","Direction=H","UseDPDF=Y")</f>
        <v>0</v>
      </c>
      <c r="G53" s="14">
        <f>_xll.BDH("ALNY US Equity","IS_DISC_OPS_DILUTED_SH","FQ4 2019","FQ4 2019","Currency=USD","Period=FQ","BEST_FPERIOD_OVERRIDE=FQ","FILING_STATUS=MR","Sort=A","Dates=H","DateFormat=P","Fill=—","Direction=H","UseDPDF=Y")</f>
        <v>0</v>
      </c>
      <c r="H53" s="14">
        <f>_xll.BDH("ALNY US Equity","IS_DISC_OPS_DILUTED_SH","FQ1 2020","FQ1 2020","Currency=USD","Period=FQ","BEST_FPERIOD_OVERRIDE=FQ","FILING_STATUS=MR","Sort=A","Dates=H","DateFormat=P","Fill=—","Direction=H","UseDPDF=Y")</f>
        <v>0</v>
      </c>
      <c r="I53" s="14">
        <f>_xll.BDH("ALNY US Equity","IS_DISC_OPS_DILUTED_SH","FQ2 2020","FQ2 2020","Currency=USD","Period=FQ","BEST_FPERIOD_OVERRIDE=FQ","FILING_STATUS=MR","Sort=A","Dates=H","DateFormat=P","Fill=—","Direction=H","UseDPDF=Y")</f>
        <v>0</v>
      </c>
      <c r="J53" s="14">
        <f>_xll.BDH("ALNY US Equity","IS_DISC_OPS_DILUTED_SH","FQ3 2020","FQ3 2020","Currency=USD","Period=FQ","BEST_FPERIOD_OVERRIDE=FQ","FILING_STATUS=MR","Sort=A","Dates=H","DateFormat=P","Fill=—","Direction=H","UseDPDF=Y")</f>
        <v>0</v>
      </c>
      <c r="K53" s="14" t="str">
        <f>_xll.BDH("ALNY US Equity","IS_DISC_OPS_DILUTED_SH","FQ4 2020","FQ4 2020","Currency=USD","Period=FQ","BEST_FPERIOD_OVERRIDE=FQ","FILING_STATUS=MR","Sort=A","Dates=H","DateFormat=P","Fill=—","Direction=H","UseDPDF=Y")</f>
        <v>—</v>
      </c>
      <c r="L53" s="14">
        <f>_xll.BDH("ALNY US Equity","IS_DISC_OPS_DILUTED_SH","FQ1 2021","FQ1 2021","Currency=USD","Period=FQ","BEST_FPERIOD_OVERRIDE=FQ","FILING_STATUS=MR","Sort=A","Dates=H","DateFormat=P","Fill=—","Direction=H","UseDPDF=Y")</f>
        <v>0</v>
      </c>
      <c r="M53" s="14">
        <f>_xll.BDH("ALNY US Equity","IS_DISC_OPS_DILUTED_SH","FQ2 2021","FQ2 2021","Currency=USD","Period=FQ","BEST_FPERIOD_OVERRIDE=FQ","FILING_STATUS=MR","Sort=A","Dates=H","DateFormat=P","Fill=—","Direction=H","UseDPDF=Y")</f>
        <v>0</v>
      </c>
      <c r="N53" s="14">
        <f>_xll.BDH("ALNY US Equity","IS_DISC_OPS_DILUTED_SH","FQ3 2021","FQ3 2021","Currency=USD","Period=FQ","BEST_FPERIOD_OVERRIDE=FQ","FILING_STATUS=MR","Sort=A","Dates=H","DateFormat=P","Fill=—","Direction=H","UseDPDF=Y")</f>
        <v>0</v>
      </c>
      <c r="O53" s="14" t="str">
        <f>_xll.BDH("ALNY US Equity","IS_DISC_OPS_DILUTED_SH","FQ4 2021","FQ4 2021","Currency=USD","Period=FQ","BEST_FPERIOD_OVERRIDE=FQ","FILING_STATUS=MR","Sort=A","Dates=H","DateFormat=P","Fill=—","Direction=H","UseDPDF=Y")</f>
        <v>—</v>
      </c>
      <c r="P53" s="14">
        <f>_xll.BDH("ALNY US Equity","IS_DISC_OPS_DILUTED_SH","FQ1 2022","FQ1 2022","Currency=USD","Period=FQ","BEST_FPERIOD_OVERRIDE=FQ","FILING_STATUS=MR","Sort=A","Dates=H","DateFormat=P","Fill=—","Direction=H","UseDPDF=Y")</f>
        <v>0</v>
      </c>
      <c r="Q53" s="14" t="str">
        <f>_xll.BDH("ALNY US Equity","IS_DISC_OPS_DILUTED_SH","FQ2 2022","FQ2 2022","Currency=USD","Period=FQ","BEST_FPERIOD_OVERRIDE=FQ","FILING_STATUS=MR","Sort=A","Dates=H","DateFormat=P","Fill=—","Direction=H","UseDPDF=Y")</f>
        <v>—</v>
      </c>
      <c r="R53" s="14">
        <f>_xll.BDH("ALNY US Equity","IS_DISC_OPS_DILUTED_SH","FQ3 2022","FQ3 2022","Currency=USD","Period=FQ","BEST_FPERIOD_OVERRIDE=FQ","FILING_STATUS=MR","Sort=A","Dates=H","DateFormat=P","Fill=—","Direction=H","UseDPDF=Y")</f>
        <v>0</v>
      </c>
      <c r="S53" s="14">
        <f>_xll.BDH("ALNY US Equity","IS_DISC_OPS_DILUTED_SH","FQ4 2022","FQ4 2022","Currency=USD","Period=FQ","BEST_FPERIOD_OVERRIDE=FQ","FILING_STATUS=MR","Sort=A","Dates=H","DateFormat=P","Fill=—","Direction=H","UseDPDF=Y")</f>
        <v>0</v>
      </c>
      <c r="T53" s="14">
        <f>_xll.BDH("ALNY US Equity","IS_DISC_OPS_DILUTED_SH","FQ1 2023","FQ1 2023","Currency=USD","Period=FQ","BEST_FPERIOD_OVERRIDE=FQ","FILING_STATUS=MR","Sort=A","Dates=H","DateFormat=P","Fill=—","Direction=H","UseDPDF=Y")</f>
        <v>0</v>
      </c>
      <c r="U53" s="14" t="str">
        <f>_xll.BDH("ALNY US Equity","IS_DISC_OPS_DILUTED_SH","FQ2 2023","FQ2 2023","Currency=USD","Period=FQ","BEST_FPERIOD_OVERRIDE=FQ","FILING_STATUS=MR","Sort=A","Dates=H","DateFormat=P","Fill=—","Direction=H","UseDPDF=Y")</f>
        <v>—</v>
      </c>
      <c r="V53" s="14">
        <f>_xll.BDH("ALNY US Equity","IS_DISC_OPS_DILUTED_SH","FQ3 2023","FQ3 2023","Currency=USD","Period=FQ","BEST_FPERIOD_OVERRIDE=FQ","FILING_STATUS=MR","Sort=A","Dates=H","DateFormat=P","Fill=—","Direction=H","UseDPDF=Y")</f>
        <v>0</v>
      </c>
      <c r="W53" s="14">
        <f>_xll.BDH("ALNY US Equity","IS_DISC_OPS_DILUTED_SH","FQ4 2023","FQ4 2023","Currency=USD","Period=FQ","BEST_FPERIOD_OVERRIDE=FQ","FILING_STATUS=MR","Sort=A","Dates=H","DateFormat=P","Fill=—","Direction=H","UseDPDF=Y")</f>
        <v>0</v>
      </c>
      <c r="X53" s="14">
        <f>_xll.BDH("ALNY US Equity","IS_DISC_OPS_DILUTED_SH","FQ1 2024","FQ1 2024","Currency=USD","Period=FQ","BEST_FPERIOD_OVERRIDE=FQ","FILING_STATUS=MR","Sort=A","Dates=H","DateFormat=P","Fill=—","Direction=H","UseDPDF=Y")</f>
        <v>0</v>
      </c>
      <c r="Y53" s="14" t="str">
        <f>_xll.BDH("ALNY US Equity","IS_DISC_OPS_DILUTED_SH","FQ2 2024","FQ2 2024","Currency=USD","Period=FQ","BEST_FPERIOD_OVERRIDE=FQ","FILING_STATUS=MR","Sort=A","Dates=H","DateFormat=P","Fill=—","Direction=H","UseDPDF=Y")</f>
        <v>—</v>
      </c>
      <c r="Z53" s="14">
        <f>_xll.BDH("ALNY US Equity","IS_DISC_OPS_DILUTED_SH","FQ3 2024","FQ3 2024","Currency=USD","Period=FQ","BEST_FPERIOD_OVERRIDE=FQ","FILING_STATUS=MR","Sort=A","Dates=H","DateFormat=P","Fill=—","Direction=H","UseDPDF=Y")</f>
        <v>0</v>
      </c>
      <c r="AA53" s="14">
        <f>_xll.BDH("ALNY US Equity","IS_DISC_OPS_DILUTED_SH","FQ4 2024","FQ4 2024","Currency=USD","Period=FQ","BEST_FPERIOD_OVERRIDE=FQ","FILING_STATUS=MR","Sort=A","Dates=H","DateFormat=P","Fill=—","Direction=H","UseDPDF=Y")</f>
        <v>0</v>
      </c>
    </row>
    <row r="54" spans="1:27" x14ac:dyDescent="0.25">
      <c r="A54" s="10" t="s">
        <v>627</v>
      </c>
      <c r="B54" s="10" t="s">
        <v>638</v>
      </c>
      <c r="C54" s="14">
        <f>_xll.BDH("ALNY US Equity","IS_XO_ITEMS_ACCT_CHG_DIL_SH","FQ4 2018","FQ4 2018","Currency=USD","Period=FQ","BEST_FPERIOD_OVERRIDE=FQ","FILING_STATUS=MR","Sort=A","Dates=H","DateFormat=P","Fill=—","Direction=H","UseDPDF=Y")</f>
        <v>0</v>
      </c>
      <c r="D54" s="14">
        <f>_xll.BDH("ALNY US Equity","IS_XO_ITEMS_ACCT_CHG_DIL_SH","FQ1 2019","FQ1 2019","Currency=USD","Period=FQ","BEST_FPERIOD_OVERRIDE=FQ","FILING_STATUS=MR","Sort=A","Dates=H","DateFormat=P","Fill=—","Direction=H","UseDPDF=Y")</f>
        <v>0</v>
      </c>
      <c r="E54" s="14">
        <f>_xll.BDH("ALNY US Equity","IS_XO_ITEMS_ACCT_CHG_DIL_SH","FQ2 2019","FQ2 2019","Currency=USD","Period=FQ","BEST_FPERIOD_OVERRIDE=FQ","FILING_STATUS=MR","Sort=A","Dates=H","DateFormat=P","Fill=—","Direction=H","UseDPDF=Y")</f>
        <v>0</v>
      </c>
      <c r="F54" s="14">
        <f>_xll.BDH("ALNY US Equity","IS_XO_ITEMS_ACCT_CHG_DIL_SH","FQ3 2019","FQ3 2019","Currency=USD","Period=FQ","BEST_FPERIOD_OVERRIDE=FQ","FILING_STATUS=MR","Sort=A","Dates=H","DateFormat=P","Fill=—","Direction=H","UseDPDF=Y")</f>
        <v>0</v>
      </c>
      <c r="G54" s="14">
        <f>_xll.BDH("ALNY US Equity","IS_XO_ITEMS_ACCT_CHG_DIL_SH","FQ4 2019","FQ4 2019","Currency=USD","Period=FQ","BEST_FPERIOD_OVERRIDE=FQ","FILING_STATUS=MR","Sort=A","Dates=H","DateFormat=P","Fill=—","Direction=H","UseDPDF=Y")</f>
        <v>0</v>
      </c>
      <c r="H54" s="14">
        <f>_xll.BDH("ALNY US Equity","IS_XO_ITEMS_ACCT_CHG_DIL_SH","FQ1 2020","FQ1 2020","Currency=USD","Period=FQ","BEST_FPERIOD_OVERRIDE=FQ","FILING_STATUS=MR","Sort=A","Dates=H","DateFormat=P","Fill=—","Direction=H","UseDPDF=Y")</f>
        <v>0</v>
      </c>
      <c r="I54" s="14">
        <f>_xll.BDH("ALNY US Equity","IS_XO_ITEMS_ACCT_CHG_DIL_SH","FQ2 2020","FQ2 2020","Currency=USD","Period=FQ","BEST_FPERIOD_OVERRIDE=FQ","FILING_STATUS=MR","Sort=A","Dates=H","DateFormat=P","Fill=—","Direction=H","UseDPDF=Y")</f>
        <v>0</v>
      </c>
      <c r="J54" s="14">
        <f>_xll.BDH("ALNY US Equity","IS_XO_ITEMS_ACCT_CHG_DIL_SH","FQ3 2020","FQ3 2020","Currency=USD","Period=FQ","BEST_FPERIOD_OVERRIDE=FQ","FILING_STATUS=MR","Sort=A","Dates=H","DateFormat=P","Fill=—","Direction=H","UseDPDF=Y")</f>
        <v>0</v>
      </c>
      <c r="K54" s="14">
        <f>_xll.BDH("ALNY US Equity","IS_XO_ITEMS_ACCT_CHG_DIL_SH","FQ4 2020","FQ4 2020","Currency=USD","Period=FQ","BEST_FPERIOD_OVERRIDE=FQ","FILING_STATUS=MR","Sort=A","Dates=H","DateFormat=P","Fill=—","Direction=H","UseDPDF=Y")</f>
        <v>0</v>
      </c>
      <c r="L54" s="14">
        <f>_xll.BDH("ALNY US Equity","IS_XO_ITEMS_ACCT_CHG_DIL_SH","FQ1 2021","FQ1 2021","Currency=USD","Period=FQ","BEST_FPERIOD_OVERRIDE=FQ","FILING_STATUS=MR","Sort=A","Dates=H","DateFormat=P","Fill=—","Direction=H","UseDPDF=Y")</f>
        <v>0</v>
      </c>
      <c r="M54" s="14">
        <f>_xll.BDH("ALNY US Equity","IS_XO_ITEMS_ACCT_CHG_DIL_SH","FQ2 2021","FQ2 2021","Currency=USD","Period=FQ","BEST_FPERIOD_OVERRIDE=FQ","FILING_STATUS=MR","Sort=A","Dates=H","DateFormat=P","Fill=—","Direction=H","UseDPDF=Y")</f>
        <v>0</v>
      </c>
      <c r="N54" s="14">
        <f>_xll.BDH("ALNY US Equity","IS_XO_ITEMS_ACCT_CHG_DIL_SH","FQ3 2021","FQ3 2021","Currency=USD","Period=FQ","BEST_FPERIOD_OVERRIDE=FQ","FILING_STATUS=MR","Sort=A","Dates=H","DateFormat=P","Fill=—","Direction=H","UseDPDF=Y")</f>
        <v>0</v>
      </c>
      <c r="O54" s="14">
        <f>_xll.BDH("ALNY US Equity","IS_XO_ITEMS_ACCT_CHG_DIL_SH","FQ4 2021","FQ4 2021","Currency=USD","Period=FQ","BEST_FPERIOD_OVERRIDE=FQ","FILING_STATUS=MR","Sort=A","Dates=H","DateFormat=P","Fill=—","Direction=H","UseDPDF=Y")</f>
        <v>0</v>
      </c>
      <c r="P54" s="14">
        <f>_xll.BDH("ALNY US Equity","IS_XO_ITEMS_ACCT_CHG_DIL_SH","FQ1 2022","FQ1 2022","Currency=USD","Period=FQ","BEST_FPERIOD_OVERRIDE=FQ","FILING_STATUS=MR","Sort=A","Dates=H","DateFormat=P","Fill=—","Direction=H","UseDPDF=Y")</f>
        <v>0</v>
      </c>
      <c r="Q54" s="14">
        <f>_xll.BDH("ALNY US Equity","IS_XO_ITEMS_ACCT_CHG_DIL_SH","FQ2 2022","FQ2 2022","Currency=USD","Period=FQ","BEST_FPERIOD_OVERRIDE=FQ","FILING_STATUS=MR","Sort=A","Dates=H","DateFormat=P","Fill=—","Direction=H","UseDPDF=Y")</f>
        <v>0</v>
      </c>
      <c r="R54" s="14">
        <f>_xll.BDH("ALNY US Equity","IS_XO_ITEMS_ACCT_CHG_DIL_SH","FQ3 2022","FQ3 2022","Currency=USD","Period=FQ","BEST_FPERIOD_OVERRIDE=FQ","FILING_STATUS=MR","Sort=A","Dates=H","DateFormat=P","Fill=—","Direction=H","UseDPDF=Y")</f>
        <v>0</v>
      </c>
      <c r="S54" s="14">
        <f>_xll.BDH("ALNY US Equity","IS_XO_ITEMS_ACCT_CHG_DIL_SH","FQ4 2022","FQ4 2022","Currency=USD","Period=FQ","BEST_FPERIOD_OVERRIDE=FQ","FILING_STATUS=MR","Sort=A","Dates=H","DateFormat=P","Fill=—","Direction=H","UseDPDF=Y")</f>
        <v>0</v>
      </c>
      <c r="T54" s="14">
        <f>_xll.BDH("ALNY US Equity","IS_XO_ITEMS_ACCT_CHG_DIL_SH","FQ1 2023","FQ1 2023","Currency=USD","Period=FQ","BEST_FPERIOD_OVERRIDE=FQ","FILING_STATUS=MR","Sort=A","Dates=H","DateFormat=P","Fill=—","Direction=H","UseDPDF=Y")</f>
        <v>0</v>
      </c>
      <c r="U54" s="14">
        <f>_xll.BDH("ALNY US Equity","IS_XO_ITEMS_ACCT_CHG_DIL_SH","FQ2 2023","FQ2 2023","Currency=USD","Period=FQ","BEST_FPERIOD_OVERRIDE=FQ","FILING_STATUS=MR","Sort=A","Dates=H","DateFormat=P","Fill=—","Direction=H","UseDPDF=Y")</f>
        <v>0</v>
      </c>
      <c r="V54" s="14">
        <f>_xll.BDH("ALNY US Equity","IS_XO_ITEMS_ACCT_CHG_DIL_SH","FQ3 2023","FQ3 2023","Currency=USD","Period=FQ","BEST_FPERIOD_OVERRIDE=FQ","FILING_STATUS=MR","Sort=A","Dates=H","DateFormat=P","Fill=—","Direction=H","UseDPDF=Y")</f>
        <v>0</v>
      </c>
      <c r="W54" s="14">
        <f>_xll.BDH("ALNY US Equity","IS_XO_ITEMS_ACCT_CHG_DIL_SH","FQ4 2023","FQ4 2023","Currency=USD","Period=FQ","BEST_FPERIOD_OVERRIDE=FQ","FILING_STATUS=MR","Sort=A","Dates=H","DateFormat=P","Fill=—","Direction=H","UseDPDF=Y")</f>
        <v>0</v>
      </c>
      <c r="X54" s="14">
        <f>_xll.BDH("ALNY US Equity","IS_XO_ITEMS_ACCT_CHG_DIL_SH","FQ1 2024","FQ1 2024","Currency=USD","Period=FQ","BEST_FPERIOD_OVERRIDE=FQ","FILING_STATUS=MR","Sort=A","Dates=H","DateFormat=P","Fill=—","Direction=H","UseDPDF=Y")</f>
        <v>0</v>
      </c>
      <c r="Y54" s="14">
        <f>_xll.BDH("ALNY US Equity","IS_XO_ITEMS_ACCT_CHG_DIL_SH","FQ2 2024","FQ2 2024","Currency=USD","Period=FQ","BEST_FPERIOD_OVERRIDE=FQ","FILING_STATUS=MR","Sort=A","Dates=H","DateFormat=P","Fill=—","Direction=H","UseDPDF=Y")</f>
        <v>0</v>
      </c>
      <c r="Z54" s="14">
        <f>_xll.BDH("ALNY US Equity","IS_XO_ITEMS_ACCT_CHG_DIL_SH","FQ3 2024","FQ3 2024","Currency=USD","Period=FQ","BEST_FPERIOD_OVERRIDE=FQ","FILING_STATUS=MR","Sort=A","Dates=H","DateFormat=P","Fill=—","Direction=H","UseDPDF=Y")</f>
        <v>0</v>
      </c>
      <c r="AA54" s="14">
        <f>_xll.BDH("ALNY US Equity","IS_XO_ITEMS_ACCT_CHG_DIL_SH","FQ4 2024","FQ4 2024","Currency=USD","Period=FQ","BEST_FPERIOD_OVERRIDE=FQ","FILING_STATUS=MR","Sort=A","Dates=H","DateFormat=P","Fill=—","Direction=H","UseDPDF=Y")</f>
        <v>0</v>
      </c>
    </row>
    <row r="55" spans="1:27" x14ac:dyDescent="0.25">
      <c r="A55" s="6" t="s">
        <v>372</v>
      </c>
      <c r="B55" s="6" t="s">
        <v>260</v>
      </c>
      <c r="C55" s="20">
        <f>_xll.BDH("ALNY US Equity","IS_DIL_EPS_BEF_XO","FQ4 2018","FQ4 2018","Currency=USD","Period=FQ","BEST_FPERIOD_OVERRIDE=FQ","FILING_STATUS=MR","Sort=A","Dates=H","DateFormat=P","Fill=—","Direction=H","UseDPDF=Y")</f>
        <v>-2.09</v>
      </c>
      <c r="D55" s="20">
        <f>_xll.BDH("ALNY US Equity","IS_DIL_EPS_BEF_XO","FQ1 2019","FQ1 2019","Currency=USD","Period=FQ","BEST_FPERIOD_OVERRIDE=FQ","FILING_STATUS=MR","Sort=A","Dates=H","DateFormat=P","Fill=—","Direction=H","UseDPDF=Y")</f>
        <v>-1.73</v>
      </c>
      <c r="E55" s="20">
        <f>_xll.BDH("ALNY US Equity","IS_DIL_EPS_BEF_XO","FQ2 2019","FQ2 2019","Currency=USD","Period=FQ","BEST_FPERIOD_OVERRIDE=FQ","FILING_STATUS=MR","Sort=A","Dates=H","DateFormat=P","Fill=—","Direction=H","UseDPDF=Y")</f>
        <v>-2.02</v>
      </c>
      <c r="F55" s="20">
        <f>_xll.BDH("ALNY US Equity","IS_DIL_EPS_BEF_XO","FQ3 2019","FQ3 2019","Currency=USD","Period=FQ","BEST_FPERIOD_OVERRIDE=FQ","FILING_STATUS=MR","Sort=A","Dates=H","DateFormat=P","Fill=—","Direction=H","UseDPDF=Y")</f>
        <v>-1.92</v>
      </c>
      <c r="G55" s="20">
        <f>_xll.BDH("ALNY US Equity","IS_DIL_EPS_BEF_XO","FQ4 2019","FQ4 2019","Currency=USD","Period=FQ","BEST_FPERIOD_OVERRIDE=FQ","FILING_STATUS=MR","Sort=A","Dates=H","DateFormat=P","Fill=—","Direction=H","UseDPDF=Y")</f>
        <v>-2.4700000000000002</v>
      </c>
      <c r="H55" s="20">
        <f>_xll.BDH("ALNY US Equity","IS_DIL_EPS_BEF_XO","FQ1 2020","FQ1 2020","Currency=USD","Period=FQ","BEST_FPERIOD_OVERRIDE=FQ","FILING_STATUS=MR","Sort=A","Dates=H","DateFormat=P","Fill=—","Direction=H","UseDPDF=Y")</f>
        <v>-1.62</v>
      </c>
      <c r="I55" s="20">
        <f>_xll.BDH("ALNY US Equity","IS_DIL_EPS_BEF_XO","FQ2 2020","FQ2 2020","Currency=USD","Period=FQ","BEST_FPERIOD_OVERRIDE=FQ","FILING_STATUS=MR","Sort=A","Dates=H","DateFormat=P","Fill=—","Direction=H","UseDPDF=Y")</f>
        <v>-1.56</v>
      </c>
      <c r="J55" s="20">
        <f>_xll.BDH("ALNY US Equity","IS_DIL_EPS_BEF_XO","FQ3 2020","FQ3 2020","Currency=USD","Period=FQ","BEST_FPERIOD_OVERRIDE=FQ","FILING_STATUS=MR","Sort=A","Dates=H","DateFormat=P","Fill=—","Direction=H","UseDPDF=Y")</f>
        <v>-2.1800000000000002</v>
      </c>
      <c r="K55" s="20">
        <f>_xll.BDH("ALNY US Equity","IS_DIL_EPS_BEF_XO","FQ4 2020","FQ4 2020","Currency=USD","Period=FQ","BEST_FPERIOD_OVERRIDE=FQ","FILING_STATUS=MR","Sort=A","Dates=H","DateFormat=P","Fill=—","Direction=H","UseDPDF=Y")</f>
        <v>-2.09</v>
      </c>
      <c r="L55" s="20">
        <f>_xll.BDH("ALNY US Equity","IS_DIL_EPS_BEF_XO","FQ1 2021","FQ1 2021","Currency=USD","Period=FQ","BEST_FPERIOD_OVERRIDE=FQ","FILING_STATUS=MR","Sort=A","Dates=H","DateFormat=P","Fill=—","Direction=H","UseDPDF=Y")</f>
        <v>-1.71</v>
      </c>
      <c r="M55" s="20">
        <f>_xll.BDH("ALNY US Equity","IS_DIL_EPS_BEF_XO","FQ2 2021","FQ2 2021","Currency=USD","Period=FQ","BEST_FPERIOD_OVERRIDE=FQ","FILING_STATUS=MR","Sort=A","Dates=H","DateFormat=P","Fill=—","Direction=H","UseDPDF=Y")</f>
        <v>-1.61</v>
      </c>
      <c r="N55" s="20">
        <f>_xll.BDH("ALNY US Equity","IS_DIL_EPS_BEF_XO","FQ3 2021","FQ3 2021","Currency=USD","Period=FQ","BEST_FPERIOD_OVERRIDE=FQ","FILING_STATUS=MR","Sort=A","Dates=H","DateFormat=P","Fill=—","Direction=H","UseDPDF=Y")</f>
        <v>-1.72</v>
      </c>
      <c r="O55" s="20">
        <f>_xll.BDH("ALNY US Equity","IS_DIL_EPS_BEF_XO","FQ4 2021","FQ4 2021","Currency=USD","Period=FQ","BEST_FPERIOD_OVERRIDE=FQ","FILING_STATUS=MR","Sort=A","Dates=H","DateFormat=P","Fill=—","Direction=H","UseDPDF=Y")</f>
        <v>-2.16</v>
      </c>
      <c r="P55" s="20">
        <f>_xll.BDH("ALNY US Equity","IS_DIL_EPS_BEF_XO","FQ1 2022","FQ1 2022","Currency=USD","Period=FQ","BEST_FPERIOD_OVERRIDE=FQ","FILING_STATUS=MR","Sort=A","Dates=H","DateFormat=P","Fill=—","Direction=H","UseDPDF=Y")</f>
        <v>-2</v>
      </c>
      <c r="Q55" s="20">
        <f>_xll.BDH("ALNY US Equity","IS_DIL_EPS_BEF_XO","FQ2 2022","FQ2 2022","Currency=USD","Period=FQ","BEST_FPERIOD_OVERRIDE=FQ","FILING_STATUS=MR","Sort=A","Dates=H","DateFormat=P","Fill=—","Direction=H","UseDPDF=Y")</f>
        <v>-2.29</v>
      </c>
      <c r="R55" s="20">
        <f>_xll.BDH("ALNY US Equity","IS_DIL_EPS_BEF_XO","FQ3 2022","FQ3 2022","Currency=USD","Period=FQ","BEST_FPERIOD_OVERRIDE=FQ","FILING_STATUS=MR","Sort=A","Dates=H","DateFormat=P","Fill=—","Direction=H","UseDPDF=Y")</f>
        <v>-3.32</v>
      </c>
      <c r="S55" s="20">
        <f>_xll.BDH("ALNY US Equity","IS_DIL_EPS_BEF_XO","FQ4 2022","FQ4 2022","Currency=USD","Period=FQ","BEST_FPERIOD_OVERRIDE=FQ","FILING_STATUS=MR","Sort=A","Dates=H","DateFormat=P","Fill=—","Direction=H","UseDPDF=Y")</f>
        <v>-1.68</v>
      </c>
      <c r="T55" s="20">
        <f>_xll.BDH("ALNY US Equity","IS_DIL_EPS_BEF_XO","FQ1 2023","FQ1 2023","Currency=USD","Period=FQ","BEST_FPERIOD_OVERRIDE=FQ","FILING_STATUS=MR","Sort=A","Dates=H","DateFormat=P","Fill=—","Direction=H","UseDPDF=Y")</f>
        <v>-1.4</v>
      </c>
      <c r="U55" s="20">
        <f>_xll.BDH("ALNY US Equity","IS_DIL_EPS_BEF_XO","FQ2 2023","FQ2 2023","Currency=USD","Period=FQ","BEST_FPERIOD_OVERRIDE=FQ","FILING_STATUS=MR","Sort=A","Dates=H","DateFormat=P","Fill=—","Direction=H","UseDPDF=Y")</f>
        <v>-2.21</v>
      </c>
      <c r="V55" s="20">
        <f>_xll.BDH("ALNY US Equity","IS_DIL_EPS_BEF_XO","FQ3 2023","FQ3 2023","Currency=USD","Period=FQ","BEST_FPERIOD_OVERRIDE=FQ","FILING_STATUS=MR","Sort=A","Dates=H","DateFormat=P","Fill=—","Direction=H","UseDPDF=Y")</f>
        <v>1.1499999999999999</v>
      </c>
      <c r="W55" s="20">
        <f>_xll.BDH("ALNY US Equity","IS_DIL_EPS_BEF_XO","FQ4 2023","FQ4 2023","Currency=USD","Period=FQ","BEST_FPERIOD_OVERRIDE=FQ","FILING_STATUS=MR","Sort=A","Dates=H","DateFormat=P","Fill=—","Direction=H","UseDPDF=Y")</f>
        <v>-1.1000000000000001</v>
      </c>
      <c r="X55" s="20">
        <f>_xll.BDH("ALNY US Equity","IS_DIL_EPS_BEF_XO","FQ1 2024","FQ1 2024","Currency=USD","Period=FQ","BEST_FPERIOD_OVERRIDE=FQ","FILING_STATUS=MR","Sort=A","Dates=H","DateFormat=P","Fill=—","Direction=H","UseDPDF=Y")</f>
        <v>-0.52</v>
      </c>
      <c r="Y55" s="20">
        <f>_xll.BDH("ALNY US Equity","IS_DIL_EPS_BEF_XO","FQ2 2024","FQ2 2024","Currency=USD","Period=FQ","BEST_FPERIOD_OVERRIDE=FQ","FILING_STATUS=MR","Sort=A","Dates=H","DateFormat=P","Fill=—","Direction=H","UseDPDF=Y")</f>
        <v>-0.13</v>
      </c>
      <c r="Z55" s="20">
        <f>_xll.BDH("ALNY US Equity","IS_DIL_EPS_BEF_XO","FQ3 2024","FQ3 2024","Currency=USD","Period=FQ","BEST_FPERIOD_OVERRIDE=FQ","FILING_STATUS=MR","Sort=A","Dates=H","DateFormat=P","Fill=—","Direction=H","UseDPDF=Y")</f>
        <v>-0.87</v>
      </c>
      <c r="AA55" s="20">
        <f>_xll.BDH("ALNY US Equity","IS_DIL_EPS_BEF_XO","FQ4 2024","FQ4 2024","Currency=USD","Period=FQ","BEST_FPERIOD_OVERRIDE=FQ","FILING_STATUS=MR","Sort=A","Dates=H","DateFormat=P","Fill=—","Direction=H","UseDPDF=Y")</f>
        <v>-0.65</v>
      </c>
    </row>
    <row r="56" spans="1:27" x14ac:dyDescent="0.25">
      <c r="A56" s="10" t="s">
        <v>614</v>
      </c>
      <c r="B56" s="10" t="s">
        <v>639</v>
      </c>
      <c r="C56" s="14" t="str">
        <f>_xll.BDH("ALNY US Equity","IS_MERGER_ACQUIS_EXPN_DILUTED_SH","FQ4 2018","FQ4 2018","Currency=USD","Period=FQ","BEST_FPERIOD_OVERRIDE=FQ","FILING_STATUS=MR","Sort=A","Dates=H","DateFormat=P","Fill=—","Direction=H","UseDPDF=Y")</f>
        <v>—</v>
      </c>
      <c r="D56" s="14" t="str">
        <f>_xll.BDH("ALNY US Equity","IS_MERGER_ACQUIS_EXPN_DILUTED_SH","FQ1 2019","FQ1 2019","Currency=USD","Period=FQ","BEST_FPERIOD_OVERRIDE=FQ","FILING_STATUS=MR","Sort=A","Dates=H","DateFormat=P","Fill=—","Direction=H","UseDPDF=Y")</f>
        <v>—</v>
      </c>
      <c r="E56" s="14" t="str">
        <f>_xll.BDH("ALNY US Equity","IS_MERGER_ACQUIS_EXPN_DILUTED_SH","FQ2 2019","FQ2 2019","Currency=USD","Period=FQ","BEST_FPERIOD_OVERRIDE=FQ","FILING_STATUS=MR","Sort=A","Dates=H","DateFormat=P","Fill=—","Direction=H","UseDPDF=Y")</f>
        <v>—</v>
      </c>
      <c r="F56" s="14" t="str">
        <f>_xll.BDH("ALNY US Equity","IS_MERGER_ACQUIS_EXPN_DILUTED_SH","FQ3 2019","FQ3 2019","Currency=USD","Period=FQ","BEST_FPERIOD_OVERRIDE=FQ","FILING_STATUS=MR","Sort=A","Dates=H","DateFormat=P","Fill=—","Direction=H","UseDPDF=Y")</f>
        <v>—</v>
      </c>
      <c r="G56" s="14" t="str">
        <f>_xll.BDH("ALNY US Equity","IS_MERGER_ACQUIS_EXPN_DILUTED_SH","FQ4 2019","FQ4 2019","Currency=USD","Period=FQ","BEST_FPERIOD_OVERRIDE=FQ","FILING_STATUS=MR","Sort=A","Dates=H","DateFormat=P","Fill=—","Direction=H","UseDPDF=Y")</f>
        <v>—</v>
      </c>
      <c r="H56" s="14" t="str">
        <f>_xll.BDH("ALNY US Equity","IS_MERGER_ACQUIS_EXPN_DILUTED_SH","FQ1 2020","FQ1 2020","Currency=USD","Period=FQ","BEST_FPERIOD_OVERRIDE=FQ","FILING_STATUS=MR","Sort=A","Dates=H","DateFormat=P","Fill=—","Direction=H","UseDPDF=Y")</f>
        <v>—</v>
      </c>
      <c r="I56" s="14" t="str">
        <f>_xll.BDH("ALNY US Equity","IS_MERGER_ACQUIS_EXPN_DILUTED_SH","FQ2 2020","FQ2 2020","Currency=USD","Period=FQ","BEST_FPERIOD_OVERRIDE=FQ","FILING_STATUS=MR","Sort=A","Dates=H","DateFormat=P","Fill=—","Direction=H","UseDPDF=Y")</f>
        <v>—</v>
      </c>
      <c r="J56" s="14">
        <f>_xll.BDH("ALNY US Equity","IS_MERGER_ACQUIS_EXPN_DILUTED_SH","FQ3 2020","FQ3 2020","Currency=USD","Period=FQ","BEST_FPERIOD_OVERRIDE=FQ","FILING_STATUS=MR","Sort=A","Dates=H","DateFormat=P","Fill=—","Direction=H","UseDPDF=Y")</f>
        <v>0.2414</v>
      </c>
      <c r="K56" s="14">
        <f>_xll.BDH("ALNY US Equity","IS_MERGER_ACQUIS_EXPN_DILUTED_SH","FQ4 2020","FQ4 2020","Currency=USD","Period=FQ","BEST_FPERIOD_OVERRIDE=FQ","FILING_STATUS=MR","Sort=A","Dates=H","DateFormat=P","Fill=—","Direction=H","UseDPDF=Y")</f>
        <v>8.7900000000000006E-2</v>
      </c>
      <c r="L56" s="14" t="str">
        <f>_xll.BDH("ALNY US Equity","IS_MERGER_ACQUIS_EXPN_DILUTED_SH","FQ1 2021","FQ1 2021","Currency=USD","Period=FQ","BEST_FPERIOD_OVERRIDE=FQ","FILING_STATUS=MR","Sort=A","Dates=H","DateFormat=P","Fill=—","Direction=H","UseDPDF=Y")</f>
        <v>—</v>
      </c>
      <c r="M56" s="14" t="str">
        <f>_xll.BDH("ALNY US Equity","IS_MERGER_ACQUIS_EXPN_DILUTED_SH","FQ2 2021","FQ2 2021","Currency=USD","Period=FQ","BEST_FPERIOD_OVERRIDE=FQ","FILING_STATUS=MR","Sort=A","Dates=H","DateFormat=P","Fill=—","Direction=H","UseDPDF=Y")</f>
        <v>—</v>
      </c>
      <c r="N56" s="14" t="str">
        <f>_xll.BDH("ALNY US Equity","IS_MERGER_ACQUIS_EXPN_DILUTED_SH","FQ3 2021","FQ3 2021","Currency=USD","Period=FQ","BEST_FPERIOD_OVERRIDE=FQ","FILING_STATUS=MR","Sort=A","Dates=H","DateFormat=P","Fill=—","Direction=H","UseDPDF=Y")</f>
        <v>—</v>
      </c>
      <c r="O56" s="14" t="str">
        <f>_xll.BDH("ALNY US Equity","IS_MERGER_ACQUIS_EXPN_DILUTED_SH","FQ4 2021","FQ4 2021","Currency=USD","Period=FQ","BEST_FPERIOD_OVERRIDE=FQ","FILING_STATUS=MR","Sort=A","Dates=H","DateFormat=P","Fill=—","Direction=H","UseDPDF=Y")</f>
        <v>—</v>
      </c>
      <c r="P56" s="14" t="str">
        <f>_xll.BDH("ALNY US Equity","IS_MERGER_ACQUIS_EXPN_DILUTED_SH","FQ1 2022","FQ1 2022","Currency=USD","Period=FQ","BEST_FPERIOD_OVERRIDE=FQ","FILING_STATUS=MR","Sort=A","Dates=H","DateFormat=P","Fill=—","Direction=H","UseDPDF=Y")</f>
        <v>—</v>
      </c>
      <c r="Q56" s="14" t="str">
        <f>_xll.BDH("ALNY US Equity","IS_MERGER_ACQUIS_EXPN_DILUTED_SH","FQ2 2022","FQ2 2022","Currency=USD","Period=FQ","BEST_FPERIOD_OVERRIDE=FQ","FILING_STATUS=MR","Sort=A","Dates=H","DateFormat=P","Fill=—","Direction=H","UseDPDF=Y")</f>
        <v>—</v>
      </c>
      <c r="R56" s="14" t="str">
        <f>_xll.BDH("ALNY US Equity","IS_MERGER_ACQUIS_EXPN_DILUTED_SH","FQ3 2022","FQ3 2022","Currency=USD","Period=FQ","BEST_FPERIOD_OVERRIDE=FQ","FILING_STATUS=MR","Sort=A","Dates=H","DateFormat=P","Fill=—","Direction=H","UseDPDF=Y")</f>
        <v>—</v>
      </c>
      <c r="S56" s="14" t="str">
        <f>_xll.BDH("ALNY US Equity","IS_MERGER_ACQUIS_EXPN_DILUTED_SH","FQ4 2022","FQ4 2022","Currency=USD","Period=FQ","BEST_FPERIOD_OVERRIDE=FQ","FILING_STATUS=MR","Sort=A","Dates=H","DateFormat=P","Fill=—","Direction=H","UseDPDF=Y")</f>
        <v>—</v>
      </c>
      <c r="T56" s="14" t="str">
        <f>_xll.BDH("ALNY US Equity","IS_MERGER_ACQUIS_EXPN_DILUTED_SH","FQ1 2023","FQ1 2023","Currency=USD","Period=FQ","BEST_FPERIOD_OVERRIDE=FQ","FILING_STATUS=MR","Sort=A","Dates=H","DateFormat=P","Fill=—","Direction=H","UseDPDF=Y")</f>
        <v>—</v>
      </c>
      <c r="U56" s="14" t="str">
        <f>_xll.BDH("ALNY US Equity","IS_MERGER_ACQUIS_EXPN_DILUTED_SH","FQ2 2023","FQ2 2023","Currency=USD","Period=FQ","BEST_FPERIOD_OVERRIDE=FQ","FILING_STATUS=MR","Sort=A","Dates=H","DateFormat=P","Fill=—","Direction=H","UseDPDF=Y")</f>
        <v>—</v>
      </c>
      <c r="V56" s="14" t="str">
        <f>_xll.BDH("ALNY US Equity","IS_MERGER_ACQUIS_EXPN_DILUTED_SH","FQ3 2023","FQ3 2023","Currency=USD","Period=FQ","BEST_FPERIOD_OVERRIDE=FQ","FILING_STATUS=MR","Sort=A","Dates=H","DateFormat=P","Fill=—","Direction=H","UseDPDF=Y")</f>
        <v>—</v>
      </c>
      <c r="W56" s="14" t="str">
        <f>_xll.BDH("ALNY US Equity","IS_MERGER_ACQUIS_EXPN_DILUTED_SH","FQ4 2023","FQ4 2023","Currency=USD","Period=FQ","BEST_FPERIOD_OVERRIDE=FQ","FILING_STATUS=MR","Sort=A","Dates=H","DateFormat=P","Fill=—","Direction=H","UseDPDF=Y")</f>
        <v>—</v>
      </c>
      <c r="X56" s="14" t="str">
        <f>_xll.BDH("ALNY US Equity","IS_MERGER_ACQUIS_EXPN_DILUTED_SH","FQ1 2024","FQ1 2024","Currency=USD","Period=FQ","BEST_FPERIOD_OVERRIDE=FQ","FILING_STATUS=MR","Sort=A","Dates=H","DateFormat=P","Fill=—","Direction=H","UseDPDF=Y")</f>
        <v>—</v>
      </c>
      <c r="Y56" s="14" t="str">
        <f>_xll.BDH("ALNY US Equity","IS_MERGER_ACQUIS_EXPN_DILUTED_SH","FQ2 2024","FQ2 2024","Currency=USD","Period=FQ","BEST_FPERIOD_OVERRIDE=FQ","FILING_STATUS=MR","Sort=A","Dates=H","DateFormat=P","Fill=—","Direction=H","UseDPDF=Y")</f>
        <v>—</v>
      </c>
      <c r="Z56" s="14" t="str">
        <f>_xll.BDH("ALNY US Equity","IS_MERGER_ACQUIS_EXPN_DILUTED_SH","FQ3 2024","FQ3 2024","Currency=USD","Period=FQ","BEST_FPERIOD_OVERRIDE=FQ","FILING_STATUS=MR","Sort=A","Dates=H","DateFormat=P","Fill=—","Direction=H","UseDPDF=Y")</f>
        <v>—</v>
      </c>
      <c r="AA56" s="14" t="str">
        <f>_xll.BDH("ALNY US Equity","IS_MERGER_ACQUIS_EXPN_DILUTED_SH","FQ4 2024","FQ4 2024","Currency=USD","Period=FQ","BEST_FPERIOD_OVERRIDE=FQ","FILING_STATUS=MR","Sort=A","Dates=H","DateFormat=P","Fill=—","Direction=H","UseDPDF=Y")</f>
        <v>—</v>
      </c>
    </row>
    <row r="57" spans="1:27" x14ac:dyDescent="0.25">
      <c r="A57" s="10" t="s">
        <v>621</v>
      </c>
      <c r="B57" s="10" t="s">
        <v>640</v>
      </c>
      <c r="C57" s="14" t="str">
        <f>_xll.BDH("ALNY US Equity","IS_EEOD_DILUTED_SHARE","FQ4 2018","FQ4 2018","Currency=USD","Period=FQ","BEST_FPERIOD_OVERRIDE=FQ","FILING_STATUS=MR","Sort=A","Dates=H","DateFormat=P","Fill=—","Direction=H","UseDPDF=Y")</f>
        <v>—</v>
      </c>
      <c r="D57" s="14" t="str">
        <f>_xll.BDH("ALNY US Equity","IS_EEOD_DILUTED_SHARE","FQ1 2019","FQ1 2019","Currency=USD","Period=FQ","BEST_FPERIOD_OVERRIDE=FQ","FILING_STATUS=MR","Sort=A","Dates=H","DateFormat=P","Fill=—","Direction=H","UseDPDF=Y")</f>
        <v>—</v>
      </c>
      <c r="E57" s="14" t="str">
        <f>_xll.BDH("ALNY US Equity","IS_EEOD_DILUTED_SHARE","FQ2 2019","FQ2 2019","Currency=USD","Period=FQ","BEST_FPERIOD_OVERRIDE=FQ","FILING_STATUS=MR","Sort=A","Dates=H","DateFormat=P","Fill=—","Direction=H","UseDPDF=Y")</f>
        <v>—</v>
      </c>
      <c r="F57" s="14" t="str">
        <f>_xll.BDH("ALNY US Equity","IS_EEOD_DILUTED_SHARE","FQ3 2019","FQ3 2019","Currency=USD","Period=FQ","BEST_FPERIOD_OVERRIDE=FQ","FILING_STATUS=MR","Sort=A","Dates=H","DateFormat=P","Fill=—","Direction=H","UseDPDF=Y")</f>
        <v>—</v>
      </c>
      <c r="G57" s="14" t="str">
        <f>_xll.BDH("ALNY US Equity","IS_EEOD_DILUTED_SHARE","FQ4 2019","FQ4 2019","Currency=USD","Period=FQ","BEST_FPERIOD_OVERRIDE=FQ","FILING_STATUS=MR","Sort=A","Dates=H","DateFormat=P","Fill=—","Direction=H","UseDPDF=Y")</f>
        <v>—</v>
      </c>
      <c r="H57" s="14" t="str">
        <f>_xll.BDH("ALNY US Equity","IS_EEOD_DILUTED_SHARE","FQ1 2020","FQ1 2020","Currency=USD","Period=FQ","BEST_FPERIOD_OVERRIDE=FQ","FILING_STATUS=MR","Sort=A","Dates=H","DateFormat=P","Fill=—","Direction=H","UseDPDF=Y")</f>
        <v>—</v>
      </c>
      <c r="I57" s="14" t="str">
        <f>_xll.BDH("ALNY US Equity","IS_EEOD_DILUTED_SHARE","FQ2 2020","FQ2 2020","Currency=USD","Period=FQ","BEST_FPERIOD_OVERRIDE=FQ","FILING_STATUS=MR","Sort=A","Dates=H","DateFormat=P","Fill=—","Direction=H","UseDPDF=Y")</f>
        <v>—</v>
      </c>
      <c r="J57" s="14" t="str">
        <f>_xll.BDH("ALNY US Equity","IS_EEOD_DILUTED_SHARE","FQ3 2020","FQ3 2020","Currency=USD","Period=FQ","BEST_FPERIOD_OVERRIDE=FQ","FILING_STATUS=MR","Sort=A","Dates=H","DateFormat=P","Fill=—","Direction=H","UseDPDF=Y")</f>
        <v>—</v>
      </c>
      <c r="K57" s="14" t="str">
        <f>_xll.BDH("ALNY US Equity","IS_EEOD_DILUTED_SHARE","FQ4 2020","FQ4 2020","Currency=USD","Period=FQ","BEST_FPERIOD_OVERRIDE=FQ","FILING_STATUS=MR","Sort=A","Dates=H","DateFormat=P","Fill=—","Direction=H","UseDPDF=Y")</f>
        <v>—</v>
      </c>
      <c r="L57" s="14" t="str">
        <f>_xll.BDH("ALNY US Equity","IS_EEOD_DILUTED_SHARE","FQ1 2021","FQ1 2021","Currency=USD","Period=FQ","BEST_FPERIOD_OVERRIDE=FQ","FILING_STATUS=MR","Sort=A","Dates=H","DateFormat=P","Fill=—","Direction=H","UseDPDF=Y")</f>
        <v>—</v>
      </c>
      <c r="M57" s="14" t="str">
        <f>_xll.BDH("ALNY US Equity","IS_EEOD_DILUTED_SHARE","FQ2 2021","FQ2 2021","Currency=USD","Period=FQ","BEST_FPERIOD_OVERRIDE=FQ","FILING_STATUS=MR","Sort=A","Dates=H","DateFormat=P","Fill=—","Direction=H","UseDPDF=Y")</f>
        <v>—</v>
      </c>
      <c r="N57" s="14" t="str">
        <f>_xll.BDH("ALNY US Equity","IS_EEOD_DILUTED_SHARE","FQ3 2021","FQ3 2021","Currency=USD","Period=FQ","BEST_FPERIOD_OVERRIDE=FQ","FILING_STATUS=MR","Sort=A","Dates=H","DateFormat=P","Fill=—","Direction=H","UseDPDF=Y")</f>
        <v>—</v>
      </c>
      <c r="O57" s="14" t="str">
        <f>_xll.BDH("ALNY US Equity","IS_EEOD_DILUTED_SHARE","FQ4 2021","FQ4 2021","Currency=USD","Period=FQ","BEST_FPERIOD_OVERRIDE=FQ","FILING_STATUS=MR","Sort=A","Dates=H","DateFormat=P","Fill=—","Direction=H","UseDPDF=Y")</f>
        <v>—</v>
      </c>
      <c r="P57" s="14" t="str">
        <f>_xll.BDH("ALNY US Equity","IS_EEOD_DILUTED_SHARE","FQ1 2022","FQ1 2022","Currency=USD","Period=FQ","BEST_FPERIOD_OVERRIDE=FQ","FILING_STATUS=MR","Sort=A","Dates=H","DateFormat=P","Fill=—","Direction=H","UseDPDF=Y")</f>
        <v>—</v>
      </c>
      <c r="Q57" s="14" t="str">
        <f>_xll.BDH("ALNY US Equity","IS_EEOD_DILUTED_SHARE","FQ2 2022","FQ2 2022","Currency=USD","Period=FQ","BEST_FPERIOD_OVERRIDE=FQ","FILING_STATUS=MR","Sort=A","Dates=H","DateFormat=P","Fill=—","Direction=H","UseDPDF=Y")</f>
        <v>—</v>
      </c>
      <c r="R57" s="14">
        <f>_xll.BDH("ALNY US Equity","IS_EEOD_DILUTED_SHARE","FQ3 2022","FQ3 2022","Currency=USD","Period=FQ","BEST_FPERIOD_OVERRIDE=FQ","FILING_STATUS=MR","Sort=A","Dates=H","DateFormat=P","Fill=—","Direction=H","UseDPDF=Y")</f>
        <v>0.62690000000000001</v>
      </c>
      <c r="S57" s="14" t="str">
        <f>_xll.BDH("ALNY US Equity","IS_EEOD_DILUTED_SHARE","FQ4 2022","FQ4 2022","Currency=USD","Period=FQ","BEST_FPERIOD_OVERRIDE=FQ","FILING_STATUS=MR","Sort=A","Dates=H","DateFormat=P","Fill=—","Direction=H","UseDPDF=Y")</f>
        <v>—</v>
      </c>
      <c r="T57" s="14" t="str">
        <f>_xll.BDH("ALNY US Equity","IS_EEOD_DILUTED_SHARE","FQ1 2023","FQ1 2023","Currency=USD","Period=FQ","BEST_FPERIOD_OVERRIDE=FQ","FILING_STATUS=MR","Sort=A","Dates=H","DateFormat=P","Fill=—","Direction=H","UseDPDF=Y")</f>
        <v>—</v>
      </c>
      <c r="U57" s="14" t="str">
        <f>_xll.BDH("ALNY US Equity","IS_EEOD_DILUTED_SHARE","FQ2 2023","FQ2 2023","Currency=USD","Period=FQ","BEST_FPERIOD_OVERRIDE=FQ","FILING_STATUS=MR","Sort=A","Dates=H","DateFormat=P","Fill=—","Direction=H","UseDPDF=Y")</f>
        <v>—</v>
      </c>
      <c r="V57" s="14" t="str">
        <f>_xll.BDH("ALNY US Equity","IS_EEOD_DILUTED_SHARE","FQ3 2023","FQ3 2023","Currency=USD","Period=FQ","BEST_FPERIOD_OVERRIDE=FQ","FILING_STATUS=MR","Sort=A","Dates=H","DateFormat=P","Fill=—","Direction=H","UseDPDF=Y")</f>
        <v>—</v>
      </c>
      <c r="W57" s="14" t="str">
        <f>_xll.BDH("ALNY US Equity","IS_EEOD_DILUTED_SHARE","FQ4 2023","FQ4 2023","Currency=USD","Period=FQ","BEST_FPERIOD_OVERRIDE=FQ","FILING_STATUS=MR","Sort=A","Dates=H","DateFormat=P","Fill=—","Direction=H","UseDPDF=Y")</f>
        <v>—</v>
      </c>
      <c r="X57" s="14" t="str">
        <f>_xll.BDH("ALNY US Equity","IS_EEOD_DILUTED_SHARE","FQ1 2024","FQ1 2024","Currency=USD","Period=FQ","BEST_FPERIOD_OVERRIDE=FQ","FILING_STATUS=MR","Sort=A","Dates=H","DateFormat=P","Fill=—","Direction=H","UseDPDF=Y")</f>
        <v>—</v>
      </c>
      <c r="Y57" s="14" t="str">
        <f>_xll.BDH("ALNY US Equity","IS_EEOD_DILUTED_SHARE","FQ2 2024","FQ2 2024","Currency=USD","Period=FQ","BEST_FPERIOD_OVERRIDE=FQ","FILING_STATUS=MR","Sort=A","Dates=H","DateFormat=P","Fill=—","Direction=H","UseDPDF=Y")</f>
        <v>—</v>
      </c>
      <c r="Z57" s="14" t="str">
        <f>_xll.BDH("ALNY US Equity","IS_EEOD_DILUTED_SHARE","FQ3 2024","FQ3 2024","Currency=USD","Period=FQ","BEST_FPERIOD_OVERRIDE=FQ","FILING_STATUS=MR","Sort=A","Dates=H","DateFormat=P","Fill=—","Direction=H","UseDPDF=Y")</f>
        <v>—</v>
      </c>
      <c r="AA57" s="14" t="str">
        <f>_xll.BDH("ALNY US Equity","IS_EEOD_DILUTED_SHARE","FQ4 2024","FQ4 2024","Currency=USD","Period=FQ","BEST_FPERIOD_OVERRIDE=FQ","FILING_STATUS=MR","Sort=A","Dates=H","DateFormat=P","Fill=—","Direction=H","UseDPDF=Y")</f>
        <v>—</v>
      </c>
    </row>
    <row r="58" spans="1:27" x14ac:dyDescent="0.25">
      <c r="A58" s="10" t="s">
        <v>616</v>
      </c>
      <c r="B58" s="10" t="s">
        <v>641</v>
      </c>
      <c r="C58" s="14" t="str">
        <f>_xll.BDH("ALNY US Equity","IS_LEGAL_LITIG_SETTLE_DILUTED_SH","FQ4 2018","FQ4 2018","Currency=USD","Period=FQ","BEST_FPERIOD_OVERRIDE=FQ","FILING_STATUS=MR","Sort=A","Dates=H","DateFormat=P","Fill=—","Direction=H","UseDPDF=Y")</f>
        <v>—</v>
      </c>
      <c r="D58" s="14" t="str">
        <f>_xll.BDH("ALNY US Equity","IS_LEGAL_LITIG_SETTLE_DILUTED_SH","FQ1 2019","FQ1 2019","Currency=USD","Period=FQ","BEST_FPERIOD_OVERRIDE=FQ","FILING_STATUS=MR","Sort=A","Dates=H","DateFormat=P","Fill=—","Direction=H","UseDPDF=Y")</f>
        <v>—</v>
      </c>
      <c r="E58" s="14" t="str">
        <f>_xll.BDH("ALNY US Equity","IS_LEGAL_LITIG_SETTLE_DILUTED_SH","FQ2 2019","FQ2 2019","Currency=USD","Period=FQ","BEST_FPERIOD_OVERRIDE=FQ","FILING_STATUS=MR","Sort=A","Dates=H","DateFormat=P","Fill=—","Direction=H","UseDPDF=Y")</f>
        <v>—</v>
      </c>
      <c r="F58" s="14" t="str">
        <f>_xll.BDH("ALNY US Equity","IS_LEGAL_LITIG_SETTLE_DILUTED_SH","FQ3 2019","FQ3 2019","Currency=USD","Period=FQ","BEST_FPERIOD_OVERRIDE=FQ","FILING_STATUS=MR","Sort=A","Dates=H","DateFormat=P","Fill=—","Direction=H","UseDPDF=Y")</f>
        <v>—</v>
      </c>
      <c r="G58" s="14" t="str">
        <f>_xll.BDH("ALNY US Equity","IS_LEGAL_LITIG_SETTLE_DILUTED_SH","FQ4 2019","FQ4 2019","Currency=USD","Period=FQ","BEST_FPERIOD_OVERRIDE=FQ","FILING_STATUS=MR","Sort=A","Dates=H","DateFormat=P","Fill=—","Direction=H","UseDPDF=Y")</f>
        <v>—</v>
      </c>
      <c r="H58" s="14" t="str">
        <f>_xll.BDH("ALNY US Equity","IS_LEGAL_LITIG_SETTLE_DILUTED_SH","FQ1 2020","FQ1 2020","Currency=USD","Period=FQ","BEST_FPERIOD_OVERRIDE=FQ","FILING_STATUS=MR","Sort=A","Dates=H","DateFormat=P","Fill=—","Direction=H","UseDPDF=Y")</f>
        <v>—</v>
      </c>
      <c r="I58" s="14">
        <f>_xll.BDH("ALNY US Equity","IS_LEGAL_LITIG_SETTLE_DILUTED_SH","FQ2 2020","FQ2 2020","Currency=USD","Period=FQ","BEST_FPERIOD_OVERRIDE=FQ","FILING_STATUS=MR","Sort=A","Dates=H","DateFormat=P","Fill=—","Direction=H","UseDPDF=Y")</f>
        <v>-5.5999999999999999E-3</v>
      </c>
      <c r="J58" s="14">
        <f>_xll.BDH("ALNY US Equity","IS_LEGAL_LITIG_SETTLE_DILUTED_SH","FQ3 2020","FQ3 2020","Currency=USD","Period=FQ","BEST_FPERIOD_OVERRIDE=FQ","FILING_STATUS=MR","Sort=A","Dates=H","DateFormat=P","Fill=—","Direction=H","UseDPDF=Y")</f>
        <v>5.5999999999999999E-3</v>
      </c>
      <c r="K58" s="14" t="str">
        <f>_xll.BDH("ALNY US Equity","IS_LEGAL_LITIG_SETTLE_DILUTED_SH","FQ4 2020","FQ4 2020","Currency=USD","Period=FQ","BEST_FPERIOD_OVERRIDE=FQ","FILING_STATUS=MR","Sort=A","Dates=H","DateFormat=P","Fill=—","Direction=H","UseDPDF=Y")</f>
        <v>—</v>
      </c>
      <c r="L58" s="14" t="str">
        <f>_xll.BDH("ALNY US Equity","IS_LEGAL_LITIG_SETTLE_DILUTED_SH","FQ1 2021","FQ1 2021","Currency=USD","Period=FQ","BEST_FPERIOD_OVERRIDE=FQ","FILING_STATUS=MR","Sort=A","Dates=H","DateFormat=P","Fill=—","Direction=H","UseDPDF=Y")</f>
        <v>—</v>
      </c>
      <c r="M58" s="14" t="str">
        <f>_xll.BDH("ALNY US Equity","IS_LEGAL_LITIG_SETTLE_DILUTED_SH","FQ2 2021","FQ2 2021","Currency=USD","Period=FQ","BEST_FPERIOD_OVERRIDE=FQ","FILING_STATUS=MR","Sort=A","Dates=H","DateFormat=P","Fill=—","Direction=H","UseDPDF=Y")</f>
        <v>—</v>
      </c>
      <c r="N58" s="14" t="str">
        <f>_xll.BDH("ALNY US Equity","IS_LEGAL_LITIG_SETTLE_DILUTED_SH","FQ3 2021","FQ3 2021","Currency=USD","Period=FQ","BEST_FPERIOD_OVERRIDE=FQ","FILING_STATUS=MR","Sort=A","Dates=H","DateFormat=P","Fill=—","Direction=H","UseDPDF=Y")</f>
        <v>—</v>
      </c>
      <c r="O58" s="14" t="str">
        <f>_xll.BDH("ALNY US Equity","IS_LEGAL_LITIG_SETTLE_DILUTED_SH","FQ4 2021","FQ4 2021","Currency=USD","Period=FQ","BEST_FPERIOD_OVERRIDE=FQ","FILING_STATUS=MR","Sort=A","Dates=H","DateFormat=P","Fill=—","Direction=H","UseDPDF=Y")</f>
        <v>—</v>
      </c>
      <c r="P58" s="14" t="str">
        <f>_xll.BDH("ALNY US Equity","IS_LEGAL_LITIG_SETTLE_DILUTED_SH","FQ1 2022","FQ1 2022","Currency=USD","Period=FQ","BEST_FPERIOD_OVERRIDE=FQ","FILING_STATUS=MR","Sort=A","Dates=H","DateFormat=P","Fill=—","Direction=H","UseDPDF=Y")</f>
        <v>—</v>
      </c>
      <c r="Q58" s="14" t="str">
        <f>_xll.BDH("ALNY US Equity","IS_LEGAL_LITIG_SETTLE_DILUTED_SH","FQ2 2022","FQ2 2022","Currency=USD","Period=FQ","BEST_FPERIOD_OVERRIDE=FQ","FILING_STATUS=MR","Sort=A","Dates=H","DateFormat=P","Fill=—","Direction=H","UseDPDF=Y")</f>
        <v>—</v>
      </c>
      <c r="R58" s="14" t="str">
        <f>_xll.BDH("ALNY US Equity","IS_LEGAL_LITIG_SETTLE_DILUTED_SH","FQ3 2022","FQ3 2022","Currency=USD","Period=FQ","BEST_FPERIOD_OVERRIDE=FQ","FILING_STATUS=MR","Sort=A","Dates=H","DateFormat=P","Fill=—","Direction=H","UseDPDF=Y")</f>
        <v>—</v>
      </c>
      <c r="S58" s="14" t="str">
        <f>_xll.BDH("ALNY US Equity","IS_LEGAL_LITIG_SETTLE_DILUTED_SH","FQ4 2022","FQ4 2022","Currency=USD","Period=FQ","BEST_FPERIOD_OVERRIDE=FQ","FILING_STATUS=MR","Sort=A","Dates=H","DateFormat=P","Fill=—","Direction=H","UseDPDF=Y")</f>
        <v>—</v>
      </c>
      <c r="T58" s="14" t="str">
        <f>_xll.BDH("ALNY US Equity","IS_LEGAL_LITIG_SETTLE_DILUTED_SH","FQ1 2023","FQ1 2023","Currency=USD","Period=FQ","BEST_FPERIOD_OVERRIDE=FQ","FILING_STATUS=MR","Sort=A","Dates=H","DateFormat=P","Fill=—","Direction=H","UseDPDF=Y")</f>
        <v>—</v>
      </c>
      <c r="U58" s="14" t="str">
        <f>_xll.BDH("ALNY US Equity","IS_LEGAL_LITIG_SETTLE_DILUTED_SH","FQ2 2023","FQ2 2023","Currency=USD","Period=FQ","BEST_FPERIOD_OVERRIDE=FQ","FILING_STATUS=MR","Sort=A","Dates=H","DateFormat=P","Fill=—","Direction=H","UseDPDF=Y")</f>
        <v>—</v>
      </c>
      <c r="V58" s="14" t="str">
        <f>_xll.BDH("ALNY US Equity","IS_LEGAL_LITIG_SETTLE_DILUTED_SH","FQ3 2023","FQ3 2023","Currency=USD","Period=FQ","BEST_FPERIOD_OVERRIDE=FQ","FILING_STATUS=MR","Sort=A","Dates=H","DateFormat=P","Fill=—","Direction=H","UseDPDF=Y")</f>
        <v>—</v>
      </c>
      <c r="W58" s="14" t="str">
        <f>_xll.BDH("ALNY US Equity","IS_LEGAL_LITIG_SETTLE_DILUTED_SH","FQ4 2023","FQ4 2023","Currency=USD","Period=FQ","BEST_FPERIOD_OVERRIDE=FQ","FILING_STATUS=MR","Sort=A","Dates=H","DateFormat=P","Fill=—","Direction=H","UseDPDF=Y")</f>
        <v>—</v>
      </c>
      <c r="X58" s="14" t="str">
        <f>_xll.BDH("ALNY US Equity","IS_LEGAL_LITIG_SETTLE_DILUTED_SH","FQ1 2024","FQ1 2024","Currency=USD","Period=FQ","BEST_FPERIOD_OVERRIDE=FQ","FILING_STATUS=MR","Sort=A","Dates=H","DateFormat=P","Fill=—","Direction=H","UseDPDF=Y")</f>
        <v>—</v>
      </c>
      <c r="Y58" s="14" t="str">
        <f>_xll.BDH("ALNY US Equity","IS_LEGAL_LITIG_SETTLE_DILUTED_SH","FQ2 2024","FQ2 2024","Currency=USD","Period=FQ","BEST_FPERIOD_OVERRIDE=FQ","FILING_STATUS=MR","Sort=A","Dates=H","DateFormat=P","Fill=—","Direction=H","UseDPDF=Y")</f>
        <v>—</v>
      </c>
      <c r="Z58" s="14" t="str">
        <f>_xll.BDH("ALNY US Equity","IS_LEGAL_LITIG_SETTLE_DILUTED_SH","FQ3 2024","FQ3 2024","Currency=USD","Period=FQ","BEST_FPERIOD_OVERRIDE=FQ","FILING_STATUS=MR","Sort=A","Dates=H","DateFormat=P","Fill=—","Direction=H","UseDPDF=Y")</f>
        <v>—</v>
      </c>
      <c r="AA58" s="14" t="str">
        <f>_xll.BDH("ALNY US Equity","IS_LEGAL_LITIG_SETTLE_DILUTED_SH","FQ4 2024","FQ4 2024","Currency=USD","Period=FQ","BEST_FPERIOD_OVERRIDE=FQ","FILING_STATUS=MR","Sort=A","Dates=H","DateFormat=P","Fill=—","Direction=H","UseDPDF=Y")</f>
        <v>—</v>
      </c>
    </row>
    <row r="59" spans="1:27" x14ac:dyDescent="0.25">
      <c r="A59" s="10" t="s">
        <v>622</v>
      </c>
      <c r="B59" s="10" t="s">
        <v>642</v>
      </c>
      <c r="C59" s="14" t="str">
        <f>_xll.BDH("ALNY US Equity","IS_SALE_INVESTMENTS_DILUTED_SH","FQ4 2018","FQ4 2018","Currency=USD","Period=FQ","BEST_FPERIOD_OVERRIDE=FQ","FILING_STATUS=MR","Sort=A","Dates=H","DateFormat=P","Fill=—","Direction=H","UseDPDF=Y")</f>
        <v>—</v>
      </c>
      <c r="D59" s="14" t="str">
        <f>_xll.BDH("ALNY US Equity","IS_SALE_INVESTMENTS_DILUTED_SH","FQ1 2019","FQ1 2019","Currency=USD","Period=FQ","BEST_FPERIOD_OVERRIDE=FQ","FILING_STATUS=MR","Sort=A","Dates=H","DateFormat=P","Fill=—","Direction=H","UseDPDF=Y")</f>
        <v>—</v>
      </c>
      <c r="E59" s="14" t="str">
        <f>_xll.BDH("ALNY US Equity","IS_SALE_INVESTMENTS_DILUTED_SH","FQ2 2019","FQ2 2019","Currency=USD","Period=FQ","BEST_FPERIOD_OVERRIDE=FQ","FILING_STATUS=MR","Sort=A","Dates=H","DateFormat=P","Fill=—","Direction=H","UseDPDF=Y")</f>
        <v>—</v>
      </c>
      <c r="F59" s="14" t="str">
        <f>_xll.BDH("ALNY US Equity","IS_SALE_INVESTMENTS_DILUTED_SH","FQ3 2019","FQ3 2019","Currency=USD","Period=FQ","BEST_FPERIOD_OVERRIDE=FQ","FILING_STATUS=MR","Sort=A","Dates=H","DateFormat=P","Fill=—","Direction=H","UseDPDF=Y")</f>
        <v>—</v>
      </c>
      <c r="G59" s="14">
        <f>_xll.BDH("ALNY US Equity","IS_SALE_INVESTMENTS_DILUTED_SH","FQ4 2019","FQ4 2019","Currency=USD","Period=FQ","BEST_FPERIOD_OVERRIDE=FQ","FILING_STATUS=MR","Sort=A","Dates=H","DateFormat=P","Fill=—","Direction=H","UseDPDF=Y")</f>
        <v>-0.1008</v>
      </c>
      <c r="H59" s="14" t="str">
        <f>_xll.BDH("ALNY US Equity","IS_SALE_INVESTMENTS_DILUTED_SH","FQ1 2020","FQ1 2020","Currency=USD","Period=FQ","BEST_FPERIOD_OVERRIDE=FQ","FILING_STATUS=MR","Sort=A","Dates=H","DateFormat=P","Fill=—","Direction=H","UseDPDF=Y")</f>
        <v>—</v>
      </c>
      <c r="I59" s="14" t="str">
        <f>_xll.BDH("ALNY US Equity","IS_SALE_INVESTMENTS_DILUTED_SH","FQ2 2020","FQ2 2020","Currency=USD","Period=FQ","BEST_FPERIOD_OVERRIDE=FQ","FILING_STATUS=MR","Sort=A","Dates=H","DateFormat=P","Fill=—","Direction=H","UseDPDF=Y")</f>
        <v>—</v>
      </c>
      <c r="J59" s="14" t="str">
        <f>_xll.BDH("ALNY US Equity","IS_SALE_INVESTMENTS_DILUTED_SH","FQ3 2020","FQ3 2020","Currency=USD","Period=FQ","BEST_FPERIOD_OVERRIDE=FQ","FILING_STATUS=MR","Sort=A","Dates=H","DateFormat=P","Fill=—","Direction=H","UseDPDF=Y")</f>
        <v>—</v>
      </c>
      <c r="K59" s="14" t="str">
        <f>_xll.BDH("ALNY US Equity","IS_SALE_INVESTMENTS_DILUTED_SH","FQ4 2020","FQ4 2020","Currency=USD","Period=FQ","BEST_FPERIOD_OVERRIDE=FQ","FILING_STATUS=MR","Sort=A","Dates=H","DateFormat=P","Fill=—","Direction=H","UseDPDF=Y")</f>
        <v>—</v>
      </c>
      <c r="L59" s="14" t="str">
        <f>_xll.BDH("ALNY US Equity","IS_SALE_INVESTMENTS_DILUTED_SH","FQ1 2021","FQ1 2021","Currency=USD","Period=FQ","BEST_FPERIOD_OVERRIDE=FQ","FILING_STATUS=MR","Sort=A","Dates=H","DateFormat=P","Fill=—","Direction=H","UseDPDF=Y")</f>
        <v>—</v>
      </c>
      <c r="M59" s="14" t="str">
        <f>_xll.BDH("ALNY US Equity","IS_SALE_INVESTMENTS_DILUTED_SH","FQ2 2021","FQ2 2021","Currency=USD","Period=FQ","BEST_FPERIOD_OVERRIDE=FQ","FILING_STATUS=MR","Sort=A","Dates=H","DateFormat=P","Fill=—","Direction=H","UseDPDF=Y")</f>
        <v>—</v>
      </c>
      <c r="N59" s="14" t="str">
        <f>_xll.BDH("ALNY US Equity","IS_SALE_INVESTMENTS_DILUTED_SH","FQ3 2021","FQ3 2021","Currency=USD","Period=FQ","BEST_FPERIOD_OVERRIDE=FQ","FILING_STATUS=MR","Sort=A","Dates=H","DateFormat=P","Fill=—","Direction=H","UseDPDF=Y")</f>
        <v>—</v>
      </c>
      <c r="O59" s="14" t="str">
        <f>_xll.BDH("ALNY US Equity","IS_SALE_INVESTMENTS_DILUTED_SH","FQ4 2021","FQ4 2021","Currency=USD","Period=FQ","BEST_FPERIOD_OVERRIDE=FQ","FILING_STATUS=MR","Sort=A","Dates=H","DateFormat=P","Fill=—","Direction=H","UseDPDF=Y")</f>
        <v>—</v>
      </c>
      <c r="P59" s="14" t="str">
        <f>_xll.BDH("ALNY US Equity","IS_SALE_INVESTMENTS_DILUTED_SH","FQ1 2022","FQ1 2022","Currency=USD","Period=FQ","BEST_FPERIOD_OVERRIDE=FQ","FILING_STATUS=MR","Sort=A","Dates=H","DateFormat=P","Fill=—","Direction=H","UseDPDF=Y")</f>
        <v>—</v>
      </c>
      <c r="Q59" s="14" t="str">
        <f>_xll.BDH("ALNY US Equity","IS_SALE_INVESTMENTS_DILUTED_SH","FQ2 2022","FQ2 2022","Currency=USD","Period=FQ","BEST_FPERIOD_OVERRIDE=FQ","FILING_STATUS=MR","Sort=A","Dates=H","DateFormat=P","Fill=—","Direction=H","UseDPDF=Y")</f>
        <v>—</v>
      </c>
      <c r="R59" s="14" t="str">
        <f>_xll.BDH("ALNY US Equity","IS_SALE_INVESTMENTS_DILUTED_SH","FQ3 2022","FQ3 2022","Currency=USD","Period=FQ","BEST_FPERIOD_OVERRIDE=FQ","FILING_STATUS=MR","Sort=A","Dates=H","DateFormat=P","Fill=—","Direction=H","UseDPDF=Y")</f>
        <v>—</v>
      </c>
      <c r="S59" s="14" t="str">
        <f>_xll.BDH("ALNY US Equity","IS_SALE_INVESTMENTS_DILUTED_SH","FQ4 2022","FQ4 2022","Currency=USD","Period=FQ","BEST_FPERIOD_OVERRIDE=FQ","FILING_STATUS=MR","Sort=A","Dates=H","DateFormat=P","Fill=—","Direction=H","UseDPDF=Y")</f>
        <v>—</v>
      </c>
      <c r="T59" s="14" t="str">
        <f>_xll.BDH("ALNY US Equity","IS_SALE_INVESTMENTS_DILUTED_SH","FQ1 2023","FQ1 2023","Currency=USD","Period=FQ","BEST_FPERIOD_OVERRIDE=FQ","FILING_STATUS=MR","Sort=A","Dates=H","DateFormat=P","Fill=—","Direction=H","UseDPDF=Y")</f>
        <v>—</v>
      </c>
      <c r="U59" s="14" t="str">
        <f>_xll.BDH("ALNY US Equity","IS_SALE_INVESTMENTS_DILUTED_SH","FQ2 2023","FQ2 2023","Currency=USD","Period=FQ","BEST_FPERIOD_OVERRIDE=FQ","FILING_STATUS=MR","Sort=A","Dates=H","DateFormat=P","Fill=—","Direction=H","UseDPDF=Y")</f>
        <v>—</v>
      </c>
      <c r="V59" s="14" t="str">
        <f>_xll.BDH("ALNY US Equity","IS_SALE_INVESTMENTS_DILUTED_SH","FQ3 2023","FQ3 2023","Currency=USD","Period=FQ","BEST_FPERIOD_OVERRIDE=FQ","FILING_STATUS=MR","Sort=A","Dates=H","DateFormat=P","Fill=—","Direction=H","UseDPDF=Y")</f>
        <v>—</v>
      </c>
      <c r="W59" s="14" t="str">
        <f>_xll.BDH("ALNY US Equity","IS_SALE_INVESTMENTS_DILUTED_SH","FQ4 2023","FQ4 2023","Currency=USD","Period=FQ","BEST_FPERIOD_OVERRIDE=FQ","FILING_STATUS=MR","Sort=A","Dates=H","DateFormat=P","Fill=—","Direction=H","UseDPDF=Y")</f>
        <v>—</v>
      </c>
      <c r="X59" s="14" t="str">
        <f>_xll.BDH("ALNY US Equity","IS_SALE_INVESTMENTS_DILUTED_SH","FQ1 2024","FQ1 2024","Currency=USD","Period=FQ","BEST_FPERIOD_OVERRIDE=FQ","FILING_STATUS=MR","Sort=A","Dates=H","DateFormat=P","Fill=—","Direction=H","UseDPDF=Y")</f>
        <v>—</v>
      </c>
      <c r="Y59" s="14" t="str">
        <f>_xll.BDH("ALNY US Equity","IS_SALE_INVESTMENTS_DILUTED_SH","FQ2 2024","FQ2 2024","Currency=USD","Period=FQ","BEST_FPERIOD_OVERRIDE=FQ","FILING_STATUS=MR","Sort=A","Dates=H","DateFormat=P","Fill=—","Direction=H","UseDPDF=Y")</f>
        <v>—</v>
      </c>
      <c r="Z59" s="14" t="str">
        <f>_xll.BDH("ALNY US Equity","IS_SALE_INVESTMENTS_DILUTED_SH","FQ3 2024","FQ3 2024","Currency=USD","Period=FQ","BEST_FPERIOD_OVERRIDE=FQ","FILING_STATUS=MR","Sort=A","Dates=H","DateFormat=P","Fill=—","Direction=H","UseDPDF=Y")</f>
        <v>—</v>
      </c>
      <c r="AA59" s="14" t="str">
        <f>_xll.BDH("ALNY US Equity","IS_SALE_INVESTMENTS_DILUTED_SH","FQ4 2024","FQ4 2024","Currency=USD","Period=FQ","BEST_FPERIOD_OVERRIDE=FQ","FILING_STATUS=MR","Sort=A","Dates=H","DateFormat=P","Fill=—","Direction=H","UseDPDF=Y")</f>
        <v>—</v>
      </c>
    </row>
    <row r="60" spans="1:27" x14ac:dyDescent="0.25">
      <c r="A60" s="10" t="s">
        <v>623</v>
      </c>
      <c r="B60" s="10" t="s">
        <v>643</v>
      </c>
      <c r="C60" s="14" t="str">
        <f>_xll.BDH("ALNY US Equity","IS_UNREALIZED_INVEST_DILUTED_SH","FQ4 2018","FQ4 2018","Currency=USD","Period=FQ","BEST_FPERIOD_OVERRIDE=FQ","FILING_STATUS=MR","Sort=A","Dates=H","DateFormat=P","Fill=—","Direction=H","UseDPDF=Y")</f>
        <v>—</v>
      </c>
      <c r="D60" s="14" t="str">
        <f>_xll.BDH("ALNY US Equity","IS_UNREALIZED_INVEST_DILUTED_SH","FQ1 2019","FQ1 2019","Currency=USD","Period=FQ","BEST_FPERIOD_OVERRIDE=FQ","FILING_STATUS=MR","Sort=A","Dates=H","DateFormat=P","Fill=—","Direction=H","UseDPDF=Y")</f>
        <v>—</v>
      </c>
      <c r="E60" s="14" t="str">
        <f>_xll.BDH("ALNY US Equity","IS_UNREALIZED_INVEST_DILUTED_SH","FQ2 2019","FQ2 2019","Currency=USD","Period=FQ","BEST_FPERIOD_OVERRIDE=FQ","FILING_STATUS=MR","Sort=A","Dates=H","DateFormat=P","Fill=—","Direction=H","UseDPDF=Y")</f>
        <v>—</v>
      </c>
      <c r="F60" s="14" t="str">
        <f>_xll.BDH("ALNY US Equity","IS_UNREALIZED_INVEST_DILUTED_SH","FQ3 2019","FQ3 2019","Currency=USD","Period=FQ","BEST_FPERIOD_OVERRIDE=FQ","FILING_STATUS=MR","Sort=A","Dates=H","DateFormat=P","Fill=—","Direction=H","UseDPDF=Y")</f>
        <v>—</v>
      </c>
      <c r="G60" s="14" t="str">
        <f>_xll.BDH("ALNY US Equity","IS_UNREALIZED_INVEST_DILUTED_SH","FQ4 2019","FQ4 2019","Currency=USD","Period=FQ","BEST_FPERIOD_OVERRIDE=FQ","FILING_STATUS=MR","Sort=A","Dates=H","DateFormat=P","Fill=—","Direction=H","UseDPDF=Y")</f>
        <v>—</v>
      </c>
      <c r="H60" s="14">
        <f>_xll.BDH("ALNY US Equity","IS_UNREALIZED_INVEST_DILUTED_SH","FQ1 2020","FQ1 2020","Currency=USD","Period=FQ","BEST_FPERIOD_OVERRIDE=FQ","FILING_STATUS=MR","Sort=A","Dates=H","DateFormat=P","Fill=—","Direction=H","UseDPDF=Y")</f>
        <v>-0.21379999999999999</v>
      </c>
      <c r="I60" s="14">
        <f>_xll.BDH("ALNY US Equity","IS_UNREALIZED_INVEST_DILUTED_SH","FQ2 2020","FQ2 2020","Currency=USD","Period=FQ","BEST_FPERIOD_OVERRIDE=FQ","FILING_STATUS=MR","Sort=A","Dates=H","DateFormat=P","Fill=—","Direction=H","UseDPDF=Y")</f>
        <v>-0.3962</v>
      </c>
      <c r="J60" s="14">
        <f>_xll.BDH("ALNY US Equity","IS_UNREALIZED_INVEST_DILUTED_SH","FQ3 2020","FQ3 2020","Currency=USD","Period=FQ","BEST_FPERIOD_OVERRIDE=FQ","FILING_STATUS=MR","Sort=A","Dates=H","DateFormat=P","Fill=—","Direction=H","UseDPDF=Y")</f>
        <v>2.5999999999999999E-2</v>
      </c>
      <c r="K60" s="14">
        <f>_xll.BDH("ALNY US Equity","IS_UNREALIZED_INVEST_DILUTED_SH","FQ4 2020","FQ4 2020","Currency=USD","Period=FQ","BEST_FPERIOD_OVERRIDE=FQ","FILING_STATUS=MR","Sort=A","Dates=H","DateFormat=P","Fill=—","Direction=H","UseDPDF=Y")</f>
        <v>0.1082</v>
      </c>
      <c r="L60" s="14">
        <f>_xll.BDH("ALNY US Equity","IS_UNREALIZED_INVEST_DILUTED_SH","FQ1 2021","FQ1 2021","Currency=USD","Period=FQ","BEST_FPERIOD_OVERRIDE=FQ","FILING_STATUS=MR","Sort=A","Dates=H","DateFormat=P","Fill=—","Direction=H","UseDPDF=Y")</f>
        <v>-0.40160000000000001</v>
      </c>
      <c r="M60" s="14">
        <f>_xll.BDH("ALNY US Equity","IS_UNREALIZED_INVEST_DILUTED_SH","FQ2 2021","FQ2 2021","Currency=USD","Period=FQ","BEST_FPERIOD_OVERRIDE=FQ","FILING_STATUS=MR","Sort=A","Dates=H","DateFormat=P","Fill=—","Direction=H","UseDPDF=Y")</f>
        <v>3.7600000000000001E-2</v>
      </c>
      <c r="N60" s="14">
        <f>_xll.BDH("ALNY US Equity","IS_UNREALIZED_INVEST_DILUTED_SH","FQ3 2021","FQ3 2021","Currency=USD","Period=FQ","BEST_FPERIOD_OVERRIDE=FQ","FILING_STATUS=MR","Sort=A","Dates=H","DateFormat=P","Fill=—","Direction=H","UseDPDF=Y")</f>
        <v>-0.15690000000000001</v>
      </c>
      <c r="O60" s="14">
        <f>_xll.BDH("ALNY US Equity","IS_UNREALIZED_INVEST_DILUTED_SH","FQ4 2021","FQ4 2021","Currency=USD","Period=FQ","BEST_FPERIOD_OVERRIDE=FQ","FILING_STATUS=MR","Sort=A","Dates=H","DateFormat=P","Fill=—","Direction=H","UseDPDF=Y")</f>
        <v>4.6600000000000003E-2</v>
      </c>
      <c r="P60" s="14">
        <f>_xll.BDH("ALNY US Equity","IS_UNREALIZED_INVEST_DILUTED_SH","FQ1 2022","FQ1 2022","Currency=USD","Period=FQ","BEST_FPERIOD_OVERRIDE=FQ","FILING_STATUS=MR","Sort=A","Dates=H","DateFormat=P","Fill=—","Direction=H","UseDPDF=Y")</f>
        <v>0.25879999999999997</v>
      </c>
      <c r="Q60" s="14">
        <f>_xll.BDH("ALNY US Equity","IS_UNREALIZED_INVEST_DILUTED_SH","FQ2 2022","FQ2 2022","Currency=USD","Period=FQ","BEST_FPERIOD_OVERRIDE=FQ","FILING_STATUS=MR","Sort=A","Dates=H","DateFormat=P","Fill=—","Direction=H","UseDPDF=Y")</f>
        <v>9.1000000000000004E-3</v>
      </c>
      <c r="R60" s="14">
        <f>_xll.BDH("ALNY US Equity","IS_UNREALIZED_INVEST_DILUTED_SH","FQ3 2022","FQ3 2022","Currency=USD","Period=FQ","BEST_FPERIOD_OVERRIDE=FQ","FILING_STATUS=MR","Sort=A","Dates=H","DateFormat=P","Fill=—","Direction=H","UseDPDF=Y")</f>
        <v>6.4299999999999996E-2</v>
      </c>
      <c r="S60" s="14">
        <f>_xll.BDH("ALNY US Equity","IS_UNREALIZED_INVEST_DILUTED_SH","FQ4 2022","FQ4 2022","Currency=USD","Period=FQ","BEST_FPERIOD_OVERRIDE=FQ","FILING_STATUS=MR","Sort=A","Dates=H","DateFormat=P","Fill=—","Direction=H","UseDPDF=Y")</f>
        <v>-5.5100000000000003E-2</v>
      </c>
      <c r="T60" s="14">
        <f>_xll.BDH("ALNY US Equity","IS_UNREALIZED_INVEST_DILUTED_SH","FQ1 2023","FQ1 2023","Currency=USD","Period=FQ","BEST_FPERIOD_OVERRIDE=FQ","FILING_STATUS=MR","Sort=A","Dates=H","DateFormat=P","Fill=—","Direction=H","UseDPDF=Y")</f>
        <v>1.83E-2</v>
      </c>
      <c r="U60" s="14">
        <f>_xll.BDH("ALNY US Equity","IS_UNREALIZED_INVEST_DILUTED_SH","FQ2 2023","FQ2 2023","Currency=USD","Period=FQ","BEST_FPERIOD_OVERRIDE=FQ","FILING_STATUS=MR","Sort=A","Dates=H","DateFormat=P","Fill=—","Direction=H","UseDPDF=Y")</f>
        <v>-1.12E-2</v>
      </c>
      <c r="V60" s="14">
        <f>_xll.BDH("ALNY US Equity","IS_UNREALIZED_INVEST_DILUTED_SH","FQ3 2023","FQ3 2023","Currency=USD","Period=FQ","BEST_FPERIOD_OVERRIDE=FQ","FILING_STATUS=MR","Sort=A","Dates=H","DateFormat=P","Fill=—","Direction=H","UseDPDF=Y")</f>
        <v>0.1283</v>
      </c>
      <c r="W60" s="14">
        <f>_xll.BDH("ALNY US Equity","IS_UNREALIZED_INVEST_DILUTED_SH","FQ4 2023","FQ4 2023","Currency=USD","Period=FQ","BEST_FPERIOD_OVERRIDE=FQ","FILING_STATUS=MR","Sort=A","Dates=H","DateFormat=P","Fill=—","Direction=H","UseDPDF=Y")</f>
        <v>-6.1000000000000004E-3</v>
      </c>
      <c r="X60" s="14">
        <f>_xll.BDH("ALNY US Equity","IS_UNREALIZED_INVEST_DILUTED_SH","FQ1 2024","FQ1 2024","Currency=USD","Period=FQ","BEST_FPERIOD_OVERRIDE=FQ","FILING_STATUS=MR","Sort=A","Dates=H","DateFormat=P","Fill=—","Direction=H","UseDPDF=Y")</f>
        <v>-5.9999999999999995E-4</v>
      </c>
      <c r="Y60" s="14">
        <f>_xll.BDH("ALNY US Equity","IS_UNREALIZED_INVEST_DILUTED_SH","FQ2 2024","FQ2 2024","Currency=USD","Period=FQ","BEST_FPERIOD_OVERRIDE=FQ","FILING_STATUS=MR","Sort=A","Dates=H","DateFormat=P","Fill=—","Direction=H","UseDPDF=Y")</f>
        <v>1.0800000000000001E-2</v>
      </c>
      <c r="Z60" s="14">
        <f>_xll.BDH("ALNY US Equity","IS_UNREALIZED_INVEST_DILUTED_SH","FQ3 2024","FQ3 2024","Currency=USD","Period=FQ","BEST_FPERIOD_OVERRIDE=FQ","FILING_STATUS=MR","Sort=A","Dates=H","DateFormat=P","Fill=—","Direction=H","UseDPDF=Y")</f>
        <v>1.2200000000000001E-2</v>
      </c>
      <c r="AA60" s="14">
        <f>_xll.BDH("ALNY US Equity","IS_UNREALIZED_INVEST_DILUTED_SH","FQ4 2024","FQ4 2024","Currency=USD","Period=FQ","BEST_FPERIOD_OVERRIDE=FQ","FILING_STATUS=MR","Sort=A","Dates=H","DateFormat=P","Fill=—","Direction=H","UseDPDF=Y")</f>
        <v>1.2999999999999999E-3</v>
      </c>
    </row>
    <row r="61" spans="1:27" x14ac:dyDescent="0.25">
      <c r="A61" s="10" t="s">
        <v>618</v>
      </c>
      <c r="B61" s="10" t="s">
        <v>644</v>
      </c>
      <c r="C61" s="14" t="str">
        <f>_xll.BDH("ALNY US Equity","IS_OTH_ONE_TIME_ITEMS_DILUTED_SH","FQ4 2018","FQ4 2018","Currency=USD","Period=FQ","BEST_FPERIOD_OVERRIDE=FQ","FILING_STATUS=MR","Sort=A","Dates=H","DateFormat=P","Fill=—","Direction=H","UseDPDF=Y")</f>
        <v>—</v>
      </c>
      <c r="D61" s="14" t="str">
        <f>_xll.BDH("ALNY US Equity","IS_OTH_ONE_TIME_ITEMS_DILUTED_SH","FQ1 2019","FQ1 2019","Currency=USD","Period=FQ","BEST_FPERIOD_OVERRIDE=FQ","FILING_STATUS=MR","Sort=A","Dates=H","DateFormat=P","Fill=—","Direction=H","UseDPDF=Y")</f>
        <v>—</v>
      </c>
      <c r="E61" s="14">
        <f>_xll.BDH("ALNY US Equity","IS_OTH_ONE_TIME_ITEMS_DILUTED_SH","FQ2 2019","FQ2 2019","Currency=USD","Period=FQ","BEST_FPERIOD_OVERRIDE=FQ","FILING_STATUS=MR","Sort=A","Dates=H","DateFormat=P","Fill=—","Direction=H","UseDPDF=Y")</f>
        <v>-8.6800000000000002E-2</v>
      </c>
      <c r="F61" s="14" t="str">
        <f>_xll.BDH("ALNY US Equity","IS_OTH_ONE_TIME_ITEMS_DILUTED_SH","FQ3 2019","FQ3 2019","Currency=USD","Period=FQ","BEST_FPERIOD_OVERRIDE=FQ","FILING_STATUS=MR","Sort=A","Dates=H","DateFormat=P","Fill=—","Direction=H","UseDPDF=Y")</f>
        <v>—</v>
      </c>
      <c r="G61" s="14" t="str">
        <f>_xll.BDH("ALNY US Equity","IS_OTH_ONE_TIME_ITEMS_DILUTED_SH","FQ4 2019","FQ4 2019","Currency=USD","Period=FQ","BEST_FPERIOD_OVERRIDE=FQ","FILING_STATUS=MR","Sort=A","Dates=H","DateFormat=P","Fill=—","Direction=H","UseDPDF=Y")</f>
        <v>—</v>
      </c>
      <c r="H61" s="14" t="str">
        <f>_xll.BDH("ALNY US Equity","IS_OTH_ONE_TIME_ITEMS_DILUTED_SH","FQ1 2020","FQ1 2020","Currency=USD","Period=FQ","BEST_FPERIOD_OVERRIDE=FQ","FILING_STATUS=MR","Sort=A","Dates=H","DateFormat=P","Fill=—","Direction=H","UseDPDF=Y")</f>
        <v>—</v>
      </c>
      <c r="I61" s="14">
        <f>_xll.BDH("ALNY US Equity","IS_OTH_ONE_TIME_ITEMS_DILUTED_SH","FQ2 2020","FQ2 2020","Currency=USD","Period=FQ","BEST_FPERIOD_OVERRIDE=FQ","FILING_STATUS=MR","Sort=A","Dates=H","DateFormat=P","Fill=—","Direction=H","UseDPDF=Y")</f>
        <v>2.8E-3</v>
      </c>
      <c r="J61" s="14">
        <f>_xll.BDH("ALNY US Equity","IS_OTH_ONE_TIME_ITEMS_DILUTED_SH","FQ3 2020","FQ3 2020","Currency=USD","Period=FQ","BEST_FPERIOD_OVERRIDE=FQ","FILING_STATUS=MR","Sort=A","Dates=H","DateFormat=P","Fill=—","Direction=H","UseDPDF=Y")</f>
        <v>6.6E-3</v>
      </c>
      <c r="K61" s="14" t="str">
        <f>_xll.BDH("ALNY US Equity","IS_OTH_ONE_TIME_ITEMS_DILUTED_SH","FQ4 2020","FQ4 2020","Currency=USD","Period=FQ","BEST_FPERIOD_OVERRIDE=FQ","FILING_STATUS=MR","Sort=A","Dates=H","DateFormat=P","Fill=—","Direction=H","UseDPDF=Y")</f>
        <v>—</v>
      </c>
      <c r="L61" s="14" t="str">
        <f>_xll.BDH("ALNY US Equity","IS_OTH_ONE_TIME_ITEMS_DILUTED_SH","FQ1 2021","FQ1 2021","Currency=USD","Period=FQ","BEST_FPERIOD_OVERRIDE=FQ","FILING_STATUS=MR","Sort=A","Dates=H","DateFormat=P","Fill=—","Direction=H","UseDPDF=Y")</f>
        <v>—</v>
      </c>
      <c r="M61" s="14" t="str">
        <f>_xll.BDH("ALNY US Equity","IS_OTH_ONE_TIME_ITEMS_DILUTED_SH","FQ2 2021","FQ2 2021","Currency=USD","Period=FQ","BEST_FPERIOD_OVERRIDE=FQ","FILING_STATUS=MR","Sort=A","Dates=H","DateFormat=P","Fill=—","Direction=H","UseDPDF=Y")</f>
        <v>—</v>
      </c>
      <c r="N61" s="14">
        <f>_xll.BDH("ALNY US Equity","IS_OTH_ONE_TIME_ITEMS_DILUTED_SH","FQ3 2021","FQ3 2021","Currency=USD","Period=FQ","BEST_FPERIOD_OVERRIDE=FQ","FILING_STATUS=MR","Sort=A","Dates=H","DateFormat=P","Fill=—","Direction=H","UseDPDF=Y")</f>
        <v>8.3900000000000002E-2</v>
      </c>
      <c r="O61" s="14">
        <f>_xll.BDH("ALNY US Equity","IS_OTH_ONE_TIME_ITEMS_DILUTED_SH","FQ4 2021","FQ4 2021","Currency=USD","Period=FQ","BEST_FPERIOD_OVERRIDE=FQ","FILING_STATUS=MR","Sort=A","Dates=H","DateFormat=P","Fill=—","Direction=H","UseDPDF=Y")</f>
        <v>0</v>
      </c>
      <c r="P61" s="14" t="str">
        <f>_xll.BDH("ALNY US Equity","IS_OTH_ONE_TIME_ITEMS_DILUTED_SH","FQ1 2022","FQ1 2022","Currency=USD","Period=FQ","BEST_FPERIOD_OVERRIDE=FQ","FILING_STATUS=MR","Sort=A","Dates=H","DateFormat=P","Fill=—","Direction=H","UseDPDF=Y")</f>
        <v>—</v>
      </c>
      <c r="Q61" s="14" t="str">
        <f>_xll.BDH("ALNY US Equity","IS_OTH_ONE_TIME_ITEMS_DILUTED_SH","FQ2 2022","FQ2 2022","Currency=USD","Period=FQ","BEST_FPERIOD_OVERRIDE=FQ","FILING_STATUS=MR","Sort=A","Dates=H","DateFormat=P","Fill=—","Direction=H","UseDPDF=Y")</f>
        <v>—</v>
      </c>
      <c r="R61" s="14" t="str">
        <f>_xll.BDH("ALNY US Equity","IS_OTH_ONE_TIME_ITEMS_DILUTED_SH","FQ3 2022","FQ3 2022","Currency=USD","Period=FQ","BEST_FPERIOD_OVERRIDE=FQ","FILING_STATUS=MR","Sort=A","Dates=H","DateFormat=P","Fill=—","Direction=H","UseDPDF=Y")</f>
        <v>—</v>
      </c>
      <c r="S61" s="14" t="str">
        <f>_xll.BDH("ALNY US Equity","IS_OTH_ONE_TIME_ITEMS_DILUTED_SH","FQ4 2022","FQ4 2022","Currency=USD","Period=FQ","BEST_FPERIOD_OVERRIDE=FQ","FILING_STATUS=MR","Sort=A","Dates=H","DateFormat=P","Fill=—","Direction=H","UseDPDF=Y")</f>
        <v>—</v>
      </c>
      <c r="T61" s="14" t="str">
        <f>_xll.BDH("ALNY US Equity","IS_OTH_ONE_TIME_ITEMS_DILUTED_SH","FQ1 2023","FQ1 2023","Currency=USD","Period=FQ","BEST_FPERIOD_OVERRIDE=FQ","FILING_STATUS=MR","Sort=A","Dates=H","DateFormat=P","Fill=—","Direction=H","UseDPDF=Y")</f>
        <v>—</v>
      </c>
      <c r="U61" s="14" t="str">
        <f>_xll.BDH("ALNY US Equity","IS_OTH_ONE_TIME_ITEMS_DILUTED_SH","FQ2 2023","FQ2 2023","Currency=USD","Period=FQ","BEST_FPERIOD_OVERRIDE=FQ","FILING_STATUS=MR","Sort=A","Dates=H","DateFormat=P","Fill=—","Direction=H","UseDPDF=Y")</f>
        <v>—</v>
      </c>
      <c r="V61" s="14" t="str">
        <f>_xll.BDH("ALNY US Equity","IS_OTH_ONE_TIME_ITEMS_DILUTED_SH","FQ3 2023","FQ3 2023","Currency=USD","Period=FQ","BEST_FPERIOD_OVERRIDE=FQ","FILING_STATUS=MR","Sort=A","Dates=H","DateFormat=P","Fill=—","Direction=H","UseDPDF=Y")</f>
        <v>—</v>
      </c>
      <c r="W61" s="14" t="str">
        <f>_xll.BDH("ALNY US Equity","IS_OTH_ONE_TIME_ITEMS_DILUTED_SH","FQ4 2023","FQ4 2023","Currency=USD","Period=FQ","BEST_FPERIOD_OVERRIDE=FQ","FILING_STATUS=MR","Sort=A","Dates=H","DateFormat=P","Fill=—","Direction=H","UseDPDF=Y")</f>
        <v>—</v>
      </c>
      <c r="X61" s="14" t="str">
        <f>_xll.BDH("ALNY US Equity","IS_OTH_ONE_TIME_ITEMS_DILUTED_SH","FQ1 2024","FQ1 2024","Currency=USD","Period=FQ","BEST_FPERIOD_OVERRIDE=FQ","FILING_STATUS=MR","Sort=A","Dates=H","DateFormat=P","Fill=—","Direction=H","UseDPDF=Y")</f>
        <v>—</v>
      </c>
      <c r="Y61" s="14" t="str">
        <f>_xll.BDH("ALNY US Equity","IS_OTH_ONE_TIME_ITEMS_DILUTED_SH","FQ2 2024","FQ2 2024","Currency=USD","Period=FQ","BEST_FPERIOD_OVERRIDE=FQ","FILING_STATUS=MR","Sort=A","Dates=H","DateFormat=P","Fill=—","Direction=H","UseDPDF=Y")</f>
        <v>—</v>
      </c>
      <c r="Z61" s="14" t="str">
        <f>_xll.BDH("ALNY US Equity","IS_OTH_ONE_TIME_ITEMS_DILUTED_SH","FQ3 2024","FQ3 2024","Currency=USD","Period=FQ","BEST_FPERIOD_OVERRIDE=FQ","FILING_STATUS=MR","Sort=A","Dates=H","DateFormat=P","Fill=—","Direction=H","UseDPDF=Y")</f>
        <v>—</v>
      </c>
      <c r="AA61" s="14" t="str">
        <f>_xll.BDH("ALNY US Equity","IS_OTH_ONE_TIME_ITEMS_DILUTED_SH","FQ4 2024","FQ4 2024","Currency=USD","Period=FQ","BEST_FPERIOD_OVERRIDE=FQ","FILING_STATUS=MR","Sort=A","Dates=H","DateFormat=P","Fill=—","Direction=H","UseDPDF=Y")</f>
        <v>—</v>
      </c>
    </row>
    <row r="62" spans="1:27" x14ac:dyDescent="0.25">
      <c r="A62" s="6" t="s">
        <v>645</v>
      </c>
      <c r="B62" s="6" t="s">
        <v>82</v>
      </c>
      <c r="C62" s="20">
        <f>_xll.BDH("ALNY US Equity","IS_DIL_EPS_CONT_OPS","FQ4 2018","FQ4 2018","Currency=USD","Period=FQ","BEST_FPERIOD_OVERRIDE=FQ","FILING_STATUS=MR","Sort=A","Dates=H","DateFormat=P","Fill=—","Direction=H","UseDPDF=Y")</f>
        <v>-2.09</v>
      </c>
      <c r="D62" s="20">
        <f>_xll.BDH("ALNY US Equity","IS_DIL_EPS_CONT_OPS","FQ1 2019","FQ1 2019","Currency=USD","Period=FQ","BEST_FPERIOD_OVERRIDE=FQ","FILING_STATUS=MR","Sort=A","Dates=H","DateFormat=P","Fill=—","Direction=H","UseDPDF=Y")</f>
        <v>-1.73</v>
      </c>
      <c r="E62" s="20">
        <f>_xll.BDH("ALNY US Equity","IS_DIL_EPS_CONT_OPS","FQ2 2019","FQ2 2019","Currency=USD","Period=FQ","BEST_FPERIOD_OVERRIDE=FQ","FILING_STATUS=MR","Sort=A","Dates=H","DateFormat=P","Fill=—","Direction=H","UseDPDF=Y")</f>
        <v>-2.1082000000000001</v>
      </c>
      <c r="F62" s="20">
        <f>_xll.BDH("ALNY US Equity","IS_DIL_EPS_CONT_OPS","FQ3 2019","FQ3 2019","Currency=USD","Period=FQ","BEST_FPERIOD_OVERRIDE=FQ","FILING_STATUS=MR","Sort=A","Dates=H","DateFormat=P","Fill=—","Direction=H","UseDPDF=Y")</f>
        <v>-1.92</v>
      </c>
      <c r="G62" s="20">
        <f>_xll.BDH("ALNY US Equity","IS_DIL_EPS_CONT_OPS","FQ4 2019","FQ4 2019","Currency=USD","Period=FQ","BEST_FPERIOD_OVERRIDE=FQ","FILING_STATUS=MR","Sort=A","Dates=H","DateFormat=P","Fill=—","Direction=H","UseDPDF=Y")</f>
        <v>-2.5722999999999998</v>
      </c>
      <c r="H62" s="20">
        <f>_xll.BDH("ALNY US Equity","IS_DIL_EPS_CONT_OPS","FQ1 2020","FQ1 2020","Currency=USD","Period=FQ","BEST_FPERIOD_OVERRIDE=FQ","FILING_STATUS=MR","Sort=A","Dates=H","DateFormat=P","Fill=—","Direction=H","UseDPDF=Y")</f>
        <v>-1.8338000000000001</v>
      </c>
      <c r="I62" s="20">
        <f>_xll.BDH("ALNY US Equity","IS_DIL_EPS_CONT_OPS","FQ2 2020","FQ2 2020","Currency=USD","Period=FQ","BEST_FPERIOD_OVERRIDE=FQ","FILING_STATUS=MR","Sort=A","Dates=H","DateFormat=P","Fill=—","Direction=H","UseDPDF=Y")</f>
        <v>-1.9590000000000001</v>
      </c>
      <c r="J62" s="20">
        <f>_xll.BDH("ALNY US Equity","IS_DIL_EPS_CONT_OPS","FQ3 2020","FQ3 2020","Currency=USD","Period=FQ","BEST_FPERIOD_OVERRIDE=FQ","FILING_STATUS=MR","Sort=A","Dates=H","DateFormat=P","Fill=—","Direction=H","UseDPDF=Y")</f>
        <v>-1.9041999999999999</v>
      </c>
      <c r="K62" s="20">
        <f>_xll.BDH("ALNY US Equity","IS_DIL_EPS_CONT_OPS","FQ4 2020","FQ4 2020","Currency=USD","Period=FQ","BEST_FPERIOD_OVERRIDE=FQ","FILING_STATUS=MR","Sort=A","Dates=H","DateFormat=P","Fill=—","Direction=H","UseDPDF=Y")</f>
        <v>-1.8984000000000001</v>
      </c>
      <c r="L62" s="20">
        <f>_xll.BDH("ALNY US Equity","IS_DIL_EPS_CONT_OPS","FQ1 2021","FQ1 2021","Currency=USD","Period=FQ","BEST_FPERIOD_OVERRIDE=FQ","FILING_STATUS=MR","Sort=A","Dates=H","DateFormat=P","Fill=—","Direction=H","UseDPDF=Y")</f>
        <v>-2.1122999999999998</v>
      </c>
      <c r="M62" s="20">
        <f>_xll.BDH("ALNY US Equity","IS_DIL_EPS_CONT_OPS","FQ2 2021","FQ2 2021","Currency=USD","Period=FQ","BEST_FPERIOD_OVERRIDE=FQ","FILING_STATUS=MR","Sort=A","Dates=H","DateFormat=P","Fill=—","Direction=H","UseDPDF=Y")</f>
        <v>-1.5724</v>
      </c>
      <c r="N62" s="20">
        <f>_xll.BDH("ALNY US Equity","IS_DIL_EPS_CONT_OPS","FQ3 2021","FQ3 2021","Currency=USD","Period=FQ","BEST_FPERIOD_OVERRIDE=FQ","FILING_STATUS=MR","Sort=A","Dates=H","DateFormat=P","Fill=—","Direction=H","UseDPDF=Y")</f>
        <v>-1.7928999999999999</v>
      </c>
      <c r="O62" s="20">
        <f>_xll.BDH("ALNY US Equity","IS_DIL_EPS_CONT_OPS","FQ4 2021","FQ4 2021","Currency=USD","Period=FQ","BEST_FPERIOD_OVERRIDE=FQ","FILING_STATUS=MR","Sort=A","Dates=H","DateFormat=P","Fill=—","Direction=H","UseDPDF=Y")</f>
        <v>-2.1133999999999999</v>
      </c>
      <c r="P62" s="20">
        <f>_xll.BDH("ALNY US Equity","IS_DIL_EPS_CONT_OPS","FQ1 2022","FQ1 2022","Currency=USD","Period=FQ","BEST_FPERIOD_OVERRIDE=FQ","FILING_STATUS=MR","Sort=A","Dates=H","DateFormat=P","Fill=—","Direction=H","UseDPDF=Y")</f>
        <v>-1.7412000000000001</v>
      </c>
      <c r="Q62" s="20">
        <f>_xll.BDH("ALNY US Equity","IS_DIL_EPS_CONT_OPS","FQ2 2022","FQ2 2022","Currency=USD","Period=FQ","BEST_FPERIOD_OVERRIDE=FQ","FILING_STATUS=MR","Sort=A","Dates=H","DateFormat=P","Fill=—","Direction=H","UseDPDF=Y")</f>
        <v>-2.2854999999999999</v>
      </c>
      <c r="R62" s="20">
        <f>_xll.BDH("ALNY US Equity","IS_DIL_EPS_CONT_OPS","FQ3 2022","FQ3 2022","Currency=USD","Period=FQ","BEST_FPERIOD_OVERRIDE=FQ","FILING_STATUS=MR","Sort=A","Dates=H","DateFormat=P","Fill=—","Direction=H","UseDPDF=Y")</f>
        <v>-2.6315</v>
      </c>
      <c r="S62" s="20">
        <f>_xll.BDH("ALNY US Equity","IS_DIL_EPS_CONT_OPS","FQ4 2022","FQ4 2022","Currency=USD","Period=FQ","BEST_FPERIOD_OVERRIDE=FQ","FILING_STATUS=MR","Sort=A","Dates=H","DateFormat=P","Fill=—","Direction=H","UseDPDF=Y")</f>
        <v>-1.7383999999999999</v>
      </c>
      <c r="T62" s="20">
        <f>_xll.BDH("ALNY US Equity","IS_DIL_EPS_CONT_OPS","FQ1 2023","FQ1 2023","Currency=USD","Period=FQ","BEST_FPERIOD_OVERRIDE=FQ","FILING_STATUS=MR","Sort=A","Dates=H","DateFormat=P","Fill=—","Direction=H","UseDPDF=Y")</f>
        <v>-1.3845000000000001</v>
      </c>
      <c r="U62" s="20">
        <f>_xll.BDH("ALNY US Equity","IS_DIL_EPS_CONT_OPS","FQ2 2023","FQ2 2023","Currency=USD","Period=FQ","BEST_FPERIOD_OVERRIDE=FQ","FILING_STATUS=MR","Sort=A","Dates=H","DateFormat=P","Fill=—","Direction=H","UseDPDF=Y")</f>
        <v>-2.2254999999999998</v>
      </c>
      <c r="V62" s="20">
        <f>_xll.BDH("ALNY US Equity","IS_DIL_EPS_CONT_OPS","FQ3 2023","FQ3 2023","Currency=USD","Period=FQ","BEST_FPERIOD_OVERRIDE=FQ","FILING_STATUS=MR","Sort=A","Dates=H","DateFormat=P","Fill=—","Direction=H","UseDPDF=Y")</f>
        <v>1.2783</v>
      </c>
      <c r="W62" s="20">
        <f>_xll.BDH("ALNY US Equity","IS_DIL_EPS_CONT_OPS","FQ4 2023","FQ4 2023","Currency=USD","Period=FQ","BEST_FPERIOD_OVERRIDE=FQ","FILING_STATUS=MR","Sort=A","Dates=H","DateFormat=P","Fill=—","Direction=H","UseDPDF=Y")</f>
        <v>-1.1061000000000001</v>
      </c>
      <c r="X62" s="20">
        <f>_xll.BDH("ALNY US Equity","IS_DIL_EPS_CONT_OPS","FQ1 2024","FQ1 2024","Currency=USD","Period=FQ","BEST_FPERIOD_OVERRIDE=FQ","FILING_STATUS=MR","Sort=A","Dates=H","DateFormat=P","Fill=—","Direction=H","UseDPDF=Y")</f>
        <v>-0.52329999999999999</v>
      </c>
      <c r="Y62" s="20">
        <f>_xll.BDH("ALNY US Equity","IS_DIL_EPS_CONT_OPS","FQ2 2024","FQ2 2024","Currency=USD","Period=FQ","BEST_FPERIOD_OVERRIDE=FQ","FILING_STATUS=MR","Sort=A","Dates=H","DateFormat=P","Fill=—","Direction=H","UseDPDF=Y")</f>
        <v>-0.1225</v>
      </c>
      <c r="Z62" s="20">
        <f>_xll.BDH("ALNY US Equity","IS_DIL_EPS_CONT_OPS","FQ3 2024","FQ3 2024","Currency=USD","Period=FQ","BEST_FPERIOD_OVERRIDE=FQ","FILING_STATUS=MR","Sort=A","Dates=H","DateFormat=P","Fill=—","Direction=H","UseDPDF=Y")</f>
        <v>-0.85780000000000001</v>
      </c>
      <c r="AA62" s="20">
        <f>_xll.BDH("ALNY US Equity","IS_DIL_EPS_CONT_OPS","FQ4 2024","FQ4 2024","Currency=USD","Period=FQ","BEST_FPERIOD_OVERRIDE=FQ","FILING_STATUS=MR","Sort=A","Dates=H","DateFormat=P","Fill=—","Direction=H","UseDPDF=Y")</f>
        <v>-0.64870000000000005</v>
      </c>
    </row>
    <row r="63" spans="1:27" x14ac:dyDescent="0.25">
      <c r="A63" s="7" t="s">
        <v>90</v>
      </c>
      <c r="B63" s="7"/>
      <c r="C63" s="7" t="s">
        <v>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5"/>
  <sheetViews>
    <sheetView topLeftCell="F1"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646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636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25">
      <c r="A7" s="10" t="s">
        <v>647</v>
      </c>
      <c r="B7" s="10" t="s">
        <v>648</v>
      </c>
      <c r="C7" s="14">
        <f>_xll.BDH("ALNY US Equity","BASIC_EPS_EX_STK_BASED_COMP","FQ4 2018","FQ4 2018","Currency=USD","Period=FQ","BEST_FPERIOD_OVERRIDE=FQ","FILING_STATUS=MR","Sort=A","Dates=H","DateFormat=P","Fill=—","Direction=H","UseDPDF=Y")</f>
        <v>-1.8131999999999999</v>
      </c>
      <c r="D7" s="14">
        <f>_xll.BDH("ALNY US Equity","BASIC_EPS_EX_STK_BASED_COMP","FQ1 2019","FQ1 2019","Currency=USD","Period=FQ","BEST_FPERIOD_OVERRIDE=FQ","FILING_STATUS=MR","Sort=A","Dates=H","DateFormat=P","Fill=—","Direction=H","UseDPDF=Y")</f>
        <v>-1.4260999999999999</v>
      </c>
      <c r="E7" s="14">
        <f>_xll.BDH("ALNY US Equity","BASIC_EPS_EX_STK_BASED_COMP","FQ2 2019","FQ2 2019","Currency=USD","Period=FQ","BEST_FPERIOD_OVERRIDE=FQ","FILING_STATUS=MR","Sort=A","Dates=H","DateFormat=P","Fill=—","Direction=H","UseDPDF=Y")</f>
        <v>-1.8264</v>
      </c>
      <c r="F7" s="14">
        <f>_xll.BDH("ALNY US Equity","BASIC_EPS_EX_STK_BASED_COMP","FQ3 2019","FQ3 2019","Currency=USD","Period=FQ","BEST_FPERIOD_OVERRIDE=FQ","FILING_STATUS=MR","Sort=A","Dates=H","DateFormat=P","Fill=—","Direction=H","UseDPDF=Y")</f>
        <v>-1.4966999999999999</v>
      </c>
      <c r="G7" s="14">
        <f>_xll.BDH("ALNY US Equity","BASIC_EPS_EX_STK_BASED_COMP","FQ4 2019","FQ4 2019","Currency=USD","Period=FQ","BEST_FPERIOD_OVERRIDE=FQ","FILING_STATUS=MR","Sort=A","Dates=H","DateFormat=P","Fill=—","Direction=H","UseDPDF=Y")</f>
        <v>-1.9799</v>
      </c>
      <c r="H7" s="14">
        <f>_xll.BDH("ALNY US Equity","BASIC_EPS_EX_STK_BASED_COMP","FQ1 2020","FQ1 2020","Currency=USD","Period=FQ","BEST_FPERIOD_OVERRIDE=FQ","FILING_STATUS=MR","Sort=A","Dates=H","DateFormat=P","Fill=—","Direction=H","UseDPDF=Y")</f>
        <v>-1.5233000000000001</v>
      </c>
      <c r="I7" s="14">
        <f>_xll.BDH("ALNY US Equity","BASIC_EPS_EX_STK_BASED_COMP","FQ2 2020","FQ2 2020","Currency=USD","Period=FQ","BEST_FPERIOD_OVERRIDE=FQ","FILING_STATUS=MR","Sort=A","Dates=H","DateFormat=P","Fill=—","Direction=H","UseDPDF=Y")</f>
        <v>-1.665</v>
      </c>
      <c r="J7" s="14">
        <f>_xll.BDH("ALNY US Equity","BASIC_EPS_EX_STK_BASED_COMP","FQ3 2020","FQ3 2020","Currency=USD","Period=FQ","BEST_FPERIOD_OVERRIDE=FQ","FILING_STATUS=MR","Sort=A","Dates=H","DateFormat=P","Fill=—","Direction=H","UseDPDF=Y")</f>
        <v>-1.5829</v>
      </c>
      <c r="K7" s="14">
        <f>_xll.BDH("ALNY US Equity","BASIC_EPS_EX_STK_BASED_COMP","FQ4 2020","FQ4 2020","Currency=USD","Period=FQ","BEST_FPERIOD_OVERRIDE=FQ","FILING_STATUS=MR","Sort=A","Dates=H","DateFormat=P","Fill=—","Direction=H","UseDPDF=Y")</f>
        <v>-1.6036999999999999</v>
      </c>
      <c r="L7" s="14">
        <f>_xll.BDH("ALNY US Equity","BASIC_EPS_EX_STK_BASED_COMP","FQ1 2021","FQ1 2021","Currency=USD","Period=FQ","BEST_FPERIOD_OVERRIDE=FQ","FILING_STATUS=MR","Sort=A","Dates=H","DateFormat=P","Fill=—","Direction=H","UseDPDF=Y")</f>
        <v>-1.7364999999999999</v>
      </c>
      <c r="M7" s="14">
        <f>_xll.BDH("ALNY US Equity","BASIC_EPS_EX_STK_BASED_COMP","FQ2 2021","FQ2 2021","Currency=USD","Period=FQ","BEST_FPERIOD_OVERRIDE=FQ","FILING_STATUS=MR","Sort=A","Dates=H","DateFormat=P","Fill=—","Direction=H","UseDPDF=Y")</f>
        <v>-1.3019000000000001</v>
      </c>
      <c r="N7" s="14">
        <f>_xll.BDH("ALNY US Equity","BASIC_EPS_EX_STK_BASED_COMP","FQ3 2021","FQ3 2021","Currency=USD","Period=FQ","BEST_FPERIOD_OVERRIDE=FQ","FILING_STATUS=MR","Sort=A","Dates=H","DateFormat=P","Fill=—","Direction=H","UseDPDF=Y")</f>
        <v>-1.5095000000000001</v>
      </c>
      <c r="O7" s="14">
        <f>_xll.BDH("ALNY US Equity","BASIC_EPS_EX_STK_BASED_COMP","FQ4 2021","FQ4 2021","Currency=USD","Period=FQ","BEST_FPERIOD_OVERRIDE=FQ","FILING_STATUS=MR","Sort=A","Dates=H","DateFormat=P","Fill=—","Direction=H","UseDPDF=Y")</f>
        <v>-1.8172999999999999</v>
      </c>
      <c r="P7" s="14">
        <f>_xll.BDH("ALNY US Equity","BASIC_EPS_EX_STK_BASED_COMP","FQ1 2022","FQ1 2022","Currency=USD","Period=FQ","BEST_FPERIOD_OVERRIDE=FQ","FILING_STATUS=MR","Sort=A","Dates=H","DateFormat=P","Fill=—","Direction=H","UseDPDF=Y")</f>
        <v>-1.4975000000000001</v>
      </c>
      <c r="Q7" s="14">
        <f>_xll.BDH("ALNY US Equity","BASIC_EPS_EX_STK_BASED_COMP","FQ2 2022","FQ2 2022","Currency=USD","Period=FQ","BEST_FPERIOD_OVERRIDE=FQ","FILING_STATUS=MR","Sort=A","Dates=H","DateFormat=P","Fill=—","Direction=H","UseDPDF=Y")</f>
        <v>-2.0354999999999999</v>
      </c>
      <c r="R7" s="14">
        <f>_xll.BDH("ALNY US Equity","BASIC_EPS_EX_STK_BASED_COMP","FQ3 2022","FQ3 2022","Currency=USD","Period=FQ","BEST_FPERIOD_OVERRIDE=FQ","FILING_STATUS=MR","Sort=A","Dates=H","DateFormat=P","Fill=—","Direction=H","UseDPDF=Y")</f>
        <v>-1.5979000000000001</v>
      </c>
      <c r="S7" s="14">
        <f>_xll.BDH("ALNY US Equity","BASIC_EPS_EX_STK_BASED_COMP","FQ4 2022","FQ4 2022","Currency=USD","Period=FQ","BEST_FPERIOD_OVERRIDE=FQ","FILING_STATUS=MR","Sort=A","Dates=H","DateFormat=P","Fill=—","Direction=H","UseDPDF=Y")</f>
        <v>-1.3915</v>
      </c>
      <c r="T7" s="14">
        <f>_xll.BDH("ALNY US Equity","BASIC_EPS_EX_STK_BASED_COMP","FQ1 2023","FQ1 2023","Currency=USD","Period=FQ","BEST_FPERIOD_OVERRIDE=FQ","FILING_STATUS=MR","Sort=A","Dates=H","DateFormat=P","Fill=—","Direction=H","UseDPDF=Y")</f>
        <v>-1.0645</v>
      </c>
      <c r="U7" s="14">
        <f>_xll.BDH("ALNY US Equity","BASIC_EPS_EX_STK_BASED_COMP","FQ2 2023","FQ2 2023","Currency=USD","Period=FQ","BEST_FPERIOD_OVERRIDE=FQ","FILING_STATUS=MR","Sort=A","Dates=H","DateFormat=P","Fill=—","Direction=H","UseDPDF=Y")</f>
        <v>-1.6173999999999999</v>
      </c>
      <c r="V7" s="14">
        <f>_xll.BDH("ALNY US Equity","BASIC_EPS_EX_STK_BASED_COMP","FQ3 2023","FQ3 2023","Currency=USD","Period=FQ","BEST_FPERIOD_OVERRIDE=FQ","FILING_STATUS=MR","Sort=A","Dates=H","DateFormat=P","Fill=—","Direction=H","UseDPDF=Y")</f>
        <v>1.8250999999999999</v>
      </c>
      <c r="W7" s="14">
        <f>_xll.BDH("ALNY US Equity","BASIC_EPS_EX_STK_BASED_COMP","FQ4 2023","FQ4 2023","Currency=USD","Period=FQ","BEST_FPERIOD_OVERRIDE=FQ","FILING_STATUS=MR","Sort=A","Dates=H","DateFormat=P","Fill=—","Direction=H","UseDPDF=Y")</f>
        <v>-0.76939999999999997</v>
      </c>
      <c r="X7" s="14">
        <f>_xll.BDH("ALNY US Equity","BASIC_EPS_EX_STK_BASED_COMP","FQ1 2024","FQ1 2024","Currency=USD","Period=FQ","BEST_FPERIOD_OVERRIDE=FQ","FILING_STATUS=MR","Sort=A","Dates=H","DateFormat=P","Fill=—","Direction=H","UseDPDF=Y")</f>
        <v>-0.1633</v>
      </c>
      <c r="Y7" s="14">
        <f>_xll.BDH("ALNY US Equity","BASIC_EPS_EX_STK_BASED_COMP","FQ2 2024","FQ2 2024","Currency=USD","Period=FQ","BEST_FPERIOD_OVERRIDE=FQ","FILING_STATUS=MR","Sort=A","Dates=H","DateFormat=P","Fill=—","Direction=H","UseDPDF=Y")</f>
        <v>0.58209999999999995</v>
      </c>
      <c r="Z7" s="14">
        <f>_xll.BDH("ALNY US Equity","BASIC_EPS_EX_STK_BASED_COMP","FQ3 2024","FQ3 2024","Currency=USD","Period=FQ","BEST_FPERIOD_OVERRIDE=FQ","FILING_STATUS=MR","Sort=A","Dates=H","DateFormat=P","Fill=—","Direction=H","UseDPDF=Y")</f>
        <v>-0.49930000000000002</v>
      </c>
      <c r="AA7" s="14">
        <f>_xll.BDH("ALNY US Equity","BASIC_EPS_EX_STK_BASED_COMP","FQ4 2024","FQ4 2024","Currency=USD","Period=FQ","BEST_FPERIOD_OVERRIDE=FQ","FILING_STATUS=MR","Sort=A","Dates=H","DateFormat=P","Fill=—","Direction=H","UseDPDF=Y")</f>
        <v>6.2300000000000001E-2</v>
      </c>
    </row>
    <row r="8" spans="1:27" x14ac:dyDescent="0.25">
      <c r="A8" s="10" t="s">
        <v>649</v>
      </c>
      <c r="B8" s="10" t="s">
        <v>650</v>
      </c>
      <c r="C8" s="14">
        <f>_xll.BDH("ALNY US Equity","DILUTED_EPS_EX_STK_BASED_COMP","FQ4 2018","FQ4 2018","Currency=USD","Period=FQ","BEST_FPERIOD_OVERRIDE=FQ","FILING_STATUS=MR","Sort=A","Dates=H","DateFormat=P","Fill=—","Direction=H","UseDPDF=Y")</f>
        <v>-1.8131999999999999</v>
      </c>
      <c r="D8" s="14">
        <f>_xll.BDH("ALNY US Equity","DILUTED_EPS_EX_STK_BASED_COMP","FQ1 2019","FQ1 2019","Currency=USD","Period=FQ","BEST_FPERIOD_OVERRIDE=FQ","FILING_STATUS=MR","Sort=A","Dates=H","DateFormat=P","Fill=—","Direction=H","UseDPDF=Y")</f>
        <v>-1.4260999999999999</v>
      </c>
      <c r="E8" s="14">
        <f>_xll.BDH("ALNY US Equity","DILUTED_EPS_EX_STK_BASED_COMP","FQ2 2019","FQ2 2019","Currency=USD","Period=FQ","BEST_FPERIOD_OVERRIDE=FQ","FILING_STATUS=MR","Sort=A","Dates=H","DateFormat=P","Fill=—","Direction=H","UseDPDF=Y")</f>
        <v>-1.8264</v>
      </c>
      <c r="F8" s="14">
        <f>_xll.BDH("ALNY US Equity","DILUTED_EPS_EX_STK_BASED_COMP","FQ3 2019","FQ3 2019","Currency=USD","Period=FQ","BEST_FPERIOD_OVERRIDE=FQ","FILING_STATUS=MR","Sort=A","Dates=H","DateFormat=P","Fill=—","Direction=H","UseDPDF=Y")</f>
        <v>-1.4966999999999999</v>
      </c>
      <c r="G8" s="14">
        <f>_xll.BDH("ALNY US Equity","DILUTED_EPS_EX_STK_BASED_COMP","FQ4 2019","FQ4 2019","Currency=USD","Period=FQ","BEST_FPERIOD_OVERRIDE=FQ","FILING_STATUS=MR","Sort=A","Dates=H","DateFormat=P","Fill=—","Direction=H","UseDPDF=Y")</f>
        <v>-1.9799</v>
      </c>
      <c r="H8" s="14">
        <f>_xll.BDH("ALNY US Equity","DILUTED_EPS_EX_STK_BASED_COMP","FQ1 2020","FQ1 2020","Currency=USD","Period=FQ","BEST_FPERIOD_OVERRIDE=FQ","FILING_STATUS=MR","Sort=A","Dates=H","DateFormat=P","Fill=—","Direction=H","UseDPDF=Y")</f>
        <v>-1.5271999999999999</v>
      </c>
      <c r="I8" s="14">
        <f>_xll.BDH("ALNY US Equity","DILUTED_EPS_EX_STK_BASED_COMP","FQ2 2020","FQ2 2020","Currency=USD","Period=FQ","BEST_FPERIOD_OVERRIDE=FQ","FILING_STATUS=MR","Sort=A","Dates=H","DateFormat=P","Fill=—","Direction=H","UseDPDF=Y")</f>
        <v>-1.6653</v>
      </c>
      <c r="J8" s="14">
        <f>_xll.BDH("ALNY US Equity","DILUTED_EPS_EX_STK_BASED_COMP","FQ3 2020","FQ3 2020","Currency=USD","Period=FQ","BEST_FPERIOD_OVERRIDE=FQ","FILING_STATUS=MR","Sort=A","Dates=H","DateFormat=P","Fill=—","Direction=H","UseDPDF=Y")</f>
        <v>-1.5829</v>
      </c>
      <c r="K8" s="14">
        <f>_xll.BDH("ALNY US Equity","DILUTED_EPS_EX_STK_BASED_COMP","FQ4 2020","FQ4 2020","Currency=USD","Period=FQ","BEST_FPERIOD_OVERRIDE=FQ","FILING_STATUS=MR","Sort=A","Dates=H","DateFormat=P","Fill=—","Direction=H","UseDPDF=Y")</f>
        <v>-1.6036999999999999</v>
      </c>
      <c r="L8" s="14">
        <f>_xll.BDH("ALNY US Equity","DILUTED_EPS_EX_STK_BASED_COMP","FQ1 2021","FQ1 2021","Currency=USD","Period=FQ","BEST_FPERIOD_OVERRIDE=FQ","FILING_STATUS=MR","Sort=A","Dates=H","DateFormat=P","Fill=—","Direction=H","UseDPDF=Y")</f>
        <v>-1.7364999999999999</v>
      </c>
      <c r="M8" s="14">
        <f>_xll.BDH("ALNY US Equity","DILUTED_EPS_EX_STK_BASED_COMP","FQ2 2021","FQ2 2021","Currency=USD","Period=FQ","BEST_FPERIOD_OVERRIDE=FQ","FILING_STATUS=MR","Sort=A","Dates=H","DateFormat=P","Fill=—","Direction=H","UseDPDF=Y")</f>
        <v>-1.3024</v>
      </c>
      <c r="N8" s="14">
        <f>_xll.BDH("ALNY US Equity","DILUTED_EPS_EX_STK_BASED_COMP","FQ3 2021","FQ3 2021","Currency=USD","Period=FQ","BEST_FPERIOD_OVERRIDE=FQ","FILING_STATUS=MR","Sort=A","Dates=H","DateFormat=P","Fill=—","Direction=H","UseDPDF=Y")</f>
        <v>-1.5128999999999999</v>
      </c>
      <c r="O8" s="14">
        <f>_xll.BDH("ALNY US Equity","DILUTED_EPS_EX_STK_BASED_COMP","FQ4 2021","FQ4 2021","Currency=USD","Period=FQ","BEST_FPERIOD_OVERRIDE=FQ","FILING_STATUS=MR","Sort=A","Dates=H","DateFormat=P","Fill=—","Direction=H","UseDPDF=Y")</f>
        <v>-1.8193999999999999</v>
      </c>
      <c r="P8" s="14">
        <f>_xll.BDH("ALNY US Equity","DILUTED_EPS_EX_STK_BASED_COMP","FQ1 2022","FQ1 2022","Currency=USD","Period=FQ","BEST_FPERIOD_OVERRIDE=FQ","FILING_STATUS=MR","Sort=A","Dates=H","DateFormat=P","Fill=—","Direction=H","UseDPDF=Y")</f>
        <v>-1.5012000000000001</v>
      </c>
      <c r="Q8" s="14">
        <f>_xll.BDH("ALNY US Equity","DILUTED_EPS_EX_STK_BASED_COMP","FQ2 2022","FQ2 2022","Currency=USD","Period=FQ","BEST_FPERIOD_OVERRIDE=FQ","FILING_STATUS=MR","Sort=A","Dates=H","DateFormat=P","Fill=—","Direction=H","UseDPDF=Y")</f>
        <v>-2.0354999999999999</v>
      </c>
      <c r="R8" s="14">
        <f>_xll.BDH("ALNY US Equity","DILUTED_EPS_EX_STK_BASED_COMP","FQ3 2022","FQ3 2022","Currency=USD","Period=FQ","BEST_FPERIOD_OVERRIDE=FQ","FILING_STATUS=MR","Sort=A","Dates=H","DateFormat=P","Fill=—","Direction=H","UseDPDF=Y")</f>
        <v>-1.5979000000000001</v>
      </c>
      <c r="S8" s="14">
        <f>_xll.BDH("ALNY US Equity","DILUTED_EPS_EX_STK_BASED_COMP","FQ4 2022","FQ4 2022","Currency=USD","Period=FQ","BEST_FPERIOD_OVERRIDE=FQ","FILING_STATUS=MR","Sort=A","Dates=H","DateFormat=P","Fill=—","Direction=H","UseDPDF=Y")</f>
        <v>-1.3915</v>
      </c>
      <c r="T8" s="14">
        <f>_xll.BDH("ALNY US Equity","DILUTED_EPS_EX_STK_BASED_COMP","FQ1 2023","FQ1 2023","Currency=USD","Period=FQ","BEST_FPERIOD_OVERRIDE=FQ","FILING_STATUS=MR","Sort=A","Dates=H","DateFormat=P","Fill=—","Direction=H","UseDPDF=Y")</f>
        <v>-1.0645</v>
      </c>
      <c r="U8" s="14">
        <f>_xll.BDH("ALNY US Equity","DILUTED_EPS_EX_STK_BASED_COMP","FQ2 2023","FQ2 2023","Currency=USD","Period=FQ","BEST_FPERIOD_OVERRIDE=FQ","FILING_STATUS=MR","Sort=A","Dates=H","DateFormat=P","Fill=—","Direction=H","UseDPDF=Y")</f>
        <v>-1.6173999999999999</v>
      </c>
      <c r="V8" s="14">
        <f>_xll.BDH("ALNY US Equity","DILUTED_EPS_EX_STK_BASED_COMP","FQ3 2023","FQ3 2023","Currency=USD","Period=FQ","BEST_FPERIOD_OVERRIDE=FQ","FILING_STATUS=MR","Sort=A","Dates=H","DateFormat=P","Fill=—","Direction=H","UseDPDF=Y")</f>
        <v>1.7650999999999999</v>
      </c>
      <c r="W8" s="14">
        <f>_xll.BDH("ALNY US Equity","DILUTED_EPS_EX_STK_BASED_COMP","FQ4 2023","FQ4 2023","Currency=USD","Period=FQ","BEST_FPERIOD_OVERRIDE=FQ","FILING_STATUS=MR","Sort=A","Dates=H","DateFormat=P","Fill=—","Direction=H","UseDPDF=Y")</f>
        <v>-0.77180000000000004</v>
      </c>
      <c r="X8" s="14">
        <f>_xll.BDH("ALNY US Equity","DILUTED_EPS_EX_STK_BASED_COMP","FQ1 2024","FQ1 2024","Currency=USD","Period=FQ","BEST_FPERIOD_OVERRIDE=FQ","FILING_STATUS=MR","Sort=A","Dates=H","DateFormat=P","Fill=—","Direction=H","UseDPDF=Y")</f>
        <v>-0.1633</v>
      </c>
      <c r="Y8" s="14">
        <f>_xll.BDH("ALNY US Equity","DILUTED_EPS_EX_STK_BASED_COMP","FQ2 2024","FQ2 2024","Currency=USD","Period=FQ","BEST_FPERIOD_OVERRIDE=FQ","FILING_STATUS=MR","Sort=A","Dates=H","DateFormat=P","Fill=—","Direction=H","UseDPDF=Y")</f>
        <v>0.58209999999999995</v>
      </c>
      <c r="Z8" s="14">
        <f>_xll.BDH("ALNY US Equity","DILUTED_EPS_EX_STK_BASED_COMP","FQ3 2024","FQ3 2024","Currency=USD","Period=FQ","BEST_FPERIOD_OVERRIDE=FQ","FILING_STATUS=MR","Sort=A","Dates=H","DateFormat=P","Fill=—","Direction=H","UseDPDF=Y")</f>
        <v>-0.50160000000000005</v>
      </c>
      <c r="AA8" s="14">
        <f>_xll.BDH("ALNY US Equity","DILUTED_EPS_EX_STK_BASED_COMP","FQ4 2024","FQ4 2024","Currency=USD","Period=FQ","BEST_FPERIOD_OVERRIDE=FQ","FILING_STATUS=MR","Sort=A","Dates=H","DateFormat=P","Fill=—","Direction=H","UseDPDF=Y")</f>
        <v>6.1100000000000002E-2</v>
      </c>
    </row>
    <row r="9" spans="1:27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A10" s="10" t="s">
        <v>651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A11" s="10" t="s">
        <v>652</v>
      </c>
      <c r="B11" s="10" t="s">
        <v>653</v>
      </c>
      <c r="C11" s="13">
        <f>_xll.BDH("ALNY US Equity","IS_EXPENSE_STOCK_BASED_COMP","FQ4 2018","FQ4 2018","Currency=USD","Period=FQ","BEST_FPERIOD_OVERRIDE=FQ","FILING_STATUS=MR","SCALING_FORMAT=MLN","Sort=A","Dates=H","DateFormat=P","Fill=—","Direction=H","UseDPDF=Y")</f>
        <v>42.973999999999997</v>
      </c>
      <c r="D11" s="13">
        <f>_xll.BDH("ALNY US Equity","IS_EXPENSE_STOCK_BASED_COMP","FQ1 2019","FQ1 2019","Currency=USD","Period=FQ","BEST_FPERIOD_OVERRIDE=FQ","FILING_STATUS=MR","SCALING_FORMAT=MLN","Sort=A","Dates=H","DateFormat=P","Fill=—","Direction=H","UseDPDF=Y")</f>
        <v>47.939</v>
      </c>
      <c r="E11" s="13">
        <f>_xll.BDH("ALNY US Equity","IS_EXPENSE_STOCK_BASED_COMP","FQ2 2019","FQ2 2019","Currency=USD","Period=FQ","BEST_FPERIOD_OVERRIDE=FQ","FILING_STATUS=MR","SCALING_FORMAT=MLN","Sort=A","Dates=H","DateFormat=P","Fill=—","Direction=H","UseDPDF=Y")</f>
        <v>30.603000000000002</v>
      </c>
      <c r="F11" s="13">
        <f>_xll.BDH("ALNY US Equity","IS_EXPENSE_STOCK_BASED_COMP","FQ3 2019","FQ3 2019","Currency=USD","Period=FQ","BEST_FPERIOD_OVERRIDE=FQ","FILING_STATUS=MR","SCALING_FORMAT=MLN","Sort=A","Dates=H","DateFormat=P","Fill=—","Direction=H","UseDPDF=Y")</f>
        <v>68.745999999999995</v>
      </c>
      <c r="G11" s="13">
        <f>_xll.BDH("ALNY US Equity","IS_EXPENSE_STOCK_BASED_COMP","FQ4 2019","FQ4 2019","Currency=USD","Period=FQ","BEST_FPERIOD_OVERRIDE=FQ","FILING_STATUS=MR","SCALING_FORMAT=MLN","Sort=A","Dates=H","DateFormat=P","Fill=—","Direction=H","UseDPDF=Y")</f>
        <v>66.197000000000003</v>
      </c>
      <c r="H11" s="13">
        <f>_xll.BDH("ALNY US Equity","IS_EXPENSE_STOCK_BASED_COMP","FQ1 2020","FQ1 2020","Currency=USD","Period=FQ","BEST_FPERIOD_OVERRIDE=FQ","FILING_STATUS=MR","SCALING_FORMAT=MLN","Sort=A","Dates=H","DateFormat=P","Fill=—","Direction=H","UseDPDF=Y")</f>
        <v>34.578000000000003</v>
      </c>
      <c r="I11" s="13">
        <f>_xll.BDH("ALNY US Equity","IS_EXPENSE_STOCK_BASED_COMP","FQ2 2020","FQ2 2020","Currency=USD","Period=FQ","BEST_FPERIOD_OVERRIDE=FQ","FILING_STATUS=MR","SCALING_FORMAT=MLN","Sort=A","Dates=H","DateFormat=P","Fill=—","Direction=H","UseDPDF=Y")</f>
        <v>33.755000000000003</v>
      </c>
      <c r="J11" s="13">
        <f>_xll.BDH("ALNY US Equity","IS_EXPENSE_STOCK_BASED_COMP","FQ3 2020","FQ3 2020","Currency=USD","Period=FQ","BEST_FPERIOD_OVERRIDE=FQ","FILING_STATUS=MR","SCALING_FORMAT=MLN","Sort=A","Dates=H","DateFormat=P","Fill=—","Direction=H","UseDPDF=Y")</f>
        <v>37.264000000000003</v>
      </c>
      <c r="K11" s="13">
        <f>_xll.BDH("ALNY US Equity","IS_EXPENSE_STOCK_BASED_COMP","FQ4 2020","FQ4 2020","Currency=USD","Period=FQ","BEST_FPERIOD_OVERRIDE=FQ","FILING_STATUS=MR","SCALING_FORMAT=MLN","Sort=A","Dates=H","DateFormat=P","Fill=—","Direction=H","UseDPDF=Y")</f>
        <v>34.276000000000003</v>
      </c>
      <c r="L11" s="13">
        <f>_xll.BDH("ALNY US Equity","IS_EXPENSE_STOCK_BASED_COMP","FQ1 2021","FQ1 2021","Currency=USD","Period=FQ","BEST_FPERIOD_OVERRIDE=FQ","FILING_STATUS=MR","SCALING_FORMAT=MLN","Sort=A","Dates=H","DateFormat=P","Fill=—","Direction=H","UseDPDF=Y")</f>
        <v>55.69</v>
      </c>
      <c r="M11" s="13">
        <f>_xll.BDH("ALNY US Equity","IS_EXPENSE_STOCK_BASED_COMP","FQ2 2021","FQ2 2021","Currency=USD","Period=FQ","BEST_FPERIOD_OVERRIDE=FQ","FILING_STATUS=MR","SCALING_FORMAT=MLN","Sort=A","Dates=H","DateFormat=P","Fill=—","Direction=H","UseDPDF=Y")</f>
        <v>32.078000000000003</v>
      </c>
      <c r="N11" s="13">
        <f>_xll.BDH("ALNY US Equity","IS_EXPENSE_STOCK_BASED_COMP","FQ3 2021","FQ3 2021","Currency=USD","Period=FQ","BEST_FPERIOD_OVERRIDE=FQ","FILING_STATUS=MR","SCALING_FORMAT=MLN","Sort=A","Dates=H","DateFormat=P","Fill=—","Direction=H","UseDPDF=Y")</f>
        <v>33.366999999999997</v>
      </c>
      <c r="O11" s="13">
        <f>_xll.BDH("ALNY US Equity","IS_EXPENSE_STOCK_BASED_COMP","FQ4 2021","FQ4 2021","Currency=USD","Period=FQ","BEST_FPERIOD_OVERRIDE=FQ","FILING_STATUS=MR","SCALING_FORMAT=MLN","Sort=A","Dates=H","DateFormat=P","Fill=—","Direction=H","UseDPDF=Y")</f>
        <v>44.582000000000001</v>
      </c>
      <c r="P11" s="13">
        <f>_xll.BDH("ALNY US Equity","IS_EXPENSE_STOCK_BASED_COMP","FQ1 2022","FQ1 2022","Currency=USD","Period=FQ","BEST_FPERIOD_OVERRIDE=FQ","FILING_STATUS=MR","SCALING_FORMAT=MLN","Sort=A","Dates=H","DateFormat=P","Fill=—","Direction=H","UseDPDF=Y")</f>
        <v>29.292999999999999</v>
      </c>
      <c r="Q11" s="13">
        <f>_xll.BDH("ALNY US Equity","IS_EXPENSE_STOCK_BASED_COMP","FQ2 2022","FQ2 2022","Currency=USD","Period=FQ","BEST_FPERIOD_OVERRIDE=FQ","FILING_STATUS=MR","SCALING_FORMAT=MLN","Sort=A","Dates=H","DateFormat=P","Fill=—","Direction=H","UseDPDF=Y")</f>
        <v>59.764000000000003</v>
      </c>
      <c r="R11" s="13">
        <f>_xll.BDH("ALNY US Equity","IS_EXPENSE_STOCK_BASED_COMP","FQ3 2022","FQ3 2022","Currency=USD","Period=FQ","BEST_FPERIOD_OVERRIDE=FQ","FILING_STATUS=MR","SCALING_FORMAT=MLN","Sort=A","Dates=H","DateFormat=P","Fill=—","Direction=H","UseDPDF=Y")</f>
        <v>128.11799999999999</v>
      </c>
      <c r="S11" s="13">
        <f>_xll.BDH("ALNY US Equity","IS_EXPENSE_STOCK_BASED_COMP","FQ4 2022","FQ4 2022","Currency=USD","Period=FQ","BEST_FPERIOD_OVERRIDE=FQ","FILING_STATUS=MR","SCALING_FORMAT=MLN","Sort=A","Dates=H","DateFormat=P","Fill=—","Direction=H","UseDPDF=Y")</f>
        <v>42.767000000000003</v>
      </c>
      <c r="T11" s="13">
        <f>_xll.BDH("ALNY US Equity","IS_EXPENSE_STOCK_BASED_COMP","FQ1 2023","FQ1 2023","Currency=USD","Period=FQ","BEST_FPERIOD_OVERRIDE=FQ","FILING_STATUS=MR","SCALING_FORMAT=MLN","Sort=A","Dates=H","DateFormat=P","Fill=—","Direction=H","UseDPDF=Y")</f>
        <v>39.947000000000003</v>
      </c>
      <c r="U11" s="13">
        <f>_xll.BDH("ALNY US Equity","IS_EXPENSE_STOCK_BASED_COMP","FQ2 2023","FQ2 2023","Currency=USD","Period=FQ","BEST_FPERIOD_OVERRIDE=FQ","FILING_STATUS=MR","SCALING_FORMAT=MLN","Sort=A","Dates=H","DateFormat=P","Fill=—","Direction=H","UseDPDF=Y")</f>
        <v>75.802000000000007</v>
      </c>
      <c r="V11" s="13">
        <f>_xll.BDH("ALNY US Equity","IS_EXPENSE_STOCK_BASED_COMP","FQ3 2023","FQ3 2023","Currency=USD","Period=FQ","BEST_FPERIOD_OVERRIDE=FQ","FILING_STATUS=MR","SCALING_FORMAT=MLN","Sort=A","Dates=H","DateFormat=P","Fill=—","Direction=H","UseDPDF=Y")</f>
        <v>63.936999999999998</v>
      </c>
      <c r="W11" s="13">
        <f>_xll.BDH("ALNY US Equity","IS_EXPENSE_STOCK_BASED_COMP","FQ4 2023","FQ4 2023","Currency=USD","Period=FQ","BEST_FPERIOD_OVERRIDE=FQ","FILING_STATUS=MR","SCALING_FORMAT=MLN","Sort=A","Dates=H","DateFormat=P","Fill=—","Direction=H","UseDPDF=Y")</f>
        <v>41.994</v>
      </c>
      <c r="X11" s="13">
        <f>_xll.BDH("ALNY US Equity","IS_EXPENSE_STOCK_BASED_COMP","FQ1 2024","FQ1 2024","Currency=USD","Period=FQ","BEST_FPERIOD_OVERRIDE=FQ","FILING_STATUS=MR","SCALING_FORMAT=MLN","Sort=A","Dates=H","DateFormat=P","Fill=—","Direction=H","UseDPDF=Y")</f>
        <v>46.155000000000001</v>
      </c>
      <c r="Y11" s="13">
        <f>_xll.BDH("ALNY US Equity","IS_EXPENSE_STOCK_BASED_COMP","FQ2 2024","FQ2 2024","Currency=USD","Period=FQ","BEST_FPERIOD_OVERRIDE=FQ","FILING_STATUS=MR","SCALING_FORMAT=MLN","Sort=A","Dates=H","DateFormat=P","Fill=—","Direction=H","UseDPDF=Y")</f>
        <v>90.096000000000004</v>
      </c>
      <c r="Z11" s="13">
        <f>_xll.BDH("ALNY US Equity","IS_EXPENSE_STOCK_BASED_COMP","FQ3 2024","FQ3 2024","Currency=USD","Period=FQ","BEST_FPERIOD_OVERRIDE=FQ","FILING_STATUS=MR","SCALING_FORMAT=MLN","Sort=A","Dates=H","DateFormat=P","Fill=—","Direction=H","UseDPDF=Y")</f>
        <v>45.804000000000002</v>
      </c>
      <c r="AA11" s="13">
        <f>_xll.BDH("ALNY US Equity","IS_EXPENSE_STOCK_BASED_COMP","FQ4 2024","FQ4 2024","Currency=USD","Period=FQ","BEST_FPERIOD_OVERRIDE=FQ","FILING_STATUS=MR","SCALING_FORMAT=MLN","Sort=A","Dates=H","DateFormat=P","Fill=—","Direction=H","UseDPDF=Y")</f>
        <v>91.644999999999996</v>
      </c>
    </row>
    <row r="12" spans="1:27" x14ac:dyDescent="0.25">
      <c r="A12" s="10" t="s">
        <v>654</v>
      </c>
      <c r="B12" s="10" t="s">
        <v>655</v>
      </c>
      <c r="C12" s="13">
        <f>_xll.BDH("ALNY US Equity","IS_STK_BASED_COMP_AFT_TAX","FQ4 2018","FQ4 2018","Currency=USD","Period=FQ","BEST_FPERIOD_OVERRIDE=FQ","FILING_STATUS=MR","SCALING_FORMAT=MLN","Sort=A","Dates=H","DateFormat=P","Fill=—","Direction=H","UseDPDF=Y")</f>
        <v>27.972999999999999</v>
      </c>
      <c r="D12" s="13">
        <f>_xll.BDH("ALNY US Equity","IS_STK_BASED_COMP_AFT_TAX","FQ1 2019","FQ1 2019","Currency=USD","Period=FQ","BEST_FPERIOD_OVERRIDE=FQ","FILING_STATUS=MR","SCALING_FORMAT=MLN","Sort=A","Dates=H","DateFormat=P","Fill=—","Direction=H","UseDPDF=Y")</f>
        <v>32.031999999999996</v>
      </c>
      <c r="E12" s="13">
        <f>_xll.BDH("ALNY US Equity","IS_STK_BASED_COMP_AFT_TAX","FQ2 2019","FQ2 2019","Currency=USD","Period=FQ","BEST_FPERIOD_OVERRIDE=FQ","FILING_STATUS=MR","SCALING_FORMAT=MLN","Sort=A","Dates=H","DateFormat=P","Fill=—","Direction=H","UseDPDF=Y")</f>
        <v>30.603000000000002</v>
      </c>
      <c r="F12" s="13">
        <f>_xll.BDH("ALNY US Equity","IS_STK_BASED_COMP_AFT_TAX","FQ3 2019","FQ3 2019","Currency=USD","Period=FQ","BEST_FPERIOD_OVERRIDE=FQ","FILING_STATUS=MR","SCALING_FORMAT=MLN","Sort=A","Dates=H","DateFormat=P","Fill=—","Direction=H","UseDPDF=Y")</f>
        <v>46.009</v>
      </c>
      <c r="G12" s="13">
        <f>_xll.BDH("ALNY US Equity","IS_STK_BASED_COMP_AFT_TAX","FQ4 2019","FQ4 2019","Currency=USD","Period=FQ","BEST_FPERIOD_OVERRIDE=FQ","FILING_STATUS=MR","SCALING_FORMAT=MLN","Sort=A","Dates=H","DateFormat=P","Fill=—","Direction=H","UseDPDF=Y")</f>
        <v>66.197000000000003</v>
      </c>
      <c r="H12" s="13">
        <f>_xll.BDH("ALNY US Equity","IS_STK_BASED_COMP_AFT_TAX","FQ1 2020","FQ1 2020","Currency=USD","Period=FQ","BEST_FPERIOD_OVERRIDE=FQ","FILING_STATUS=MR","SCALING_FORMAT=MLN","Sort=A","Dates=H","DateFormat=P","Fill=—","Direction=H","UseDPDF=Y")</f>
        <v>34.578000000000003</v>
      </c>
      <c r="I12" s="13">
        <f>_xll.BDH("ALNY US Equity","IS_STK_BASED_COMP_AFT_TAX","FQ2 2020","FQ2 2020","Currency=USD","Period=FQ","BEST_FPERIOD_OVERRIDE=FQ","FILING_STATUS=MR","SCALING_FORMAT=MLN","Sort=A","Dates=H","DateFormat=P","Fill=—","Direction=H","UseDPDF=Y")</f>
        <v>33.755000000000003</v>
      </c>
      <c r="J12" s="13">
        <f>_xll.BDH("ALNY US Equity","IS_STK_BASED_COMP_AFT_TAX","FQ3 2020","FQ3 2020","Currency=USD","Period=FQ","BEST_FPERIOD_OVERRIDE=FQ","FILING_STATUS=MR","SCALING_FORMAT=MLN","Sort=A","Dates=H","DateFormat=P","Fill=—","Direction=H","UseDPDF=Y")</f>
        <v>37.264000000000003</v>
      </c>
      <c r="K12" s="13">
        <f>_xll.BDH("ALNY US Equity","IS_STK_BASED_COMP_AFT_TAX","FQ4 2020","FQ4 2020","Currency=USD","Period=FQ","BEST_FPERIOD_OVERRIDE=FQ","FILING_STATUS=MR","SCALING_FORMAT=MLN","Sort=A","Dates=H","DateFormat=P","Fill=—","Direction=H","UseDPDF=Y")</f>
        <v>34.276000000000003</v>
      </c>
      <c r="L12" s="13">
        <f>_xll.BDH("ALNY US Equity","IS_STK_BASED_COMP_AFT_TAX","FQ1 2021","FQ1 2021","Currency=USD","Period=FQ","BEST_FPERIOD_OVERRIDE=FQ","FILING_STATUS=MR","SCALING_FORMAT=MLN","Sort=A","Dates=H","DateFormat=P","Fill=—","Direction=H","UseDPDF=Y")</f>
        <v>43.995100000000001</v>
      </c>
      <c r="M12" s="13">
        <f>_xll.BDH("ALNY US Equity","IS_STK_BASED_COMP_AFT_TAX","FQ2 2021","FQ2 2021","Currency=USD","Period=FQ","BEST_FPERIOD_OVERRIDE=FQ","FILING_STATUS=MR","SCALING_FORMAT=MLN","Sort=A","Dates=H","DateFormat=P","Fill=—","Direction=H","UseDPDF=Y")</f>
        <v>31.798400000000001</v>
      </c>
      <c r="N12" s="13">
        <f>_xll.BDH("ALNY US Equity","IS_STK_BASED_COMP_AFT_TAX","FQ3 2021","FQ3 2021","Currency=USD","Period=FQ","BEST_FPERIOD_OVERRIDE=FQ","FILING_STATUS=MR","SCALING_FORMAT=MLN","Sort=A","Dates=H","DateFormat=P","Fill=—","Direction=H","UseDPDF=Y")</f>
        <v>33.359499999999997</v>
      </c>
      <c r="O12" s="13">
        <f>_xll.BDH("ALNY US Equity","IS_STK_BASED_COMP_AFT_TAX","FQ4 2021","FQ4 2021","Currency=USD","Period=FQ","BEST_FPERIOD_OVERRIDE=FQ","FILING_STATUS=MR","SCALING_FORMAT=MLN","Sort=A","Dates=H","DateFormat=P","Fill=—","Direction=H","UseDPDF=Y")</f>
        <v>35.219799999999999</v>
      </c>
      <c r="P12" s="13">
        <f>_xll.BDH("ALNY US Equity","IS_STK_BASED_COMP_AFT_TAX","FQ1 2022","FQ1 2022","Currency=USD","Period=FQ","BEST_FPERIOD_OVERRIDE=FQ","FILING_STATUS=MR","SCALING_FORMAT=MLN","Sort=A","Dates=H","DateFormat=P","Fill=—","Direction=H","UseDPDF=Y")</f>
        <v>28.894300000000001</v>
      </c>
      <c r="Q12" s="13">
        <f>_xll.BDH("ALNY US Equity","IS_STK_BASED_COMP_AFT_TAX","FQ2 2022","FQ2 2022","Currency=USD","Period=FQ","BEST_FPERIOD_OVERRIDE=FQ","FILING_STATUS=MR","SCALING_FORMAT=MLN","Sort=A","Dates=H","DateFormat=P","Fill=—","Direction=H","UseDPDF=Y")</f>
        <v>30.224</v>
      </c>
      <c r="R12" s="13">
        <f>_xll.BDH("ALNY US Equity","IS_STK_BASED_COMP_AFT_TAX","FQ3 2022","FQ3 2022","Currency=USD","Period=FQ","BEST_FPERIOD_OVERRIDE=FQ","FILING_STATUS=MR","SCALING_FORMAT=MLN","Sort=A","Dates=H","DateFormat=P","Fill=—","Direction=H","UseDPDF=Y")</f>
        <v>126.2743</v>
      </c>
      <c r="S12" s="13">
        <f>_xll.BDH("ALNY US Equity","IS_STK_BASED_COMP_AFT_TAX","FQ4 2022","FQ4 2022","Currency=USD","Period=FQ","BEST_FPERIOD_OVERRIDE=FQ","FILING_STATUS=MR","SCALING_FORMAT=MLN","Sort=A","Dates=H","DateFormat=P","Fill=—","Direction=H","UseDPDF=Y")</f>
        <v>42.767000000000003</v>
      </c>
      <c r="T12" s="13">
        <f>_xll.BDH("ALNY US Equity","IS_STK_BASED_COMP_AFT_TAX","FQ1 2023","FQ1 2023","Currency=USD","Period=FQ","BEST_FPERIOD_OVERRIDE=FQ","FILING_STATUS=MR","SCALING_FORMAT=MLN","Sort=A","Dates=H","DateFormat=P","Fill=—","Direction=H","UseDPDF=Y")</f>
        <v>39.715499999999999</v>
      </c>
      <c r="U12" s="13">
        <f>_xll.BDH("ALNY US Equity","IS_STK_BASED_COMP_AFT_TAX","FQ2 2023","FQ2 2023","Currency=USD","Period=FQ","BEST_FPERIOD_OVERRIDE=FQ","FILING_STATUS=MR","SCALING_FORMAT=MLN","Sort=A","Dates=H","DateFormat=P","Fill=—","Direction=H","UseDPDF=Y")</f>
        <v>75.802000000000007</v>
      </c>
      <c r="V12" s="13">
        <f>_xll.BDH("ALNY US Equity","IS_STK_BASED_COMP_AFT_TAX","FQ3 2023","FQ3 2023","Currency=USD","Period=FQ","BEST_FPERIOD_OVERRIDE=FQ","FILING_STATUS=MR","SCALING_FORMAT=MLN","Sort=A","Dates=H","DateFormat=P","Fill=—","Direction=H","UseDPDF=Y")</f>
        <v>63.936999999999998</v>
      </c>
      <c r="W12" s="13">
        <f>_xll.BDH("ALNY US Equity","IS_STK_BASED_COMP_AFT_TAX","FQ4 2023","FQ4 2023","Currency=USD","Period=FQ","BEST_FPERIOD_OVERRIDE=FQ","FILING_STATUS=MR","SCALING_FORMAT=MLN","Sort=A","Dates=H","DateFormat=P","Fill=—","Direction=H","UseDPDF=Y")</f>
        <v>41.994</v>
      </c>
      <c r="X12" s="13">
        <f>_xll.BDH("ALNY US Equity","IS_STK_BASED_COMP_AFT_TAX","FQ1 2024","FQ1 2024","Currency=USD","Period=FQ","BEST_FPERIOD_OVERRIDE=FQ","FILING_STATUS=MR","SCALING_FORMAT=MLN","Sort=A","Dates=H","DateFormat=P","Fill=—","Direction=H","UseDPDF=Y")</f>
        <v>45.409700000000001</v>
      </c>
      <c r="Y12" s="13">
        <f>_xll.BDH("ALNY US Equity","IS_STK_BASED_COMP_AFT_TAX","FQ2 2024","FQ2 2024","Currency=USD","Period=FQ","BEST_FPERIOD_OVERRIDE=FQ","FILING_STATUS=MR","SCALING_FORMAT=MLN","Sort=A","Dates=H","DateFormat=P","Fill=—","Direction=H","UseDPDF=Y")</f>
        <v>89.287999999999997</v>
      </c>
      <c r="Z12" s="13">
        <f>_xll.BDH("ALNY US Equity","IS_STK_BASED_COMP_AFT_TAX","FQ3 2024","FQ3 2024","Currency=USD","Period=FQ","BEST_FPERIOD_OVERRIDE=FQ","FILING_STATUS=MR","SCALING_FORMAT=MLN","Sort=A","Dates=H","DateFormat=P","Fill=—","Direction=H","UseDPDF=Y")</f>
        <v>45.804000000000002</v>
      </c>
      <c r="AA12" s="13">
        <f>_xll.BDH("ALNY US Equity","IS_STK_BASED_COMP_AFT_TAX","FQ4 2024","FQ4 2024","Currency=USD","Period=FQ","BEST_FPERIOD_OVERRIDE=FQ","FILING_STATUS=MR","SCALING_FORMAT=MLN","Sort=A","Dates=H","DateFormat=P","Fill=—","Direction=H","UseDPDF=Y")</f>
        <v>91.644999999999996</v>
      </c>
    </row>
    <row r="13" spans="1:27" x14ac:dyDescent="0.25">
      <c r="A13" s="10" t="s">
        <v>656</v>
      </c>
      <c r="B13" s="10" t="s">
        <v>657</v>
      </c>
      <c r="C13" s="14">
        <f>_xll.BDH("ALNY US Equity","IS_STK_BASED_COMP_PER_BAS_SH","FQ4 2018","FQ4 2018","Currency=USD","Period=FQ","BEST_FPERIOD_OVERRIDE=FQ","FILING_STATUS=MR","Sort=A","Dates=H","DateFormat=P","Fill=—","Direction=H","UseDPDF=Y")</f>
        <v>0.27679999999999999</v>
      </c>
      <c r="D13" s="14">
        <f>_xll.BDH("ALNY US Equity","IS_STK_BASED_COMP_PER_BAS_SH","FQ1 2019","FQ1 2019","Currency=USD","Period=FQ","BEST_FPERIOD_OVERRIDE=FQ","FILING_STATUS=MR","Sort=A","Dates=H","DateFormat=P","Fill=—","Direction=H","UseDPDF=Y")</f>
        <v>0.3039</v>
      </c>
      <c r="E13" s="14">
        <f>_xll.BDH("ALNY US Equity","IS_STK_BASED_COMP_PER_BAS_SH","FQ2 2019","FQ2 2019","Currency=USD","Period=FQ","BEST_FPERIOD_OVERRIDE=FQ","FILING_STATUS=MR","Sort=A","Dates=H","DateFormat=P","Fill=—","Direction=H","UseDPDF=Y")</f>
        <v>0.28189999999999998</v>
      </c>
      <c r="F13" s="14">
        <f>_xll.BDH("ALNY US Equity","IS_STK_BASED_COMP_PER_BAS_SH","FQ3 2019","FQ3 2019","Currency=USD","Period=FQ","BEST_FPERIOD_OVERRIDE=FQ","FILING_STATUS=MR","Sort=A","Dates=H","DateFormat=P","Fill=—","Direction=H","UseDPDF=Y")</f>
        <v>0.42330000000000001</v>
      </c>
      <c r="G13" s="14">
        <f>_xll.BDH("ALNY US Equity","IS_STK_BASED_COMP_PER_BAS_SH","FQ4 2019","FQ4 2019","Currency=USD","Period=FQ","BEST_FPERIOD_OVERRIDE=FQ","FILING_STATUS=MR","Sort=A","Dates=H","DateFormat=P","Fill=—","Direction=H","UseDPDF=Y")</f>
        <v>0.59240000000000004</v>
      </c>
      <c r="H13" s="14">
        <f>_xll.BDH("ALNY US Equity","IS_STK_BASED_COMP_PER_BAS_SH","FQ1 2020","FQ1 2020","Currency=USD","Period=FQ","BEST_FPERIOD_OVERRIDE=FQ","FILING_STATUS=MR","Sort=A","Dates=H","DateFormat=P","Fill=—","Direction=H","UseDPDF=Y")</f>
        <v>0.30669999999999997</v>
      </c>
      <c r="I13" s="14">
        <f>_xll.BDH("ALNY US Equity","IS_STK_BASED_COMP_PER_BAS_SH","FQ2 2020","FQ2 2020","Currency=USD","Period=FQ","BEST_FPERIOD_OVERRIDE=FQ","FILING_STATUS=MR","Sort=A","Dates=H","DateFormat=P","Fill=—","Direction=H","UseDPDF=Y")</f>
        <v>0.29370000000000002</v>
      </c>
      <c r="J13" s="14">
        <f>_xll.BDH("ALNY US Equity","IS_STK_BASED_COMP_PER_BAS_SH","FQ3 2020","FQ3 2020","Currency=USD","Period=FQ","BEST_FPERIOD_OVERRIDE=FQ","FILING_STATUS=MR","Sort=A","Dates=H","DateFormat=P","Fill=—","Direction=H","UseDPDF=Y")</f>
        <v>0.32129999999999997</v>
      </c>
      <c r="K13" s="14">
        <f>_xll.BDH("ALNY US Equity","IS_STK_BASED_COMP_PER_BAS_SH","FQ4 2020","FQ4 2020","Currency=USD","Period=FQ","BEST_FPERIOD_OVERRIDE=FQ","FILING_STATUS=MR","Sort=A","Dates=H","DateFormat=P","Fill=—","Direction=H","UseDPDF=Y")</f>
        <v>0.29480000000000001</v>
      </c>
      <c r="L13" s="14">
        <f>_xll.BDH("ALNY US Equity","IS_STK_BASED_COMP_PER_BAS_SH","FQ1 2021","FQ1 2021","Currency=USD","Period=FQ","BEST_FPERIOD_OVERRIDE=FQ","FILING_STATUS=MR","Sort=A","Dates=H","DateFormat=P","Fill=—","Direction=H","UseDPDF=Y")</f>
        <v>0.37580000000000002</v>
      </c>
      <c r="M13" s="14">
        <f>_xll.BDH("ALNY US Equity","IS_STK_BASED_COMP_PER_BAS_SH","FQ2 2021","FQ2 2021","Currency=USD","Period=FQ","BEST_FPERIOD_OVERRIDE=FQ","FILING_STATUS=MR","Sort=A","Dates=H","DateFormat=P","Fill=—","Direction=H","UseDPDF=Y")</f>
        <v>0.27</v>
      </c>
      <c r="N13" s="14">
        <f>_xll.BDH("ALNY US Equity","IS_STK_BASED_COMP_PER_BAS_SH","FQ3 2021","FQ3 2021","Currency=USD","Period=FQ","BEST_FPERIOD_OVERRIDE=FQ","FILING_STATUS=MR","Sort=A","Dates=H","DateFormat=P","Fill=—","Direction=H","UseDPDF=Y")</f>
        <v>0.28000000000000003</v>
      </c>
      <c r="O13" s="14">
        <f>_xll.BDH("ALNY US Equity","IS_STK_BASED_COMP_PER_BAS_SH","FQ4 2021","FQ4 2021","Currency=USD","Period=FQ","BEST_FPERIOD_OVERRIDE=FQ","FILING_STATUS=MR","Sort=A","Dates=H","DateFormat=P","Fill=—","Direction=H","UseDPDF=Y")</f>
        <v>0.29409999999999997</v>
      </c>
      <c r="P13" s="14">
        <f>_xll.BDH("ALNY US Equity","IS_STK_BASED_COMP_PER_BAS_SH","FQ1 2022","FQ1 2022","Currency=USD","Period=FQ","BEST_FPERIOD_OVERRIDE=FQ","FILING_STATUS=MR","Sort=A","Dates=H","DateFormat=P","Fill=—","Direction=H","UseDPDF=Y")</f>
        <v>0.24</v>
      </c>
      <c r="Q13" s="14">
        <f>_xll.BDH("ALNY US Equity","IS_STK_BASED_COMP_PER_BAS_SH","FQ2 2022","FQ2 2022","Currency=USD","Period=FQ","BEST_FPERIOD_OVERRIDE=FQ","FILING_STATUS=MR","Sort=A","Dates=H","DateFormat=P","Fill=—","Direction=H","UseDPDF=Y")</f>
        <v>0.25</v>
      </c>
      <c r="R13" s="14">
        <f>_xll.BDH("ALNY US Equity","IS_STK_BASED_COMP_PER_BAS_SH","FQ3 2022","FQ3 2022","Currency=USD","Period=FQ","BEST_FPERIOD_OVERRIDE=FQ","FILING_STATUS=MR","Sort=A","Dates=H","DateFormat=P","Fill=—","Direction=H","UseDPDF=Y")</f>
        <v>1.0336000000000001</v>
      </c>
      <c r="S13" s="14">
        <f>_xll.BDH("ALNY US Equity","IS_STK_BASED_COMP_PER_BAS_SH","FQ4 2022","FQ4 2022","Currency=USD","Period=FQ","BEST_FPERIOD_OVERRIDE=FQ","FILING_STATUS=MR","Sort=A","Dates=H","DateFormat=P","Fill=—","Direction=H","UseDPDF=Y")</f>
        <v>0.34689999999999999</v>
      </c>
      <c r="T13" s="14">
        <f>_xll.BDH("ALNY US Equity","IS_STK_BASED_COMP_PER_BAS_SH","FQ1 2023","FQ1 2023","Currency=USD","Period=FQ","BEST_FPERIOD_OVERRIDE=FQ","FILING_STATUS=MR","Sort=A","Dates=H","DateFormat=P","Fill=—","Direction=H","UseDPDF=Y")</f>
        <v>0.32</v>
      </c>
      <c r="U13" s="14">
        <f>_xll.BDH("ALNY US Equity","IS_STK_BASED_COMP_PER_BAS_SH","FQ2 2023","FQ2 2023","Currency=USD","Period=FQ","BEST_FPERIOD_OVERRIDE=FQ","FILING_STATUS=MR","Sort=A","Dates=H","DateFormat=P","Fill=—","Direction=H","UseDPDF=Y")</f>
        <v>0.60809999999999997</v>
      </c>
      <c r="V13" s="14">
        <f>_xll.BDH("ALNY US Equity","IS_STK_BASED_COMP_PER_BAS_SH","FQ3 2023","FQ3 2023","Currency=USD","Period=FQ","BEST_FPERIOD_OVERRIDE=FQ","FILING_STATUS=MR","Sort=A","Dates=H","DateFormat=P","Fill=—","Direction=H","UseDPDF=Y")</f>
        <v>0.51060000000000005</v>
      </c>
      <c r="W13" s="14">
        <f>_xll.BDH("ALNY US Equity","IS_STK_BASED_COMP_PER_BAS_SH","FQ4 2023","FQ4 2023","Currency=USD","Period=FQ","BEST_FPERIOD_OVERRIDE=FQ","FILING_STATUS=MR","Sort=A","Dates=H","DateFormat=P","Fill=—","Direction=H","UseDPDF=Y")</f>
        <v>0.33429999999999999</v>
      </c>
      <c r="X13" s="14">
        <f>_xll.BDH("ALNY US Equity","IS_STK_BASED_COMP_PER_BAS_SH","FQ1 2024","FQ1 2024","Currency=USD","Period=FQ","BEST_FPERIOD_OVERRIDE=FQ","FILING_STATUS=MR","Sort=A","Dates=H","DateFormat=P","Fill=—","Direction=H","UseDPDF=Y")</f>
        <v>0.36</v>
      </c>
      <c r="Y13" s="14">
        <f>_xll.BDH("ALNY US Equity","IS_STK_BASED_COMP_PER_BAS_SH","FQ2 2024","FQ2 2024","Currency=USD","Period=FQ","BEST_FPERIOD_OVERRIDE=FQ","FILING_STATUS=MR","Sort=A","Dates=H","DateFormat=P","Fill=—","Direction=H","UseDPDF=Y")</f>
        <v>0.70450000000000002</v>
      </c>
      <c r="Z13" s="14">
        <f>_xll.BDH("ALNY US Equity","IS_STK_BASED_COMP_PER_BAS_SH","FQ3 2024","FQ3 2024","Currency=USD","Period=FQ","BEST_FPERIOD_OVERRIDE=FQ","FILING_STATUS=MR","Sort=A","Dates=H","DateFormat=P","Fill=—","Direction=H","UseDPDF=Y")</f>
        <v>0.35620000000000002</v>
      </c>
      <c r="AA13" s="14">
        <f>_xll.BDH("ALNY US Equity","IS_STK_BASED_COMP_PER_BAS_SH","FQ4 2024","FQ4 2024","Currency=USD","Period=FQ","BEST_FPERIOD_OVERRIDE=FQ","FILING_STATUS=MR","Sort=A","Dates=H","DateFormat=P","Fill=—","Direction=H","UseDPDF=Y")</f>
        <v>0.70979999999999999</v>
      </c>
    </row>
    <row r="14" spans="1:27" x14ac:dyDescent="0.25">
      <c r="A14" s="10" t="s">
        <v>658</v>
      </c>
      <c r="B14" s="10" t="s">
        <v>659</v>
      </c>
      <c r="C14" s="14">
        <f>_xll.BDH("ALNY US Equity","IS_STK_BASED_COMP_PER_DIL_SH","FQ4 2018","FQ4 2018","Currency=USD","Period=FQ","BEST_FPERIOD_OVERRIDE=FQ","FILING_STATUS=MR","Sort=A","Dates=H","DateFormat=P","Fill=—","Direction=H","UseDPDF=Y")</f>
        <v>0.27679999999999999</v>
      </c>
      <c r="D14" s="14">
        <f>_xll.BDH("ALNY US Equity","IS_STK_BASED_COMP_PER_DIL_SH","FQ1 2019","FQ1 2019","Currency=USD","Period=FQ","BEST_FPERIOD_OVERRIDE=FQ","FILING_STATUS=MR","Sort=A","Dates=H","DateFormat=P","Fill=—","Direction=H","UseDPDF=Y")</f>
        <v>0.3039</v>
      </c>
      <c r="E14" s="14">
        <f>_xll.BDH("ALNY US Equity","IS_STK_BASED_COMP_PER_DIL_SH","FQ2 2019","FQ2 2019","Currency=USD","Period=FQ","BEST_FPERIOD_OVERRIDE=FQ","FILING_STATUS=MR","Sort=A","Dates=H","DateFormat=P","Fill=—","Direction=H","UseDPDF=Y")</f>
        <v>0.28189999999999998</v>
      </c>
      <c r="F14" s="14">
        <f>_xll.BDH("ALNY US Equity","IS_STK_BASED_COMP_PER_DIL_SH","FQ3 2019","FQ3 2019","Currency=USD","Period=FQ","BEST_FPERIOD_OVERRIDE=FQ","FILING_STATUS=MR","Sort=A","Dates=H","DateFormat=P","Fill=—","Direction=H","UseDPDF=Y")</f>
        <v>0.42330000000000001</v>
      </c>
      <c r="G14" s="14">
        <f>_xll.BDH("ALNY US Equity","IS_STK_BASED_COMP_PER_DIL_SH","FQ4 2019","FQ4 2019","Currency=USD","Period=FQ","BEST_FPERIOD_OVERRIDE=FQ","FILING_STATUS=MR","Sort=A","Dates=H","DateFormat=P","Fill=—","Direction=H","UseDPDF=Y")</f>
        <v>0.59240000000000004</v>
      </c>
      <c r="H14" s="14">
        <f>_xll.BDH("ALNY US Equity","IS_STK_BASED_COMP_PER_DIL_SH","FQ1 2020","FQ1 2020","Currency=USD","Period=FQ","BEST_FPERIOD_OVERRIDE=FQ","FILING_STATUS=MR","Sort=A","Dates=H","DateFormat=P","Fill=—","Direction=H","UseDPDF=Y")</f>
        <v>0.30669999999999997</v>
      </c>
      <c r="I14" s="14">
        <f>_xll.BDH("ALNY US Equity","IS_STK_BASED_COMP_PER_DIL_SH","FQ2 2020","FQ2 2020","Currency=USD","Period=FQ","BEST_FPERIOD_OVERRIDE=FQ","FILING_STATUS=MR","Sort=A","Dates=H","DateFormat=P","Fill=—","Direction=H","UseDPDF=Y")</f>
        <v>0.29370000000000002</v>
      </c>
      <c r="J14" s="14">
        <f>_xll.BDH("ALNY US Equity","IS_STK_BASED_COMP_PER_DIL_SH","FQ3 2020","FQ3 2020","Currency=USD","Period=FQ","BEST_FPERIOD_OVERRIDE=FQ","FILING_STATUS=MR","Sort=A","Dates=H","DateFormat=P","Fill=—","Direction=H","UseDPDF=Y")</f>
        <v>0.32129999999999997</v>
      </c>
      <c r="K14" s="14">
        <f>_xll.BDH("ALNY US Equity","IS_STK_BASED_COMP_PER_DIL_SH","FQ4 2020","FQ4 2020","Currency=USD","Period=FQ","BEST_FPERIOD_OVERRIDE=FQ","FILING_STATUS=MR","Sort=A","Dates=H","DateFormat=P","Fill=—","Direction=H","UseDPDF=Y")</f>
        <v>0.29480000000000001</v>
      </c>
      <c r="L14" s="14">
        <f>_xll.BDH("ALNY US Equity","IS_STK_BASED_COMP_PER_DIL_SH","FQ1 2021","FQ1 2021","Currency=USD","Period=FQ","BEST_FPERIOD_OVERRIDE=FQ","FILING_STATUS=MR","Sort=A","Dates=H","DateFormat=P","Fill=—","Direction=H","UseDPDF=Y")</f>
        <v>0.37580000000000002</v>
      </c>
      <c r="M14" s="14">
        <f>_xll.BDH("ALNY US Equity","IS_STK_BASED_COMP_PER_DIL_SH","FQ2 2021","FQ2 2021","Currency=USD","Period=FQ","BEST_FPERIOD_OVERRIDE=FQ","FILING_STATUS=MR","Sort=A","Dates=H","DateFormat=P","Fill=—","Direction=H","UseDPDF=Y")</f>
        <v>0.27</v>
      </c>
      <c r="N14" s="14">
        <f>_xll.BDH("ALNY US Equity","IS_STK_BASED_COMP_PER_DIL_SH","FQ3 2021","FQ3 2021","Currency=USD","Period=FQ","BEST_FPERIOD_OVERRIDE=FQ","FILING_STATUS=MR","Sort=A","Dates=H","DateFormat=P","Fill=—","Direction=H","UseDPDF=Y")</f>
        <v>0.28000000000000003</v>
      </c>
      <c r="O14" s="14">
        <f>_xll.BDH("ALNY US Equity","IS_STK_BASED_COMP_PER_DIL_SH","FQ4 2021","FQ4 2021","Currency=USD","Period=FQ","BEST_FPERIOD_OVERRIDE=FQ","FILING_STATUS=MR","Sort=A","Dates=H","DateFormat=P","Fill=—","Direction=H","UseDPDF=Y")</f>
        <v>0.29409999999999997</v>
      </c>
      <c r="P14" s="14">
        <f>_xll.BDH("ALNY US Equity","IS_STK_BASED_COMP_PER_DIL_SH","FQ1 2022","FQ1 2022","Currency=USD","Period=FQ","BEST_FPERIOD_OVERRIDE=FQ","FILING_STATUS=MR","Sort=A","Dates=H","DateFormat=P","Fill=—","Direction=H","UseDPDF=Y")</f>
        <v>0.24</v>
      </c>
      <c r="Q14" s="14">
        <f>_xll.BDH("ALNY US Equity","IS_STK_BASED_COMP_PER_DIL_SH","FQ2 2022","FQ2 2022","Currency=USD","Period=FQ","BEST_FPERIOD_OVERRIDE=FQ","FILING_STATUS=MR","Sort=A","Dates=H","DateFormat=P","Fill=—","Direction=H","UseDPDF=Y")</f>
        <v>0.25</v>
      </c>
      <c r="R14" s="14">
        <f>_xll.BDH("ALNY US Equity","IS_STK_BASED_COMP_PER_DIL_SH","FQ3 2022","FQ3 2022","Currency=USD","Period=FQ","BEST_FPERIOD_OVERRIDE=FQ","FILING_STATUS=MR","Sort=A","Dates=H","DateFormat=P","Fill=—","Direction=H","UseDPDF=Y")</f>
        <v>1.0336000000000001</v>
      </c>
      <c r="S14" s="14">
        <f>_xll.BDH("ALNY US Equity","IS_STK_BASED_COMP_PER_DIL_SH","FQ4 2022","FQ4 2022","Currency=USD","Period=FQ","BEST_FPERIOD_OVERRIDE=FQ","FILING_STATUS=MR","Sort=A","Dates=H","DateFormat=P","Fill=—","Direction=H","UseDPDF=Y")</f>
        <v>0.34689999999999999</v>
      </c>
      <c r="T14" s="14">
        <f>_xll.BDH("ALNY US Equity","IS_STK_BASED_COMP_PER_DIL_SH","FQ1 2023","FQ1 2023","Currency=USD","Period=FQ","BEST_FPERIOD_OVERRIDE=FQ","FILING_STATUS=MR","Sort=A","Dates=H","DateFormat=P","Fill=—","Direction=H","UseDPDF=Y")</f>
        <v>0.32</v>
      </c>
      <c r="U14" s="14">
        <f>_xll.BDH("ALNY US Equity","IS_STK_BASED_COMP_PER_DIL_SH","FQ2 2023","FQ2 2023","Currency=USD","Period=FQ","BEST_FPERIOD_OVERRIDE=FQ","FILING_STATUS=MR","Sort=A","Dates=H","DateFormat=P","Fill=—","Direction=H","UseDPDF=Y")</f>
        <v>0.60809999999999997</v>
      </c>
      <c r="V14" s="14">
        <f>_xll.BDH("ALNY US Equity","IS_STK_BASED_COMP_PER_DIL_SH","FQ3 2023","FQ3 2023","Currency=USD","Period=FQ","BEST_FPERIOD_OVERRIDE=FQ","FILING_STATUS=MR","Sort=A","Dates=H","DateFormat=P","Fill=—","Direction=H","UseDPDF=Y")</f>
        <v>0.48680000000000001</v>
      </c>
      <c r="W14" s="14">
        <f>_xll.BDH("ALNY US Equity","IS_STK_BASED_COMP_PER_DIL_SH","FQ4 2023","FQ4 2023","Currency=USD","Period=FQ","BEST_FPERIOD_OVERRIDE=FQ","FILING_STATUS=MR","Sort=A","Dates=H","DateFormat=P","Fill=—","Direction=H","UseDPDF=Y")</f>
        <v>0.33429999999999999</v>
      </c>
      <c r="X14" s="14">
        <f>_xll.BDH("ALNY US Equity","IS_STK_BASED_COMP_PER_DIL_SH","FQ1 2024","FQ1 2024","Currency=USD","Period=FQ","BEST_FPERIOD_OVERRIDE=FQ","FILING_STATUS=MR","Sort=A","Dates=H","DateFormat=P","Fill=—","Direction=H","UseDPDF=Y")</f>
        <v>0.36</v>
      </c>
      <c r="Y14" s="14">
        <f>_xll.BDH("ALNY US Equity","IS_STK_BASED_COMP_PER_DIL_SH","FQ2 2024","FQ2 2024","Currency=USD","Period=FQ","BEST_FPERIOD_OVERRIDE=FQ","FILING_STATUS=MR","Sort=A","Dates=H","DateFormat=P","Fill=—","Direction=H","UseDPDF=Y")</f>
        <v>0.70450000000000002</v>
      </c>
      <c r="Z14" s="14">
        <f>_xll.BDH("ALNY US Equity","IS_STK_BASED_COMP_PER_DIL_SH","FQ3 2024","FQ3 2024","Currency=USD","Period=FQ","BEST_FPERIOD_OVERRIDE=FQ","FILING_STATUS=MR","Sort=A","Dates=H","DateFormat=P","Fill=—","Direction=H","UseDPDF=Y")</f>
        <v>0.35620000000000002</v>
      </c>
      <c r="AA14" s="14">
        <f>_xll.BDH("ALNY US Equity","IS_STK_BASED_COMP_PER_DIL_SH","FQ4 2024","FQ4 2024","Currency=USD","Period=FQ","BEST_FPERIOD_OVERRIDE=FQ","FILING_STATUS=MR","Sort=A","Dates=H","DateFormat=P","Fill=—","Direction=H","UseDPDF=Y")</f>
        <v>0.70979999999999999</v>
      </c>
    </row>
    <row r="15" spans="1:27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0" t="s">
        <v>660</v>
      </c>
      <c r="B16" s="10" t="s">
        <v>661</v>
      </c>
      <c r="C16" s="13">
        <f>_xll.BDH("ALNY US Equity","IS_SBC_INCL_SELLING","FQ4 2018","FQ4 2018","Currency=USD","Period=FQ","BEST_FPERIOD_OVERRIDE=FQ","FILING_STATUS=MR","SCALING_FORMAT=MLN","Sort=A","Dates=H","DateFormat=P","Fill=—","Direction=H","UseDPDF=Y")</f>
        <v>15.000999999999999</v>
      </c>
      <c r="D16" s="13">
        <f>_xll.BDH("ALNY US Equity","IS_SBC_INCL_SELLING","FQ1 2019","FQ1 2019","Currency=USD","Period=FQ","BEST_FPERIOD_OVERRIDE=FQ","FILING_STATUS=MR","SCALING_FORMAT=MLN","Sort=A","Dates=H","DateFormat=P","Fill=—","Direction=H","UseDPDF=Y")</f>
        <v>15.907</v>
      </c>
      <c r="E16" s="13">
        <f>_xll.BDH("ALNY US Equity","IS_SBC_INCL_SELLING","FQ2 2019","FQ2 2019","Currency=USD","Period=FQ","BEST_FPERIOD_OVERRIDE=FQ","FILING_STATUS=MR","SCALING_FORMAT=MLN","Sort=A","Dates=H","DateFormat=P","Fill=—","Direction=H","UseDPDF=Y")</f>
        <v>15.321</v>
      </c>
      <c r="F16" s="13">
        <f>_xll.BDH("ALNY US Equity","IS_SBC_INCL_SELLING","FQ3 2019","FQ3 2019","Currency=USD","Period=FQ","BEST_FPERIOD_OVERRIDE=FQ","FILING_STATUS=MR","SCALING_FORMAT=MLN","Sort=A","Dates=H","DateFormat=P","Fill=—","Direction=H","UseDPDF=Y")</f>
        <v>46.009</v>
      </c>
      <c r="G16" s="13">
        <f>_xll.BDH("ALNY US Equity","IS_SBC_INCL_SELLING","FQ4 2019","FQ4 2019","Currency=USD","Period=FQ","BEST_FPERIOD_OVERRIDE=FQ","FILING_STATUS=MR","SCALING_FORMAT=MLN","Sort=A","Dates=H","DateFormat=P","Fill=—","Direction=H","UseDPDF=Y")</f>
        <v>31.411000000000001</v>
      </c>
      <c r="H16" s="13">
        <f>_xll.BDH("ALNY US Equity","IS_SBC_INCL_SELLING","FQ1 2020","FQ1 2020","Currency=USD","Period=FQ","BEST_FPERIOD_OVERRIDE=FQ","FILING_STATUS=MR","SCALING_FORMAT=MLN","Sort=A","Dates=H","DateFormat=P","Fill=—","Direction=H","UseDPDF=Y")</f>
        <v>18.529</v>
      </c>
      <c r="I16" s="13">
        <f>_xll.BDH("ALNY US Equity","IS_SBC_INCL_SELLING","FQ2 2020","FQ2 2020","Currency=USD","Period=FQ","BEST_FPERIOD_OVERRIDE=FQ","FILING_STATUS=MR","SCALING_FORMAT=MLN","Sort=A","Dates=H","DateFormat=P","Fill=—","Direction=H","UseDPDF=Y")</f>
        <v>17.965</v>
      </c>
      <c r="J16" s="13">
        <f>_xll.BDH("ALNY US Equity","IS_SBC_INCL_SELLING","FQ3 2020","FQ3 2020","Currency=USD","Period=FQ","BEST_FPERIOD_OVERRIDE=FQ","FILING_STATUS=MR","SCALING_FORMAT=MLN","Sort=A","Dates=H","DateFormat=P","Fill=—","Direction=H","UseDPDF=Y")</f>
        <v>23.561</v>
      </c>
      <c r="K16" s="13">
        <f>_xll.BDH("ALNY US Equity","IS_SBC_INCL_SELLING","FQ4 2020","FQ4 2020","Currency=USD","Period=FQ","BEST_FPERIOD_OVERRIDE=FQ","FILING_STATUS=MR","SCALING_FORMAT=MLN","Sort=A","Dates=H","DateFormat=P","Fill=—","Direction=H","UseDPDF=Y")</f>
        <v>19.353999999999999</v>
      </c>
      <c r="L16" s="13">
        <f>_xll.BDH("ALNY US Equity","IS_SBC_INCL_SELLING","FQ1 2021","FQ1 2021","Currency=USD","Period=FQ","BEST_FPERIOD_OVERRIDE=FQ","FILING_STATUS=MR","SCALING_FORMAT=MLN","Sort=A","Dates=H","DateFormat=P","Fill=—","Direction=H","UseDPDF=Y")</f>
        <v>31.315000000000001</v>
      </c>
      <c r="M16" s="13">
        <f>_xll.BDH("ALNY US Equity","IS_SBC_INCL_SELLING","FQ2 2021","FQ2 2021","Currency=USD","Period=FQ","BEST_FPERIOD_OVERRIDE=FQ","FILING_STATUS=MR","SCALING_FORMAT=MLN","Sort=A","Dates=H","DateFormat=P","Fill=—","Direction=H","UseDPDF=Y")</f>
        <v>18.992000000000001</v>
      </c>
      <c r="N16" s="13">
        <f>_xll.BDH("ALNY US Equity","IS_SBC_INCL_SELLING","FQ3 2021","FQ3 2021","Currency=USD","Period=FQ","BEST_FPERIOD_OVERRIDE=FQ","FILING_STATUS=MR","SCALING_FORMAT=MLN","Sort=A","Dates=H","DateFormat=P","Fill=—","Direction=H","UseDPDF=Y")</f>
        <v>20.95</v>
      </c>
      <c r="O16" s="13">
        <f>_xll.BDH("ALNY US Equity","IS_SBC_INCL_SELLING","FQ4 2021","FQ4 2021","Currency=USD","Period=FQ","BEST_FPERIOD_OVERRIDE=FQ","FILING_STATUS=MR","SCALING_FORMAT=MLN","Sort=A","Dates=H","DateFormat=P","Fill=—","Direction=H","UseDPDF=Y")</f>
        <v>26.045000000000002</v>
      </c>
      <c r="P16" s="13">
        <f>_xll.BDH("ALNY US Equity","IS_SBC_INCL_SELLING","FQ1 2022","FQ1 2022","Currency=USD","Period=FQ","BEST_FPERIOD_OVERRIDE=FQ","FILING_STATUS=MR","SCALING_FORMAT=MLN","Sort=A","Dates=H","DateFormat=P","Fill=—","Direction=H","UseDPDF=Y")</f>
        <v>17.675999999999998</v>
      </c>
      <c r="Q16" s="13">
        <f>_xll.BDH("ALNY US Equity","IS_SBC_INCL_SELLING","FQ2 2022","FQ2 2022","Currency=USD","Period=FQ","BEST_FPERIOD_OVERRIDE=FQ","FILING_STATUS=MR","SCALING_FORMAT=MLN","Sort=A","Dates=H","DateFormat=P","Fill=—","Direction=H","UseDPDF=Y")</f>
        <v>19.832999999999998</v>
      </c>
      <c r="R16" s="13">
        <f>_xll.BDH("ALNY US Equity","IS_SBC_INCL_SELLING","FQ3 2022","FQ3 2022","Currency=USD","Period=FQ","BEST_FPERIOD_OVERRIDE=FQ","FILING_STATUS=MR","SCALING_FORMAT=MLN","Sort=A","Dates=H","DateFormat=P","Fill=—","Direction=H","UseDPDF=Y")</f>
        <v>75.156000000000006</v>
      </c>
      <c r="S16" s="13">
        <f>_xll.BDH("ALNY US Equity","IS_SBC_INCL_SELLING","FQ4 2022","FQ4 2022","Currency=USD","Period=FQ","BEST_FPERIOD_OVERRIDE=FQ","FILING_STATUS=MR","SCALING_FORMAT=MLN","Sort=A","Dates=H","DateFormat=P","Fill=—","Direction=H","UseDPDF=Y")</f>
        <v>25.823</v>
      </c>
      <c r="T16" s="13">
        <f>_xll.BDH("ALNY US Equity","IS_SBC_INCL_SELLING","FQ1 2023","FQ1 2023","Currency=USD","Period=FQ","BEST_FPERIOD_OVERRIDE=FQ","FILING_STATUS=MR","SCALING_FORMAT=MLN","Sort=A","Dates=H","DateFormat=P","Fill=—","Direction=H","UseDPDF=Y")</f>
        <v>23.715</v>
      </c>
      <c r="U16" s="13">
        <f>_xll.BDH("ALNY US Equity","IS_SBC_INCL_SELLING","FQ2 2023","FQ2 2023","Currency=USD","Period=FQ","BEST_FPERIOD_OVERRIDE=FQ","FILING_STATUS=MR","SCALING_FORMAT=MLN","Sort=A","Dates=H","DateFormat=P","Fill=—","Direction=H","UseDPDF=Y")</f>
        <v>43.000999999999998</v>
      </c>
      <c r="V16" s="13">
        <f>_xll.BDH("ALNY US Equity","IS_SBC_INCL_SELLING","FQ3 2023","FQ3 2023","Currency=USD","Period=FQ","BEST_FPERIOD_OVERRIDE=FQ","FILING_STATUS=MR","SCALING_FORMAT=MLN","Sort=A","Dates=H","DateFormat=P","Fill=—","Direction=H","UseDPDF=Y")</f>
        <v>34.781999999999996</v>
      </c>
      <c r="W16" s="13">
        <f>_xll.BDH("ALNY US Equity","IS_SBC_INCL_SELLING","FQ4 2023","FQ4 2023","Currency=USD","Period=FQ","BEST_FPERIOD_OVERRIDE=FQ","FILING_STATUS=MR","SCALING_FORMAT=MLN","Sort=A","Dates=H","DateFormat=P","Fill=—","Direction=H","UseDPDF=Y")</f>
        <v>22.908999999999999</v>
      </c>
      <c r="X16" s="13">
        <f>_xll.BDH("ALNY US Equity","IS_SBC_INCL_SELLING","FQ1 2024","FQ1 2024","Currency=USD","Period=FQ","BEST_FPERIOD_OVERRIDE=FQ","FILING_STATUS=MR","SCALING_FORMAT=MLN","Sort=A","Dates=H","DateFormat=P","Fill=—","Direction=H","UseDPDF=Y")</f>
        <v>26.132000000000001</v>
      </c>
      <c r="Y16" s="13">
        <f>_xll.BDH("ALNY US Equity","IS_SBC_INCL_SELLING","FQ2 2024","FQ2 2024","Currency=USD","Period=FQ","BEST_FPERIOD_OVERRIDE=FQ","FILING_STATUS=MR","SCALING_FORMAT=MLN","Sort=A","Dates=H","DateFormat=P","Fill=—","Direction=H","UseDPDF=Y")</f>
        <v>41.173000000000002</v>
      </c>
      <c r="Z16" s="13">
        <f>_xll.BDH("ALNY US Equity","IS_SBC_INCL_SELLING","FQ3 2024","FQ3 2024","Currency=USD","Period=FQ","BEST_FPERIOD_OVERRIDE=FQ","FILING_STATUS=MR","SCALING_FORMAT=MLN","Sort=A","Dates=H","DateFormat=P","Fill=—","Direction=H","UseDPDF=Y")</f>
        <v>26.01</v>
      </c>
      <c r="AA16" s="13">
        <f>_xll.BDH("ALNY US Equity","IS_SBC_INCL_SELLING","FQ4 2024","FQ4 2024","Currency=USD","Period=FQ","BEST_FPERIOD_OVERRIDE=FQ","FILING_STATUS=MR","SCALING_FORMAT=MLN","Sort=A","Dates=H","DateFormat=P","Fill=—","Direction=H","UseDPDF=Y")</f>
        <v>51.02</v>
      </c>
    </row>
    <row r="17" spans="1:27" x14ac:dyDescent="0.25">
      <c r="A17" s="10" t="s">
        <v>662</v>
      </c>
      <c r="B17" s="10" t="s">
        <v>663</v>
      </c>
      <c r="C17" s="13">
        <f>_xll.BDH("ALNY US Equity","IS_SBC_INCL_GEN_ADMIN","FQ4 2018","FQ4 2018","Currency=USD","Period=FQ","BEST_FPERIOD_OVERRIDE=FQ","FILING_STATUS=MR","SCALING_FORMAT=MLN","Sort=A","Dates=H","DateFormat=P","Fill=—","Direction=H","UseDPDF=Y")</f>
        <v>15.000999999999999</v>
      </c>
      <c r="D17" s="13" t="str">
        <f>_xll.BDH("ALNY US Equity","IS_SBC_INCL_GEN_ADMIN","FQ1 2019","FQ1 2019","Currency=USD","Period=FQ","BEST_FPERIOD_OVERRIDE=FQ","FILING_STATUS=MR","SCALING_FORMAT=MLN","Sort=A","Dates=H","DateFormat=P","Fill=—","Direction=H","UseDPDF=Y")</f>
        <v>—</v>
      </c>
      <c r="E17" s="13" t="str">
        <f>_xll.BDH("ALNY US Equity","IS_SBC_INCL_GEN_ADMIN","FQ2 2019","FQ2 2019","Currency=USD","Period=FQ","BEST_FPERIOD_OVERRIDE=FQ","FILING_STATUS=MR","SCALING_FORMAT=MLN","Sort=A","Dates=H","DateFormat=P","Fill=—","Direction=H","UseDPDF=Y")</f>
        <v>—</v>
      </c>
      <c r="F17" s="13" t="str">
        <f>_xll.BDH("ALNY US Equity","IS_SBC_INCL_GEN_ADMIN","FQ3 2019","FQ3 2019","Currency=USD","Period=FQ","BEST_FPERIOD_OVERRIDE=FQ","FILING_STATUS=MR","SCALING_FORMAT=MLN","Sort=A","Dates=H","DateFormat=P","Fill=—","Direction=H","UseDPDF=Y")</f>
        <v>—</v>
      </c>
      <c r="G17" s="13" t="str">
        <f>_xll.BDH("ALNY US Equity","IS_SBC_INCL_GEN_ADMIN","FQ4 2019","FQ4 2019","Currency=USD","Period=FQ","BEST_FPERIOD_OVERRIDE=FQ","FILING_STATUS=MR","SCALING_FORMAT=MLN","Sort=A","Dates=H","DateFormat=P","Fill=—","Direction=H","UseDPDF=Y")</f>
        <v>—</v>
      </c>
      <c r="H17" s="13" t="str">
        <f>_xll.BDH("ALNY US Equity","IS_SBC_INCL_GEN_ADMIN","FQ1 2020","FQ1 2020","Currency=USD","Period=FQ","BEST_FPERIOD_OVERRIDE=FQ","FILING_STATUS=MR","SCALING_FORMAT=MLN","Sort=A","Dates=H","DateFormat=P","Fill=—","Direction=H","UseDPDF=Y")</f>
        <v>—</v>
      </c>
      <c r="I17" s="13" t="str">
        <f>_xll.BDH("ALNY US Equity","IS_SBC_INCL_GEN_ADMIN","FQ2 2020","FQ2 2020","Currency=USD","Period=FQ","BEST_FPERIOD_OVERRIDE=FQ","FILING_STATUS=MR","SCALING_FORMAT=MLN","Sort=A","Dates=H","DateFormat=P","Fill=—","Direction=H","UseDPDF=Y")</f>
        <v>—</v>
      </c>
      <c r="J17" s="13" t="str">
        <f>_xll.BDH("ALNY US Equity","IS_SBC_INCL_GEN_ADMIN","FQ3 2020","FQ3 2020","Currency=USD","Period=FQ","BEST_FPERIOD_OVERRIDE=FQ","FILING_STATUS=MR","SCALING_FORMAT=MLN","Sort=A","Dates=H","DateFormat=P","Fill=—","Direction=H","UseDPDF=Y")</f>
        <v>—</v>
      </c>
      <c r="K17" s="13" t="str">
        <f>_xll.BDH("ALNY US Equity","IS_SBC_INCL_GEN_ADMIN","FQ4 2020","FQ4 2020","Currency=USD","Period=FQ","BEST_FPERIOD_OVERRIDE=FQ","FILING_STATUS=MR","SCALING_FORMAT=MLN","Sort=A","Dates=H","DateFormat=P","Fill=—","Direction=H","UseDPDF=Y")</f>
        <v>—</v>
      </c>
      <c r="L17" s="13" t="str">
        <f>_xll.BDH("ALNY US Equity","IS_SBC_INCL_GEN_ADMIN","FQ1 2021","FQ1 2021","Currency=USD","Period=FQ","BEST_FPERIOD_OVERRIDE=FQ","FILING_STATUS=MR","SCALING_FORMAT=MLN","Sort=A","Dates=H","DateFormat=P","Fill=—","Direction=H","UseDPDF=Y")</f>
        <v>—</v>
      </c>
      <c r="M17" s="13" t="str">
        <f>_xll.BDH("ALNY US Equity","IS_SBC_INCL_GEN_ADMIN","FQ2 2021","FQ2 2021","Currency=USD","Period=FQ","BEST_FPERIOD_OVERRIDE=FQ","FILING_STATUS=MR","SCALING_FORMAT=MLN","Sort=A","Dates=H","DateFormat=P","Fill=—","Direction=H","UseDPDF=Y")</f>
        <v>—</v>
      </c>
      <c r="N17" s="13" t="str">
        <f>_xll.BDH("ALNY US Equity","IS_SBC_INCL_GEN_ADMIN","FQ3 2021","FQ3 2021","Currency=USD","Period=FQ","BEST_FPERIOD_OVERRIDE=FQ","FILING_STATUS=MR","SCALING_FORMAT=MLN","Sort=A","Dates=H","DateFormat=P","Fill=—","Direction=H","UseDPDF=Y")</f>
        <v>—</v>
      </c>
      <c r="O17" s="13" t="str">
        <f>_xll.BDH("ALNY US Equity","IS_SBC_INCL_GEN_ADMIN","FQ4 2021","FQ4 2021","Currency=USD","Period=FQ","BEST_FPERIOD_OVERRIDE=FQ","FILING_STATUS=MR","SCALING_FORMAT=MLN","Sort=A","Dates=H","DateFormat=P","Fill=—","Direction=H","UseDPDF=Y")</f>
        <v>—</v>
      </c>
      <c r="P17" s="13" t="str">
        <f>_xll.BDH("ALNY US Equity","IS_SBC_INCL_GEN_ADMIN","FQ1 2022","FQ1 2022","Currency=USD","Period=FQ","BEST_FPERIOD_OVERRIDE=FQ","FILING_STATUS=MR","SCALING_FORMAT=MLN","Sort=A","Dates=H","DateFormat=P","Fill=—","Direction=H","UseDPDF=Y")</f>
        <v>—</v>
      </c>
      <c r="Q17" s="13" t="str">
        <f>_xll.BDH("ALNY US Equity","IS_SBC_INCL_GEN_ADMIN","FQ2 2022","FQ2 2022","Currency=USD","Period=FQ","BEST_FPERIOD_OVERRIDE=FQ","FILING_STATUS=MR","SCALING_FORMAT=MLN","Sort=A","Dates=H","DateFormat=P","Fill=—","Direction=H","UseDPDF=Y")</f>
        <v>—</v>
      </c>
      <c r="R17" s="13" t="str">
        <f>_xll.BDH("ALNY US Equity","IS_SBC_INCL_GEN_ADMIN","FQ3 2022","FQ3 2022","Currency=USD","Period=FQ","BEST_FPERIOD_OVERRIDE=FQ","FILING_STATUS=MR","SCALING_FORMAT=MLN","Sort=A","Dates=H","DateFormat=P","Fill=—","Direction=H","UseDPDF=Y")</f>
        <v>—</v>
      </c>
      <c r="S17" s="13" t="str">
        <f>_xll.BDH("ALNY US Equity","IS_SBC_INCL_GEN_ADMIN","FQ4 2022","FQ4 2022","Currency=USD","Period=FQ","BEST_FPERIOD_OVERRIDE=FQ","FILING_STATUS=MR","SCALING_FORMAT=MLN","Sort=A","Dates=H","DateFormat=P","Fill=—","Direction=H","UseDPDF=Y")</f>
        <v>—</v>
      </c>
      <c r="T17" s="13" t="str">
        <f>_xll.BDH("ALNY US Equity","IS_SBC_INCL_GEN_ADMIN","FQ1 2023","FQ1 2023","Currency=USD","Period=FQ","BEST_FPERIOD_OVERRIDE=FQ","FILING_STATUS=MR","SCALING_FORMAT=MLN","Sort=A","Dates=H","DateFormat=P","Fill=—","Direction=H","UseDPDF=Y")</f>
        <v>—</v>
      </c>
      <c r="U17" s="13" t="str">
        <f>_xll.BDH("ALNY US Equity","IS_SBC_INCL_GEN_ADMIN","FQ2 2023","FQ2 2023","Currency=USD","Period=FQ","BEST_FPERIOD_OVERRIDE=FQ","FILING_STATUS=MR","SCALING_FORMAT=MLN","Sort=A","Dates=H","DateFormat=P","Fill=—","Direction=H","UseDPDF=Y")</f>
        <v>—</v>
      </c>
      <c r="V17" s="13" t="str">
        <f>_xll.BDH("ALNY US Equity","IS_SBC_INCL_GEN_ADMIN","FQ3 2023","FQ3 2023","Currency=USD","Period=FQ","BEST_FPERIOD_OVERRIDE=FQ","FILING_STATUS=MR","SCALING_FORMAT=MLN","Sort=A","Dates=H","DateFormat=P","Fill=—","Direction=H","UseDPDF=Y")</f>
        <v>—</v>
      </c>
      <c r="W17" s="13" t="str">
        <f>_xll.BDH("ALNY US Equity","IS_SBC_INCL_GEN_ADMIN","FQ4 2023","FQ4 2023","Currency=USD","Period=FQ","BEST_FPERIOD_OVERRIDE=FQ","FILING_STATUS=MR","SCALING_FORMAT=MLN","Sort=A","Dates=H","DateFormat=P","Fill=—","Direction=H","UseDPDF=Y")</f>
        <v>—</v>
      </c>
      <c r="X17" s="13" t="str">
        <f>_xll.BDH("ALNY US Equity","IS_SBC_INCL_GEN_ADMIN","FQ1 2024","FQ1 2024","Currency=USD","Period=FQ","BEST_FPERIOD_OVERRIDE=FQ","FILING_STATUS=MR","SCALING_FORMAT=MLN","Sort=A","Dates=H","DateFormat=P","Fill=—","Direction=H","UseDPDF=Y")</f>
        <v>—</v>
      </c>
      <c r="Y17" s="13" t="str">
        <f>_xll.BDH("ALNY US Equity","IS_SBC_INCL_GEN_ADMIN","FQ2 2024","FQ2 2024","Currency=USD","Period=FQ","BEST_FPERIOD_OVERRIDE=FQ","FILING_STATUS=MR","SCALING_FORMAT=MLN","Sort=A","Dates=H","DateFormat=P","Fill=—","Direction=H","UseDPDF=Y")</f>
        <v>—</v>
      </c>
      <c r="Z17" s="13" t="str">
        <f>_xll.BDH("ALNY US Equity","IS_SBC_INCL_GEN_ADMIN","FQ3 2024","FQ3 2024","Currency=USD","Period=FQ","BEST_FPERIOD_OVERRIDE=FQ","FILING_STATUS=MR","SCALING_FORMAT=MLN","Sort=A","Dates=H","DateFormat=P","Fill=—","Direction=H","UseDPDF=Y")</f>
        <v>—</v>
      </c>
      <c r="AA17" s="13" t="str">
        <f>_xll.BDH("ALNY US Equity","IS_SBC_INCL_GEN_ADMIN","FQ4 2024","FQ4 2024","Currency=USD","Period=FQ","BEST_FPERIOD_OVERRIDE=FQ","FILING_STATUS=MR","SCALING_FORMAT=MLN","Sort=A","Dates=H","DateFormat=P","Fill=—","Direction=H","UseDPDF=Y")</f>
        <v>—</v>
      </c>
    </row>
    <row r="18" spans="1:27" x14ac:dyDescent="0.25">
      <c r="A18" s="10" t="s">
        <v>664</v>
      </c>
      <c r="B18" s="10" t="s">
        <v>665</v>
      </c>
      <c r="C18" s="13">
        <f>_xll.BDH("ALNY US Equity","IS_SBC_INCL_RD","FQ4 2018","FQ4 2018","Currency=USD","Period=FQ","BEST_FPERIOD_OVERRIDE=FQ","FILING_STATUS=MR","SCALING_FORMAT=MLN","Sort=A","Dates=H","DateFormat=P","Fill=—","Direction=H","UseDPDF=Y")</f>
        <v>12.972</v>
      </c>
      <c r="D18" s="13">
        <f>_xll.BDH("ALNY US Equity","IS_SBC_INCL_RD","FQ1 2019","FQ1 2019","Currency=USD","Period=FQ","BEST_FPERIOD_OVERRIDE=FQ","FILING_STATUS=MR","SCALING_FORMAT=MLN","Sort=A","Dates=H","DateFormat=P","Fill=—","Direction=H","UseDPDF=Y")</f>
        <v>16.125</v>
      </c>
      <c r="E18" s="13">
        <f>_xll.BDH("ALNY US Equity","IS_SBC_INCL_RD","FQ2 2019","FQ2 2019","Currency=USD","Period=FQ","BEST_FPERIOD_OVERRIDE=FQ","FILING_STATUS=MR","SCALING_FORMAT=MLN","Sort=A","Dates=H","DateFormat=P","Fill=—","Direction=H","UseDPDF=Y")</f>
        <v>15.282</v>
      </c>
      <c r="F18" s="13">
        <f>_xll.BDH("ALNY US Equity","IS_SBC_INCL_RD","FQ3 2019","FQ3 2019","Currency=USD","Period=FQ","BEST_FPERIOD_OVERRIDE=FQ","FILING_STATUS=MR","SCALING_FORMAT=MLN","Sort=A","Dates=H","DateFormat=P","Fill=—","Direction=H","UseDPDF=Y")</f>
        <v>22.736999999999998</v>
      </c>
      <c r="G18" s="13">
        <f>_xll.BDH("ALNY US Equity","IS_SBC_INCL_RD","FQ4 2019","FQ4 2019","Currency=USD","Period=FQ","BEST_FPERIOD_OVERRIDE=FQ","FILING_STATUS=MR","SCALING_FORMAT=MLN","Sort=A","Dates=H","DateFormat=P","Fill=—","Direction=H","UseDPDF=Y")</f>
        <v>34.786000000000001</v>
      </c>
      <c r="H18" s="13">
        <f>_xll.BDH("ALNY US Equity","IS_SBC_INCL_RD","FQ1 2020","FQ1 2020","Currency=USD","Period=FQ","BEST_FPERIOD_OVERRIDE=FQ","FILING_STATUS=MR","SCALING_FORMAT=MLN","Sort=A","Dates=H","DateFormat=P","Fill=—","Direction=H","UseDPDF=Y")</f>
        <v>16.048999999999999</v>
      </c>
      <c r="I18" s="13">
        <f>_xll.BDH("ALNY US Equity","IS_SBC_INCL_RD","FQ2 2020","FQ2 2020","Currency=USD","Period=FQ","BEST_FPERIOD_OVERRIDE=FQ","FILING_STATUS=MR","SCALING_FORMAT=MLN","Sort=A","Dates=H","DateFormat=P","Fill=—","Direction=H","UseDPDF=Y")</f>
        <v>15.79</v>
      </c>
      <c r="J18" s="13">
        <f>_xll.BDH("ALNY US Equity","IS_SBC_INCL_RD","FQ3 2020","FQ3 2020","Currency=USD","Period=FQ","BEST_FPERIOD_OVERRIDE=FQ","FILING_STATUS=MR","SCALING_FORMAT=MLN","Sort=A","Dates=H","DateFormat=P","Fill=—","Direction=H","UseDPDF=Y")</f>
        <v>13.702999999999999</v>
      </c>
      <c r="K18" s="13">
        <f>_xll.BDH("ALNY US Equity","IS_SBC_INCL_RD","FQ4 2020","FQ4 2020","Currency=USD","Period=FQ","BEST_FPERIOD_OVERRIDE=FQ","FILING_STATUS=MR","SCALING_FORMAT=MLN","Sort=A","Dates=H","DateFormat=P","Fill=—","Direction=H","UseDPDF=Y")</f>
        <v>14.922000000000001</v>
      </c>
      <c r="L18" s="13">
        <f>_xll.BDH("ALNY US Equity","IS_SBC_INCL_RD","FQ1 2021","FQ1 2021","Currency=USD","Period=FQ","BEST_FPERIOD_OVERRIDE=FQ","FILING_STATUS=MR","SCALING_FORMAT=MLN","Sort=A","Dates=H","DateFormat=P","Fill=—","Direction=H","UseDPDF=Y")</f>
        <v>24.375</v>
      </c>
      <c r="M18" s="13">
        <f>_xll.BDH("ALNY US Equity","IS_SBC_INCL_RD","FQ2 2021","FQ2 2021","Currency=USD","Period=FQ","BEST_FPERIOD_OVERRIDE=FQ","FILING_STATUS=MR","SCALING_FORMAT=MLN","Sort=A","Dates=H","DateFormat=P","Fill=—","Direction=H","UseDPDF=Y")</f>
        <v>13.086</v>
      </c>
      <c r="N18" s="13">
        <f>_xll.BDH("ALNY US Equity","IS_SBC_INCL_RD","FQ3 2021","FQ3 2021","Currency=USD","Period=FQ","BEST_FPERIOD_OVERRIDE=FQ","FILING_STATUS=MR","SCALING_FORMAT=MLN","Sort=A","Dates=H","DateFormat=P","Fill=—","Direction=H","UseDPDF=Y")</f>
        <v>12.417</v>
      </c>
      <c r="O18" s="13">
        <f>_xll.BDH("ALNY US Equity","IS_SBC_INCL_RD","FQ4 2021","FQ4 2021","Currency=USD","Period=FQ","BEST_FPERIOD_OVERRIDE=FQ","FILING_STATUS=MR","SCALING_FORMAT=MLN","Sort=A","Dates=H","DateFormat=P","Fill=—","Direction=H","UseDPDF=Y")</f>
        <v>18.536999999999999</v>
      </c>
      <c r="P18" s="13">
        <f>_xll.BDH("ALNY US Equity","IS_SBC_INCL_RD","FQ1 2022","FQ1 2022","Currency=USD","Period=FQ","BEST_FPERIOD_OVERRIDE=FQ","FILING_STATUS=MR","SCALING_FORMAT=MLN","Sort=A","Dates=H","DateFormat=P","Fill=—","Direction=H","UseDPDF=Y")</f>
        <v>11.617000000000001</v>
      </c>
      <c r="Q18" s="13">
        <f>_xll.BDH("ALNY US Equity","IS_SBC_INCL_RD","FQ2 2022","FQ2 2022","Currency=USD","Period=FQ","BEST_FPERIOD_OVERRIDE=FQ","FILING_STATUS=MR","SCALING_FORMAT=MLN","Sort=A","Dates=H","DateFormat=P","Fill=—","Direction=H","UseDPDF=Y")</f>
        <v>10.638</v>
      </c>
      <c r="R18" s="13">
        <f>_xll.BDH("ALNY US Equity","IS_SBC_INCL_RD","FQ3 2022","FQ3 2022","Currency=USD","Period=FQ","BEST_FPERIOD_OVERRIDE=FQ","FILING_STATUS=MR","SCALING_FORMAT=MLN","Sort=A","Dates=H","DateFormat=P","Fill=—","Direction=H","UseDPDF=Y")</f>
        <v>52.962000000000003</v>
      </c>
      <c r="S18" s="13">
        <f>_xll.BDH("ALNY US Equity","IS_SBC_INCL_RD","FQ4 2022","FQ4 2022","Currency=USD","Period=FQ","BEST_FPERIOD_OVERRIDE=FQ","FILING_STATUS=MR","SCALING_FORMAT=MLN","Sort=A","Dates=H","DateFormat=P","Fill=—","Direction=H","UseDPDF=Y")</f>
        <v>16.943999999999999</v>
      </c>
      <c r="T18" s="13">
        <f>_xll.BDH("ALNY US Equity","IS_SBC_INCL_RD","FQ1 2023","FQ1 2023","Currency=USD","Period=FQ","BEST_FPERIOD_OVERRIDE=FQ","FILING_STATUS=MR","SCALING_FORMAT=MLN","Sort=A","Dates=H","DateFormat=P","Fill=—","Direction=H","UseDPDF=Y")</f>
        <v>16.231999999999999</v>
      </c>
      <c r="U18" s="13">
        <f>_xll.BDH("ALNY US Equity","IS_SBC_INCL_RD","FQ2 2023","FQ2 2023","Currency=USD","Period=FQ","BEST_FPERIOD_OVERRIDE=FQ","FILING_STATUS=MR","SCALING_FORMAT=MLN","Sort=A","Dates=H","DateFormat=P","Fill=—","Direction=H","UseDPDF=Y")</f>
        <v>32.801000000000002</v>
      </c>
      <c r="V18" s="13">
        <f>_xll.BDH("ALNY US Equity","IS_SBC_INCL_RD","FQ3 2023","FQ3 2023","Currency=USD","Period=FQ","BEST_FPERIOD_OVERRIDE=FQ","FILING_STATUS=MR","SCALING_FORMAT=MLN","Sort=A","Dates=H","DateFormat=P","Fill=—","Direction=H","UseDPDF=Y")</f>
        <v>29.155000000000001</v>
      </c>
      <c r="W18" s="13">
        <f>_xll.BDH("ALNY US Equity","IS_SBC_INCL_RD","FQ4 2023","FQ4 2023","Currency=USD","Period=FQ","BEST_FPERIOD_OVERRIDE=FQ","FILING_STATUS=MR","SCALING_FORMAT=MLN","Sort=A","Dates=H","DateFormat=P","Fill=—","Direction=H","UseDPDF=Y")</f>
        <v>19.085000000000001</v>
      </c>
      <c r="X18" s="13">
        <f>_xll.BDH("ALNY US Equity","IS_SBC_INCL_RD","FQ1 2024","FQ1 2024","Currency=USD","Period=FQ","BEST_FPERIOD_OVERRIDE=FQ","FILING_STATUS=MR","SCALING_FORMAT=MLN","Sort=A","Dates=H","DateFormat=P","Fill=—","Direction=H","UseDPDF=Y")</f>
        <v>19.215</v>
      </c>
      <c r="Y18" s="13">
        <f>_xll.BDH("ALNY US Equity","IS_SBC_INCL_RD","FQ2 2024","FQ2 2024","Currency=USD","Period=FQ","BEST_FPERIOD_OVERRIDE=FQ","FILING_STATUS=MR","SCALING_FORMAT=MLN","Sort=A","Dates=H","DateFormat=P","Fill=—","Direction=H","UseDPDF=Y")</f>
        <v>48.115000000000002</v>
      </c>
      <c r="Z18" s="13">
        <f>_xll.BDH("ALNY US Equity","IS_SBC_INCL_RD","FQ3 2024","FQ3 2024","Currency=USD","Period=FQ","BEST_FPERIOD_OVERRIDE=FQ","FILING_STATUS=MR","SCALING_FORMAT=MLN","Sort=A","Dates=H","DateFormat=P","Fill=—","Direction=H","UseDPDF=Y")</f>
        <v>19.794</v>
      </c>
      <c r="AA18" s="13">
        <f>_xll.BDH("ALNY US Equity","IS_SBC_INCL_RD","FQ4 2024","FQ4 2024","Currency=USD","Period=FQ","BEST_FPERIOD_OVERRIDE=FQ","FILING_STATUS=MR","SCALING_FORMAT=MLN","Sort=A","Dates=H","DateFormat=P","Fill=—","Direction=H","UseDPDF=Y")</f>
        <v>40.625</v>
      </c>
    </row>
    <row r="19" spans="1:27" x14ac:dyDescent="0.25">
      <c r="A19" s="10" t="s">
        <v>666</v>
      </c>
      <c r="B19" s="10" t="s">
        <v>667</v>
      </c>
      <c r="C19" s="13" t="str">
        <f>_xll.BDH("ALNY US Equity","IS_SBC_ATTRIBUTABLE_TO_OTH_PRETX","FQ4 2018","FQ4 2018","Currency=USD","Period=FQ","BEST_FPERIOD_OVERRIDE=FQ","FILING_STATUS=MR","SCALING_FORMAT=MLN","Sort=A","Dates=H","DateFormat=P","Fill=—","Direction=H","UseDPDF=Y")</f>
        <v>—</v>
      </c>
      <c r="D19" s="13" t="str">
        <f>_xll.BDH("ALNY US Equity","IS_SBC_ATTRIBUTABLE_TO_OTH_PRETX","FQ1 2019","FQ1 2019","Currency=USD","Period=FQ","BEST_FPERIOD_OVERRIDE=FQ","FILING_STATUS=MR","SCALING_FORMAT=MLN","Sort=A","Dates=H","DateFormat=P","Fill=—","Direction=H","UseDPDF=Y")</f>
        <v>—</v>
      </c>
      <c r="E19" s="13" t="str">
        <f>_xll.BDH("ALNY US Equity","IS_SBC_ATTRIBUTABLE_TO_OTH_PRETX","FQ2 2019","FQ2 2019","Currency=USD","Period=FQ","BEST_FPERIOD_OVERRIDE=FQ","FILING_STATUS=MR","SCALING_FORMAT=MLN","Sort=A","Dates=H","DateFormat=P","Fill=—","Direction=H","UseDPDF=Y")</f>
        <v>—</v>
      </c>
      <c r="F19" s="13" t="str">
        <f>_xll.BDH("ALNY US Equity","IS_SBC_ATTRIBUTABLE_TO_OTH_PRETX","FQ3 2019","FQ3 2019","Currency=USD","Period=FQ","BEST_FPERIOD_OVERRIDE=FQ","FILING_STATUS=MR","SCALING_FORMAT=MLN","Sort=A","Dates=H","DateFormat=P","Fill=—","Direction=H","UseDPDF=Y")</f>
        <v>—</v>
      </c>
      <c r="G19" s="13" t="str">
        <f>_xll.BDH("ALNY US Equity","IS_SBC_ATTRIBUTABLE_TO_OTH_PRETX","FQ4 2019","FQ4 2019","Currency=USD","Period=FQ","BEST_FPERIOD_OVERRIDE=FQ","FILING_STATUS=MR","SCALING_FORMAT=MLN","Sort=A","Dates=H","DateFormat=P","Fill=—","Direction=H","UseDPDF=Y")</f>
        <v>—</v>
      </c>
      <c r="H19" s="13" t="str">
        <f>_xll.BDH("ALNY US Equity","IS_SBC_ATTRIBUTABLE_TO_OTH_PRETX","FQ1 2020","FQ1 2020","Currency=USD","Period=FQ","BEST_FPERIOD_OVERRIDE=FQ","FILING_STATUS=MR","SCALING_FORMAT=MLN","Sort=A","Dates=H","DateFormat=P","Fill=—","Direction=H","UseDPDF=Y")</f>
        <v>—</v>
      </c>
      <c r="I19" s="13" t="str">
        <f>_xll.BDH("ALNY US Equity","IS_SBC_ATTRIBUTABLE_TO_OTH_PRETX","FQ2 2020","FQ2 2020","Currency=USD","Period=FQ","BEST_FPERIOD_OVERRIDE=FQ","FILING_STATUS=MR","SCALING_FORMAT=MLN","Sort=A","Dates=H","DateFormat=P","Fill=—","Direction=H","UseDPDF=Y")</f>
        <v>—</v>
      </c>
      <c r="J19" s="13" t="str">
        <f>_xll.BDH("ALNY US Equity","IS_SBC_ATTRIBUTABLE_TO_OTH_PRETX","FQ3 2020","FQ3 2020","Currency=USD","Period=FQ","BEST_FPERIOD_OVERRIDE=FQ","FILING_STATUS=MR","SCALING_FORMAT=MLN","Sort=A","Dates=H","DateFormat=P","Fill=—","Direction=H","UseDPDF=Y")</f>
        <v>—</v>
      </c>
      <c r="K19" s="13" t="str">
        <f>_xll.BDH("ALNY US Equity","IS_SBC_ATTRIBUTABLE_TO_OTH_PRETX","FQ4 2020","FQ4 2020","Currency=USD","Period=FQ","BEST_FPERIOD_OVERRIDE=FQ","FILING_STATUS=MR","SCALING_FORMAT=MLN","Sort=A","Dates=H","DateFormat=P","Fill=—","Direction=H","UseDPDF=Y")</f>
        <v>—</v>
      </c>
      <c r="L19" s="13" t="str">
        <f>_xll.BDH("ALNY US Equity","IS_SBC_ATTRIBUTABLE_TO_OTH_PRETX","FQ1 2021","FQ1 2021","Currency=USD","Period=FQ","BEST_FPERIOD_OVERRIDE=FQ","FILING_STATUS=MR","SCALING_FORMAT=MLN","Sort=A","Dates=H","DateFormat=P","Fill=—","Direction=H","UseDPDF=Y")</f>
        <v>—</v>
      </c>
      <c r="M19" s="13" t="str">
        <f>_xll.BDH("ALNY US Equity","IS_SBC_ATTRIBUTABLE_TO_OTH_PRETX","FQ2 2021","FQ2 2021","Currency=USD","Period=FQ","BEST_FPERIOD_OVERRIDE=FQ","FILING_STATUS=MR","SCALING_FORMAT=MLN","Sort=A","Dates=H","DateFormat=P","Fill=—","Direction=H","UseDPDF=Y")</f>
        <v>—</v>
      </c>
      <c r="N19" s="13" t="str">
        <f>_xll.BDH("ALNY US Equity","IS_SBC_ATTRIBUTABLE_TO_OTH_PRETX","FQ3 2021","FQ3 2021","Currency=USD","Period=FQ","BEST_FPERIOD_OVERRIDE=FQ","FILING_STATUS=MR","SCALING_FORMAT=MLN","Sort=A","Dates=H","DateFormat=P","Fill=—","Direction=H","UseDPDF=Y")</f>
        <v>—</v>
      </c>
      <c r="O19" s="13" t="str">
        <f>_xll.BDH("ALNY US Equity","IS_SBC_ATTRIBUTABLE_TO_OTH_PRETX","FQ4 2021","FQ4 2021","Currency=USD","Period=FQ","BEST_FPERIOD_OVERRIDE=FQ","FILING_STATUS=MR","SCALING_FORMAT=MLN","Sort=A","Dates=H","DateFormat=P","Fill=—","Direction=H","UseDPDF=Y")</f>
        <v>—</v>
      </c>
      <c r="P19" s="13" t="str">
        <f>_xll.BDH("ALNY US Equity","IS_SBC_ATTRIBUTABLE_TO_OTH_PRETX","FQ1 2022","FQ1 2022","Currency=USD","Period=FQ","BEST_FPERIOD_OVERRIDE=FQ","FILING_STATUS=MR","SCALING_FORMAT=MLN","Sort=A","Dates=H","DateFormat=P","Fill=—","Direction=H","UseDPDF=Y")</f>
        <v>—</v>
      </c>
      <c r="Q19" s="13" t="str">
        <f>_xll.BDH("ALNY US Equity","IS_SBC_ATTRIBUTABLE_TO_OTH_PRETX","FQ2 2022","FQ2 2022","Currency=USD","Period=FQ","BEST_FPERIOD_OVERRIDE=FQ","FILING_STATUS=MR","SCALING_FORMAT=MLN","Sort=A","Dates=H","DateFormat=P","Fill=—","Direction=H","UseDPDF=Y")</f>
        <v>—</v>
      </c>
      <c r="R19" s="13" t="str">
        <f>_xll.BDH("ALNY US Equity","IS_SBC_ATTRIBUTABLE_TO_OTH_PRETX","FQ3 2022","FQ3 2022","Currency=USD","Period=FQ","BEST_FPERIOD_OVERRIDE=FQ","FILING_STATUS=MR","SCALING_FORMAT=MLN","Sort=A","Dates=H","DateFormat=P","Fill=—","Direction=H","UseDPDF=Y")</f>
        <v>—</v>
      </c>
      <c r="S19" s="13" t="str">
        <f>_xll.BDH("ALNY US Equity","IS_SBC_ATTRIBUTABLE_TO_OTH_PRETX","FQ4 2022","FQ4 2022","Currency=USD","Period=FQ","BEST_FPERIOD_OVERRIDE=FQ","FILING_STATUS=MR","SCALING_FORMAT=MLN","Sort=A","Dates=H","DateFormat=P","Fill=—","Direction=H","UseDPDF=Y")</f>
        <v>—</v>
      </c>
      <c r="T19" s="13" t="str">
        <f>_xll.BDH("ALNY US Equity","IS_SBC_ATTRIBUTABLE_TO_OTH_PRETX","FQ1 2023","FQ1 2023","Currency=USD","Period=FQ","BEST_FPERIOD_OVERRIDE=FQ","FILING_STATUS=MR","SCALING_FORMAT=MLN","Sort=A","Dates=H","DateFormat=P","Fill=—","Direction=H","UseDPDF=Y")</f>
        <v>—</v>
      </c>
      <c r="U19" s="13" t="str">
        <f>_xll.BDH("ALNY US Equity","IS_SBC_ATTRIBUTABLE_TO_OTH_PRETX","FQ2 2023","FQ2 2023","Currency=USD","Period=FQ","BEST_FPERIOD_OVERRIDE=FQ","FILING_STATUS=MR","SCALING_FORMAT=MLN","Sort=A","Dates=H","DateFormat=P","Fill=—","Direction=H","UseDPDF=Y")</f>
        <v>—</v>
      </c>
      <c r="V19" s="13" t="str">
        <f>_xll.BDH("ALNY US Equity","IS_SBC_ATTRIBUTABLE_TO_OTH_PRETX","FQ3 2023","FQ3 2023","Currency=USD","Period=FQ","BEST_FPERIOD_OVERRIDE=FQ","FILING_STATUS=MR","SCALING_FORMAT=MLN","Sort=A","Dates=H","DateFormat=P","Fill=—","Direction=H","UseDPDF=Y")</f>
        <v>—</v>
      </c>
      <c r="W19" s="13" t="str">
        <f>_xll.BDH("ALNY US Equity","IS_SBC_ATTRIBUTABLE_TO_OTH_PRETX","FQ4 2023","FQ4 2023","Currency=USD","Period=FQ","BEST_FPERIOD_OVERRIDE=FQ","FILING_STATUS=MR","SCALING_FORMAT=MLN","Sort=A","Dates=H","DateFormat=P","Fill=—","Direction=H","UseDPDF=Y")</f>
        <v>—</v>
      </c>
      <c r="X19" s="13">
        <f>_xll.BDH("ALNY US Equity","IS_SBC_ATTRIBUTABLE_TO_OTH_PRETX","FQ1 2024","FQ1 2024","Currency=USD","Period=FQ","BEST_FPERIOD_OVERRIDE=FQ","FILING_STATUS=MR","SCALING_FORMAT=MLN","Sort=A","Dates=H","DateFormat=P","Fill=—","Direction=H","UseDPDF=Y")</f>
        <v>0.80800000000000005</v>
      </c>
      <c r="Y19" s="13" t="str">
        <f>_xll.BDH("ALNY US Equity","IS_SBC_ATTRIBUTABLE_TO_OTH_PRETX","FQ2 2024","FQ2 2024","Currency=USD","Period=FQ","BEST_FPERIOD_OVERRIDE=FQ","FILING_STATUS=MR","SCALING_FORMAT=MLN","Sort=A","Dates=H","DateFormat=P","Fill=—","Direction=H","UseDPDF=Y")</f>
        <v>—</v>
      </c>
      <c r="Z19" s="13" t="str">
        <f>_xll.BDH("ALNY US Equity","IS_SBC_ATTRIBUTABLE_TO_OTH_PRETX","FQ3 2024","FQ3 2024","Currency=USD","Period=FQ","BEST_FPERIOD_OVERRIDE=FQ","FILING_STATUS=MR","SCALING_FORMAT=MLN","Sort=A","Dates=H","DateFormat=P","Fill=—","Direction=H","UseDPDF=Y")</f>
        <v>—</v>
      </c>
      <c r="AA19" s="13" t="str">
        <f>_xll.BDH("ALNY US Equity","IS_SBC_ATTRIBUTABLE_TO_OTH_PRETX","FQ4 2024","FQ4 2024","Currency=USD","Period=FQ","BEST_FPERIOD_OVERRIDE=FQ","FILING_STATUS=MR","SCALING_FORMAT=MLN","Sort=A","Dates=H","DateFormat=P","Fill=—","Direction=H","UseDPDF=Y")</f>
        <v>—</v>
      </c>
    </row>
    <row r="20" spans="1:27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10" t="s">
        <v>668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0" t="s">
        <v>669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7" t="s">
        <v>90</v>
      </c>
      <c r="B25" s="7"/>
      <c r="C25" s="7" t="s">
        <v>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2"/>
  <sheetViews>
    <sheetView topLeftCell="F42"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670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0</v>
      </c>
      <c r="B6" s="6" t="s">
        <v>71</v>
      </c>
      <c r="C6" s="19">
        <f>_xll.BDH("ALNY US Equity","SALES_REV_TURN","FQ2 2019","FQ2 2019","Currency=USD","Period=FQ","BEST_FPERIOD_OVERRIDE=FQ","FILING_STATUS=MR","SCALING_FORMAT=MLN","FA_ADJUSTED=Adjusted","Sort=A","Dates=H","DateFormat=P","Fill=—","Direction=H","UseDPDF=Y")</f>
        <v>44.713999999999999</v>
      </c>
      <c r="D6" s="19">
        <f>_xll.BDH("ALNY US Equity","SALES_REV_TURN","FQ3 2019","FQ3 2019","Currency=USD","Period=FQ","BEST_FPERIOD_OVERRIDE=FQ","FILING_STATUS=MR","SCALING_FORMAT=MLN","FA_ADJUSTED=Adjusted","Sort=A","Dates=H","DateFormat=P","Fill=—","Direction=H","UseDPDF=Y")</f>
        <v>70.061000000000007</v>
      </c>
      <c r="E6" s="19">
        <f>_xll.BDH("ALNY US Equity","SALES_REV_TURN","FQ4 2019","FQ4 2019","Currency=USD","Period=FQ","BEST_FPERIOD_OVERRIDE=FQ","FILING_STATUS=MR","SCALING_FORMAT=MLN","FA_ADJUSTED=Adjusted","Sort=A","Dates=H","DateFormat=P","Fill=—","Direction=H","UseDPDF=Y")</f>
        <v>71.680999999999997</v>
      </c>
      <c r="F6" s="19">
        <f>_xll.BDH("ALNY US Equity","SALES_REV_TURN","FQ1 2020","FQ1 2020","Currency=USD","Period=FQ","BEST_FPERIOD_OVERRIDE=FQ","FILING_STATUS=MR","SCALING_FORMAT=MLN","FA_ADJUSTED=Adjusted","Sort=A","Dates=H","DateFormat=P","Fill=—","Direction=H","UseDPDF=Y")</f>
        <v>99.475999999999999</v>
      </c>
      <c r="G6" s="19">
        <f>_xll.BDH("ALNY US Equity","SALES_REV_TURN","FQ2 2020","FQ2 2020","Currency=USD","Period=FQ","BEST_FPERIOD_OVERRIDE=FQ","FILING_STATUS=MR","SCALING_FORMAT=MLN","FA_ADJUSTED=Adjusted","Sort=A","Dates=H","DateFormat=P","Fill=—","Direction=H","UseDPDF=Y")</f>
        <v>103.962</v>
      </c>
      <c r="H6" s="19">
        <f>_xll.BDH("ALNY US Equity","SALES_REV_TURN","FQ3 2020","FQ3 2020","Currency=USD","Period=FQ","BEST_FPERIOD_OVERRIDE=FQ","FILING_STATUS=MR","SCALING_FORMAT=MLN","FA_ADJUSTED=Adjusted","Sort=A","Dates=H","DateFormat=P","Fill=—","Direction=H","UseDPDF=Y")</f>
        <v>125.85299999999999</v>
      </c>
      <c r="I6" s="19">
        <f>_xll.BDH("ALNY US Equity","SALES_REV_TURN","FQ4 2020","FQ4 2020","Currency=USD","Period=FQ","BEST_FPERIOD_OVERRIDE=FQ","FILING_STATUS=MR","SCALING_FORMAT=MLN","FA_ADJUSTED=Adjusted","Sort=A","Dates=H","DateFormat=P","Fill=—","Direction=H","UseDPDF=Y")</f>
        <v>163.56200000000001</v>
      </c>
      <c r="J6" s="19">
        <f>_xll.BDH("ALNY US Equity","SALES_REV_TURN","FQ1 2021","FQ1 2021","Currency=USD","Period=FQ","BEST_FPERIOD_OVERRIDE=FQ","FILING_STATUS=MR","SCALING_FORMAT=MLN","FA_ADJUSTED=Adjusted","Sort=A","Dates=H","DateFormat=P","Fill=—","Direction=H","UseDPDF=Y")</f>
        <v>177.566</v>
      </c>
      <c r="K6" s="19">
        <f>_xll.BDH("ALNY US Equity","SALES_REV_TURN","FQ2 2021","FQ2 2021","Currency=USD","Period=FQ","BEST_FPERIOD_OVERRIDE=FQ","FILING_STATUS=MR","SCALING_FORMAT=MLN","FA_ADJUSTED=Adjusted","Sort=A","Dates=H","DateFormat=P","Fill=—","Direction=H","UseDPDF=Y")</f>
        <v>220.553</v>
      </c>
      <c r="L6" s="19">
        <f>_xll.BDH("ALNY US Equity","SALES_REV_TURN","FQ3 2021","FQ3 2021","Currency=USD","Period=FQ","BEST_FPERIOD_OVERRIDE=FQ","FILING_STATUS=MR","SCALING_FORMAT=MLN","FA_ADJUSTED=Adjusted","Sort=A","Dates=H","DateFormat=P","Fill=—","Direction=H","UseDPDF=Y")</f>
        <v>187.63300000000001</v>
      </c>
      <c r="M6" s="19">
        <f>_xll.BDH("ALNY US Equity","SALES_REV_TURN","FQ4 2021","FQ4 2021","Currency=USD","Period=FQ","BEST_FPERIOD_OVERRIDE=FQ","FILING_STATUS=MR","SCALING_FORMAT=MLN","FA_ADJUSTED=Adjusted","Sort=A","Dates=H","DateFormat=P","Fill=—","Direction=H","UseDPDF=Y")</f>
        <v>258.53500000000003</v>
      </c>
      <c r="N6" s="19">
        <f>_xll.BDH("ALNY US Equity","SALES_REV_TURN","FQ1 2022","FQ1 2022","Currency=USD","Period=FQ","BEST_FPERIOD_OVERRIDE=FQ","FILING_STATUS=MR","SCALING_FORMAT=MLN","FA_ADJUSTED=Adjusted","Sort=A","Dates=H","DateFormat=P","Fill=—","Direction=H","UseDPDF=Y")</f>
        <v>213.25899999999999</v>
      </c>
      <c r="O6" s="19">
        <f>_xll.BDH("ALNY US Equity","SALES_REV_TURN","FQ2 2022","FQ2 2022","Currency=USD","Period=FQ","BEST_FPERIOD_OVERRIDE=FQ","FILING_STATUS=MR","SCALING_FORMAT=MLN","FA_ADJUSTED=Adjusted","Sort=A","Dates=H","DateFormat=P","Fill=—","Direction=H","UseDPDF=Y")</f>
        <v>224.81800000000001</v>
      </c>
      <c r="P6" s="19">
        <f>_xll.BDH("ALNY US Equity","SALES_REV_TURN","FQ3 2022","FQ3 2022","Currency=USD","Period=FQ","BEST_FPERIOD_OVERRIDE=FQ","FILING_STATUS=MR","SCALING_FORMAT=MLN","FA_ADJUSTED=Adjusted","Sort=A","Dates=H","DateFormat=P","Fill=—","Direction=H","UseDPDF=Y")</f>
        <v>264.30599999999998</v>
      </c>
      <c r="Q6" s="19">
        <f>_xll.BDH("ALNY US Equity","SALES_REV_TURN","FQ4 2022","FQ4 2022","Currency=USD","Period=FQ","BEST_FPERIOD_OVERRIDE=FQ","FILING_STATUS=MR","SCALING_FORMAT=MLN","FA_ADJUSTED=Adjusted","Sort=A","Dates=H","DateFormat=P","Fill=—","Direction=H","UseDPDF=Y")</f>
        <v>335.03500000000003</v>
      </c>
      <c r="R6" s="19">
        <f>_xll.BDH("ALNY US Equity","SALES_REV_TURN","FQ1 2023","FQ1 2023","Currency=USD","Period=FQ","BEST_FPERIOD_OVERRIDE=FQ","FILING_STATUS=MR","SCALING_FORMAT=MLN","FA_ADJUSTED=Adjusted","Sort=A","Dates=H","DateFormat=P","Fill=—","Direction=H","UseDPDF=Y")</f>
        <v>319.29000000000002</v>
      </c>
      <c r="S6" s="19">
        <f>_xll.BDH("ALNY US Equity","SALES_REV_TURN","FQ2 2023","FQ2 2023","Currency=USD","Period=FQ","BEST_FPERIOD_OVERRIDE=FQ","FILING_STATUS=MR","SCALING_FORMAT=MLN","FA_ADJUSTED=Adjusted","Sort=A","Dates=H","DateFormat=P","Fill=—","Direction=H","UseDPDF=Y")</f>
        <v>318.75400000000002</v>
      </c>
      <c r="T6" s="19">
        <f>_xll.BDH("ALNY US Equity","SALES_REV_TURN","FQ3 2023","FQ3 2023","Currency=USD","Period=FQ","BEST_FPERIOD_OVERRIDE=FQ","FILING_STATUS=MR","SCALING_FORMAT=MLN","FA_ADJUSTED=Adjusted","Sort=A","Dates=H","DateFormat=P","Fill=—","Direction=H","UseDPDF=Y")</f>
        <v>750.53</v>
      </c>
      <c r="U6" s="19">
        <f>_xll.BDH("ALNY US Equity","SALES_REV_TURN","FQ4 2023","FQ4 2023","Currency=USD","Period=FQ","BEST_FPERIOD_OVERRIDE=FQ","FILING_STATUS=MR","SCALING_FORMAT=MLN","FA_ADJUSTED=Adjusted","Sort=A","Dates=H","DateFormat=P","Fill=—","Direction=H","UseDPDF=Y")</f>
        <v>439.71800000000002</v>
      </c>
      <c r="V6" s="19">
        <f>_xll.BDH("ALNY US Equity","SALES_REV_TURN","FQ1 2024","FQ1 2024","Currency=USD","Period=FQ","BEST_FPERIOD_OVERRIDE=FQ","FILING_STATUS=MR","SCALING_FORMAT=MLN","FA_ADJUSTED=Adjusted","Sort=A","Dates=H","DateFormat=P","Fill=—","Direction=H","UseDPDF=Y")</f>
        <v>494.33300000000003</v>
      </c>
      <c r="W6" s="19">
        <f>_xll.BDH("ALNY US Equity","SALES_REV_TURN","FQ2 2024","FQ2 2024","Currency=USD","Period=FQ","BEST_FPERIOD_OVERRIDE=FQ","FILING_STATUS=MR","SCALING_FORMAT=MLN","FA_ADJUSTED=Adjusted","Sort=A","Dates=H","DateFormat=P","Fill=—","Direction=H","UseDPDF=Y")</f>
        <v>659.82500000000005</v>
      </c>
      <c r="X6" s="19">
        <f>_xll.BDH("ALNY US Equity","SALES_REV_TURN","FQ3 2024","FQ3 2024","Currency=USD","Period=FQ","BEST_FPERIOD_OVERRIDE=FQ","FILING_STATUS=MR","SCALING_FORMAT=MLN","FA_ADJUSTED=Adjusted","Sort=A","Dates=H","DateFormat=P","Fill=—","Direction=H","UseDPDF=Y")</f>
        <v>500.91899999999998</v>
      </c>
      <c r="Y6" s="19">
        <f>_xll.BDH("ALNY US Equity","SALES_REV_TURN","FQ4 2024","FQ4 2024","Currency=USD","Period=FQ","BEST_FPERIOD_OVERRIDE=FQ","FILING_STATUS=MR","SCALING_FORMAT=MLN","FA_ADJUSTED=Adjusted","Sort=A","Dates=H","DateFormat=P","Fill=—","Direction=H","UseDPDF=Y")</f>
        <v>593.16600000000005</v>
      </c>
      <c r="Z6" s="19">
        <v>583.59299999999996</v>
      </c>
      <c r="AA6" s="19">
        <v>631.77800000000002</v>
      </c>
    </row>
    <row r="7" spans="1:27" x14ac:dyDescent="0.25">
      <c r="A7" s="10" t="s">
        <v>298</v>
      </c>
      <c r="B7" s="10" t="s">
        <v>299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99.842668202200798</v>
      </c>
      <c r="L7" s="13">
        <v>99.758571253457504</v>
      </c>
      <c r="M7" s="13">
        <v>99.846829249424601</v>
      </c>
      <c r="N7" s="13">
        <v>99.792740282942304</v>
      </c>
      <c r="O7" s="13">
        <v>98.986735937513899</v>
      </c>
      <c r="P7" s="13">
        <v>98.962566116546796</v>
      </c>
      <c r="Q7" s="13">
        <v>99.189636903607095</v>
      </c>
      <c r="R7" s="13">
        <v>97.964233142284399</v>
      </c>
      <c r="S7" s="13">
        <v>97.7396362084868</v>
      </c>
      <c r="T7" s="13">
        <v>98.680265945398602</v>
      </c>
      <c r="U7" s="13">
        <v>96.128655183549498</v>
      </c>
      <c r="V7" s="13">
        <v>97.851246022418096</v>
      </c>
      <c r="W7" s="13">
        <v>96.605312014549298</v>
      </c>
      <c r="X7" s="13">
        <v>95.331380921865602</v>
      </c>
      <c r="Y7" s="13">
        <v>94.034216391364296</v>
      </c>
      <c r="Z7" s="13"/>
      <c r="AA7" s="13"/>
    </row>
    <row r="8" spans="1:27" x14ac:dyDescent="0.25">
      <c r="A8" s="10" t="s">
        <v>300</v>
      </c>
      <c r="B8" s="10" t="s">
        <v>301</v>
      </c>
      <c r="C8" s="13" t="s">
        <v>141</v>
      </c>
      <c r="D8" s="13" t="s">
        <v>141</v>
      </c>
      <c r="E8" s="13" t="s">
        <v>141</v>
      </c>
      <c r="F8" s="13" t="s">
        <v>141</v>
      </c>
      <c r="G8" s="13" t="s">
        <v>141</v>
      </c>
      <c r="H8" s="13" t="s">
        <v>141</v>
      </c>
      <c r="I8" s="13" t="s">
        <v>141</v>
      </c>
      <c r="J8" s="13" t="s">
        <v>141</v>
      </c>
      <c r="K8" s="13">
        <v>0.15733179779916801</v>
      </c>
      <c r="L8" s="13">
        <v>0.241428746542453</v>
      </c>
      <c r="M8" s="13">
        <v>0.15317075057535701</v>
      </c>
      <c r="N8" s="13">
        <v>0.207259717057662</v>
      </c>
      <c r="O8" s="13">
        <v>1.0132640624861</v>
      </c>
      <c r="P8" s="13">
        <v>1.0374338834532699</v>
      </c>
      <c r="Q8" s="13">
        <v>0.81036309639291404</v>
      </c>
      <c r="R8" s="13">
        <v>2.0357668577155601</v>
      </c>
      <c r="S8" s="13">
        <v>2.2603637915132002</v>
      </c>
      <c r="T8" s="13">
        <v>1.31973405460141</v>
      </c>
      <c r="U8" s="13">
        <v>3.8713448164505402</v>
      </c>
      <c r="V8" s="13">
        <v>2.1487539775819098</v>
      </c>
      <c r="W8" s="13">
        <v>3.3946879854506902</v>
      </c>
      <c r="X8" s="13">
        <v>4.6686190781343901</v>
      </c>
      <c r="Y8" s="13">
        <v>5.9657836086356903</v>
      </c>
      <c r="Z8" s="13"/>
      <c r="AA8" s="13"/>
    </row>
    <row r="9" spans="1:27" x14ac:dyDescent="0.25">
      <c r="A9" s="10" t="s">
        <v>302</v>
      </c>
      <c r="B9" s="10" t="s">
        <v>303</v>
      </c>
      <c r="C9" s="13">
        <v>9.6748222033367597</v>
      </c>
      <c r="D9" s="13">
        <v>7.4406588544268599</v>
      </c>
      <c r="E9" s="13">
        <v>16.986370167826902</v>
      </c>
      <c r="F9" s="13">
        <v>13.372069644939501</v>
      </c>
      <c r="G9" s="13">
        <v>19.1695042419346</v>
      </c>
      <c r="H9" s="13">
        <v>17.319412330258299</v>
      </c>
      <c r="I9" s="13">
        <v>14.076619263643099</v>
      </c>
      <c r="J9" s="13">
        <v>17.493213790928401</v>
      </c>
      <c r="K9" s="13">
        <v>17.571740125956101</v>
      </c>
      <c r="L9" s="13">
        <v>17.407918649704499</v>
      </c>
      <c r="M9" s="13">
        <v>14.568240276945099</v>
      </c>
      <c r="N9" s="13">
        <v>16.7059772389442</v>
      </c>
      <c r="O9" s="13">
        <v>18.151571493385799</v>
      </c>
      <c r="P9" s="13">
        <v>15.556211361073901</v>
      </c>
      <c r="Q9" s="13">
        <v>15.301684898592701</v>
      </c>
      <c r="R9" s="13">
        <v>17.184691033229999</v>
      </c>
      <c r="S9" s="13">
        <v>26.782409005063499</v>
      </c>
      <c r="T9" s="13">
        <v>11.233261828308001</v>
      </c>
      <c r="U9" s="13">
        <v>19.525696014263701</v>
      </c>
      <c r="V9" s="13">
        <v>13.3464688782663</v>
      </c>
      <c r="W9" s="13">
        <v>10.4076080778994</v>
      </c>
      <c r="X9" s="13">
        <v>17.1494792571254</v>
      </c>
      <c r="Y9" s="13">
        <v>17.333596328852298</v>
      </c>
      <c r="Z9" s="13"/>
      <c r="AA9" s="13"/>
    </row>
    <row r="10" spans="1:27" x14ac:dyDescent="0.25">
      <c r="A10" s="10" t="s">
        <v>304</v>
      </c>
      <c r="B10" s="10" t="s">
        <v>305</v>
      </c>
      <c r="C10" s="13">
        <v>9.6748222033367597</v>
      </c>
      <c r="D10" s="13">
        <v>7.4406588544268599</v>
      </c>
      <c r="E10" s="13">
        <v>16.986370167826902</v>
      </c>
      <c r="F10" s="13">
        <v>13.372069644939501</v>
      </c>
      <c r="G10" s="13">
        <v>19.1695042419346</v>
      </c>
      <c r="H10" s="13">
        <v>17.319412330258299</v>
      </c>
      <c r="I10" s="13">
        <v>14.076619263643099</v>
      </c>
      <c r="J10" s="13">
        <v>17.493213790928401</v>
      </c>
      <c r="K10" s="13">
        <v>17.571740125956101</v>
      </c>
      <c r="L10" s="13">
        <v>17.407918649704499</v>
      </c>
      <c r="M10" s="13">
        <v>14.568240276945099</v>
      </c>
      <c r="N10" s="13">
        <v>16.7059772389442</v>
      </c>
      <c r="O10" s="13">
        <v>18.151571493385799</v>
      </c>
      <c r="P10" s="13">
        <v>15.556211361073901</v>
      </c>
      <c r="Q10" s="13">
        <v>15.301684898592701</v>
      </c>
      <c r="R10" s="13">
        <v>17.184691033229999</v>
      </c>
      <c r="S10" s="13">
        <v>26.782409005063499</v>
      </c>
      <c r="T10" s="13">
        <v>11.233261828308001</v>
      </c>
      <c r="U10" s="13">
        <v>19.525696014263701</v>
      </c>
      <c r="V10" s="13">
        <v>13.3464688782663</v>
      </c>
      <c r="W10" s="13">
        <v>10.4076080778994</v>
      </c>
      <c r="X10" s="13">
        <v>17.1494792571254</v>
      </c>
      <c r="Y10" s="13">
        <v>17.333596328852298</v>
      </c>
      <c r="Z10" s="13"/>
      <c r="AA10" s="13"/>
    </row>
    <row r="11" spans="1:27" x14ac:dyDescent="0.25">
      <c r="A11" s="6" t="s">
        <v>2</v>
      </c>
      <c r="B11" s="6" t="s">
        <v>75</v>
      </c>
      <c r="C11" s="19">
        <v>90.325177796663198</v>
      </c>
      <c r="D11" s="19">
        <v>92.5593411455731</v>
      </c>
      <c r="E11" s="19">
        <v>83.013629832173095</v>
      </c>
      <c r="F11" s="19">
        <v>86.627930355060499</v>
      </c>
      <c r="G11" s="19">
        <v>80.830495758065396</v>
      </c>
      <c r="H11" s="19">
        <v>82.680587669741698</v>
      </c>
      <c r="I11" s="19">
        <v>85.923380736356904</v>
      </c>
      <c r="J11" s="19">
        <v>82.506786209071507</v>
      </c>
      <c r="K11" s="19">
        <v>82.428259874043903</v>
      </c>
      <c r="L11" s="19">
        <v>82.592081350295501</v>
      </c>
      <c r="M11" s="19">
        <v>85.431759723054896</v>
      </c>
      <c r="N11" s="19">
        <v>83.2940227610558</v>
      </c>
      <c r="O11" s="19">
        <v>81.848428506614198</v>
      </c>
      <c r="P11" s="19">
        <v>84.443788638926094</v>
      </c>
      <c r="Q11" s="19">
        <v>84.698315101407303</v>
      </c>
      <c r="R11" s="19">
        <v>82.815308966770004</v>
      </c>
      <c r="S11" s="19">
        <v>73.217590994936501</v>
      </c>
      <c r="T11" s="19">
        <v>88.766738171691998</v>
      </c>
      <c r="U11" s="19">
        <v>80.474303985736299</v>
      </c>
      <c r="V11" s="19">
        <v>86.653531121733707</v>
      </c>
      <c r="W11" s="19">
        <v>89.592391922100603</v>
      </c>
      <c r="X11" s="19">
        <v>82.850520742874593</v>
      </c>
      <c r="Y11" s="19">
        <v>82.666403671147705</v>
      </c>
      <c r="Z11" s="19">
        <v>81.519000000000005</v>
      </c>
      <c r="AA11" s="19">
        <v>81.162000000000006</v>
      </c>
    </row>
    <row r="12" spans="1:27" x14ac:dyDescent="0.25">
      <c r="A12" s="10" t="s">
        <v>306</v>
      </c>
      <c r="B12" s="10" t="s">
        <v>307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/>
      <c r="AA12" s="13"/>
    </row>
    <row r="13" spans="1:27" x14ac:dyDescent="0.25">
      <c r="A13" s="10" t="s">
        <v>308</v>
      </c>
      <c r="B13" s="10" t="s">
        <v>309</v>
      </c>
      <c r="C13" s="13">
        <v>618.730151630362</v>
      </c>
      <c r="D13" s="13">
        <v>401.2888768359</v>
      </c>
      <c r="E13" s="13">
        <v>498.84627725617702</v>
      </c>
      <c r="F13" s="13">
        <v>297.892959105714</v>
      </c>
      <c r="G13" s="13">
        <v>272.89265116100103</v>
      </c>
      <c r="H13" s="13">
        <v>238.24779703304699</v>
      </c>
      <c r="I13" s="13">
        <v>198.42261650016499</v>
      </c>
      <c r="J13" s="13">
        <v>187.39961479112</v>
      </c>
      <c r="K13" s="13">
        <v>148.69804536778</v>
      </c>
      <c r="L13" s="13">
        <v>174.08824673698101</v>
      </c>
      <c r="M13" s="13">
        <v>160.68694760864099</v>
      </c>
      <c r="N13" s="13">
        <v>152.09862186355599</v>
      </c>
      <c r="O13" s="13">
        <v>167.11117437215901</v>
      </c>
      <c r="P13" s="13">
        <v>182.073051690087</v>
      </c>
      <c r="Q13" s="13">
        <v>140.99511991284501</v>
      </c>
      <c r="R13" s="13">
        <v>129.73409752889199</v>
      </c>
      <c r="S13" s="13">
        <v>145.320529311005</v>
      </c>
      <c r="T13" s="13">
        <v>60.2712749656909</v>
      </c>
      <c r="U13" s="13">
        <v>106.946724946443</v>
      </c>
      <c r="V13" s="13">
        <v>95.440118300821496</v>
      </c>
      <c r="W13" s="13">
        <v>82.224680786572193</v>
      </c>
      <c r="X13" s="13">
        <v>98.203302330316902</v>
      </c>
      <c r="Y13" s="13">
        <v>100.394830452184</v>
      </c>
      <c r="Z13" s="13"/>
      <c r="AA13" s="13"/>
    </row>
    <row r="14" spans="1:27" x14ac:dyDescent="0.25">
      <c r="A14" s="10" t="s">
        <v>310</v>
      </c>
      <c r="B14" s="10" t="s">
        <v>311</v>
      </c>
      <c r="C14" s="13">
        <v>252.20065303931699</v>
      </c>
      <c r="D14" s="13">
        <v>171.78030573357501</v>
      </c>
      <c r="E14" s="13">
        <v>218.01732676720499</v>
      </c>
      <c r="F14" s="13">
        <v>127.428726527001</v>
      </c>
      <c r="G14" s="13">
        <v>123.021873376811</v>
      </c>
      <c r="H14" s="13">
        <v>133.06953350337301</v>
      </c>
      <c r="I14" s="13">
        <v>101.668480453895</v>
      </c>
      <c r="J14" s="13">
        <v>82.706711870515804</v>
      </c>
      <c r="K14" s="13">
        <v>65.890284874837306</v>
      </c>
      <c r="L14" s="13">
        <v>75.719622880836496</v>
      </c>
      <c r="M14" s="13">
        <v>72.091593014485497</v>
      </c>
      <c r="N14" s="13">
        <v>72.433519804556894</v>
      </c>
      <c r="O14" s="13">
        <v>75.609604213185804</v>
      </c>
      <c r="P14" s="13">
        <v>89.237096395844205</v>
      </c>
      <c r="Q14" s="13">
        <v>62.782694345366899</v>
      </c>
      <c r="R14" s="13">
        <v>57.521062357104803</v>
      </c>
      <c r="S14" s="13">
        <v>67.352566556027497</v>
      </c>
      <c r="T14" s="13">
        <v>26.537913207999701</v>
      </c>
      <c r="U14" s="13">
        <v>45.056831878613103</v>
      </c>
      <c r="V14" s="13">
        <v>42.642712503514801</v>
      </c>
      <c r="W14" s="13">
        <v>37.6458909559353</v>
      </c>
      <c r="X14" s="13">
        <v>44.117512012920301</v>
      </c>
      <c r="Y14" s="13">
        <v>49.790277932315703</v>
      </c>
      <c r="Z14" s="13"/>
      <c r="AA14" s="13"/>
    </row>
    <row r="15" spans="1:27" x14ac:dyDescent="0.25">
      <c r="A15" s="11" t="s">
        <v>312</v>
      </c>
      <c r="B15" s="11" t="s">
        <v>313</v>
      </c>
      <c r="C15" s="25">
        <v>252.20065303931699</v>
      </c>
      <c r="D15" s="25">
        <v>171.78030573357501</v>
      </c>
      <c r="E15" s="25" t="s">
        <v>141</v>
      </c>
      <c r="F15" s="25" t="s">
        <v>141</v>
      </c>
      <c r="G15" s="25">
        <v>123.021873376811</v>
      </c>
      <c r="H15" s="25" t="s">
        <v>141</v>
      </c>
      <c r="I15" s="25" t="s">
        <v>141</v>
      </c>
      <c r="J15" s="25" t="s">
        <v>141</v>
      </c>
      <c r="K15" s="25" t="s">
        <v>141</v>
      </c>
      <c r="L15" s="25" t="s">
        <v>141</v>
      </c>
      <c r="M15" s="25" t="s">
        <v>141</v>
      </c>
      <c r="N15" s="25" t="s">
        <v>141</v>
      </c>
      <c r="O15" s="25" t="s">
        <v>141</v>
      </c>
      <c r="P15" s="25" t="s">
        <v>141</v>
      </c>
      <c r="Q15" s="25" t="s">
        <v>141</v>
      </c>
      <c r="R15" s="25" t="s">
        <v>141</v>
      </c>
      <c r="S15" s="25" t="s">
        <v>141</v>
      </c>
      <c r="T15" s="25" t="s">
        <v>141</v>
      </c>
      <c r="U15" s="25" t="s">
        <v>141</v>
      </c>
      <c r="V15" s="25" t="s">
        <v>141</v>
      </c>
      <c r="W15" s="25" t="s">
        <v>141</v>
      </c>
      <c r="X15" s="25" t="s">
        <v>141</v>
      </c>
      <c r="Y15" s="25" t="s">
        <v>141</v>
      </c>
      <c r="Z15" s="25"/>
      <c r="AA15" s="25"/>
    </row>
    <row r="16" spans="1:27" x14ac:dyDescent="0.25">
      <c r="A16" s="10" t="s">
        <v>314</v>
      </c>
      <c r="B16" s="10" t="s">
        <v>315</v>
      </c>
      <c r="C16" s="13">
        <v>366.52949859104501</v>
      </c>
      <c r="D16" s="13">
        <v>229.50857110232499</v>
      </c>
      <c r="E16" s="13">
        <v>280.828950488972</v>
      </c>
      <c r="F16" s="13">
        <v>170.464232578712</v>
      </c>
      <c r="G16" s="13">
        <v>149.08909024451199</v>
      </c>
      <c r="H16" s="13">
        <v>128.54918039299801</v>
      </c>
      <c r="I16" s="13">
        <v>103.000085594453</v>
      </c>
      <c r="J16" s="13">
        <v>104.692902920604</v>
      </c>
      <c r="K16" s="13">
        <v>82.807760492942705</v>
      </c>
      <c r="L16" s="13">
        <v>103.69817675995201</v>
      </c>
      <c r="M16" s="13">
        <v>88.595354594155495</v>
      </c>
      <c r="N16" s="13">
        <v>79.665102058998698</v>
      </c>
      <c r="O16" s="13">
        <v>91.501570158972996</v>
      </c>
      <c r="P16" s="13">
        <v>92.835955294242297</v>
      </c>
      <c r="Q16" s="13">
        <v>78.212425567477993</v>
      </c>
      <c r="R16" s="13">
        <v>72.213035171787396</v>
      </c>
      <c r="S16" s="13">
        <v>77.967962754977194</v>
      </c>
      <c r="T16" s="13">
        <v>33.733361757691199</v>
      </c>
      <c r="U16" s="13">
        <v>61.889893067829803</v>
      </c>
      <c r="V16" s="13">
        <v>52.797405797306702</v>
      </c>
      <c r="W16" s="13">
        <v>44.5787898306369</v>
      </c>
      <c r="X16" s="13">
        <v>54.085790317396601</v>
      </c>
      <c r="Y16" s="13">
        <v>50.604552519868001</v>
      </c>
      <c r="Z16" s="13"/>
      <c r="AA16" s="13"/>
    </row>
    <row r="17" spans="1:27" x14ac:dyDescent="0.25">
      <c r="A17" s="10" t="s">
        <v>316</v>
      </c>
      <c r="B17" s="10" t="s">
        <v>317</v>
      </c>
      <c r="C17" s="13">
        <v>0</v>
      </c>
      <c r="D17" s="13">
        <v>0</v>
      </c>
      <c r="E17" s="13">
        <v>0</v>
      </c>
      <c r="F17" s="13">
        <v>0</v>
      </c>
      <c r="G17" s="13">
        <v>0.78168753967795901</v>
      </c>
      <c r="H17" s="13">
        <v>-23.370916863324702</v>
      </c>
      <c r="I17" s="13">
        <v>-6.2459495481835603</v>
      </c>
      <c r="J17" s="13">
        <v>0</v>
      </c>
      <c r="K17" s="13">
        <v>0</v>
      </c>
      <c r="L17" s="13">
        <v>-5.3295529038069001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/>
      <c r="AA17" s="13"/>
    </row>
    <row r="18" spans="1:27" x14ac:dyDescent="0.25">
      <c r="A18" s="6" t="s">
        <v>318</v>
      </c>
      <c r="B18" s="6" t="s">
        <v>99</v>
      </c>
      <c r="C18" s="19">
        <v>-528.40497383369905</v>
      </c>
      <c r="D18" s="19">
        <v>-308.729535690327</v>
      </c>
      <c r="E18" s="19">
        <v>-415.83264742400399</v>
      </c>
      <c r="F18" s="19">
        <v>-211.26502875065299</v>
      </c>
      <c r="G18" s="19">
        <v>-192.06215540293601</v>
      </c>
      <c r="H18" s="19">
        <v>-155.56720936330501</v>
      </c>
      <c r="I18" s="19">
        <v>-112.499235763808</v>
      </c>
      <c r="J18" s="19">
        <v>-104.892828582048</v>
      </c>
      <c r="K18" s="19">
        <v>-66.269785493736194</v>
      </c>
      <c r="L18" s="19">
        <v>-91.496165386685703</v>
      </c>
      <c r="M18" s="19">
        <v>-75.255187885586096</v>
      </c>
      <c r="N18" s="19">
        <v>-68.804599102499793</v>
      </c>
      <c r="O18" s="19">
        <v>-85.262745865544602</v>
      </c>
      <c r="P18" s="19">
        <v>-97.629263051160393</v>
      </c>
      <c r="Q18" s="19">
        <v>-56.296804811437603</v>
      </c>
      <c r="R18" s="19">
        <v>-46.918788562122202</v>
      </c>
      <c r="S18" s="19">
        <v>-72.102938316068204</v>
      </c>
      <c r="T18" s="19">
        <v>28.495463206001101</v>
      </c>
      <c r="U18" s="19">
        <v>-26.4724209607066</v>
      </c>
      <c r="V18" s="19">
        <v>-8.7865871790877801</v>
      </c>
      <c r="W18" s="19">
        <v>7.36771113552836</v>
      </c>
      <c r="X18" s="19">
        <v>-15.352781587442299</v>
      </c>
      <c r="Y18" s="19">
        <v>-17.728426781035999</v>
      </c>
      <c r="Z18" s="19">
        <v>-13.274490955169099</v>
      </c>
      <c r="AA18" s="19">
        <v>-11.556749364491999</v>
      </c>
    </row>
    <row r="19" spans="1:27" x14ac:dyDescent="0.25">
      <c r="A19" s="10" t="s">
        <v>319</v>
      </c>
      <c r="B19" s="10" t="s">
        <v>320</v>
      </c>
      <c r="C19" s="13">
        <v>-18.625039137630299</v>
      </c>
      <c r="D19" s="13">
        <v>-10.519404518919201</v>
      </c>
      <c r="E19" s="13">
        <v>-10.083529805666799</v>
      </c>
      <c r="F19" s="13">
        <v>-4.42418271743938</v>
      </c>
      <c r="G19" s="13">
        <v>34.973781766414596</v>
      </c>
      <c r="H19" s="13">
        <v>19.257387587105601</v>
      </c>
      <c r="I19" s="13">
        <v>20.449668015798299</v>
      </c>
      <c r="J19" s="13">
        <v>33.811089960915901</v>
      </c>
      <c r="K19" s="13">
        <v>16.575762741835302</v>
      </c>
      <c r="L19" s="13">
        <v>21.984405728203502</v>
      </c>
      <c r="M19" s="13">
        <v>23.2707370375384</v>
      </c>
      <c r="N19" s="13">
        <v>28.820823505690299</v>
      </c>
      <c r="O19" s="13">
        <v>36.425019348984499</v>
      </c>
      <c r="P19" s="13">
        <v>24.012697403766801</v>
      </c>
      <c r="Q19" s="13">
        <v>7.5224976494993099</v>
      </c>
      <c r="R19" s="13">
        <v>6.3540981552820304</v>
      </c>
      <c r="S19" s="13">
        <v>14.361545266882899</v>
      </c>
      <c r="T19" s="13">
        <v>6.1665756198952701</v>
      </c>
      <c r="U19" s="13">
        <v>5.0145775246862803</v>
      </c>
      <c r="V19" s="13">
        <v>4.0923830697121204</v>
      </c>
      <c r="W19" s="13">
        <v>8.8529534346228207</v>
      </c>
      <c r="X19" s="13">
        <v>6.02712214948924</v>
      </c>
      <c r="Y19" s="13">
        <v>14.9423601487611</v>
      </c>
      <c r="Z19" s="13"/>
      <c r="AA19" s="13"/>
    </row>
    <row r="20" spans="1:27" x14ac:dyDescent="0.25">
      <c r="A20" s="10" t="s">
        <v>321</v>
      </c>
      <c r="B20" s="10" t="s">
        <v>322</v>
      </c>
      <c r="C20" s="13" t="s">
        <v>141</v>
      </c>
      <c r="D20" s="13" t="s">
        <v>141</v>
      </c>
      <c r="E20" s="13" t="s">
        <v>141</v>
      </c>
      <c r="F20" s="13" t="s">
        <v>141</v>
      </c>
      <c r="G20" s="13">
        <v>23.1651949750871</v>
      </c>
      <c r="H20" s="13">
        <v>21.182649599135502</v>
      </c>
      <c r="I20" s="13">
        <v>16.767342047663899</v>
      </c>
      <c r="J20" s="13">
        <v>18.058074180868001</v>
      </c>
      <c r="K20" s="13">
        <v>14.965563832729501</v>
      </c>
      <c r="L20" s="13">
        <v>21.344326424456199</v>
      </c>
      <c r="M20" s="13">
        <v>14.048774827392799</v>
      </c>
      <c r="N20" s="13">
        <v>19.3895685527926</v>
      </c>
      <c r="O20" s="13">
        <v>18.952663932603301</v>
      </c>
      <c r="P20" s="13">
        <v>15.5441041822736</v>
      </c>
      <c r="Q20" s="13">
        <v>4.7266703478740997</v>
      </c>
      <c r="R20" s="13">
        <v>3.2259074822261899</v>
      </c>
      <c r="S20" s="13">
        <v>2.8109451175514701</v>
      </c>
      <c r="T20" s="13">
        <v>0.72855182337814595</v>
      </c>
      <c r="U20" s="13">
        <v>0.21195402507971001</v>
      </c>
      <c r="V20" s="13">
        <v>1.13445794636409</v>
      </c>
      <c r="W20" s="13">
        <v>0.61773955215398002</v>
      </c>
      <c r="X20" s="13">
        <v>0.44518175593259601</v>
      </c>
      <c r="Y20" s="13">
        <v>1.34060279921641</v>
      </c>
      <c r="Z20" s="13"/>
      <c r="AA20" s="13"/>
    </row>
    <row r="21" spans="1:27" x14ac:dyDescent="0.25">
      <c r="A21" s="11" t="s">
        <v>323</v>
      </c>
      <c r="B21" s="11" t="s">
        <v>324</v>
      </c>
      <c r="C21" s="25" t="s">
        <v>141</v>
      </c>
      <c r="D21" s="25" t="s">
        <v>141</v>
      </c>
      <c r="E21" s="25" t="s">
        <v>141</v>
      </c>
      <c r="F21" s="25" t="s">
        <v>141</v>
      </c>
      <c r="G21" s="25">
        <v>26.209576576056602</v>
      </c>
      <c r="H21" s="25">
        <v>22.8290148029844</v>
      </c>
      <c r="I21" s="25">
        <v>17.434978784803299</v>
      </c>
      <c r="J21" s="25">
        <v>18.311501075656398</v>
      </c>
      <c r="K21" s="25">
        <v>15.151006787484199</v>
      </c>
      <c r="L21" s="25">
        <v>21.464241364791899</v>
      </c>
      <c r="M21" s="25">
        <v>14.240238265612</v>
      </c>
      <c r="N21" s="25">
        <v>19.864108900445</v>
      </c>
      <c r="O21" s="25">
        <v>18.952663932603301</v>
      </c>
      <c r="P21" s="25">
        <v>15.5441041822736</v>
      </c>
      <c r="Q21" s="25">
        <v>8.9283209216947501</v>
      </c>
      <c r="R21" s="25">
        <v>9.0685583638698404</v>
      </c>
      <c r="S21" s="25">
        <v>9.4226268533100797</v>
      </c>
      <c r="T21" s="25">
        <v>4.1161579150733498</v>
      </c>
      <c r="U21" s="25">
        <v>7.1268403840643302</v>
      </c>
      <c r="V21" s="25">
        <v>7.1314276004231996</v>
      </c>
      <c r="W21" s="25">
        <v>5.0404273860493296</v>
      </c>
      <c r="X21" s="25">
        <v>6.8625865658918901</v>
      </c>
      <c r="Y21" s="25">
        <v>6.5699989547613997</v>
      </c>
      <c r="Z21" s="25"/>
      <c r="AA21" s="25"/>
    </row>
    <row r="22" spans="1:27" x14ac:dyDescent="0.25">
      <c r="A22" s="11" t="s">
        <v>325</v>
      </c>
      <c r="B22" s="11" t="s">
        <v>326</v>
      </c>
      <c r="C22" s="25">
        <v>19.6381446526815</v>
      </c>
      <c r="D22" s="25">
        <v>14.1148427798633</v>
      </c>
      <c r="E22" s="25">
        <v>10.118441427993501</v>
      </c>
      <c r="F22" s="25">
        <v>5.5088664602517197</v>
      </c>
      <c r="G22" s="25">
        <v>3.0443816009695901</v>
      </c>
      <c r="H22" s="25">
        <v>1.64636520384893</v>
      </c>
      <c r="I22" s="25">
        <v>0.66763673713943295</v>
      </c>
      <c r="J22" s="25">
        <v>0.25342689478841701</v>
      </c>
      <c r="K22" s="25">
        <v>0.18544295475463901</v>
      </c>
      <c r="L22" s="25">
        <v>0.119914940335655</v>
      </c>
      <c r="M22" s="25">
        <v>0.19146343821919701</v>
      </c>
      <c r="N22" s="25">
        <v>0.47454034765238501</v>
      </c>
      <c r="O22" s="25">
        <v>0</v>
      </c>
      <c r="P22" s="25">
        <v>0</v>
      </c>
      <c r="Q22" s="25">
        <v>4.2016505738206504</v>
      </c>
      <c r="R22" s="25">
        <v>5.8426508816436504</v>
      </c>
      <c r="S22" s="25">
        <v>6.6116817357586104</v>
      </c>
      <c r="T22" s="25">
        <v>3.3876060916952002</v>
      </c>
      <c r="U22" s="25">
        <v>6.9148863589846199</v>
      </c>
      <c r="V22" s="25">
        <v>5.99696965405911</v>
      </c>
      <c r="W22" s="25">
        <v>4.4226878338953499</v>
      </c>
      <c r="X22" s="25">
        <v>6.4174048099593</v>
      </c>
      <c r="Y22" s="25">
        <v>5.2293961555449897</v>
      </c>
      <c r="Z22" s="25"/>
      <c r="AA22" s="25"/>
    </row>
    <row r="23" spans="1:27" x14ac:dyDescent="0.25">
      <c r="A23" s="10" t="s">
        <v>327</v>
      </c>
      <c r="B23" s="10" t="s">
        <v>328</v>
      </c>
      <c r="C23" s="13">
        <v>1.01310551505121</v>
      </c>
      <c r="D23" s="13">
        <v>3.5954382609440301</v>
      </c>
      <c r="E23" s="13">
        <v>3.4911622326697499E-2</v>
      </c>
      <c r="F23" s="13">
        <v>1.0846837428123399</v>
      </c>
      <c r="G23" s="13">
        <v>11.808586791327601</v>
      </c>
      <c r="H23" s="13">
        <v>-1.92526201202991</v>
      </c>
      <c r="I23" s="13">
        <v>3.68232596813441</v>
      </c>
      <c r="J23" s="13">
        <v>15.753015780048001</v>
      </c>
      <c r="K23" s="13">
        <v>1.61019890910575</v>
      </c>
      <c r="L23" s="13">
        <v>0.64007930374720901</v>
      </c>
      <c r="M23" s="13">
        <v>9.2219622101456302</v>
      </c>
      <c r="N23" s="13">
        <v>9.4312549528976497</v>
      </c>
      <c r="O23" s="13">
        <v>17.472355416381198</v>
      </c>
      <c r="P23" s="13">
        <v>8.4685932214932702</v>
      </c>
      <c r="Q23" s="13">
        <v>2.7958273016252</v>
      </c>
      <c r="R23" s="13">
        <v>3.12819067305584</v>
      </c>
      <c r="S23" s="13">
        <v>11.550600149331499</v>
      </c>
      <c r="T23" s="13">
        <v>5.4380237965171299</v>
      </c>
      <c r="U23" s="13">
        <v>4.80262349960657</v>
      </c>
      <c r="V23" s="13">
        <v>2.9579251233480299</v>
      </c>
      <c r="W23" s="13">
        <v>8.2352138824688392</v>
      </c>
      <c r="X23" s="13">
        <v>5.5819403935566401</v>
      </c>
      <c r="Y23" s="13">
        <v>13.6017573495446</v>
      </c>
      <c r="Z23" s="13"/>
      <c r="AA23" s="13"/>
    </row>
    <row r="24" spans="1:27" x14ac:dyDescent="0.25">
      <c r="A24" s="6" t="s">
        <v>329</v>
      </c>
      <c r="B24" s="6" t="s">
        <v>158</v>
      </c>
      <c r="C24" s="19">
        <v>-509.77993469606798</v>
      </c>
      <c r="D24" s="19">
        <v>-298.21013117140802</v>
      </c>
      <c r="E24" s="19">
        <v>-405.74911761833698</v>
      </c>
      <c r="F24" s="19">
        <v>-206.84084603321401</v>
      </c>
      <c r="G24" s="19">
        <v>-227.03593716935001</v>
      </c>
      <c r="H24" s="19">
        <v>-174.82459695041001</v>
      </c>
      <c r="I24" s="19">
        <v>-132.94890377960601</v>
      </c>
      <c r="J24" s="19">
        <v>-138.703918542964</v>
      </c>
      <c r="K24" s="19">
        <v>-82.845548235571499</v>
      </c>
      <c r="L24" s="19">
        <v>-113.480571114889</v>
      </c>
      <c r="M24" s="19">
        <v>-98.525924923124506</v>
      </c>
      <c r="N24" s="19">
        <v>-97.625422608189993</v>
      </c>
      <c r="O24" s="19">
        <v>-121.68776521452899</v>
      </c>
      <c r="P24" s="19">
        <v>-121.641960454927</v>
      </c>
      <c r="Q24" s="19">
        <v>-63.819302460936903</v>
      </c>
      <c r="R24" s="19">
        <v>-53.272886717404198</v>
      </c>
      <c r="S24" s="19">
        <v>-86.464483582951104</v>
      </c>
      <c r="T24" s="19">
        <v>22.3288875861058</v>
      </c>
      <c r="U24" s="19">
        <v>-31.486998485392899</v>
      </c>
      <c r="V24" s="19">
        <v>-12.8789702487999</v>
      </c>
      <c r="W24" s="19">
        <v>-1.48524229909446</v>
      </c>
      <c r="X24" s="19">
        <v>-21.379903736931499</v>
      </c>
      <c r="Y24" s="19">
        <v>-32.670786929797103</v>
      </c>
      <c r="Z24" s="19">
        <v>-16.964391279539001</v>
      </c>
      <c r="AA24" s="19">
        <v>-17.10806644106</v>
      </c>
    </row>
    <row r="25" spans="1:27" x14ac:dyDescent="0.25">
      <c r="A25" s="10" t="s">
        <v>330</v>
      </c>
      <c r="B25" s="10" t="s">
        <v>331</v>
      </c>
      <c r="C25" s="13">
        <v>-21.071700138659001</v>
      </c>
      <c r="D25" s="13">
        <v>0</v>
      </c>
      <c r="E25" s="13">
        <v>-19.896520695860801</v>
      </c>
      <c r="F25" s="13">
        <v>-24.238007157505301</v>
      </c>
      <c r="G25" s="13">
        <v>-55.912834497220103</v>
      </c>
      <c r="H25" s="13">
        <v>25.7681580891993</v>
      </c>
      <c r="I25" s="13">
        <v>15.9848338856214</v>
      </c>
      <c r="J25" s="13">
        <v>-26.478041967493802</v>
      </c>
      <c r="K25" s="13">
        <v>2.5448114512158102</v>
      </c>
      <c r="L25" s="13">
        <v>-4.6319144286985798</v>
      </c>
      <c r="M25" s="13">
        <v>2.1575415320942999</v>
      </c>
      <c r="N25" s="13">
        <v>14.6118100525652</v>
      </c>
      <c r="O25" s="13">
        <v>0.48795025309361301</v>
      </c>
      <c r="P25" s="13">
        <v>31.946304662020498</v>
      </c>
      <c r="Q25" s="13">
        <v>-2.0284447893503699</v>
      </c>
      <c r="R25" s="13">
        <v>0.71001284099094897</v>
      </c>
      <c r="S25" s="13">
        <v>-0.43921017461741602</v>
      </c>
      <c r="T25" s="13">
        <v>2.24428070829947</v>
      </c>
      <c r="U25" s="13">
        <v>-0.174429975575255</v>
      </c>
      <c r="V25" s="13">
        <v>-1.5778837342439199E-2</v>
      </c>
      <c r="W25" s="13">
        <v>0.20717614519001301</v>
      </c>
      <c r="X25" s="13">
        <v>0.312825027599273</v>
      </c>
      <c r="Y25" s="13">
        <v>2.7985420607384799E-2</v>
      </c>
      <c r="Z25" s="13"/>
      <c r="AA25" s="13"/>
    </row>
    <row r="26" spans="1:27" x14ac:dyDescent="0.25">
      <c r="A26" s="10" t="s">
        <v>332</v>
      </c>
      <c r="B26" s="10" t="s">
        <v>333</v>
      </c>
      <c r="C26" s="13" t="s">
        <v>141</v>
      </c>
      <c r="D26" s="13" t="s">
        <v>141</v>
      </c>
      <c r="E26" s="13" t="s">
        <v>141</v>
      </c>
      <c r="F26" s="13" t="s">
        <v>141</v>
      </c>
      <c r="G26" s="13" t="s">
        <v>141</v>
      </c>
      <c r="H26" s="13">
        <v>22.248178430391</v>
      </c>
      <c r="I26" s="13">
        <v>6.2459495481835603</v>
      </c>
      <c r="J26" s="13" t="s">
        <v>141</v>
      </c>
      <c r="K26" s="13" t="s">
        <v>141</v>
      </c>
      <c r="L26" s="13" t="s">
        <v>141</v>
      </c>
      <c r="M26" s="13" t="s">
        <v>141</v>
      </c>
      <c r="N26" s="13" t="s">
        <v>141</v>
      </c>
      <c r="O26" s="13" t="s">
        <v>141</v>
      </c>
      <c r="P26" s="13" t="s">
        <v>141</v>
      </c>
      <c r="Q26" s="13" t="s">
        <v>141</v>
      </c>
      <c r="R26" s="13" t="s">
        <v>141</v>
      </c>
      <c r="S26" s="13" t="s">
        <v>141</v>
      </c>
      <c r="T26" s="13" t="s">
        <v>141</v>
      </c>
      <c r="U26" s="13" t="s">
        <v>141</v>
      </c>
      <c r="V26" s="13" t="s">
        <v>141</v>
      </c>
      <c r="W26" s="13" t="s">
        <v>141</v>
      </c>
      <c r="X26" s="13" t="s">
        <v>141</v>
      </c>
      <c r="Y26" s="13" t="s">
        <v>141</v>
      </c>
      <c r="Z26" s="13"/>
      <c r="AA26" s="13"/>
    </row>
    <row r="27" spans="1:27" x14ac:dyDescent="0.25">
      <c r="A27" s="10" t="s">
        <v>334</v>
      </c>
      <c r="B27" s="10" t="s">
        <v>335</v>
      </c>
      <c r="C27" s="13" t="s">
        <v>141</v>
      </c>
      <c r="D27" s="13" t="s">
        <v>141</v>
      </c>
      <c r="E27" s="13" t="s">
        <v>141</v>
      </c>
      <c r="F27" s="13" t="s">
        <v>141</v>
      </c>
      <c r="G27" s="13" t="s">
        <v>141</v>
      </c>
      <c r="H27" s="13" t="s">
        <v>141</v>
      </c>
      <c r="I27" s="13" t="s">
        <v>141</v>
      </c>
      <c r="J27" s="13" t="s">
        <v>141</v>
      </c>
      <c r="K27" s="13" t="s">
        <v>141</v>
      </c>
      <c r="L27" s="13" t="s">
        <v>141</v>
      </c>
      <c r="M27" s="13" t="s">
        <v>141</v>
      </c>
      <c r="N27" s="13" t="s">
        <v>141</v>
      </c>
      <c r="O27" s="13" t="s">
        <v>141</v>
      </c>
      <c r="P27" s="13">
        <v>28.976262362564601</v>
      </c>
      <c r="Q27" s="13" t="s">
        <v>141</v>
      </c>
      <c r="R27" s="13" t="s">
        <v>141</v>
      </c>
      <c r="S27" s="13" t="s">
        <v>141</v>
      </c>
      <c r="T27" s="13" t="s">
        <v>141</v>
      </c>
      <c r="U27" s="13" t="s">
        <v>141</v>
      </c>
      <c r="V27" s="13" t="s">
        <v>141</v>
      </c>
      <c r="W27" s="13" t="s">
        <v>141</v>
      </c>
      <c r="X27" s="13" t="s">
        <v>141</v>
      </c>
      <c r="Y27" s="13" t="s">
        <v>141</v>
      </c>
      <c r="Z27" s="13"/>
      <c r="AA27" s="13"/>
    </row>
    <row r="28" spans="1:27" x14ac:dyDescent="0.25">
      <c r="A28" s="10" t="s">
        <v>336</v>
      </c>
      <c r="B28" s="10" t="s">
        <v>337</v>
      </c>
      <c r="C28" s="13" t="s">
        <v>141</v>
      </c>
      <c r="D28" s="13" t="s">
        <v>141</v>
      </c>
      <c r="E28" s="13" t="s">
        <v>141</v>
      </c>
      <c r="F28" s="13" t="s">
        <v>141</v>
      </c>
      <c r="G28" s="13">
        <v>-0.78168753967795901</v>
      </c>
      <c r="H28" s="13">
        <v>0.51647557070550598</v>
      </c>
      <c r="I28" s="13" t="s">
        <v>141</v>
      </c>
      <c r="J28" s="13" t="s">
        <v>141</v>
      </c>
      <c r="K28" s="13" t="s">
        <v>141</v>
      </c>
      <c r="L28" s="13" t="s">
        <v>141</v>
      </c>
      <c r="M28" s="13" t="s">
        <v>141</v>
      </c>
      <c r="N28" s="13" t="s">
        <v>141</v>
      </c>
      <c r="O28" s="13" t="s">
        <v>141</v>
      </c>
      <c r="P28" s="13" t="s">
        <v>141</v>
      </c>
      <c r="Q28" s="13" t="s">
        <v>141</v>
      </c>
      <c r="R28" s="13" t="s">
        <v>141</v>
      </c>
      <c r="S28" s="13" t="s">
        <v>141</v>
      </c>
      <c r="T28" s="13" t="s">
        <v>141</v>
      </c>
      <c r="U28" s="13" t="s">
        <v>141</v>
      </c>
      <c r="V28" s="13" t="s">
        <v>141</v>
      </c>
      <c r="W28" s="13" t="s">
        <v>141</v>
      </c>
      <c r="X28" s="13" t="s">
        <v>141</v>
      </c>
      <c r="Y28" s="13" t="s">
        <v>141</v>
      </c>
      <c r="Z28" s="13"/>
      <c r="AA28" s="13"/>
    </row>
    <row r="29" spans="1:27" x14ac:dyDescent="0.25">
      <c r="A29" s="10" t="s">
        <v>338</v>
      </c>
      <c r="B29" s="10" t="s">
        <v>339</v>
      </c>
      <c r="C29" s="13" t="s">
        <v>141</v>
      </c>
      <c r="D29" s="13" t="s">
        <v>141</v>
      </c>
      <c r="E29" s="13">
        <v>-19.896520695860801</v>
      </c>
      <c r="F29" s="13" t="s">
        <v>141</v>
      </c>
      <c r="G29" s="13" t="s">
        <v>141</v>
      </c>
      <c r="H29" s="13" t="s">
        <v>141</v>
      </c>
      <c r="I29" s="13" t="s">
        <v>141</v>
      </c>
      <c r="J29" s="13" t="s">
        <v>141</v>
      </c>
      <c r="K29" s="13" t="s">
        <v>141</v>
      </c>
      <c r="L29" s="13" t="s">
        <v>141</v>
      </c>
      <c r="M29" s="13" t="s">
        <v>141</v>
      </c>
      <c r="N29" s="13" t="s">
        <v>141</v>
      </c>
      <c r="O29" s="13" t="s">
        <v>141</v>
      </c>
      <c r="P29" s="13" t="s">
        <v>141</v>
      </c>
      <c r="Q29" s="13" t="s">
        <v>141</v>
      </c>
      <c r="R29" s="13" t="s">
        <v>141</v>
      </c>
      <c r="S29" s="13" t="s">
        <v>141</v>
      </c>
      <c r="T29" s="13" t="s">
        <v>141</v>
      </c>
      <c r="U29" s="13" t="s">
        <v>141</v>
      </c>
      <c r="V29" s="13" t="s">
        <v>141</v>
      </c>
      <c r="W29" s="13" t="s">
        <v>141</v>
      </c>
      <c r="X29" s="13" t="s">
        <v>141</v>
      </c>
      <c r="Y29" s="13" t="s">
        <v>141</v>
      </c>
      <c r="Z29" s="13"/>
      <c r="AA29" s="13"/>
    </row>
    <row r="30" spans="1:27" x14ac:dyDescent="0.25">
      <c r="A30" s="10" t="s">
        <v>340</v>
      </c>
      <c r="B30" s="10" t="s">
        <v>341</v>
      </c>
      <c r="C30" s="13" t="s">
        <v>141</v>
      </c>
      <c r="D30" s="13" t="s">
        <v>141</v>
      </c>
      <c r="E30" s="13" t="s">
        <v>141</v>
      </c>
      <c r="F30" s="13">
        <v>-24.238007157505301</v>
      </c>
      <c r="G30" s="13">
        <v>-55.438951732363698</v>
      </c>
      <c r="H30" s="13">
        <v>2.3972412258746298</v>
      </c>
      <c r="I30" s="13">
        <v>9.7388843374377903</v>
      </c>
      <c r="J30" s="13">
        <v>-26.478041967493802</v>
      </c>
      <c r="K30" s="13">
        <v>2.5448114512158102</v>
      </c>
      <c r="L30" s="13">
        <v>-9.9614673325054692</v>
      </c>
      <c r="M30" s="13">
        <v>2.1575415320942999</v>
      </c>
      <c r="N30" s="13">
        <v>14.6118100525652</v>
      </c>
      <c r="O30" s="13">
        <v>0.48795025309361301</v>
      </c>
      <c r="P30" s="13">
        <v>2.9700422994559301</v>
      </c>
      <c r="Q30" s="13">
        <v>-2.0284447893503699</v>
      </c>
      <c r="R30" s="13">
        <v>0.71001284099094897</v>
      </c>
      <c r="S30" s="13">
        <v>-0.43921017461741602</v>
      </c>
      <c r="T30" s="13">
        <v>2.24428070829947</v>
      </c>
      <c r="U30" s="13">
        <v>-0.174429975575255</v>
      </c>
      <c r="V30" s="13">
        <v>-1.5778837342439199E-2</v>
      </c>
      <c r="W30" s="13">
        <v>0.20717614519001301</v>
      </c>
      <c r="X30" s="13">
        <v>0.312825027599273</v>
      </c>
      <c r="Y30" s="13">
        <v>2.7985420607384799E-2</v>
      </c>
      <c r="Z30" s="13"/>
      <c r="AA30" s="13"/>
    </row>
    <row r="31" spans="1:27" x14ac:dyDescent="0.25">
      <c r="A31" s="10" t="s">
        <v>342</v>
      </c>
      <c r="B31" s="10" t="s">
        <v>343</v>
      </c>
      <c r="C31" s="13">
        <v>-21.071700138659001</v>
      </c>
      <c r="D31" s="13" t="s">
        <v>141</v>
      </c>
      <c r="E31" s="13" t="s">
        <v>141</v>
      </c>
      <c r="F31" s="13" t="s">
        <v>141</v>
      </c>
      <c r="G31" s="13">
        <v>0.30780477482156898</v>
      </c>
      <c r="H31" s="13">
        <v>0.60626286222815495</v>
      </c>
      <c r="I31" s="13" t="s">
        <v>141</v>
      </c>
      <c r="J31" s="13" t="s">
        <v>141</v>
      </c>
      <c r="K31" s="13" t="s">
        <v>141</v>
      </c>
      <c r="L31" s="13">
        <v>5.3295529038069001</v>
      </c>
      <c r="M31" s="13" t="s">
        <v>141</v>
      </c>
      <c r="N31" s="13" t="s">
        <v>141</v>
      </c>
      <c r="O31" s="13" t="s">
        <v>141</v>
      </c>
      <c r="P31" s="13" t="s">
        <v>141</v>
      </c>
      <c r="Q31" s="13" t="s">
        <v>141</v>
      </c>
      <c r="R31" s="13" t="s">
        <v>141</v>
      </c>
      <c r="S31" s="13" t="s">
        <v>141</v>
      </c>
      <c r="T31" s="13" t="s">
        <v>141</v>
      </c>
      <c r="U31" s="13" t="s">
        <v>141</v>
      </c>
      <c r="V31" s="13" t="s">
        <v>141</v>
      </c>
      <c r="W31" s="13" t="s">
        <v>141</v>
      </c>
      <c r="X31" s="13" t="s">
        <v>141</v>
      </c>
      <c r="Y31" s="13" t="s">
        <v>141</v>
      </c>
      <c r="Z31" s="13"/>
      <c r="AA31" s="13"/>
    </row>
    <row r="32" spans="1:27" x14ac:dyDescent="0.25">
      <c r="A32" s="6" t="s">
        <v>344</v>
      </c>
      <c r="B32" s="6" t="s">
        <v>158</v>
      </c>
      <c r="C32" s="19">
        <v>-488.70823455740901</v>
      </c>
      <c r="D32" s="19">
        <v>-298.21013117140802</v>
      </c>
      <c r="E32" s="19">
        <v>-385.85259692247598</v>
      </c>
      <c r="F32" s="19">
        <v>-182.60283887570901</v>
      </c>
      <c r="G32" s="19">
        <v>-171.12310267212999</v>
      </c>
      <c r="H32" s="19">
        <v>-200.59275503961001</v>
      </c>
      <c r="I32" s="19">
        <v>-148.93373766522799</v>
      </c>
      <c r="J32" s="19">
        <v>-112.22587657547101</v>
      </c>
      <c r="K32" s="19">
        <v>-85.390359686787306</v>
      </c>
      <c r="L32" s="19">
        <v>-108.84865668619101</v>
      </c>
      <c r="M32" s="19">
        <v>-100.683466455219</v>
      </c>
      <c r="N32" s="19">
        <v>-112.237232660755</v>
      </c>
      <c r="O32" s="19">
        <v>-122.17571546762299</v>
      </c>
      <c r="P32" s="19">
        <v>-153.58826511694801</v>
      </c>
      <c r="Q32" s="19">
        <v>-61.790857671586501</v>
      </c>
      <c r="R32" s="19">
        <v>-53.982899558395196</v>
      </c>
      <c r="S32" s="19">
        <v>-86.025273408333703</v>
      </c>
      <c r="T32" s="19">
        <v>20.084606877806401</v>
      </c>
      <c r="U32" s="19">
        <v>-31.312568509817702</v>
      </c>
      <c r="V32" s="19">
        <v>-12.8631914114575</v>
      </c>
      <c r="W32" s="19">
        <v>-1.6924184442844701</v>
      </c>
      <c r="X32" s="19">
        <v>-21.692728764530798</v>
      </c>
      <c r="Y32" s="19">
        <v>-32.698772350404397</v>
      </c>
      <c r="Z32" s="19">
        <v>-16.964391279539001</v>
      </c>
      <c r="AA32" s="19">
        <v>-17.10806644106</v>
      </c>
    </row>
    <row r="33" spans="1:27" x14ac:dyDescent="0.25">
      <c r="A33" s="10" t="s">
        <v>345</v>
      </c>
      <c r="B33" s="10" t="s">
        <v>346</v>
      </c>
      <c r="C33" s="13">
        <v>2.14697857494297</v>
      </c>
      <c r="D33" s="13">
        <v>-0.56236708011589898</v>
      </c>
      <c r="E33" s="13">
        <v>-0.55523778965137205</v>
      </c>
      <c r="F33" s="13">
        <v>0.57802887128553604</v>
      </c>
      <c r="G33" s="13">
        <v>1.2754660356668801</v>
      </c>
      <c r="H33" s="13">
        <v>0.66665077511064497</v>
      </c>
      <c r="I33" s="13">
        <v>-3.6071948252039E-2</v>
      </c>
      <c r="J33" s="13">
        <v>0.57218161134451395</v>
      </c>
      <c r="K33" s="13">
        <v>0.55678227002126501</v>
      </c>
      <c r="L33" s="13">
        <v>0.148161570725832</v>
      </c>
      <c r="M33" s="13">
        <v>-0.71247606707022304</v>
      </c>
      <c r="N33" s="13">
        <v>0.461879686203161</v>
      </c>
      <c r="O33" s="13">
        <v>1.21387077547171</v>
      </c>
      <c r="P33" s="13">
        <v>-8.7020347627371295E-3</v>
      </c>
      <c r="Q33" s="13">
        <v>0.140880803498142</v>
      </c>
      <c r="R33" s="13">
        <v>0.54464593316420795</v>
      </c>
      <c r="S33" s="13">
        <v>0.56940461923615104</v>
      </c>
      <c r="T33" s="13">
        <v>0.39811866281161301</v>
      </c>
      <c r="U33" s="13">
        <v>4.1617582177668401E-2</v>
      </c>
      <c r="V33" s="13">
        <v>0.47498346256470803</v>
      </c>
      <c r="W33" s="13">
        <v>0.86719963626719199</v>
      </c>
      <c r="X33" s="13">
        <v>0.58033334730764896</v>
      </c>
      <c r="Y33" s="13">
        <v>-18.5774302640408</v>
      </c>
      <c r="Z33" s="13"/>
      <c r="AA33" s="13"/>
    </row>
    <row r="34" spans="1:27" x14ac:dyDescent="0.25">
      <c r="A34" s="6" t="s">
        <v>347</v>
      </c>
      <c r="B34" s="6" t="s">
        <v>348</v>
      </c>
      <c r="C34" s="19">
        <v>-490.85521313235199</v>
      </c>
      <c r="D34" s="19">
        <v>-297.647764091292</v>
      </c>
      <c r="E34" s="19">
        <v>-385.29735913282502</v>
      </c>
      <c r="F34" s="19">
        <v>-183.18086774699401</v>
      </c>
      <c r="G34" s="19">
        <v>-172.39856870779701</v>
      </c>
      <c r="H34" s="19">
        <v>-201.25940581472</v>
      </c>
      <c r="I34" s="19">
        <v>-148.89766571697601</v>
      </c>
      <c r="J34" s="19">
        <v>-112.798058186815</v>
      </c>
      <c r="K34" s="19">
        <v>-85.947141956808593</v>
      </c>
      <c r="L34" s="19">
        <v>-108.996818256916</v>
      </c>
      <c r="M34" s="19">
        <v>-99.970990388148607</v>
      </c>
      <c r="N34" s="19">
        <v>-112.699112346958</v>
      </c>
      <c r="O34" s="19">
        <v>-123.389586243094</v>
      </c>
      <c r="P34" s="19">
        <v>-153.57956308218499</v>
      </c>
      <c r="Q34" s="19">
        <v>-61.9317384750847</v>
      </c>
      <c r="R34" s="19">
        <v>-54.527545491559401</v>
      </c>
      <c r="S34" s="19">
        <v>-86.594678027569898</v>
      </c>
      <c r="T34" s="19">
        <v>19.6864882149947</v>
      </c>
      <c r="U34" s="19">
        <v>-31.354186091995299</v>
      </c>
      <c r="V34" s="19">
        <v>-13.338174874022201</v>
      </c>
      <c r="W34" s="19">
        <v>-2.55961808055166</v>
      </c>
      <c r="X34" s="19">
        <v>-22.273062111838399</v>
      </c>
      <c r="Y34" s="19">
        <v>-14.1213420863637</v>
      </c>
      <c r="Z34" s="19">
        <v>-21.1542976012392</v>
      </c>
      <c r="AA34" s="19">
        <v>-19.4603167568355</v>
      </c>
    </row>
    <row r="35" spans="1:27" x14ac:dyDescent="0.25">
      <c r="A35" s="10" t="s">
        <v>349</v>
      </c>
      <c r="B35" s="10" t="s">
        <v>350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/>
      <c r="AA35" s="13"/>
    </row>
    <row r="36" spans="1:27" x14ac:dyDescent="0.25">
      <c r="A36" s="10" t="s">
        <v>351</v>
      </c>
      <c r="B36" s="10" t="s">
        <v>352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/>
      <c r="AA36" s="13"/>
    </row>
    <row r="37" spans="1:27" x14ac:dyDescent="0.25">
      <c r="A37" s="10" t="s">
        <v>353</v>
      </c>
      <c r="B37" s="10" t="s">
        <v>354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/>
      <c r="AA37" s="13"/>
    </row>
    <row r="38" spans="1:27" x14ac:dyDescent="0.25">
      <c r="A38" s="6" t="s">
        <v>355</v>
      </c>
      <c r="B38" s="6" t="s">
        <v>356</v>
      </c>
      <c r="C38" s="19">
        <v>-490.85521313235199</v>
      </c>
      <c r="D38" s="19">
        <v>-297.647764091292</v>
      </c>
      <c r="E38" s="19">
        <v>-385.29735913282502</v>
      </c>
      <c r="F38" s="19">
        <v>-183.18086774699401</v>
      </c>
      <c r="G38" s="19">
        <v>-172.39856870779701</v>
      </c>
      <c r="H38" s="19">
        <v>-201.25940581472</v>
      </c>
      <c r="I38" s="19">
        <v>-148.89766571697601</v>
      </c>
      <c r="J38" s="19">
        <v>-112.798058186815</v>
      </c>
      <c r="K38" s="19">
        <v>-85.947141956808593</v>
      </c>
      <c r="L38" s="19">
        <v>-108.996818256916</v>
      </c>
      <c r="M38" s="19">
        <v>-99.970990388148607</v>
      </c>
      <c r="N38" s="19">
        <v>-112.699112346958</v>
      </c>
      <c r="O38" s="19">
        <v>-123.389586243094</v>
      </c>
      <c r="P38" s="19">
        <v>-153.57956308218499</v>
      </c>
      <c r="Q38" s="19">
        <v>-61.9317384750847</v>
      </c>
      <c r="R38" s="19">
        <v>-54.527545491559401</v>
      </c>
      <c r="S38" s="19">
        <v>-86.594678027569898</v>
      </c>
      <c r="T38" s="19">
        <v>19.6864882149947</v>
      </c>
      <c r="U38" s="19">
        <v>-31.354186091995299</v>
      </c>
      <c r="V38" s="19">
        <v>-13.338174874022201</v>
      </c>
      <c r="W38" s="19">
        <v>-2.55961808055166</v>
      </c>
      <c r="X38" s="19">
        <v>-22.273062111838399</v>
      </c>
      <c r="Y38" s="19">
        <v>-14.1213420863637</v>
      </c>
      <c r="Z38" s="19"/>
      <c r="AA38" s="19"/>
    </row>
    <row r="39" spans="1:27" x14ac:dyDescent="0.25">
      <c r="A39" s="10" t="s">
        <v>357</v>
      </c>
      <c r="B39" s="10" t="s">
        <v>358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/>
      <c r="AA39" s="13"/>
    </row>
    <row r="40" spans="1:27" x14ac:dyDescent="0.25">
      <c r="A40" s="6" t="s">
        <v>359</v>
      </c>
      <c r="B40" s="6" t="s">
        <v>360</v>
      </c>
      <c r="C40" s="19">
        <v>-490.85521313235199</v>
      </c>
      <c r="D40" s="19">
        <v>-297.647764091292</v>
      </c>
      <c r="E40" s="19">
        <v>-385.29735913282502</v>
      </c>
      <c r="F40" s="19">
        <v>-183.18086774699401</v>
      </c>
      <c r="G40" s="19">
        <v>-172.39856870779701</v>
      </c>
      <c r="H40" s="19">
        <v>-201.25940581472</v>
      </c>
      <c r="I40" s="19">
        <v>-148.89766571697601</v>
      </c>
      <c r="J40" s="19">
        <v>-112.798058186815</v>
      </c>
      <c r="K40" s="19">
        <v>-85.947141956808593</v>
      </c>
      <c r="L40" s="19">
        <v>-108.996818256916</v>
      </c>
      <c r="M40" s="19">
        <v>-99.970990388148607</v>
      </c>
      <c r="N40" s="19">
        <v>-112.699112346958</v>
      </c>
      <c r="O40" s="19">
        <v>-123.389586243094</v>
      </c>
      <c r="P40" s="19">
        <v>-153.57956308218499</v>
      </c>
      <c r="Q40" s="19">
        <v>-61.9317384750847</v>
      </c>
      <c r="R40" s="19">
        <v>-54.527545491559401</v>
      </c>
      <c r="S40" s="19">
        <v>-86.594678027569898</v>
      </c>
      <c r="T40" s="19">
        <v>19.6864882149947</v>
      </c>
      <c r="U40" s="19">
        <v>-31.354186091995299</v>
      </c>
      <c r="V40" s="19">
        <v>-13.338174874022201</v>
      </c>
      <c r="W40" s="19">
        <v>-2.55961808055166</v>
      </c>
      <c r="X40" s="19">
        <v>-22.273062111838399</v>
      </c>
      <c r="Y40" s="19">
        <v>-14.1213420863637</v>
      </c>
      <c r="Z40" s="19">
        <v>-21.1542976012392</v>
      </c>
      <c r="AA40" s="19">
        <v>-19.4603167568355</v>
      </c>
    </row>
    <row r="41" spans="1:27" x14ac:dyDescent="0.25">
      <c r="A41" s="10" t="s">
        <v>361</v>
      </c>
      <c r="B41" s="10" t="s">
        <v>362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/>
      <c r="AA41" s="13"/>
    </row>
    <row r="42" spans="1:27" x14ac:dyDescent="0.25">
      <c r="A42" s="10" t="s">
        <v>363</v>
      </c>
      <c r="B42" s="10" t="s">
        <v>364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/>
      <c r="AA42" s="13"/>
    </row>
    <row r="43" spans="1:27" x14ac:dyDescent="0.25">
      <c r="A43" s="6" t="s">
        <v>365</v>
      </c>
      <c r="B43" s="6" t="s">
        <v>80</v>
      </c>
      <c r="C43" s="19">
        <v>-490.85521313235199</v>
      </c>
      <c r="D43" s="19">
        <v>-297.647764091292</v>
      </c>
      <c r="E43" s="19">
        <v>-385.29735913282502</v>
      </c>
      <c r="F43" s="19">
        <v>-183.18086774699401</v>
      </c>
      <c r="G43" s="19">
        <v>-172.39856870779701</v>
      </c>
      <c r="H43" s="19">
        <v>-201.25940581472</v>
      </c>
      <c r="I43" s="19">
        <v>-148.89766571697601</v>
      </c>
      <c r="J43" s="19">
        <v>-112.798058186815</v>
      </c>
      <c r="K43" s="19">
        <v>-85.947141956808593</v>
      </c>
      <c r="L43" s="19">
        <v>-108.996818256916</v>
      </c>
      <c r="M43" s="19">
        <v>-99.970990388148607</v>
      </c>
      <c r="N43" s="19">
        <v>-112.699112346958</v>
      </c>
      <c r="O43" s="19">
        <v>-123.389586243094</v>
      </c>
      <c r="P43" s="19">
        <v>-153.57956308218499</v>
      </c>
      <c r="Q43" s="19">
        <v>-61.9317384750847</v>
      </c>
      <c r="R43" s="19">
        <v>-54.527545491559401</v>
      </c>
      <c r="S43" s="19">
        <v>-86.594678027569898</v>
      </c>
      <c r="T43" s="19">
        <v>19.6864882149947</v>
      </c>
      <c r="U43" s="19">
        <v>-31.354186091995299</v>
      </c>
      <c r="V43" s="19">
        <v>-13.338174874022201</v>
      </c>
      <c r="W43" s="19">
        <v>-2.55961808055166</v>
      </c>
      <c r="X43" s="19">
        <v>-22.273062111838399</v>
      </c>
      <c r="Y43" s="19">
        <v>-14.1213420863637</v>
      </c>
      <c r="Z43" s="19">
        <v>-21.1542976012392</v>
      </c>
      <c r="AA43" s="19">
        <v>-19.4603167568355</v>
      </c>
    </row>
    <row r="44" spans="1:27" x14ac:dyDescent="0.25">
      <c r="A44" s="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5">
      <c r="A45" s="10" t="s">
        <v>367</v>
      </c>
      <c r="B45" s="10" t="s">
        <v>368</v>
      </c>
      <c r="C45" s="13">
        <v>-21.071700138659001</v>
      </c>
      <c r="D45" s="13">
        <v>0</v>
      </c>
      <c r="E45" s="13">
        <v>-15.7182516984975</v>
      </c>
      <c r="F45" s="13">
        <v>-24.238007157505301</v>
      </c>
      <c r="G45" s="13">
        <v>-44.106500452088298</v>
      </c>
      <c r="H45" s="13">
        <v>25.7681580891993</v>
      </c>
      <c r="I45" s="13">
        <v>13.939668138076099</v>
      </c>
      <c r="J45" s="13">
        <v>-26.478041967493802</v>
      </c>
      <c r="K45" s="13">
        <v>2.0104011280735201</v>
      </c>
      <c r="L45" s="13">
        <v>-4.6319144286985798</v>
      </c>
      <c r="M45" s="13">
        <v>2.1575415320942999</v>
      </c>
      <c r="N45" s="13">
        <v>14.6118100525652</v>
      </c>
      <c r="O45" s="13">
        <v>0.48795025309361301</v>
      </c>
      <c r="P45" s="13">
        <v>31.946304662020498</v>
      </c>
      <c r="Q45" s="13">
        <v>-2.0284447893503699</v>
      </c>
      <c r="R45" s="13">
        <v>0.71001284099094897</v>
      </c>
      <c r="S45" s="13">
        <v>-0.43921017461741602</v>
      </c>
      <c r="T45" s="13">
        <v>2.24428070829947</v>
      </c>
      <c r="U45" s="13">
        <v>-0.174429975575255</v>
      </c>
      <c r="V45" s="13">
        <v>-1.5778837342439199E-2</v>
      </c>
      <c r="W45" s="13">
        <v>0.20717614519001301</v>
      </c>
      <c r="X45" s="13">
        <v>0.312825027599273</v>
      </c>
      <c r="Y45" s="13">
        <v>2.7985420607384799E-2</v>
      </c>
      <c r="Z45" s="13"/>
      <c r="AA45" s="13"/>
    </row>
    <row r="46" spans="1:27" x14ac:dyDescent="0.25">
      <c r="A46" s="10" t="s">
        <v>369</v>
      </c>
      <c r="B46" s="10" t="s">
        <v>350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/>
      <c r="AA46" s="13"/>
    </row>
    <row r="47" spans="1:27" x14ac:dyDescent="0.25">
      <c r="A47" s="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x14ac:dyDescent="0.25">
      <c r="A48" s="10" t="s">
        <v>248</v>
      </c>
      <c r="B48" s="10" t="s">
        <v>106</v>
      </c>
      <c r="C48" s="13">
        <v>242.82327682605001</v>
      </c>
      <c r="D48" s="13">
        <v>155.151939024564</v>
      </c>
      <c r="E48" s="13">
        <v>155.89905274758999</v>
      </c>
      <c r="F48" s="13">
        <v>113.341911616872</v>
      </c>
      <c r="G48" s="13">
        <v>110.531732748504</v>
      </c>
      <c r="H48" s="13">
        <v>92.159900836690397</v>
      </c>
      <c r="I48" s="13">
        <v>71.088639170467502</v>
      </c>
      <c r="J48" s="13">
        <v>65.936046315172902</v>
      </c>
      <c r="K48" s="13">
        <v>53.398502854189204</v>
      </c>
      <c r="L48" s="13">
        <v>63.4968262512458</v>
      </c>
      <c r="M48" s="13">
        <v>46.327576537025898</v>
      </c>
      <c r="N48" s="13">
        <v>56.4538894020885</v>
      </c>
      <c r="O48" s="13">
        <v>53.7750535989111</v>
      </c>
      <c r="P48" s="13">
        <v>46.221425166284497</v>
      </c>
      <c r="Q48" s="13">
        <v>36.791976957631299</v>
      </c>
      <c r="R48" s="13">
        <v>38.870932381220797</v>
      </c>
      <c r="S48" s="13">
        <v>39.108215112594699</v>
      </c>
      <c r="T48" s="13">
        <v>16.684209825057</v>
      </c>
      <c r="U48" s="13">
        <v>28.5667177600189</v>
      </c>
      <c r="V48" s="13">
        <v>25.516807496161501</v>
      </c>
      <c r="W48" s="13">
        <v>19.207062478687501</v>
      </c>
      <c r="X48" s="13">
        <v>25.670817038283602</v>
      </c>
      <c r="Y48" s="13">
        <v>21.7672624526692</v>
      </c>
      <c r="Z48" s="13"/>
      <c r="AA48" s="13"/>
    </row>
    <row r="49" spans="1:27" x14ac:dyDescent="0.25">
      <c r="A49" s="6" t="s">
        <v>101</v>
      </c>
      <c r="B49" s="6" t="s">
        <v>102</v>
      </c>
      <c r="C49" s="19">
        <v>-4.5176007514425001</v>
      </c>
      <c r="D49" s="19">
        <v>-2.7404690198541299</v>
      </c>
      <c r="E49" s="19">
        <v>-3.4458224634142902</v>
      </c>
      <c r="F49" s="19">
        <v>-1.6285335156218601</v>
      </c>
      <c r="G49" s="19">
        <v>-1.5005482772551499</v>
      </c>
      <c r="H49" s="19">
        <v>-1.7321796063661601</v>
      </c>
      <c r="I49" s="19">
        <v>-1.2778029126569701</v>
      </c>
      <c r="J49" s="19">
        <v>-0.96302220019598295</v>
      </c>
      <c r="K49" s="19">
        <v>-0.72998326932755397</v>
      </c>
      <c r="L49" s="19">
        <v>-0.91668309945478699</v>
      </c>
      <c r="M49" s="19">
        <v>-0.83547682132013101</v>
      </c>
      <c r="N49" s="19">
        <v>-0.937826774016571</v>
      </c>
      <c r="O49" s="19">
        <v>-1.01860171338594</v>
      </c>
      <c r="P49" s="19">
        <v>-1.25611980053423</v>
      </c>
      <c r="Q49" s="19">
        <v>-0.50144014804423398</v>
      </c>
      <c r="R49" s="19">
        <v>-0.43847286166181199</v>
      </c>
      <c r="S49" s="19">
        <v>-0.69332463278892198</v>
      </c>
      <c r="T49" s="19">
        <v>0.157222229624399</v>
      </c>
      <c r="U49" s="19">
        <v>-0.25016033002970101</v>
      </c>
      <c r="V49" s="19">
        <v>-0.105192248949595</v>
      </c>
      <c r="W49" s="19">
        <v>-1.97021937634979E-2</v>
      </c>
      <c r="X49" s="19">
        <v>-0.17368077473603499</v>
      </c>
      <c r="Y49" s="19">
        <v>-0.10958146623373601</v>
      </c>
      <c r="Z49" s="19">
        <v>-0.162784680419402</v>
      </c>
      <c r="AA49" s="19">
        <v>-0.14482935461506999</v>
      </c>
    </row>
    <row r="50" spans="1:27" x14ac:dyDescent="0.25">
      <c r="A50" s="6" t="s">
        <v>370</v>
      </c>
      <c r="B50" s="6" t="s">
        <v>255</v>
      </c>
      <c r="C50" s="19">
        <v>-4.5176007514425001</v>
      </c>
      <c r="D50" s="19">
        <v>-2.7404690198541299</v>
      </c>
      <c r="E50" s="19">
        <v>-3.4458224634142902</v>
      </c>
      <c r="F50" s="19">
        <v>-1.6285335156218601</v>
      </c>
      <c r="G50" s="19">
        <v>-1.5005482772551499</v>
      </c>
      <c r="H50" s="19">
        <v>-1.7321796063661601</v>
      </c>
      <c r="I50" s="19">
        <v>-1.2778029126569701</v>
      </c>
      <c r="J50" s="19">
        <v>-0.96302220019598295</v>
      </c>
      <c r="K50" s="19">
        <v>-0.72998326932755397</v>
      </c>
      <c r="L50" s="19">
        <v>-0.91668309945478699</v>
      </c>
      <c r="M50" s="19">
        <v>-0.83547682132013101</v>
      </c>
      <c r="N50" s="19">
        <v>-0.937826774016571</v>
      </c>
      <c r="O50" s="19">
        <v>-1.01860171338594</v>
      </c>
      <c r="P50" s="19">
        <v>-1.25611980053423</v>
      </c>
      <c r="Q50" s="19">
        <v>-0.50144014804423398</v>
      </c>
      <c r="R50" s="19">
        <v>-0.43847286166181199</v>
      </c>
      <c r="S50" s="19">
        <v>-0.69332463278892198</v>
      </c>
      <c r="T50" s="19">
        <v>0.157222229624399</v>
      </c>
      <c r="U50" s="19">
        <v>-0.25016033002970101</v>
      </c>
      <c r="V50" s="19">
        <v>-0.105192248949595</v>
      </c>
      <c r="W50" s="19">
        <v>-1.97021937634979E-2</v>
      </c>
      <c r="X50" s="19">
        <v>-0.17368077473603499</v>
      </c>
      <c r="Y50" s="19">
        <v>-0.10958146623373601</v>
      </c>
      <c r="Z50" s="19">
        <v>-0.162784680419402</v>
      </c>
      <c r="AA50" s="19">
        <v>-0.14482935461506999</v>
      </c>
    </row>
    <row r="51" spans="1:27" x14ac:dyDescent="0.25">
      <c r="A51" s="6" t="s">
        <v>371</v>
      </c>
      <c r="B51" s="6" t="s">
        <v>257</v>
      </c>
      <c r="C51" s="19">
        <v>-4.7149170282238204</v>
      </c>
      <c r="D51" s="19">
        <v>-2.7404690198541299</v>
      </c>
      <c r="E51" s="19">
        <v>-3.5885060197262901</v>
      </c>
      <c r="F51" s="19">
        <v>-1.83966785958422</v>
      </c>
      <c r="G51" s="19">
        <v>-1.88411054038976</v>
      </c>
      <c r="H51" s="19">
        <v>-1.5130382271380101</v>
      </c>
      <c r="I51" s="19">
        <v>-1.16068952446167</v>
      </c>
      <c r="J51" s="19">
        <v>-1.1895807755989301</v>
      </c>
      <c r="K51" s="19">
        <v>-0.71270533613235798</v>
      </c>
      <c r="L51" s="19">
        <v>-0.95373308533147105</v>
      </c>
      <c r="M51" s="19">
        <v>-0.81665693233024494</v>
      </c>
      <c r="N51" s="19">
        <v>-0.81472575600560804</v>
      </c>
      <c r="O51" s="19">
        <v>-1.0165898638009401</v>
      </c>
      <c r="P51" s="19">
        <v>-0.99563914553585597</v>
      </c>
      <c r="Q51" s="19">
        <v>-0.51887922157386501</v>
      </c>
      <c r="R51" s="19">
        <v>-0.43362429139653602</v>
      </c>
      <c r="S51" s="19">
        <v>-0.69817570916757099</v>
      </c>
      <c r="T51" s="19">
        <v>0.17513796916845401</v>
      </c>
      <c r="U51" s="19">
        <v>-0.250998139716819</v>
      </c>
      <c r="V51" s="19">
        <v>-0.10586790685630899</v>
      </c>
      <c r="W51" s="19">
        <v>-1.85621945212746E-2</v>
      </c>
      <c r="X51" s="19">
        <v>-0.17077711166875301</v>
      </c>
      <c r="Y51" s="19">
        <v>-0.109152749820455</v>
      </c>
      <c r="Z51" s="19">
        <v>-7.9507464962739499E-2</v>
      </c>
      <c r="AA51" s="19">
        <v>-6.2363678380697E-2</v>
      </c>
    </row>
    <row r="52" spans="1:27" x14ac:dyDescent="0.25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x14ac:dyDescent="0.25">
      <c r="A53" s="10" t="s">
        <v>247</v>
      </c>
      <c r="B53" s="10" t="s">
        <v>108</v>
      </c>
      <c r="C53" s="13">
        <v>242.82327682605001</v>
      </c>
      <c r="D53" s="13">
        <v>155.151939024564</v>
      </c>
      <c r="E53" s="13">
        <v>155.89905274758999</v>
      </c>
      <c r="F53" s="13">
        <v>113.341911616872</v>
      </c>
      <c r="G53" s="13">
        <v>110.531732748504</v>
      </c>
      <c r="H53" s="13">
        <v>92.159900836690397</v>
      </c>
      <c r="I53" s="13">
        <v>71.088639170467502</v>
      </c>
      <c r="J53" s="13">
        <v>65.936046315172902</v>
      </c>
      <c r="K53" s="13">
        <v>53.398502854189204</v>
      </c>
      <c r="L53" s="13">
        <v>63.4968262512458</v>
      </c>
      <c r="M53" s="13">
        <v>46.327576537025898</v>
      </c>
      <c r="N53" s="13">
        <v>56.4538894020885</v>
      </c>
      <c r="O53" s="13">
        <v>53.7750535989111</v>
      </c>
      <c r="P53" s="13">
        <v>46.221425166284497</v>
      </c>
      <c r="Q53" s="13">
        <v>36.791976957631299</v>
      </c>
      <c r="R53" s="13">
        <v>38.870932381220797</v>
      </c>
      <c r="S53" s="13">
        <v>39.108215112594699</v>
      </c>
      <c r="T53" s="13">
        <v>17.4992338747285</v>
      </c>
      <c r="U53" s="13">
        <v>28.5667177600189</v>
      </c>
      <c r="V53" s="13">
        <v>25.516807496161501</v>
      </c>
      <c r="W53" s="13">
        <v>19.207062478687501</v>
      </c>
      <c r="X53" s="13">
        <v>25.670817038283602</v>
      </c>
      <c r="Y53" s="13">
        <v>21.7672624526692</v>
      </c>
      <c r="Z53" s="13"/>
      <c r="AA53" s="13"/>
    </row>
    <row r="54" spans="1:27" x14ac:dyDescent="0.25">
      <c r="A54" s="6" t="s">
        <v>103</v>
      </c>
      <c r="B54" s="6" t="s">
        <v>104</v>
      </c>
      <c r="C54" s="19">
        <v>-4.5176007514425001</v>
      </c>
      <c r="D54" s="19">
        <v>-2.7404690198541299</v>
      </c>
      <c r="E54" s="19">
        <v>-3.4458224634142902</v>
      </c>
      <c r="F54" s="19">
        <v>-1.6285335156218601</v>
      </c>
      <c r="G54" s="19">
        <v>-1.5005482772551499</v>
      </c>
      <c r="H54" s="19">
        <v>-1.7321796063661601</v>
      </c>
      <c r="I54" s="19">
        <v>-1.2778029126569701</v>
      </c>
      <c r="J54" s="19">
        <v>-0.96302220019598295</v>
      </c>
      <c r="K54" s="19">
        <v>-0.72998326932755397</v>
      </c>
      <c r="L54" s="19">
        <v>-0.91668309945478699</v>
      </c>
      <c r="M54" s="19">
        <v>-0.83547682132013101</v>
      </c>
      <c r="N54" s="19">
        <v>-0.937826774016571</v>
      </c>
      <c r="O54" s="19">
        <v>-1.01860171338594</v>
      </c>
      <c r="P54" s="19">
        <v>-1.25611980053423</v>
      </c>
      <c r="Q54" s="19">
        <v>-0.50144014804423398</v>
      </c>
      <c r="R54" s="19">
        <v>-0.43847286166181199</v>
      </c>
      <c r="S54" s="19">
        <v>-0.69332463278892198</v>
      </c>
      <c r="T54" s="19">
        <v>0.153225054294965</v>
      </c>
      <c r="U54" s="19">
        <v>-0.25016033002970101</v>
      </c>
      <c r="V54" s="19">
        <v>-0.105192248949595</v>
      </c>
      <c r="W54" s="19">
        <v>-1.97021937634979E-2</v>
      </c>
      <c r="X54" s="19">
        <v>-0.17368077473603499</v>
      </c>
      <c r="Y54" s="19">
        <v>-0.10958146623373601</v>
      </c>
      <c r="Z54" s="19">
        <v>-0.162784680419402</v>
      </c>
      <c r="AA54" s="19">
        <v>-0.14482935461506999</v>
      </c>
    </row>
    <row r="55" spans="1:27" x14ac:dyDescent="0.25">
      <c r="A55" s="6" t="s">
        <v>372</v>
      </c>
      <c r="B55" s="6" t="s">
        <v>260</v>
      </c>
      <c r="C55" s="19">
        <v>-4.5176007514425001</v>
      </c>
      <c r="D55" s="19">
        <v>-2.7404690198541299</v>
      </c>
      <c r="E55" s="19">
        <v>-3.4458224634142902</v>
      </c>
      <c r="F55" s="19">
        <v>-1.6285335156218601</v>
      </c>
      <c r="G55" s="19">
        <v>-1.5005482772551499</v>
      </c>
      <c r="H55" s="19">
        <v>-1.7321796063661601</v>
      </c>
      <c r="I55" s="19">
        <v>-1.2778029126569701</v>
      </c>
      <c r="J55" s="19">
        <v>-0.96302220019598295</v>
      </c>
      <c r="K55" s="19">
        <v>-0.72998326932755397</v>
      </c>
      <c r="L55" s="19">
        <v>-0.91668309945478699</v>
      </c>
      <c r="M55" s="19">
        <v>-0.83547682132013101</v>
      </c>
      <c r="N55" s="19">
        <v>-0.937826774016571</v>
      </c>
      <c r="O55" s="19">
        <v>-1.01860171338594</v>
      </c>
      <c r="P55" s="19">
        <v>-1.25611980053423</v>
      </c>
      <c r="Q55" s="19">
        <v>-0.50144014804423398</v>
      </c>
      <c r="R55" s="19">
        <v>-0.43847286166181199</v>
      </c>
      <c r="S55" s="19">
        <v>-0.69332463278892198</v>
      </c>
      <c r="T55" s="19">
        <v>0.153225054294965</v>
      </c>
      <c r="U55" s="19">
        <v>-0.25016033002970101</v>
      </c>
      <c r="V55" s="19">
        <v>-0.105192248949595</v>
      </c>
      <c r="W55" s="19">
        <v>-1.97021937634979E-2</v>
      </c>
      <c r="X55" s="19">
        <v>-0.17368077473603499</v>
      </c>
      <c r="Y55" s="19">
        <v>-0.10958146623373601</v>
      </c>
      <c r="Z55" s="19">
        <v>-0.162784680419402</v>
      </c>
      <c r="AA55" s="19">
        <v>-0.14482935461506999</v>
      </c>
    </row>
    <row r="56" spans="1:27" x14ac:dyDescent="0.25">
      <c r="A56" s="6" t="s">
        <v>373</v>
      </c>
      <c r="B56" s="6" t="s">
        <v>82</v>
      </c>
      <c r="C56" s="19">
        <v>-4.7149170282238204</v>
      </c>
      <c r="D56" s="19">
        <v>-2.7404690198541299</v>
      </c>
      <c r="E56" s="19">
        <v>-3.5885060197262901</v>
      </c>
      <c r="F56" s="19">
        <v>-1.84350898709236</v>
      </c>
      <c r="G56" s="19">
        <v>-1.8843798695677301</v>
      </c>
      <c r="H56" s="19">
        <v>-1.5130382271380101</v>
      </c>
      <c r="I56" s="19">
        <v>-1.16068952446167</v>
      </c>
      <c r="J56" s="19">
        <v>-1.1895807755989301</v>
      </c>
      <c r="K56" s="19">
        <v>-0.71291299596922297</v>
      </c>
      <c r="L56" s="19">
        <v>-0.95556058902218699</v>
      </c>
      <c r="M56" s="19">
        <v>-0.81746339953971403</v>
      </c>
      <c r="N56" s="19">
        <v>-0.81645932879737804</v>
      </c>
      <c r="O56" s="19">
        <v>-1.0165898638009401</v>
      </c>
      <c r="P56" s="19">
        <v>-0.99563914553585597</v>
      </c>
      <c r="Q56" s="19">
        <v>-0.51887922157386501</v>
      </c>
      <c r="R56" s="19">
        <v>-0.43362429139653602</v>
      </c>
      <c r="S56" s="19">
        <v>-0.69817570916757099</v>
      </c>
      <c r="T56" s="19">
        <v>0.17031297882829499</v>
      </c>
      <c r="U56" s="19">
        <v>-0.251548947279848</v>
      </c>
      <c r="V56" s="19">
        <v>-0.10586790685630899</v>
      </c>
      <c r="W56" s="19">
        <v>-1.85621945212746E-2</v>
      </c>
      <c r="X56" s="19">
        <v>-0.171248046091284</v>
      </c>
      <c r="Y56" s="19">
        <v>-0.109364663517464</v>
      </c>
      <c r="Z56" s="19">
        <v>-7.9507464962739499E-2</v>
      </c>
      <c r="AA56" s="19">
        <v>-6.2363678380697E-2</v>
      </c>
    </row>
    <row r="57" spans="1:27" x14ac:dyDescent="0.25">
      <c r="A57" s="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x14ac:dyDescent="0.25">
      <c r="A58" s="6" t="s">
        <v>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x14ac:dyDescent="0.25">
      <c r="A59" s="10" t="s">
        <v>374</v>
      </c>
      <c r="B59" s="10" t="s">
        <v>375</v>
      </c>
      <c r="C59" s="12" t="s">
        <v>376</v>
      </c>
      <c r="D59" s="12" t="s">
        <v>376</v>
      </c>
      <c r="E59" s="12" t="s">
        <v>376</v>
      </c>
      <c r="F59" s="12" t="s">
        <v>376</v>
      </c>
      <c r="G59" s="12" t="s">
        <v>376</v>
      </c>
      <c r="H59" s="12" t="s">
        <v>376</v>
      </c>
      <c r="I59" s="12" t="s">
        <v>376</v>
      </c>
      <c r="J59" s="12" t="s">
        <v>376</v>
      </c>
      <c r="K59" s="12" t="s">
        <v>376</v>
      </c>
      <c r="L59" s="12" t="s">
        <v>376</v>
      </c>
      <c r="M59" s="12" t="s">
        <v>376</v>
      </c>
      <c r="N59" s="12" t="s">
        <v>376</v>
      </c>
      <c r="O59" s="12" t="s">
        <v>376</v>
      </c>
      <c r="P59" s="12" t="s">
        <v>376</v>
      </c>
      <c r="Q59" s="12" t="s">
        <v>376</v>
      </c>
      <c r="R59" s="12" t="s">
        <v>376</v>
      </c>
      <c r="S59" s="12" t="s">
        <v>376</v>
      </c>
      <c r="T59" s="12" t="s">
        <v>376</v>
      </c>
      <c r="U59" s="12" t="s">
        <v>376</v>
      </c>
      <c r="V59" s="12" t="s">
        <v>376</v>
      </c>
      <c r="W59" s="12" t="s">
        <v>376</v>
      </c>
      <c r="X59" s="12" t="s">
        <v>376</v>
      </c>
      <c r="Y59" s="12" t="s">
        <v>376</v>
      </c>
      <c r="Z59" s="12"/>
      <c r="AA59" s="12"/>
    </row>
    <row r="60" spans="1:27" x14ac:dyDescent="0.25">
      <c r="A60" s="10" t="s">
        <v>78</v>
      </c>
      <c r="B60" s="10" t="s">
        <v>78</v>
      </c>
      <c r="C60" s="13">
        <v>-485.83217784139202</v>
      </c>
      <c r="D60" s="13">
        <v>-270.28732104879998</v>
      </c>
      <c r="E60" s="13">
        <v>-380.241626093386</v>
      </c>
      <c r="F60" s="13">
        <v>-194.169447907033</v>
      </c>
      <c r="G60" s="13">
        <v>-174.96167638175501</v>
      </c>
      <c r="H60" s="13">
        <v>-140.65218945913099</v>
      </c>
      <c r="I60" s="13">
        <v>-99.733434416307006</v>
      </c>
      <c r="J60" s="13">
        <v>-92.017615985042198</v>
      </c>
      <c r="K60" s="13">
        <v>-56.221860505184701</v>
      </c>
      <c r="L60" s="13">
        <v>-79.120943544046099</v>
      </c>
      <c r="M60" s="13">
        <v>-66.958052101262894</v>
      </c>
      <c r="N60" s="13">
        <v>-59.530430134249897</v>
      </c>
      <c r="O60" s="13">
        <v>-76.261242427207804</v>
      </c>
      <c r="P60" s="13">
        <v>-89.816349231572502</v>
      </c>
      <c r="Q60" s="13">
        <v>-48.869222618532397</v>
      </c>
      <c r="R60" s="13">
        <v>-38.750978734066202</v>
      </c>
      <c r="S60" s="13">
        <v>-64.747109055886398</v>
      </c>
      <c r="T60" s="13">
        <v>31.630847534409</v>
      </c>
      <c r="U60" s="13">
        <v>-21.020517695432101</v>
      </c>
      <c r="V60" s="13">
        <v>-3.6309532238389899</v>
      </c>
      <c r="W60" s="13">
        <v>11.1099155078998</v>
      </c>
      <c r="X60" s="13">
        <v>-9.9551025215653599</v>
      </c>
      <c r="Y60" s="13">
        <v>-15.339887990882801</v>
      </c>
      <c r="Z60" s="13">
        <v>-15.400287529151299</v>
      </c>
      <c r="AA60" s="13">
        <v>-10.783059872296899</v>
      </c>
    </row>
    <row r="61" spans="1:27" x14ac:dyDescent="0.25">
      <c r="A61" s="10" t="s">
        <v>377</v>
      </c>
      <c r="B61" s="10" t="s">
        <v>378</v>
      </c>
      <c r="C61" s="13">
        <v>-1898.7233394462601</v>
      </c>
      <c r="D61" s="13">
        <v>-672.27348453490504</v>
      </c>
      <c r="E61" s="13">
        <v>-537.36375469092195</v>
      </c>
      <c r="F61" s="13">
        <v>-306.684457557602</v>
      </c>
      <c r="G61" s="13">
        <v>-233.23354879667599</v>
      </c>
      <c r="H61" s="13">
        <v>-163.409430843921</v>
      </c>
      <c r="I61" s="13">
        <v>-88.719602352624705</v>
      </c>
      <c r="J61" s="13">
        <v>-67.609609384679501</v>
      </c>
      <c r="K61" s="13">
        <v>-41.383643840709503</v>
      </c>
      <c r="L61" s="13">
        <v>-42.602481972787302</v>
      </c>
      <c r="M61" s="13">
        <v>-27.8983097066161</v>
      </c>
      <c r="N61" s="13">
        <v>-30.507772239389698</v>
      </c>
      <c r="O61" s="13">
        <v>-31.186524655499099</v>
      </c>
      <c r="P61" s="13">
        <v>-27.912161282755601</v>
      </c>
      <c r="Q61" s="13">
        <v>-20.125997880818399</v>
      </c>
      <c r="R61" s="13">
        <v>-19.071804315825698</v>
      </c>
      <c r="S61" s="13">
        <v>-18.539332839744802</v>
      </c>
      <c r="T61" s="13">
        <v>-1.9823591328794301</v>
      </c>
      <c r="U61" s="13">
        <v>-2.3029782724382399</v>
      </c>
      <c r="V61" s="13">
        <v>-0.80141200364936205</v>
      </c>
      <c r="W61" s="13">
        <v>1.2950112529837501</v>
      </c>
      <c r="X61" s="13">
        <v>-0.82854413587825604</v>
      </c>
      <c r="Y61" s="13">
        <v>-0.64113823111911294</v>
      </c>
      <c r="Z61" s="13">
        <v>0.27900366936565202</v>
      </c>
      <c r="AA61" s="13">
        <v>2.5136282143329902</v>
      </c>
    </row>
    <row r="62" spans="1:27" x14ac:dyDescent="0.25">
      <c r="A62" s="10" t="s">
        <v>379</v>
      </c>
      <c r="B62" s="10" t="s">
        <v>379</v>
      </c>
      <c r="C62" s="13" t="s">
        <v>141</v>
      </c>
      <c r="D62" s="13" t="s">
        <v>141</v>
      </c>
      <c r="E62" s="13" t="s">
        <v>141</v>
      </c>
      <c r="F62" s="13" t="s">
        <v>141</v>
      </c>
      <c r="G62" s="13" t="s">
        <v>141</v>
      </c>
      <c r="H62" s="13" t="s">
        <v>141</v>
      </c>
      <c r="I62" s="13" t="s">
        <v>141</v>
      </c>
      <c r="J62" s="13" t="s">
        <v>141</v>
      </c>
      <c r="K62" s="13" t="s">
        <v>141</v>
      </c>
      <c r="L62" s="13" t="s">
        <v>141</v>
      </c>
      <c r="M62" s="13" t="s">
        <v>141</v>
      </c>
      <c r="N62" s="13" t="s">
        <v>141</v>
      </c>
      <c r="O62" s="13" t="s">
        <v>141</v>
      </c>
      <c r="P62" s="13" t="s">
        <v>141</v>
      </c>
      <c r="Q62" s="13" t="s">
        <v>141</v>
      </c>
      <c r="R62" s="13" t="s">
        <v>141</v>
      </c>
      <c r="S62" s="13">
        <v>-68.881645406802704</v>
      </c>
      <c r="T62" s="13">
        <v>29.855035774719202</v>
      </c>
      <c r="U62" s="13" t="s">
        <v>141</v>
      </c>
      <c r="V62" s="13" t="s">
        <v>141</v>
      </c>
      <c r="W62" s="13">
        <v>8.8361307922555206</v>
      </c>
      <c r="X62" s="13">
        <v>-12.7463721679553</v>
      </c>
      <c r="Y62" s="13">
        <v>-17.728426781035999</v>
      </c>
      <c r="Z62" s="13"/>
      <c r="AA62" s="13"/>
    </row>
    <row r="63" spans="1:27" x14ac:dyDescent="0.25">
      <c r="A63" s="10" t="s">
        <v>142</v>
      </c>
      <c r="B63" s="10" t="s">
        <v>142</v>
      </c>
      <c r="C63" s="13">
        <v>-528.40497383369905</v>
      </c>
      <c r="D63" s="13">
        <v>-308.729535690327</v>
      </c>
      <c r="E63" s="13">
        <v>-415.83264742400399</v>
      </c>
      <c r="F63" s="13">
        <v>-211.26502875065299</v>
      </c>
      <c r="G63" s="13">
        <v>-192.06215540293601</v>
      </c>
      <c r="H63" s="13">
        <v>-155.56720936330501</v>
      </c>
      <c r="I63" s="13">
        <v>-112.499235763808</v>
      </c>
      <c r="J63" s="13">
        <v>-104.892828582048</v>
      </c>
      <c r="K63" s="13">
        <v>-66.269785493736194</v>
      </c>
      <c r="L63" s="13">
        <v>-91.496165386685703</v>
      </c>
      <c r="M63" s="13">
        <v>-75.255187885586096</v>
      </c>
      <c r="N63" s="13">
        <v>-68.804599102499793</v>
      </c>
      <c r="O63" s="13">
        <v>-85.262745865544602</v>
      </c>
      <c r="P63" s="13">
        <v>-97.629263051160393</v>
      </c>
      <c r="Q63" s="13">
        <v>-56.296804811437603</v>
      </c>
      <c r="R63" s="13">
        <v>-46.918788562122202</v>
      </c>
      <c r="S63" s="13">
        <v>-72.102938316068204</v>
      </c>
      <c r="T63" s="13">
        <v>28.495463206001101</v>
      </c>
      <c r="U63" s="13">
        <v>-26.4724209607066</v>
      </c>
      <c r="V63" s="13">
        <v>-8.7865871790877801</v>
      </c>
      <c r="W63" s="13">
        <v>7.36771113552836</v>
      </c>
      <c r="X63" s="13">
        <v>-15.352781587442299</v>
      </c>
      <c r="Y63" s="13">
        <v>-17.728426781035999</v>
      </c>
      <c r="Z63" s="13">
        <v>-13.274490955169099</v>
      </c>
      <c r="AA63" s="13">
        <v>-11.556749364491999</v>
      </c>
    </row>
    <row r="64" spans="1:27" x14ac:dyDescent="0.25">
      <c r="A64" s="10" t="s">
        <v>380</v>
      </c>
      <c r="B64" s="10" t="s">
        <v>153</v>
      </c>
      <c r="C64" s="13">
        <v>202.00648119157299</v>
      </c>
      <c r="D64" s="13">
        <v>132.112503389903</v>
      </c>
      <c r="E64" s="13">
        <v>115.80981013099699</v>
      </c>
      <c r="F64" s="13">
        <v>87.084251477743393</v>
      </c>
      <c r="G64" s="13">
        <v>77.750039437486805</v>
      </c>
      <c r="H64" s="13">
        <v>65.696159805487397</v>
      </c>
      <c r="I64" s="13">
        <v>52.532605984275101</v>
      </c>
      <c r="J64" s="13">
        <v>46.4654190554498</v>
      </c>
      <c r="K64" s="13">
        <v>37.373447652038301</v>
      </c>
      <c r="L64" s="13">
        <v>44.017886512500503</v>
      </c>
      <c r="M64" s="13">
        <v>33.044562631752001</v>
      </c>
      <c r="N64" s="13">
        <v>39.0576824424761</v>
      </c>
      <c r="O64" s="13">
        <v>36.4065283918547</v>
      </c>
      <c r="P64" s="13">
        <v>31.949251625010401</v>
      </c>
      <c r="Q64" s="13">
        <v>25.280437864700701</v>
      </c>
      <c r="R64" s="13">
        <v>25.937332519026601</v>
      </c>
      <c r="S64" s="13">
        <v>22.969936377269001</v>
      </c>
      <c r="T64" s="13">
        <v>11.8272071735973</v>
      </c>
      <c r="U64" s="13">
        <v>18.301344043227701</v>
      </c>
      <c r="V64" s="13">
        <v>17.529384240987401</v>
      </c>
      <c r="W64" s="13">
        <v>13.578205130148101</v>
      </c>
      <c r="X64" s="13">
        <v>16.539704223636999</v>
      </c>
      <c r="Y64" s="13">
        <v>13.9364703978313</v>
      </c>
      <c r="Z64" s="13">
        <v>13.968467750641301</v>
      </c>
      <c r="AA64" s="13">
        <v>12.846601179528299</v>
      </c>
    </row>
    <row r="65" spans="1:27" x14ac:dyDescent="0.25">
      <c r="A65" s="10" t="s">
        <v>381</v>
      </c>
      <c r="B65" s="10" t="s">
        <v>382</v>
      </c>
      <c r="C65" s="13">
        <v>-1181.7439146576</v>
      </c>
      <c r="D65" s="13">
        <v>-440.65819214684302</v>
      </c>
      <c r="E65" s="13">
        <v>-580.11557734964595</v>
      </c>
      <c r="F65" s="13">
        <v>-212.37788913908901</v>
      </c>
      <c r="G65" s="13">
        <v>-184.742652122891</v>
      </c>
      <c r="H65" s="13">
        <v>-123.610250848212</v>
      </c>
      <c r="I65" s="13">
        <v>-68.780790159083395</v>
      </c>
      <c r="J65" s="13">
        <v>-59.072586531205303</v>
      </c>
      <c r="K65" s="13">
        <v>-30.047102057101899</v>
      </c>
      <c r="L65" s="13">
        <v>-48.7633651862945</v>
      </c>
      <c r="M65" s="13">
        <v>-29.108317249115199</v>
      </c>
      <c r="N65" s="13">
        <v>-32.2633975588369</v>
      </c>
      <c r="O65" s="13">
        <v>-37.925231075803502</v>
      </c>
      <c r="P65" s="13">
        <v>-36.937966977669802</v>
      </c>
      <c r="Q65" s="13">
        <v>-16.803260853343701</v>
      </c>
      <c r="R65" s="13">
        <v>-14.6947254846691</v>
      </c>
      <c r="S65" s="13">
        <v>-22.6202457067205</v>
      </c>
      <c r="T65" s="13">
        <v>3.79671205681319</v>
      </c>
      <c r="U65" s="13">
        <v>-6.0203177945865303</v>
      </c>
      <c r="V65" s="13">
        <v>-1.77746316754091</v>
      </c>
      <c r="W65" s="13">
        <v>1.1166159208881099</v>
      </c>
      <c r="X65" s="13">
        <v>-3.0649230713947802</v>
      </c>
      <c r="Y65" s="13">
        <v>-2.9887800379657601</v>
      </c>
      <c r="Z65" s="13">
        <v>-2.2746144924920499</v>
      </c>
      <c r="AA65" s="13">
        <v>-1.8292421332322399</v>
      </c>
    </row>
    <row r="66" spans="1:27" x14ac:dyDescent="0.25">
      <c r="A66" s="10" t="s">
        <v>383</v>
      </c>
      <c r="B66" s="10" t="s">
        <v>384</v>
      </c>
      <c r="C66" s="13">
        <v>-1144.8917855705099</v>
      </c>
      <c r="D66" s="13">
        <v>-424.84087295356898</v>
      </c>
      <c r="E66" s="13">
        <v>-559.44477755611695</v>
      </c>
      <c r="F66" s="13">
        <v>-208.51147512968001</v>
      </c>
      <c r="G66" s="13">
        <v>-208.25404378522899</v>
      </c>
      <c r="H66" s="13">
        <v>-139.44144994557101</v>
      </c>
      <c r="I66" s="13">
        <v>-82.511829153470899</v>
      </c>
      <c r="J66" s="13">
        <v>-78.436243424980006</v>
      </c>
      <c r="K66" s="13">
        <v>-38.057401622285802</v>
      </c>
      <c r="L66" s="13">
        <v>-60.559034391604897</v>
      </c>
      <c r="M66" s="13">
        <v>-37.833735857814197</v>
      </c>
      <c r="N66" s="13">
        <v>-45.994449003324597</v>
      </c>
      <c r="O66" s="13">
        <v>-54.6671689989236</v>
      </c>
      <c r="P66" s="13">
        <v>-46.019862583520599</v>
      </c>
      <c r="Q66" s="13">
        <v>-19.090597400271601</v>
      </c>
      <c r="R66" s="13">
        <v>-16.855376930063599</v>
      </c>
      <c r="S66" s="13">
        <v>-27.304406532937598</v>
      </c>
      <c r="T66" s="13">
        <v>2.9220376267437702</v>
      </c>
      <c r="U66" s="13">
        <v>-7.1701899853997304</v>
      </c>
      <c r="V66" s="13">
        <v>-2.7014085646719899</v>
      </c>
      <c r="W66" s="13">
        <v>-0.356525139241466</v>
      </c>
      <c r="X66" s="13">
        <v>-4.3839896270654499</v>
      </c>
      <c r="Y66" s="13">
        <v>-2.37595496033151</v>
      </c>
      <c r="Z66" s="13">
        <v>-0.93267151188229902</v>
      </c>
      <c r="AA66" s="13">
        <v>-0.73076485752013798</v>
      </c>
    </row>
    <row r="67" spans="1:27" x14ac:dyDescent="0.25">
      <c r="A67" s="10" t="s">
        <v>385</v>
      </c>
      <c r="B67" s="10" t="s">
        <v>386</v>
      </c>
      <c r="C67" s="13" t="s">
        <v>141</v>
      </c>
      <c r="D67" s="13" t="s">
        <v>141</v>
      </c>
      <c r="E67" s="13">
        <v>75585.789871793095</v>
      </c>
      <c r="F67" s="13" t="s">
        <v>141</v>
      </c>
      <c r="G67" s="13" t="s">
        <v>141</v>
      </c>
      <c r="H67" s="13" t="s">
        <v>141</v>
      </c>
      <c r="I67" s="13">
        <v>68823.124569887907</v>
      </c>
      <c r="J67" s="13" t="s">
        <v>141</v>
      </c>
      <c r="K67" s="13" t="s">
        <v>141</v>
      </c>
      <c r="L67" s="13" t="s">
        <v>141</v>
      </c>
      <c r="M67" s="13">
        <v>60060.060059953197</v>
      </c>
      <c r="N67" s="13" t="s">
        <v>141</v>
      </c>
      <c r="O67" s="13" t="s">
        <v>141</v>
      </c>
      <c r="P67" s="13" t="s">
        <v>141</v>
      </c>
      <c r="Q67" s="13">
        <v>49950.049950005203</v>
      </c>
      <c r="R67" s="13" t="s">
        <v>141</v>
      </c>
      <c r="S67" s="13" t="s">
        <v>141</v>
      </c>
      <c r="T67" s="13" t="s">
        <v>141</v>
      </c>
      <c r="U67" s="13">
        <v>47619.047619155899</v>
      </c>
      <c r="V67" s="13" t="s">
        <v>141</v>
      </c>
      <c r="W67" s="13" t="s">
        <v>141</v>
      </c>
      <c r="X67" s="13" t="s">
        <v>141</v>
      </c>
      <c r="Y67" s="13">
        <v>44843.049327338398</v>
      </c>
      <c r="Z67" s="13"/>
      <c r="AA67" s="13"/>
    </row>
    <row r="68" spans="1:27" x14ac:dyDescent="0.25">
      <c r="A68" s="10" t="s">
        <v>387</v>
      </c>
      <c r="B68" s="10" t="s">
        <v>263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/>
      <c r="AA68" s="13"/>
    </row>
    <row r="69" spans="1:27" x14ac:dyDescent="0.25">
      <c r="A69" s="10" t="s">
        <v>388</v>
      </c>
      <c r="B69" s="10" t="s">
        <v>389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/>
      <c r="AA69" s="13"/>
    </row>
    <row r="70" spans="1:27" x14ac:dyDescent="0.25">
      <c r="A70" s="10" t="s">
        <v>390</v>
      </c>
      <c r="B70" s="10" t="s">
        <v>391</v>
      </c>
      <c r="C70" s="13" t="s">
        <v>141</v>
      </c>
      <c r="D70" s="13" t="s">
        <v>141</v>
      </c>
      <c r="E70" s="13" t="s">
        <v>141</v>
      </c>
      <c r="F70" s="13" t="s">
        <v>141</v>
      </c>
      <c r="G70" s="13" t="s">
        <v>141</v>
      </c>
      <c r="H70" s="13" t="s">
        <v>141</v>
      </c>
      <c r="I70" s="13" t="s">
        <v>141</v>
      </c>
      <c r="J70" s="13" t="s">
        <v>141</v>
      </c>
      <c r="K70" s="13" t="s">
        <v>141</v>
      </c>
      <c r="L70" s="13" t="s">
        <v>141</v>
      </c>
      <c r="M70" s="13" t="s">
        <v>141</v>
      </c>
      <c r="N70" s="13" t="s">
        <v>141</v>
      </c>
      <c r="O70" s="13" t="s">
        <v>141</v>
      </c>
      <c r="P70" s="13" t="s">
        <v>141</v>
      </c>
      <c r="Q70" s="13" t="s">
        <v>141</v>
      </c>
      <c r="R70" s="13" t="s">
        <v>141</v>
      </c>
      <c r="S70" s="13">
        <v>4.1345363509163802</v>
      </c>
      <c r="T70" s="13">
        <v>1.77581175968982</v>
      </c>
      <c r="U70" s="13" t="s">
        <v>141</v>
      </c>
      <c r="V70" s="13" t="s">
        <v>141</v>
      </c>
      <c r="W70" s="13">
        <v>2.2737847156442998</v>
      </c>
      <c r="X70" s="13">
        <v>2.79126964638994</v>
      </c>
      <c r="Y70" s="13">
        <v>2.3885387901531798</v>
      </c>
      <c r="Z70" s="13"/>
      <c r="AA70" s="13"/>
    </row>
    <row r="71" spans="1:27" x14ac:dyDescent="0.25">
      <c r="A71" s="10" t="s">
        <v>392</v>
      </c>
      <c r="B71" s="10" t="s">
        <v>393</v>
      </c>
      <c r="C71" s="13">
        <v>30.811378986447199</v>
      </c>
      <c r="D71" s="13">
        <v>18.187008464052798</v>
      </c>
      <c r="E71" s="13">
        <v>18.088475328190199</v>
      </c>
      <c r="F71" s="13" t="s">
        <v>141</v>
      </c>
      <c r="G71" s="13" t="s">
        <v>141</v>
      </c>
      <c r="H71" s="13" t="s">
        <v>141</v>
      </c>
      <c r="I71" s="13" t="s">
        <v>141</v>
      </c>
      <c r="J71" s="13" t="s">
        <v>141</v>
      </c>
      <c r="K71" s="13" t="s">
        <v>141</v>
      </c>
      <c r="L71" s="13" t="s">
        <v>141</v>
      </c>
      <c r="M71" s="13" t="s">
        <v>141</v>
      </c>
      <c r="N71" s="13" t="s">
        <v>141</v>
      </c>
      <c r="O71" s="13" t="s">
        <v>141</v>
      </c>
      <c r="P71" s="13" t="s">
        <v>141</v>
      </c>
      <c r="Q71" s="13" t="s">
        <v>141</v>
      </c>
      <c r="R71" s="13" t="s">
        <v>141</v>
      </c>
      <c r="S71" s="13" t="s">
        <v>141</v>
      </c>
      <c r="T71" s="13" t="s">
        <v>141</v>
      </c>
      <c r="U71" s="13" t="s">
        <v>141</v>
      </c>
      <c r="V71" s="13" t="s">
        <v>141</v>
      </c>
      <c r="W71" s="13" t="s">
        <v>141</v>
      </c>
      <c r="X71" s="13" t="s">
        <v>141</v>
      </c>
      <c r="Y71" s="13" t="s">
        <v>141</v>
      </c>
      <c r="Z71" s="13"/>
      <c r="AA71" s="13"/>
    </row>
    <row r="72" spans="1:27" x14ac:dyDescent="0.25">
      <c r="A72" s="7" t="s">
        <v>90</v>
      </c>
      <c r="B72" s="7"/>
      <c r="C72" s="7" t="s">
        <v>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64"/>
  <sheetViews>
    <sheetView topLeftCell="F42"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671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672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0</v>
      </c>
      <c r="B6" s="6" t="s">
        <v>71</v>
      </c>
      <c r="C6" s="19">
        <f>_xll.BDH("ALNY US Equity","SALES_REV_TURN","FQ3 2019","FQ3 2019","Currency=USD","Period=FQ","BEST_FPERIOD_OVERRIDE=FQ","FILING_STATUS=MR","SCALING_FORMAT=MLN","FA_ADJUSTED=GAAP","Sort=A","Dates=H","DateFormat=P","Fill=—","Direction=H","UseDPDF=Y")</f>
        <v>70.061000000000007</v>
      </c>
      <c r="D6" s="19">
        <f>_xll.BDH("ALNY US Equity","SALES_REV_TURN","FQ4 2019","FQ4 2019","Currency=USD","Period=FQ","BEST_FPERIOD_OVERRIDE=FQ","FILING_STATUS=MR","SCALING_FORMAT=MLN","FA_ADJUSTED=GAAP","Sort=A","Dates=H","DateFormat=P","Fill=—","Direction=H","UseDPDF=Y")</f>
        <v>71.680999999999997</v>
      </c>
      <c r="E6" s="19">
        <f>_xll.BDH("ALNY US Equity","SALES_REV_TURN","FQ1 2020","FQ1 2020","Currency=USD","Period=FQ","BEST_FPERIOD_OVERRIDE=FQ","FILING_STATUS=MR","SCALING_FORMAT=MLN","FA_ADJUSTED=GAAP","Sort=A","Dates=H","DateFormat=P","Fill=—","Direction=H","UseDPDF=Y")</f>
        <v>99.475999999999999</v>
      </c>
      <c r="F6" s="19">
        <f>_xll.BDH("ALNY US Equity","SALES_REV_TURN","FQ2 2020","FQ2 2020","Currency=USD","Period=FQ","BEST_FPERIOD_OVERRIDE=FQ","FILING_STATUS=MR","SCALING_FORMAT=MLN","FA_ADJUSTED=GAAP","Sort=A","Dates=H","DateFormat=P","Fill=—","Direction=H","UseDPDF=Y")</f>
        <v>103.962</v>
      </c>
      <c r="G6" s="19">
        <f>_xll.BDH("ALNY US Equity","SALES_REV_TURN","FQ3 2020","FQ3 2020","Currency=USD","Period=FQ","BEST_FPERIOD_OVERRIDE=FQ","FILING_STATUS=MR","SCALING_FORMAT=MLN","FA_ADJUSTED=GAAP","Sort=A","Dates=H","DateFormat=P","Fill=—","Direction=H","UseDPDF=Y")</f>
        <v>125.85299999999999</v>
      </c>
      <c r="H6" s="19">
        <f>_xll.BDH("ALNY US Equity","SALES_REV_TURN","FQ4 2020","FQ4 2020","Currency=USD","Period=FQ","BEST_FPERIOD_OVERRIDE=FQ","FILING_STATUS=MR","SCALING_FORMAT=MLN","FA_ADJUSTED=GAAP","Sort=A","Dates=H","DateFormat=P","Fill=—","Direction=H","UseDPDF=Y")</f>
        <v>163.56200000000001</v>
      </c>
      <c r="I6" s="19">
        <f>_xll.BDH("ALNY US Equity","SALES_REV_TURN","FQ1 2021","FQ1 2021","Currency=USD","Period=FQ","BEST_FPERIOD_OVERRIDE=FQ","FILING_STATUS=MR","SCALING_FORMAT=MLN","FA_ADJUSTED=GAAP","Sort=A","Dates=H","DateFormat=P","Fill=—","Direction=H","UseDPDF=Y")</f>
        <v>177.566</v>
      </c>
      <c r="J6" s="19">
        <f>_xll.BDH("ALNY US Equity","SALES_REV_TURN","FQ2 2021","FQ2 2021","Currency=USD","Period=FQ","BEST_FPERIOD_OVERRIDE=FQ","FILING_STATUS=MR","SCALING_FORMAT=MLN","FA_ADJUSTED=GAAP","Sort=A","Dates=H","DateFormat=P","Fill=—","Direction=H","UseDPDF=Y")</f>
        <v>220.553</v>
      </c>
      <c r="K6" s="19">
        <f>_xll.BDH("ALNY US Equity","SALES_REV_TURN","FQ3 2021","FQ3 2021","Currency=USD","Period=FQ","BEST_FPERIOD_OVERRIDE=FQ","FILING_STATUS=MR","SCALING_FORMAT=MLN","FA_ADJUSTED=GAAP","Sort=A","Dates=H","DateFormat=P","Fill=—","Direction=H","UseDPDF=Y")</f>
        <v>187.63300000000001</v>
      </c>
      <c r="L6" s="19">
        <f>_xll.BDH("ALNY US Equity","SALES_REV_TURN","FQ4 2021","FQ4 2021","Currency=USD","Period=FQ","BEST_FPERIOD_OVERRIDE=FQ","FILING_STATUS=MR","SCALING_FORMAT=MLN","FA_ADJUSTED=GAAP","Sort=A","Dates=H","DateFormat=P","Fill=—","Direction=H","UseDPDF=Y")</f>
        <v>258.53500000000003</v>
      </c>
      <c r="M6" s="19">
        <f>_xll.BDH("ALNY US Equity","SALES_REV_TURN","FQ1 2022","FQ1 2022","Currency=USD","Period=FQ","BEST_FPERIOD_OVERRIDE=FQ","FILING_STATUS=MR","SCALING_FORMAT=MLN","FA_ADJUSTED=GAAP","Sort=A","Dates=H","DateFormat=P","Fill=—","Direction=H","UseDPDF=Y")</f>
        <v>213.25899999999999</v>
      </c>
      <c r="N6" s="19">
        <f>_xll.BDH("ALNY US Equity","SALES_REV_TURN","FQ2 2022","FQ2 2022","Currency=USD","Period=FQ","BEST_FPERIOD_OVERRIDE=FQ","FILING_STATUS=MR","SCALING_FORMAT=MLN","FA_ADJUSTED=GAAP","Sort=A","Dates=H","DateFormat=P","Fill=—","Direction=H","UseDPDF=Y")</f>
        <v>224.81800000000001</v>
      </c>
      <c r="O6" s="19">
        <f>_xll.BDH("ALNY US Equity","SALES_REV_TURN","FQ3 2022","FQ3 2022","Currency=USD","Period=FQ","BEST_FPERIOD_OVERRIDE=FQ","FILING_STATUS=MR","SCALING_FORMAT=MLN","FA_ADJUSTED=GAAP","Sort=A","Dates=H","DateFormat=P","Fill=—","Direction=H","UseDPDF=Y")</f>
        <v>264.30599999999998</v>
      </c>
      <c r="P6" s="19">
        <f>_xll.BDH("ALNY US Equity","SALES_REV_TURN","FQ4 2022","FQ4 2022","Currency=USD","Period=FQ","BEST_FPERIOD_OVERRIDE=FQ","FILING_STATUS=MR","SCALING_FORMAT=MLN","FA_ADJUSTED=GAAP","Sort=A","Dates=H","DateFormat=P","Fill=—","Direction=H","UseDPDF=Y")</f>
        <v>335.03500000000003</v>
      </c>
      <c r="Q6" s="19">
        <f>_xll.BDH("ALNY US Equity","SALES_REV_TURN","FQ1 2023","FQ1 2023","Currency=USD","Period=FQ","BEST_FPERIOD_OVERRIDE=FQ","FILING_STATUS=MR","SCALING_FORMAT=MLN","FA_ADJUSTED=GAAP","Sort=A","Dates=H","DateFormat=P","Fill=—","Direction=H","UseDPDF=Y")</f>
        <v>319.29000000000002</v>
      </c>
      <c r="R6" s="19">
        <f>_xll.BDH("ALNY US Equity","SALES_REV_TURN","FQ2 2023","FQ2 2023","Currency=USD","Period=FQ","BEST_FPERIOD_OVERRIDE=FQ","FILING_STATUS=MR","SCALING_FORMAT=MLN","FA_ADJUSTED=GAAP","Sort=A","Dates=H","DateFormat=P","Fill=—","Direction=H","UseDPDF=Y")</f>
        <v>318.75400000000002</v>
      </c>
      <c r="S6" s="19">
        <f>_xll.BDH("ALNY US Equity","SALES_REV_TURN","FQ3 2023","FQ3 2023","Currency=USD","Period=FQ","BEST_FPERIOD_OVERRIDE=FQ","FILING_STATUS=MR","SCALING_FORMAT=MLN","FA_ADJUSTED=GAAP","Sort=A","Dates=H","DateFormat=P","Fill=—","Direction=H","UseDPDF=Y")</f>
        <v>750.53</v>
      </c>
      <c r="T6" s="19">
        <f>_xll.BDH("ALNY US Equity","SALES_REV_TURN","FQ4 2023","FQ4 2023","Currency=USD","Period=FQ","BEST_FPERIOD_OVERRIDE=FQ","FILING_STATUS=MR","SCALING_FORMAT=MLN","FA_ADJUSTED=GAAP","Sort=A","Dates=H","DateFormat=P","Fill=—","Direction=H","UseDPDF=Y")</f>
        <v>439.71800000000002</v>
      </c>
      <c r="U6" s="19">
        <f>_xll.BDH("ALNY US Equity","SALES_REV_TURN","FQ1 2024","FQ1 2024","Currency=USD","Period=FQ","BEST_FPERIOD_OVERRIDE=FQ","FILING_STATUS=MR","SCALING_FORMAT=MLN","FA_ADJUSTED=GAAP","Sort=A","Dates=H","DateFormat=P","Fill=—","Direction=H","UseDPDF=Y")</f>
        <v>494.33300000000003</v>
      </c>
      <c r="V6" s="19">
        <f>_xll.BDH("ALNY US Equity","SALES_REV_TURN","FQ2 2024","FQ2 2024","Currency=USD","Period=FQ","BEST_FPERIOD_OVERRIDE=FQ","FILING_STATUS=MR","SCALING_FORMAT=MLN","FA_ADJUSTED=GAAP","Sort=A","Dates=H","DateFormat=P","Fill=—","Direction=H","UseDPDF=Y")</f>
        <v>659.82500000000005</v>
      </c>
      <c r="W6" s="19">
        <f>_xll.BDH("ALNY US Equity","SALES_REV_TURN","FQ3 2024","FQ3 2024","Currency=USD","Period=FQ","BEST_FPERIOD_OVERRIDE=FQ","FILING_STATUS=MR","SCALING_FORMAT=MLN","FA_ADJUSTED=GAAP","Sort=A","Dates=H","DateFormat=P","Fill=—","Direction=H","UseDPDF=Y")</f>
        <v>500.91899999999998</v>
      </c>
      <c r="X6" s="19">
        <f>_xll.BDH("ALNY US Equity","SALES_REV_TURN","FQ4 2024","FQ4 2024","Currency=USD","Period=FQ","BEST_FPERIOD_OVERRIDE=FQ","FILING_STATUS=MR","SCALING_FORMAT=MLN","FA_ADJUSTED=GAAP","Sort=A","Dates=H","DateFormat=P","Fill=—","Direction=H","UseDPDF=Y")</f>
        <v>593.16600000000005</v>
      </c>
      <c r="Y6" s="22">
        <v>2248.2429999999999</v>
      </c>
      <c r="Z6" s="19">
        <v>583.59299999999996</v>
      </c>
      <c r="AA6" s="19">
        <v>631.77800000000002</v>
      </c>
    </row>
    <row r="7" spans="1:27" x14ac:dyDescent="0.25">
      <c r="A7" s="10" t="s">
        <v>298</v>
      </c>
      <c r="B7" s="10" t="s">
        <v>299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99.842668202200798</v>
      </c>
      <c r="K7" s="13">
        <v>99.758571253457504</v>
      </c>
      <c r="L7" s="13">
        <v>99.846829249424601</v>
      </c>
      <c r="M7" s="13">
        <v>99.792740282942304</v>
      </c>
      <c r="N7" s="13">
        <v>98.986735937513899</v>
      </c>
      <c r="O7" s="13">
        <v>98.962566116546796</v>
      </c>
      <c r="P7" s="13">
        <v>99.189636903607095</v>
      </c>
      <c r="Q7" s="13">
        <v>97.964233142284399</v>
      </c>
      <c r="R7" s="13">
        <v>97.7396362084868</v>
      </c>
      <c r="S7" s="13">
        <v>98.680265945398602</v>
      </c>
      <c r="T7" s="13">
        <v>96.128655183549498</v>
      </c>
      <c r="U7" s="13">
        <v>97.851246022418096</v>
      </c>
      <c r="V7" s="13">
        <v>96.605312014549298</v>
      </c>
      <c r="W7" s="13">
        <v>95.331380921865602</v>
      </c>
      <c r="X7" s="13">
        <v>94.034216391364296</v>
      </c>
      <c r="Y7" s="16">
        <v>95.917078358522602</v>
      </c>
      <c r="Z7" s="13"/>
      <c r="AA7" s="13"/>
    </row>
    <row r="8" spans="1:27" x14ac:dyDescent="0.25">
      <c r="A8" s="10" t="s">
        <v>300</v>
      </c>
      <c r="B8" s="10" t="s">
        <v>301</v>
      </c>
      <c r="C8" s="13" t="s">
        <v>141</v>
      </c>
      <c r="D8" s="13" t="s">
        <v>141</v>
      </c>
      <c r="E8" s="13" t="s">
        <v>141</v>
      </c>
      <c r="F8" s="13" t="s">
        <v>141</v>
      </c>
      <c r="G8" s="13" t="s">
        <v>141</v>
      </c>
      <c r="H8" s="13" t="s">
        <v>141</v>
      </c>
      <c r="I8" s="13" t="s">
        <v>141</v>
      </c>
      <c r="J8" s="13">
        <v>0.15733179779916801</v>
      </c>
      <c r="K8" s="13">
        <v>0.241428746542453</v>
      </c>
      <c r="L8" s="13">
        <v>0.15317075057535701</v>
      </c>
      <c r="M8" s="13">
        <v>0.207259717057662</v>
      </c>
      <c r="N8" s="13">
        <v>1.0132640624861</v>
      </c>
      <c r="O8" s="13">
        <v>1.0374338834532699</v>
      </c>
      <c r="P8" s="13">
        <v>0.81036309639291404</v>
      </c>
      <c r="Q8" s="13">
        <v>2.0357668577155601</v>
      </c>
      <c r="R8" s="13">
        <v>2.2603637915132002</v>
      </c>
      <c r="S8" s="13">
        <v>1.31973405460141</v>
      </c>
      <c r="T8" s="13">
        <v>3.8713448164505402</v>
      </c>
      <c r="U8" s="13">
        <v>2.1487539775819098</v>
      </c>
      <c r="V8" s="13">
        <v>3.3946879854506902</v>
      </c>
      <c r="W8" s="13">
        <v>4.6686190781343901</v>
      </c>
      <c r="X8" s="13">
        <v>5.9657836086356903</v>
      </c>
      <c r="Y8" s="16">
        <v>4.0829216414773697</v>
      </c>
      <c r="Z8" s="13"/>
      <c r="AA8" s="13"/>
    </row>
    <row r="9" spans="1:27" x14ac:dyDescent="0.25">
      <c r="A9" s="10" t="s">
        <v>302</v>
      </c>
      <c r="B9" s="10" t="s">
        <v>303</v>
      </c>
      <c r="C9" s="13">
        <v>7.4406588544268599</v>
      </c>
      <c r="D9" s="13">
        <v>16.986370167826902</v>
      </c>
      <c r="E9" s="13">
        <v>13.372069644939501</v>
      </c>
      <c r="F9" s="13">
        <v>19.1695042419346</v>
      </c>
      <c r="G9" s="13">
        <v>17.319412330258299</v>
      </c>
      <c r="H9" s="13">
        <v>14.076619263643099</v>
      </c>
      <c r="I9" s="13">
        <v>17.493213790928401</v>
      </c>
      <c r="J9" s="13">
        <v>17.571740125956101</v>
      </c>
      <c r="K9" s="13">
        <v>17.407918649704499</v>
      </c>
      <c r="L9" s="13">
        <v>14.568240276945099</v>
      </c>
      <c r="M9" s="13">
        <v>16.7059772389442</v>
      </c>
      <c r="N9" s="13">
        <v>18.151571493385799</v>
      </c>
      <c r="O9" s="13">
        <v>15.556211361073901</v>
      </c>
      <c r="P9" s="13">
        <v>15.301684898592701</v>
      </c>
      <c r="Q9" s="13">
        <v>17.184691033229999</v>
      </c>
      <c r="R9" s="13">
        <v>26.782409005063499</v>
      </c>
      <c r="S9" s="13">
        <v>11.233261828308001</v>
      </c>
      <c r="T9" s="13">
        <v>19.525696014263701</v>
      </c>
      <c r="U9" s="13">
        <v>13.3464688782663</v>
      </c>
      <c r="V9" s="13">
        <v>10.4076080778994</v>
      </c>
      <c r="W9" s="13">
        <v>17.1494792571254</v>
      </c>
      <c r="X9" s="13">
        <v>17.333596328852298</v>
      </c>
      <c r="Y9" s="16">
        <v>14.3832317058254</v>
      </c>
      <c r="Z9" s="13"/>
      <c r="AA9" s="13"/>
    </row>
    <row r="10" spans="1:27" x14ac:dyDescent="0.25">
      <c r="A10" s="10" t="s">
        <v>304</v>
      </c>
      <c r="B10" s="10" t="s">
        <v>305</v>
      </c>
      <c r="C10" s="13">
        <v>7.4406588544268599</v>
      </c>
      <c r="D10" s="13">
        <v>16.986370167826902</v>
      </c>
      <c r="E10" s="13">
        <v>13.372069644939501</v>
      </c>
      <c r="F10" s="13">
        <v>19.1695042419346</v>
      </c>
      <c r="G10" s="13">
        <v>17.319412330258299</v>
      </c>
      <c r="H10" s="13">
        <v>14.076619263643099</v>
      </c>
      <c r="I10" s="13">
        <v>17.493213790928401</v>
      </c>
      <c r="J10" s="13">
        <v>17.571740125956101</v>
      </c>
      <c r="K10" s="13">
        <v>17.407918649704499</v>
      </c>
      <c r="L10" s="13">
        <v>14.568240276945099</v>
      </c>
      <c r="M10" s="13">
        <v>16.7059772389442</v>
      </c>
      <c r="N10" s="13">
        <v>18.151571493385799</v>
      </c>
      <c r="O10" s="13">
        <v>15.556211361073901</v>
      </c>
      <c r="P10" s="13">
        <v>15.301684898592701</v>
      </c>
      <c r="Q10" s="13">
        <v>17.184691033229999</v>
      </c>
      <c r="R10" s="13">
        <v>26.782409005063499</v>
      </c>
      <c r="S10" s="13">
        <v>11.233261828308001</v>
      </c>
      <c r="T10" s="13">
        <v>19.525696014263701</v>
      </c>
      <c r="U10" s="13">
        <v>13.3464688782663</v>
      </c>
      <c r="V10" s="13">
        <v>10.4076080778994</v>
      </c>
      <c r="W10" s="13">
        <v>17.1494792571254</v>
      </c>
      <c r="X10" s="13">
        <v>17.333596328852298</v>
      </c>
      <c r="Y10" s="16">
        <v>14.3832317058254</v>
      </c>
      <c r="Z10" s="13"/>
      <c r="AA10" s="13"/>
    </row>
    <row r="11" spans="1:27" x14ac:dyDescent="0.25">
      <c r="A11" s="6" t="s">
        <v>2</v>
      </c>
      <c r="B11" s="6" t="s">
        <v>75</v>
      </c>
      <c r="C11" s="19">
        <v>92.5593411455731</v>
      </c>
      <c r="D11" s="19">
        <v>83.013629832173095</v>
      </c>
      <c r="E11" s="19">
        <v>86.627930355060499</v>
      </c>
      <c r="F11" s="19">
        <v>80.830495758065396</v>
      </c>
      <c r="G11" s="19">
        <v>82.680587669741698</v>
      </c>
      <c r="H11" s="19">
        <v>85.923380736356904</v>
      </c>
      <c r="I11" s="19">
        <v>82.506786209071507</v>
      </c>
      <c r="J11" s="19">
        <v>82.428259874043903</v>
      </c>
      <c r="K11" s="19">
        <v>82.592081350295501</v>
      </c>
      <c r="L11" s="19">
        <v>85.431759723054896</v>
      </c>
      <c r="M11" s="19">
        <v>83.2940227610558</v>
      </c>
      <c r="N11" s="19">
        <v>81.848428506614198</v>
      </c>
      <c r="O11" s="19">
        <v>84.443788638926094</v>
      </c>
      <c r="P11" s="19">
        <v>84.698315101407303</v>
      </c>
      <c r="Q11" s="19">
        <v>82.815308966770004</v>
      </c>
      <c r="R11" s="19">
        <v>73.217590994936501</v>
      </c>
      <c r="S11" s="19">
        <v>88.766738171691998</v>
      </c>
      <c r="T11" s="19">
        <v>80.474303985736299</v>
      </c>
      <c r="U11" s="19">
        <v>86.653531121733707</v>
      </c>
      <c r="V11" s="19">
        <v>89.592391922100603</v>
      </c>
      <c r="W11" s="19">
        <v>82.850520742874593</v>
      </c>
      <c r="X11" s="19">
        <v>82.666403671147705</v>
      </c>
      <c r="Y11" s="22">
        <v>85.616769065176001</v>
      </c>
      <c r="Z11" s="19">
        <v>81.519000000000005</v>
      </c>
      <c r="AA11" s="19">
        <v>81.162000000000006</v>
      </c>
    </row>
    <row r="12" spans="1:27" x14ac:dyDescent="0.25">
      <c r="A12" s="10" t="s">
        <v>306</v>
      </c>
      <c r="B12" s="10" t="s">
        <v>307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6">
        <v>0</v>
      </c>
      <c r="Z12" s="13"/>
      <c r="AA12" s="13"/>
    </row>
    <row r="13" spans="1:27" x14ac:dyDescent="0.25">
      <c r="A13" s="10" t="s">
        <v>308</v>
      </c>
      <c r="B13" s="10" t="s">
        <v>309</v>
      </c>
      <c r="C13" s="13">
        <v>401.2888768359</v>
      </c>
      <c r="D13" s="13">
        <v>498.84627725617702</v>
      </c>
      <c r="E13" s="13">
        <v>297.892959105714</v>
      </c>
      <c r="F13" s="13">
        <v>272.11096362132298</v>
      </c>
      <c r="G13" s="13">
        <v>261.61871389637099</v>
      </c>
      <c r="H13" s="13">
        <v>204.66856604834899</v>
      </c>
      <c r="I13" s="13">
        <v>187.39961479112</v>
      </c>
      <c r="J13" s="13">
        <v>148.69804536778</v>
      </c>
      <c r="K13" s="13">
        <v>179.41779964078799</v>
      </c>
      <c r="L13" s="13">
        <v>160.68694760864099</v>
      </c>
      <c r="M13" s="13">
        <v>152.09862186355599</v>
      </c>
      <c r="N13" s="13">
        <v>167.11117437215901</v>
      </c>
      <c r="O13" s="13">
        <v>182.073051690087</v>
      </c>
      <c r="P13" s="13">
        <v>140.99511991284501</v>
      </c>
      <c r="Q13" s="13">
        <v>129.73409752889199</v>
      </c>
      <c r="R13" s="13">
        <v>145.320529311005</v>
      </c>
      <c r="S13" s="13">
        <v>60.2712749656909</v>
      </c>
      <c r="T13" s="13">
        <v>106.946724946443</v>
      </c>
      <c r="U13" s="13">
        <v>95.440118300821496</v>
      </c>
      <c r="V13" s="13">
        <v>82.224680786572193</v>
      </c>
      <c r="W13" s="13">
        <v>98.203302330316902</v>
      </c>
      <c r="X13" s="13">
        <v>100.394830452184</v>
      </c>
      <c r="Y13" s="16">
        <v>93.484467648737294</v>
      </c>
      <c r="Z13" s="13"/>
      <c r="AA13" s="13"/>
    </row>
    <row r="14" spans="1:27" x14ac:dyDescent="0.25">
      <c r="A14" s="10" t="s">
        <v>310</v>
      </c>
      <c r="B14" s="10" t="s">
        <v>311</v>
      </c>
      <c r="C14" s="13">
        <v>171.78030573357501</v>
      </c>
      <c r="D14" s="13">
        <v>218.01732676720499</v>
      </c>
      <c r="E14" s="13">
        <v>127.428726527001</v>
      </c>
      <c r="F14" s="13">
        <v>123.021873376811</v>
      </c>
      <c r="G14" s="13">
        <v>133.06953350337301</v>
      </c>
      <c r="H14" s="13">
        <v>101.668480453895</v>
      </c>
      <c r="I14" s="13">
        <v>82.706711870515804</v>
      </c>
      <c r="J14" s="13">
        <v>65.890284874837306</v>
      </c>
      <c r="K14" s="13">
        <v>75.719622880836496</v>
      </c>
      <c r="L14" s="13">
        <v>72.091593014485497</v>
      </c>
      <c r="M14" s="13">
        <v>72.433519804556894</v>
      </c>
      <c r="N14" s="13">
        <v>75.609604213185804</v>
      </c>
      <c r="O14" s="13">
        <v>89.237096395844205</v>
      </c>
      <c r="P14" s="13">
        <v>62.782694345366899</v>
      </c>
      <c r="Q14" s="13">
        <v>57.521062357104803</v>
      </c>
      <c r="R14" s="13">
        <v>67.352566556027497</v>
      </c>
      <c r="S14" s="13">
        <v>26.537913207999701</v>
      </c>
      <c r="T14" s="13">
        <v>45.056831878613103</v>
      </c>
      <c r="U14" s="13">
        <v>42.642712503514801</v>
      </c>
      <c r="V14" s="13">
        <v>37.6458909559353</v>
      </c>
      <c r="W14" s="13">
        <v>44.117512012920301</v>
      </c>
      <c r="X14" s="13">
        <v>49.790277932315703</v>
      </c>
      <c r="Y14" s="16">
        <v>43.3905943441167</v>
      </c>
      <c r="Z14" s="13"/>
      <c r="AA14" s="13"/>
    </row>
    <row r="15" spans="1:27" x14ac:dyDescent="0.25">
      <c r="A15" s="11" t="s">
        <v>312</v>
      </c>
      <c r="B15" s="11" t="s">
        <v>313</v>
      </c>
      <c r="C15" s="25">
        <v>171.78030573357501</v>
      </c>
      <c r="D15" s="25" t="s">
        <v>141</v>
      </c>
      <c r="E15" s="25" t="s">
        <v>141</v>
      </c>
      <c r="F15" s="25">
        <v>123.021873376811</v>
      </c>
      <c r="G15" s="25" t="s">
        <v>141</v>
      </c>
      <c r="H15" s="25" t="s">
        <v>141</v>
      </c>
      <c r="I15" s="25" t="s">
        <v>141</v>
      </c>
      <c r="J15" s="25" t="s">
        <v>141</v>
      </c>
      <c r="K15" s="25" t="s">
        <v>141</v>
      </c>
      <c r="L15" s="25" t="s">
        <v>141</v>
      </c>
      <c r="M15" s="25" t="s">
        <v>141</v>
      </c>
      <c r="N15" s="25" t="s">
        <v>141</v>
      </c>
      <c r="O15" s="25" t="s">
        <v>141</v>
      </c>
      <c r="P15" s="25" t="s">
        <v>141</v>
      </c>
      <c r="Q15" s="25" t="s">
        <v>141</v>
      </c>
      <c r="R15" s="25" t="s">
        <v>141</v>
      </c>
      <c r="S15" s="25" t="s">
        <v>141</v>
      </c>
      <c r="T15" s="25" t="s">
        <v>141</v>
      </c>
      <c r="U15" s="25" t="s">
        <v>141</v>
      </c>
      <c r="V15" s="25" t="s">
        <v>141</v>
      </c>
      <c r="W15" s="25" t="s">
        <v>141</v>
      </c>
      <c r="X15" s="25" t="s">
        <v>141</v>
      </c>
      <c r="Y15" s="28"/>
      <c r="Z15" s="25"/>
      <c r="AA15" s="25"/>
    </row>
    <row r="16" spans="1:27" x14ac:dyDescent="0.25">
      <c r="A16" s="10" t="s">
        <v>314</v>
      </c>
      <c r="B16" s="10" t="s">
        <v>395</v>
      </c>
      <c r="C16" s="13">
        <v>229.50857110232499</v>
      </c>
      <c r="D16" s="13">
        <v>280.828950488972</v>
      </c>
      <c r="E16" s="13">
        <v>170.464232578712</v>
      </c>
      <c r="F16" s="13">
        <v>149.08909024451199</v>
      </c>
      <c r="G16" s="13">
        <v>128.54918039299801</v>
      </c>
      <c r="H16" s="13">
        <v>103.000085594453</v>
      </c>
      <c r="I16" s="13">
        <v>104.692902920604</v>
      </c>
      <c r="J16" s="13">
        <v>82.807760492942705</v>
      </c>
      <c r="K16" s="13">
        <v>103.69817675995201</v>
      </c>
      <c r="L16" s="13">
        <v>88.595354594155495</v>
      </c>
      <c r="M16" s="13">
        <v>79.665102058998698</v>
      </c>
      <c r="N16" s="13">
        <v>91.501570158972996</v>
      </c>
      <c r="O16" s="13">
        <v>92.835955294242297</v>
      </c>
      <c r="P16" s="13">
        <v>78.212425567477993</v>
      </c>
      <c r="Q16" s="13">
        <v>72.213035171787396</v>
      </c>
      <c r="R16" s="13">
        <v>77.967962754977194</v>
      </c>
      <c r="S16" s="13">
        <v>33.733361757691199</v>
      </c>
      <c r="T16" s="13">
        <v>61.889893067829803</v>
      </c>
      <c r="U16" s="13">
        <v>52.797405797306702</v>
      </c>
      <c r="V16" s="13">
        <v>44.5787898306369</v>
      </c>
      <c r="W16" s="13">
        <v>54.085790317396601</v>
      </c>
      <c r="X16" s="13">
        <v>50.604552519868001</v>
      </c>
      <c r="Y16" s="16">
        <v>50.093873304620502</v>
      </c>
      <c r="Z16" s="13"/>
      <c r="AA16" s="13"/>
    </row>
    <row r="17" spans="1:27" x14ac:dyDescent="0.25">
      <c r="A17" s="10" t="s">
        <v>316</v>
      </c>
      <c r="B17" s="10" t="s">
        <v>396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6">
        <v>0</v>
      </c>
      <c r="Z17" s="13"/>
      <c r="AA17" s="13"/>
    </row>
    <row r="18" spans="1:27" x14ac:dyDescent="0.25">
      <c r="A18" s="6" t="s">
        <v>318</v>
      </c>
      <c r="B18" s="6" t="s">
        <v>99</v>
      </c>
      <c r="C18" s="19">
        <v>-308.729535690327</v>
      </c>
      <c r="D18" s="19">
        <v>-415.83264742400399</v>
      </c>
      <c r="E18" s="19">
        <v>-211.26502875065299</v>
      </c>
      <c r="F18" s="19">
        <v>-191.280467863258</v>
      </c>
      <c r="G18" s="19">
        <v>-178.93812622662901</v>
      </c>
      <c r="H18" s="19">
        <v>-118.745185311992</v>
      </c>
      <c r="I18" s="19">
        <v>-104.892828582048</v>
      </c>
      <c r="J18" s="19">
        <v>-66.269785493736194</v>
      </c>
      <c r="K18" s="19">
        <v>-96.825718290492603</v>
      </c>
      <c r="L18" s="19">
        <v>-75.255187885586096</v>
      </c>
      <c r="M18" s="19">
        <v>-68.804599102499793</v>
      </c>
      <c r="N18" s="19">
        <v>-85.262745865544602</v>
      </c>
      <c r="O18" s="19">
        <v>-97.629263051160393</v>
      </c>
      <c r="P18" s="19">
        <v>-56.296804811437603</v>
      </c>
      <c r="Q18" s="19">
        <v>-46.918788562122202</v>
      </c>
      <c r="R18" s="19">
        <v>-72.102938316068204</v>
      </c>
      <c r="S18" s="19">
        <v>28.495463206001101</v>
      </c>
      <c r="T18" s="19">
        <v>-26.4724209607066</v>
      </c>
      <c r="U18" s="19">
        <v>-8.7865871790877801</v>
      </c>
      <c r="V18" s="19">
        <v>7.36771113552836</v>
      </c>
      <c r="W18" s="19">
        <v>-15.352781587442299</v>
      </c>
      <c r="X18" s="19">
        <v>-17.728426781035999</v>
      </c>
      <c r="Y18" s="22">
        <v>-7.8676993545626503</v>
      </c>
      <c r="Z18" s="19">
        <v>-13.274490955169099</v>
      </c>
      <c r="AA18" s="19">
        <v>-11.556749364491999</v>
      </c>
    </row>
    <row r="19" spans="1:27" x14ac:dyDescent="0.25">
      <c r="A19" s="10" t="s">
        <v>319</v>
      </c>
      <c r="B19" s="10" t="s">
        <v>397</v>
      </c>
      <c r="C19" s="13">
        <v>-10.519404518919201</v>
      </c>
      <c r="D19" s="13">
        <v>-29.9800505015276</v>
      </c>
      <c r="E19" s="13">
        <v>-28.662189874944701</v>
      </c>
      <c r="F19" s="13">
        <v>-20.1573651911275</v>
      </c>
      <c r="G19" s="13">
        <v>21.654628812980199</v>
      </c>
      <c r="H19" s="13">
        <v>30.188552353236101</v>
      </c>
      <c r="I19" s="13">
        <v>7.3330479934221602</v>
      </c>
      <c r="J19" s="13">
        <v>19.120574193051102</v>
      </c>
      <c r="K19" s="13">
        <v>12.022938395698</v>
      </c>
      <c r="L19" s="13">
        <v>25.428278569632699</v>
      </c>
      <c r="M19" s="13">
        <v>43.432633558255503</v>
      </c>
      <c r="N19" s="13">
        <v>36.9129696020781</v>
      </c>
      <c r="O19" s="13">
        <v>55.959002065787402</v>
      </c>
      <c r="P19" s="13">
        <v>5.4940528601489396</v>
      </c>
      <c r="Q19" s="13">
        <v>7.06411099627298</v>
      </c>
      <c r="R19" s="13">
        <v>13.9223350922655</v>
      </c>
      <c r="S19" s="13">
        <v>8.4108563281947397</v>
      </c>
      <c r="T19" s="13">
        <v>4.8401475491110197</v>
      </c>
      <c r="U19" s="13">
        <v>4.0766042323696796</v>
      </c>
      <c r="V19" s="13">
        <v>9.0601295798128305</v>
      </c>
      <c r="W19" s="13">
        <v>6.3399471770885096</v>
      </c>
      <c r="X19" s="13">
        <v>14.9703455693684</v>
      </c>
      <c r="Y19" s="16">
        <v>8.9176303451183898</v>
      </c>
      <c r="Z19" s="13"/>
      <c r="AA19" s="13"/>
    </row>
    <row r="20" spans="1:27" x14ac:dyDescent="0.25">
      <c r="A20" s="10" t="s">
        <v>321</v>
      </c>
      <c r="B20" s="10" t="s">
        <v>322</v>
      </c>
      <c r="C20" s="13" t="s">
        <v>141</v>
      </c>
      <c r="D20" s="13" t="s">
        <v>141</v>
      </c>
      <c r="E20" s="13" t="s">
        <v>141</v>
      </c>
      <c r="F20" s="13">
        <v>23.1651949750871</v>
      </c>
      <c r="G20" s="13">
        <v>21.182649599135502</v>
      </c>
      <c r="H20" s="13">
        <v>16.767342047663899</v>
      </c>
      <c r="I20" s="13">
        <v>18.058074180868001</v>
      </c>
      <c r="J20" s="13">
        <v>14.965563832729501</v>
      </c>
      <c r="K20" s="13">
        <v>21.344326424456199</v>
      </c>
      <c r="L20" s="13">
        <v>14.048774827392799</v>
      </c>
      <c r="M20" s="13">
        <v>19.3895685527926</v>
      </c>
      <c r="N20" s="13">
        <v>18.952663932603301</v>
      </c>
      <c r="O20" s="13">
        <v>15.5441041822736</v>
      </c>
      <c r="P20" s="13">
        <v>4.7266703478740997</v>
      </c>
      <c r="Q20" s="13">
        <v>3.2259074822261899</v>
      </c>
      <c r="R20" s="13">
        <v>2.8109451175514701</v>
      </c>
      <c r="S20" s="13">
        <v>0.72855182337814595</v>
      </c>
      <c r="T20" s="13">
        <v>0.21195402507971001</v>
      </c>
      <c r="U20" s="13">
        <v>1.13445794636409</v>
      </c>
      <c r="V20" s="13">
        <v>0.61773955215398002</v>
      </c>
      <c r="W20" s="13">
        <v>0.44518175593259601</v>
      </c>
      <c r="X20" s="13">
        <v>1.34060279921641</v>
      </c>
      <c r="Y20" s="16">
        <v>0.88362334498539497</v>
      </c>
      <c r="Z20" s="13"/>
      <c r="AA20" s="13"/>
    </row>
    <row r="21" spans="1:27" x14ac:dyDescent="0.25">
      <c r="A21" s="11" t="s">
        <v>323</v>
      </c>
      <c r="B21" s="11" t="s">
        <v>324</v>
      </c>
      <c r="C21" s="25" t="s">
        <v>141</v>
      </c>
      <c r="D21" s="25" t="s">
        <v>141</v>
      </c>
      <c r="E21" s="25" t="s">
        <v>141</v>
      </c>
      <c r="F21" s="25">
        <v>26.209576576056602</v>
      </c>
      <c r="G21" s="25">
        <v>22.8290148029844</v>
      </c>
      <c r="H21" s="25">
        <v>17.434978784803299</v>
      </c>
      <c r="I21" s="25">
        <v>18.311501075656398</v>
      </c>
      <c r="J21" s="25">
        <v>15.151006787484199</v>
      </c>
      <c r="K21" s="25">
        <v>21.464241364791899</v>
      </c>
      <c r="L21" s="25">
        <v>14.240238265612</v>
      </c>
      <c r="M21" s="25">
        <v>19.864108900445</v>
      </c>
      <c r="N21" s="25">
        <v>18.952663932603301</v>
      </c>
      <c r="O21" s="25">
        <v>15.5441041822736</v>
      </c>
      <c r="P21" s="25">
        <v>8.9283209216947501</v>
      </c>
      <c r="Q21" s="25">
        <v>9.0685583638698404</v>
      </c>
      <c r="R21" s="25">
        <v>9.4226268533100797</v>
      </c>
      <c r="S21" s="25">
        <v>4.1161579150733498</v>
      </c>
      <c r="T21" s="25">
        <v>7.1268403840643302</v>
      </c>
      <c r="U21" s="25">
        <v>7.1314276004231996</v>
      </c>
      <c r="V21" s="25">
        <v>5.0404273860493296</v>
      </c>
      <c r="W21" s="25">
        <v>6.8625865658918901</v>
      </c>
      <c r="X21" s="25">
        <v>6.5699989547613997</v>
      </c>
      <c r="Y21" s="28">
        <v>6.3097271958591703</v>
      </c>
      <c r="Z21" s="25"/>
      <c r="AA21" s="25"/>
    </row>
    <row r="22" spans="1:27" x14ac:dyDescent="0.25">
      <c r="A22" s="11" t="s">
        <v>325</v>
      </c>
      <c r="B22" s="11" t="s">
        <v>326</v>
      </c>
      <c r="C22" s="25">
        <v>14.1148427798633</v>
      </c>
      <c r="D22" s="25">
        <v>10.118441427993501</v>
      </c>
      <c r="E22" s="25">
        <v>5.5088664602517197</v>
      </c>
      <c r="F22" s="25">
        <v>3.0443816009695901</v>
      </c>
      <c r="G22" s="25">
        <v>1.64636520384893</v>
      </c>
      <c r="H22" s="25">
        <v>0.66763673713943295</v>
      </c>
      <c r="I22" s="25">
        <v>0.25342689478841701</v>
      </c>
      <c r="J22" s="25">
        <v>0.18544295475463901</v>
      </c>
      <c r="K22" s="25">
        <v>0.119914940335655</v>
      </c>
      <c r="L22" s="25">
        <v>0.19146343821919701</v>
      </c>
      <c r="M22" s="25">
        <v>0.47454034765238501</v>
      </c>
      <c r="N22" s="25">
        <v>0</v>
      </c>
      <c r="O22" s="25">
        <v>0</v>
      </c>
      <c r="P22" s="25">
        <v>4.2016505738206504</v>
      </c>
      <c r="Q22" s="25">
        <v>5.8426508816436504</v>
      </c>
      <c r="R22" s="25">
        <v>6.6116817357586104</v>
      </c>
      <c r="S22" s="25">
        <v>3.3876060916952002</v>
      </c>
      <c r="T22" s="25">
        <v>6.9148863589846199</v>
      </c>
      <c r="U22" s="25">
        <v>5.99696965405911</v>
      </c>
      <c r="V22" s="25">
        <v>4.4226878338953499</v>
      </c>
      <c r="W22" s="25">
        <v>6.4174048099593</v>
      </c>
      <c r="X22" s="25">
        <v>5.2293961555449897</v>
      </c>
      <c r="Y22" s="28">
        <v>5.42610385087377</v>
      </c>
      <c r="Z22" s="25"/>
      <c r="AA22" s="25"/>
    </row>
    <row r="23" spans="1:27" x14ac:dyDescent="0.25">
      <c r="A23" s="10" t="s">
        <v>327</v>
      </c>
      <c r="B23" s="10" t="s">
        <v>398</v>
      </c>
      <c r="C23" s="13">
        <v>3.5954382609440301</v>
      </c>
      <c r="D23" s="13">
        <v>-19.861609073534101</v>
      </c>
      <c r="E23" s="13">
        <v>-23.153323414692998</v>
      </c>
      <c r="F23" s="13">
        <v>-43.3225601662146</v>
      </c>
      <c r="G23" s="13">
        <v>0.47197921384472402</v>
      </c>
      <c r="H23" s="13">
        <v>13.421210305572201</v>
      </c>
      <c r="I23" s="13">
        <v>-10.725026187445801</v>
      </c>
      <c r="J23" s="13">
        <v>4.15501036032156</v>
      </c>
      <c r="K23" s="13">
        <v>-9.3213880287582693</v>
      </c>
      <c r="L23" s="13">
        <v>11.379503742239899</v>
      </c>
      <c r="M23" s="13">
        <v>24.0430650054628</v>
      </c>
      <c r="N23" s="13">
        <v>17.960305669474899</v>
      </c>
      <c r="O23" s="13">
        <v>40.414897883513802</v>
      </c>
      <c r="P23" s="13">
        <v>0.767382512274837</v>
      </c>
      <c r="Q23" s="13">
        <v>3.8382035140467901</v>
      </c>
      <c r="R23" s="13">
        <v>11.111389974713999</v>
      </c>
      <c r="S23" s="13">
        <v>7.6823045048166003</v>
      </c>
      <c r="T23" s="13">
        <v>4.6281935240313103</v>
      </c>
      <c r="U23" s="13">
        <v>2.94214628600559</v>
      </c>
      <c r="V23" s="13">
        <v>8.4423900276588508</v>
      </c>
      <c r="W23" s="13">
        <v>5.8947654211559204</v>
      </c>
      <c r="X23" s="13">
        <v>13.629742770151999</v>
      </c>
      <c r="Y23" s="16">
        <v>8.0340070001329895</v>
      </c>
      <c r="Z23" s="13"/>
      <c r="AA23" s="13"/>
    </row>
    <row r="24" spans="1:27" x14ac:dyDescent="0.25">
      <c r="A24" s="6" t="s">
        <v>399</v>
      </c>
      <c r="B24" s="6" t="s">
        <v>158</v>
      </c>
      <c r="C24" s="19">
        <v>-298.21013117140802</v>
      </c>
      <c r="D24" s="19">
        <v>-385.85259692247598</v>
      </c>
      <c r="E24" s="19">
        <v>-182.60283887570901</v>
      </c>
      <c r="F24" s="19">
        <v>-171.12310267212999</v>
      </c>
      <c r="G24" s="19">
        <v>-200.59275503961001</v>
      </c>
      <c r="H24" s="19">
        <v>-148.93373766522799</v>
      </c>
      <c r="I24" s="19">
        <v>-112.22587657547101</v>
      </c>
      <c r="J24" s="19">
        <v>-85.390359686787306</v>
      </c>
      <c r="K24" s="19">
        <v>-108.84865668619101</v>
      </c>
      <c r="L24" s="19">
        <v>-100.683466455219</v>
      </c>
      <c r="M24" s="19">
        <v>-112.237232660755</v>
      </c>
      <c r="N24" s="19">
        <v>-122.17571546762299</v>
      </c>
      <c r="O24" s="19">
        <v>-153.58826511694801</v>
      </c>
      <c r="P24" s="19">
        <v>-61.790857671586501</v>
      </c>
      <c r="Q24" s="19">
        <v>-53.982899558395196</v>
      </c>
      <c r="R24" s="19">
        <v>-86.025273408333703</v>
      </c>
      <c r="S24" s="19">
        <v>20.084606877806401</v>
      </c>
      <c r="T24" s="19">
        <v>-31.312568509817702</v>
      </c>
      <c r="U24" s="19">
        <v>-12.8631914114575</v>
      </c>
      <c r="V24" s="19">
        <v>-1.6924184442844701</v>
      </c>
      <c r="W24" s="19">
        <v>-21.692728764530798</v>
      </c>
      <c r="X24" s="19">
        <v>-32.698772350404397</v>
      </c>
      <c r="Y24" s="22">
        <v>-16.785329861211299</v>
      </c>
      <c r="Z24" s="19">
        <v>-16.964391279539001</v>
      </c>
      <c r="AA24" s="19">
        <v>-17.10806644106</v>
      </c>
    </row>
    <row r="25" spans="1:27" x14ac:dyDescent="0.25">
      <c r="A25" s="10" t="s">
        <v>345</v>
      </c>
      <c r="B25" s="10" t="s">
        <v>346</v>
      </c>
      <c r="C25" s="13">
        <v>-0.56236708011589898</v>
      </c>
      <c r="D25" s="13">
        <v>-0.55523778965137205</v>
      </c>
      <c r="E25" s="13">
        <v>0.57802887128553604</v>
      </c>
      <c r="F25" s="13">
        <v>1.2754660356668801</v>
      </c>
      <c r="G25" s="13">
        <v>0.66665077511064497</v>
      </c>
      <c r="H25" s="13">
        <v>-3.6071948252039E-2</v>
      </c>
      <c r="I25" s="13">
        <v>0.57218161134451395</v>
      </c>
      <c r="J25" s="13">
        <v>0.55678227002126501</v>
      </c>
      <c r="K25" s="13">
        <v>0.148161570725832</v>
      </c>
      <c r="L25" s="13">
        <v>-0.71247606707022304</v>
      </c>
      <c r="M25" s="13">
        <v>0.461879686203161</v>
      </c>
      <c r="N25" s="13">
        <v>1.21387077547171</v>
      </c>
      <c r="O25" s="13">
        <v>-8.7020347627371295E-3</v>
      </c>
      <c r="P25" s="13">
        <v>0.140880803498142</v>
      </c>
      <c r="Q25" s="13">
        <v>0.54464593316420795</v>
      </c>
      <c r="R25" s="13">
        <v>0.56940461923615104</v>
      </c>
      <c r="S25" s="13">
        <v>0.39811866281161301</v>
      </c>
      <c r="T25" s="13">
        <v>4.1617582177668401E-2</v>
      </c>
      <c r="U25" s="13">
        <v>0.47498346256470803</v>
      </c>
      <c r="V25" s="13">
        <v>0.86719963626719199</v>
      </c>
      <c r="W25" s="13">
        <v>0.58033334730764896</v>
      </c>
      <c r="X25" s="13">
        <v>-18.5774302640408</v>
      </c>
      <c r="Y25" s="16">
        <v>-4.4131350570200798</v>
      </c>
      <c r="Z25" s="13"/>
      <c r="AA25" s="13"/>
    </row>
    <row r="26" spans="1:27" x14ac:dyDescent="0.25">
      <c r="A26" s="6" t="s">
        <v>347</v>
      </c>
      <c r="B26" s="6" t="s">
        <v>348</v>
      </c>
      <c r="C26" s="19">
        <v>-297.647764091292</v>
      </c>
      <c r="D26" s="19">
        <v>-385.29735913282502</v>
      </c>
      <c r="E26" s="19">
        <v>-183.18086774699401</v>
      </c>
      <c r="F26" s="19">
        <v>-172.39856870779701</v>
      </c>
      <c r="G26" s="19">
        <v>-201.25940581472</v>
      </c>
      <c r="H26" s="19">
        <v>-148.89766571697601</v>
      </c>
      <c r="I26" s="19">
        <v>-112.798058186815</v>
      </c>
      <c r="J26" s="19">
        <v>-85.947141956808593</v>
      </c>
      <c r="K26" s="19">
        <v>-108.996818256916</v>
      </c>
      <c r="L26" s="19">
        <v>-99.970990388148607</v>
      </c>
      <c r="M26" s="19">
        <v>-112.699112346958</v>
      </c>
      <c r="N26" s="19">
        <v>-123.389586243094</v>
      </c>
      <c r="O26" s="19">
        <v>-153.57956308218499</v>
      </c>
      <c r="P26" s="19">
        <v>-61.9317384750847</v>
      </c>
      <c r="Q26" s="19">
        <v>-54.527545491559401</v>
      </c>
      <c r="R26" s="19">
        <v>-86.594678027569898</v>
      </c>
      <c r="S26" s="19">
        <v>19.6864882149947</v>
      </c>
      <c r="T26" s="19">
        <v>-31.354186091995299</v>
      </c>
      <c r="U26" s="19">
        <v>-13.338174874022201</v>
      </c>
      <c r="V26" s="19">
        <v>-2.55961808055166</v>
      </c>
      <c r="W26" s="19">
        <v>-22.273062111838399</v>
      </c>
      <c r="X26" s="19">
        <v>-14.1213420863637</v>
      </c>
      <c r="Y26" s="22">
        <v>-12.372194642661</v>
      </c>
      <c r="Z26" s="19">
        <v>-21.1542976012392</v>
      </c>
      <c r="AA26" s="19">
        <v>-19.4603167568355</v>
      </c>
    </row>
    <row r="27" spans="1:27" x14ac:dyDescent="0.25">
      <c r="A27" s="10" t="s">
        <v>349</v>
      </c>
      <c r="B27" s="10" t="s">
        <v>350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6">
        <v>0</v>
      </c>
      <c r="Z27" s="13"/>
      <c r="AA27" s="13"/>
    </row>
    <row r="28" spans="1:27" x14ac:dyDescent="0.25">
      <c r="A28" s="10" t="s">
        <v>351</v>
      </c>
      <c r="B28" s="10" t="s">
        <v>352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6">
        <v>0</v>
      </c>
      <c r="Z28" s="13"/>
      <c r="AA28" s="13"/>
    </row>
    <row r="29" spans="1:27" x14ac:dyDescent="0.25">
      <c r="A29" s="10" t="s">
        <v>353</v>
      </c>
      <c r="B29" s="10" t="s">
        <v>354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6">
        <v>0</v>
      </c>
      <c r="Z29" s="13"/>
      <c r="AA29" s="13"/>
    </row>
    <row r="30" spans="1:27" x14ac:dyDescent="0.25">
      <c r="A30" s="6" t="s">
        <v>355</v>
      </c>
      <c r="B30" s="6" t="s">
        <v>356</v>
      </c>
      <c r="C30" s="19">
        <v>-297.647764091292</v>
      </c>
      <c r="D30" s="19">
        <v>-385.29735913282502</v>
      </c>
      <c r="E30" s="19">
        <v>-183.18086774699401</v>
      </c>
      <c r="F30" s="19">
        <v>-172.39856870779701</v>
      </c>
      <c r="G30" s="19">
        <v>-201.25940581472</v>
      </c>
      <c r="H30" s="19">
        <v>-148.89766571697601</v>
      </c>
      <c r="I30" s="19">
        <v>-112.798058186815</v>
      </c>
      <c r="J30" s="19">
        <v>-85.947141956808593</v>
      </c>
      <c r="K30" s="19">
        <v>-108.996818256916</v>
      </c>
      <c r="L30" s="19">
        <v>-99.970990388148607</v>
      </c>
      <c r="M30" s="19">
        <v>-112.699112346958</v>
      </c>
      <c r="N30" s="19">
        <v>-123.389586243094</v>
      </c>
      <c r="O30" s="19">
        <v>-153.57956308218499</v>
      </c>
      <c r="P30" s="19">
        <v>-61.9317384750847</v>
      </c>
      <c r="Q30" s="19">
        <v>-54.527545491559401</v>
      </c>
      <c r="R30" s="19">
        <v>-86.594678027569898</v>
      </c>
      <c r="S30" s="19">
        <v>19.6864882149947</v>
      </c>
      <c r="T30" s="19">
        <v>-31.354186091995299</v>
      </c>
      <c r="U30" s="19">
        <v>-13.338174874022201</v>
      </c>
      <c r="V30" s="19">
        <v>-2.55961808055166</v>
      </c>
      <c r="W30" s="19">
        <v>-22.273062111838399</v>
      </c>
      <c r="X30" s="19">
        <v>-14.1213420863637</v>
      </c>
      <c r="Y30" s="22">
        <v>-12.372194642661</v>
      </c>
      <c r="Z30" s="19"/>
      <c r="AA30" s="19"/>
    </row>
    <row r="31" spans="1:27" x14ac:dyDescent="0.25">
      <c r="A31" s="10" t="s">
        <v>357</v>
      </c>
      <c r="B31" s="10" t="s">
        <v>358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6">
        <v>0</v>
      </c>
      <c r="Z31" s="13"/>
      <c r="AA31" s="13"/>
    </row>
    <row r="32" spans="1:27" x14ac:dyDescent="0.25">
      <c r="A32" s="6" t="s">
        <v>359</v>
      </c>
      <c r="B32" s="6" t="s">
        <v>360</v>
      </c>
      <c r="C32" s="19">
        <v>-297.647764091292</v>
      </c>
      <c r="D32" s="19">
        <v>-385.29735913282502</v>
      </c>
      <c r="E32" s="19">
        <v>-183.18086774699401</v>
      </c>
      <c r="F32" s="19">
        <v>-172.39856870779701</v>
      </c>
      <c r="G32" s="19">
        <v>-201.25940581472</v>
      </c>
      <c r="H32" s="19">
        <v>-148.89766571697601</v>
      </c>
      <c r="I32" s="19">
        <v>-112.798058186815</v>
      </c>
      <c r="J32" s="19">
        <v>-85.947141956808593</v>
      </c>
      <c r="K32" s="19">
        <v>-108.996818256916</v>
      </c>
      <c r="L32" s="19">
        <v>-99.970990388148607</v>
      </c>
      <c r="M32" s="19">
        <v>-112.699112346958</v>
      </c>
      <c r="N32" s="19">
        <v>-123.389586243094</v>
      </c>
      <c r="O32" s="19">
        <v>-153.57956308218499</v>
      </c>
      <c r="P32" s="19">
        <v>-61.9317384750847</v>
      </c>
      <c r="Q32" s="19">
        <v>-54.527545491559401</v>
      </c>
      <c r="R32" s="19">
        <v>-86.594678027569898</v>
      </c>
      <c r="S32" s="19">
        <v>19.6864882149947</v>
      </c>
      <c r="T32" s="19">
        <v>-31.354186091995299</v>
      </c>
      <c r="U32" s="19">
        <v>-13.338174874022201</v>
      </c>
      <c r="V32" s="19">
        <v>-2.55961808055166</v>
      </c>
      <c r="W32" s="19">
        <v>-22.273062111838399</v>
      </c>
      <c r="X32" s="19">
        <v>-14.1213420863637</v>
      </c>
      <c r="Y32" s="22">
        <v>-12.372194642661</v>
      </c>
      <c r="Z32" s="19">
        <v>-21.1542976012392</v>
      </c>
      <c r="AA32" s="19">
        <v>-19.4603167568355</v>
      </c>
    </row>
    <row r="33" spans="1:27" x14ac:dyDescent="0.25">
      <c r="A33" s="10" t="s">
        <v>361</v>
      </c>
      <c r="B33" s="10" t="s">
        <v>362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6">
        <v>0</v>
      </c>
      <c r="Z33" s="13"/>
      <c r="AA33" s="13"/>
    </row>
    <row r="34" spans="1:27" x14ac:dyDescent="0.25">
      <c r="A34" s="10" t="s">
        <v>363</v>
      </c>
      <c r="B34" s="10" t="s">
        <v>364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6">
        <v>0</v>
      </c>
      <c r="Z34" s="13"/>
      <c r="AA34" s="13"/>
    </row>
    <row r="35" spans="1:27" x14ac:dyDescent="0.25">
      <c r="A35" s="6" t="s">
        <v>365</v>
      </c>
      <c r="B35" s="6" t="s">
        <v>80</v>
      </c>
      <c r="C35" s="19">
        <v>-297.647764091292</v>
      </c>
      <c r="D35" s="19">
        <v>-385.29735913282502</v>
      </c>
      <c r="E35" s="19">
        <v>-183.18086774699401</v>
      </c>
      <c r="F35" s="19">
        <v>-172.39856870779701</v>
      </c>
      <c r="G35" s="19">
        <v>-201.25940581472</v>
      </c>
      <c r="H35" s="19">
        <v>-148.89766571697601</v>
      </c>
      <c r="I35" s="19">
        <v>-112.798058186815</v>
      </c>
      <c r="J35" s="19">
        <v>-85.947141956808593</v>
      </c>
      <c r="K35" s="19">
        <v>-108.996818256916</v>
      </c>
      <c r="L35" s="19">
        <v>-99.970990388148607</v>
      </c>
      <c r="M35" s="19">
        <v>-112.699112346958</v>
      </c>
      <c r="N35" s="19">
        <v>-123.389586243094</v>
      </c>
      <c r="O35" s="19">
        <v>-153.57956308218499</v>
      </c>
      <c r="P35" s="19">
        <v>-61.9317384750847</v>
      </c>
      <c r="Q35" s="19">
        <v>-54.527545491559401</v>
      </c>
      <c r="R35" s="19">
        <v>-86.594678027569898</v>
      </c>
      <c r="S35" s="19">
        <v>19.6864882149947</v>
      </c>
      <c r="T35" s="19">
        <v>-31.354186091995299</v>
      </c>
      <c r="U35" s="19">
        <v>-13.338174874022201</v>
      </c>
      <c r="V35" s="19">
        <v>-2.55961808055166</v>
      </c>
      <c r="W35" s="19">
        <v>-22.273062111838399</v>
      </c>
      <c r="X35" s="19">
        <v>-14.1213420863637</v>
      </c>
      <c r="Y35" s="22">
        <v>-12.3721945177805</v>
      </c>
      <c r="Z35" s="19">
        <v>-21.1542976012392</v>
      </c>
      <c r="AA35" s="19">
        <v>-19.4603167568355</v>
      </c>
    </row>
    <row r="36" spans="1:27" x14ac:dyDescent="0.25">
      <c r="A36" s="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21"/>
      <c r="Z36" s="18"/>
      <c r="AA36" s="18"/>
    </row>
    <row r="37" spans="1:27" x14ac:dyDescent="0.25">
      <c r="A37" s="10" t="s">
        <v>367</v>
      </c>
      <c r="B37" s="10" t="s">
        <v>368</v>
      </c>
      <c r="C37" s="13">
        <v>0</v>
      </c>
      <c r="D37" s="13">
        <v>-15.7182516984975</v>
      </c>
      <c r="E37" s="13">
        <v>-24.238007157505301</v>
      </c>
      <c r="F37" s="13">
        <v>-44.106500452088298</v>
      </c>
      <c r="G37" s="13">
        <v>25.7681580891993</v>
      </c>
      <c r="H37" s="13">
        <v>13.939668138076099</v>
      </c>
      <c r="I37" s="13">
        <v>-26.478041967493802</v>
      </c>
      <c r="J37" s="13">
        <v>2.0104011280735201</v>
      </c>
      <c r="K37" s="13">
        <v>-4.6319144286985798</v>
      </c>
      <c r="L37" s="13">
        <v>2.1575415320942999</v>
      </c>
      <c r="M37" s="13">
        <v>14.6118100525652</v>
      </c>
      <c r="N37" s="13">
        <v>0.48795025309361301</v>
      </c>
      <c r="O37" s="13">
        <v>31.946304662020498</v>
      </c>
      <c r="P37" s="13">
        <v>-2.0284447893503699</v>
      </c>
      <c r="Q37" s="13">
        <v>0.71001284099094897</v>
      </c>
      <c r="R37" s="13">
        <v>-0.43921017461741602</v>
      </c>
      <c r="S37" s="13">
        <v>2.24428070829947</v>
      </c>
      <c r="T37" s="13">
        <v>-0.174429975575255</v>
      </c>
      <c r="U37" s="13">
        <v>-1.5778837342439199E-2</v>
      </c>
      <c r="V37" s="13">
        <v>0.20717614519001301</v>
      </c>
      <c r="W37" s="13">
        <v>0.312825027599273</v>
      </c>
      <c r="X37" s="13">
        <v>2.7985420607384799E-2</v>
      </c>
      <c r="Y37" s="16">
        <v>0.134416075130669</v>
      </c>
      <c r="Z37" s="13"/>
      <c r="AA37" s="13"/>
    </row>
    <row r="38" spans="1:27" x14ac:dyDescent="0.25">
      <c r="A38" s="10" t="s">
        <v>369</v>
      </c>
      <c r="B38" s="10" t="s">
        <v>350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6">
        <v>0</v>
      </c>
      <c r="Z38" s="13"/>
      <c r="AA38" s="13"/>
    </row>
    <row r="39" spans="1:27" x14ac:dyDescent="0.25">
      <c r="A39" s="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21"/>
      <c r="Z39" s="18"/>
      <c r="AA39" s="18"/>
    </row>
    <row r="40" spans="1:27" x14ac:dyDescent="0.25">
      <c r="A40" s="10" t="s">
        <v>248</v>
      </c>
      <c r="B40" s="10" t="s">
        <v>106</v>
      </c>
      <c r="C40" s="13">
        <v>155.151939024564</v>
      </c>
      <c r="D40" s="13">
        <v>155.89905274758999</v>
      </c>
      <c r="E40" s="13">
        <v>113.341911616872</v>
      </c>
      <c r="F40" s="13">
        <v>110.531732748504</v>
      </c>
      <c r="G40" s="13">
        <v>92.159900836690397</v>
      </c>
      <c r="H40" s="13">
        <v>71.088639170467502</v>
      </c>
      <c r="I40" s="13">
        <v>65.936046315172902</v>
      </c>
      <c r="J40" s="13">
        <v>53.398502854189204</v>
      </c>
      <c r="K40" s="13">
        <v>63.4968262512458</v>
      </c>
      <c r="L40" s="13">
        <v>46.327576537025898</v>
      </c>
      <c r="M40" s="13">
        <v>56.4538894020885</v>
      </c>
      <c r="N40" s="13">
        <v>53.7750535989111</v>
      </c>
      <c r="O40" s="13">
        <v>46.221425166284497</v>
      </c>
      <c r="P40" s="13">
        <v>36.791976957631299</v>
      </c>
      <c r="Q40" s="13">
        <v>38.870932381220797</v>
      </c>
      <c r="R40" s="13">
        <v>39.108215112594699</v>
      </c>
      <c r="S40" s="13">
        <v>16.684209825057</v>
      </c>
      <c r="T40" s="13">
        <v>28.5667177600189</v>
      </c>
      <c r="U40" s="13">
        <v>25.516807496161501</v>
      </c>
      <c r="V40" s="13">
        <v>19.207062478687501</v>
      </c>
      <c r="W40" s="13">
        <v>25.670817038283602</v>
      </c>
      <c r="X40" s="13">
        <v>21.7672624526692</v>
      </c>
      <c r="Y40" s="16">
        <v>5.7429735130944497</v>
      </c>
      <c r="Z40" s="13"/>
      <c r="AA40" s="13"/>
    </row>
    <row r="41" spans="1:27" x14ac:dyDescent="0.25">
      <c r="A41" s="6" t="s">
        <v>101</v>
      </c>
      <c r="B41" s="6" t="s">
        <v>102</v>
      </c>
      <c r="C41" s="19">
        <v>-2.7404690198541299</v>
      </c>
      <c r="D41" s="19">
        <v>-3.4458224634142902</v>
      </c>
      <c r="E41" s="19">
        <v>-1.6285335156218601</v>
      </c>
      <c r="F41" s="19">
        <v>-1.5005482772551499</v>
      </c>
      <c r="G41" s="19">
        <v>-1.7321796063661601</v>
      </c>
      <c r="H41" s="19">
        <v>-1.2778029126569701</v>
      </c>
      <c r="I41" s="19">
        <v>-0.96302220019598295</v>
      </c>
      <c r="J41" s="19">
        <v>-0.72998326932755397</v>
      </c>
      <c r="K41" s="19">
        <v>-0.91668309945478699</v>
      </c>
      <c r="L41" s="19">
        <v>-0.83547682132013101</v>
      </c>
      <c r="M41" s="19">
        <v>-0.937826774016571</v>
      </c>
      <c r="N41" s="19">
        <v>-1.01860171338594</v>
      </c>
      <c r="O41" s="19">
        <v>-1.25611980053423</v>
      </c>
      <c r="P41" s="19">
        <v>-0.50144014804423398</v>
      </c>
      <c r="Q41" s="19">
        <v>-0.43847286166181199</v>
      </c>
      <c r="R41" s="19">
        <v>-0.69332463278892198</v>
      </c>
      <c r="S41" s="19">
        <v>0.157222229624399</v>
      </c>
      <c r="T41" s="19">
        <v>-0.25016033002970101</v>
      </c>
      <c r="U41" s="19">
        <v>-0.105192248949595</v>
      </c>
      <c r="V41" s="19">
        <v>-1.97021937634979E-2</v>
      </c>
      <c r="W41" s="19">
        <v>-0.17368077473603499</v>
      </c>
      <c r="X41" s="19">
        <v>-0.10958146623373601</v>
      </c>
      <c r="Y41" s="22">
        <v>-9.6519815696079106E-2</v>
      </c>
      <c r="Z41" s="19">
        <v>-0.162784680419402</v>
      </c>
      <c r="AA41" s="19">
        <v>-0.14482935461506999</v>
      </c>
    </row>
    <row r="42" spans="1:27" x14ac:dyDescent="0.25">
      <c r="A42" s="6" t="s">
        <v>370</v>
      </c>
      <c r="B42" s="6" t="s">
        <v>255</v>
      </c>
      <c r="C42" s="19">
        <v>-2.7404690198541299</v>
      </c>
      <c r="D42" s="19">
        <v>-3.4458224634142902</v>
      </c>
      <c r="E42" s="19">
        <v>-1.6285335156218601</v>
      </c>
      <c r="F42" s="19">
        <v>-1.5005482772551499</v>
      </c>
      <c r="G42" s="19">
        <v>-1.7321796063661601</v>
      </c>
      <c r="H42" s="19">
        <v>-1.2778029126569701</v>
      </c>
      <c r="I42" s="19">
        <v>-0.96302220019598295</v>
      </c>
      <c r="J42" s="19">
        <v>-0.72998326932755397</v>
      </c>
      <c r="K42" s="19">
        <v>-0.91668309945478699</v>
      </c>
      <c r="L42" s="19">
        <v>-0.83547682132013101</v>
      </c>
      <c r="M42" s="19">
        <v>-0.937826774016571</v>
      </c>
      <c r="N42" s="19">
        <v>-1.01860171338594</v>
      </c>
      <c r="O42" s="19">
        <v>-1.25611980053423</v>
      </c>
      <c r="P42" s="19">
        <v>-0.50144014804423398</v>
      </c>
      <c r="Q42" s="19">
        <v>-0.43847286166181199</v>
      </c>
      <c r="R42" s="19">
        <v>-0.69332463278892198</v>
      </c>
      <c r="S42" s="19">
        <v>0.157222229624399</v>
      </c>
      <c r="T42" s="19">
        <v>-0.25016033002970101</v>
      </c>
      <c r="U42" s="19">
        <v>-0.105192248949595</v>
      </c>
      <c r="V42" s="19">
        <v>-1.97021937634979E-2</v>
      </c>
      <c r="W42" s="19">
        <v>-0.17368077473603499</v>
      </c>
      <c r="X42" s="19">
        <v>-0.10958146623373601</v>
      </c>
      <c r="Y42" s="22">
        <v>-9.6519815696079106E-2</v>
      </c>
      <c r="Z42" s="19">
        <v>-0.162784680419402</v>
      </c>
      <c r="AA42" s="19">
        <v>-0.14482935461506999</v>
      </c>
    </row>
    <row r="43" spans="1:27" x14ac:dyDescent="0.25">
      <c r="A43" s="6" t="s">
        <v>371</v>
      </c>
      <c r="B43" s="6" t="s">
        <v>257</v>
      </c>
      <c r="C43" s="19">
        <v>-2.7404690198541299</v>
      </c>
      <c r="D43" s="19">
        <v>-3.5885060197262901</v>
      </c>
      <c r="E43" s="19">
        <v>-1.83966785958422</v>
      </c>
      <c r="F43" s="19">
        <v>-1.88411054038976</v>
      </c>
      <c r="G43" s="19">
        <v>-1.5130382271380101</v>
      </c>
      <c r="H43" s="19">
        <v>-1.16068952446167</v>
      </c>
      <c r="I43" s="19">
        <v>-1.1895807755989301</v>
      </c>
      <c r="J43" s="19">
        <v>-0.71270533613235798</v>
      </c>
      <c r="K43" s="19">
        <v>-0.95373308533147105</v>
      </c>
      <c r="L43" s="19">
        <v>-0.81665693233024494</v>
      </c>
      <c r="M43" s="19">
        <v>-0.81472575600560804</v>
      </c>
      <c r="N43" s="19">
        <v>-1.0165898638009401</v>
      </c>
      <c r="O43" s="19">
        <v>-0.99563914553585597</v>
      </c>
      <c r="P43" s="19">
        <v>-0.51887922157386501</v>
      </c>
      <c r="Q43" s="19">
        <v>-0.43362429139653602</v>
      </c>
      <c r="R43" s="19">
        <v>-0.69817570916757099</v>
      </c>
      <c r="S43" s="19">
        <v>0.17513796916845401</v>
      </c>
      <c r="T43" s="19">
        <v>-0.250998139716819</v>
      </c>
      <c r="U43" s="19">
        <v>-0.10586790685630899</v>
      </c>
      <c r="V43" s="19">
        <v>-1.85621945212746E-2</v>
      </c>
      <c r="W43" s="19">
        <v>-0.17077711166875301</v>
      </c>
      <c r="X43" s="19">
        <v>-0.109152749820455</v>
      </c>
      <c r="Y43" s="22">
        <v>-9.55737435855466E-2</v>
      </c>
      <c r="Z43" s="19">
        <v>-7.9507464962739499E-2</v>
      </c>
      <c r="AA43" s="19">
        <v>-6.2363678380697E-2</v>
      </c>
    </row>
    <row r="44" spans="1:27" x14ac:dyDescent="0.25">
      <c r="A44" s="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21"/>
      <c r="Z44" s="18"/>
      <c r="AA44" s="18"/>
    </row>
    <row r="45" spans="1:27" x14ac:dyDescent="0.25">
      <c r="A45" s="10" t="s">
        <v>247</v>
      </c>
      <c r="B45" s="10" t="s">
        <v>108</v>
      </c>
      <c r="C45" s="13">
        <v>155.151939024564</v>
      </c>
      <c r="D45" s="13">
        <v>155.89905274758999</v>
      </c>
      <c r="E45" s="13">
        <v>113.341911616872</v>
      </c>
      <c r="F45" s="13">
        <v>110.531732748504</v>
      </c>
      <c r="G45" s="13">
        <v>92.159900836690397</v>
      </c>
      <c r="H45" s="13">
        <v>71.088639170467502</v>
      </c>
      <c r="I45" s="13">
        <v>65.936046315172902</v>
      </c>
      <c r="J45" s="13">
        <v>53.398502854189204</v>
      </c>
      <c r="K45" s="13">
        <v>63.4968262512458</v>
      </c>
      <c r="L45" s="13">
        <v>46.327576537025898</v>
      </c>
      <c r="M45" s="13">
        <v>56.4538894020885</v>
      </c>
      <c r="N45" s="13">
        <v>53.7750535989111</v>
      </c>
      <c r="O45" s="13">
        <v>46.221425166284497</v>
      </c>
      <c r="P45" s="13">
        <v>36.791976957631299</v>
      </c>
      <c r="Q45" s="13">
        <v>38.870932381220797</v>
      </c>
      <c r="R45" s="13">
        <v>39.108215112594699</v>
      </c>
      <c r="S45" s="13">
        <v>17.4992338747285</v>
      </c>
      <c r="T45" s="13">
        <v>28.5667177600189</v>
      </c>
      <c r="U45" s="13">
        <v>25.516807496161501</v>
      </c>
      <c r="V45" s="13">
        <v>19.207062478687501</v>
      </c>
      <c r="W45" s="13">
        <v>25.670817038283602</v>
      </c>
      <c r="X45" s="13">
        <v>21.7672624526692</v>
      </c>
      <c r="Y45" s="16">
        <v>5.7429735130944497</v>
      </c>
      <c r="Z45" s="13"/>
      <c r="AA45" s="13"/>
    </row>
    <row r="46" spans="1:27" x14ac:dyDescent="0.25">
      <c r="A46" s="6" t="s">
        <v>103</v>
      </c>
      <c r="B46" s="6" t="s">
        <v>104</v>
      </c>
      <c r="C46" s="19">
        <v>-2.7404690198541299</v>
      </c>
      <c r="D46" s="19">
        <v>-3.4458224634142902</v>
      </c>
      <c r="E46" s="19">
        <v>-1.6285335156218601</v>
      </c>
      <c r="F46" s="19">
        <v>-1.5005482772551499</v>
      </c>
      <c r="G46" s="19">
        <v>-1.7321796063661601</v>
      </c>
      <c r="H46" s="19">
        <v>-1.2778029126569701</v>
      </c>
      <c r="I46" s="19">
        <v>-0.96302220019598295</v>
      </c>
      <c r="J46" s="19">
        <v>-0.72998326932755397</v>
      </c>
      <c r="K46" s="19">
        <v>-0.91668309945478699</v>
      </c>
      <c r="L46" s="19">
        <v>-0.83547682132013101</v>
      </c>
      <c r="M46" s="19">
        <v>-0.937826774016571</v>
      </c>
      <c r="N46" s="19">
        <v>-1.01860171338594</v>
      </c>
      <c r="O46" s="19">
        <v>-1.25611980053423</v>
      </c>
      <c r="P46" s="19">
        <v>-0.50144014804423398</v>
      </c>
      <c r="Q46" s="19">
        <v>-0.43847286166181199</v>
      </c>
      <c r="R46" s="19">
        <v>-0.69332463278892198</v>
      </c>
      <c r="S46" s="19">
        <v>0.153225054294965</v>
      </c>
      <c r="T46" s="19">
        <v>-0.25016033002970101</v>
      </c>
      <c r="U46" s="19">
        <v>-0.105192248949595</v>
      </c>
      <c r="V46" s="19">
        <v>-1.97021937634979E-2</v>
      </c>
      <c r="W46" s="19">
        <v>-0.17368077473603499</v>
      </c>
      <c r="X46" s="19">
        <v>-0.10958146623373601</v>
      </c>
      <c r="Y46" s="22">
        <v>-9.6519815696079106E-2</v>
      </c>
      <c r="Z46" s="19">
        <v>-0.162784680419402</v>
      </c>
      <c r="AA46" s="19">
        <v>-0.14482935461506999</v>
      </c>
    </row>
    <row r="47" spans="1:27" x14ac:dyDescent="0.25">
      <c r="A47" s="6" t="s">
        <v>372</v>
      </c>
      <c r="B47" s="6" t="s">
        <v>260</v>
      </c>
      <c r="C47" s="19">
        <v>-2.7404690198541299</v>
      </c>
      <c r="D47" s="19">
        <v>-3.4458224634142902</v>
      </c>
      <c r="E47" s="19">
        <v>-1.6285335156218601</v>
      </c>
      <c r="F47" s="19">
        <v>-1.5005482772551499</v>
      </c>
      <c r="G47" s="19">
        <v>-1.7321796063661601</v>
      </c>
      <c r="H47" s="19">
        <v>-1.2778029126569701</v>
      </c>
      <c r="I47" s="19">
        <v>-0.96302220019598295</v>
      </c>
      <c r="J47" s="19">
        <v>-0.72998326932755397</v>
      </c>
      <c r="K47" s="19">
        <v>-0.91668309945478699</v>
      </c>
      <c r="L47" s="19">
        <v>-0.83547682132013101</v>
      </c>
      <c r="M47" s="19">
        <v>-0.937826774016571</v>
      </c>
      <c r="N47" s="19">
        <v>-1.01860171338594</v>
      </c>
      <c r="O47" s="19">
        <v>-1.25611980053423</v>
      </c>
      <c r="P47" s="19">
        <v>-0.50144014804423398</v>
      </c>
      <c r="Q47" s="19">
        <v>-0.43847286166181199</v>
      </c>
      <c r="R47" s="19">
        <v>-0.69332463278892198</v>
      </c>
      <c r="S47" s="19">
        <v>0.153225054294965</v>
      </c>
      <c r="T47" s="19">
        <v>-0.25016033002970101</v>
      </c>
      <c r="U47" s="19">
        <v>-0.105192248949595</v>
      </c>
      <c r="V47" s="19">
        <v>-1.97021937634979E-2</v>
      </c>
      <c r="W47" s="19">
        <v>-0.17368077473603499</v>
      </c>
      <c r="X47" s="19">
        <v>-0.10958146623373601</v>
      </c>
      <c r="Y47" s="22">
        <v>-9.6519815696079106E-2</v>
      </c>
      <c r="Z47" s="19">
        <v>-0.162784680419402</v>
      </c>
      <c r="AA47" s="19">
        <v>-0.14482935461506999</v>
      </c>
    </row>
    <row r="48" spans="1:27" x14ac:dyDescent="0.25">
      <c r="A48" s="6" t="s">
        <v>373</v>
      </c>
      <c r="B48" s="6" t="s">
        <v>82</v>
      </c>
      <c r="C48" s="19">
        <v>-2.7404690198541299</v>
      </c>
      <c r="D48" s="19">
        <v>-3.5885060197262901</v>
      </c>
      <c r="E48" s="19">
        <v>-1.84350898709236</v>
      </c>
      <c r="F48" s="19">
        <v>-1.8843798695677301</v>
      </c>
      <c r="G48" s="19">
        <v>-1.5130382271380101</v>
      </c>
      <c r="H48" s="19">
        <v>-1.16068952446167</v>
      </c>
      <c r="I48" s="19">
        <v>-1.1895807755989301</v>
      </c>
      <c r="J48" s="19">
        <v>-0.71291299596922297</v>
      </c>
      <c r="K48" s="19">
        <v>-0.95556058902218699</v>
      </c>
      <c r="L48" s="19">
        <v>-0.81746339953971403</v>
      </c>
      <c r="M48" s="19">
        <v>-0.81645932879737804</v>
      </c>
      <c r="N48" s="19">
        <v>-1.0165898638009401</v>
      </c>
      <c r="O48" s="19">
        <v>-0.99563914553585597</v>
      </c>
      <c r="P48" s="19">
        <v>-0.51887922157386501</v>
      </c>
      <c r="Q48" s="19">
        <v>-0.43362429139653602</v>
      </c>
      <c r="R48" s="19">
        <v>-0.69817570916757099</v>
      </c>
      <c r="S48" s="19">
        <v>0.17031297882829499</v>
      </c>
      <c r="T48" s="19">
        <v>-0.251548947279848</v>
      </c>
      <c r="U48" s="19">
        <v>-0.10586790685630899</v>
      </c>
      <c r="V48" s="19">
        <v>-1.85621945212746E-2</v>
      </c>
      <c r="W48" s="19">
        <v>-0.171248046091284</v>
      </c>
      <c r="X48" s="19">
        <v>-0.109364663517464</v>
      </c>
      <c r="Y48" s="22">
        <v>-9.5734580292254901E-2</v>
      </c>
      <c r="Z48" s="19">
        <v>-7.9507464962739499E-2</v>
      </c>
      <c r="AA48" s="19">
        <v>-6.2363678380697E-2</v>
      </c>
    </row>
    <row r="49" spans="1:27" x14ac:dyDescent="0.25">
      <c r="A49" s="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21"/>
      <c r="Z49" s="18"/>
      <c r="AA49" s="18"/>
    </row>
    <row r="50" spans="1:27" x14ac:dyDescent="0.25">
      <c r="A50" s="6" t="s">
        <v>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21"/>
      <c r="Z50" s="18"/>
      <c r="AA50" s="18"/>
    </row>
    <row r="51" spans="1:27" x14ac:dyDescent="0.25">
      <c r="A51" s="10" t="s">
        <v>374</v>
      </c>
      <c r="B51" s="10" t="s">
        <v>375</v>
      </c>
      <c r="C51" s="12" t="s">
        <v>376</v>
      </c>
      <c r="D51" s="12" t="s">
        <v>376</v>
      </c>
      <c r="E51" s="12" t="s">
        <v>376</v>
      </c>
      <c r="F51" s="12" t="s">
        <v>376</v>
      </c>
      <c r="G51" s="12" t="s">
        <v>376</v>
      </c>
      <c r="H51" s="12" t="s">
        <v>376</v>
      </c>
      <c r="I51" s="12" t="s">
        <v>376</v>
      </c>
      <c r="J51" s="12" t="s">
        <v>376</v>
      </c>
      <c r="K51" s="12" t="s">
        <v>376</v>
      </c>
      <c r="L51" s="12" t="s">
        <v>376</v>
      </c>
      <c r="M51" s="12" t="s">
        <v>376</v>
      </c>
      <c r="N51" s="12" t="s">
        <v>376</v>
      </c>
      <c r="O51" s="12" t="s">
        <v>376</v>
      </c>
      <c r="P51" s="12" t="s">
        <v>376</v>
      </c>
      <c r="Q51" s="12" t="s">
        <v>376</v>
      </c>
      <c r="R51" s="12" t="s">
        <v>376</v>
      </c>
      <c r="S51" s="12" t="s">
        <v>376</v>
      </c>
      <c r="T51" s="12" t="s">
        <v>376</v>
      </c>
      <c r="U51" s="12" t="s">
        <v>376</v>
      </c>
      <c r="V51" s="12" t="s">
        <v>376</v>
      </c>
      <c r="W51" s="12" t="s">
        <v>376</v>
      </c>
      <c r="X51" s="12" t="s">
        <v>376</v>
      </c>
      <c r="Y51" s="15"/>
      <c r="Z51" s="12"/>
      <c r="AA51" s="12"/>
    </row>
    <row r="52" spans="1:27" x14ac:dyDescent="0.25">
      <c r="A52" s="10" t="s">
        <v>78</v>
      </c>
      <c r="B52" s="10" t="s">
        <v>78</v>
      </c>
      <c r="C52" s="13">
        <v>-270.28732104879998</v>
      </c>
      <c r="D52" s="13">
        <v>-380.241626093386</v>
      </c>
      <c r="E52" s="13">
        <v>-194.169447907033</v>
      </c>
      <c r="F52" s="13">
        <v>-174.17998884207699</v>
      </c>
      <c r="G52" s="13">
        <v>-164.02310632245599</v>
      </c>
      <c r="H52" s="13">
        <v>-105.97938396449101</v>
      </c>
      <c r="I52" s="13">
        <v>-92.017615985042198</v>
      </c>
      <c r="J52" s="13">
        <v>-56.221860505184701</v>
      </c>
      <c r="K52" s="13">
        <v>-84.450496447852998</v>
      </c>
      <c r="L52" s="13">
        <v>-66.958052101262894</v>
      </c>
      <c r="M52" s="13">
        <v>-59.530430134249897</v>
      </c>
      <c r="N52" s="13">
        <v>-76.261242427207804</v>
      </c>
      <c r="O52" s="13">
        <v>-89.816349231572502</v>
      </c>
      <c r="P52" s="13">
        <v>-48.869222618532397</v>
      </c>
      <c r="Q52" s="13">
        <v>-38.750978734066202</v>
      </c>
      <c r="R52" s="13">
        <v>-64.747109055886398</v>
      </c>
      <c r="S52" s="13">
        <v>31.630847534409</v>
      </c>
      <c r="T52" s="13">
        <v>-21.020517695432101</v>
      </c>
      <c r="U52" s="13">
        <v>-3.6309532238389899</v>
      </c>
      <c r="V52" s="13">
        <v>11.1099155078998</v>
      </c>
      <c r="W52" s="13">
        <v>-9.9551025215653599</v>
      </c>
      <c r="X52" s="13">
        <v>-15.339887990882801</v>
      </c>
      <c r="Y52" s="16">
        <v>-3.8030141759587401</v>
      </c>
      <c r="Z52" s="13">
        <v>-15.400287529151299</v>
      </c>
      <c r="AA52" s="13">
        <v>-10.783059872296899</v>
      </c>
    </row>
    <row r="53" spans="1:27" x14ac:dyDescent="0.25">
      <c r="A53" s="10" t="s">
        <v>377</v>
      </c>
      <c r="B53" s="10" t="s">
        <v>378</v>
      </c>
      <c r="C53" s="13">
        <v>-672.27348453490504</v>
      </c>
      <c r="D53" s="13">
        <v>-537.36375469092195</v>
      </c>
      <c r="E53" s="13">
        <v>-306.684457557602</v>
      </c>
      <c r="F53" s="13">
        <v>-233.00709105249999</v>
      </c>
      <c r="G53" s="13">
        <v>-169.07695803834599</v>
      </c>
      <c r="H53" s="13">
        <v>-93.534807595896396</v>
      </c>
      <c r="I53" s="13">
        <v>-71.438403748465404</v>
      </c>
      <c r="J53" s="13">
        <v>-43.997044247867898</v>
      </c>
      <c r="K53" s="13">
        <v>-44.040360171185199</v>
      </c>
      <c r="L53" s="13">
        <v>-28.3564418744077</v>
      </c>
      <c r="M53" s="13">
        <v>-31.040640254338602</v>
      </c>
      <c r="N53" s="13">
        <v>-31.689557330818701</v>
      </c>
      <c r="O53" s="13">
        <v>-27.912161282755601</v>
      </c>
      <c r="P53" s="13">
        <v>-20.125997880818399</v>
      </c>
      <c r="Q53" s="13">
        <v>-19.071804315825698</v>
      </c>
      <c r="R53" s="13">
        <v>-18.539332839744802</v>
      </c>
      <c r="S53" s="13">
        <v>-1.9823591328794301</v>
      </c>
      <c r="T53" s="13">
        <v>-2.3029782724382399</v>
      </c>
      <c r="U53" s="13">
        <v>-0.80141200364936205</v>
      </c>
      <c r="V53" s="13">
        <v>1.2950112529837501</v>
      </c>
      <c r="W53" s="13">
        <v>-0.82854413587825604</v>
      </c>
      <c r="X53" s="13">
        <v>-0.64113823111911294</v>
      </c>
      <c r="Y53" s="16">
        <v>-0.16915494348069701</v>
      </c>
      <c r="Z53" s="13">
        <v>0.27900366936565202</v>
      </c>
      <c r="AA53" s="13">
        <v>2.5136282143329902</v>
      </c>
    </row>
    <row r="54" spans="1:27" x14ac:dyDescent="0.25">
      <c r="A54" s="10" t="s">
        <v>379</v>
      </c>
      <c r="B54" s="10" t="s">
        <v>379</v>
      </c>
      <c r="C54" s="13" t="s">
        <v>141</v>
      </c>
      <c r="D54" s="13" t="s">
        <v>141</v>
      </c>
      <c r="E54" s="13" t="s">
        <v>141</v>
      </c>
      <c r="F54" s="13" t="s">
        <v>141</v>
      </c>
      <c r="G54" s="13" t="s">
        <v>141</v>
      </c>
      <c r="H54" s="13" t="s">
        <v>141</v>
      </c>
      <c r="I54" s="13" t="s">
        <v>141</v>
      </c>
      <c r="J54" s="13" t="s">
        <v>141</v>
      </c>
      <c r="K54" s="13" t="s">
        <v>141</v>
      </c>
      <c r="L54" s="13" t="s">
        <v>141</v>
      </c>
      <c r="M54" s="13" t="s">
        <v>141</v>
      </c>
      <c r="N54" s="13" t="s">
        <v>141</v>
      </c>
      <c r="O54" s="13" t="s">
        <v>141</v>
      </c>
      <c r="P54" s="13" t="s">
        <v>141</v>
      </c>
      <c r="Q54" s="13" t="s">
        <v>141</v>
      </c>
      <c r="R54" s="13">
        <v>-68.881645406802704</v>
      </c>
      <c r="S54" s="13">
        <v>29.855035774719202</v>
      </c>
      <c r="T54" s="13" t="s">
        <v>141</v>
      </c>
      <c r="U54" s="13" t="s">
        <v>141</v>
      </c>
      <c r="V54" s="13">
        <v>8.8361307922555206</v>
      </c>
      <c r="W54" s="13">
        <v>-12.7463721679553</v>
      </c>
      <c r="X54" s="13">
        <v>-17.728426781035999</v>
      </c>
      <c r="Y54" s="16">
        <v>-4.9240673717209402</v>
      </c>
      <c r="Z54" s="13"/>
      <c r="AA54" s="13"/>
    </row>
    <row r="55" spans="1:27" x14ac:dyDescent="0.25">
      <c r="A55" s="10" t="s">
        <v>142</v>
      </c>
      <c r="B55" s="10" t="s">
        <v>142</v>
      </c>
      <c r="C55" s="13">
        <v>-308.729535690327</v>
      </c>
      <c r="D55" s="13">
        <v>-415.83264742400399</v>
      </c>
      <c r="E55" s="13">
        <v>-211.26502875065299</v>
      </c>
      <c r="F55" s="13">
        <v>-191.280467863258</v>
      </c>
      <c r="G55" s="13">
        <v>-178.93812622662901</v>
      </c>
      <c r="H55" s="13">
        <v>-118.745185311992</v>
      </c>
      <c r="I55" s="13">
        <v>-104.892828582048</v>
      </c>
      <c r="J55" s="13">
        <v>-66.269785493736194</v>
      </c>
      <c r="K55" s="13">
        <v>-96.825718290492603</v>
      </c>
      <c r="L55" s="13">
        <v>-75.255187885586096</v>
      </c>
      <c r="M55" s="13">
        <v>-68.804599102499793</v>
      </c>
      <c r="N55" s="13">
        <v>-85.262745865544602</v>
      </c>
      <c r="O55" s="13">
        <v>-97.629263051160393</v>
      </c>
      <c r="P55" s="13">
        <v>-56.296804811437603</v>
      </c>
      <c r="Q55" s="13">
        <v>-46.918788562122202</v>
      </c>
      <c r="R55" s="13">
        <v>-72.102938316068204</v>
      </c>
      <c r="S55" s="13">
        <v>28.495463206001101</v>
      </c>
      <c r="T55" s="13">
        <v>-26.4724209607066</v>
      </c>
      <c r="U55" s="13">
        <v>-8.7865871790877801</v>
      </c>
      <c r="V55" s="13">
        <v>7.36771113552836</v>
      </c>
      <c r="W55" s="13">
        <v>-15.352781587442299</v>
      </c>
      <c r="X55" s="13">
        <v>-17.728426781035999</v>
      </c>
      <c r="Y55" s="16">
        <v>-7.8676993545626503</v>
      </c>
      <c r="Z55" s="13">
        <v>-13.274490955169099</v>
      </c>
      <c r="AA55" s="13">
        <v>-11.556749364491999</v>
      </c>
    </row>
    <row r="56" spans="1:27" x14ac:dyDescent="0.25">
      <c r="A56" s="10" t="s">
        <v>380</v>
      </c>
      <c r="B56" s="10" t="s">
        <v>153</v>
      </c>
      <c r="C56" s="13">
        <v>132.112503389903</v>
      </c>
      <c r="D56" s="13">
        <v>115.80981013099699</v>
      </c>
      <c r="E56" s="13">
        <v>87.084251477743393</v>
      </c>
      <c r="F56" s="13">
        <v>77.750039437486805</v>
      </c>
      <c r="G56" s="13">
        <v>65.696159805487397</v>
      </c>
      <c r="H56" s="13">
        <v>52.532605984275101</v>
      </c>
      <c r="I56" s="13">
        <v>46.4654190554498</v>
      </c>
      <c r="J56" s="13">
        <v>37.373447652038301</v>
      </c>
      <c r="K56" s="13">
        <v>44.017886512500503</v>
      </c>
      <c r="L56" s="13">
        <v>33.044562631752001</v>
      </c>
      <c r="M56" s="13">
        <v>39.0576824424761</v>
      </c>
      <c r="N56" s="13">
        <v>36.4065283918547</v>
      </c>
      <c r="O56" s="13">
        <v>31.949251625010401</v>
      </c>
      <c r="P56" s="13">
        <v>25.280437864700701</v>
      </c>
      <c r="Q56" s="13">
        <v>25.937332519026601</v>
      </c>
      <c r="R56" s="13">
        <v>22.969936377269001</v>
      </c>
      <c r="S56" s="13">
        <v>11.8272071735973</v>
      </c>
      <c r="T56" s="13">
        <v>18.301344043227701</v>
      </c>
      <c r="U56" s="13">
        <v>17.529384240987401</v>
      </c>
      <c r="V56" s="13">
        <v>13.578205130148101</v>
      </c>
      <c r="W56" s="13">
        <v>16.539704223636999</v>
      </c>
      <c r="X56" s="13">
        <v>13.9364703978313</v>
      </c>
      <c r="Y56" s="16">
        <v>3.808163454492</v>
      </c>
      <c r="Z56" s="13"/>
      <c r="AA56" s="13"/>
    </row>
    <row r="57" spans="1:27" x14ac:dyDescent="0.25">
      <c r="A57" s="10" t="s">
        <v>381</v>
      </c>
      <c r="B57" s="10" t="s">
        <v>382</v>
      </c>
      <c r="C57" s="13">
        <v>-440.65819214684302</v>
      </c>
      <c r="D57" s="13">
        <v>-580.11557734964595</v>
      </c>
      <c r="E57" s="13">
        <v>-212.37788913908901</v>
      </c>
      <c r="F57" s="13">
        <v>-183.99075431407601</v>
      </c>
      <c r="G57" s="13">
        <v>-142.18026268742099</v>
      </c>
      <c r="H57" s="13">
        <v>-72.599494381335504</v>
      </c>
      <c r="I57" s="13">
        <v>-59.072586531205303</v>
      </c>
      <c r="J57" s="13">
        <v>-30.047102057101899</v>
      </c>
      <c r="K57" s="13">
        <v>-51.603778653008803</v>
      </c>
      <c r="L57" s="13">
        <v>-29.108317249115199</v>
      </c>
      <c r="M57" s="13">
        <v>-32.2633975588369</v>
      </c>
      <c r="N57" s="13">
        <v>-37.925231075803502</v>
      </c>
      <c r="O57" s="13">
        <v>-36.937966977669802</v>
      </c>
      <c r="P57" s="13">
        <v>-16.803260853343701</v>
      </c>
      <c r="Q57" s="13">
        <v>-14.6947254846691</v>
      </c>
      <c r="R57" s="13">
        <v>-22.6202457067205</v>
      </c>
      <c r="S57" s="13">
        <v>3.79671205681319</v>
      </c>
      <c r="T57" s="13">
        <v>-6.0203177945865303</v>
      </c>
      <c r="U57" s="13">
        <v>-1.77746316754091</v>
      </c>
      <c r="V57" s="13">
        <v>1.1166159208881099</v>
      </c>
      <c r="W57" s="13">
        <v>-3.0649230713947802</v>
      </c>
      <c r="X57" s="13">
        <v>-2.9887800379657601</v>
      </c>
      <c r="Y57" s="16">
        <v>-0.34994879799748801</v>
      </c>
      <c r="Z57" s="13">
        <v>-2.2746144924920499</v>
      </c>
      <c r="AA57" s="13">
        <v>-1.8292421332322399</v>
      </c>
    </row>
    <row r="58" spans="1:27" x14ac:dyDescent="0.25">
      <c r="A58" s="10" t="s">
        <v>383</v>
      </c>
      <c r="B58" s="10" t="s">
        <v>384</v>
      </c>
      <c r="C58" s="13">
        <v>-424.84087295356898</v>
      </c>
      <c r="D58" s="13">
        <v>-537.51671851676201</v>
      </c>
      <c r="E58" s="13">
        <v>-184.14579194981701</v>
      </c>
      <c r="F58" s="13">
        <v>-165.828445970643</v>
      </c>
      <c r="G58" s="13">
        <v>-159.916256267232</v>
      </c>
      <c r="H58" s="13">
        <v>-91.034388183074299</v>
      </c>
      <c r="I58" s="13">
        <v>-63.524581282452701</v>
      </c>
      <c r="J58" s="13">
        <v>-38.968929010260602</v>
      </c>
      <c r="K58" s="13">
        <v>-58.0904307877612</v>
      </c>
      <c r="L58" s="13">
        <v>-38.668261550660397</v>
      </c>
      <c r="M58" s="13">
        <v>-52.846122320746098</v>
      </c>
      <c r="N58" s="13">
        <v>-54.8842112286383</v>
      </c>
      <c r="O58" s="13">
        <v>-58.106725916172898</v>
      </c>
      <c r="P58" s="13">
        <v>-18.485154685331398</v>
      </c>
      <c r="Q58" s="13">
        <v>-17.0777490682452</v>
      </c>
      <c r="R58" s="13">
        <v>-27.166616889513499</v>
      </c>
      <c r="S58" s="13">
        <v>2.6230114718932001</v>
      </c>
      <c r="T58" s="13">
        <v>-7.1305213796114799</v>
      </c>
      <c r="U58" s="13">
        <v>-2.6982165867947301</v>
      </c>
      <c r="V58" s="13">
        <v>-0.38792376766566899</v>
      </c>
      <c r="W58" s="13">
        <v>-4.4464398435675196</v>
      </c>
      <c r="X58" s="13">
        <v>-2.3806728639200498</v>
      </c>
      <c r="Y58" s="16">
        <v>-0.55030504454638396</v>
      </c>
      <c r="Z58" s="13">
        <v>-0.93267151188229902</v>
      </c>
      <c r="AA58" s="13">
        <v>-0.73076485752013798</v>
      </c>
    </row>
    <row r="59" spans="1:27" x14ac:dyDescent="0.25">
      <c r="A59" s="10" t="s">
        <v>385</v>
      </c>
      <c r="B59" s="10" t="s">
        <v>386</v>
      </c>
      <c r="C59" s="13" t="s">
        <v>141</v>
      </c>
      <c r="D59" s="13">
        <v>75585.789871793095</v>
      </c>
      <c r="E59" s="13" t="s">
        <v>141</v>
      </c>
      <c r="F59" s="13" t="s">
        <v>141</v>
      </c>
      <c r="G59" s="13" t="s">
        <v>141</v>
      </c>
      <c r="H59" s="13">
        <v>68823.124569887907</v>
      </c>
      <c r="I59" s="13" t="s">
        <v>141</v>
      </c>
      <c r="J59" s="13" t="s">
        <v>141</v>
      </c>
      <c r="K59" s="13" t="s">
        <v>141</v>
      </c>
      <c r="L59" s="13">
        <v>60060.060059953197</v>
      </c>
      <c r="M59" s="13" t="s">
        <v>141</v>
      </c>
      <c r="N59" s="13" t="s">
        <v>141</v>
      </c>
      <c r="O59" s="13" t="s">
        <v>141</v>
      </c>
      <c r="P59" s="13">
        <v>49950.049950005203</v>
      </c>
      <c r="Q59" s="13" t="s">
        <v>141</v>
      </c>
      <c r="R59" s="13" t="s">
        <v>141</v>
      </c>
      <c r="S59" s="13" t="s">
        <v>141</v>
      </c>
      <c r="T59" s="13">
        <v>47619.047619155899</v>
      </c>
      <c r="U59" s="13" t="s">
        <v>141</v>
      </c>
      <c r="V59" s="13" t="s">
        <v>141</v>
      </c>
      <c r="W59" s="13" t="s">
        <v>141</v>
      </c>
      <c r="X59" s="13">
        <v>44843.049327338398</v>
      </c>
      <c r="Y59" s="16">
        <v>11831.1820373996</v>
      </c>
      <c r="Z59" s="13"/>
      <c r="AA59" s="13"/>
    </row>
    <row r="60" spans="1:27" x14ac:dyDescent="0.25">
      <c r="A60" s="10" t="s">
        <v>387</v>
      </c>
      <c r="B60" s="10" t="s">
        <v>263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6">
        <v>0</v>
      </c>
      <c r="Z60" s="13"/>
      <c r="AA60" s="13"/>
    </row>
    <row r="61" spans="1:27" x14ac:dyDescent="0.25">
      <c r="A61" s="10" t="s">
        <v>388</v>
      </c>
      <c r="B61" s="10" t="s">
        <v>389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6">
        <v>0</v>
      </c>
      <c r="Z61" s="13"/>
      <c r="AA61" s="13"/>
    </row>
    <row r="62" spans="1:27" x14ac:dyDescent="0.25">
      <c r="A62" s="10" t="s">
        <v>390</v>
      </c>
      <c r="B62" s="10" t="s">
        <v>391</v>
      </c>
      <c r="C62" s="13" t="s">
        <v>141</v>
      </c>
      <c r="D62" s="13" t="s">
        <v>141</v>
      </c>
      <c r="E62" s="13" t="s">
        <v>141</v>
      </c>
      <c r="F62" s="13" t="s">
        <v>141</v>
      </c>
      <c r="G62" s="13" t="s">
        <v>141</v>
      </c>
      <c r="H62" s="13" t="s">
        <v>141</v>
      </c>
      <c r="I62" s="13" t="s">
        <v>141</v>
      </c>
      <c r="J62" s="13" t="s">
        <v>141</v>
      </c>
      <c r="K62" s="13" t="s">
        <v>141</v>
      </c>
      <c r="L62" s="13" t="s">
        <v>141</v>
      </c>
      <c r="M62" s="13" t="s">
        <v>141</v>
      </c>
      <c r="N62" s="13" t="s">
        <v>141</v>
      </c>
      <c r="O62" s="13" t="s">
        <v>141</v>
      </c>
      <c r="P62" s="13" t="s">
        <v>141</v>
      </c>
      <c r="Q62" s="13" t="s">
        <v>141</v>
      </c>
      <c r="R62" s="13">
        <v>4.1345363509163802</v>
      </c>
      <c r="S62" s="13">
        <v>1.77581175968982</v>
      </c>
      <c r="T62" s="13" t="s">
        <v>141</v>
      </c>
      <c r="U62" s="13" t="s">
        <v>141</v>
      </c>
      <c r="V62" s="13">
        <v>2.2737847156442998</v>
      </c>
      <c r="W62" s="13">
        <v>2.79126964638994</v>
      </c>
      <c r="X62" s="13">
        <v>2.3885387901531798</v>
      </c>
      <c r="Y62" s="16">
        <v>1.91940995701977</v>
      </c>
      <c r="Z62" s="13"/>
      <c r="AA62" s="13"/>
    </row>
    <row r="63" spans="1:27" x14ac:dyDescent="0.25">
      <c r="A63" s="10" t="s">
        <v>392</v>
      </c>
      <c r="B63" s="10" t="s">
        <v>393</v>
      </c>
      <c r="C63" s="13">
        <v>18.187008464052798</v>
      </c>
      <c r="D63" s="13">
        <v>18.088475328190199</v>
      </c>
      <c r="E63" s="13" t="s">
        <v>141</v>
      </c>
      <c r="F63" s="13" t="s">
        <v>141</v>
      </c>
      <c r="G63" s="13" t="s">
        <v>141</v>
      </c>
      <c r="H63" s="13" t="s">
        <v>141</v>
      </c>
      <c r="I63" s="13" t="s">
        <v>141</v>
      </c>
      <c r="J63" s="13" t="s">
        <v>141</v>
      </c>
      <c r="K63" s="13" t="s">
        <v>141</v>
      </c>
      <c r="L63" s="13" t="s">
        <v>141</v>
      </c>
      <c r="M63" s="13" t="s">
        <v>141</v>
      </c>
      <c r="N63" s="13" t="s">
        <v>141</v>
      </c>
      <c r="O63" s="13" t="s">
        <v>141</v>
      </c>
      <c r="P63" s="13" t="s">
        <v>141</v>
      </c>
      <c r="Q63" s="13" t="s">
        <v>141</v>
      </c>
      <c r="R63" s="13" t="s">
        <v>141</v>
      </c>
      <c r="S63" s="13" t="s">
        <v>141</v>
      </c>
      <c r="T63" s="13" t="s">
        <v>141</v>
      </c>
      <c r="U63" s="13" t="s">
        <v>141</v>
      </c>
      <c r="V63" s="13" t="s">
        <v>141</v>
      </c>
      <c r="W63" s="13" t="s">
        <v>141</v>
      </c>
      <c r="X63" s="13" t="s">
        <v>141</v>
      </c>
      <c r="Y63" s="16"/>
      <c r="Z63" s="13"/>
      <c r="AA63" s="13"/>
    </row>
    <row r="64" spans="1:27" x14ac:dyDescent="0.25">
      <c r="A64" s="7" t="s">
        <v>90</v>
      </c>
      <c r="B64" s="7"/>
      <c r="C64" s="7" t="s">
        <v>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95"/>
  <sheetViews>
    <sheetView topLeftCell="F27" workbookViewId="0">
      <selection activeCell="T47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673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674</v>
      </c>
      <c r="B7" s="10" t="s">
        <v>675</v>
      </c>
      <c r="C7" s="13">
        <f>_xll.BDH("ALNY US Equity","CASH_CASH_EQTY_STI_DETAILED","FQ4 2018","FQ4 2018","Currency=USD","Period=FQ","BEST_FPERIOD_OVERRIDE=FQ","FILING_STATUS=MR","SCALING_FORMAT=MLN","Sort=A","Dates=H","DateFormat=P","Fill=—","Direction=H","UseDPDF=Y")</f>
        <v>1084.155</v>
      </c>
      <c r="D7" s="13">
        <f>_xll.BDH("ALNY US Equity","CASH_CASH_EQTY_STI_DETAILED","FQ1 2019","FQ1 2019","Currency=USD","Period=FQ","BEST_FPERIOD_OVERRIDE=FQ","FILING_STATUS=MR","SCALING_FORMAT=MLN","Sort=A","Dates=H","DateFormat=P","Fill=—","Direction=H","UseDPDF=Y")</f>
        <v>1244.537</v>
      </c>
      <c r="E7" s="13">
        <f>_xll.BDH("ALNY US Equity","CASH_CASH_EQTY_STI_DETAILED","FQ2 2019","FQ2 2019","Currency=USD","Period=FQ","BEST_FPERIOD_OVERRIDE=FQ","FILING_STATUS=MR","SCALING_FORMAT=MLN","Sort=A","Dates=H","DateFormat=P","Fill=—","Direction=H","UseDPDF=Y")</f>
        <v>1926.8309999999999</v>
      </c>
      <c r="F7" s="13">
        <f>_xll.BDH("ALNY US Equity","CASH_CASH_EQTY_STI_DETAILED","FQ3 2019","FQ3 2019","Currency=USD","Period=FQ","BEST_FPERIOD_OVERRIDE=FQ","FILING_STATUS=MR","SCALING_FORMAT=MLN","Sort=A","Dates=H","DateFormat=P","Fill=—","Direction=H","UseDPDF=Y")</f>
        <v>1721.058</v>
      </c>
      <c r="G7" s="13">
        <f>_xll.BDH("ALNY US Equity","CASH_CASH_EQTY_STI_DETAILED","FQ4 2019","FQ4 2019","Currency=USD","Period=FQ","BEST_FPERIOD_OVERRIDE=FQ","FILING_STATUS=MR","SCALING_FORMAT=MLN","Sort=A","Dates=H","DateFormat=P","Fill=—","Direction=H","UseDPDF=Y")</f>
        <v>1536.162</v>
      </c>
      <c r="H7" s="13">
        <f>_xll.BDH("ALNY US Equity","CASH_CASH_EQTY_STI_DETAILED","FQ1 2020","FQ1 2020","Currency=USD","Period=FQ","BEST_FPERIOD_OVERRIDE=FQ","FILING_STATUS=MR","SCALING_FORMAT=MLN","Sort=A","Dates=H","DateFormat=P","Fill=—","Direction=H","UseDPDF=Y")</f>
        <v>1342.203</v>
      </c>
      <c r="I7" s="13">
        <f>_xll.BDH("ALNY US Equity","CASH_CASH_EQTY_STI_DETAILED","FQ2 2020","FQ2 2020","Currency=USD","Period=FQ","BEST_FPERIOD_OVERRIDE=FQ","FILING_STATUS=MR","SCALING_FORMAT=MLN","Sort=A","Dates=H","DateFormat=P","Fill=—","Direction=H","UseDPDF=Y")</f>
        <v>1925.5640000000001</v>
      </c>
      <c r="J7" s="13">
        <f>_xll.BDH("ALNY US Equity","CASH_CASH_EQTY_STI_DETAILED","FQ3 2020","FQ3 2020","Currency=USD","Period=FQ","BEST_FPERIOD_OVERRIDE=FQ","FILING_STATUS=MR","SCALING_FORMAT=MLN","Sort=A","Dates=H","DateFormat=P","Fill=—","Direction=H","UseDPDF=Y")</f>
        <v>1833.876</v>
      </c>
      <c r="K7" s="13">
        <f>_xll.BDH("ALNY US Equity","CASH_CASH_EQTY_STI_DETAILED","FQ4 2020","FQ4 2020","Currency=USD","Period=FQ","BEST_FPERIOD_OVERRIDE=FQ","FILING_STATUS=MR","SCALING_FORMAT=MLN","Sort=A","Dates=H","DateFormat=P","Fill=—","Direction=H","UseDPDF=Y")</f>
        <v>1874.395</v>
      </c>
      <c r="L7" s="13">
        <f>_xll.BDH("ALNY US Equity","CASH_CASH_EQTY_STI_DETAILED","FQ1 2021","FQ1 2021","Currency=USD","Period=FQ","BEST_FPERIOD_OVERRIDE=FQ","FILING_STATUS=MR","SCALING_FORMAT=MLN","Sort=A","Dates=H","DateFormat=P","Fill=—","Direction=H","UseDPDF=Y")</f>
        <v>1709.537</v>
      </c>
      <c r="M7" s="13">
        <f>_xll.BDH("ALNY US Equity","CASH_CASH_EQTY_STI_DETAILED","FQ2 2021","FQ2 2021","Currency=USD","Period=FQ","BEST_FPERIOD_OVERRIDE=FQ","FILING_STATUS=MR","SCALING_FORMAT=MLN","Sort=A","Dates=H","DateFormat=P","Fill=—","Direction=H","UseDPDF=Y")</f>
        <v>1900.0820000000001</v>
      </c>
      <c r="N7" s="13">
        <f>_xll.BDH("ALNY US Equity","CASH_CASH_EQTY_STI_DETAILED","FQ3 2021","FQ3 2021","Currency=USD","Period=FQ","BEST_FPERIOD_OVERRIDE=FQ","FILING_STATUS=MR","SCALING_FORMAT=MLN","Sort=A","Dates=H","DateFormat=P","Fill=—","Direction=H","UseDPDF=Y")</f>
        <v>2327.8649999999998</v>
      </c>
      <c r="O7" s="13">
        <f>_xll.BDH("ALNY US Equity","CASH_CASH_EQTY_STI_DETAILED","FQ4 2021","FQ4 2021","Currency=USD","Period=FQ","BEST_FPERIOD_OVERRIDE=FQ","FILING_STATUS=MR","SCALING_FORMAT=MLN","Sort=A","Dates=H","DateFormat=P","Fill=—","Direction=H","UseDPDF=Y")</f>
        <v>2435.5639999999999</v>
      </c>
      <c r="P7" s="13">
        <f>_xll.BDH("ALNY US Equity","CASH_CASH_EQTY_STI_DETAILED","FQ1 2022","FQ1 2022","Currency=USD","Period=FQ","BEST_FPERIOD_OVERRIDE=FQ","FILING_STATUS=MR","SCALING_FORMAT=MLN","Sort=A","Dates=H","DateFormat=P","Fill=—","Direction=H","UseDPDF=Y")</f>
        <v>2239.5630000000001</v>
      </c>
      <c r="Q7" s="13">
        <f>_xll.BDH("ALNY US Equity","CASH_CASH_EQTY_STI_DETAILED","FQ2 2022","FQ2 2022","Currency=USD","Period=FQ","BEST_FPERIOD_OVERRIDE=FQ","FILING_STATUS=MR","SCALING_FORMAT=MLN","Sort=A","Dates=H","DateFormat=P","Fill=—","Direction=H","UseDPDF=Y")</f>
        <v>2110.6129999999998</v>
      </c>
      <c r="R7" s="13">
        <f>_xll.BDH("ALNY US Equity","CASH_CASH_EQTY_STI_DETAILED","FQ3 2022","FQ3 2022","Currency=USD","Period=FQ","BEST_FPERIOD_OVERRIDE=FQ","FILING_STATUS=MR","SCALING_FORMAT=MLN","Sort=A","Dates=H","DateFormat=P","Fill=—","Direction=H","UseDPDF=Y")</f>
        <v>2265.3290000000002</v>
      </c>
      <c r="S7" s="13">
        <f>_xll.BDH("ALNY US Equity","CASH_CASH_EQTY_STI_DETAILED","FQ4 2022","FQ4 2022","Currency=USD","Period=FQ","BEST_FPERIOD_OVERRIDE=FQ","FILING_STATUS=MR","SCALING_FORMAT=MLN","Sort=A","Dates=H","DateFormat=P","Fill=—","Direction=H","UseDPDF=Y")</f>
        <v>2192.4059999999999</v>
      </c>
      <c r="T7" s="13">
        <f>_xll.BDH("ALNY US Equity","CASH_CASH_EQTY_STI_DETAILED","FQ1 2023","FQ1 2023","Currency=USD","Period=FQ","BEST_FPERIOD_OVERRIDE=FQ","FILING_STATUS=MR","SCALING_FORMAT=MLN","Sort=A","Dates=H","DateFormat=P","Fill=—","Direction=H","UseDPDF=Y")</f>
        <v>2070.6750000000002</v>
      </c>
      <c r="U7" s="13">
        <f>_xll.BDH("ALNY US Equity","CASH_CASH_EQTY_STI_DETAILED","FQ2 2023","FQ2 2023","Currency=USD","Period=FQ","BEST_FPERIOD_OVERRIDE=FQ","FILING_STATUS=MR","SCALING_FORMAT=MLN","Sort=A","Dates=H","DateFormat=P","Fill=—","Direction=H","UseDPDF=Y")</f>
        <v>2057.5070000000001</v>
      </c>
      <c r="V7" s="13">
        <f>_xll.BDH("ALNY US Equity","CASH_CASH_EQTY_STI_DETAILED","FQ3 2023","FQ3 2023","Currency=USD","Period=FQ","BEST_FPERIOD_OVERRIDE=FQ","FILING_STATUS=MR","SCALING_FORMAT=MLN","Sort=A","Dates=H","DateFormat=P","Fill=—","Direction=H","UseDPDF=Y")</f>
        <v>2406.2779999999998</v>
      </c>
      <c r="W7" s="13">
        <f>_xll.BDH("ALNY US Equity","CASH_CASH_EQTY_STI_DETAILED","FQ4 2023","FQ4 2023","Currency=USD","Period=FQ","BEST_FPERIOD_OVERRIDE=FQ","FILING_STATUS=MR","SCALING_FORMAT=MLN","Sort=A","Dates=H","DateFormat=P","Fill=—","Direction=H","UseDPDF=Y")</f>
        <v>2439.3820000000001</v>
      </c>
      <c r="X7" s="13">
        <f>_xll.BDH("ALNY US Equity","CASH_CASH_EQTY_STI_DETAILED","FQ1 2024","FQ1 2024","Currency=USD","Period=FQ","BEST_FPERIOD_OVERRIDE=FQ","FILING_STATUS=MR","SCALING_FORMAT=MLN","Sort=A","Dates=H","DateFormat=P","Fill=—","Direction=H","UseDPDF=Y")</f>
        <v>2371.2820000000002</v>
      </c>
      <c r="Y7" s="13">
        <f>_xll.BDH("ALNY US Equity","CASH_CASH_EQTY_STI_DETAILED","FQ2 2024","FQ2 2024","Currency=USD","Period=FQ","BEST_FPERIOD_OVERRIDE=FQ","FILING_STATUS=MR","SCALING_FORMAT=MLN","Sort=A","Dates=H","DateFormat=P","Fill=—","Direction=H","UseDPDF=Y")</f>
        <v>2624.6489999999999</v>
      </c>
      <c r="Z7" s="13">
        <f>_xll.BDH("ALNY US Equity","CASH_CASH_EQTY_STI_DETAILED","FQ3 2024","FQ3 2024","Currency=USD","Period=FQ","BEST_FPERIOD_OVERRIDE=FQ","FILING_STATUS=MR","SCALING_FORMAT=MLN","Sort=A","Dates=H","DateFormat=P","Fill=—","Direction=H","UseDPDF=Y")</f>
        <v>2780.2350000000001</v>
      </c>
      <c r="AA7" s="13">
        <f>_xll.BDH("ALNY US Equity","CASH_CASH_EQTY_STI_DETAILED","FQ4 2024","FQ4 2024","Currency=USD","Period=FQ","BEST_FPERIOD_OVERRIDE=FQ","FILING_STATUS=MR","SCALING_FORMAT=MLN","Sort=A","Dates=H","DateFormat=P","Fill=—","Direction=H","UseDPDF=Y")</f>
        <v>2694.5039999999999</v>
      </c>
    </row>
    <row r="8" spans="1:27" x14ac:dyDescent="0.25">
      <c r="A8" s="10" t="s">
        <v>676</v>
      </c>
      <c r="B8" s="10" t="s">
        <v>677</v>
      </c>
      <c r="C8" s="13">
        <f>_xll.BDH("ALNY US Equity","BS_CASH_NEAR_CASH_ITEM","FQ4 2018","FQ4 2018","Currency=USD","Period=FQ","BEST_FPERIOD_OVERRIDE=FQ","FILING_STATUS=MR","SCALING_FORMAT=MLN","Sort=A","Dates=H","DateFormat=P","Fill=—","Direction=H","UseDPDF=Y")</f>
        <v>420.14600000000002</v>
      </c>
      <c r="D8" s="13">
        <f>_xll.BDH("ALNY US Equity","BS_CASH_NEAR_CASH_ITEM","FQ1 2019","FQ1 2019","Currency=USD","Period=FQ","BEST_FPERIOD_OVERRIDE=FQ","FILING_STATUS=MR","SCALING_FORMAT=MLN","Sort=A","Dates=H","DateFormat=P","Fill=—","Direction=H","UseDPDF=Y")</f>
        <v>724.95899999999995</v>
      </c>
      <c r="E8" s="13">
        <f>_xll.BDH("ALNY US Equity","BS_CASH_NEAR_CASH_ITEM","FQ2 2019","FQ2 2019","Currency=USD","Period=FQ","BEST_FPERIOD_OVERRIDE=FQ","FILING_STATUS=MR","SCALING_FORMAT=MLN","Sort=A","Dates=H","DateFormat=P","Fill=—","Direction=H","UseDPDF=Y")</f>
        <v>1136.289</v>
      </c>
      <c r="F8" s="13">
        <f>_xll.BDH("ALNY US Equity","BS_CASH_NEAR_CASH_ITEM","FQ3 2019","FQ3 2019","Currency=USD","Period=FQ","BEST_FPERIOD_OVERRIDE=FQ","FILING_STATUS=MR","SCALING_FORMAT=MLN","Sort=A","Dates=H","DateFormat=P","Fill=—","Direction=H","UseDPDF=Y")</f>
        <v>923.30399999999997</v>
      </c>
      <c r="G8" s="13">
        <f>_xll.BDH("ALNY US Equity","BS_CASH_NEAR_CASH_ITEM","FQ4 2019","FQ4 2019","Currency=USD","Period=FQ","BEST_FPERIOD_OVERRIDE=FQ","FILING_STATUS=MR","SCALING_FORMAT=MLN","Sort=A","Dates=H","DateFormat=P","Fill=—","Direction=H","UseDPDF=Y")</f>
        <v>547.178</v>
      </c>
      <c r="H8" s="13">
        <f>_xll.BDH("ALNY US Equity","BS_CASH_NEAR_CASH_ITEM","FQ1 2020","FQ1 2020","Currency=USD","Period=FQ","BEST_FPERIOD_OVERRIDE=FQ","FILING_STATUS=MR","SCALING_FORMAT=MLN","Sort=A","Dates=H","DateFormat=P","Fill=—","Direction=H","UseDPDF=Y")</f>
        <v>467.779</v>
      </c>
      <c r="I8" s="13">
        <f>_xll.BDH("ALNY US Equity","BS_CASH_NEAR_CASH_ITEM","FQ2 2020","FQ2 2020","Currency=USD","Period=FQ","BEST_FPERIOD_OVERRIDE=FQ","FILING_STATUS=MR","SCALING_FORMAT=MLN","Sort=A","Dates=H","DateFormat=P","Fill=—","Direction=H","UseDPDF=Y")</f>
        <v>580.82899999999995</v>
      </c>
      <c r="J8" s="13">
        <f>_xll.BDH("ALNY US Equity","BS_CASH_NEAR_CASH_ITEM","FQ3 2020","FQ3 2020","Currency=USD","Period=FQ","BEST_FPERIOD_OVERRIDE=FQ","FILING_STATUS=MR","SCALING_FORMAT=MLN","Sort=A","Dates=H","DateFormat=P","Fill=—","Direction=H","UseDPDF=Y")</f>
        <v>496.70400000000001</v>
      </c>
      <c r="K8" s="13">
        <f>_xll.BDH("ALNY US Equity","BS_CASH_NEAR_CASH_ITEM","FQ4 2020","FQ4 2020","Currency=USD","Period=FQ","BEST_FPERIOD_OVERRIDE=FQ","FILING_STATUS=MR","SCALING_FORMAT=MLN","Sort=A","Dates=H","DateFormat=P","Fill=—","Direction=H","UseDPDF=Y")</f>
        <v>496.58</v>
      </c>
      <c r="L8" s="13">
        <f>_xll.BDH("ALNY US Equity","BS_CASH_NEAR_CASH_ITEM","FQ1 2021","FQ1 2021","Currency=USD","Period=FQ","BEST_FPERIOD_OVERRIDE=FQ","FILING_STATUS=MR","SCALING_FORMAT=MLN","Sort=A","Dates=H","DateFormat=P","Fill=—","Direction=H","UseDPDF=Y")</f>
        <v>379.54300000000001</v>
      </c>
      <c r="M8" s="13">
        <f>_xll.BDH("ALNY US Equity","BS_CASH_NEAR_CASH_ITEM","FQ2 2021","FQ2 2021","Currency=USD","Period=FQ","BEST_FPERIOD_OVERRIDE=FQ","FILING_STATUS=MR","SCALING_FORMAT=MLN","Sort=A","Dates=H","DateFormat=P","Fill=—","Direction=H","UseDPDF=Y")</f>
        <v>745.76700000000005</v>
      </c>
      <c r="N8" s="13">
        <f>_xll.BDH("ALNY US Equity","BS_CASH_NEAR_CASH_ITEM","FQ3 2021","FQ3 2021","Currency=USD","Period=FQ","BEST_FPERIOD_OVERRIDE=FQ","FILING_STATUS=MR","SCALING_FORMAT=MLN","Sort=A","Dates=H","DateFormat=P","Fill=—","Direction=H","UseDPDF=Y")</f>
        <v>1093.991</v>
      </c>
      <c r="O8" s="13">
        <f>_xll.BDH("ALNY US Equity","BS_CASH_NEAR_CASH_ITEM","FQ4 2021","FQ4 2021","Currency=USD","Period=FQ","BEST_FPERIOD_OVERRIDE=FQ","FILING_STATUS=MR","SCALING_FORMAT=MLN","Sort=A","Dates=H","DateFormat=P","Fill=—","Direction=H","UseDPDF=Y")</f>
        <v>819.97500000000002</v>
      </c>
      <c r="P8" s="13">
        <f>_xll.BDH("ALNY US Equity","BS_CASH_NEAR_CASH_ITEM","FQ1 2022","FQ1 2022","Currency=USD","Period=FQ","BEST_FPERIOD_OVERRIDE=FQ","FILING_STATUS=MR","SCALING_FORMAT=MLN","Sort=A","Dates=H","DateFormat=P","Fill=—","Direction=H","UseDPDF=Y")</f>
        <v>534.08100000000002</v>
      </c>
      <c r="Q8" s="13">
        <f>_xll.BDH("ALNY US Equity","BS_CASH_NEAR_CASH_ITEM","FQ2 2022","FQ2 2022","Currency=USD","Period=FQ","BEST_FPERIOD_OVERRIDE=FQ","FILING_STATUS=MR","SCALING_FORMAT=MLN","Sort=A","Dates=H","DateFormat=P","Fill=—","Direction=H","UseDPDF=Y")</f>
        <v>575.55799999999999</v>
      </c>
      <c r="R8" s="13">
        <f>_xll.BDH("ALNY US Equity","BS_CASH_NEAR_CASH_ITEM","FQ3 2022","FQ3 2022","Currency=USD","Period=FQ","BEST_FPERIOD_OVERRIDE=FQ","FILING_STATUS=MR","SCALING_FORMAT=MLN","Sort=A","Dates=H","DateFormat=P","Fill=—","Direction=H","UseDPDF=Y")</f>
        <v>1073.2280000000001</v>
      </c>
      <c r="S8" s="13">
        <f>_xll.BDH("ALNY US Equity","BS_CASH_NEAR_CASH_ITEM","FQ4 2022","FQ4 2022","Currency=USD","Period=FQ","BEST_FPERIOD_OVERRIDE=FQ","FILING_STATUS=MR","SCALING_FORMAT=MLN","Sort=A","Dates=H","DateFormat=P","Fill=—","Direction=H","UseDPDF=Y")</f>
        <v>866.39400000000001</v>
      </c>
      <c r="T8" s="13">
        <f>_xll.BDH("ALNY US Equity","BS_CASH_NEAR_CASH_ITEM","FQ1 2023","FQ1 2023","Currency=USD","Period=FQ","BEST_FPERIOD_OVERRIDE=FQ","FILING_STATUS=MR","SCALING_FORMAT=MLN","Sort=A","Dates=H","DateFormat=P","Fill=—","Direction=H","UseDPDF=Y")</f>
        <v>672.245</v>
      </c>
      <c r="U8" s="13">
        <f>_xll.BDH("ALNY US Equity","BS_CASH_NEAR_CASH_ITEM","FQ2 2023","FQ2 2023","Currency=USD","Period=FQ","BEST_FPERIOD_OVERRIDE=FQ","FILING_STATUS=MR","SCALING_FORMAT=MLN","Sort=A","Dates=H","DateFormat=P","Fill=—","Direction=H","UseDPDF=Y")</f>
        <v>657.8</v>
      </c>
      <c r="V8" s="13">
        <f>_xll.BDH("ALNY US Equity","BS_CASH_NEAR_CASH_ITEM","FQ3 2023","FQ3 2023","Currency=USD","Period=FQ","BEST_FPERIOD_OVERRIDE=FQ","FILING_STATUS=MR","SCALING_FORMAT=MLN","Sort=A","Dates=H","DateFormat=P","Fill=—","Direction=H","UseDPDF=Y")</f>
        <v>1033.0239999999999</v>
      </c>
      <c r="W8" s="13">
        <f>_xll.BDH("ALNY US Equity","BS_CASH_NEAR_CASH_ITEM","FQ4 2023","FQ4 2023","Currency=USD","Period=FQ","BEST_FPERIOD_OVERRIDE=FQ","FILING_STATUS=MR","SCALING_FORMAT=MLN","Sort=A","Dates=H","DateFormat=P","Fill=—","Direction=H","UseDPDF=Y")</f>
        <v>812.68799999999999</v>
      </c>
      <c r="X8" s="13">
        <f>_xll.BDH("ALNY US Equity","BS_CASH_NEAR_CASH_ITEM","FQ1 2024","FQ1 2024","Currency=USD","Period=FQ","BEST_FPERIOD_OVERRIDE=FQ","FILING_STATUS=MR","SCALING_FORMAT=MLN","Sort=A","Dates=H","DateFormat=P","Fill=—","Direction=H","UseDPDF=Y")</f>
        <v>681.87900000000002</v>
      </c>
      <c r="Y8" s="13">
        <f>_xll.BDH("ALNY US Equity","BS_CASH_NEAR_CASH_ITEM","FQ2 2024","FQ2 2024","Currency=USD","Period=FQ","BEST_FPERIOD_OVERRIDE=FQ","FILING_STATUS=MR","SCALING_FORMAT=MLN","Sort=A","Dates=H","DateFormat=P","Fill=—","Direction=H","UseDPDF=Y")</f>
        <v>968.49199999999996</v>
      </c>
      <c r="Z8" s="13">
        <f>_xll.BDH("ALNY US Equity","BS_CASH_NEAR_CASH_ITEM","FQ3 2024","FQ3 2024","Currency=USD","Period=FQ","BEST_FPERIOD_OVERRIDE=FQ","FILING_STATUS=MR","SCALING_FORMAT=MLN","Sort=A","Dates=H","DateFormat=P","Fill=—","Direction=H","UseDPDF=Y")</f>
        <v>1099.92</v>
      </c>
      <c r="AA8" s="13">
        <f>_xll.BDH("ALNY US Equity","BS_CASH_NEAR_CASH_ITEM","FQ4 2024","FQ4 2024","Currency=USD","Period=FQ","BEST_FPERIOD_OVERRIDE=FQ","FILING_STATUS=MR","SCALING_FORMAT=MLN","Sort=A","Dates=H","DateFormat=P","Fill=—","Direction=H","UseDPDF=Y")</f>
        <v>966.428</v>
      </c>
    </row>
    <row r="9" spans="1:27" x14ac:dyDescent="0.25">
      <c r="A9" s="10" t="s">
        <v>678</v>
      </c>
      <c r="B9" s="10" t="s">
        <v>679</v>
      </c>
      <c r="C9" s="13">
        <f>_xll.BDH("ALNY US Equity","BS_MKT_SEC_OTHER_ST_INVEST","FQ4 2018","FQ4 2018","Currency=USD","Period=FQ","BEST_FPERIOD_OVERRIDE=FQ","FILING_STATUS=MR","SCALING_FORMAT=MLN","Sort=A","Dates=H","DateFormat=P","Fill=—","Direction=H","UseDPDF=Y")</f>
        <v>664.00900000000001</v>
      </c>
      <c r="D9" s="13">
        <f>_xll.BDH("ALNY US Equity","BS_MKT_SEC_OTHER_ST_INVEST","FQ1 2019","FQ1 2019","Currency=USD","Period=FQ","BEST_FPERIOD_OVERRIDE=FQ","FILING_STATUS=MR","SCALING_FORMAT=MLN","Sort=A","Dates=H","DateFormat=P","Fill=—","Direction=H","UseDPDF=Y")</f>
        <v>519.57799999999997</v>
      </c>
      <c r="E9" s="13">
        <f>_xll.BDH("ALNY US Equity","BS_MKT_SEC_OTHER_ST_INVEST","FQ2 2019","FQ2 2019","Currency=USD","Period=FQ","BEST_FPERIOD_OVERRIDE=FQ","FILING_STATUS=MR","SCALING_FORMAT=MLN","Sort=A","Dates=H","DateFormat=P","Fill=—","Direction=H","UseDPDF=Y")</f>
        <v>790.54200000000003</v>
      </c>
      <c r="F9" s="13">
        <f>_xll.BDH("ALNY US Equity","BS_MKT_SEC_OTHER_ST_INVEST","FQ3 2019","FQ3 2019","Currency=USD","Period=FQ","BEST_FPERIOD_OVERRIDE=FQ","FILING_STATUS=MR","SCALING_FORMAT=MLN","Sort=A","Dates=H","DateFormat=P","Fill=—","Direction=H","UseDPDF=Y")</f>
        <v>797.75400000000002</v>
      </c>
      <c r="G9" s="13">
        <f>_xll.BDH("ALNY US Equity","BS_MKT_SEC_OTHER_ST_INVEST","FQ4 2019","FQ4 2019","Currency=USD","Period=FQ","BEST_FPERIOD_OVERRIDE=FQ","FILING_STATUS=MR","SCALING_FORMAT=MLN","Sort=A","Dates=H","DateFormat=P","Fill=—","Direction=H","UseDPDF=Y")</f>
        <v>988.98400000000004</v>
      </c>
      <c r="H9" s="13">
        <f>_xll.BDH("ALNY US Equity","BS_MKT_SEC_OTHER_ST_INVEST","FQ1 2020","FQ1 2020","Currency=USD","Period=FQ","BEST_FPERIOD_OVERRIDE=FQ","FILING_STATUS=MR","SCALING_FORMAT=MLN","Sort=A","Dates=H","DateFormat=P","Fill=—","Direction=H","UseDPDF=Y")</f>
        <v>874.42399999999998</v>
      </c>
      <c r="I9" s="13">
        <f>_xll.BDH("ALNY US Equity","BS_MKT_SEC_OTHER_ST_INVEST","FQ2 2020","FQ2 2020","Currency=USD","Period=FQ","BEST_FPERIOD_OVERRIDE=FQ","FILING_STATUS=MR","SCALING_FORMAT=MLN","Sort=A","Dates=H","DateFormat=P","Fill=—","Direction=H","UseDPDF=Y")</f>
        <v>1344.7349999999999</v>
      </c>
      <c r="J9" s="13">
        <f>_xll.BDH("ALNY US Equity","BS_MKT_SEC_OTHER_ST_INVEST","FQ3 2020","FQ3 2020","Currency=USD","Period=FQ","BEST_FPERIOD_OVERRIDE=FQ","FILING_STATUS=MR","SCALING_FORMAT=MLN","Sort=A","Dates=H","DateFormat=P","Fill=—","Direction=H","UseDPDF=Y")</f>
        <v>1337.172</v>
      </c>
      <c r="K9" s="13">
        <f>_xll.BDH("ALNY US Equity","BS_MKT_SEC_OTHER_ST_INVEST","FQ4 2020","FQ4 2020","Currency=USD","Period=FQ","BEST_FPERIOD_OVERRIDE=FQ","FILING_STATUS=MR","SCALING_FORMAT=MLN","Sort=A","Dates=H","DateFormat=P","Fill=—","Direction=H","UseDPDF=Y")</f>
        <v>1377.8150000000001</v>
      </c>
      <c r="L9" s="13">
        <f>_xll.BDH("ALNY US Equity","BS_MKT_SEC_OTHER_ST_INVEST","FQ1 2021","FQ1 2021","Currency=USD","Period=FQ","BEST_FPERIOD_OVERRIDE=FQ","FILING_STATUS=MR","SCALING_FORMAT=MLN","Sort=A","Dates=H","DateFormat=P","Fill=—","Direction=H","UseDPDF=Y")</f>
        <v>1329.9939999999999</v>
      </c>
      <c r="M9" s="13">
        <f>_xll.BDH("ALNY US Equity","BS_MKT_SEC_OTHER_ST_INVEST","FQ2 2021","FQ2 2021","Currency=USD","Period=FQ","BEST_FPERIOD_OVERRIDE=FQ","FILING_STATUS=MR","SCALING_FORMAT=MLN","Sort=A","Dates=H","DateFormat=P","Fill=—","Direction=H","UseDPDF=Y")</f>
        <v>1154.3150000000001</v>
      </c>
      <c r="N9" s="13">
        <f>_xll.BDH("ALNY US Equity","BS_MKT_SEC_OTHER_ST_INVEST","FQ3 2021","FQ3 2021","Currency=USD","Period=FQ","BEST_FPERIOD_OVERRIDE=FQ","FILING_STATUS=MR","SCALING_FORMAT=MLN","Sort=A","Dates=H","DateFormat=P","Fill=—","Direction=H","UseDPDF=Y")</f>
        <v>1233.874</v>
      </c>
      <c r="O9" s="13">
        <f>_xll.BDH("ALNY US Equity","BS_MKT_SEC_OTHER_ST_INVEST","FQ4 2021","FQ4 2021","Currency=USD","Period=FQ","BEST_FPERIOD_OVERRIDE=FQ","FILING_STATUS=MR","SCALING_FORMAT=MLN","Sort=A","Dates=H","DateFormat=P","Fill=—","Direction=H","UseDPDF=Y")</f>
        <v>1615.5889999999999</v>
      </c>
      <c r="P9" s="13">
        <f>_xll.BDH("ALNY US Equity","BS_MKT_SEC_OTHER_ST_INVEST","FQ1 2022","FQ1 2022","Currency=USD","Period=FQ","BEST_FPERIOD_OVERRIDE=FQ","FILING_STATUS=MR","SCALING_FORMAT=MLN","Sort=A","Dates=H","DateFormat=P","Fill=—","Direction=H","UseDPDF=Y")</f>
        <v>1705.482</v>
      </c>
      <c r="Q9" s="13">
        <f>_xll.BDH("ALNY US Equity","BS_MKT_SEC_OTHER_ST_INVEST","FQ2 2022","FQ2 2022","Currency=USD","Period=FQ","BEST_FPERIOD_OVERRIDE=FQ","FILING_STATUS=MR","SCALING_FORMAT=MLN","Sort=A","Dates=H","DateFormat=P","Fill=—","Direction=H","UseDPDF=Y")</f>
        <v>1535.0550000000001</v>
      </c>
      <c r="R9" s="13">
        <f>_xll.BDH("ALNY US Equity","BS_MKT_SEC_OTHER_ST_INVEST","FQ3 2022","FQ3 2022","Currency=USD","Period=FQ","BEST_FPERIOD_OVERRIDE=FQ","FILING_STATUS=MR","SCALING_FORMAT=MLN","Sort=A","Dates=H","DateFormat=P","Fill=—","Direction=H","UseDPDF=Y")</f>
        <v>1192.1010000000001</v>
      </c>
      <c r="S9" s="13">
        <f>_xll.BDH("ALNY US Equity","BS_MKT_SEC_OTHER_ST_INVEST","FQ4 2022","FQ4 2022","Currency=USD","Period=FQ","BEST_FPERIOD_OVERRIDE=FQ","FILING_STATUS=MR","SCALING_FORMAT=MLN","Sort=A","Dates=H","DateFormat=P","Fill=—","Direction=H","UseDPDF=Y")</f>
        <v>1326.0119999999999</v>
      </c>
      <c r="T9" s="13">
        <f>_xll.BDH("ALNY US Equity","BS_MKT_SEC_OTHER_ST_INVEST","FQ1 2023","FQ1 2023","Currency=USD","Period=FQ","BEST_FPERIOD_OVERRIDE=FQ","FILING_STATUS=MR","SCALING_FORMAT=MLN","Sort=A","Dates=H","DateFormat=P","Fill=—","Direction=H","UseDPDF=Y")</f>
        <v>1398.43</v>
      </c>
      <c r="U9" s="13">
        <f>_xll.BDH("ALNY US Equity","BS_MKT_SEC_OTHER_ST_INVEST","FQ2 2023","FQ2 2023","Currency=USD","Period=FQ","BEST_FPERIOD_OVERRIDE=FQ","FILING_STATUS=MR","SCALING_FORMAT=MLN","Sort=A","Dates=H","DateFormat=P","Fill=—","Direction=H","UseDPDF=Y")</f>
        <v>1399.7070000000001</v>
      </c>
      <c r="V9" s="13">
        <f>_xll.BDH("ALNY US Equity","BS_MKT_SEC_OTHER_ST_INVEST","FQ3 2023","FQ3 2023","Currency=USD","Period=FQ","BEST_FPERIOD_OVERRIDE=FQ","FILING_STATUS=MR","SCALING_FORMAT=MLN","Sort=A","Dates=H","DateFormat=P","Fill=—","Direction=H","UseDPDF=Y")</f>
        <v>1373.2539999999999</v>
      </c>
      <c r="W9" s="13">
        <f>_xll.BDH("ALNY US Equity","BS_MKT_SEC_OTHER_ST_INVEST","FQ4 2023","FQ4 2023","Currency=USD","Period=FQ","BEST_FPERIOD_OVERRIDE=FQ","FILING_STATUS=MR","SCALING_FORMAT=MLN","Sort=A","Dates=H","DateFormat=P","Fill=—","Direction=H","UseDPDF=Y")</f>
        <v>1626.694</v>
      </c>
      <c r="X9" s="13">
        <f>_xll.BDH("ALNY US Equity","BS_MKT_SEC_OTHER_ST_INVEST","FQ1 2024","FQ1 2024","Currency=USD","Period=FQ","BEST_FPERIOD_OVERRIDE=FQ","FILING_STATUS=MR","SCALING_FORMAT=MLN","Sort=A","Dates=H","DateFormat=P","Fill=—","Direction=H","UseDPDF=Y")</f>
        <v>1689.403</v>
      </c>
      <c r="Y9" s="13">
        <f>_xll.BDH("ALNY US Equity","BS_MKT_SEC_OTHER_ST_INVEST","FQ2 2024","FQ2 2024","Currency=USD","Period=FQ","BEST_FPERIOD_OVERRIDE=FQ","FILING_STATUS=MR","SCALING_FORMAT=MLN","Sort=A","Dates=H","DateFormat=P","Fill=—","Direction=H","UseDPDF=Y")</f>
        <v>1656.1569999999999</v>
      </c>
      <c r="Z9" s="13">
        <f>_xll.BDH("ALNY US Equity","BS_MKT_SEC_OTHER_ST_INVEST","FQ3 2024","FQ3 2024","Currency=USD","Period=FQ","BEST_FPERIOD_OVERRIDE=FQ","FILING_STATUS=MR","SCALING_FORMAT=MLN","Sort=A","Dates=H","DateFormat=P","Fill=—","Direction=H","UseDPDF=Y")</f>
        <v>1680.3150000000001</v>
      </c>
      <c r="AA9" s="13">
        <f>_xll.BDH("ALNY US Equity","BS_MKT_SEC_OTHER_ST_INVEST","FQ4 2024","FQ4 2024","Currency=USD","Period=FQ","BEST_FPERIOD_OVERRIDE=FQ","FILING_STATUS=MR","SCALING_FORMAT=MLN","Sort=A","Dates=H","DateFormat=P","Fill=—","Direction=H","UseDPDF=Y")</f>
        <v>1728.076</v>
      </c>
    </row>
    <row r="10" spans="1:27" x14ac:dyDescent="0.25">
      <c r="A10" s="10" t="s">
        <v>680</v>
      </c>
      <c r="B10" s="10" t="s">
        <v>681</v>
      </c>
      <c r="C10" s="13">
        <f>_xll.BDH("ALNY US Equity","BS_ACCT_NOTE_RCV","FQ4 2018","FQ4 2018","Currency=USD","Period=FQ","BEST_FPERIOD_OVERRIDE=FQ","FILING_STATUS=MR","SCALING_FORMAT=MLN","Sort=A","Dates=H","DateFormat=P","Fill=—","Direction=H","UseDPDF=Y")</f>
        <v>18.760000000000002</v>
      </c>
      <c r="D10" s="13">
        <f>_xll.BDH("ALNY US Equity","BS_ACCT_NOTE_RCV","FQ1 2019","FQ1 2019","Currency=USD","Period=FQ","BEST_FPERIOD_OVERRIDE=FQ","FILING_STATUS=MR","SCALING_FORMAT=MLN","Sort=A","Dates=H","DateFormat=P","Fill=—","Direction=H","UseDPDF=Y")</f>
        <v>33.801000000000002</v>
      </c>
      <c r="E10" s="13">
        <f>_xll.BDH("ALNY US Equity","BS_ACCT_NOTE_RCV","FQ2 2019","FQ2 2019","Currency=USD","Period=FQ","BEST_FPERIOD_OVERRIDE=FQ","FILING_STATUS=MR","SCALING_FORMAT=MLN","Sort=A","Dates=H","DateFormat=P","Fill=—","Direction=H","UseDPDF=Y")</f>
        <v>30.739000000000001</v>
      </c>
      <c r="F10" s="13">
        <f>_xll.BDH("ALNY US Equity","BS_ACCT_NOTE_RCV","FQ3 2019","FQ3 2019","Currency=USD","Period=FQ","BEST_FPERIOD_OVERRIDE=FQ","FILING_STATUS=MR","SCALING_FORMAT=MLN","Sort=A","Dates=H","DateFormat=P","Fill=—","Direction=H","UseDPDF=Y")</f>
        <v>48.109000000000002</v>
      </c>
      <c r="G10" s="13">
        <f>_xll.BDH("ALNY US Equity","BS_ACCT_NOTE_RCV","FQ4 2019","FQ4 2019","Currency=USD","Period=FQ","BEST_FPERIOD_OVERRIDE=FQ","FILING_STATUS=MR","SCALING_FORMAT=MLN","Sort=A","Dates=H","DateFormat=P","Fill=—","Direction=H","UseDPDF=Y")</f>
        <v>43.011000000000003</v>
      </c>
      <c r="H10" s="13">
        <f>_xll.BDH("ALNY US Equity","BS_ACCT_NOTE_RCV","FQ1 2020","FQ1 2020","Currency=USD","Period=FQ","BEST_FPERIOD_OVERRIDE=FQ","FILING_STATUS=MR","SCALING_FORMAT=MLN","Sort=A","Dates=H","DateFormat=P","Fill=—","Direction=H","UseDPDF=Y")</f>
        <v>75.572000000000003</v>
      </c>
      <c r="I10" s="13">
        <f>_xll.BDH("ALNY US Equity","BS_ACCT_NOTE_RCV","FQ2 2020","FQ2 2020","Currency=USD","Period=FQ","BEST_FPERIOD_OVERRIDE=FQ","FILING_STATUS=MR","SCALING_FORMAT=MLN","Sort=A","Dates=H","DateFormat=P","Fill=—","Direction=H","UseDPDF=Y")</f>
        <v>69.114999999999995</v>
      </c>
      <c r="J10" s="13">
        <f>_xll.BDH("ALNY US Equity","BS_ACCT_NOTE_RCV","FQ3 2020","FQ3 2020","Currency=USD","Period=FQ","BEST_FPERIOD_OVERRIDE=FQ","FILING_STATUS=MR","SCALING_FORMAT=MLN","Sort=A","Dates=H","DateFormat=P","Fill=—","Direction=H","UseDPDF=Y")</f>
        <v>79.117999999999995</v>
      </c>
      <c r="K10" s="13">
        <f>_xll.BDH("ALNY US Equity","BS_ACCT_NOTE_RCV","FQ4 2020","FQ4 2020","Currency=USD","Period=FQ","BEST_FPERIOD_OVERRIDE=FQ","FILING_STATUS=MR","SCALING_FORMAT=MLN","Sort=A","Dates=H","DateFormat=P","Fill=—","Direction=H","UseDPDF=Y")</f>
        <v>102.413</v>
      </c>
      <c r="L10" s="13">
        <f>_xll.BDH("ALNY US Equity","BS_ACCT_NOTE_RCV","FQ1 2021","FQ1 2021","Currency=USD","Period=FQ","BEST_FPERIOD_OVERRIDE=FQ","FILING_STATUS=MR","SCALING_FORMAT=MLN","Sort=A","Dates=H","DateFormat=P","Fill=—","Direction=H","UseDPDF=Y")</f>
        <v>110.626</v>
      </c>
      <c r="M10" s="13">
        <f>_xll.BDH("ALNY US Equity","BS_ACCT_NOTE_RCV","FQ2 2021","FQ2 2021","Currency=USD","Period=FQ","BEST_FPERIOD_OVERRIDE=FQ","FILING_STATUS=MR","SCALING_FORMAT=MLN","Sort=A","Dates=H","DateFormat=P","Fill=—","Direction=H","UseDPDF=Y")</f>
        <v>146.58699999999999</v>
      </c>
      <c r="N10" s="13">
        <f>_xll.BDH("ALNY US Equity","BS_ACCT_NOTE_RCV","FQ3 2021","FQ3 2021","Currency=USD","Period=FQ","BEST_FPERIOD_OVERRIDE=FQ","FILING_STATUS=MR","SCALING_FORMAT=MLN","Sort=A","Dates=H","DateFormat=P","Fill=—","Direction=H","UseDPDF=Y")</f>
        <v>141.06399999999999</v>
      </c>
      <c r="O10" s="13">
        <f>_xll.BDH("ALNY US Equity","BS_ACCT_NOTE_RCV","FQ4 2021","FQ4 2021","Currency=USD","Period=FQ","BEST_FPERIOD_OVERRIDE=FQ","FILING_STATUS=MR","SCALING_FORMAT=MLN","Sort=A","Dates=H","DateFormat=P","Fill=—","Direction=H","UseDPDF=Y")</f>
        <v>198.571</v>
      </c>
      <c r="P10" s="13">
        <f>_xll.BDH("ALNY US Equity","BS_ACCT_NOTE_RCV","FQ1 2022","FQ1 2022","Currency=USD","Period=FQ","BEST_FPERIOD_OVERRIDE=FQ","FILING_STATUS=MR","SCALING_FORMAT=MLN","Sort=A","Dates=H","DateFormat=P","Fill=—","Direction=H","UseDPDF=Y")</f>
        <v>156.53299999999999</v>
      </c>
      <c r="Q10" s="13">
        <f>_xll.BDH("ALNY US Equity","BS_ACCT_NOTE_RCV","FQ2 2022","FQ2 2022","Currency=USD","Period=FQ","BEST_FPERIOD_OVERRIDE=FQ","FILING_STATUS=MR","SCALING_FORMAT=MLN","Sort=A","Dates=H","DateFormat=P","Fill=—","Direction=H","UseDPDF=Y")</f>
        <v>142.27099999999999</v>
      </c>
      <c r="R10" s="13">
        <f>_xll.BDH("ALNY US Equity","BS_ACCT_NOTE_RCV","FQ3 2022","FQ3 2022","Currency=USD","Period=FQ","BEST_FPERIOD_OVERRIDE=FQ","FILING_STATUS=MR","SCALING_FORMAT=MLN","Sort=A","Dates=H","DateFormat=P","Fill=—","Direction=H","UseDPDF=Y")</f>
        <v>184.51300000000001</v>
      </c>
      <c r="S10" s="13">
        <f>_xll.BDH("ALNY US Equity","BS_ACCT_NOTE_RCV","FQ4 2022","FQ4 2022","Currency=USD","Period=FQ","BEST_FPERIOD_OVERRIDE=FQ","FILING_STATUS=MR","SCALING_FORMAT=MLN","Sort=A","Dates=H","DateFormat=P","Fill=—","Direction=H","UseDPDF=Y")</f>
        <v>237.96299999999999</v>
      </c>
      <c r="T10" s="13">
        <f>_xll.BDH("ALNY US Equity","BS_ACCT_NOTE_RCV","FQ1 2023","FQ1 2023","Currency=USD","Period=FQ","BEST_FPERIOD_OVERRIDE=FQ","FILING_STATUS=MR","SCALING_FORMAT=MLN","Sort=A","Dates=H","DateFormat=P","Fill=—","Direction=H","UseDPDF=Y")</f>
        <v>219.434</v>
      </c>
      <c r="U10" s="13">
        <f>_xll.BDH("ALNY US Equity","BS_ACCT_NOTE_RCV","FQ2 2023","FQ2 2023","Currency=USD","Period=FQ","BEST_FPERIOD_OVERRIDE=FQ","FILING_STATUS=MR","SCALING_FORMAT=MLN","Sort=A","Dates=H","DateFormat=P","Fill=—","Direction=H","UseDPDF=Y")</f>
        <v>220.63499999999999</v>
      </c>
      <c r="V10" s="13">
        <f>_xll.BDH("ALNY US Equity","BS_ACCT_NOTE_RCV","FQ3 2023","FQ3 2023","Currency=USD","Period=FQ","BEST_FPERIOD_OVERRIDE=FQ","FILING_STATUS=MR","SCALING_FORMAT=MLN","Sort=A","Dates=H","DateFormat=P","Fill=—","Direction=H","UseDPDF=Y")</f>
        <v>325.44499999999999</v>
      </c>
      <c r="W10" s="13">
        <f>_xll.BDH("ALNY US Equity","BS_ACCT_NOTE_RCV","FQ4 2023","FQ4 2023","Currency=USD","Period=FQ","BEST_FPERIOD_OVERRIDE=FQ","FILING_STATUS=MR","SCALING_FORMAT=MLN","Sort=A","Dates=H","DateFormat=P","Fill=—","Direction=H","UseDPDF=Y")</f>
        <v>327.78699999999998</v>
      </c>
      <c r="X10" s="13">
        <f>_xll.BDH("ALNY US Equity","BS_ACCT_NOTE_RCV","FQ1 2024","FQ1 2024","Currency=USD","Period=FQ","BEST_FPERIOD_OVERRIDE=FQ","FILING_STATUS=MR","SCALING_FORMAT=MLN","Sort=A","Dates=H","DateFormat=P","Fill=—","Direction=H","UseDPDF=Y")</f>
        <v>321.37700000000001</v>
      </c>
      <c r="Y10" s="13">
        <f>_xll.BDH("ALNY US Equity","BS_ACCT_NOTE_RCV","FQ2 2024","FQ2 2024","Currency=USD","Period=FQ","BEST_FPERIOD_OVERRIDE=FQ","FILING_STATUS=MR","SCALING_FORMAT=MLN","Sort=A","Dates=H","DateFormat=P","Fill=—","Direction=H","UseDPDF=Y")</f>
        <v>309.48099999999999</v>
      </c>
      <c r="Z10" s="13">
        <f>_xll.BDH("ALNY US Equity","BS_ACCT_NOTE_RCV","FQ3 2024","FQ3 2024","Currency=USD","Period=FQ","BEST_FPERIOD_OVERRIDE=FQ","FILING_STATUS=MR","SCALING_FORMAT=MLN","Sort=A","Dates=H","DateFormat=P","Fill=—","Direction=H","UseDPDF=Y")</f>
        <v>353.85199999999998</v>
      </c>
      <c r="AA10" s="13">
        <f>_xll.BDH("ALNY US Equity","BS_ACCT_NOTE_RCV","FQ4 2024","FQ4 2024","Currency=USD","Period=FQ","BEST_FPERIOD_OVERRIDE=FQ","FILING_STATUS=MR","SCALING_FORMAT=MLN","Sort=A","Dates=H","DateFormat=P","Fill=—","Direction=H","UseDPDF=Y")</f>
        <v>405.30799999999999</v>
      </c>
    </row>
    <row r="11" spans="1:27" x14ac:dyDescent="0.25">
      <c r="A11" s="10" t="s">
        <v>682</v>
      </c>
      <c r="B11" s="10" t="s">
        <v>683</v>
      </c>
      <c r="C11" s="13">
        <f>_xll.BDH("ALNY US Equity","BS_ACCTS_REC_EXCL_NOTES_REC","FQ4 2018","FQ4 2018","Currency=USD","Period=FQ","BEST_FPERIOD_OVERRIDE=FQ","FILING_STATUS=MR","SCALING_FORMAT=MLN","Sort=A","Dates=H","DateFormat=P","Fill=—","Direction=H","UseDPDF=Y")</f>
        <v>18.760000000000002</v>
      </c>
      <c r="D11" s="13">
        <f>_xll.BDH("ALNY US Equity","BS_ACCTS_REC_EXCL_NOTES_REC","FQ1 2019","FQ1 2019","Currency=USD","Period=FQ","BEST_FPERIOD_OVERRIDE=FQ","FILING_STATUS=MR","SCALING_FORMAT=MLN","Sort=A","Dates=H","DateFormat=P","Fill=—","Direction=H","UseDPDF=Y")</f>
        <v>33.801000000000002</v>
      </c>
      <c r="E11" s="13">
        <f>_xll.BDH("ALNY US Equity","BS_ACCTS_REC_EXCL_NOTES_REC","FQ2 2019","FQ2 2019","Currency=USD","Period=FQ","BEST_FPERIOD_OVERRIDE=FQ","FILING_STATUS=MR","SCALING_FORMAT=MLN","Sort=A","Dates=H","DateFormat=P","Fill=—","Direction=H","UseDPDF=Y")</f>
        <v>30.739000000000001</v>
      </c>
      <c r="F11" s="13">
        <f>_xll.BDH("ALNY US Equity","BS_ACCTS_REC_EXCL_NOTES_REC","FQ3 2019","FQ3 2019","Currency=USD","Period=FQ","BEST_FPERIOD_OVERRIDE=FQ","FILING_STATUS=MR","SCALING_FORMAT=MLN","Sort=A","Dates=H","DateFormat=P","Fill=—","Direction=H","UseDPDF=Y")</f>
        <v>48.109000000000002</v>
      </c>
      <c r="G11" s="13">
        <f>_xll.BDH("ALNY US Equity","BS_ACCTS_REC_EXCL_NOTES_REC","FQ4 2019","FQ4 2019","Currency=USD","Period=FQ","BEST_FPERIOD_OVERRIDE=FQ","FILING_STATUS=MR","SCALING_FORMAT=MLN","Sort=A","Dates=H","DateFormat=P","Fill=—","Direction=H","UseDPDF=Y")</f>
        <v>43.011000000000003</v>
      </c>
      <c r="H11" s="13">
        <f>_xll.BDH("ALNY US Equity","BS_ACCTS_REC_EXCL_NOTES_REC","FQ1 2020","FQ1 2020","Currency=USD","Period=FQ","BEST_FPERIOD_OVERRIDE=FQ","FILING_STATUS=MR","SCALING_FORMAT=MLN","Sort=A","Dates=H","DateFormat=P","Fill=—","Direction=H","UseDPDF=Y")</f>
        <v>75.572000000000003</v>
      </c>
      <c r="I11" s="13">
        <f>_xll.BDH("ALNY US Equity","BS_ACCTS_REC_EXCL_NOTES_REC","FQ2 2020","FQ2 2020","Currency=USD","Period=FQ","BEST_FPERIOD_OVERRIDE=FQ","FILING_STATUS=MR","SCALING_FORMAT=MLN","Sort=A","Dates=H","DateFormat=P","Fill=—","Direction=H","UseDPDF=Y")</f>
        <v>69.114999999999995</v>
      </c>
      <c r="J11" s="13">
        <f>_xll.BDH("ALNY US Equity","BS_ACCTS_REC_EXCL_NOTES_REC","FQ3 2020","FQ3 2020","Currency=USD","Period=FQ","BEST_FPERIOD_OVERRIDE=FQ","FILING_STATUS=MR","SCALING_FORMAT=MLN","Sort=A","Dates=H","DateFormat=P","Fill=—","Direction=H","UseDPDF=Y")</f>
        <v>79.117999999999995</v>
      </c>
      <c r="K11" s="13">
        <f>_xll.BDH("ALNY US Equity","BS_ACCTS_REC_EXCL_NOTES_REC","FQ4 2020","FQ4 2020","Currency=USD","Period=FQ","BEST_FPERIOD_OVERRIDE=FQ","FILING_STATUS=MR","SCALING_FORMAT=MLN","Sort=A","Dates=H","DateFormat=P","Fill=—","Direction=H","UseDPDF=Y")</f>
        <v>102.413</v>
      </c>
      <c r="L11" s="13">
        <f>_xll.BDH("ALNY US Equity","BS_ACCTS_REC_EXCL_NOTES_REC","FQ1 2021","FQ1 2021","Currency=USD","Period=FQ","BEST_FPERIOD_OVERRIDE=FQ","FILING_STATUS=MR","SCALING_FORMAT=MLN","Sort=A","Dates=H","DateFormat=P","Fill=—","Direction=H","UseDPDF=Y")</f>
        <v>110.626</v>
      </c>
      <c r="M11" s="13">
        <f>_xll.BDH("ALNY US Equity","BS_ACCTS_REC_EXCL_NOTES_REC","FQ2 2021","FQ2 2021","Currency=USD","Period=FQ","BEST_FPERIOD_OVERRIDE=FQ","FILING_STATUS=MR","SCALING_FORMAT=MLN","Sort=A","Dates=H","DateFormat=P","Fill=—","Direction=H","UseDPDF=Y")</f>
        <v>146.58699999999999</v>
      </c>
      <c r="N11" s="13">
        <f>_xll.BDH("ALNY US Equity","BS_ACCTS_REC_EXCL_NOTES_REC","FQ3 2021","FQ3 2021","Currency=USD","Period=FQ","BEST_FPERIOD_OVERRIDE=FQ","FILING_STATUS=MR","SCALING_FORMAT=MLN","Sort=A","Dates=H","DateFormat=P","Fill=—","Direction=H","UseDPDF=Y")</f>
        <v>141.06399999999999</v>
      </c>
      <c r="O11" s="13">
        <f>_xll.BDH("ALNY US Equity","BS_ACCTS_REC_EXCL_NOTES_REC","FQ4 2021","FQ4 2021","Currency=USD","Period=FQ","BEST_FPERIOD_OVERRIDE=FQ","FILING_STATUS=MR","SCALING_FORMAT=MLN","Sort=A","Dates=H","DateFormat=P","Fill=—","Direction=H","UseDPDF=Y")</f>
        <v>198.571</v>
      </c>
      <c r="P11" s="13">
        <f>_xll.BDH("ALNY US Equity","BS_ACCTS_REC_EXCL_NOTES_REC","FQ1 2022","FQ1 2022","Currency=USD","Period=FQ","BEST_FPERIOD_OVERRIDE=FQ","FILING_STATUS=MR","SCALING_FORMAT=MLN","Sort=A","Dates=H","DateFormat=P","Fill=—","Direction=H","UseDPDF=Y")</f>
        <v>156.53299999999999</v>
      </c>
      <c r="Q11" s="13">
        <f>_xll.BDH("ALNY US Equity","BS_ACCTS_REC_EXCL_NOTES_REC","FQ2 2022","FQ2 2022","Currency=USD","Period=FQ","BEST_FPERIOD_OVERRIDE=FQ","FILING_STATUS=MR","SCALING_FORMAT=MLN","Sort=A","Dates=H","DateFormat=P","Fill=—","Direction=H","UseDPDF=Y")</f>
        <v>142.27099999999999</v>
      </c>
      <c r="R11" s="13">
        <f>_xll.BDH("ALNY US Equity","BS_ACCTS_REC_EXCL_NOTES_REC","FQ3 2022","FQ3 2022","Currency=USD","Period=FQ","BEST_FPERIOD_OVERRIDE=FQ","FILING_STATUS=MR","SCALING_FORMAT=MLN","Sort=A","Dates=H","DateFormat=P","Fill=—","Direction=H","UseDPDF=Y")</f>
        <v>184.51300000000001</v>
      </c>
      <c r="S11" s="13">
        <f>_xll.BDH("ALNY US Equity","BS_ACCTS_REC_EXCL_NOTES_REC","FQ4 2022","FQ4 2022","Currency=USD","Period=FQ","BEST_FPERIOD_OVERRIDE=FQ","FILING_STATUS=MR","SCALING_FORMAT=MLN","Sort=A","Dates=H","DateFormat=P","Fill=—","Direction=H","UseDPDF=Y")</f>
        <v>237.96299999999999</v>
      </c>
      <c r="T11" s="13">
        <f>_xll.BDH("ALNY US Equity","BS_ACCTS_REC_EXCL_NOTES_REC","FQ1 2023","FQ1 2023","Currency=USD","Period=FQ","BEST_FPERIOD_OVERRIDE=FQ","FILING_STATUS=MR","SCALING_FORMAT=MLN","Sort=A","Dates=H","DateFormat=P","Fill=—","Direction=H","UseDPDF=Y")</f>
        <v>219.434</v>
      </c>
      <c r="U11" s="13">
        <f>_xll.BDH("ALNY US Equity","BS_ACCTS_REC_EXCL_NOTES_REC","FQ2 2023","FQ2 2023","Currency=USD","Period=FQ","BEST_FPERIOD_OVERRIDE=FQ","FILING_STATUS=MR","SCALING_FORMAT=MLN","Sort=A","Dates=H","DateFormat=P","Fill=—","Direction=H","UseDPDF=Y")</f>
        <v>220.63499999999999</v>
      </c>
      <c r="V11" s="13">
        <f>_xll.BDH("ALNY US Equity","BS_ACCTS_REC_EXCL_NOTES_REC","FQ3 2023","FQ3 2023","Currency=USD","Period=FQ","BEST_FPERIOD_OVERRIDE=FQ","FILING_STATUS=MR","SCALING_FORMAT=MLN","Sort=A","Dates=H","DateFormat=P","Fill=—","Direction=H","UseDPDF=Y")</f>
        <v>325.44499999999999</v>
      </c>
      <c r="W11" s="13">
        <f>_xll.BDH("ALNY US Equity","BS_ACCTS_REC_EXCL_NOTES_REC","FQ4 2023","FQ4 2023","Currency=USD","Period=FQ","BEST_FPERIOD_OVERRIDE=FQ","FILING_STATUS=MR","SCALING_FORMAT=MLN","Sort=A","Dates=H","DateFormat=P","Fill=—","Direction=H","UseDPDF=Y")</f>
        <v>327.78699999999998</v>
      </c>
      <c r="X11" s="13">
        <f>_xll.BDH("ALNY US Equity","BS_ACCTS_REC_EXCL_NOTES_REC","FQ1 2024","FQ1 2024","Currency=USD","Period=FQ","BEST_FPERIOD_OVERRIDE=FQ","FILING_STATUS=MR","SCALING_FORMAT=MLN","Sort=A","Dates=H","DateFormat=P","Fill=—","Direction=H","UseDPDF=Y")</f>
        <v>321.37700000000001</v>
      </c>
      <c r="Y11" s="13">
        <f>_xll.BDH("ALNY US Equity","BS_ACCTS_REC_EXCL_NOTES_REC","FQ2 2024","FQ2 2024","Currency=USD","Period=FQ","BEST_FPERIOD_OVERRIDE=FQ","FILING_STATUS=MR","SCALING_FORMAT=MLN","Sort=A","Dates=H","DateFormat=P","Fill=—","Direction=H","UseDPDF=Y")</f>
        <v>309.48099999999999</v>
      </c>
      <c r="Z11" s="13">
        <f>_xll.BDH("ALNY US Equity","BS_ACCTS_REC_EXCL_NOTES_REC","FQ3 2024","FQ3 2024","Currency=USD","Period=FQ","BEST_FPERIOD_OVERRIDE=FQ","FILING_STATUS=MR","SCALING_FORMAT=MLN","Sort=A","Dates=H","DateFormat=P","Fill=—","Direction=H","UseDPDF=Y")</f>
        <v>353.85199999999998</v>
      </c>
      <c r="AA11" s="13">
        <f>_xll.BDH("ALNY US Equity","BS_ACCTS_REC_EXCL_NOTES_REC","FQ4 2024","FQ4 2024","Currency=USD","Period=FQ","BEST_FPERIOD_OVERRIDE=FQ","FILING_STATUS=MR","SCALING_FORMAT=MLN","Sort=A","Dates=H","DateFormat=P","Fill=—","Direction=H","UseDPDF=Y")</f>
        <v>405.30799999999999</v>
      </c>
    </row>
    <row r="12" spans="1:27" x14ac:dyDescent="0.25">
      <c r="A12" s="10" t="s">
        <v>684</v>
      </c>
      <c r="B12" s="10" t="s">
        <v>685</v>
      </c>
      <c r="C12" s="13">
        <f>_xll.BDH("ALNY US Equity","NOTES_RECEIVABLE","FQ4 2018","FQ4 2018","Currency=USD","Period=FQ","BEST_FPERIOD_OVERRIDE=FQ","FILING_STATUS=MR","SCALING_FORMAT=MLN","Sort=A","Dates=H","DateFormat=P","Fill=—","Direction=H","UseDPDF=Y")</f>
        <v>0</v>
      </c>
      <c r="D12" s="13">
        <f>_xll.BDH("ALNY US Equity","NOTES_RECEIVABLE","FQ1 2019","FQ1 2019","Currency=USD","Period=FQ","BEST_FPERIOD_OVERRIDE=FQ","FILING_STATUS=MR","SCALING_FORMAT=MLN","Sort=A","Dates=H","DateFormat=P","Fill=—","Direction=H","UseDPDF=Y")</f>
        <v>0</v>
      </c>
      <c r="E12" s="13">
        <f>_xll.BDH("ALNY US Equity","NOTES_RECEIVABLE","FQ2 2019","FQ2 2019","Currency=USD","Period=FQ","BEST_FPERIOD_OVERRIDE=FQ","FILING_STATUS=MR","SCALING_FORMAT=MLN","Sort=A","Dates=H","DateFormat=P","Fill=—","Direction=H","UseDPDF=Y")</f>
        <v>0</v>
      </c>
      <c r="F12" s="13">
        <f>_xll.BDH("ALNY US Equity","NOTES_RECEIVABLE","FQ3 2019","FQ3 2019","Currency=USD","Period=FQ","BEST_FPERIOD_OVERRIDE=FQ","FILING_STATUS=MR","SCALING_FORMAT=MLN","Sort=A","Dates=H","DateFormat=P","Fill=—","Direction=H","UseDPDF=Y")</f>
        <v>0</v>
      </c>
      <c r="G12" s="13">
        <f>_xll.BDH("ALNY US Equity","NOTES_RECEIVABLE","FQ4 2019","FQ4 2019","Currency=USD","Period=FQ","BEST_FPERIOD_OVERRIDE=FQ","FILING_STATUS=MR","SCALING_FORMAT=MLN","Sort=A","Dates=H","DateFormat=P","Fill=—","Direction=H","UseDPDF=Y")</f>
        <v>0</v>
      </c>
      <c r="H12" s="13">
        <f>_xll.BDH("ALNY US Equity","NOTES_RECEIVABLE","FQ1 2020","FQ1 2020","Currency=USD","Period=FQ","BEST_FPERIOD_OVERRIDE=FQ","FILING_STATUS=MR","SCALING_FORMAT=MLN","Sort=A","Dates=H","DateFormat=P","Fill=—","Direction=H","UseDPDF=Y")</f>
        <v>0</v>
      </c>
      <c r="I12" s="13">
        <f>_xll.BDH("ALNY US Equity","NOTES_RECEIVABLE","FQ2 2020","FQ2 2020","Currency=USD","Period=FQ","BEST_FPERIOD_OVERRIDE=FQ","FILING_STATUS=MR","SCALING_FORMAT=MLN","Sort=A","Dates=H","DateFormat=P","Fill=—","Direction=H","UseDPDF=Y")</f>
        <v>0</v>
      </c>
      <c r="J12" s="13">
        <f>_xll.BDH("ALNY US Equity","NOTES_RECEIVABLE","FQ3 2020","FQ3 2020","Currency=USD","Period=FQ","BEST_FPERIOD_OVERRIDE=FQ","FILING_STATUS=MR","SCALING_FORMAT=MLN","Sort=A","Dates=H","DateFormat=P","Fill=—","Direction=H","UseDPDF=Y")</f>
        <v>0</v>
      </c>
      <c r="K12" s="13">
        <f>_xll.BDH("ALNY US Equity","NOTES_RECEIVABLE","FQ4 2020","FQ4 2020","Currency=USD","Period=FQ","BEST_FPERIOD_OVERRIDE=FQ","FILING_STATUS=MR","SCALING_FORMAT=MLN","Sort=A","Dates=H","DateFormat=P","Fill=—","Direction=H","UseDPDF=Y")</f>
        <v>0</v>
      </c>
      <c r="L12" s="13">
        <f>_xll.BDH("ALNY US Equity","NOTES_RECEIVABLE","FQ1 2021","FQ1 2021","Currency=USD","Period=FQ","BEST_FPERIOD_OVERRIDE=FQ","FILING_STATUS=MR","SCALING_FORMAT=MLN","Sort=A","Dates=H","DateFormat=P","Fill=—","Direction=H","UseDPDF=Y")</f>
        <v>0</v>
      </c>
      <c r="M12" s="13">
        <f>_xll.BDH("ALNY US Equity","NOTES_RECEIVABLE","FQ2 2021","FQ2 2021","Currency=USD","Period=FQ","BEST_FPERIOD_OVERRIDE=FQ","FILING_STATUS=MR","SCALING_FORMAT=MLN","Sort=A","Dates=H","DateFormat=P","Fill=—","Direction=H","UseDPDF=Y")</f>
        <v>0</v>
      </c>
      <c r="N12" s="13">
        <f>_xll.BDH("ALNY US Equity","NOTES_RECEIVABLE","FQ3 2021","FQ3 2021","Currency=USD","Period=FQ","BEST_FPERIOD_OVERRIDE=FQ","FILING_STATUS=MR","SCALING_FORMAT=MLN","Sort=A","Dates=H","DateFormat=P","Fill=—","Direction=H","UseDPDF=Y")</f>
        <v>0</v>
      </c>
      <c r="O12" s="13">
        <f>_xll.BDH("ALNY US Equity","NOTES_RECEIVABLE","FQ4 2021","FQ4 2021","Currency=USD","Period=FQ","BEST_FPERIOD_OVERRIDE=FQ","FILING_STATUS=MR","SCALING_FORMAT=MLN","Sort=A","Dates=H","DateFormat=P","Fill=—","Direction=H","UseDPDF=Y")</f>
        <v>0</v>
      </c>
      <c r="P12" s="13">
        <f>_xll.BDH("ALNY US Equity","NOTES_RECEIVABLE","FQ1 2022","FQ1 2022","Currency=USD","Period=FQ","BEST_FPERIOD_OVERRIDE=FQ","FILING_STATUS=MR","SCALING_FORMAT=MLN","Sort=A","Dates=H","DateFormat=P","Fill=—","Direction=H","UseDPDF=Y")</f>
        <v>0</v>
      </c>
      <c r="Q12" s="13">
        <f>_xll.BDH("ALNY US Equity","NOTES_RECEIVABLE","FQ2 2022","FQ2 2022","Currency=USD","Period=FQ","BEST_FPERIOD_OVERRIDE=FQ","FILING_STATUS=MR","SCALING_FORMAT=MLN","Sort=A","Dates=H","DateFormat=P","Fill=—","Direction=H","UseDPDF=Y")</f>
        <v>0</v>
      </c>
      <c r="R12" s="13">
        <f>_xll.BDH("ALNY US Equity","NOTES_RECEIVABLE","FQ3 2022","FQ3 2022","Currency=USD","Period=FQ","BEST_FPERIOD_OVERRIDE=FQ","FILING_STATUS=MR","SCALING_FORMAT=MLN","Sort=A","Dates=H","DateFormat=P","Fill=—","Direction=H","UseDPDF=Y")</f>
        <v>0</v>
      </c>
      <c r="S12" s="13">
        <f>_xll.BDH("ALNY US Equity","NOTES_RECEIVABLE","FQ4 2022","FQ4 2022","Currency=USD","Period=FQ","BEST_FPERIOD_OVERRIDE=FQ","FILING_STATUS=MR","SCALING_FORMAT=MLN","Sort=A","Dates=H","DateFormat=P","Fill=—","Direction=H","UseDPDF=Y")</f>
        <v>0</v>
      </c>
      <c r="T12" s="13">
        <f>_xll.BDH("ALNY US Equity","NOTES_RECEIVABLE","FQ1 2023","FQ1 2023","Currency=USD","Period=FQ","BEST_FPERIOD_OVERRIDE=FQ","FILING_STATUS=MR","SCALING_FORMAT=MLN","Sort=A","Dates=H","DateFormat=P","Fill=—","Direction=H","UseDPDF=Y")</f>
        <v>0</v>
      </c>
      <c r="U12" s="13">
        <f>_xll.BDH("ALNY US Equity","NOTES_RECEIVABLE","FQ2 2023","FQ2 2023","Currency=USD","Period=FQ","BEST_FPERIOD_OVERRIDE=FQ","FILING_STATUS=MR","SCALING_FORMAT=MLN","Sort=A","Dates=H","DateFormat=P","Fill=—","Direction=H","UseDPDF=Y")</f>
        <v>0</v>
      </c>
      <c r="V12" s="13">
        <f>_xll.BDH("ALNY US Equity","NOTES_RECEIVABLE","FQ3 2023","FQ3 2023","Currency=USD","Period=FQ","BEST_FPERIOD_OVERRIDE=FQ","FILING_STATUS=MR","SCALING_FORMAT=MLN","Sort=A","Dates=H","DateFormat=P","Fill=—","Direction=H","UseDPDF=Y")</f>
        <v>0</v>
      </c>
      <c r="W12" s="13">
        <f>_xll.BDH("ALNY US Equity","NOTES_RECEIVABLE","FQ4 2023","FQ4 2023","Currency=USD","Period=FQ","BEST_FPERIOD_OVERRIDE=FQ","FILING_STATUS=MR","SCALING_FORMAT=MLN","Sort=A","Dates=H","DateFormat=P","Fill=—","Direction=H","UseDPDF=Y")</f>
        <v>0</v>
      </c>
      <c r="X12" s="13">
        <f>_xll.BDH("ALNY US Equity","NOTES_RECEIVABLE","FQ1 2024","FQ1 2024","Currency=USD","Period=FQ","BEST_FPERIOD_OVERRIDE=FQ","FILING_STATUS=MR","SCALING_FORMAT=MLN","Sort=A","Dates=H","DateFormat=P","Fill=—","Direction=H","UseDPDF=Y")</f>
        <v>0</v>
      </c>
      <c r="Y12" s="13">
        <f>_xll.BDH("ALNY US Equity","NOTES_RECEIVABLE","FQ2 2024","FQ2 2024","Currency=USD","Period=FQ","BEST_FPERIOD_OVERRIDE=FQ","FILING_STATUS=MR","SCALING_FORMAT=MLN","Sort=A","Dates=H","DateFormat=P","Fill=—","Direction=H","UseDPDF=Y")</f>
        <v>0</v>
      </c>
      <c r="Z12" s="13">
        <f>_xll.BDH("ALNY US Equity","NOTES_RECEIVABLE","FQ3 2024","FQ3 2024","Currency=USD","Period=FQ","BEST_FPERIOD_OVERRIDE=FQ","FILING_STATUS=MR","SCALING_FORMAT=MLN","Sort=A","Dates=H","DateFormat=P","Fill=—","Direction=H","UseDPDF=Y")</f>
        <v>0</v>
      </c>
      <c r="AA12" s="13">
        <f>_xll.BDH("ALNY US Equity","NOTES_RECEIVABLE","FQ4 2024","FQ4 2024","Currency=USD","Period=FQ","BEST_FPERIOD_OVERRIDE=FQ","FILING_STATUS=MR","SCALING_FORMAT=MLN","Sort=A","Dates=H","DateFormat=P","Fill=—","Direction=H","UseDPDF=Y")</f>
        <v>0</v>
      </c>
    </row>
    <row r="13" spans="1:27" x14ac:dyDescent="0.25">
      <c r="A13" s="10" t="s">
        <v>686</v>
      </c>
      <c r="B13" s="10" t="s">
        <v>687</v>
      </c>
      <c r="C13" s="13">
        <f>_xll.BDH("ALNY US Equity","BS_INVENTORIES","FQ4 2018","FQ4 2018","Currency=USD","Period=FQ","BEST_FPERIOD_OVERRIDE=FQ","FILING_STATUS=MR","SCALING_FORMAT=MLN","Sort=A","Dates=H","DateFormat=P","Fill=—","Direction=H","UseDPDF=Y")</f>
        <v>24.068000000000001</v>
      </c>
      <c r="D13" s="13">
        <f>_xll.BDH("ALNY US Equity","BS_INVENTORIES","FQ1 2019","FQ1 2019","Currency=USD","Period=FQ","BEST_FPERIOD_OVERRIDE=FQ","FILING_STATUS=MR","SCALING_FORMAT=MLN","Sort=A","Dates=H","DateFormat=P","Fill=—","Direction=H","UseDPDF=Y")</f>
        <v>32.000999999999998</v>
      </c>
      <c r="E13" s="13">
        <f>_xll.BDH("ALNY US Equity","BS_INVENTORIES","FQ2 2019","FQ2 2019","Currency=USD","Period=FQ","BEST_FPERIOD_OVERRIDE=FQ","FILING_STATUS=MR","SCALING_FORMAT=MLN","Sort=A","Dates=H","DateFormat=P","Fill=—","Direction=H","UseDPDF=Y")</f>
        <v>40.587000000000003</v>
      </c>
      <c r="F13" s="13">
        <f>_xll.BDH("ALNY US Equity","BS_INVENTORIES","FQ3 2019","FQ3 2019","Currency=USD","Period=FQ","BEST_FPERIOD_OVERRIDE=FQ","FILING_STATUS=MR","SCALING_FORMAT=MLN","Sort=A","Dates=H","DateFormat=P","Fill=—","Direction=H","UseDPDF=Y")</f>
        <v>54.561999999999998</v>
      </c>
      <c r="G13" s="13">
        <f>_xll.BDH("ALNY US Equity","BS_INVENTORIES","FQ4 2019","FQ4 2019","Currency=USD","Period=FQ","BEST_FPERIOD_OVERRIDE=FQ","FILING_STATUS=MR","SCALING_FORMAT=MLN","Sort=A","Dates=H","DateFormat=P","Fill=—","Direction=H","UseDPDF=Y")</f>
        <v>56.347999999999999</v>
      </c>
      <c r="H13" s="13">
        <f>_xll.BDH("ALNY US Equity","BS_INVENTORIES","FQ1 2020","FQ1 2020","Currency=USD","Period=FQ","BEST_FPERIOD_OVERRIDE=FQ","FILING_STATUS=MR","SCALING_FORMAT=MLN","Sort=A","Dates=H","DateFormat=P","Fill=—","Direction=H","UseDPDF=Y")</f>
        <v>68.3</v>
      </c>
      <c r="I13" s="13">
        <f>_xll.BDH("ALNY US Equity","BS_INVENTORIES","FQ2 2020","FQ2 2020","Currency=USD","Period=FQ","BEST_FPERIOD_OVERRIDE=FQ","FILING_STATUS=MR","SCALING_FORMAT=MLN","Sort=A","Dates=H","DateFormat=P","Fill=—","Direction=H","UseDPDF=Y")</f>
        <v>77.418000000000006</v>
      </c>
      <c r="J13" s="13">
        <f>_xll.BDH("ALNY US Equity","BS_INVENTORIES","FQ3 2020","FQ3 2020","Currency=USD","Period=FQ","BEST_FPERIOD_OVERRIDE=FQ","FILING_STATUS=MR","SCALING_FORMAT=MLN","Sort=A","Dates=H","DateFormat=P","Fill=—","Direction=H","UseDPDF=Y")</f>
        <v>66.941999999999993</v>
      </c>
      <c r="K13" s="13">
        <f>_xll.BDH("ALNY US Equity","BS_INVENTORIES","FQ4 2020","FQ4 2020","Currency=USD","Period=FQ","BEST_FPERIOD_OVERRIDE=FQ","FILING_STATUS=MR","SCALING_FORMAT=MLN","Sort=A","Dates=H","DateFormat=P","Fill=—","Direction=H","UseDPDF=Y")</f>
        <v>75.201999999999998</v>
      </c>
      <c r="L13" s="13">
        <f>_xll.BDH("ALNY US Equity","BS_INVENTORIES","FQ1 2021","FQ1 2021","Currency=USD","Period=FQ","BEST_FPERIOD_OVERRIDE=FQ","FILING_STATUS=MR","SCALING_FORMAT=MLN","Sort=A","Dates=H","DateFormat=P","Fill=—","Direction=H","UseDPDF=Y")</f>
        <v>73.94</v>
      </c>
      <c r="M13" s="13">
        <f>_xll.BDH("ALNY US Equity","BS_INVENTORIES","FQ2 2021","FQ2 2021","Currency=USD","Period=FQ","BEST_FPERIOD_OVERRIDE=FQ","FILING_STATUS=MR","SCALING_FORMAT=MLN","Sort=A","Dates=H","DateFormat=P","Fill=—","Direction=H","UseDPDF=Y")</f>
        <v>84.358000000000004</v>
      </c>
      <c r="N13" s="13">
        <f>_xll.BDH("ALNY US Equity","BS_INVENTORIES","FQ3 2021","FQ3 2021","Currency=USD","Period=FQ","BEST_FPERIOD_OVERRIDE=FQ","FILING_STATUS=MR","SCALING_FORMAT=MLN","Sort=A","Dates=H","DateFormat=P","Fill=—","Direction=H","UseDPDF=Y")</f>
        <v>97.899000000000001</v>
      </c>
      <c r="O13" s="13">
        <f>_xll.BDH("ALNY US Equity","BS_INVENTORIES","FQ4 2021","FQ4 2021","Currency=USD","Period=FQ","BEST_FPERIOD_OVERRIDE=FQ","FILING_STATUS=MR","SCALING_FORMAT=MLN","Sort=A","Dates=H","DateFormat=P","Fill=—","Direction=H","UseDPDF=Y")</f>
        <v>86.363</v>
      </c>
      <c r="P13" s="13">
        <f>_xll.BDH("ALNY US Equity","BS_INVENTORIES","FQ1 2022","FQ1 2022","Currency=USD","Period=FQ","BEST_FPERIOD_OVERRIDE=FQ","FILING_STATUS=MR","SCALING_FORMAT=MLN","Sort=A","Dates=H","DateFormat=P","Fill=—","Direction=H","UseDPDF=Y")</f>
        <v>78.516000000000005</v>
      </c>
      <c r="Q13" s="13">
        <f>_xll.BDH("ALNY US Equity","BS_INVENTORIES","FQ2 2022","FQ2 2022","Currency=USD","Period=FQ","BEST_FPERIOD_OVERRIDE=FQ","FILING_STATUS=MR","SCALING_FORMAT=MLN","Sort=A","Dates=H","DateFormat=P","Fill=—","Direction=H","UseDPDF=Y")</f>
        <v>88.975999999999999</v>
      </c>
      <c r="R13" s="13">
        <f>_xll.BDH("ALNY US Equity","BS_INVENTORIES","FQ3 2022","FQ3 2022","Currency=USD","Period=FQ","BEST_FPERIOD_OVERRIDE=FQ","FILING_STATUS=MR","SCALING_FORMAT=MLN","Sort=A","Dates=H","DateFormat=P","Fill=—","Direction=H","UseDPDF=Y")</f>
        <v>115.489</v>
      </c>
      <c r="S13" s="13">
        <f>_xll.BDH("ALNY US Equity","BS_INVENTORIES","FQ4 2022","FQ4 2022","Currency=USD","Period=FQ","BEST_FPERIOD_OVERRIDE=FQ","FILING_STATUS=MR","SCALING_FORMAT=MLN","Sort=A","Dates=H","DateFormat=P","Fill=—","Direction=H","UseDPDF=Y")</f>
        <v>128.96199999999999</v>
      </c>
      <c r="T13" s="13">
        <f>_xll.BDH("ALNY US Equity","BS_INVENTORIES","FQ1 2023","FQ1 2023","Currency=USD","Period=FQ","BEST_FPERIOD_OVERRIDE=FQ","FILING_STATUS=MR","SCALING_FORMAT=MLN","Sort=A","Dates=H","DateFormat=P","Fill=—","Direction=H","UseDPDF=Y")</f>
        <v>131.87899999999999</v>
      </c>
      <c r="U13" s="13">
        <f>_xll.BDH("ALNY US Equity","BS_INVENTORIES","FQ2 2023","FQ2 2023","Currency=USD","Period=FQ","BEST_FPERIOD_OVERRIDE=FQ","FILING_STATUS=MR","SCALING_FORMAT=MLN","Sort=A","Dates=H","DateFormat=P","Fill=—","Direction=H","UseDPDF=Y")</f>
        <v>100.453</v>
      </c>
      <c r="V13" s="13">
        <f>_xll.BDH("ALNY US Equity","BS_INVENTORIES","FQ3 2023","FQ3 2023","Currency=USD","Period=FQ","BEST_FPERIOD_OVERRIDE=FQ","FILING_STATUS=MR","SCALING_FORMAT=MLN","Sort=A","Dates=H","DateFormat=P","Fill=—","Direction=H","UseDPDF=Y")</f>
        <v>95.771000000000001</v>
      </c>
      <c r="W13" s="13">
        <f>_xll.BDH("ALNY US Equity","BS_INVENTORIES","FQ4 2023","FQ4 2023","Currency=USD","Period=FQ","BEST_FPERIOD_OVERRIDE=FQ","FILING_STATUS=MR","SCALING_FORMAT=MLN","Sort=A","Dates=H","DateFormat=P","Fill=—","Direction=H","UseDPDF=Y")</f>
        <v>89.146000000000001</v>
      </c>
      <c r="X13" s="13">
        <f>_xll.BDH("ALNY US Equity","BS_INVENTORIES","FQ1 2024","FQ1 2024","Currency=USD","Period=FQ","BEST_FPERIOD_OVERRIDE=FQ","FILING_STATUS=MR","SCALING_FORMAT=MLN","Sort=A","Dates=H","DateFormat=P","Fill=—","Direction=H","UseDPDF=Y")</f>
        <v>93.988</v>
      </c>
      <c r="Y13" s="13">
        <f>_xll.BDH("ALNY US Equity","BS_INVENTORIES","FQ2 2024","FQ2 2024","Currency=USD","Period=FQ","BEST_FPERIOD_OVERRIDE=FQ","FILING_STATUS=MR","SCALING_FORMAT=MLN","Sort=A","Dates=H","DateFormat=P","Fill=—","Direction=H","UseDPDF=Y")</f>
        <v>83.980999999999995</v>
      </c>
      <c r="Z13" s="13">
        <f>_xll.BDH("ALNY US Equity","BS_INVENTORIES","FQ3 2024","FQ3 2024","Currency=USD","Period=FQ","BEST_FPERIOD_OVERRIDE=FQ","FILING_STATUS=MR","SCALING_FORMAT=MLN","Sort=A","Dates=H","DateFormat=P","Fill=—","Direction=H","UseDPDF=Y")</f>
        <v>75.986999999999995</v>
      </c>
      <c r="AA13" s="13">
        <f>_xll.BDH("ALNY US Equity","BS_INVENTORIES","FQ4 2024","FQ4 2024","Currency=USD","Period=FQ","BEST_FPERIOD_OVERRIDE=FQ","FILING_STATUS=MR","SCALING_FORMAT=MLN","Sort=A","Dates=H","DateFormat=P","Fill=—","Direction=H","UseDPDF=Y")</f>
        <v>78.509</v>
      </c>
    </row>
    <row r="14" spans="1:27" x14ac:dyDescent="0.25">
      <c r="A14" s="10" t="s">
        <v>688</v>
      </c>
      <c r="B14" s="10" t="s">
        <v>689</v>
      </c>
      <c r="C14" s="13">
        <f>_xll.BDH("ALNY US Equity","INVTRY_RAW_MATERIALS","FQ4 2018","FQ4 2018","Currency=USD","Period=FQ","BEST_FPERIOD_OVERRIDE=FQ","FILING_STATUS=MR","SCALING_FORMAT=MLN","Sort=A","Dates=H","DateFormat=P","Fill=—","Direction=H","UseDPDF=Y")</f>
        <v>8.7089999999999996</v>
      </c>
      <c r="D14" s="13">
        <f>_xll.BDH("ALNY US Equity","INVTRY_RAW_MATERIALS","FQ1 2019","FQ1 2019","Currency=USD","Period=FQ","BEST_FPERIOD_OVERRIDE=FQ","FILING_STATUS=MR","SCALING_FORMAT=MLN","Sort=A","Dates=H","DateFormat=P","Fill=—","Direction=H","UseDPDF=Y")</f>
        <v>9.1790000000000003</v>
      </c>
      <c r="E14" s="13">
        <f>_xll.BDH("ALNY US Equity","INVTRY_RAW_MATERIALS","FQ2 2019","FQ2 2019","Currency=USD","Period=FQ","BEST_FPERIOD_OVERRIDE=FQ","FILING_STATUS=MR","SCALING_FORMAT=MLN","Sort=A","Dates=H","DateFormat=P","Fill=—","Direction=H","UseDPDF=Y")</f>
        <v>8.4459999999999997</v>
      </c>
      <c r="F14" s="13">
        <f>_xll.BDH("ALNY US Equity","INVTRY_RAW_MATERIALS","FQ3 2019","FQ3 2019","Currency=USD","Period=FQ","BEST_FPERIOD_OVERRIDE=FQ","FILING_STATUS=MR","SCALING_FORMAT=MLN","Sort=A","Dates=H","DateFormat=P","Fill=—","Direction=H","UseDPDF=Y")</f>
        <v>11.6</v>
      </c>
      <c r="G14" s="13">
        <f>_xll.BDH("ALNY US Equity","INVTRY_RAW_MATERIALS","FQ4 2019","FQ4 2019","Currency=USD","Period=FQ","BEST_FPERIOD_OVERRIDE=FQ","FILING_STATUS=MR","SCALING_FORMAT=MLN","Sort=A","Dates=H","DateFormat=P","Fill=—","Direction=H","UseDPDF=Y")</f>
        <v>15.417999999999999</v>
      </c>
      <c r="H14" s="13">
        <f>_xll.BDH("ALNY US Equity","INVTRY_RAW_MATERIALS","FQ1 2020","FQ1 2020","Currency=USD","Period=FQ","BEST_FPERIOD_OVERRIDE=FQ","FILING_STATUS=MR","SCALING_FORMAT=MLN","Sort=A","Dates=H","DateFormat=P","Fill=—","Direction=H","UseDPDF=Y")</f>
        <v>30.661999999999999</v>
      </c>
      <c r="I14" s="13">
        <f>_xll.BDH("ALNY US Equity","INVTRY_RAW_MATERIALS","FQ2 2020","FQ2 2020","Currency=USD","Period=FQ","BEST_FPERIOD_OVERRIDE=FQ","FILING_STATUS=MR","SCALING_FORMAT=MLN","Sort=A","Dates=H","DateFormat=P","Fill=—","Direction=H","UseDPDF=Y")</f>
        <v>43.515000000000001</v>
      </c>
      <c r="J14" s="13" t="str">
        <f>_xll.BDH("ALNY US Equity","INVTRY_RAW_MATERIALS","FQ3 2020","FQ3 2020","Currency=USD","Period=FQ","BEST_FPERIOD_OVERRIDE=FQ","FILING_STATUS=MR","SCALING_FORMAT=MLN","Sort=A","Dates=H","DateFormat=P","Fill=—","Direction=H","UseDPDF=Y")</f>
        <v>—</v>
      </c>
      <c r="K14" s="13">
        <f>_xll.BDH("ALNY US Equity","INVTRY_RAW_MATERIALS","FQ4 2020","FQ4 2020","Currency=USD","Period=FQ","BEST_FPERIOD_OVERRIDE=FQ","FILING_STATUS=MR","SCALING_FORMAT=MLN","Sort=A","Dates=H","DateFormat=P","Fill=—","Direction=H","UseDPDF=Y")</f>
        <v>46.36</v>
      </c>
      <c r="L14" s="13">
        <f>_xll.BDH("ALNY US Equity","INVTRY_RAW_MATERIALS","FQ1 2021","FQ1 2021","Currency=USD","Period=FQ","BEST_FPERIOD_OVERRIDE=FQ","FILING_STATUS=MR","SCALING_FORMAT=MLN","Sort=A","Dates=H","DateFormat=P","Fill=—","Direction=H","UseDPDF=Y")</f>
        <v>53.694000000000003</v>
      </c>
      <c r="M14" s="13">
        <f>_xll.BDH("ALNY US Equity","INVTRY_RAW_MATERIALS","FQ2 2021","FQ2 2021","Currency=USD","Period=FQ","BEST_FPERIOD_OVERRIDE=FQ","FILING_STATUS=MR","SCALING_FORMAT=MLN","Sort=A","Dates=H","DateFormat=P","Fill=—","Direction=H","UseDPDF=Y")</f>
        <v>54.344000000000001</v>
      </c>
      <c r="N14" s="13">
        <f>_xll.BDH("ALNY US Equity","INVTRY_RAW_MATERIALS","FQ3 2021","FQ3 2021","Currency=USD","Period=FQ","BEST_FPERIOD_OVERRIDE=FQ","FILING_STATUS=MR","SCALING_FORMAT=MLN","Sort=A","Dates=H","DateFormat=P","Fill=—","Direction=H","UseDPDF=Y")</f>
        <v>65.158000000000001</v>
      </c>
      <c r="O14" s="13">
        <f>_xll.BDH("ALNY US Equity","INVTRY_RAW_MATERIALS","FQ4 2021","FQ4 2021","Currency=USD","Period=FQ","BEST_FPERIOD_OVERRIDE=FQ","FILING_STATUS=MR","SCALING_FORMAT=MLN","Sort=A","Dates=H","DateFormat=P","Fill=—","Direction=H","UseDPDF=Y")</f>
        <v>14.754</v>
      </c>
      <c r="P14" s="13">
        <f>_xll.BDH("ALNY US Equity","INVTRY_RAW_MATERIALS","FQ1 2022","FQ1 2022","Currency=USD","Period=FQ","BEST_FPERIOD_OVERRIDE=FQ","FILING_STATUS=MR","SCALING_FORMAT=MLN","Sort=A","Dates=H","DateFormat=P","Fill=—","Direction=H","UseDPDF=Y")</f>
        <v>20.372</v>
      </c>
      <c r="Q14" s="13">
        <f>_xll.BDH("ALNY US Equity","INVTRY_RAW_MATERIALS","FQ2 2022","FQ2 2022","Currency=USD","Period=FQ","BEST_FPERIOD_OVERRIDE=FQ","FILING_STATUS=MR","SCALING_FORMAT=MLN","Sort=A","Dates=H","DateFormat=P","Fill=—","Direction=H","UseDPDF=Y")</f>
        <v>19.14</v>
      </c>
      <c r="R14" s="13">
        <f>_xll.BDH("ALNY US Equity","INVTRY_RAW_MATERIALS","FQ3 2022","FQ3 2022","Currency=USD","Period=FQ","BEST_FPERIOD_OVERRIDE=FQ","FILING_STATUS=MR","SCALING_FORMAT=MLN","Sort=A","Dates=H","DateFormat=P","Fill=—","Direction=H","UseDPDF=Y")</f>
        <v>17.718</v>
      </c>
      <c r="S14" s="13">
        <f>_xll.BDH("ALNY US Equity","INVTRY_RAW_MATERIALS","FQ4 2022","FQ4 2022","Currency=USD","Period=FQ","BEST_FPERIOD_OVERRIDE=FQ","FILING_STATUS=MR","SCALING_FORMAT=MLN","Sort=A","Dates=H","DateFormat=P","Fill=—","Direction=H","UseDPDF=Y")</f>
        <v>22.315000000000001</v>
      </c>
      <c r="T14" s="13">
        <f>_xll.BDH("ALNY US Equity","INVTRY_RAW_MATERIALS","FQ1 2023","FQ1 2023","Currency=USD","Period=FQ","BEST_FPERIOD_OVERRIDE=FQ","FILING_STATUS=MR","SCALING_FORMAT=MLN","Sort=A","Dates=H","DateFormat=P","Fill=—","Direction=H","UseDPDF=Y")</f>
        <v>22.875</v>
      </c>
      <c r="U14" s="13">
        <f>_xll.BDH("ALNY US Equity","INVTRY_RAW_MATERIALS","FQ2 2023","FQ2 2023","Currency=USD","Period=FQ","BEST_FPERIOD_OVERRIDE=FQ","FILING_STATUS=MR","SCALING_FORMAT=MLN","Sort=A","Dates=H","DateFormat=P","Fill=—","Direction=H","UseDPDF=Y")</f>
        <v>17.449000000000002</v>
      </c>
      <c r="V14" s="13">
        <f>_xll.BDH("ALNY US Equity","INVTRY_RAW_MATERIALS","FQ3 2023","FQ3 2023","Currency=USD","Period=FQ","BEST_FPERIOD_OVERRIDE=FQ","FILING_STATUS=MR","SCALING_FORMAT=MLN","Sort=A","Dates=H","DateFormat=P","Fill=—","Direction=H","UseDPDF=Y")</f>
        <v>20.120999999999999</v>
      </c>
      <c r="W14" s="13">
        <f>_xll.BDH("ALNY US Equity","INVTRY_RAW_MATERIALS","FQ4 2023","FQ4 2023","Currency=USD","Period=FQ","BEST_FPERIOD_OVERRIDE=FQ","FILING_STATUS=MR","SCALING_FORMAT=MLN","Sort=A","Dates=H","DateFormat=P","Fill=—","Direction=H","UseDPDF=Y")</f>
        <v>23.346</v>
      </c>
      <c r="X14" s="13">
        <f>_xll.BDH("ALNY US Equity","INVTRY_RAW_MATERIALS","FQ1 2024","FQ1 2024","Currency=USD","Period=FQ","BEST_FPERIOD_OVERRIDE=FQ","FILING_STATUS=MR","SCALING_FORMAT=MLN","Sort=A","Dates=H","DateFormat=P","Fill=—","Direction=H","UseDPDF=Y")</f>
        <v>25.401</v>
      </c>
      <c r="Y14" s="13">
        <f>_xll.BDH("ALNY US Equity","INVTRY_RAW_MATERIALS","FQ2 2024","FQ2 2024","Currency=USD","Period=FQ","BEST_FPERIOD_OVERRIDE=FQ","FILING_STATUS=MR","SCALING_FORMAT=MLN","Sort=A","Dates=H","DateFormat=P","Fill=—","Direction=H","UseDPDF=Y")</f>
        <v>26.021000000000001</v>
      </c>
      <c r="Z14" s="13">
        <f>_xll.BDH("ALNY US Equity","INVTRY_RAW_MATERIALS","FQ3 2024","FQ3 2024","Currency=USD","Period=FQ","BEST_FPERIOD_OVERRIDE=FQ","FILING_STATUS=MR","SCALING_FORMAT=MLN","Sort=A","Dates=H","DateFormat=P","Fill=—","Direction=H","UseDPDF=Y")</f>
        <v>22.364999999999998</v>
      </c>
      <c r="AA14" s="13">
        <f>_xll.BDH("ALNY US Equity","INVTRY_RAW_MATERIALS","FQ4 2024","FQ4 2024","Currency=USD","Period=FQ","BEST_FPERIOD_OVERRIDE=FQ","FILING_STATUS=MR","SCALING_FORMAT=MLN","Sort=A","Dates=H","DateFormat=P","Fill=—","Direction=H","UseDPDF=Y")</f>
        <v>23.965</v>
      </c>
    </row>
    <row r="15" spans="1:27" x14ac:dyDescent="0.25">
      <c r="A15" s="10" t="s">
        <v>690</v>
      </c>
      <c r="B15" s="10" t="s">
        <v>691</v>
      </c>
      <c r="C15" s="13">
        <f>_xll.BDH("ALNY US Equity","INVTRY_IN_PROGRESS","FQ4 2018","FQ4 2018","Currency=USD","Period=FQ","BEST_FPERIOD_OVERRIDE=FQ","FILING_STATUS=MR","SCALING_FORMAT=MLN","Sort=A","Dates=H","DateFormat=P","Fill=—","Direction=H","UseDPDF=Y")</f>
        <v>15.262</v>
      </c>
      <c r="D15" s="13">
        <f>_xll.BDH("ALNY US Equity","INVTRY_IN_PROGRESS","FQ1 2019","FQ1 2019","Currency=USD","Period=FQ","BEST_FPERIOD_OVERRIDE=FQ","FILING_STATUS=MR","SCALING_FORMAT=MLN","Sort=A","Dates=H","DateFormat=P","Fill=—","Direction=H","UseDPDF=Y")</f>
        <v>22.687000000000001</v>
      </c>
      <c r="E15" s="13">
        <f>_xll.BDH("ALNY US Equity","INVTRY_IN_PROGRESS","FQ2 2019","FQ2 2019","Currency=USD","Period=FQ","BEST_FPERIOD_OVERRIDE=FQ","FILING_STATUS=MR","SCALING_FORMAT=MLN","Sort=A","Dates=H","DateFormat=P","Fill=—","Direction=H","UseDPDF=Y")</f>
        <v>31.696000000000002</v>
      </c>
      <c r="F15" s="13">
        <f>_xll.BDH("ALNY US Equity","INVTRY_IN_PROGRESS","FQ3 2019","FQ3 2019","Currency=USD","Period=FQ","BEST_FPERIOD_OVERRIDE=FQ","FILING_STATUS=MR","SCALING_FORMAT=MLN","Sort=A","Dates=H","DateFormat=P","Fill=—","Direction=H","UseDPDF=Y")</f>
        <v>42.383000000000003</v>
      </c>
      <c r="G15" s="13">
        <f>_xll.BDH("ALNY US Equity","INVTRY_IN_PROGRESS","FQ4 2019","FQ4 2019","Currency=USD","Period=FQ","BEST_FPERIOD_OVERRIDE=FQ","FILING_STATUS=MR","SCALING_FORMAT=MLN","Sort=A","Dates=H","DateFormat=P","Fill=—","Direction=H","UseDPDF=Y")</f>
        <v>38.274999999999999</v>
      </c>
      <c r="H15" s="13">
        <f>_xll.BDH("ALNY US Equity","INVTRY_IN_PROGRESS","FQ1 2020","FQ1 2020","Currency=USD","Period=FQ","BEST_FPERIOD_OVERRIDE=FQ","FILING_STATUS=MR","SCALING_FORMAT=MLN","Sort=A","Dates=H","DateFormat=P","Fill=—","Direction=H","UseDPDF=Y")</f>
        <v>33.411999999999999</v>
      </c>
      <c r="I15" s="13">
        <f>_xll.BDH("ALNY US Equity","INVTRY_IN_PROGRESS","FQ2 2020","FQ2 2020","Currency=USD","Period=FQ","BEST_FPERIOD_OVERRIDE=FQ","FILING_STATUS=MR","SCALING_FORMAT=MLN","Sort=A","Dates=H","DateFormat=P","Fill=—","Direction=H","UseDPDF=Y")</f>
        <v>20.686</v>
      </c>
      <c r="J15" s="13" t="str">
        <f>_xll.BDH("ALNY US Equity","INVTRY_IN_PROGRESS","FQ3 2020","FQ3 2020","Currency=USD","Period=FQ","BEST_FPERIOD_OVERRIDE=FQ","FILING_STATUS=MR","SCALING_FORMAT=MLN","Sort=A","Dates=H","DateFormat=P","Fill=—","Direction=H","UseDPDF=Y")</f>
        <v>—</v>
      </c>
      <c r="K15" s="13">
        <f>_xll.BDH("ALNY US Equity","INVTRY_IN_PROGRESS","FQ4 2020","FQ4 2020","Currency=USD","Period=FQ","BEST_FPERIOD_OVERRIDE=FQ","FILING_STATUS=MR","SCALING_FORMAT=MLN","Sort=A","Dates=H","DateFormat=P","Fill=—","Direction=H","UseDPDF=Y")</f>
        <v>16.149000000000001</v>
      </c>
      <c r="L15" s="13">
        <f>_xll.BDH("ALNY US Equity","INVTRY_IN_PROGRESS","FQ1 2021","FQ1 2021","Currency=USD","Period=FQ","BEST_FPERIOD_OVERRIDE=FQ","FILING_STATUS=MR","SCALING_FORMAT=MLN","Sort=A","Dates=H","DateFormat=P","Fill=—","Direction=H","UseDPDF=Y")</f>
        <v>23.593</v>
      </c>
      <c r="M15" s="13">
        <f>_xll.BDH("ALNY US Equity","INVTRY_IN_PROGRESS","FQ2 2021","FQ2 2021","Currency=USD","Period=FQ","BEST_FPERIOD_OVERRIDE=FQ","FILING_STATUS=MR","SCALING_FORMAT=MLN","Sort=A","Dates=H","DateFormat=P","Fill=—","Direction=H","UseDPDF=Y")</f>
        <v>25.311</v>
      </c>
      <c r="N15" s="13">
        <f>_xll.BDH("ALNY US Equity","INVTRY_IN_PROGRESS","FQ3 2021","FQ3 2021","Currency=USD","Period=FQ","BEST_FPERIOD_OVERRIDE=FQ","FILING_STATUS=MR","SCALING_FORMAT=MLN","Sort=A","Dates=H","DateFormat=P","Fill=—","Direction=H","UseDPDF=Y")</f>
        <v>33.124000000000002</v>
      </c>
      <c r="O15" s="13">
        <f>_xll.BDH("ALNY US Equity","INVTRY_IN_PROGRESS","FQ4 2021","FQ4 2021","Currency=USD","Period=FQ","BEST_FPERIOD_OVERRIDE=FQ","FILING_STATUS=MR","SCALING_FORMAT=MLN","Sort=A","Dates=H","DateFormat=P","Fill=—","Direction=H","UseDPDF=Y")</f>
        <v>64.603999999999999</v>
      </c>
      <c r="P15" s="13">
        <f>_xll.BDH("ALNY US Equity","INVTRY_IN_PROGRESS","FQ1 2022","FQ1 2022","Currency=USD","Period=FQ","BEST_FPERIOD_OVERRIDE=FQ","FILING_STATUS=MR","SCALING_FORMAT=MLN","Sort=A","Dates=H","DateFormat=P","Fill=—","Direction=H","UseDPDF=Y")</f>
        <v>91.262</v>
      </c>
      <c r="Q15" s="13">
        <f>_xll.BDH("ALNY US Equity","INVTRY_IN_PROGRESS","FQ2 2022","FQ2 2022","Currency=USD","Period=FQ","BEST_FPERIOD_OVERRIDE=FQ","FILING_STATUS=MR","SCALING_FORMAT=MLN","Sort=A","Dates=H","DateFormat=P","Fill=—","Direction=H","UseDPDF=Y")</f>
        <v>100.191</v>
      </c>
      <c r="R15" s="13">
        <f>_xll.BDH("ALNY US Equity","INVTRY_IN_PROGRESS","FQ3 2022","FQ3 2022","Currency=USD","Period=FQ","BEST_FPERIOD_OVERRIDE=FQ","FILING_STATUS=MR","SCALING_FORMAT=MLN","Sort=A","Dates=H","DateFormat=P","Fill=—","Direction=H","UseDPDF=Y")</f>
        <v>102.447</v>
      </c>
      <c r="S15" s="13">
        <f>_xll.BDH("ALNY US Equity","INVTRY_IN_PROGRESS","FQ4 2022","FQ4 2022","Currency=USD","Period=FQ","BEST_FPERIOD_OVERRIDE=FQ","FILING_STATUS=MR","SCALING_FORMAT=MLN","Sort=A","Dates=H","DateFormat=P","Fill=—","Direction=H","UseDPDF=Y")</f>
        <v>113.783</v>
      </c>
      <c r="T15" s="13">
        <f>_xll.BDH("ALNY US Equity","INVTRY_IN_PROGRESS","FQ1 2023","FQ1 2023","Currency=USD","Period=FQ","BEST_FPERIOD_OVERRIDE=FQ","FILING_STATUS=MR","SCALING_FORMAT=MLN","Sort=A","Dates=H","DateFormat=P","Fill=—","Direction=H","UseDPDF=Y")</f>
        <v>110.976</v>
      </c>
      <c r="U15" s="13">
        <f>_xll.BDH("ALNY US Equity","INVTRY_IN_PROGRESS","FQ2 2023","FQ2 2023","Currency=USD","Period=FQ","BEST_FPERIOD_OVERRIDE=FQ","FILING_STATUS=MR","SCALING_FORMAT=MLN","Sort=A","Dates=H","DateFormat=P","Fill=—","Direction=H","UseDPDF=Y")</f>
        <v>116.661</v>
      </c>
      <c r="V15" s="13">
        <f>_xll.BDH("ALNY US Equity","INVTRY_IN_PROGRESS","FQ3 2023","FQ3 2023","Currency=USD","Period=FQ","BEST_FPERIOD_OVERRIDE=FQ","FILING_STATUS=MR","SCALING_FORMAT=MLN","Sort=A","Dates=H","DateFormat=P","Fill=—","Direction=H","UseDPDF=Y")</f>
        <v>88.691000000000003</v>
      </c>
      <c r="W15" s="13">
        <f>_xll.BDH("ALNY US Equity","INVTRY_IN_PROGRESS","FQ4 2023","FQ4 2023","Currency=USD","Period=FQ","BEST_FPERIOD_OVERRIDE=FQ","FILING_STATUS=MR","SCALING_FORMAT=MLN","Sort=A","Dates=H","DateFormat=P","Fill=—","Direction=H","UseDPDF=Y")</f>
        <v>76.962999999999994</v>
      </c>
      <c r="X15" s="13">
        <f>_xll.BDH("ALNY US Equity","INVTRY_IN_PROGRESS","FQ1 2024","FQ1 2024","Currency=USD","Period=FQ","BEST_FPERIOD_OVERRIDE=FQ","FILING_STATUS=MR","SCALING_FORMAT=MLN","Sort=A","Dates=H","DateFormat=P","Fill=—","Direction=H","UseDPDF=Y")</f>
        <v>76.070999999999998</v>
      </c>
      <c r="Y15" s="13">
        <f>_xll.BDH("ALNY US Equity","INVTRY_IN_PROGRESS","FQ2 2024","FQ2 2024","Currency=USD","Period=FQ","BEST_FPERIOD_OVERRIDE=FQ","FILING_STATUS=MR","SCALING_FORMAT=MLN","Sort=A","Dates=H","DateFormat=P","Fill=—","Direction=H","UseDPDF=Y")</f>
        <v>66.534999999999997</v>
      </c>
      <c r="Z15" s="13">
        <f>_xll.BDH("ALNY US Equity","INVTRY_IN_PROGRESS","FQ3 2024","FQ3 2024","Currency=USD","Period=FQ","BEST_FPERIOD_OVERRIDE=FQ","FILING_STATUS=MR","SCALING_FORMAT=MLN","Sort=A","Dates=H","DateFormat=P","Fill=—","Direction=H","UseDPDF=Y")</f>
        <v>69.864999999999995</v>
      </c>
      <c r="AA15" s="13">
        <f>_xll.BDH("ALNY US Equity","INVTRY_IN_PROGRESS","FQ4 2024","FQ4 2024","Currency=USD","Period=FQ","BEST_FPERIOD_OVERRIDE=FQ","FILING_STATUS=MR","SCALING_FORMAT=MLN","Sort=A","Dates=H","DateFormat=P","Fill=—","Direction=H","UseDPDF=Y")</f>
        <v>64.977999999999994</v>
      </c>
    </row>
    <row r="16" spans="1:27" x14ac:dyDescent="0.25">
      <c r="A16" s="10" t="s">
        <v>692</v>
      </c>
      <c r="B16" s="10" t="s">
        <v>693</v>
      </c>
      <c r="C16" s="13">
        <f>_xll.BDH("ALNY US Equity","INVTRY_FINISHED_GOODS","FQ4 2018","FQ4 2018","Currency=USD","Period=FQ","BEST_FPERIOD_OVERRIDE=FQ","FILING_STATUS=MR","SCALING_FORMAT=MLN","Sort=A","Dates=H","DateFormat=P","Fill=—","Direction=H","UseDPDF=Y")</f>
        <v>9.7000000000000003E-2</v>
      </c>
      <c r="D16" s="13">
        <f>_xll.BDH("ALNY US Equity","INVTRY_FINISHED_GOODS","FQ1 2019","FQ1 2019","Currency=USD","Period=FQ","BEST_FPERIOD_OVERRIDE=FQ","FILING_STATUS=MR","SCALING_FORMAT=MLN","Sort=A","Dates=H","DateFormat=P","Fill=—","Direction=H","UseDPDF=Y")</f>
        <v>0.13500000000000001</v>
      </c>
      <c r="E16" s="13">
        <f>_xll.BDH("ALNY US Equity","INVTRY_FINISHED_GOODS","FQ2 2019","FQ2 2019","Currency=USD","Period=FQ","BEST_FPERIOD_OVERRIDE=FQ","FILING_STATUS=MR","SCALING_FORMAT=MLN","Sort=A","Dates=H","DateFormat=P","Fill=—","Direction=H","UseDPDF=Y")</f>
        <v>0.44500000000000001</v>
      </c>
      <c r="F16" s="13">
        <f>_xll.BDH("ALNY US Equity","INVTRY_FINISHED_GOODS","FQ3 2019","FQ3 2019","Currency=USD","Period=FQ","BEST_FPERIOD_OVERRIDE=FQ","FILING_STATUS=MR","SCALING_FORMAT=MLN","Sort=A","Dates=H","DateFormat=P","Fill=—","Direction=H","UseDPDF=Y")</f>
        <v>0.57899999999999996</v>
      </c>
      <c r="G16" s="13">
        <f>_xll.BDH("ALNY US Equity","INVTRY_FINISHED_GOODS","FQ4 2019","FQ4 2019","Currency=USD","Period=FQ","BEST_FPERIOD_OVERRIDE=FQ","FILING_STATUS=MR","SCALING_FORMAT=MLN","Sort=A","Dates=H","DateFormat=P","Fill=—","Direction=H","UseDPDF=Y")</f>
        <v>2.6549999999999998</v>
      </c>
      <c r="H16" s="13">
        <f>_xll.BDH("ALNY US Equity","INVTRY_FINISHED_GOODS","FQ1 2020","FQ1 2020","Currency=USD","Period=FQ","BEST_FPERIOD_OVERRIDE=FQ","FILING_STATUS=MR","SCALING_FORMAT=MLN","Sort=A","Dates=H","DateFormat=P","Fill=—","Direction=H","UseDPDF=Y")</f>
        <v>4.226</v>
      </c>
      <c r="I16" s="13">
        <f>_xll.BDH("ALNY US Equity","INVTRY_FINISHED_GOODS","FQ2 2020","FQ2 2020","Currency=USD","Period=FQ","BEST_FPERIOD_OVERRIDE=FQ","FILING_STATUS=MR","SCALING_FORMAT=MLN","Sort=A","Dates=H","DateFormat=P","Fill=—","Direction=H","UseDPDF=Y")</f>
        <v>13.217000000000001</v>
      </c>
      <c r="J16" s="13" t="str">
        <f>_xll.BDH("ALNY US Equity","INVTRY_FINISHED_GOODS","FQ3 2020","FQ3 2020","Currency=USD","Period=FQ","BEST_FPERIOD_OVERRIDE=FQ","FILING_STATUS=MR","SCALING_FORMAT=MLN","Sort=A","Dates=H","DateFormat=P","Fill=—","Direction=H","UseDPDF=Y")</f>
        <v>—</v>
      </c>
      <c r="K16" s="13">
        <f>_xll.BDH("ALNY US Equity","INVTRY_FINISHED_GOODS","FQ4 2020","FQ4 2020","Currency=USD","Period=FQ","BEST_FPERIOD_OVERRIDE=FQ","FILING_STATUS=MR","SCALING_FORMAT=MLN","Sort=A","Dates=H","DateFormat=P","Fill=—","Direction=H","UseDPDF=Y")</f>
        <v>12.693</v>
      </c>
      <c r="L16" s="13">
        <f>_xll.BDH("ALNY US Equity","INVTRY_FINISHED_GOODS","FQ1 2021","FQ1 2021","Currency=USD","Period=FQ","BEST_FPERIOD_OVERRIDE=FQ","FILING_STATUS=MR","SCALING_FORMAT=MLN","Sort=A","Dates=H","DateFormat=P","Fill=—","Direction=H","UseDPDF=Y")</f>
        <v>13.753</v>
      </c>
      <c r="M16" s="13">
        <f>_xll.BDH("ALNY US Equity","INVTRY_FINISHED_GOODS","FQ2 2021","FQ2 2021","Currency=USD","Period=FQ","BEST_FPERIOD_OVERRIDE=FQ","FILING_STATUS=MR","SCALING_FORMAT=MLN","Sort=A","Dates=H","DateFormat=P","Fill=—","Direction=H","UseDPDF=Y")</f>
        <v>16.452999999999999</v>
      </c>
      <c r="N16" s="13">
        <f>_xll.BDH("ALNY US Equity","INVTRY_FINISHED_GOODS","FQ3 2021","FQ3 2021","Currency=USD","Period=FQ","BEST_FPERIOD_OVERRIDE=FQ","FILING_STATUS=MR","SCALING_FORMAT=MLN","Sort=A","Dates=H","DateFormat=P","Fill=—","Direction=H","UseDPDF=Y")</f>
        <v>12.667</v>
      </c>
      <c r="O16" s="13">
        <f>_xll.BDH("ALNY US Equity","INVTRY_FINISHED_GOODS","FQ4 2021","FQ4 2021","Currency=USD","Period=FQ","BEST_FPERIOD_OVERRIDE=FQ","FILING_STATUS=MR","SCALING_FORMAT=MLN","Sort=A","Dates=H","DateFormat=P","Fill=—","Direction=H","UseDPDF=Y")</f>
        <v>7.0049999999999999</v>
      </c>
      <c r="P16" s="13">
        <f>_xll.BDH("ALNY US Equity","INVTRY_FINISHED_GOODS","FQ1 2022","FQ1 2022","Currency=USD","Period=FQ","BEST_FPERIOD_OVERRIDE=FQ","FILING_STATUS=MR","SCALING_FORMAT=MLN","Sort=A","Dates=H","DateFormat=P","Fill=—","Direction=H","UseDPDF=Y")</f>
        <v>10.428000000000001</v>
      </c>
      <c r="Q16" s="13">
        <f>_xll.BDH("ALNY US Equity","INVTRY_FINISHED_GOODS","FQ2 2022","FQ2 2022","Currency=USD","Period=FQ","BEST_FPERIOD_OVERRIDE=FQ","FILING_STATUS=MR","SCALING_FORMAT=MLN","Sort=A","Dates=H","DateFormat=P","Fill=—","Direction=H","UseDPDF=Y")</f>
        <v>13.192</v>
      </c>
      <c r="R16" s="13">
        <f>_xll.BDH("ALNY US Equity","INVTRY_FINISHED_GOODS","FQ3 2022","FQ3 2022","Currency=USD","Period=FQ","BEST_FPERIOD_OVERRIDE=FQ","FILING_STATUS=MR","SCALING_FORMAT=MLN","Sort=A","Dates=H","DateFormat=P","Fill=—","Direction=H","UseDPDF=Y")</f>
        <v>21.483000000000001</v>
      </c>
      <c r="S16" s="13">
        <f>_xll.BDH("ALNY US Equity","INVTRY_FINISHED_GOODS","FQ4 2022","FQ4 2022","Currency=USD","Period=FQ","BEST_FPERIOD_OVERRIDE=FQ","FILING_STATUS=MR","SCALING_FORMAT=MLN","Sort=A","Dates=H","DateFormat=P","Fill=—","Direction=H","UseDPDF=Y")</f>
        <v>25.606000000000002</v>
      </c>
      <c r="T16" s="13">
        <f>_xll.BDH("ALNY US Equity","INVTRY_FINISHED_GOODS","FQ1 2023","FQ1 2023","Currency=USD","Period=FQ","BEST_FPERIOD_OVERRIDE=FQ","FILING_STATUS=MR","SCALING_FORMAT=MLN","Sort=A","Dates=H","DateFormat=P","Fill=—","Direction=H","UseDPDF=Y")</f>
        <v>29.533999999999999</v>
      </c>
      <c r="U16" s="13">
        <f>_xll.BDH("ALNY US Equity","INVTRY_FINISHED_GOODS","FQ2 2023","FQ2 2023","Currency=USD","Period=FQ","BEST_FPERIOD_OVERRIDE=FQ","FILING_STATUS=MR","SCALING_FORMAT=MLN","Sort=A","Dates=H","DateFormat=P","Fill=—","Direction=H","UseDPDF=Y")</f>
        <v>28.504999999999999</v>
      </c>
      <c r="V16" s="13">
        <f>_xll.BDH("ALNY US Equity","INVTRY_FINISHED_GOODS","FQ3 2023","FQ3 2023","Currency=USD","Period=FQ","BEST_FPERIOD_OVERRIDE=FQ","FILING_STATUS=MR","SCALING_FORMAT=MLN","Sort=A","Dates=H","DateFormat=P","Fill=—","Direction=H","UseDPDF=Y")</f>
        <v>27.658000000000001</v>
      </c>
      <c r="W16" s="13">
        <f>_xll.BDH("ALNY US Equity","INVTRY_FINISHED_GOODS","FQ4 2023","FQ4 2023","Currency=USD","Period=FQ","BEST_FPERIOD_OVERRIDE=FQ","FILING_STATUS=MR","SCALING_FORMAT=MLN","Sort=A","Dates=H","DateFormat=P","Fill=—","Direction=H","UseDPDF=Y")</f>
        <v>25.123000000000001</v>
      </c>
      <c r="X16" s="13">
        <f>_xll.BDH("ALNY US Equity","INVTRY_FINISHED_GOODS","FQ1 2024","FQ1 2024","Currency=USD","Period=FQ","BEST_FPERIOD_OVERRIDE=FQ","FILING_STATUS=MR","SCALING_FORMAT=MLN","Sort=A","Dates=H","DateFormat=P","Fill=—","Direction=H","UseDPDF=Y")</f>
        <v>24.818999999999999</v>
      </c>
      <c r="Y16" s="13">
        <f>_xll.BDH("ALNY US Equity","INVTRY_FINISHED_GOODS","FQ2 2024","FQ2 2024","Currency=USD","Period=FQ","BEST_FPERIOD_OVERRIDE=FQ","FILING_STATUS=MR","SCALING_FORMAT=MLN","Sort=A","Dates=H","DateFormat=P","Fill=—","Direction=H","UseDPDF=Y")</f>
        <v>27.855</v>
      </c>
      <c r="Z16" s="13">
        <f>_xll.BDH("ALNY US Equity","INVTRY_FINISHED_GOODS","FQ3 2024","FQ3 2024","Currency=USD","Period=FQ","BEST_FPERIOD_OVERRIDE=FQ","FILING_STATUS=MR","SCALING_FORMAT=MLN","Sort=A","Dates=H","DateFormat=P","Fill=—","Direction=H","UseDPDF=Y")</f>
        <v>23.126000000000001</v>
      </c>
      <c r="AA16" s="13">
        <f>_xll.BDH("ALNY US Equity","INVTRY_FINISHED_GOODS","FQ4 2024","FQ4 2024","Currency=USD","Period=FQ","BEST_FPERIOD_OVERRIDE=FQ","FILING_STATUS=MR","SCALING_FORMAT=MLN","Sort=A","Dates=H","DateFormat=P","Fill=—","Direction=H","UseDPDF=Y")</f>
        <v>26.433</v>
      </c>
    </row>
    <row r="17" spans="1:27" x14ac:dyDescent="0.25">
      <c r="A17" s="10" t="s">
        <v>694</v>
      </c>
      <c r="B17" s="10" t="s">
        <v>695</v>
      </c>
      <c r="C17" s="13">
        <f>_xll.BDH("ALNY US Equity","BS_OTHER_INV","FQ4 2018","FQ4 2018","Currency=USD","Period=FQ","BEST_FPERIOD_OVERRIDE=FQ","FILING_STATUS=MR","SCALING_FORMAT=MLN","Sort=A","Dates=H","DateFormat=P","Fill=—","Direction=H","UseDPDF=Y")</f>
        <v>0</v>
      </c>
      <c r="D17" s="13">
        <f>_xll.BDH("ALNY US Equity","BS_OTHER_INV","FQ1 2019","FQ1 2019","Currency=USD","Period=FQ","BEST_FPERIOD_OVERRIDE=FQ","FILING_STATUS=MR","SCALING_FORMAT=MLN","Sort=A","Dates=H","DateFormat=P","Fill=—","Direction=H","UseDPDF=Y")</f>
        <v>0</v>
      </c>
      <c r="E17" s="13">
        <f>_xll.BDH("ALNY US Equity","BS_OTHER_INV","FQ2 2019","FQ2 2019","Currency=USD","Period=FQ","BEST_FPERIOD_OVERRIDE=FQ","FILING_STATUS=MR","SCALING_FORMAT=MLN","Sort=A","Dates=H","DateFormat=P","Fill=—","Direction=H","UseDPDF=Y")</f>
        <v>0</v>
      </c>
      <c r="F17" s="13">
        <f>_xll.BDH("ALNY US Equity","BS_OTHER_INV","FQ3 2019","FQ3 2019","Currency=USD","Period=FQ","BEST_FPERIOD_OVERRIDE=FQ","FILING_STATUS=MR","SCALING_FORMAT=MLN","Sort=A","Dates=H","DateFormat=P","Fill=—","Direction=H","UseDPDF=Y")</f>
        <v>0</v>
      </c>
      <c r="G17" s="13">
        <f>_xll.BDH("ALNY US Equity","BS_OTHER_INV","FQ4 2019","FQ4 2019","Currency=USD","Period=FQ","BEST_FPERIOD_OVERRIDE=FQ","FILING_STATUS=MR","SCALING_FORMAT=MLN","Sort=A","Dates=H","DateFormat=P","Fill=—","Direction=H","UseDPDF=Y")</f>
        <v>0</v>
      </c>
      <c r="H17" s="13">
        <f>_xll.BDH("ALNY US Equity","BS_OTHER_INV","FQ1 2020","FQ1 2020","Currency=USD","Period=FQ","BEST_FPERIOD_OVERRIDE=FQ","FILING_STATUS=MR","SCALING_FORMAT=MLN","Sort=A","Dates=H","DateFormat=P","Fill=—","Direction=H","UseDPDF=Y")</f>
        <v>0</v>
      </c>
      <c r="I17" s="13">
        <f>_xll.BDH("ALNY US Equity","BS_OTHER_INV","FQ2 2020","FQ2 2020","Currency=USD","Period=FQ","BEST_FPERIOD_OVERRIDE=FQ","FILING_STATUS=MR","SCALING_FORMAT=MLN","Sort=A","Dates=H","DateFormat=P","Fill=—","Direction=H","UseDPDF=Y")</f>
        <v>0</v>
      </c>
      <c r="J17" s="13">
        <f>_xll.BDH("ALNY US Equity","BS_OTHER_INV","FQ3 2020","FQ3 2020","Currency=USD","Period=FQ","BEST_FPERIOD_OVERRIDE=FQ","FILING_STATUS=MR","SCALING_FORMAT=MLN","Sort=A","Dates=H","DateFormat=P","Fill=—","Direction=H","UseDPDF=Y")</f>
        <v>0</v>
      </c>
      <c r="K17" s="13">
        <f>_xll.BDH("ALNY US Equity","BS_OTHER_INV","FQ4 2020","FQ4 2020","Currency=USD","Period=FQ","BEST_FPERIOD_OVERRIDE=FQ","FILING_STATUS=MR","SCALING_FORMAT=MLN","Sort=A","Dates=H","DateFormat=P","Fill=—","Direction=H","UseDPDF=Y")</f>
        <v>0</v>
      </c>
      <c r="L17" s="13">
        <f>_xll.BDH("ALNY US Equity","BS_OTHER_INV","FQ1 2021","FQ1 2021","Currency=USD","Period=FQ","BEST_FPERIOD_OVERRIDE=FQ","FILING_STATUS=MR","SCALING_FORMAT=MLN","Sort=A","Dates=H","DateFormat=P","Fill=—","Direction=H","UseDPDF=Y")</f>
        <v>-17.100000000000001</v>
      </c>
      <c r="M17" s="13">
        <f>_xll.BDH("ALNY US Equity","BS_OTHER_INV","FQ2 2021","FQ2 2021","Currency=USD","Period=FQ","BEST_FPERIOD_OVERRIDE=FQ","FILING_STATUS=MR","SCALING_FORMAT=MLN","Sort=A","Dates=H","DateFormat=P","Fill=—","Direction=H","UseDPDF=Y")</f>
        <v>-11.75</v>
      </c>
      <c r="N17" s="13">
        <f>_xll.BDH("ALNY US Equity","BS_OTHER_INV","FQ3 2021","FQ3 2021","Currency=USD","Period=FQ","BEST_FPERIOD_OVERRIDE=FQ","FILING_STATUS=MR","SCALING_FORMAT=MLN","Sort=A","Dates=H","DateFormat=P","Fill=—","Direction=H","UseDPDF=Y")</f>
        <v>-13.05</v>
      </c>
      <c r="O17" s="13">
        <f>_xll.BDH("ALNY US Equity","BS_OTHER_INV","FQ4 2021","FQ4 2021","Currency=USD","Period=FQ","BEST_FPERIOD_OVERRIDE=FQ","FILING_STATUS=MR","SCALING_FORMAT=MLN","Sort=A","Dates=H","DateFormat=P","Fill=—","Direction=H","UseDPDF=Y")</f>
        <v>0</v>
      </c>
      <c r="P17" s="13">
        <f>_xll.BDH("ALNY US Equity","BS_OTHER_INV","FQ1 2022","FQ1 2022","Currency=USD","Period=FQ","BEST_FPERIOD_OVERRIDE=FQ","FILING_STATUS=MR","SCALING_FORMAT=MLN","Sort=A","Dates=H","DateFormat=P","Fill=—","Direction=H","UseDPDF=Y")</f>
        <v>-43.545999999999999</v>
      </c>
      <c r="Q17" s="13">
        <f>_xll.BDH("ALNY US Equity","BS_OTHER_INV","FQ2 2022","FQ2 2022","Currency=USD","Period=FQ","BEST_FPERIOD_OVERRIDE=FQ","FILING_STATUS=MR","SCALING_FORMAT=MLN","Sort=A","Dates=H","DateFormat=P","Fill=—","Direction=H","UseDPDF=Y")</f>
        <v>-43.546999999999997</v>
      </c>
      <c r="R17" s="13">
        <f>_xll.BDH("ALNY US Equity","BS_OTHER_INV","FQ3 2022","FQ3 2022","Currency=USD","Period=FQ","BEST_FPERIOD_OVERRIDE=FQ","FILING_STATUS=MR","SCALING_FORMAT=MLN","Sort=A","Dates=H","DateFormat=P","Fill=—","Direction=H","UseDPDF=Y")</f>
        <v>-26.158999999999999</v>
      </c>
      <c r="S17" s="13">
        <f>_xll.BDH("ALNY US Equity","BS_OTHER_INV","FQ4 2022","FQ4 2022","Currency=USD","Period=FQ","BEST_FPERIOD_OVERRIDE=FQ","FILING_STATUS=MR","SCALING_FORMAT=MLN","Sort=A","Dates=H","DateFormat=P","Fill=—","Direction=H","UseDPDF=Y")</f>
        <v>-32.741999999999997</v>
      </c>
      <c r="T17" s="13">
        <f>_xll.BDH("ALNY US Equity","BS_OTHER_INV","FQ1 2023","FQ1 2023","Currency=USD","Period=FQ","BEST_FPERIOD_OVERRIDE=FQ","FILING_STATUS=MR","SCALING_FORMAT=MLN","Sort=A","Dates=H","DateFormat=P","Fill=—","Direction=H","UseDPDF=Y")</f>
        <v>-31.506</v>
      </c>
      <c r="U17" s="13">
        <f>_xll.BDH("ALNY US Equity","BS_OTHER_INV","FQ2 2023","FQ2 2023","Currency=USD","Period=FQ","BEST_FPERIOD_OVERRIDE=FQ","FILING_STATUS=MR","SCALING_FORMAT=MLN","Sort=A","Dates=H","DateFormat=P","Fill=—","Direction=H","UseDPDF=Y")</f>
        <v>-62.161999999999999</v>
      </c>
      <c r="V17" s="13">
        <f>_xll.BDH("ALNY US Equity","BS_OTHER_INV","FQ3 2023","FQ3 2023","Currency=USD","Period=FQ","BEST_FPERIOD_OVERRIDE=FQ","FILING_STATUS=MR","SCALING_FORMAT=MLN","Sort=A","Dates=H","DateFormat=P","Fill=—","Direction=H","UseDPDF=Y")</f>
        <v>-40.698999999999998</v>
      </c>
      <c r="W17" s="13">
        <f>_xll.BDH("ALNY US Equity","BS_OTHER_INV","FQ4 2023","FQ4 2023","Currency=USD","Period=FQ","BEST_FPERIOD_OVERRIDE=FQ","FILING_STATUS=MR","SCALING_FORMAT=MLN","Sort=A","Dates=H","DateFormat=P","Fill=—","Direction=H","UseDPDF=Y")</f>
        <v>-36.286000000000001</v>
      </c>
      <c r="X17" s="13">
        <f>_xll.BDH("ALNY US Equity","BS_OTHER_INV","FQ1 2024","FQ1 2024","Currency=USD","Period=FQ","BEST_FPERIOD_OVERRIDE=FQ","FILING_STATUS=MR","SCALING_FORMAT=MLN","Sort=A","Dates=H","DateFormat=P","Fill=—","Direction=H","UseDPDF=Y")</f>
        <v>-32.302999999999997</v>
      </c>
      <c r="Y17" s="13">
        <f>_xll.BDH("ALNY US Equity","BS_OTHER_INV","FQ2 2024","FQ2 2024","Currency=USD","Period=FQ","BEST_FPERIOD_OVERRIDE=FQ","FILING_STATUS=MR","SCALING_FORMAT=MLN","Sort=A","Dates=H","DateFormat=P","Fill=—","Direction=H","UseDPDF=Y")</f>
        <v>-36.43</v>
      </c>
      <c r="Z17" s="13">
        <f>_xll.BDH("ALNY US Equity","BS_OTHER_INV","FQ3 2024","FQ3 2024","Currency=USD","Period=FQ","BEST_FPERIOD_OVERRIDE=FQ","FILING_STATUS=MR","SCALING_FORMAT=MLN","Sort=A","Dates=H","DateFormat=P","Fill=—","Direction=H","UseDPDF=Y")</f>
        <v>-39.369</v>
      </c>
      <c r="AA17" s="13">
        <f>_xll.BDH("ALNY US Equity","BS_OTHER_INV","FQ4 2024","FQ4 2024","Currency=USD","Period=FQ","BEST_FPERIOD_OVERRIDE=FQ","FILING_STATUS=MR","SCALING_FORMAT=MLN","Sort=A","Dates=H","DateFormat=P","Fill=—","Direction=H","UseDPDF=Y")</f>
        <v>-36.866999999999997</v>
      </c>
    </row>
    <row r="18" spans="1:27" x14ac:dyDescent="0.25">
      <c r="A18" s="10" t="s">
        <v>696</v>
      </c>
      <c r="B18" s="10" t="s">
        <v>697</v>
      </c>
      <c r="C18" s="13">
        <f>_xll.BDH("ALNY US Equity","OTHER_CURRENT_ASSETS_DETAILED","FQ4 2018","FQ4 2018","Currency=USD","Period=FQ","BEST_FPERIOD_OVERRIDE=FQ","FILING_STATUS=MR","SCALING_FORMAT=MLN","Sort=A","Dates=H","DateFormat=P","Fill=—","Direction=H","UseDPDF=Y")</f>
        <v>73.712999999999994</v>
      </c>
      <c r="D18" s="13">
        <f>_xll.BDH("ALNY US Equity","OTHER_CURRENT_ASSETS_DETAILED","FQ1 2019","FQ1 2019","Currency=USD","Period=FQ","BEST_FPERIOD_OVERRIDE=FQ","FILING_STATUS=MR","SCALING_FORMAT=MLN","Sort=A","Dates=H","DateFormat=P","Fill=—","Direction=H","UseDPDF=Y")</f>
        <v>81.674000000000007</v>
      </c>
      <c r="E18" s="13">
        <f>_xll.BDH("ALNY US Equity","OTHER_CURRENT_ASSETS_DETAILED","FQ2 2019","FQ2 2019","Currency=USD","Period=FQ","BEST_FPERIOD_OVERRIDE=FQ","FILING_STATUS=MR","SCALING_FORMAT=MLN","Sort=A","Dates=H","DateFormat=P","Fill=—","Direction=H","UseDPDF=Y")</f>
        <v>65.616</v>
      </c>
      <c r="F18" s="13">
        <f>_xll.BDH("ALNY US Equity","OTHER_CURRENT_ASSETS_DETAILED","FQ3 2019","FQ3 2019","Currency=USD","Period=FQ","BEST_FPERIOD_OVERRIDE=FQ","FILING_STATUS=MR","SCALING_FORMAT=MLN","Sort=A","Dates=H","DateFormat=P","Fill=—","Direction=H","UseDPDF=Y")</f>
        <v>73.536000000000001</v>
      </c>
      <c r="G18" s="13">
        <f>_xll.BDH("ALNY US Equity","OTHER_CURRENT_ASSETS_DETAILED","FQ4 2019","FQ4 2019","Currency=USD","Period=FQ","BEST_FPERIOD_OVERRIDE=FQ","FILING_STATUS=MR","SCALING_FORMAT=MLN","Sort=A","Dates=H","DateFormat=P","Fill=—","Direction=H","UseDPDF=Y")</f>
        <v>80.343000000000004</v>
      </c>
      <c r="H18" s="13">
        <f>_xll.BDH("ALNY US Equity","OTHER_CURRENT_ASSETS_DETAILED","FQ1 2020","FQ1 2020","Currency=USD","Period=FQ","BEST_FPERIOD_OVERRIDE=FQ","FILING_STATUS=MR","SCALING_FORMAT=MLN","Sort=A","Dates=H","DateFormat=P","Fill=—","Direction=H","UseDPDF=Y")</f>
        <v>98.697999999999993</v>
      </c>
      <c r="I18" s="13">
        <f>_xll.BDH("ALNY US Equity","OTHER_CURRENT_ASSETS_DETAILED","FQ2 2020","FQ2 2020","Currency=USD","Period=FQ","BEST_FPERIOD_OVERRIDE=FQ","FILING_STATUS=MR","SCALING_FORMAT=MLN","Sort=A","Dates=H","DateFormat=P","Fill=—","Direction=H","UseDPDF=Y")</f>
        <v>88.349000000000004</v>
      </c>
      <c r="J18" s="13">
        <f>_xll.BDH("ALNY US Equity","OTHER_CURRENT_ASSETS_DETAILED","FQ3 2020","FQ3 2020","Currency=USD","Period=FQ","BEST_FPERIOD_OVERRIDE=FQ","FILING_STATUS=MR","SCALING_FORMAT=MLN","Sort=A","Dates=H","DateFormat=P","Fill=—","Direction=H","UseDPDF=Y")</f>
        <v>574.76599999999996</v>
      </c>
      <c r="K18" s="13">
        <f>_xll.BDH("ALNY US Equity","OTHER_CURRENT_ASSETS_DETAILED","FQ4 2020","FQ4 2020","Currency=USD","Period=FQ","BEST_FPERIOD_OVERRIDE=FQ","FILING_STATUS=MR","SCALING_FORMAT=MLN","Sort=A","Dates=H","DateFormat=P","Fill=—","Direction=H","UseDPDF=Y")</f>
        <v>562.76700000000005</v>
      </c>
      <c r="L18" s="13">
        <f>_xll.BDH("ALNY US Equity","OTHER_CURRENT_ASSETS_DETAILED","FQ1 2021","FQ1 2021","Currency=USD","Period=FQ","BEST_FPERIOD_OVERRIDE=FQ","FILING_STATUS=MR","SCALING_FORMAT=MLN","Sort=A","Dates=H","DateFormat=P","Fill=—","Direction=H","UseDPDF=Y")</f>
        <v>575.98</v>
      </c>
      <c r="M18" s="13">
        <f>_xll.BDH("ALNY US Equity","OTHER_CURRENT_ASSETS_DETAILED","FQ2 2021","FQ2 2021","Currency=USD","Period=FQ","BEST_FPERIOD_OVERRIDE=FQ","FILING_STATUS=MR","SCALING_FORMAT=MLN","Sort=A","Dates=H","DateFormat=P","Fill=—","Direction=H","UseDPDF=Y")</f>
        <v>594.13599999999997</v>
      </c>
      <c r="N18" s="13">
        <f>_xll.BDH("ALNY US Equity","OTHER_CURRENT_ASSETS_DETAILED","FQ3 2021","FQ3 2021","Currency=USD","Period=FQ","BEST_FPERIOD_OVERRIDE=FQ","FILING_STATUS=MR","SCALING_FORMAT=MLN","Sort=A","Dates=H","DateFormat=P","Fill=—","Direction=H","UseDPDF=Y")</f>
        <v>108.53400000000001</v>
      </c>
      <c r="O18" s="13">
        <f>_xll.BDH("ALNY US Equity","OTHER_CURRENT_ASSETS_DETAILED","FQ4 2021","FQ4 2021","Currency=USD","Period=FQ","BEST_FPERIOD_OVERRIDE=FQ","FILING_STATUS=MR","SCALING_FORMAT=MLN","Sort=A","Dates=H","DateFormat=P","Fill=—","Direction=H","UseDPDF=Y")</f>
        <v>88.078000000000003</v>
      </c>
      <c r="P18" s="13">
        <f>_xll.BDH("ALNY US Equity","OTHER_CURRENT_ASSETS_DETAILED","FQ1 2022","FQ1 2022","Currency=USD","Period=FQ","BEST_FPERIOD_OVERRIDE=FQ","FILING_STATUS=MR","SCALING_FORMAT=MLN","Sort=A","Dates=H","DateFormat=P","Fill=—","Direction=H","UseDPDF=Y")</f>
        <v>115.065</v>
      </c>
      <c r="Q18" s="13">
        <f>_xll.BDH("ALNY US Equity","OTHER_CURRENT_ASSETS_DETAILED","FQ2 2022","FQ2 2022","Currency=USD","Period=FQ","BEST_FPERIOD_OVERRIDE=FQ","FILING_STATUS=MR","SCALING_FORMAT=MLN","Sort=A","Dates=H","DateFormat=P","Fill=—","Direction=H","UseDPDF=Y")</f>
        <v>129.77799999999999</v>
      </c>
      <c r="R18" s="13">
        <f>_xll.BDH("ALNY US Equity","OTHER_CURRENT_ASSETS_DETAILED","FQ3 2022","FQ3 2022","Currency=USD","Period=FQ","BEST_FPERIOD_OVERRIDE=FQ","FILING_STATUS=MR","SCALING_FORMAT=MLN","Sort=A","Dates=H","DateFormat=P","Fill=—","Direction=H","UseDPDF=Y")</f>
        <v>125.51600000000001</v>
      </c>
      <c r="S18" s="13">
        <f>_xll.BDH("ALNY US Equity","OTHER_CURRENT_ASSETS_DETAILED","FQ4 2022","FQ4 2022","Currency=USD","Period=FQ","BEST_FPERIOD_OVERRIDE=FQ","FILING_STATUS=MR","SCALING_FORMAT=MLN","Sort=A","Dates=H","DateFormat=P","Fill=—","Direction=H","UseDPDF=Y")</f>
        <v>132.916</v>
      </c>
      <c r="T18" s="13">
        <f>_xll.BDH("ALNY US Equity","OTHER_CURRENT_ASSETS_DETAILED","FQ1 2023","FQ1 2023","Currency=USD","Period=FQ","BEST_FPERIOD_OVERRIDE=FQ","FILING_STATUS=MR","SCALING_FORMAT=MLN","Sort=A","Dates=H","DateFormat=P","Fill=—","Direction=H","UseDPDF=Y")</f>
        <v>119.03</v>
      </c>
      <c r="U18" s="13">
        <f>_xll.BDH("ALNY US Equity","OTHER_CURRENT_ASSETS_DETAILED","FQ2 2023","FQ2 2023","Currency=USD","Period=FQ","BEST_FPERIOD_OVERRIDE=FQ","FILING_STATUS=MR","SCALING_FORMAT=MLN","Sort=A","Dates=H","DateFormat=P","Fill=—","Direction=H","UseDPDF=Y")</f>
        <v>145.452</v>
      </c>
      <c r="V18" s="13">
        <f>_xll.BDH("ALNY US Equity","OTHER_CURRENT_ASSETS_DETAILED","FQ3 2023","FQ3 2023","Currency=USD","Period=FQ","BEST_FPERIOD_OVERRIDE=FQ","FILING_STATUS=MR","SCALING_FORMAT=MLN","Sort=A","Dates=H","DateFormat=P","Fill=—","Direction=H","UseDPDF=Y")</f>
        <v>157.958</v>
      </c>
      <c r="W18" s="13">
        <f>_xll.BDH("ALNY US Equity","OTHER_CURRENT_ASSETS_DETAILED","FQ4 2023","FQ4 2023","Currency=USD","Period=FQ","BEST_FPERIOD_OVERRIDE=FQ","FILING_STATUS=MR","SCALING_FORMAT=MLN","Sort=A","Dates=H","DateFormat=P","Fill=—","Direction=H","UseDPDF=Y")</f>
        <v>126.38200000000001</v>
      </c>
      <c r="X18" s="13">
        <f>_xll.BDH("ALNY US Equity","OTHER_CURRENT_ASSETS_DETAILED","FQ1 2024","FQ1 2024","Currency=USD","Period=FQ","BEST_FPERIOD_OVERRIDE=FQ","FILING_STATUS=MR","SCALING_FORMAT=MLN","Sort=A","Dates=H","DateFormat=P","Fill=—","Direction=H","UseDPDF=Y")</f>
        <v>201.96</v>
      </c>
      <c r="Y18" s="13">
        <f>_xll.BDH("ALNY US Equity","OTHER_CURRENT_ASSETS_DETAILED","FQ2 2024","FQ2 2024","Currency=USD","Period=FQ","BEST_FPERIOD_OVERRIDE=FQ","FILING_STATUS=MR","SCALING_FORMAT=MLN","Sort=A","Dates=H","DateFormat=P","Fill=—","Direction=H","UseDPDF=Y")</f>
        <v>154.745</v>
      </c>
      <c r="Z18" s="13">
        <f>_xll.BDH("ALNY US Equity","OTHER_CURRENT_ASSETS_DETAILED","FQ3 2024","FQ3 2024","Currency=USD","Period=FQ","BEST_FPERIOD_OVERRIDE=FQ","FILING_STATUS=MR","SCALING_FORMAT=MLN","Sort=A","Dates=H","DateFormat=P","Fill=—","Direction=H","UseDPDF=Y")</f>
        <v>145.35</v>
      </c>
      <c r="AA18" s="13">
        <f>_xll.BDH("ALNY US Equity","OTHER_CURRENT_ASSETS_DETAILED","FQ4 2024","FQ4 2024","Currency=USD","Period=FQ","BEST_FPERIOD_OVERRIDE=FQ","FILING_STATUS=MR","SCALING_FORMAT=MLN","Sort=A","Dates=H","DateFormat=P","Fill=—","Direction=H","UseDPDF=Y")</f>
        <v>116.964</v>
      </c>
    </row>
    <row r="19" spans="1:27" x14ac:dyDescent="0.25">
      <c r="A19" s="10" t="s">
        <v>698</v>
      </c>
      <c r="B19" s="10" t="s">
        <v>699</v>
      </c>
      <c r="C19" s="13">
        <f>_xll.BDH("ALNY US Equity","BS_DERIV_HEDGING_ASST_ST","FQ4 2018","FQ4 2018","Currency=USD","Period=FQ","BEST_FPERIOD_OVERRIDE=FQ","FILING_STATUS=MR","SCALING_FORMAT=MLN","Sort=A","Dates=H","DateFormat=P","Fill=—","Direction=H","UseDPDF=Y")</f>
        <v>0</v>
      </c>
      <c r="D19" s="13" t="str">
        <f>_xll.BDH("ALNY US Equity","BS_DERIV_HEDGING_ASST_ST","FQ1 2019","FQ1 2019","Currency=USD","Period=FQ","BEST_FPERIOD_OVERRIDE=FQ","FILING_STATUS=MR","SCALING_FORMAT=MLN","Sort=A","Dates=H","DateFormat=P","Fill=—","Direction=H","UseDPDF=Y")</f>
        <v>—</v>
      </c>
      <c r="E19" s="13" t="str">
        <f>_xll.BDH("ALNY US Equity","BS_DERIV_HEDGING_ASST_ST","FQ2 2019","FQ2 2019","Currency=USD","Period=FQ","BEST_FPERIOD_OVERRIDE=FQ","FILING_STATUS=MR","SCALING_FORMAT=MLN","Sort=A","Dates=H","DateFormat=P","Fill=—","Direction=H","UseDPDF=Y")</f>
        <v>—</v>
      </c>
      <c r="F19" s="13" t="str">
        <f>_xll.BDH("ALNY US Equity","BS_DERIV_HEDGING_ASST_ST","FQ3 2019","FQ3 2019","Currency=USD","Period=FQ","BEST_FPERIOD_OVERRIDE=FQ","FILING_STATUS=MR","SCALING_FORMAT=MLN","Sort=A","Dates=H","DateFormat=P","Fill=—","Direction=H","UseDPDF=Y")</f>
        <v>—</v>
      </c>
      <c r="G19" s="13">
        <f>_xll.BDH("ALNY US Equity","BS_DERIV_HEDGING_ASST_ST","FQ4 2019","FQ4 2019","Currency=USD","Period=FQ","BEST_FPERIOD_OVERRIDE=FQ","FILING_STATUS=MR","SCALING_FORMAT=MLN","Sort=A","Dates=H","DateFormat=P","Fill=—","Direction=H","UseDPDF=Y")</f>
        <v>0</v>
      </c>
      <c r="H19" s="13" t="str">
        <f>_xll.BDH("ALNY US Equity","BS_DERIV_HEDGING_ASST_ST","FQ1 2020","FQ1 2020","Currency=USD","Period=FQ","BEST_FPERIOD_OVERRIDE=FQ","FILING_STATUS=MR","SCALING_FORMAT=MLN","Sort=A","Dates=H","DateFormat=P","Fill=—","Direction=H","UseDPDF=Y")</f>
        <v>—</v>
      </c>
      <c r="I19" s="13" t="str">
        <f>_xll.BDH("ALNY US Equity","BS_DERIV_HEDGING_ASST_ST","FQ2 2020","FQ2 2020","Currency=USD","Period=FQ","BEST_FPERIOD_OVERRIDE=FQ","FILING_STATUS=MR","SCALING_FORMAT=MLN","Sort=A","Dates=H","DateFormat=P","Fill=—","Direction=H","UseDPDF=Y")</f>
        <v>—</v>
      </c>
      <c r="J19" s="13" t="str">
        <f>_xll.BDH("ALNY US Equity","BS_DERIV_HEDGING_ASST_ST","FQ3 2020","FQ3 2020","Currency=USD","Period=FQ","BEST_FPERIOD_OVERRIDE=FQ","FILING_STATUS=MR","SCALING_FORMAT=MLN","Sort=A","Dates=H","DateFormat=P","Fill=—","Direction=H","UseDPDF=Y")</f>
        <v>—</v>
      </c>
      <c r="K19" s="13">
        <f>_xll.BDH("ALNY US Equity","BS_DERIV_HEDGING_ASST_ST","FQ4 2020","FQ4 2020","Currency=USD","Period=FQ","BEST_FPERIOD_OVERRIDE=FQ","FILING_STATUS=MR","SCALING_FORMAT=MLN","Sort=A","Dates=H","DateFormat=P","Fill=—","Direction=H","UseDPDF=Y")</f>
        <v>0</v>
      </c>
      <c r="L19" s="13" t="str">
        <f>_xll.BDH("ALNY US Equity","BS_DERIV_HEDGING_ASST_ST","FQ1 2021","FQ1 2021","Currency=USD","Period=FQ","BEST_FPERIOD_OVERRIDE=FQ","FILING_STATUS=MR","SCALING_FORMAT=MLN","Sort=A","Dates=H","DateFormat=P","Fill=—","Direction=H","UseDPDF=Y")</f>
        <v>—</v>
      </c>
      <c r="M19" s="13" t="str">
        <f>_xll.BDH("ALNY US Equity","BS_DERIV_HEDGING_ASST_ST","FQ2 2021","FQ2 2021","Currency=USD","Period=FQ","BEST_FPERIOD_OVERRIDE=FQ","FILING_STATUS=MR","SCALING_FORMAT=MLN","Sort=A","Dates=H","DateFormat=P","Fill=—","Direction=H","UseDPDF=Y")</f>
        <v>—</v>
      </c>
      <c r="N19" s="13" t="str">
        <f>_xll.BDH("ALNY US Equity","BS_DERIV_HEDGING_ASST_ST","FQ3 2021","FQ3 2021","Currency=USD","Period=FQ","BEST_FPERIOD_OVERRIDE=FQ","FILING_STATUS=MR","SCALING_FORMAT=MLN","Sort=A","Dates=H","DateFormat=P","Fill=—","Direction=H","UseDPDF=Y")</f>
        <v>—</v>
      </c>
      <c r="O19" s="13">
        <f>_xll.BDH("ALNY US Equity","BS_DERIV_HEDGING_ASST_ST","FQ4 2021","FQ4 2021","Currency=USD","Period=FQ","BEST_FPERIOD_OVERRIDE=FQ","FILING_STATUS=MR","SCALING_FORMAT=MLN","Sort=A","Dates=H","DateFormat=P","Fill=—","Direction=H","UseDPDF=Y")</f>
        <v>0</v>
      </c>
      <c r="P19" s="13" t="str">
        <f>_xll.BDH("ALNY US Equity","BS_DERIV_HEDGING_ASST_ST","FQ1 2022","FQ1 2022","Currency=USD","Period=FQ","BEST_FPERIOD_OVERRIDE=FQ","FILING_STATUS=MR","SCALING_FORMAT=MLN","Sort=A","Dates=H","DateFormat=P","Fill=—","Direction=H","UseDPDF=Y")</f>
        <v>—</v>
      </c>
      <c r="Q19" s="13" t="str">
        <f>_xll.BDH("ALNY US Equity","BS_DERIV_HEDGING_ASST_ST","FQ2 2022","FQ2 2022","Currency=USD","Period=FQ","BEST_FPERIOD_OVERRIDE=FQ","FILING_STATUS=MR","SCALING_FORMAT=MLN","Sort=A","Dates=H","DateFormat=P","Fill=—","Direction=H","UseDPDF=Y")</f>
        <v>—</v>
      </c>
      <c r="R19" s="13" t="str">
        <f>_xll.BDH("ALNY US Equity","BS_DERIV_HEDGING_ASST_ST","FQ3 2022","FQ3 2022","Currency=USD","Period=FQ","BEST_FPERIOD_OVERRIDE=FQ","FILING_STATUS=MR","SCALING_FORMAT=MLN","Sort=A","Dates=H","DateFormat=P","Fill=—","Direction=H","UseDPDF=Y")</f>
        <v>—</v>
      </c>
      <c r="S19" s="13">
        <f>_xll.BDH("ALNY US Equity","BS_DERIV_HEDGING_ASST_ST","FQ4 2022","FQ4 2022","Currency=USD","Period=FQ","BEST_FPERIOD_OVERRIDE=FQ","FILING_STATUS=MR","SCALING_FORMAT=MLN","Sort=A","Dates=H","DateFormat=P","Fill=—","Direction=H","UseDPDF=Y")</f>
        <v>0</v>
      </c>
      <c r="T19" s="13" t="str">
        <f>_xll.BDH("ALNY US Equity","BS_DERIV_HEDGING_ASST_ST","FQ1 2023","FQ1 2023","Currency=USD","Period=FQ","BEST_FPERIOD_OVERRIDE=FQ","FILING_STATUS=MR","SCALING_FORMAT=MLN","Sort=A","Dates=H","DateFormat=P","Fill=—","Direction=H","UseDPDF=Y")</f>
        <v>—</v>
      </c>
      <c r="U19" s="13" t="str">
        <f>_xll.BDH("ALNY US Equity","BS_DERIV_HEDGING_ASST_ST","FQ2 2023","FQ2 2023","Currency=USD","Period=FQ","BEST_FPERIOD_OVERRIDE=FQ","FILING_STATUS=MR","SCALING_FORMAT=MLN","Sort=A","Dates=H","DateFormat=P","Fill=—","Direction=H","UseDPDF=Y")</f>
        <v>—</v>
      </c>
      <c r="V19" s="13" t="str">
        <f>_xll.BDH("ALNY US Equity","BS_DERIV_HEDGING_ASST_ST","FQ3 2023","FQ3 2023","Currency=USD","Period=FQ","BEST_FPERIOD_OVERRIDE=FQ","FILING_STATUS=MR","SCALING_FORMAT=MLN","Sort=A","Dates=H","DateFormat=P","Fill=—","Direction=H","UseDPDF=Y")</f>
        <v>—</v>
      </c>
      <c r="W19" s="13">
        <f>_xll.BDH("ALNY US Equity","BS_DERIV_HEDGING_ASST_ST","FQ4 2023","FQ4 2023","Currency=USD","Period=FQ","BEST_FPERIOD_OVERRIDE=FQ","FILING_STATUS=MR","SCALING_FORMAT=MLN","Sort=A","Dates=H","DateFormat=P","Fill=—","Direction=H","UseDPDF=Y")</f>
        <v>0</v>
      </c>
      <c r="X19" s="13" t="str">
        <f>_xll.BDH("ALNY US Equity","BS_DERIV_HEDGING_ASST_ST","FQ1 2024","FQ1 2024","Currency=USD","Period=FQ","BEST_FPERIOD_OVERRIDE=FQ","FILING_STATUS=MR","SCALING_FORMAT=MLN","Sort=A","Dates=H","DateFormat=P","Fill=—","Direction=H","UseDPDF=Y")</f>
        <v>—</v>
      </c>
      <c r="Y19" s="13" t="str">
        <f>_xll.BDH("ALNY US Equity","BS_DERIV_HEDGING_ASST_ST","FQ2 2024","FQ2 2024","Currency=USD","Period=FQ","BEST_FPERIOD_OVERRIDE=FQ","FILING_STATUS=MR","SCALING_FORMAT=MLN","Sort=A","Dates=H","DateFormat=P","Fill=—","Direction=H","UseDPDF=Y")</f>
        <v>—</v>
      </c>
      <c r="Z19" s="13" t="str">
        <f>_xll.BDH("ALNY US Equity","BS_DERIV_HEDGING_ASST_ST","FQ3 2024","FQ3 2024","Currency=USD","Period=FQ","BEST_FPERIOD_OVERRIDE=FQ","FILING_STATUS=MR","SCALING_FORMAT=MLN","Sort=A","Dates=H","DateFormat=P","Fill=—","Direction=H","UseDPDF=Y")</f>
        <v>—</v>
      </c>
      <c r="AA19" s="13">
        <f>_xll.BDH("ALNY US Equity","BS_DERIV_HEDGING_ASST_ST","FQ4 2024","FQ4 2024","Currency=USD","Period=FQ","BEST_FPERIOD_OVERRIDE=FQ","FILING_STATUS=MR","SCALING_FORMAT=MLN","Sort=A","Dates=H","DateFormat=P","Fill=—","Direction=H","UseDPDF=Y")</f>
        <v>0</v>
      </c>
    </row>
    <row r="20" spans="1:27" x14ac:dyDescent="0.25">
      <c r="A20" s="10" t="s">
        <v>700</v>
      </c>
      <c r="B20" s="10" t="s">
        <v>701</v>
      </c>
      <c r="C20" s="13">
        <f>_xll.BDH("ALNY US Equity","BS_OTHER_CUR_ASSET_LESS_PREPAY","FQ4 2018","FQ4 2018","Currency=USD","Period=FQ","BEST_FPERIOD_OVERRIDE=FQ","FILING_STATUS=MR","SCALING_FORMAT=MLN","Sort=A","Dates=H","DateFormat=P","Fill=—","Direction=H","UseDPDF=Y")</f>
        <v>73.712999999999994</v>
      </c>
      <c r="D20" s="13">
        <f>_xll.BDH("ALNY US Equity","BS_OTHER_CUR_ASSET_LESS_PREPAY","FQ1 2019","FQ1 2019","Currency=USD","Period=FQ","BEST_FPERIOD_OVERRIDE=FQ","FILING_STATUS=MR","SCALING_FORMAT=MLN","Sort=A","Dates=H","DateFormat=P","Fill=—","Direction=H","UseDPDF=Y")</f>
        <v>81.674000000000007</v>
      </c>
      <c r="E20" s="13">
        <f>_xll.BDH("ALNY US Equity","BS_OTHER_CUR_ASSET_LESS_PREPAY","FQ2 2019","FQ2 2019","Currency=USD","Period=FQ","BEST_FPERIOD_OVERRIDE=FQ","FILING_STATUS=MR","SCALING_FORMAT=MLN","Sort=A","Dates=H","DateFormat=P","Fill=—","Direction=H","UseDPDF=Y")</f>
        <v>65.616</v>
      </c>
      <c r="F20" s="13">
        <f>_xll.BDH("ALNY US Equity","BS_OTHER_CUR_ASSET_LESS_PREPAY","FQ3 2019","FQ3 2019","Currency=USD","Period=FQ","BEST_FPERIOD_OVERRIDE=FQ","FILING_STATUS=MR","SCALING_FORMAT=MLN","Sort=A","Dates=H","DateFormat=P","Fill=—","Direction=H","UseDPDF=Y")</f>
        <v>73.536000000000001</v>
      </c>
      <c r="G20" s="13">
        <f>_xll.BDH("ALNY US Equity","BS_OTHER_CUR_ASSET_LESS_PREPAY","FQ4 2019","FQ4 2019","Currency=USD","Period=FQ","BEST_FPERIOD_OVERRIDE=FQ","FILING_STATUS=MR","SCALING_FORMAT=MLN","Sort=A","Dates=H","DateFormat=P","Fill=—","Direction=H","UseDPDF=Y")</f>
        <v>80.343000000000004</v>
      </c>
      <c r="H20" s="13">
        <f>_xll.BDH("ALNY US Equity","BS_OTHER_CUR_ASSET_LESS_PREPAY","FQ1 2020","FQ1 2020","Currency=USD","Period=FQ","BEST_FPERIOD_OVERRIDE=FQ","FILING_STATUS=MR","SCALING_FORMAT=MLN","Sort=A","Dates=H","DateFormat=P","Fill=—","Direction=H","UseDPDF=Y")</f>
        <v>98.697999999999993</v>
      </c>
      <c r="I20" s="13">
        <f>_xll.BDH("ALNY US Equity","BS_OTHER_CUR_ASSET_LESS_PREPAY","FQ2 2020","FQ2 2020","Currency=USD","Period=FQ","BEST_FPERIOD_OVERRIDE=FQ","FILING_STATUS=MR","SCALING_FORMAT=MLN","Sort=A","Dates=H","DateFormat=P","Fill=—","Direction=H","UseDPDF=Y")</f>
        <v>88.349000000000004</v>
      </c>
      <c r="J20" s="13">
        <f>_xll.BDH("ALNY US Equity","BS_OTHER_CUR_ASSET_LESS_PREPAY","FQ3 2020","FQ3 2020","Currency=USD","Period=FQ","BEST_FPERIOD_OVERRIDE=FQ","FILING_STATUS=MR","SCALING_FORMAT=MLN","Sort=A","Dates=H","DateFormat=P","Fill=—","Direction=H","UseDPDF=Y")</f>
        <v>574.76599999999996</v>
      </c>
      <c r="K20" s="13">
        <f>_xll.BDH("ALNY US Equity","BS_OTHER_CUR_ASSET_LESS_PREPAY","FQ4 2020","FQ4 2020","Currency=USD","Period=FQ","BEST_FPERIOD_OVERRIDE=FQ","FILING_STATUS=MR","SCALING_FORMAT=MLN","Sort=A","Dates=H","DateFormat=P","Fill=—","Direction=H","UseDPDF=Y")</f>
        <v>562.76700000000005</v>
      </c>
      <c r="L20" s="13">
        <f>_xll.BDH("ALNY US Equity","BS_OTHER_CUR_ASSET_LESS_PREPAY","FQ1 2021","FQ1 2021","Currency=USD","Period=FQ","BEST_FPERIOD_OVERRIDE=FQ","FILING_STATUS=MR","SCALING_FORMAT=MLN","Sort=A","Dates=H","DateFormat=P","Fill=—","Direction=H","UseDPDF=Y")</f>
        <v>575.98</v>
      </c>
      <c r="M20" s="13">
        <f>_xll.BDH("ALNY US Equity","BS_OTHER_CUR_ASSET_LESS_PREPAY","FQ2 2021","FQ2 2021","Currency=USD","Period=FQ","BEST_FPERIOD_OVERRIDE=FQ","FILING_STATUS=MR","SCALING_FORMAT=MLN","Sort=A","Dates=H","DateFormat=P","Fill=—","Direction=H","UseDPDF=Y")</f>
        <v>594.13599999999997</v>
      </c>
      <c r="N20" s="13">
        <f>_xll.BDH("ALNY US Equity","BS_OTHER_CUR_ASSET_LESS_PREPAY","FQ3 2021","FQ3 2021","Currency=USD","Period=FQ","BEST_FPERIOD_OVERRIDE=FQ","FILING_STATUS=MR","SCALING_FORMAT=MLN","Sort=A","Dates=H","DateFormat=P","Fill=—","Direction=H","UseDPDF=Y")</f>
        <v>108.53400000000001</v>
      </c>
      <c r="O20" s="13">
        <f>_xll.BDH("ALNY US Equity","BS_OTHER_CUR_ASSET_LESS_PREPAY","FQ4 2021","FQ4 2021","Currency=USD","Period=FQ","BEST_FPERIOD_OVERRIDE=FQ","FILING_STATUS=MR","SCALING_FORMAT=MLN","Sort=A","Dates=H","DateFormat=P","Fill=—","Direction=H","UseDPDF=Y")</f>
        <v>88.078000000000003</v>
      </c>
      <c r="P20" s="13">
        <f>_xll.BDH("ALNY US Equity","BS_OTHER_CUR_ASSET_LESS_PREPAY","FQ1 2022","FQ1 2022","Currency=USD","Period=FQ","BEST_FPERIOD_OVERRIDE=FQ","FILING_STATUS=MR","SCALING_FORMAT=MLN","Sort=A","Dates=H","DateFormat=P","Fill=—","Direction=H","UseDPDF=Y")</f>
        <v>115.065</v>
      </c>
      <c r="Q20" s="13">
        <f>_xll.BDH("ALNY US Equity","BS_OTHER_CUR_ASSET_LESS_PREPAY","FQ2 2022","FQ2 2022","Currency=USD","Period=FQ","BEST_FPERIOD_OVERRIDE=FQ","FILING_STATUS=MR","SCALING_FORMAT=MLN","Sort=A","Dates=H","DateFormat=P","Fill=—","Direction=H","UseDPDF=Y")</f>
        <v>129.77799999999999</v>
      </c>
      <c r="R20" s="13">
        <f>_xll.BDH("ALNY US Equity","BS_OTHER_CUR_ASSET_LESS_PREPAY","FQ3 2022","FQ3 2022","Currency=USD","Period=FQ","BEST_FPERIOD_OVERRIDE=FQ","FILING_STATUS=MR","SCALING_FORMAT=MLN","Sort=A","Dates=H","DateFormat=P","Fill=—","Direction=H","UseDPDF=Y")</f>
        <v>125.51600000000001</v>
      </c>
      <c r="S20" s="13">
        <f>_xll.BDH("ALNY US Equity","BS_OTHER_CUR_ASSET_LESS_PREPAY","FQ4 2022","FQ4 2022","Currency=USD","Period=FQ","BEST_FPERIOD_OVERRIDE=FQ","FILING_STATUS=MR","SCALING_FORMAT=MLN","Sort=A","Dates=H","DateFormat=P","Fill=—","Direction=H","UseDPDF=Y")</f>
        <v>132.916</v>
      </c>
      <c r="T20" s="13">
        <f>_xll.BDH("ALNY US Equity","BS_OTHER_CUR_ASSET_LESS_PREPAY","FQ1 2023","FQ1 2023","Currency=USD","Period=FQ","BEST_FPERIOD_OVERRIDE=FQ","FILING_STATUS=MR","SCALING_FORMAT=MLN","Sort=A","Dates=H","DateFormat=P","Fill=—","Direction=H","UseDPDF=Y")</f>
        <v>119.03</v>
      </c>
      <c r="U20" s="13">
        <f>_xll.BDH("ALNY US Equity","BS_OTHER_CUR_ASSET_LESS_PREPAY","FQ2 2023","FQ2 2023","Currency=USD","Period=FQ","BEST_FPERIOD_OVERRIDE=FQ","FILING_STATUS=MR","SCALING_FORMAT=MLN","Sort=A","Dates=H","DateFormat=P","Fill=—","Direction=H","UseDPDF=Y")</f>
        <v>145.452</v>
      </c>
      <c r="V20" s="13">
        <f>_xll.BDH("ALNY US Equity","BS_OTHER_CUR_ASSET_LESS_PREPAY","FQ3 2023","FQ3 2023","Currency=USD","Period=FQ","BEST_FPERIOD_OVERRIDE=FQ","FILING_STATUS=MR","SCALING_FORMAT=MLN","Sort=A","Dates=H","DateFormat=P","Fill=—","Direction=H","UseDPDF=Y")</f>
        <v>157.958</v>
      </c>
      <c r="W20" s="13">
        <f>_xll.BDH("ALNY US Equity","BS_OTHER_CUR_ASSET_LESS_PREPAY","FQ4 2023","FQ4 2023","Currency=USD","Period=FQ","BEST_FPERIOD_OVERRIDE=FQ","FILING_STATUS=MR","SCALING_FORMAT=MLN","Sort=A","Dates=H","DateFormat=P","Fill=—","Direction=H","UseDPDF=Y")</f>
        <v>126.38200000000001</v>
      </c>
      <c r="X20" s="13">
        <f>_xll.BDH("ALNY US Equity","BS_OTHER_CUR_ASSET_LESS_PREPAY","FQ1 2024","FQ1 2024","Currency=USD","Period=FQ","BEST_FPERIOD_OVERRIDE=FQ","FILING_STATUS=MR","SCALING_FORMAT=MLN","Sort=A","Dates=H","DateFormat=P","Fill=—","Direction=H","UseDPDF=Y")</f>
        <v>201.96</v>
      </c>
      <c r="Y20" s="13">
        <f>_xll.BDH("ALNY US Equity","BS_OTHER_CUR_ASSET_LESS_PREPAY","FQ2 2024","FQ2 2024","Currency=USD","Period=FQ","BEST_FPERIOD_OVERRIDE=FQ","FILING_STATUS=MR","SCALING_FORMAT=MLN","Sort=A","Dates=H","DateFormat=P","Fill=—","Direction=H","UseDPDF=Y")</f>
        <v>154.745</v>
      </c>
      <c r="Z20" s="13">
        <f>_xll.BDH("ALNY US Equity","BS_OTHER_CUR_ASSET_LESS_PREPAY","FQ3 2024","FQ3 2024","Currency=USD","Period=FQ","BEST_FPERIOD_OVERRIDE=FQ","FILING_STATUS=MR","SCALING_FORMAT=MLN","Sort=A","Dates=H","DateFormat=P","Fill=—","Direction=H","UseDPDF=Y")</f>
        <v>145.35</v>
      </c>
      <c r="AA20" s="13">
        <f>_xll.BDH("ALNY US Equity","BS_OTHER_CUR_ASSET_LESS_PREPAY","FQ4 2024","FQ4 2024","Currency=USD","Period=FQ","BEST_FPERIOD_OVERRIDE=FQ","FILING_STATUS=MR","SCALING_FORMAT=MLN","Sort=A","Dates=H","DateFormat=P","Fill=—","Direction=H","UseDPDF=Y")</f>
        <v>116.964</v>
      </c>
    </row>
    <row r="21" spans="1:27" x14ac:dyDescent="0.25">
      <c r="A21" s="6" t="s">
        <v>110</v>
      </c>
      <c r="B21" s="6" t="s">
        <v>111</v>
      </c>
      <c r="C21" s="19">
        <f>_xll.BDH("ALNY US Equity","BS_CUR_ASSET_REPORT","FQ4 2018","FQ4 2018","Currency=USD","Period=FQ","BEST_FPERIOD_OVERRIDE=FQ","FILING_STATUS=MR","SCALING_FORMAT=MLN","Sort=A","Dates=H","DateFormat=P","Fill=—","Direction=H","UseDPDF=Y")</f>
        <v>1200.6959999999999</v>
      </c>
      <c r="D21" s="19">
        <f>_xll.BDH("ALNY US Equity","BS_CUR_ASSET_REPORT","FQ1 2019","FQ1 2019","Currency=USD","Period=FQ","BEST_FPERIOD_OVERRIDE=FQ","FILING_STATUS=MR","SCALING_FORMAT=MLN","Sort=A","Dates=H","DateFormat=P","Fill=—","Direction=H","UseDPDF=Y")</f>
        <v>1392.0129999999999</v>
      </c>
      <c r="E21" s="19">
        <f>_xll.BDH("ALNY US Equity","BS_CUR_ASSET_REPORT","FQ2 2019","FQ2 2019","Currency=USD","Period=FQ","BEST_FPERIOD_OVERRIDE=FQ","FILING_STATUS=MR","SCALING_FORMAT=MLN","Sort=A","Dates=H","DateFormat=P","Fill=—","Direction=H","UseDPDF=Y")</f>
        <v>2063.7730000000001</v>
      </c>
      <c r="F21" s="19">
        <f>_xll.BDH("ALNY US Equity","BS_CUR_ASSET_REPORT","FQ3 2019","FQ3 2019","Currency=USD","Period=FQ","BEST_FPERIOD_OVERRIDE=FQ","FILING_STATUS=MR","SCALING_FORMAT=MLN","Sort=A","Dates=H","DateFormat=P","Fill=—","Direction=H","UseDPDF=Y")</f>
        <v>1897.2650000000001</v>
      </c>
      <c r="G21" s="19">
        <f>_xll.BDH("ALNY US Equity","BS_CUR_ASSET_REPORT","FQ4 2019","FQ4 2019","Currency=USD","Period=FQ","BEST_FPERIOD_OVERRIDE=FQ","FILING_STATUS=MR","SCALING_FORMAT=MLN","Sort=A","Dates=H","DateFormat=P","Fill=—","Direction=H","UseDPDF=Y")</f>
        <v>1715.864</v>
      </c>
      <c r="H21" s="19">
        <f>_xll.BDH("ALNY US Equity","BS_CUR_ASSET_REPORT","FQ1 2020","FQ1 2020","Currency=USD","Period=FQ","BEST_FPERIOD_OVERRIDE=FQ","FILING_STATUS=MR","SCALING_FORMAT=MLN","Sort=A","Dates=H","DateFormat=P","Fill=—","Direction=H","UseDPDF=Y")</f>
        <v>1584.7729999999999</v>
      </c>
      <c r="I21" s="19">
        <f>_xll.BDH("ALNY US Equity","BS_CUR_ASSET_REPORT","FQ2 2020","FQ2 2020","Currency=USD","Period=FQ","BEST_FPERIOD_OVERRIDE=FQ","FILING_STATUS=MR","SCALING_FORMAT=MLN","Sort=A","Dates=H","DateFormat=P","Fill=—","Direction=H","UseDPDF=Y")</f>
        <v>2160.4459999999999</v>
      </c>
      <c r="J21" s="19">
        <f>_xll.BDH("ALNY US Equity","BS_CUR_ASSET_REPORT","FQ3 2020","FQ3 2020","Currency=USD","Period=FQ","BEST_FPERIOD_OVERRIDE=FQ","FILING_STATUS=MR","SCALING_FORMAT=MLN","Sort=A","Dates=H","DateFormat=P","Fill=—","Direction=H","UseDPDF=Y")</f>
        <v>2554.7020000000002</v>
      </c>
      <c r="K21" s="19">
        <f>_xll.BDH("ALNY US Equity","BS_CUR_ASSET_REPORT","FQ4 2020","FQ4 2020","Currency=USD","Period=FQ","BEST_FPERIOD_OVERRIDE=FQ","FILING_STATUS=MR","SCALING_FORMAT=MLN","Sort=A","Dates=H","DateFormat=P","Fill=—","Direction=H","UseDPDF=Y")</f>
        <v>2614.777</v>
      </c>
      <c r="L21" s="19">
        <f>_xll.BDH("ALNY US Equity","BS_CUR_ASSET_REPORT","FQ1 2021","FQ1 2021","Currency=USD","Period=FQ","BEST_FPERIOD_OVERRIDE=FQ","FILING_STATUS=MR","SCALING_FORMAT=MLN","Sort=A","Dates=H","DateFormat=P","Fill=—","Direction=H","UseDPDF=Y")</f>
        <v>2470.0830000000001</v>
      </c>
      <c r="M21" s="19">
        <f>_xll.BDH("ALNY US Equity","BS_CUR_ASSET_REPORT","FQ2 2021","FQ2 2021","Currency=USD","Period=FQ","BEST_FPERIOD_OVERRIDE=FQ","FILING_STATUS=MR","SCALING_FORMAT=MLN","Sort=A","Dates=H","DateFormat=P","Fill=—","Direction=H","UseDPDF=Y")</f>
        <v>2725.163</v>
      </c>
      <c r="N21" s="19">
        <f>_xll.BDH("ALNY US Equity","BS_CUR_ASSET_REPORT","FQ3 2021","FQ3 2021","Currency=USD","Period=FQ","BEST_FPERIOD_OVERRIDE=FQ","FILING_STATUS=MR","SCALING_FORMAT=MLN","Sort=A","Dates=H","DateFormat=P","Fill=—","Direction=H","UseDPDF=Y")</f>
        <v>2675.3620000000001</v>
      </c>
      <c r="O21" s="19">
        <f>_xll.BDH("ALNY US Equity","BS_CUR_ASSET_REPORT","FQ4 2021","FQ4 2021","Currency=USD","Period=FQ","BEST_FPERIOD_OVERRIDE=FQ","FILING_STATUS=MR","SCALING_FORMAT=MLN","Sort=A","Dates=H","DateFormat=P","Fill=—","Direction=H","UseDPDF=Y")</f>
        <v>2808.576</v>
      </c>
      <c r="P21" s="19">
        <f>_xll.BDH("ALNY US Equity","BS_CUR_ASSET_REPORT","FQ1 2022","FQ1 2022","Currency=USD","Period=FQ","BEST_FPERIOD_OVERRIDE=FQ","FILING_STATUS=MR","SCALING_FORMAT=MLN","Sort=A","Dates=H","DateFormat=P","Fill=—","Direction=H","UseDPDF=Y")</f>
        <v>2589.6770000000001</v>
      </c>
      <c r="Q21" s="19">
        <f>_xll.BDH("ALNY US Equity","BS_CUR_ASSET_REPORT","FQ2 2022","FQ2 2022","Currency=USD","Period=FQ","BEST_FPERIOD_OVERRIDE=FQ","FILING_STATUS=MR","SCALING_FORMAT=MLN","Sort=A","Dates=H","DateFormat=P","Fill=—","Direction=H","UseDPDF=Y")</f>
        <v>2471.6379999999999</v>
      </c>
      <c r="R21" s="19">
        <f>_xll.BDH("ALNY US Equity","BS_CUR_ASSET_REPORT","FQ3 2022","FQ3 2022","Currency=USD","Period=FQ","BEST_FPERIOD_OVERRIDE=FQ","FILING_STATUS=MR","SCALING_FORMAT=MLN","Sort=A","Dates=H","DateFormat=P","Fill=—","Direction=H","UseDPDF=Y")</f>
        <v>2690.8470000000002</v>
      </c>
      <c r="S21" s="19">
        <f>_xll.BDH("ALNY US Equity","BS_CUR_ASSET_REPORT","FQ4 2022","FQ4 2022","Currency=USD","Period=FQ","BEST_FPERIOD_OVERRIDE=FQ","FILING_STATUS=MR","SCALING_FORMAT=MLN","Sort=A","Dates=H","DateFormat=P","Fill=—","Direction=H","UseDPDF=Y")</f>
        <v>2692.2469999999998</v>
      </c>
      <c r="T21" s="19">
        <f>_xll.BDH("ALNY US Equity","BS_CUR_ASSET_REPORT","FQ1 2023","FQ1 2023","Currency=USD","Period=FQ","BEST_FPERIOD_OVERRIDE=FQ","FILING_STATUS=MR","SCALING_FORMAT=MLN","Sort=A","Dates=H","DateFormat=P","Fill=—","Direction=H","UseDPDF=Y")</f>
        <v>2541.018</v>
      </c>
      <c r="U21" s="19">
        <f>_xll.BDH("ALNY US Equity","BS_CUR_ASSET_REPORT","FQ2 2023","FQ2 2023","Currency=USD","Period=FQ","BEST_FPERIOD_OVERRIDE=FQ","FILING_STATUS=MR","SCALING_FORMAT=MLN","Sort=A","Dates=H","DateFormat=P","Fill=—","Direction=H","UseDPDF=Y")</f>
        <v>2524.047</v>
      </c>
      <c r="V21" s="19">
        <f>_xll.BDH("ALNY US Equity","BS_CUR_ASSET_REPORT","FQ3 2023","FQ3 2023","Currency=USD","Period=FQ","BEST_FPERIOD_OVERRIDE=FQ","FILING_STATUS=MR","SCALING_FORMAT=MLN","Sort=A","Dates=H","DateFormat=P","Fill=—","Direction=H","UseDPDF=Y")</f>
        <v>2985.4520000000002</v>
      </c>
      <c r="W21" s="19">
        <f>_xll.BDH("ALNY US Equity","BS_CUR_ASSET_REPORT","FQ4 2023","FQ4 2023","Currency=USD","Period=FQ","BEST_FPERIOD_OVERRIDE=FQ","FILING_STATUS=MR","SCALING_FORMAT=MLN","Sort=A","Dates=H","DateFormat=P","Fill=—","Direction=H","UseDPDF=Y")</f>
        <v>2982.6970000000001</v>
      </c>
      <c r="X21" s="19">
        <f>_xll.BDH("ALNY US Equity","BS_CUR_ASSET_REPORT","FQ1 2024","FQ1 2024","Currency=USD","Period=FQ","BEST_FPERIOD_OVERRIDE=FQ","FILING_STATUS=MR","SCALING_FORMAT=MLN","Sort=A","Dates=H","DateFormat=P","Fill=—","Direction=H","UseDPDF=Y")</f>
        <v>2988.607</v>
      </c>
      <c r="Y21" s="19">
        <f>_xll.BDH("ALNY US Equity","BS_CUR_ASSET_REPORT","FQ2 2024","FQ2 2024","Currency=USD","Period=FQ","BEST_FPERIOD_OVERRIDE=FQ","FILING_STATUS=MR","SCALING_FORMAT=MLN","Sort=A","Dates=H","DateFormat=P","Fill=—","Direction=H","UseDPDF=Y")</f>
        <v>3172.8560000000002</v>
      </c>
      <c r="Z21" s="19">
        <f>_xll.BDH("ALNY US Equity","BS_CUR_ASSET_REPORT","FQ3 2024","FQ3 2024","Currency=USD","Period=FQ","BEST_FPERIOD_OVERRIDE=FQ","FILING_STATUS=MR","SCALING_FORMAT=MLN","Sort=A","Dates=H","DateFormat=P","Fill=—","Direction=H","UseDPDF=Y")</f>
        <v>3355.424</v>
      </c>
      <c r="AA21" s="19">
        <f>_xll.BDH("ALNY US Equity","BS_CUR_ASSET_REPORT","FQ4 2024","FQ4 2024","Currency=USD","Period=FQ","BEST_FPERIOD_OVERRIDE=FQ","FILING_STATUS=MR","SCALING_FORMAT=MLN","Sort=A","Dates=H","DateFormat=P","Fill=—","Direction=H","UseDPDF=Y")</f>
        <v>3295.2849999999999</v>
      </c>
    </row>
    <row r="22" spans="1:27" x14ac:dyDescent="0.25">
      <c r="A22" s="10" t="s">
        <v>702</v>
      </c>
      <c r="B22" s="10" t="s">
        <v>703</v>
      </c>
      <c r="C22" s="13">
        <f>_xll.BDH("ALNY US Equity","BS_NET_FIX_ASSET","FQ4 2018","FQ4 2018","Currency=USD","Period=FQ","BEST_FPERIOD_OVERRIDE=FQ","FILING_STATUS=MR","SCALING_FORMAT=MLN","Sort=A","Dates=H","DateFormat=P","Fill=—","Direction=H","UseDPDF=Y")</f>
        <v>320.65800000000002</v>
      </c>
      <c r="D22" s="13">
        <f>_xll.BDH("ALNY US Equity","BS_NET_FIX_ASSET","FQ1 2019","FQ1 2019","Currency=USD","Period=FQ","BEST_FPERIOD_OVERRIDE=FQ","FILING_STATUS=MR","SCALING_FORMAT=MLN","Sort=A","Dates=H","DateFormat=P","Fill=—","Direction=H","UseDPDF=Y")</f>
        <v>568.12400000000002</v>
      </c>
      <c r="E22" s="13">
        <f>_xll.BDH("ALNY US Equity","BS_NET_FIX_ASSET","FQ2 2019","FQ2 2019","Currency=USD","Period=FQ","BEST_FPERIOD_OVERRIDE=FQ","FILING_STATUS=MR","SCALING_FORMAT=MLN","Sort=A","Dates=H","DateFormat=P","Fill=—","Direction=H","UseDPDF=Y")</f>
        <v>598.12599999999998</v>
      </c>
      <c r="F22" s="13">
        <f>_xll.BDH("ALNY US Equity","BS_NET_FIX_ASSET","FQ3 2019","FQ3 2019","Currency=USD","Period=FQ","BEST_FPERIOD_OVERRIDE=FQ","FILING_STATUS=MR","SCALING_FORMAT=MLN","Sort=A","Dates=H","DateFormat=P","Fill=—","Direction=H","UseDPDF=Y")</f>
        <v>619.9</v>
      </c>
      <c r="G22" s="13">
        <f>_xll.BDH("ALNY US Equity","BS_NET_FIX_ASSET","FQ4 2019","FQ4 2019","Currency=USD","Period=FQ","BEST_FPERIOD_OVERRIDE=FQ","FILING_STATUS=MR","SCALING_FORMAT=MLN","Sort=A","Dates=H","DateFormat=P","Fill=—","Direction=H","UseDPDF=Y")</f>
        <v>646.37599999999998</v>
      </c>
      <c r="H22" s="13">
        <f>_xll.BDH("ALNY US Equity","BS_NET_FIX_ASSET","FQ1 2020","FQ1 2020","Currency=USD","Period=FQ","BEST_FPERIOD_OVERRIDE=FQ","FILING_STATUS=MR","SCALING_FORMAT=MLN","Sort=A","Dates=H","DateFormat=P","Fill=—","Direction=H","UseDPDF=Y")</f>
        <v>651.09400000000005</v>
      </c>
      <c r="I22" s="13">
        <f>_xll.BDH("ALNY US Equity","BS_NET_FIX_ASSET","FQ2 2020","FQ2 2020","Currency=USD","Period=FQ","BEST_FPERIOD_OVERRIDE=FQ","FILING_STATUS=MR","SCALING_FORMAT=MLN","Sort=A","Dates=H","DateFormat=P","Fill=—","Direction=H","UseDPDF=Y")</f>
        <v>668.8</v>
      </c>
      <c r="J22" s="13">
        <f>_xll.BDH("ALNY US Equity","BS_NET_FIX_ASSET","FQ3 2020","FQ3 2020","Currency=USD","Period=FQ","BEST_FPERIOD_OVERRIDE=FQ","FILING_STATUS=MR","SCALING_FORMAT=MLN","Sort=A","Dates=H","DateFormat=P","Fill=—","Direction=H","UseDPDF=Y")</f>
        <v>689.92399999999998</v>
      </c>
      <c r="K22" s="13">
        <f>_xll.BDH("ALNY US Equity","BS_NET_FIX_ASSET","FQ4 2020","FQ4 2020","Currency=USD","Period=FQ","BEST_FPERIOD_OVERRIDE=FQ","FILING_STATUS=MR","SCALING_FORMAT=MLN","Sort=A","Dates=H","DateFormat=P","Fill=—","Direction=H","UseDPDF=Y")</f>
        <v>706.51400000000001</v>
      </c>
      <c r="L22" s="13">
        <f>_xll.BDH("ALNY US Equity","BS_NET_FIX_ASSET","FQ1 2021","FQ1 2021","Currency=USD","Period=FQ","BEST_FPERIOD_OVERRIDE=FQ","FILING_STATUS=MR","SCALING_FORMAT=MLN","Sort=A","Dates=H","DateFormat=P","Fill=—","Direction=H","UseDPDF=Y")</f>
        <v>701.78499999999997</v>
      </c>
      <c r="M22" s="13">
        <f>_xll.BDH("ALNY US Equity","BS_NET_FIX_ASSET","FQ2 2021","FQ2 2021","Currency=USD","Period=FQ","BEST_FPERIOD_OVERRIDE=FQ","FILING_STATUS=MR","SCALING_FORMAT=MLN","Sort=A","Dates=H","DateFormat=P","Fill=—","Direction=H","UseDPDF=Y")</f>
        <v>708.78899999999999</v>
      </c>
      <c r="N22" s="13">
        <f>_xll.BDH("ALNY US Equity","BS_NET_FIX_ASSET","FQ3 2021","FQ3 2021","Currency=USD","Period=FQ","BEST_FPERIOD_OVERRIDE=FQ","FILING_STATUS=MR","SCALING_FORMAT=MLN","Sort=A","Dates=H","DateFormat=P","Fill=—","Direction=H","UseDPDF=Y")</f>
        <v>720.79399999999998</v>
      </c>
      <c r="O22" s="13">
        <f>_xll.BDH("ALNY US Equity","BS_NET_FIX_ASSET","FQ4 2021","FQ4 2021","Currency=USD","Period=FQ","BEST_FPERIOD_OVERRIDE=FQ","FILING_STATUS=MR","SCALING_FORMAT=MLN","Sort=A","Dates=H","DateFormat=P","Fill=—","Direction=H","UseDPDF=Y")</f>
        <v>733.63300000000004</v>
      </c>
      <c r="P22" s="13">
        <f>_xll.BDH("ALNY US Equity","BS_NET_FIX_ASSET","FQ1 2022","FQ1 2022","Currency=USD","Period=FQ","BEST_FPERIOD_OVERRIDE=FQ","FILING_STATUS=MR","SCALING_FORMAT=MLN","Sort=A","Dates=H","DateFormat=P","Fill=—","Direction=H","UseDPDF=Y")</f>
        <v>733.15800000000002</v>
      </c>
      <c r="Q22" s="13">
        <f>_xll.BDH("ALNY US Equity","BS_NET_FIX_ASSET","FQ2 2022","FQ2 2022","Currency=USD","Period=FQ","BEST_FPERIOD_OVERRIDE=FQ","FILING_STATUS=MR","SCALING_FORMAT=MLN","Sort=A","Dates=H","DateFormat=P","Fill=—","Direction=H","UseDPDF=Y")</f>
        <v>732.12199999999996</v>
      </c>
      <c r="R22" s="13">
        <f>_xll.BDH("ALNY US Equity","BS_NET_FIX_ASSET","FQ3 2022","FQ3 2022","Currency=USD","Period=FQ","BEST_FPERIOD_OVERRIDE=FQ","FILING_STATUS=MR","SCALING_FORMAT=MLN","Sort=A","Dates=H","DateFormat=P","Fill=—","Direction=H","UseDPDF=Y")</f>
        <v>733.62300000000005</v>
      </c>
      <c r="S22" s="13">
        <f>_xll.BDH("ALNY US Equity","BS_NET_FIX_ASSET","FQ4 2022","FQ4 2022","Currency=USD","Period=FQ","BEST_FPERIOD_OVERRIDE=FQ","FILING_STATUS=MR","SCALING_FORMAT=MLN","Sort=A","Dates=H","DateFormat=P","Fill=—","Direction=H","UseDPDF=Y")</f>
        <v>738.63</v>
      </c>
      <c r="T22" s="13">
        <f>_xll.BDH("ALNY US Equity","BS_NET_FIX_ASSET","FQ1 2023","FQ1 2023","Currency=USD","Period=FQ","BEST_FPERIOD_OVERRIDE=FQ","FILING_STATUS=MR","SCALING_FORMAT=MLN","Sort=A","Dates=H","DateFormat=P","Fill=—","Direction=H","UseDPDF=Y")</f>
        <v>738.08100000000002</v>
      </c>
      <c r="U22" s="13">
        <f>_xll.BDH("ALNY US Equity","BS_NET_FIX_ASSET","FQ2 2023","FQ2 2023","Currency=USD","Period=FQ","BEST_FPERIOD_OVERRIDE=FQ","FILING_STATUS=MR","SCALING_FORMAT=MLN","Sort=A","Dates=H","DateFormat=P","Fill=—","Direction=H","UseDPDF=Y")</f>
        <v>736.27499999999998</v>
      </c>
      <c r="V22" s="13">
        <f>_xll.BDH("ALNY US Equity","BS_NET_FIX_ASSET","FQ3 2023","FQ3 2023","Currency=USD","Period=FQ","BEST_FPERIOD_OVERRIDE=FQ","FILING_STATUS=MR","SCALING_FORMAT=MLN","Sort=A","Dates=H","DateFormat=P","Fill=—","Direction=H","UseDPDF=Y")</f>
        <v>729.07600000000002</v>
      </c>
      <c r="W22" s="13">
        <f>_xll.BDH("ALNY US Equity","BS_NET_FIX_ASSET","FQ4 2023","FQ4 2023","Currency=USD","Period=FQ","BEST_FPERIOD_OVERRIDE=FQ","FILING_STATUS=MR","SCALING_FORMAT=MLN","Sort=A","Dates=H","DateFormat=P","Fill=—","Direction=H","UseDPDF=Y")</f>
        <v>725.78899999999999</v>
      </c>
      <c r="X22" s="13">
        <f>_xll.BDH("ALNY US Equity","BS_NET_FIX_ASSET","FQ1 2024","FQ1 2024","Currency=USD","Period=FQ","BEST_FPERIOD_OVERRIDE=FQ","FILING_STATUS=MR","SCALING_FORMAT=MLN","Sort=A","Dates=H","DateFormat=P","Fill=—","Direction=H","UseDPDF=Y")</f>
        <v>718.928</v>
      </c>
      <c r="Y22" s="13">
        <f>_xll.BDH("ALNY US Equity","BS_NET_FIX_ASSET","FQ2 2024","FQ2 2024","Currency=USD","Period=FQ","BEST_FPERIOD_OVERRIDE=FQ","FILING_STATUS=MR","SCALING_FORMAT=MLN","Sort=A","Dates=H","DateFormat=P","Fill=—","Direction=H","UseDPDF=Y")</f>
        <v>715.46199999999999</v>
      </c>
      <c r="Z22" s="13">
        <f>_xll.BDH("ALNY US Equity","BS_NET_FIX_ASSET","FQ3 2024","FQ3 2024","Currency=USD","Period=FQ","BEST_FPERIOD_OVERRIDE=FQ","FILING_STATUS=MR","SCALING_FORMAT=MLN","Sort=A","Dates=H","DateFormat=P","Fill=—","Direction=H","UseDPDF=Y")</f>
        <v>703.40499999999997</v>
      </c>
      <c r="AA22" s="13">
        <f>_xll.BDH("ALNY US Equity","BS_NET_FIX_ASSET","FQ4 2024","FQ4 2024","Currency=USD","Period=FQ","BEST_FPERIOD_OVERRIDE=FQ","FILING_STATUS=MR","SCALING_FORMAT=MLN","Sort=A","Dates=H","DateFormat=P","Fill=—","Direction=H","UseDPDF=Y")</f>
        <v>693.93200000000002</v>
      </c>
    </row>
    <row r="23" spans="1:27" x14ac:dyDescent="0.25">
      <c r="A23" s="10" t="s">
        <v>704</v>
      </c>
      <c r="B23" s="10" t="s">
        <v>705</v>
      </c>
      <c r="C23" s="13">
        <f>_xll.BDH("ALNY US Equity","BS_GROSS_FIX_ASSET","FQ4 2018","FQ4 2018","Currency=USD","Period=FQ","BEST_FPERIOD_OVERRIDE=FQ","FILING_STATUS=MR","SCALING_FORMAT=MLN","Sort=A","Dates=H","DateFormat=P","Fill=—","Direction=H","UseDPDF=Y")</f>
        <v>400.14299999999997</v>
      </c>
      <c r="D23" s="13" t="str">
        <f>_xll.BDH("ALNY US Equity","BS_GROSS_FIX_ASSET","FQ1 2019","FQ1 2019","Currency=USD","Period=FQ","BEST_FPERIOD_OVERRIDE=FQ","FILING_STATUS=MR","SCALING_FORMAT=MLN","Sort=A","Dates=H","DateFormat=P","Fill=—","Direction=H","UseDPDF=Y")</f>
        <v>—</v>
      </c>
      <c r="E23" s="13" t="str">
        <f>_xll.BDH("ALNY US Equity","BS_GROSS_FIX_ASSET","FQ2 2019","FQ2 2019","Currency=USD","Period=FQ","BEST_FPERIOD_OVERRIDE=FQ","FILING_STATUS=MR","SCALING_FORMAT=MLN","Sort=A","Dates=H","DateFormat=P","Fill=—","Direction=H","UseDPDF=Y")</f>
        <v>—</v>
      </c>
      <c r="F23" s="13" t="str">
        <f>_xll.BDH("ALNY US Equity","BS_GROSS_FIX_ASSET","FQ3 2019","FQ3 2019","Currency=USD","Period=FQ","BEST_FPERIOD_OVERRIDE=FQ","FILING_STATUS=MR","SCALING_FORMAT=MLN","Sort=A","Dates=H","DateFormat=P","Fill=—","Direction=H","UseDPDF=Y")</f>
        <v>—</v>
      </c>
      <c r="G23" s="13">
        <f>_xll.BDH("ALNY US Equity","BS_GROSS_FIX_ASSET","FQ4 2019","FQ4 2019","Currency=USD","Period=FQ","BEST_FPERIOD_OVERRIDE=FQ","FILING_STATUS=MR","SCALING_FORMAT=MLN","Sort=A","Dates=H","DateFormat=P","Fill=—","Direction=H","UseDPDF=Y")</f>
        <v>722.53399999999999</v>
      </c>
      <c r="H23" s="13" t="str">
        <f>_xll.BDH("ALNY US Equity","BS_GROSS_FIX_ASSET","FQ1 2020","FQ1 2020","Currency=USD","Period=FQ","BEST_FPERIOD_OVERRIDE=FQ","FILING_STATUS=MR","SCALING_FORMAT=MLN","Sort=A","Dates=H","DateFormat=P","Fill=—","Direction=H","UseDPDF=Y")</f>
        <v>—</v>
      </c>
      <c r="I23" s="13" t="str">
        <f>_xll.BDH("ALNY US Equity","BS_GROSS_FIX_ASSET","FQ2 2020","FQ2 2020","Currency=USD","Period=FQ","BEST_FPERIOD_OVERRIDE=FQ","FILING_STATUS=MR","SCALING_FORMAT=MLN","Sort=A","Dates=H","DateFormat=P","Fill=—","Direction=H","UseDPDF=Y")</f>
        <v>—</v>
      </c>
      <c r="J23" s="13" t="str">
        <f>_xll.BDH("ALNY US Equity","BS_GROSS_FIX_ASSET","FQ3 2020","FQ3 2020","Currency=USD","Period=FQ","BEST_FPERIOD_OVERRIDE=FQ","FILING_STATUS=MR","SCALING_FORMAT=MLN","Sort=A","Dates=H","DateFormat=P","Fill=—","Direction=H","UseDPDF=Y")</f>
        <v>—</v>
      </c>
      <c r="K23" s="13">
        <f>_xll.BDH("ALNY US Equity","BS_GROSS_FIX_ASSET","FQ4 2020","FQ4 2020","Currency=USD","Period=FQ","BEST_FPERIOD_OVERRIDE=FQ","FILING_STATUS=MR","SCALING_FORMAT=MLN","Sort=A","Dates=H","DateFormat=P","Fill=—","Direction=H","UseDPDF=Y")</f>
        <v>810.86099999999999</v>
      </c>
      <c r="L23" s="13" t="str">
        <f>_xll.BDH("ALNY US Equity","BS_GROSS_FIX_ASSET","FQ1 2021","FQ1 2021","Currency=USD","Period=FQ","BEST_FPERIOD_OVERRIDE=FQ","FILING_STATUS=MR","SCALING_FORMAT=MLN","Sort=A","Dates=H","DateFormat=P","Fill=—","Direction=H","UseDPDF=Y")</f>
        <v>—</v>
      </c>
      <c r="M23" s="13" t="str">
        <f>_xll.BDH("ALNY US Equity","BS_GROSS_FIX_ASSET","FQ2 2021","FQ2 2021","Currency=USD","Period=FQ","BEST_FPERIOD_OVERRIDE=FQ","FILING_STATUS=MR","SCALING_FORMAT=MLN","Sort=A","Dates=H","DateFormat=P","Fill=—","Direction=H","UseDPDF=Y")</f>
        <v>—</v>
      </c>
      <c r="N23" s="13" t="str">
        <f>_xll.BDH("ALNY US Equity","BS_GROSS_FIX_ASSET","FQ3 2021","FQ3 2021","Currency=USD","Period=FQ","BEST_FPERIOD_OVERRIDE=FQ","FILING_STATUS=MR","SCALING_FORMAT=MLN","Sort=A","Dates=H","DateFormat=P","Fill=—","Direction=H","UseDPDF=Y")</f>
        <v>—</v>
      </c>
      <c r="O23" s="13">
        <f>_xll.BDH("ALNY US Equity","BS_GROSS_FIX_ASSET","FQ4 2021","FQ4 2021","Currency=USD","Period=FQ","BEST_FPERIOD_OVERRIDE=FQ","FILING_STATUS=MR","SCALING_FORMAT=MLN","Sort=A","Dates=H","DateFormat=P","Fill=—","Direction=H","UseDPDF=Y")</f>
        <v>874.048</v>
      </c>
      <c r="P23" s="13" t="str">
        <f>_xll.BDH("ALNY US Equity","BS_GROSS_FIX_ASSET","FQ1 2022","FQ1 2022","Currency=USD","Period=FQ","BEST_FPERIOD_OVERRIDE=FQ","FILING_STATUS=MR","SCALING_FORMAT=MLN","Sort=A","Dates=H","DateFormat=P","Fill=—","Direction=H","UseDPDF=Y")</f>
        <v>—</v>
      </c>
      <c r="Q23" s="13" t="str">
        <f>_xll.BDH("ALNY US Equity","BS_GROSS_FIX_ASSET","FQ2 2022","FQ2 2022","Currency=USD","Period=FQ","BEST_FPERIOD_OVERRIDE=FQ","FILING_STATUS=MR","SCALING_FORMAT=MLN","Sort=A","Dates=H","DateFormat=P","Fill=—","Direction=H","UseDPDF=Y")</f>
        <v>—</v>
      </c>
      <c r="R23" s="13" t="str">
        <f>_xll.BDH("ALNY US Equity","BS_GROSS_FIX_ASSET","FQ3 2022","FQ3 2022","Currency=USD","Period=FQ","BEST_FPERIOD_OVERRIDE=FQ","FILING_STATUS=MR","SCALING_FORMAT=MLN","Sort=A","Dates=H","DateFormat=P","Fill=—","Direction=H","UseDPDF=Y")</f>
        <v>—</v>
      </c>
      <c r="S23" s="13">
        <f>_xll.BDH("ALNY US Equity","BS_GROSS_FIX_ASSET","FQ4 2022","FQ4 2022","Currency=USD","Period=FQ","BEST_FPERIOD_OVERRIDE=FQ","FILING_STATUS=MR","SCALING_FORMAT=MLN","Sort=A","Dates=H","DateFormat=P","Fill=—","Direction=H","UseDPDF=Y")</f>
        <v>912.08</v>
      </c>
      <c r="T23" s="13" t="str">
        <f>_xll.BDH("ALNY US Equity","BS_GROSS_FIX_ASSET","FQ1 2023","FQ1 2023","Currency=USD","Period=FQ","BEST_FPERIOD_OVERRIDE=FQ","FILING_STATUS=MR","SCALING_FORMAT=MLN","Sort=A","Dates=H","DateFormat=P","Fill=—","Direction=H","UseDPDF=Y")</f>
        <v>—</v>
      </c>
      <c r="U23" s="13" t="str">
        <f>_xll.BDH("ALNY US Equity","BS_GROSS_FIX_ASSET","FQ2 2023","FQ2 2023","Currency=USD","Period=FQ","BEST_FPERIOD_OVERRIDE=FQ","FILING_STATUS=MR","SCALING_FORMAT=MLN","Sort=A","Dates=H","DateFormat=P","Fill=—","Direction=H","UseDPDF=Y")</f>
        <v>—</v>
      </c>
      <c r="V23" s="13" t="str">
        <f>_xll.BDH("ALNY US Equity","BS_GROSS_FIX_ASSET","FQ3 2023","FQ3 2023","Currency=USD","Period=FQ","BEST_FPERIOD_OVERRIDE=FQ","FILING_STATUS=MR","SCALING_FORMAT=MLN","Sort=A","Dates=H","DateFormat=P","Fill=—","Direction=H","UseDPDF=Y")</f>
        <v>—</v>
      </c>
      <c r="W23" s="13">
        <f>_xll.BDH("ALNY US Equity","BS_GROSS_FIX_ASSET","FQ4 2023","FQ4 2023","Currency=USD","Period=FQ","BEST_FPERIOD_OVERRIDE=FQ","FILING_STATUS=MR","SCALING_FORMAT=MLN","Sort=A","Dates=H","DateFormat=P","Fill=—","Direction=H","UseDPDF=Y")</f>
        <v>948.86500000000001</v>
      </c>
      <c r="X23" s="13" t="str">
        <f>_xll.BDH("ALNY US Equity","BS_GROSS_FIX_ASSET","FQ1 2024","FQ1 2024","Currency=USD","Period=FQ","BEST_FPERIOD_OVERRIDE=FQ","FILING_STATUS=MR","SCALING_FORMAT=MLN","Sort=A","Dates=H","DateFormat=P","Fill=—","Direction=H","UseDPDF=Y")</f>
        <v>—</v>
      </c>
      <c r="Y23" s="13" t="str">
        <f>_xll.BDH("ALNY US Equity","BS_GROSS_FIX_ASSET","FQ2 2024","FQ2 2024","Currency=USD","Period=FQ","BEST_FPERIOD_OVERRIDE=FQ","FILING_STATUS=MR","SCALING_FORMAT=MLN","Sort=A","Dates=H","DateFormat=P","Fill=—","Direction=H","UseDPDF=Y")</f>
        <v>—</v>
      </c>
      <c r="Z23" s="13" t="str">
        <f>_xll.BDH("ALNY US Equity","BS_GROSS_FIX_ASSET","FQ3 2024","FQ3 2024","Currency=USD","Period=FQ","BEST_FPERIOD_OVERRIDE=FQ","FILING_STATUS=MR","SCALING_FORMAT=MLN","Sort=A","Dates=H","DateFormat=P","Fill=—","Direction=H","UseDPDF=Y")</f>
        <v>—</v>
      </c>
      <c r="AA23" s="13">
        <f>_xll.BDH("ALNY US Equity","BS_GROSS_FIX_ASSET","FQ4 2024","FQ4 2024","Currency=USD","Period=FQ","BEST_FPERIOD_OVERRIDE=FQ","FILING_STATUS=MR","SCALING_FORMAT=MLN","Sort=A","Dates=H","DateFormat=P","Fill=—","Direction=H","UseDPDF=Y")</f>
        <v>964.29600000000005</v>
      </c>
    </row>
    <row r="24" spans="1:27" x14ac:dyDescent="0.25">
      <c r="A24" s="10" t="s">
        <v>706</v>
      </c>
      <c r="B24" s="10" t="s">
        <v>707</v>
      </c>
      <c r="C24" s="13">
        <f>_xll.BDH("ALNY US Equity","BS_ACCUM_DEPR","FQ4 2018","FQ4 2018","Currency=USD","Period=FQ","BEST_FPERIOD_OVERRIDE=FQ","FILING_STATUS=MR","SCALING_FORMAT=MLN","Sort=A","Dates=H","DateFormat=P","Fill=—","Direction=H","UseDPDF=Y")</f>
        <v>79.484999999999999</v>
      </c>
      <c r="D24" s="13" t="str">
        <f>_xll.BDH("ALNY US Equity","BS_ACCUM_DEPR","FQ1 2019","FQ1 2019","Currency=USD","Period=FQ","BEST_FPERIOD_OVERRIDE=FQ","FILING_STATUS=MR","SCALING_FORMAT=MLN","Sort=A","Dates=H","DateFormat=P","Fill=—","Direction=H","UseDPDF=Y")</f>
        <v>—</v>
      </c>
      <c r="E24" s="13" t="str">
        <f>_xll.BDH("ALNY US Equity","BS_ACCUM_DEPR","FQ2 2019","FQ2 2019","Currency=USD","Period=FQ","BEST_FPERIOD_OVERRIDE=FQ","FILING_STATUS=MR","SCALING_FORMAT=MLN","Sort=A","Dates=H","DateFormat=P","Fill=—","Direction=H","UseDPDF=Y")</f>
        <v>—</v>
      </c>
      <c r="F24" s="13" t="str">
        <f>_xll.BDH("ALNY US Equity","BS_ACCUM_DEPR","FQ3 2019","FQ3 2019","Currency=USD","Period=FQ","BEST_FPERIOD_OVERRIDE=FQ","FILING_STATUS=MR","SCALING_FORMAT=MLN","Sort=A","Dates=H","DateFormat=P","Fill=—","Direction=H","UseDPDF=Y")</f>
        <v>—</v>
      </c>
      <c r="G24" s="13">
        <f>_xll.BDH("ALNY US Equity","BS_ACCUM_DEPR","FQ4 2019","FQ4 2019","Currency=USD","Period=FQ","BEST_FPERIOD_OVERRIDE=FQ","FILING_STATUS=MR","SCALING_FORMAT=MLN","Sort=A","Dates=H","DateFormat=P","Fill=—","Direction=H","UseDPDF=Y")</f>
        <v>76.158000000000001</v>
      </c>
      <c r="H24" s="13" t="str">
        <f>_xll.BDH("ALNY US Equity","BS_ACCUM_DEPR","FQ1 2020","FQ1 2020","Currency=USD","Period=FQ","BEST_FPERIOD_OVERRIDE=FQ","FILING_STATUS=MR","SCALING_FORMAT=MLN","Sort=A","Dates=H","DateFormat=P","Fill=—","Direction=H","UseDPDF=Y")</f>
        <v>—</v>
      </c>
      <c r="I24" s="13" t="str">
        <f>_xll.BDH("ALNY US Equity","BS_ACCUM_DEPR","FQ2 2020","FQ2 2020","Currency=USD","Period=FQ","BEST_FPERIOD_OVERRIDE=FQ","FILING_STATUS=MR","SCALING_FORMAT=MLN","Sort=A","Dates=H","DateFormat=P","Fill=—","Direction=H","UseDPDF=Y")</f>
        <v>—</v>
      </c>
      <c r="J24" s="13" t="str">
        <f>_xll.BDH("ALNY US Equity","BS_ACCUM_DEPR","FQ3 2020","FQ3 2020","Currency=USD","Period=FQ","BEST_FPERIOD_OVERRIDE=FQ","FILING_STATUS=MR","SCALING_FORMAT=MLN","Sort=A","Dates=H","DateFormat=P","Fill=—","Direction=H","UseDPDF=Y")</f>
        <v>—</v>
      </c>
      <c r="K24" s="13">
        <f>_xll.BDH("ALNY US Equity","BS_ACCUM_DEPR","FQ4 2020","FQ4 2020","Currency=USD","Period=FQ","BEST_FPERIOD_OVERRIDE=FQ","FILING_STATUS=MR","SCALING_FORMAT=MLN","Sort=A","Dates=H","DateFormat=P","Fill=—","Direction=H","UseDPDF=Y")</f>
        <v>104.34699999999999</v>
      </c>
      <c r="L24" s="13" t="str">
        <f>_xll.BDH("ALNY US Equity","BS_ACCUM_DEPR","FQ1 2021","FQ1 2021","Currency=USD","Period=FQ","BEST_FPERIOD_OVERRIDE=FQ","FILING_STATUS=MR","SCALING_FORMAT=MLN","Sort=A","Dates=H","DateFormat=P","Fill=—","Direction=H","UseDPDF=Y")</f>
        <v>—</v>
      </c>
      <c r="M24" s="13" t="str">
        <f>_xll.BDH("ALNY US Equity","BS_ACCUM_DEPR","FQ2 2021","FQ2 2021","Currency=USD","Period=FQ","BEST_FPERIOD_OVERRIDE=FQ","FILING_STATUS=MR","SCALING_FORMAT=MLN","Sort=A","Dates=H","DateFormat=P","Fill=—","Direction=H","UseDPDF=Y")</f>
        <v>—</v>
      </c>
      <c r="N24" s="13" t="str">
        <f>_xll.BDH("ALNY US Equity","BS_ACCUM_DEPR","FQ3 2021","FQ3 2021","Currency=USD","Period=FQ","BEST_FPERIOD_OVERRIDE=FQ","FILING_STATUS=MR","SCALING_FORMAT=MLN","Sort=A","Dates=H","DateFormat=P","Fill=—","Direction=H","UseDPDF=Y")</f>
        <v>—</v>
      </c>
      <c r="O24" s="13">
        <f>_xll.BDH("ALNY US Equity","BS_ACCUM_DEPR","FQ4 2021","FQ4 2021","Currency=USD","Period=FQ","BEST_FPERIOD_OVERRIDE=FQ","FILING_STATUS=MR","SCALING_FORMAT=MLN","Sort=A","Dates=H","DateFormat=P","Fill=—","Direction=H","UseDPDF=Y")</f>
        <v>140.41499999999999</v>
      </c>
      <c r="P24" s="13" t="str">
        <f>_xll.BDH("ALNY US Equity","BS_ACCUM_DEPR","FQ1 2022","FQ1 2022","Currency=USD","Period=FQ","BEST_FPERIOD_OVERRIDE=FQ","FILING_STATUS=MR","SCALING_FORMAT=MLN","Sort=A","Dates=H","DateFormat=P","Fill=—","Direction=H","UseDPDF=Y")</f>
        <v>—</v>
      </c>
      <c r="Q24" s="13" t="str">
        <f>_xll.BDH("ALNY US Equity","BS_ACCUM_DEPR","FQ2 2022","FQ2 2022","Currency=USD","Period=FQ","BEST_FPERIOD_OVERRIDE=FQ","FILING_STATUS=MR","SCALING_FORMAT=MLN","Sort=A","Dates=H","DateFormat=P","Fill=—","Direction=H","UseDPDF=Y")</f>
        <v>—</v>
      </c>
      <c r="R24" s="13" t="str">
        <f>_xll.BDH("ALNY US Equity","BS_ACCUM_DEPR","FQ3 2022","FQ3 2022","Currency=USD","Period=FQ","BEST_FPERIOD_OVERRIDE=FQ","FILING_STATUS=MR","SCALING_FORMAT=MLN","Sort=A","Dates=H","DateFormat=P","Fill=—","Direction=H","UseDPDF=Y")</f>
        <v>—</v>
      </c>
      <c r="S24" s="13">
        <f>_xll.BDH("ALNY US Equity","BS_ACCUM_DEPR","FQ4 2022","FQ4 2022","Currency=USD","Period=FQ","BEST_FPERIOD_OVERRIDE=FQ","FILING_STATUS=MR","SCALING_FORMAT=MLN","Sort=A","Dates=H","DateFormat=P","Fill=—","Direction=H","UseDPDF=Y")</f>
        <v>173.45</v>
      </c>
      <c r="T24" s="13" t="str">
        <f>_xll.BDH("ALNY US Equity","BS_ACCUM_DEPR","FQ1 2023","FQ1 2023","Currency=USD","Period=FQ","BEST_FPERIOD_OVERRIDE=FQ","FILING_STATUS=MR","SCALING_FORMAT=MLN","Sort=A","Dates=H","DateFormat=P","Fill=—","Direction=H","UseDPDF=Y")</f>
        <v>—</v>
      </c>
      <c r="U24" s="13" t="str">
        <f>_xll.BDH("ALNY US Equity","BS_ACCUM_DEPR","FQ2 2023","FQ2 2023","Currency=USD","Period=FQ","BEST_FPERIOD_OVERRIDE=FQ","FILING_STATUS=MR","SCALING_FORMAT=MLN","Sort=A","Dates=H","DateFormat=P","Fill=—","Direction=H","UseDPDF=Y")</f>
        <v>—</v>
      </c>
      <c r="V24" s="13" t="str">
        <f>_xll.BDH("ALNY US Equity","BS_ACCUM_DEPR","FQ3 2023","FQ3 2023","Currency=USD","Period=FQ","BEST_FPERIOD_OVERRIDE=FQ","FILING_STATUS=MR","SCALING_FORMAT=MLN","Sort=A","Dates=H","DateFormat=P","Fill=—","Direction=H","UseDPDF=Y")</f>
        <v>—</v>
      </c>
      <c r="W24" s="13">
        <f>_xll.BDH("ALNY US Equity","BS_ACCUM_DEPR","FQ4 2023","FQ4 2023","Currency=USD","Period=FQ","BEST_FPERIOD_OVERRIDE=FQ","FILING_STATUS=MR","SCALING_FORMAT=MLN","Sort=A","Dates=H","DateFormat=P","Fill=—","Direction=H","UseDPDF=Y")</f>
        <v>223.07599999999999</v>
      </c>
      <c r="X24" s="13" t="str">
        <f>_xll.BDH("ALNY US Equity","BS_ACCUM_DEPR","FQ1 2024","FQ1 2024","Currency=USD","Period=FQ","BEST_FPERIOD_OVERRIDE=FQ","FILING_STATUS=MR","SCALING_FORMAT=MLN","Sort=A","Dates=H","DateFormat=P","Fill=—","Direction=H","UseDPDF=Y")</f>
        <v>—</v>
      </c>
      <c r="Y24" s="13" t="str">
        <f>_xll.BDH("ALNY US Equity","BS_ACCUM_DEPR","FQ2 2024","FQ2 2024","Currency=USD","Period=FQ","BEST_FPERIOD_OVERRIDE=FQ","FILING_STATUS=MR","SCALING_FORMAT=MLN","Sort=A","Dates=H","DateFormat=P","Fill=—","Direction=H","UseDPDF=Y")</f>
        <v>—</v>
      </c>
      <c r="Z24" s="13" t="str">
        <f>_xll.BDH("ALNY US Equity","BS_ACCUM_DEPR","FQ3 2024","FQ3 2024","Currency=USD","Period=FQ","BEST_FPERIOD_OVERRIDE=FQ","FILING_STATUS=MR","SCALING_FORMAT=MLN","Sort=A","Dates=H","DateFormat=P","Fill=—","Direction=H","UseDPDF=Y")</f>
        <v>—</v>
      </c>
      <c r="AA24" s="13">
        <f>_xll.BDH("ALNY US Equity","BS_ACCUM_DEPR","FQ4 2024","FQ4 2024","Currency=USD","Period=FQ","BEST_FPERIOD_OVERRIDE=FQ","FILING_STATUS=MR","SCALING_FORMAT=MLN","Sort=A","Dates=H","DateFormat=P","Fill=—","Direction=H","UseDPDF=Y")</f>
        <v>270.36399999999998</v>
      </c>
    </row>
    <row r="25" spans="1:27" x14ac:dyDescent="0.25">
      <c r="A25" s="10" t="s">
        <v>708</v>
      </c>
      <c r="B25" s="10" t="s">
        <v>709</v>
      </c>
      <c r="C25" s="13">
        <f>_xll.BDH("ALNY US Equity","BS_LT_INVEST","FQ4 2018","FQ4 2018","Currency=USD","Period=FQ","BEST_FPERIOD_OVERRIDE=FQ","FILING_STATUS=MR","SCALING_FORMAT=MLN","Sort=A","Dates=H","DateFormat=P","Fill=—","Direction=H","UseDPDF=Y")</f>
        <v>0</v>
      </c>
      <c r="D25" s="13">
        <f>_xll.BDH("ALNY US Equity","BS_LT_INVEST","FQ1 2019","FQ1 2019","Currency=USD","Period=FQ","BEST_FPERIOD_OVERRIDE=FQ","FILING_STATUS=MR","SCALING_FORMAT=MLN","Sort=A","Dates=H","DateFormat=P","Fill=—","Direction=H","UseDPDF=Y")</f>
        <v>0</v>
      </c>
      <c r="E25" s="13">
        <f>_xll.BDH("ALNY US Equity","BS_LT_INVEST","FQ2 2019","FQ2 2019","Currency=USD","Period=FQ","BEST_FPERIOD_OVERRIDE=FQ","FILING_STATUS=MR","SCALING_FORMAT=MLN","Sort=A","Dates=H","DateFormat=P","Fill=—","Direction=H","UseDPDF=Y")</f>
        <v>0</v>
      </c>
      <c r="F25" s="13">
        <f>_xll.BDH("ALNY US Equity","BS_LT_INVEST","FQ3 2019","FQ3 2019","Currency=USD","Period=FQ","BEST_FPERIOD_OVERRIDE=FQ","FILING_STATUS=MR","SCALING_FORMAT=MLN","Sort=A","Dates=H","DateFormat=P","Fill=—","Direction=H","UseDPDF=Y")</f>
        <v>0</v>
      </c>
      <c r="G25" s="13">
        <f>_xll.BDH("ALNY US Equity","BS_LT_INVEST","FQ4 2019","FQ4 2019","Currency=USD","Period=FQ","BEST_FPERIOD_OVERRIDE=FQ","FILING_STATUS=MR","SCALING_FORMAT=MLN","Sort=A","Dates=H","DateFormat=P","Fill=—","Direction=H","UseDPDF=Y")</f>
        <v>0</v>
      </c>
      <c r="H25" s="13">
        <f>_xll.BDH("ALNY US Equity","BS_LT_INVEST","FQ1 2020","FQ1 2020","Currency=USD","Period=FQ","BEST_FPERIOD_OVERRIDE=FQ","FILING_STATUS=MR","SCALING_FORMAT=MLN","Sort=A","Dates=H","DateFormat=P","Fill=—","Direction=H","UseDPDF=Y")</f>
        <v>0</v>
      </c>
      <c r="I25" s="13">
        <f>_xll.BDH("ALNY US Equity","BS_LT_INVEST","FQ2 2020","FQ2 2020","Currency=USD","Period=FQ","BEST_FPERIOD_OVERRIDE=FQ","FILING_STATUS=MR","SCALING_FORMAT=MLN","Sort=A","Dates=H","DateFormat=P","Fill=—","Direction=H","UseDPDF=Y")</f>
        <v>0</v>
      </c>
      <c r="J25" s="13">
        <f>_xll.BDH("ALNY US Equity","BS_LT_INVEST","FQ3 2020","FQ3 2020","Currency=USD","Period=FQ","BEST_FPERIOD_OVERRIDE=FQ","FILING_STATUS=MR","SCALING_FORMAT=MLN","Sort=A","Dates=H","DateFormat=P","Fill=—","Direction=H","UseDPDF=Y")</f>
        <v>0</v>
      </c>
      <c r="K25" s="13">
        <f>_xll.BDH("ALNY US Equity","BS_LT_INVEST","FQ4 2020","FQ4 2020","Currency=USD","Period=FQ","BEST_FPERIOD_OVERRIDE=FQ","FILING_STATUS=MR","SCALING_FORMAT=MLN","Sort=A","Dates=H","DateFormat=P","Fill=—","Direction=H","UseDPDF=Y")</f>
        <v>0</v>
      </c>
      <c r="L25" s="13">
        <f>_xll.BDH("ALNY US Equity","BS_LT_INVEST","FQ1 2021","FQ1 2021","Currency=USD","Period=FQ","BEST_FPERIOD_OVERRIDE=FQ","FILING_STATUS=MR","SCALING_FORMAT=MLN","Sort=A","Dates=H","DateFormat=P","Fill=—","Direction=H","UseDPDF=Y")</f>
        <v>0</v>
      </c>
      <c r="M25" s="13">
        <f>_xll.BDH("ALNY US Equity","BS_LT_INVEST","FQ2 2021","FQ2 2021","Currency=USD","Period=FQ","BEST_FPERIOD_OVERRIDE=FQ","FILING_STATUS=MR","SCALING_FORMAT=MLN","Sort=A","Dates=H","DateFormat=P","Fill=—","Direction=H","UseDPDF=Y")</f>
        <v>0</v>
      </c>
      <c r="N25" s="13">
        <f>_xll.BDH("ALNY US Equity","BS_LT_INVEST","FQ3 2021","FQ3 2021","Currency=USD","Period=FQ","BEST_FPERIOD_OVERRIDE=FQ","FILING_STATUS=MR","SCALING_FORMAT=MLN","Sort=A","Dates=H","DateFormat=P","Fill=—","Direction=H","UseDPDF=Y")</f>
        <v>0</v>
      </c>
      <c r="O25" s="13">
        <f>_xll.BDH("ALNY US Equity","BS_LT_INVEST","FQ4 2021","FQ4 2021","Currency=USD","Period=FQ","BEST_FPERIOD_OVERRIDE=FQ","FILING_STATUS=MR","SCALING_FORMAT=MLN","Sort=A","Dates=H","DateFormat=P","Fill=—","Direction=H","UseDPDF=Y")</f>
        <v>0</v>
      </c>
      <c r="P25" s="13">
        <f>_xll.BDH("ALNY US Equity","BS_LT_INVEST","FQ1 2022","FQ1 2022","Currency=USD","Period=FQ","BEST_FPERIOD_OVERRIDE=FQ","FILING_STATUS=MR","SCALING_FORMAT=MLN","Sort=A","Dates=H","DateFormat=P","Fill=—","Direction=H","UseDPDF=Y")</f>
        <v>0</v>
      </c>
      <c r="Q25" s="13">
        <f>_xll.BDH("ALNY US Equity","BS_LT_INVEST","FQ2 2022","FQ2 2022","Currency=USD","Period=FQ","BEST_FPERIOD_OVERRIDE=FQ","FILING_STATUS=MR","SCALING_FORMAT=MLN","Sort=A","Dates=H","DateFormat=P","Fill=—","Direction=H","UseDPDF=Y")</f>
        <v>0</v>
      </c>
      <c r="R25" s="13">
        <f>_xll.BDH("ALNY US Equity","BS_LT_INVEST","FQ3 2022","FQ3 2022","Currency=USD","Period=FQ","BEST_FPERIOD_OVERRIDE=FQ","FILING_STATUS=MR","SCALING_FORMAT=MLN","Sort=A","Dates=H","DateFormat=P","Fill=—","Direction=H","UseDPDF=Y")</f>
        <v>0</v>
      </c>
      <c r="S25" s="13">
        <f>_xll.BDH("ALNY US Equity","BS_LT_INVEST","FQ4 2022","FQ4 2022","Currency=USD","Period=FQ","BEST_FPERIOD_OVERRIDE=FQ","FILING_STATUS=MR","SCALING_FORMAT=MLN","Sort=A","Dates=H","DateFormat=P","Fill=—","Direction=H","UseDPDF=Y")</f>
        <v>0</v>
      </c>
      <c r="T25" s="13">
        <f>_xll.BDH("ALNY US Equity","BS_LT_INVEST","FQ1 2023","FQ1 2023","Currency=USD","Period=FQ","BEST_FPERIOD_OVERRIDE=FQ","FILING_STATUS=MR","SCALING_FORMAT=MLN","Sort=A","Dates=H","DateFormat=P","Fill=—","Direction=H","UseDPDF=Y")</f>
        <v>0</v>
      </c>
      <c r="U25" s="13">
        <f>_xll.BDH("ALNY US Equity","BS_LT_INVEST","FQ2 2023","FQ2 2023","Currency=USD","Period=FQ","BEST_FPERIOD_OVERRIDE=FQ","FILING_STATUS=MR","SCALING_FORMAT=MLN","Sort=A","Dates=H","DateFormat=P","Fill=—","Direction=H","UseDPDF=Y")</f>
        <v>0</v>
      </c>
      <c r="V25" s="13">
        <f>_xll.BDH("ALNY US Equity","BS_LT_INVEST","FQ3 2023","FQ3 2023","Currency=USD","Period=FQ","BEST_FPERIOD_OVERRIDE=FQ","FILING_STATUS=MR","SCALING_FORMAT=MLN","Sort=A","Dates=H","DateFormat=P","Fill=—","Direction=H","UseDPDF=Y")</f>
        <v>0</v>
      </c>
      <c r="W25" s="13">
        <f>_xll.BDH("ALNY US Equity","BS_LT_INVEST","FQ4 2023","FQ4 2023","Currency=USD","Period=FQ","BEST_FPERIOD_OVERRIDE=FQ","FILING_STATUS=MR","SCALING_FORMAT=MLN","Sort=A","Dates=H","DateFormat=P","Fill=—","Direction=H","UseDPDF=Y")</f>
        <v>0</v>
      </c>
      <c r="X25" s="13">
        <f>_xll.BDH("ALNY US Equity","BS_LT_INVEST","FQ1 2024","FQ1 2024","Currency=USD","Period=FQ","BEST_FPERIOD_OVERRIDE=FQ","FILING_STATUS=MR","SCALING_FORMAT=MLN","Sort=A","Dates=H","DateFormat=P","Fill=—","Direction=H","UseDPDF=Y")</f>
        <v>0</v>
      </c>
      <c r="Y25" s="13">
        <f>_xll.BDH("ALNY US Equity","BS_LT_INVEST","FQ2 2024","FQ2 2024","Currency=USD","Period=FQ","BEST_FPERIOD_OVERRIDE=FQ","FILING_STATUS=MR","SCALING_FORMAT=MLN","Sort=A","Dates=H","DateFormat=P","Fill=—","Direction=H","UseDPDF=Y")</f>
        <v>0</v>
      </c>
      <c r="Z25" s="13">
        <f>_xll.BDH("ALNY US Equity","BS_LT_INVEST","FQ3 2024","FQ3 2024","Currency=USD","Period=FQ","BEST_FPERIOD_OVERRIDE=FQ","FILING_STATUS=MR","SCALING_FORMAT=MLN","Sort=A","Dates=H","DateFormat=P","Fill=—","Direction=H","UseDPDF=Y")</f>
        <v>0</v>
      </c>
      <c r="AA25" s="13">
        <f>_xll.BDH("ALNY US Equity","BS_LT_INVEST","FQ4 2024","FQ4 2024","Currency=USD","Period=FQ","BEST_FPERIOD_OVERRIDE=FQ","FILING_STATUS=MR","SCALING_FORMAT=MLN","Sort=A","Dates=H","DateFormat=P","Fill=—","Direction=H","UseDPDF=Y")</f>
        <v>0</v>
      </c>
    </row>
    <row r="26" spans="1:27" x14ac:dyDescent="0.25">
      <c r="A26" s="10" t="s">
        <v>710</v>
      </c>
      <c r="B26" s="10" t="s">
        <v>711</v>
      </c>
      <c r="C26" s="13">
        <f>_xll.BDH("ALNY US Equity","BS_LT_MARKETABLE_SECURITIES","FQ4 2018","FQ4 2018","Currency=USD","Period=FQ","BEST_FPERIOD_OVERRIDE=FQ","FILING_STATUS=MR","SCALING_FORMAT=MLN","Sort=A","Dates=H","DateFormat=P","Fill=—","Direction=H","UseDPDF=Y")</f>
        <v>0</v>
      </c>
      <c r="D26" s="13" t="str">
        <f>_xll.BDH("ALNY US Equity","BS_LT_MARKETABLE_SECURITIES","FQ1 2019","FQ1 2019","Currency=USD","Period=FQ","BEST_FPERIOD_OVERRIDE=FQ","FILING_STATUS=MR","SCALING_FORMAT=MLN","Sort=A","Dates=H","DateFormat=P","Fill=—","Direction=H","UseDPDF=Y")</f>
        <v>—</v>
      </c>
      <c r="E26" s="13">
        <f>_xll.BDH("ALNY US Equity","BS_LT_MARKETABLE_SECURITIES","FQ2 2019","FQ2 2019","Currency=USD","Period=FQ","BEST_FPERIOD_OVERRIDE=FQ","FILING_STATUS=MR","SCALING_FORMAT=MLN","Sort=A","Dates=H","DateFormat=P","Fill=—","Direction=H","UseDPDF=Y")</f>
        <v>0</v>
      </c>
      <c r="F26" s="13" t="str">
        <f>_xll.BDH("ALNY US Equity","BS_LT_MARKETABLE_SECURITIES","FQ3 2019","FQ3 2019","Currency=USD","Period=FQ","BEST_FPERIOD_OVERRIDE=FQ","FILING_STATUS=MR","SCALING_FORMAT=MLN","Sort=A","Dates=H","DateFormat=P","Fill=—","Direction=H","UseDPDF=Y")</f>
        <v>—</v>
      </c>
      <c r="G26" s="13" t="str">
        <f>_xll.BDH("ALNY US Equity","BS_LT_MARKETABLE_SECURITIES","FQ4 2019","FQ4 2019","Currency=USD","Period=FQ","BEST_FPERIOD_OVERRIDE=FQ","FILING_STATUS=MR","SCALING_FORMAT=MLN","Sort=A","Dates=H","DateFormat=P","Fill=—","Direction=H","UseDPDF=Y")</f>
        <v>—</v>
      </c>
      <c r="H26" s="13" t="str">
        <f>_xll.BDH("ALNY US Equity","BS_LT_MARKETABLE_SECURITIES","FQ1 2020","FQ1 2020","Currency=USD","Period=FQ","BEST_FPERIOD_OVERRIDE=FQ","FILING_STATUS=MR","SCALING_FORMAT=MLN","Sort=A","Dates=H","DateFormat=P","Fill=—","Direction=H","UseDPDF=Y")</f>
        <v>—</v>
      </c>
      <c r="I26" s="13" t="str">
        <f>_xll.BDH("ALNY US Equity","BS_LT_MARKETABLE_SECURITIES","FQ2 2020","FQ2 2020","Currency=USD","Period=FQ","BEST_FPERIOD_OVERRIDE=FQ","FILING_STATUS=MR","SCALING_FORMAT=MLN","Sort=A","Dates=H","DateFormat=P","Fill=—","Direction=H","UseDPDF=Y")</f>
        <v>—</v>
      </c>
      <c r="J26" s="13" t="str">
        <f>_xll.BDH("ALNY US Equity","BS_LT_MARKETABLE_SECURITIES","FQ3 2020","FQ3 2020","Currency=USD","Period=FQ","BEST_FPERIOD_OVERRIDE=FQ","FILING_STATUS=MR","SCALING_FORMAT=MLN","Sort=A","Dates=H","DateFormat=P","Fill=—","Direction=H","UseDPDF=Y")</f>
        <v>—</v>
      </c>
      <c r="K26" s="13" t="str">
        <f>_xll.BDH("ALNY US Equity","BS_LT_MARKETABLE_SECURITIES","FQ4 2020","FQ4 2020","Currency=USD","Period=FQ","BEST_FPERIOD_OVERRIDE=FQ","FILING_STATUS=MR","SCALING_FORMAT=MLN","Sort=A","Dates=H","DateFormat=P","Fill=—","Direction=H","UseDPDF=Y")</f>
        <v>—</v>
      </c>
      <c r="L26" s="13" t="str">
        <f>_xll.BDH("ALNY US Equity","BS_LT_MARKETABLE_SECURITIES","FQ1 2021","FQ1 2021","Currency=USD","Period=FQ","BEST_FPERIOD_OVERRIDE=FQ","FILING_STATUS=MR","SCALING_FORMAT=MLN","Sort=A","Dates=H","DateFormat=P","Fill=—","Direction=H","UseDPDF=Y")</f>
        <v>—</v>
      </c>
      <c r="M26" s="13" t="str">
        <f>_xll.BDH("ALNY US Equity","BS_LT_MARKETABLE_SECURITIES","FQ2 2021","FQ2 2021","Currency=USD","Period=FQ","BEST_FPERIOD_OVERRIDE=FQ","FILING_STATUS=MR","SCALING_FORMAT=MLN","Sort=A","Dates=H","DateFormat=P","Fill=—","Direction=H","UseDPDF=Y")</f>
        <v>—</v>
      </c>
      <c r="N26" s="13" t="str">
        <f>_xll.BDH("ALNY US Equity","BS_LT_MARKETABLE_SECURITIES","FQ3 2021","FQ3 2021","Currency=USD","Period=FQ","BEST_FPERIOD_OVERRIDE=FQ","FILING_STATUS=MR","SCALING_FORMAT=MLN","Sort=A","Dates=H","DateFormat=P","Fill=—","Direction=H","UseDPDF=Y")</f>
        <v>—</v>
      </c>
      <c r="O26" s="13" t="str">
        <f>_xll.BDH("ALNY US Equity","BS_LT_MARKETABLE_SECURITIES","FQ4 2021","FQ4 2021","Currency=USD","Period=FQ","BEST_FPERIOD_OVERRIDE=FQ","FILING_STATUS=MR","SCALING_FORMAT=MLN","Sort=A","Dates=H","DateFormat=P","Fill=—","Direction=H","UseDPDF=Y")</f>
        <v>—</v>
      </c>
      <c r="P26" s="13" t="str">
        <f>_xll.BDH("ALNY US Equity","BS_LT_MARKETABLE_SECURITIES","FQ1 2022","FQ1 2022","Currency=USD","Period=FQ","BEST_FPERIOD_OVERRIDE=FQ","FILING_STATUS=MR","SCALING_FORMAT=MLN","Sort=A","Dates=H","DateFormat=P","Fill=—","Direction=H","UseDPDF=Y")</f>
        <v>—</v>
      </c>
      <c r="Q26" s="13" t="str">
        <f>_xll.BDH("ALNY US Equity","BS_LT_MARKETABLE_SECURITIES","FQ2 2022","FQ2 2022","Currency=USD","Period=FQ","BEST_FPERIOD_OVERRIDE=FQ","FILING_STATUS=MR","SCALING_FORMAT=MLN","Sort=A","Dates=H","DateFormat=P","Fill=—","Direction=H","UseDPDF=Y")</f>
        <v>—</v>
      </c>
      <c r="R26" s="13" t="str">
        <f>_xll.BDH("ALNY US Equity","BS_LT_MARKETABLE_SECURITIES","FQ3 2022","FQ3 2022","Currency=USD","Period=FQ","BEST_FPERIOD_OVERRIDE=FQ","FILING_STATUS=MR","SCALING_FORMAT=MLN","Sort=A","Dates=H","DateFormat=P","Fill=—","Direction=H","UseDPDF=Y")</f>
        <v>—</v>
      </c>
      <c r="S26" s="13" t="str">
        <f>_xll.BDH("ALNY US Equity","BS_LT_MARKETABLE_SECURITIES","FQ4 2022","FQ4 2022","Currency=USD","Period=FQ","BEST_FPERIOD_OVERRIDE=FQ","FILING_STATUS=MR","SCALING_FORMAT=MLN","Sort=A","Dates=H","DateFormat=P","Fill=—","Direction=H","UseDPDF=Y")</f>
        <v>—</v>
      </c>
      <c r="T26" s="13" t="str">
        <f>_xll.BDH("ALNY US Equity","BS_LT_MARKETABLE_SECURITIES","FQ1 2023","FQ1 2023","Currency=USD","Period=FQ","BEST_FPERIOD_OVERRIDE=FQ","FILING_STATUS=MR","SCALING_FORMAT=MLN","Sort=A","Dates=H","DateFormat=P","Fill=—","Direction=H","UseDPDF=Y")</f>
        <v>—</v>
      </c>
      <c r="U26" s="13" t="str">
        <f>_xll.BDH("ALNY US Equity","BS_LT_MARKETABLE_SECURITIES","FQ2 2023","FQ2 2023","Currency=USD","Period=FQ","BEST_FPERIOD_OVERRIDE=FQ","FILING_STATUS=MR","SCALING_FORMAT=MLN","Sort=A","Dates=H","DateFormat=P","Fill=—","Direction=H","UseDPDF=Y")</f>
        <v>—</v>
      </c>
      <c r="V26" s="13" t="str">
        <f>_xll.BDH("ALNY US Equity","BS_LT_MARKETABLE_SECURITIES","FQ3 2023","FQ3 2023","Currency=USD","Period=FQ","BEST_FPERIOD_OVERRIDE=FQ","FILING_STATUS=MR","SCALING_FORMAT=MLN","Sort=A","Dates=H","DateFormat=P","Fill=—","Direction=H","UseDPDF=Y")</f>
        <v>—</v>
      </c>
      <c r="W26" s="13" t="str">
        <f>_xll.BDH("ALNY US Equity","BS_LT_MARKETABLE_SECURITIES","FQ4 2023","FQ4 2023","Currency=USD","Period=FQ","BEST_FPERIOD_OVERRIDE=FQ","FILING_STATUS=MR","SCALING_FORMAT=MLN","Sort=A","Dates=H","DateFormat=P","Fill=—","Direction=H","UseDPDF=Y")</f>
        <v>—</v>
      </c>
      <c r="X26" s="13" t="str">
        <f>_xll.BDH("ALNY US Equity","BS_LT_MARKETABLE_SECURITIES","FQ1 2024","FQ1 2024","Currency=USD","Period=FQ","BEST_FPERIOD_OVERRIDE=FQ","FILING_STATUS=MR","SCALING_FORMAT=MLN","Sort=A","Dates=H","DateFormat=P","Fill=—","Direction=H","UseDPDF=Y")</f>
        <v>—</v>
      </c>
      <c r="Y26" s="13" t="str">
        <f>_xll.BDH("ALNY US Equity","BS_LT_MARKETABLE_SECURITIES","FQ2 2024","FQ2 2024","Currency=USD","Period=FQ","BEST_FPERIOD_OVERRIDE=FQ","FILING_STATUS=MR","SCALING_FORMAT=MLN","Sort=A","Dates=H","DateFormat=P","Fill=—","Direction=H","UseDPDF=Y")</f>
        <v>—</v>
      </c>
      <c r="Z26" s="13" t="str">
        <f>_xll.BDH("ALNY US Equity","BS_LT_MARKETABLE_SECURITIES","FQ3 2024","FQ3 2024","Currency=USD","Period=FQ","BEST_FPERIOD_OVERRIDE=FQ","FILING_STATUS=MR","SCALING_FORMAT=MLN","Sort=A","Dates=H","DateFormat=P","Fill=—","Direction=H","UseDPDF=Y")</f>
        <v>—</v>
      </c>
      <c r="AA26" s="13" t="str">
        <f>_xll.BDH("ALNY US Equity","BS_LT_MARKETABLE_SECURITIES","FQ4 2024","FQ4 2024","Currency=USD","Period=FQ","BEST_FPERIOD_OVERRIDE=FQ","FILING_STATUS=MR","SCALING_FORMAT=MLN","Sort=A","Dates=H","DateFormat=P","Fill=—","Direction=H","UseDPDF=Y")</f>
        <v>—</v>
      </c>
    </row>
    <row r="27" spans="1:27" x14ac:dyDescent="0.25">
      <c r="A27" s="10" t="s">
        <v>712</v>
      </c>
      <c r="B27" s="10" t="s">
        <v>713</v>
      </c>
      <c r="C27" s="13">
        <f>_xll.BDH("ALNY US Equity","BS_OTHER_ASSETS_DEF_CHRG_OTHER","FQ4 2018","FQ4 2018","Currency=USD","Period=FQ","BEST_FPERIOD_OVERRIDE=FQ","FILING_STATUS=MR","SCALING_FORMAT=MLN","Sort=A","Dates=H","DateFormat=P","Fill=—","Direction=H","UseDPDF=Y")</f>
        <v>53.448</v>
      </c>
      <c r="D27" s="13">
        <f>_xll.BDH("ALNY US Equity","BS_OTHER_ASSETS_DEF_CHRG_OTHER","FQ1 2019","FQ1 2019","Currency=USD","Period=FQ","BEST_FPERIOD_OVERRIDE=FQ","FILING_STATUS=MR","SCALING_FORMAT=MLN","Sort=A","Dates=H","DateFormat=P","Fill=—","Direction=H","UseDPDF=Y")</f>
        <v>53.862000000000002</v>
      </c>
      <c r="E27" s="13">
        <f>_xll.BDH("ALNY US Equity","BS_OTHER_ASSETS_DEF_CHRG_OTHER","FQ2 2019","FQ2 2019","Currency=USD","Period=FQ","BEST_FPERIOD_OVERRIDE=FQ","FILING_STATUS=MR","SCALING_FORMAT=MLN","Sort=A","Dates=H","DateFormat=P","Fill=—","Direction=H","UseDPDF=Y")</f>
        <v>54.512</v>
      </c>
      <c r="F27" s="13">
        <f>_xll.BDH("ALNY US Equity","BS_OTHER_ASSETS_DEF_CHRG_OTHER","FQ3 2019","FQ3 2019","Currency=USD","Period=FQ","BEST_FPERIOD_OVERRIDE=FQ","FILING_STATUS=MR","SCALING_FORMAT=MLN","Sort=A","Dates=H","DateFormat=P","Fill=—","Direction=H","UseDPDF=Y")</f>
        <v>24.457000000000001</v>
      </c>
      <c r="G27" s="13">
        <f>_xll.BDH("ALNY US Equity","BS_OTHER_ASSETS_DEF_CHRG_OTHER","FQ4 2019","FQ4 2019","Currency=USD","Period=FQ","BEST_FPERIOD_OVERRIDE=FQ","FILING_STATUS=MR","SCALING_FORMAT=MLN","Sort=A","Dates=H","DateFormat=P","Fill=—","Direction=H","UseDPDF=Y")</f>
        <v>32.893999999999998</v>
      </c>
      <c r="H27" s="13">
        <f>_xll.BDH("ALNY US Equity","BS_OTHER_ASSETS_DEF_CHRG_OTHER","FQ1 2020","FQ1 2020","Currency=USD","Period=FQ","BEST_FPERIOD_OVERRIDE=FQ","FILING_STATUS=MR","SCALING_FORMAT=MLN","Sort=A","Dates=H","DateFormat=P","Fill=—","Direction=H","UseDPDF=Y")</f>
        <v>43.756999999999998</v>
      </c>
      <c r="I27" s="13">
        <f>_xll.BDH("ALNY US Equity","BS_OTHER_ASSETS_DEF_CHRG_OTHER","FQ2 2020","FQ2 2020","Currency=USD","Period=FQ","BEST_FPERIOD_OVERRIDE=FQ","FILING_STATUS=MR","SCALING_FORMAT=MLN","Sort=A","Dates=H","DateFormat=P","Fill=—","Direction=H","UseDPDF=Y")</f>
        <v>545.12099999999998</v>
      </c>
      <c r="J27" s="13">
        <f>_xll.BDH("ALNY US Equity","BS_OTHER_ASSETS_DEF_CHRG_OTHER","FQ3 2020","FQ3 2020","Currency=USD","Period=FQ","BEST_FPERIOD_OVERRIDE=FQ","FILING_STATUS=MR","SCALING_FORMAT=MLN","Sort=A","Dates=H","DateFormat=P","Fill=—","Direction=H","UseDPDF=Y")</f>
        <v>62.656999999999996</v>
      </c>
      <c r="K27" s="13">
        <f>_xll.BDH("ALNY US Equity","BS_OTHER_ASSETS_DEF_CHRG_OTHER","FQ4 2020","FQ4 2020","Currency=USD","Period=FQ","BEST_FPERIOD_OVERRIDE=FQ","FILING_STATUS=MR","SCALING_FORMAT=MLN","Sort=A","Dates=H","DateFormat=P","Fill=—","Direction=H","UseDPDF=Y")</f>
        <v>85.77</v>
      </c>
      <c r="L27" s="13">
        <f>_xll.BDH("ALNY US Equity","BS_OTHER_ASSETS_DEF_CHRG_OTHER","FQ1 2021","FQ1 2021","Currency=USD","Period=FQ","BEST_FPERIOD_OVERRIDE=FQ","FILING_STATUS=MR","SCALING_FORMAT=MLN","Sort=A","Dates=H","DateFormat=P","Fill=—","Direction=H","UseDPDF=Y")</f>
        <v>83.400999999999996</v>
      </c>
      <c r="M27" s="13">
        <f>_xll.BDH("ALNY US Equity","BS_OTHER_ASSETS_DEF_CHRG_OTHER","FQ2 2021","FQ2 2021","Currency=USD","Period=FQ","BEST_FPERIOD_OVERRIDE=FQ","FILING_STATUS=MR","SCALING_FORMAT=MLN","Sort=A","Dates=H","DateFormat=P","Fill=—","Direction=H","UseDPDF=Y")</f>
        <v>75.477000000000004</v>
      </c>
      <c r="N27" s="13">
        <f>_xll.BDH("ALNY US Equity","BS_OTHER_ASSETS_DEF_CHRG_OTHER","FQ3 2021","FQ3 2021","Currency=USD","Period=FQ","BEST_FPERIOD_OVERRIDE=FQ","FILING_STATUS=MR","SCALING_FORMAT=MLN","Sort=A","Dates=H","DateFormat=P","Fill=—","Direction=H","UseDPDF=Y")</f>
        <v>76.156999999999996</v>
      </c>
      <c r="O27" s="13">
        <f>_xll.BDH("ALNY US Equity","BS_OTHER_ASSETS_DEF_CHRG_OTHER","FQ4 2021","FQ4 2021","Currency=USD","Period=FQ","BEST_FPERIOD_OVERRIDE=FQ","FILING_STATUS=MR","SCALING_FORMAT=MLN","Sort=A","Dates=H","DateFormat=P","Fill=—","Direction=H","UseDPDF=Y")</f>
        <v>101.095</v>
      </c>
      <c r="P27" s="13">
        <f>_xll.BDH("ALNY US Equity","BS_OTHER_ASSETS_DEF_CHRG_OTHER","FQ1 2022","FQ1 2022","Currency=USD","Period=FQ","BEST_FPERIOD_OVERRIDE=FQ","FILING_STATUS=MR","SCALING_FORMAT=MLN","Sort=A","Dates=H","DateFormat=P","Fill=—","Direction=H","UseDPDF=Y")</f>
        <v>110.71</v>
      </c>
      <c r="Q27" s="13">
        <f>_xll.BDH("ALNY US Equity","BS_OTHER_ASSETS_DEF_CHRG_OTHER","FQ2 2022","FQ2 2022","Currency=USD","Period=FQ","BEST_FPERIOD_OVERRIDE=FQ","FILING_STATUS=MR","SCALING_FORMAT=MLN","Sort=A","Dates=H","DateFormat=P","Fill=—","Direction=H","UseDPDF=Y")</f>
        <v>126.657</v>
      </c>
      <c r="R27" s="13">
        <f>_xll.BDH("ALNY US Equity","BS_OTHER_ASSETS_DEF_CHRG_OTHER","FQ3 2022","FQ3 2022","Currency=USD","Period=FQ","BEST_FPERIOD_OVERRIDE=FQ","FILING_STATUS=MR","SCALING_FORMAT=MLN","Sort=A","Dates=H","DateFormat=P","Fill=—","Direction=H","UseDPDF=Y")</f>
        <v>110.785</v>
      </c>
      <c r="S27" s="13">
        <f>_xll.BDH("ALNY US Equity","BS_OTHER_ASSETS_DEF_CHRG_OTHER","FQ4 2022","FQ4 2022","Currency=USD","Period=FQ","BEST_FPERIOD_OVERRIDE=FQ","FILING_STATUS=MR","SCALING_FORMAT=MLN","Sort=A","Dates=H","DateFormat=P","Fill=—","Direction=H","UseDPDF=Y")</f>
        <v>115.482</v>
      </c>
      <c r="T27" s="13">
        <f>_xll.BDH("ALNY US Equity","BS_OTHER_ASSETS_DEF_CHRG_OTHER","FQ1 2023","FQ1 2023","Currency=USD","Period=FQ","BEST_FPERIOD_OVERRIDE=FQ","FILING_STATUS=MR","SCALING_FORMAT=MLN","Sort=A","Dates=H","DateFormat=P","Fill=—","Direction=H","UseDPDF=Y")</f>
        <v>112.84099999999999</v>
      </c>
      <c r="U27" s="13">
        <f>_xll.BDH("ALNY US Equity","BS_OTHER_ASSETS_DEF_CHRG_OTHER","FQ2 2023","FQ2 2023","Currency=USD","Period=FQ","BEST_FPERIOD_OVERRIDE=FQ","FILING_STATUS=MR","SCALING_FORMAT=MLN","Sort=A","Dates=H","DateFormat=P","Fill=—","Direction=H","UseDPDF=Y")</f>
        <v>142.07400000000001</v>
      </c>
      <c r="V27" s="13">
        <f>_xll.BDH("ALNY US Equity","BS_OTHER_ASSETS_DEF_CHRG_OTHER","FQ3 2023","FQ3 2023","Currency=USD","Period=FQ","BEST_FPERIOD_OVERRIDE=FQ","FILING_STATUS=MR","SCALING_FORMAT=MLN","Sort=A","Dates=H","DateFormat=P","Fill=—","Direction=H","UseDPDF=Y")</f>
        <v>124.545</v>
      </c>
      <c r="W27" s="13">
        <f>_xll.BDH("ALNY US Equity","BS_OTHER_ASSETS_DEF_CHRG_OTHER","FQ4 2023","FQ4 2023","Currency=USD","Period=FQ","BEST_FPERIOD_OVERRIDE=FQ","FILING_STATUS=MR","SCALING_FORMAT=MLN","Sort=A","Dates=H","DateFormat=P","Fill=—","Direction=H","UseDPDF=Y")</f>
        <v>121.39400000000001</v>
      </c>
      <c r="X27" s="13">
        <f>_xll.BDH("ALNY US Equity","BS_OTHER_ASSETS_DEF_CHRG_OTHER","FQ1 2024","FQ1 2024","Currency=USD","Period=FQ","BEST_FPERIOD_OVERRIDE=FQ","FILING_STATUS=MR","SCALING_FORMAT=MLN","Sort=A","Dates=H","DateFormat=P","Fill=—","Direction=H","UseDPDF=Y")</f>
        <v>116.851</v>
      </c>
      <c r="Y27" s="13">
        <f>_xll.BDH("ALNY US Equity","BS_OTHER_ASSETS_DEF_CHRG_OTHER","FQ2 2024","FQ2 2024","Currency=USD","Period=FQ","BEST_FPERIOD_OVERRIDE=FQ","FILING_STATUS=MR","SCALING_FORMAT=MLN","Sort=A","Dates=H","DateFormat=P","Fill=—","Direction=H","UseDPDF=Y")</f>
        <v>121.316</v>
      </c>
      <c r="Z27" s="13">
        <f>_xll.BDH("ALNY US Equity","BS_OTHER_ASSETS_DEF_CHRG_OTHER","FQ3 2024","FQ3 2024","Currency=USD","Period=FQ","BEST_FPERIOD_OVERRIDE=FQ","FILING_STATUS=MR","SCALING_FORMAT=MLN","Sort=A","Dates=H","DateFormat=P","Fill=—","Direction=H","UseDPDF=Y")</f>
        <v>146.21</v>
      </c>
      <c r="AA27" s="13">
        <f>_xll.BDH("ALNY US Equity","BS_OTHER_ASSETS_DEF_CHRG_OTHER","FQ4 2024","FQ4 2024","Currency=USD","Period=FQ","BEST_FPERIOD_OVERRIDE=FQ","FILING_STATUS=MR","SCALING_FORMAT=MLN","Sort=A","Dates=H","DateFormat=P","Fill=—","Direction=H","UseDPDF=Y")</f>
        <v>250.76599999999999</v>
      </c>
    </row>
    <row r="28" spans="1:27" x14ac:dyDescent="0.25">
      <c r="A28" s="10" t="s">
        <v>714</v>
      </c>
      <c r="B28" s="10" t="s">
        <v>715</v>
      </c>
      <c r="C28" s="13">
        <f>_xll.BDH("ALNY US Equity","BS_DISCLOSED_INTANGIBLES","FQ4 2018","FQ4 2018","Currency=USD","Period=FQ","BEST_FPERIOD_OVERRIDE=FQ","FILING_STATUS=MR","SCALING_FORMAT=MLN","Sort=A","Dates=H","DateFormat=P","Fill=—","Direction=H","UseDPDF=Y")</f>
        <v>0</v>
      </c>
      <c r="D28" s="13" t="str">
        <f>_xll.BDH("ALNY US Equity","BS_DISCLOSED_INTANGIBLES","FQ1 2019","FQ1 2019","Currency=USD","Period=FQ","BEST_FPERIOD_OVERRIDE=FQ","FILING_STATUS=MR","SCALING_FORMAT=MLN","Sort=A","Dates=H","DateFormat=P","Fill=—","Direction=H","UseDPDF=Y")</f>
        <v>—</v>
      </c>
      <c r="E28" s="13">
        <f>_xll.BDH("ALNY US Equity","BS_DISCLOSED_INTANGIBLES","FQ2 2019","FQ2 2019","Currency=USD","Period=FQ","BEST_FPERIOD_OVERRIDE=FQ","FILING_STATUS=MR","SCALING_FORMAT=MLN","Sort=A","Dates=H","DateFormat=P","Fill=—","Direction=H","UseDPDF=Y")</f>
        <v>0</v>
      </c>
      <c r="F28" s="13">
        <f>_xll.BDH("ALNY US Equity","BS_DISCLOSED_INTANGIBLES","FQ3 2019","FQ3 2019","Currency=USD","Period=FQ","BEST_FPERIOD_OVERRIDE=FQ","FILING_STATUS=MR","SCALING_FORMAT=MLN","Sort=A","Dates=H","DateFormat=P","Fill=—","Direction=H","UseDPDF=Y")</f>
        <v>0</v>
      </c>
      <c r="G28" s="13">
        <f>_xll.BDH("ALNY US Equity","BS_DISCLOSED_INTANGIBLES","FQ4 2019","FQ4 2019","Currency=USD","Period=FQ","BEST_FPERIOD_OVERRIDE=FQ","FILING_STATUS=MR","SCALING_FORMAT=MLN","Sort=A","Dates=H","DateFormat=P","Fill=—","Direction=H","UseDPDF=Y")</f>
        <v>0</v>
      </c>
      <c r="H28" s="13">
        <f>_xll.BDH("ALNY US Equity","BS_DISCLOSED_INTANGIBLES","FQ1 2020","FQ1 2020","Currency=USD","Period=FQ","BEST_FPERIOD_OVERRIDE=FQ","FILING_STATUS=MR","SCALING_FORMAT=MLN","Sort=A","Dates=H","DateFormat=P","Fill=—","Direction=H","UseDPDF=Y")</f>
        <v>0</v>
      </c>
      <c r="I28" s="13">
        <f>_xll.BDH("ALNY US Equity","BS_DISCLOSED_INTANGIBLES","FQ2 2020","FQ2 2020","Currency=USD","Period=FQ","BEST_FPERIOD_OVERRIDE=FQ","FILING_STATUS=MR","SCALING_FORMAT=MLN","Sort=A","Dates=H","DateFormat=P","Fill=—","Direction=H","UseDPDF=Y")</f>
        <v>0</v>
      </c>
      <c r="J28" s="13">
        <f>_xll.BDH("ALNY US Equity","BS_DISCLOSED_INTANGIBLES","FQ3 2020","FQ3 2020","Currency=USD","Period=FQ","BEST_FPERIOD_OVERRIDE=FQ","FILING_STATUS=MR","SCALING_FORMAT=MLN","Sort=A","Dates=H","DateFormat=P","Fill=—","Direction=H","UseDPDF=Y")</f>
        <v>0</v>
      </c>
      <c r="K28" s="13">
        <f>_xll.BDH("ALNY US Equity","BS_DISCLOSED_INTANGIBLES","FQ4 2020","FQ4 2020","Currency=USD","Period=FQ","BEST_FPERIOD_OVERRIDE=FQ","FILING_STATUS=MR","SCALING_FORMAT=MLN","Sort=A","Dates=H","DateFormat=P","Fill=—","Direction=H","UseDPDF=Y")</f>
        <v>0</v>
      </c>
      <c r="L28" s="13">
        <f>_xll.BDH("ALNY US Equity","BS_DISCLOSED_INTANGIBLES","FQ1 2021","FQ1 2021","Currency=USD","Period=FQ","BEST_FPERIOD_OVERRIDE=FQ","FILING_STATUS=MR","SCALING_FORMAT=MLN","Sort=A","Dates=H","DateFormat=P","Fill=—","Direction=H","UseDPDF=Y")</f>
        <v>0</v>
      </c>
      <c r="M28" s="13">
        <f>_xll.BDH("ALNY US Equity","BS_DISCLOSED_INTANGIBLES","FQ2 2021","FQ2 2021","Currency=USD","Period=FQ","BEST_FPERIOD_OVERRIDE=FQ","FILING_STATUS=MR","SCALING_FORMAT=MLN","Sort=A","Dates=H","DateFormat=P","Fill=—","Direction=H","UseDPDF=Y")</f>
        <v>0</v>
      </c>
      <c r="N28" s="13">
        <f>_xll.BDH("ALNY US Equity","BS_DISCLOSED_INTANGIBLES","FQ3 2021","FQ3 2021","Currency=USD","Period=FQ","BEST_FPERIOD_OVERRIDE=FQ","FILING_STATUS=MR","SCALING_FORMAT=MLN","Sort=A","Dates=H","DateFormat=P","Fill=—","Direction=H","UseDPDF=Y")</f>
        <v>0</v>
      </c>
      <c r="O28" s="13">
        <f>_xll.BDH("ALNY US Equity","BS_DISCLOSED_INTANGIBLES","FQ4 2021","FQ4 2021","Currency=USD","Period=FQ","BEST_FPERIOD_OVERRIDE=FQ","FILING_STATUS=MR","SCALING_FORMAT=MLN","Sort=A","Dates=H","DateFormat=P","Fill=—","Direction=H","UseDPDF=Y")</f>
        <v>0</v>
      </c>
      <c r="P28" s="13">
        <f>_xll.BDH("ALNY US Equity","BS_DISCLOSED_INTANGIBLES","FQ1 2022","FQ1 2022","Currency=USD","Period=FQ","BEST_FPERIOD_OVERRIDE=FQ","FILING_STATUS=MR","SCALING_FORMAT=MLN","Sort=A","Dates=H","DateFormat=P","Fill=—","Direction=H","UseDPDF=Y")</f>
        <v>0</v>
      </c>
      <c r="Q28" s="13">
        <f>_xll.BDH("ALNY US Equity","BS_DISCLOSED_INTANGIBLES","FQ2 2022","FQ2 2022","Currency=USD","Period=FQ","BEST_FPERIOD_OVERRIDE=FQ","FILING_STATUS=MR","SCALING_FORMAT=MLN","Sort=A","Dates=H","DateFormat=P","Fill=—","Direction=H","UseDPDF=Y")</f>
        <v>0</v>
      </c>
      <c r="R28" s="13">
        <f>_xll.BDH("ALNY US Equity","BS_DISCLOSED_INTANGIBLES","FQ3 2022","FQ3 2022","Currency=USD","Period=FQ","BEST_FPERIOD_OVERRIDE=FQ","FILING_STATUS=MR","SCALING_FORMAT=MLN","Sort=A","Dates=H","DateFormat=P","Fill=—","Direction=H","UseDPDF=Y")</f>
        <v>0</v>
      </c>
      <c r="S28" s="13">
        <f>_xll.BDH("ALNY US Equity","BS_DISCLOSED_INTANGIBLES","FQ4 2022","FQ4 2022","Currency=USD","Period=FQ","BEST_FPERIOD_OVERRIDE=FQ","FILING_STATUS=MR","SCALING_FORMAT=MLN","Sort=A","Dates=H","DateFormat=P","Fill=—","Direction=H","UseDPDF=Y")</f>
        <v>0</v>
      </c>
      <c r="T28" s="13">
        <f>_xll.BDH("ALNY US Equity","BS_DISCLOSED_INTANGIBLES","FQ1 2023","FQ1 2023","Currency=USD","Period=FQ","BEST_FPERIOD_OVERRIDE=FQ","FILING_STATUS=MR","SCALING_FORMAT=MLN","Sort=A","Dates=H","DateFormat=P","Fill=—","Direction=H","UseDPDF=Y")</f>
        <v>0</v>
      </c>
      <c r="U28" s="13">
        <f>_xll.BDH("ALNY US Equity","BS_DISCLOSED_INTANGIBLES","FQ2 2023","FQ2 2023","Currency=USD","Period=FQ","BEST_FPERIOD_OVERRIDE=FQ","FILING_STATUS=MR","SCALING_FORMAT=MLN","Sort=A","Dates=H","DateFormat=P","Fill=—","Direction=H","UseDPDF=Y")</f>
        <v>0</v>
      </c>
      <c r="V28" s="13">
        <f>_xll.BDH("ALNY US Equity","BS_DISCLOSED_INTANGIBLES","FQ3 2023","FQ3 2023","Currency=USD","Period=FQ","BEST_FPERIOD_OVERRIDE=FQ","FILING_STATUS=MR","SCALING_FORMAT=MLN","Sort=A","Dates=H","DateFormat=P","Fill=—","Direction=H","UseDPDF=Y")</f>
        <v>0</v>
      </c>
      <c r="W28" s="13">
        <f>_xll.BDH("ALNY US Equity","BS_DISCLOSED_INTANGIBLES","FQ4 2023","FQ4 2023","Currency=USD","Period=FQ","BEST_FPERIOD_OVERRIDE=FQ","FILING_STATUS=MR","SCALING_FORMAT=MLN","Sort=A","Dates=H","DateFormat=P","Fill=—","Direction=H","UseDPDF=Y")</f>
        <v>0</v>
      </c>
      <c r="X28" s="13">
        <f>_xll.BDH("ALNY US Equity","BS_DISCLOSED_INTANGIBLES","FQ1 2024","FQ1 2024","Currency=USD","Period=FQ","BEST_FPERIOD_OVERRIDE=FQ","FILING_STATUS=MR","SCALING_FORMAT=MLN","Sort=A","Dates=H","DateFormat=P","Fill=—","Direction=H","UseDPDF=Y")</f>
        <v>0</v>
      </c>
      <c r="Y28" s="13">
        <f>_xll.BDH("ALNY US Equity","BS_DISCLOSED_INTANGIBLES","FQ2 2024","FQ2 2024","Currency=USD","Period=FQ","BEST_FPERIOD_OVERRIDE=FQ","FILING_STATUS=MR","SCALING_FORMAT=MLN","Sort=A","Dates=H","DateFormat=P","Fill=—","Direction=H","UseDPDF=Y")</f>
        <v>0</v>
      </c>
      <c r="Z28" s="13">
        <f>_xll.BDH("ALNY US Equity","BS_DISCLOSED_INTANGIBLES","FQ3 2024","FQ3 2024","Currency=USD","Period=FQ","BEST_FPERIOD_OVERRIDE=FQ","FILING_STATUS=MR","SCALING_FORMAT=MLN","Sort=A","Dates=H","DateFormat=P","Fill=—","Direction=H","UseDPDF=Y")</f>
        <v>0</v>
      </c>
      <c r="AA28" s="13">
        <f>_xll.BDH("ALNY US Equity","BS_DISCLOSED_INTANGIBLES","FQ4 2024","FQ4 2024","Currency=USD","Period=FQ","BEST_FPERIOD_OVERRIDE=FQ","FILING_STATUS=MR","SCALING_FORMAT=MLN","Sort=A","Dates=H","DateFormat=P","Fill=—","Direction=H","UseDPDF=Y")</f>
        <v>0</v>
      </c>
    </row>
    <row r="29" spans="1:27" x14ac:dyDescent="0.25">
      <c r="A29" s="11" t="s">
        <v>716</v>
      </c>
      <c r="B29" s="11" t="s">
        <v>717</v>
      </c>
      <c r="C29" s="25">
        <f>_xll.BDH("ALNY US Equity","BS_GOODWILL","FQ4 2018","FQ4 2018","Currency=USD","Period=FQ","BEST_FPERIOD_OVERRIDE=FQ","FILING_STATUS=MR","SCALING_FORMAT=MLN","Sort=A","Dates=H","DateFormat=P","Fill=—","Direction=H","UseDPDF=Y")</f>
        <v>0</v>
      </c>
      <c r="D29" s="25" t="str">
        <f>_xll.BDH("ALNY US Equity","BS_GOODWILL","FQ1 2019","FQ1 2019","Currency=USD","Period=FQ","BEST_FPERIOD_OVERRIDE=FQ","FILING_STATUS=MR","SCALING_FORMAT=MLN","Sort=A","Dates=H","DateFormat=P","Fill=—","Direction=H","UseDPDF=Y")</f>
        <v>—</v>
      </c>
      <c r="E29" s="25" t="str">
        <f>_xll.BDH("ALNY US Equity","BS_GOODWILL","FQ2 2019","FQ2 2019","Currency=USD","Period=FQ","BEST_FPERIOD_OVERRIDE=FQ","FILING_STATUS=MR","SCALING_FORMAT=MLN","Sort=A","Dates=H","DateFormat=P","Fill=—","Direction=H","UseDPDF=Y")</f>
        <v>—</v>
      </c>
      <c r="F29" s="25" t="str">
        <f>_xll.BDH("ALNY US Equity","BS_GOODWILL","FQ3 2019","FQ3 2019","Currency=USD","Period=FQ","BEST_FPERIOD_OVERRIDE=FQ","FILING_STATUS=MR","SCALING_FORMAT=MLN","Sort=A","Dates=H","DateFormat=P","Fill=—","Direction=H","UseDPDF=Y")</f>
        <v>—</v>
      </c>
      <c r="G29" s="25">
        <f>_xll.BDH("ALNY US Equity","BS_GOODWILL","FQ4 2019","FQ4 2019","Currency=USD","Period=FQ","BEST_FPERIOD_OVERRIDE=FQ","FILING_STATUS=MR","SCALING_FORMAT=MLN","Sort=A","Dates=H","DateFormat=P","Fill=—","Direction=H","UseDPDF=Y")</f>
        <v>0</v>
      </c>
      <c r="H29" s="25" t="str">
        <f>_xll.BDH("ALNY US Equity","BS_GOODWILL","FQ1 2020","FQ1 2020","Currency=USD","Period=FQ","BEST_FPERIOD_OVERRIDE=FQ","FILING_STATUS=MR","SCALING_FORMAT=MLN","Sort=A","Dates=H","DateFormat=P","Fill=—","Direction=H","UseDPDF=Y")</f>
        <v>—</v>
      </c>
      <c r="I29" s="25" t="str">
        <f>_xll.BDH("ALNY US Equity","BS_GOODWILL","FQ2 2020","FQ2 2020","Currency=USD","Period=FQ","BEST_FPERIOD_OVERRIDE=FQ","FILING_STATUS=MR","SCALING_FORMAT=MLN","Sort=A","Dates=H","DateFormat=P","Fill=—","Direction=H","UseDPDF=Y")</f>
        <v>—</v>
      </c>
      <c r="J29" s="25" t="str">
        <f>_xll.BDH("ALNY US Equity","BS_GOODWILL","FQ3 2020","FQ3 2020","Currency=USD","Period=FQ","BEST_FPERIOD_OVERRIDE=FQ","FILING_STATUS=MR","SCALING_FORMAT=MLN","Sort=A","Dates=H","DateFormat=P","Fill=—","Direction=H","UseDPDF=Y")</f>
        <v>—</v>
      </c>
      <c r="K29" s="25">
        <f>_xll.BDH("ALNY US Equity","BS_GOODWILL","FQ4 2020","FQ4 2020","Currency=USD","Period=FQ","BEST_FPERIOD_OVERRIDE=FQ","FILING_STATUS=MR","SCALING_FORMAT=MLN","Sort=A","Dates=H","DateFormat=P","Fill=—","Direction=H","UseDPDF=Y")</f>
        <v>0</v>
      </c>
      <c r="L29" s="25" t="str">
        <f>_xll.BDH("ALNY US Equity","BS_GOODWILL","FQ1 2021","FQ1 2021","Currency=USD","Period=FQ","BEST_FPERIOD_OVERRIDE=FQ","FILING_STATUS=MR","SCALING_FORMAT=MLN","Sort=A","Dates=H","DateFormat=P","Fill=—","Direction=H","UseDPDF=Y")</f>
        <v>—</v>
      </c>
      <c r="M29" s="25" t="str">
        <f>_xll.BDH("ALNY US Equity","BS_GOODWILL","FQ2 2021","FQ2 2021","Currency=USD","Period=FQ","BEST_FPERIOD_OVERRIDE=FQ","FILING_STATUS=MR","SCALING_FORMAT=MLN","Sort=A","Dates=H","DateFormat=P","Fill=—","Direction=H","UseDPDF=Y")</f>
        <v>—</v>
      </c>
      <c r="N29" s="25" t="str">
        <f>_xll.BDH("ALNY US Equity","BS_GOODWILL","FQ3 2021","FQ3 2021","Currency=USD","Period=FQ","BEST_FPERIOD_OVERRIDE=FQ","FILING_STATUS=MR","SCALING_FORMAT=MLN","Sort=A","Dates=H","DateFormat=P","Fill=—","Direction=H","UseDPDF=Y")</f>
        <v>—</v>
      </c>
      <c r="O29" s="25">
        <f>_xll.BDH("ALNY US Equity","BS_GOODWILL","FQ4 2021","FQ4 2021","Currency=USD","Period=FQ","BEST_FPERIOD_OVERRIDE=FQ","FILING_STATUS=MR","SCALING_FORMAT=MLN","Sort=A","Dates=H","DateFormat=P","Fill=—","Direction=H","UseDPDF=Y")</f>
        <v>0</v>
      </c>
      <c r="P29" s="25" t="str">
        <f>_xll.BDH("ALNY US Equity","BS_GOODWILL","FQ1 2022","FQ1 2022","Currency=USD","Period=FQ","BEST_FPERIOD_OVERRIDE=FQ","FILING_STATUS=MR","SCALING_FORMAT=MLN","Sort=A","Dates=H","DateFormat=P","Fill=—","Direction=H","UseDPDF=Y")</f>
        <v>—</v>
      </c>
      <c r="Q29" s="25" t="str">
        <f>_xll.BDH("ALNY US Equity","BS_GOODWILL","FQ2 2022","FQ2 2022","Currency=USD","Period=FQ","BEST_FPERIOD_OVERRIDE=FQ","FILING_STATUS=MR","SCALING_FORMAT=MLN","Sort=A","Dates=H","DateFormat=P","Fill=—","Direction=H","UseDPDF=Y")</f>
        <v>—</v>
      </c>
      <c r="R29" s="25" t="str">
        <f>_xll.BDH("ALNY US Equity","BS_GOODWILL","FQ3 2022","FQ3 2022","Currency=USD","Period=FQ","BEST_FPERIOD_OVERRIDE=FQ","FILING_STATUS=MR","SCALING_FORMAT=MLN","Sort=A","Dates=H","DateFormat=P","Fill=—","Direction=H","UseDPDF=Y")</f>
        <v>—</v>
      </c>
      <c r="S29" s="25">
        <f>_xll.BDH("ALNY US Equity","BS_GOODWILL","FQ4 2022","FQ4 2022","Currency=USD","Period=FQ","BEST_FPERIOD_OVERRIDE=FQ","FILING_STATUS=MR","SCALING_FORMAT=MLN","Sort=A","Dates=H","DateFormat=P","Fill=—","Direction=H","UseDPDF=Y")</f>
        <v>0</v>
      </c>
      <c r="T29" s="25" t="str">
        <f>_xll.BDH("ALNY US Equity","BS_GOODWILL","FQ1 2023","FQ1 2023","Currency=USD","Period=FQ","BEST_FPERIOD_OVERRIDE=FQ","FILING_STATUS=MR","SCALING_FORMAT=MLN","Sort=A","Dates=H","DateFormat=P","Fill=—","Direction=H","UseDPDF=Y")</f>
        <v>—</v>
      </c>
      <c r="U29" s="25" t="str">
        <f>_xll.BDH("ALNY US Equity","BS_GOODWILL","FQ2 2023","FQ2 2023","Currency=USD","Period=FQ","BEST_FPERIOD_OVERRIDE=FQ","FILING_STATUS=MR","SCALING_FORMAT=MLN","Sort=A","Dates=H","DateFormat=P","Fill=—","Direction=H","UseDPDF=Y")</f>
        <v>—</v>
      </c>
      <c r="V29" s="25" t="str">
        <f>_xll.BDH("ALNY US Equity","BS_GOODWILL","FQ3 2023","FQ3 2023","Currency=USD","Period=FQ","BEST_FPERIOD_OVERRIDE=FQ","FILING_STATUS=MR","SCALING_FORMAT=MLN","Sort=A","Dates=H","DateFormat=P","Fill=—","Direction=H","UseDPDF=Y")</f>
        <v>—</v>
      </c>
      <c r="W29" s="25">
        <f>_xll.BDH("ALNY US Equity","BS_GOODWILL","FQ4 2023","FQ4 2023","Currency=USD","Period=FQ","BEST_FPERIOD_OVERRIDE=FQ","FILING_STATUS=MR","SCALING_FORMAT=MLN","Sort=A","Dates=H","DateFormat=P","Fill=—","Direction=H","UseDPDF=Y")</f>
        <v>0</v>
      </c>
      <c r="X29" s="25" t="str">
        <f>_xll.BDH("ALNY US Equity","BS_GOODWILL","FQ1 2024","FQ1 2024","Currency=USD","Period=FQ","BEST_FPERIOD_OVERRIDE=FQ","FILING_STATUS=MR","SCALING_FORMAT=MLN","Sort=A","Dates=H","DateFormat=P","Fill=—","Direction=H","UseDPDF=Y")</f>
        <v>—</v>
      </c>
      <c r="Y29" s="25" t="str">
        <f>_xll.BDH("ALNY US Equity","BS_GOODWILL","FQ2 2024","FQ2 2024","Currency=USD","Period=FQ","BEST_FPERIOD_OVERRIDE=FQ","FILING_STATUS=MR","SCALING_FORMAT=MLN","Sort=A","Dates=H","DateFormat=P","Fill=—","Direction=H","UseDPDF=Y")</f>
        <v>—</v>
      </c>
      <c r="Z29" s="25" t="str">
        <f>_xll.BDH("ALNY US Equity","BS_GOODWILL","FQ3 2024","FQ3 2024","Currency=USD","Period=FQ","BEST_FPERIOD_OVERRIDE=FQ","FILING_STATUS=MR","SCALING_FORMAT=MLN","Sort=A","Dates=H","DateFormat=P","Fill=—","Direction=H","UseDPDF=Y")</f>
        <v>—</v>
      </c>
      <c r="AA29" s="25">
        <f>_xll.BDH("ALNY US Equity","BS_GOODWILL","FQ4 2024","FQ4 2024","Currency=USD","Period=FQ","BEST_FPERIOD_OVERRIDE=FQ","FILING_STATUS=MR","SCALING_FORMAT=MLN","Sort=A","Dates=H","DateFormat=P","Fill=—","Direction=H","UseDPDF=Y")</f>
        <v>0</v>
      </c>
    </row>
    <row r="30" spans="1:27" x14ac:dyDescent="0.25">
      <c r="A30" s="11" t="s">
        <v>718</v>
      </c>
      <c r="B30" s="11" t="s">
        <v>719</v>
      </c>
      <c r="C30" s="25">
        <f>_xll.BDH("ALNY US Equity","OTHER_INTANGIBLE_ASSETS_DETAILED","FQ4 2018","FQ4 2018","Currency=USD","Period=FQ","BEST_FPERIOD_OVERRIDE=FQ","FILING_STATUS=MR","SCALING_FORMAT=MLN","Sort=A","Dates=H","DateFormat=P","Fill=—","Direction=H","UseDPDF=Y")</f>
        <v>0</v>
      </c>
      <c r="D30" s="25">
        <f>_xll.BDH("ALNY US Equity","OTHER_INTANGIBLE_ASSETS_DETAILED","FQ1 2019","FQ1 2019","Currency=USD","Period=FQ","BEST_FPERIOD_OVERRIDE=FQ","FILING_STATUS=MR","SCALING_FORMAT=MLN","Sort=A","Dates=H","DateFormat=P","Fill=—","Direction=H","UseDPDF=Y")</f>
        <v>0</v>
      </c>
      <c r="E30" s="25">
        <f>_xll.BDH("ALNY US Equity","OTHER_INTANGIBLE_ASSETS_DETAILED","FQ2 2019","FQ2 2019","Currency=USD","Period=FQ","BEST_FPERIOD_OVERRIDE=FQ","FILING_STATUS=MR","SCALING_FORMAT=MLN","Sort=A","Dates=H","DateFormat=P","Fill=—","Direction=H","UseDPDF=Y")</f>
        <v>0</v>
      </c>
      <c r="F30" s="25">
        <f>_xll.BDH("ALNY US Equity","OTHER_INTANGIBLE_ASSETS_DETAILED","FQ3 2019","FQ3 2019","Currency=USD","Period=FQ","BEST_FPERIOD_OVERRIDE=FQ","FILING_STATUS=MR","SCALING_FORMAT=MLN","Sort=A","Dates=H","DateFormat=P","Fill=—","Direction=H","UseDPDF=Y")</f>
        <v>0</v>
      </c>
      <c r="G30" s="25">
        <f>_xll.BDH("ALNY US Equity","OTHER_INTANGIBLE_ASSETS_DETAILED","FQ4 2019","FQ4 2019","Currency=USD","Period=FQ","BEST_FPERIOD_OVERRIDE=FQ","FILING_STATUS=MR","SCALING_FORMAT=MLN","Sort=A","Dates=H","DateFormat=P","Fill=—","Direction=H","UseDPDF=Y")</f>
        <v>0</v>
      </c>
      <c r="H30" s="25">
        <f>_xll.BDH("ALNY US Equity","OTHER_INTANGIBLE_ASSETS_DETAILED","FQ1 2020","FQ1 2020","Currency=USD","Period=FQ","BEST_FPERIOD_OVERRIDE=FQ","FILING_STATUS=MR","SCALING_FORMAT=MLN","Sort=A","Dates=H","DateFormat=P","Fill=—","Direction=H","UseDPDF=Y")</f>
        <v>0</v>
      </c>
      <c r="I30" s="25">
        <f>_xll.BDH("ALNY US Equity","OTHER_INTANGIBLE_ASSETS_DETAILED","FQ2 2020","FQ2 2020","Currency=USD","Period=FQ","BEST_FPERIOD_OVERRIDE=FQ","FILING_STATUS=MR","SCALING_FORMAT=MLN","Sort=A","Dates=H","DateFormat=P","Fill=—","Direction=H","UseDPDF=Y")</f>
        <v>0</v>
      </c>
      <c r="J30" s="25">
        <f>_xll.BDH("ALNY US Equity","OTHER_INTANGIBLE_ASSETS_DETAILED","FQ3 2020","FQ3 2020","Currency=USD","Period=FQ","BEST_FPERIOD_OVERRIDE=FQ","FILING_STATUS=MR","SCALING_FORMAT=MLN","Sort=A","Dates=H","DateFormat=P","Fill=—","Direction=H","UseDPDF=Y")</f>
        <v>0</v>
      </c>
      <c r="K30" s="25">
        <f>_xll.BDH("ALNY US Equity","OTHER_INTANGIBLE_ASSETS_DETAILED","FQ4 2020","FQ4 2020","Currency=USD","Period=FQ","BEST_FPERIOD_OVERRIDE=FQ","FILING_STATUS=MR","SCALING_FORMAT=MLN","Sort=A","Dates=H","DateFormat=P","Fill=—","Direction=H","UseDPDF=Y")</f>
        <v>0</v>
      </c>
      <c r="L30" s="25">
        <f>_xll.BDH("ALNY US Equity","OTHER_INTANGIBLE_ASSETS_DETAILED","FQ1 2021","FQ1 2021","Currency=USD","Period=FQ","BEST_FPERIOD_OVERRIDE=FQ","FILING_STATUS=MR","SCALING_FORMAT=MLN","Sort=A","Dates=H","DateFormat=P","Fill=—","Direction=H","UseDPDF=Y")</f>
        <v>0</v>
      </c>
      <c r="M30" s="25">
        <f>_xll.BDH("ALNY US Equity","OTHER_INTANGIBLE_ASSETS_DETAILED","FQ2 2021","FQ2 2021","Currency=USD","Period=FQ","BEST_FPERIOD_OVERRIDE=FQ","FILING_STATUS=MR","SCALING_FORMAT=MLN","Sort=A","Dates=H","DateFormat=P","Fill=—","Direction=H","UseDPDF=Y")</f>
        <v>0</v>
      </c>
      <c r="N30" s="25">
        <f>_xll.BDH("ALNY US Equity","OTHER_INTANGIBLE_ASSETS_DETAILED","FQ3 2021","FQ3 2021","Currency=USD","Period=FQ","BEST_FPERIOD_OVERRIDE=FQ","FILING_STATUS=MR","SCALING_FORMAT=MLN","Sort=A","Dates=H","DateFormat=P","Fill=—","Direction=H","UseDPDF=Y")</f>
        <v>0</v>
      </c>
      <c r="O30" s="25">
        <f>_xll.BDH("ALNY US Equity","OTHER_INTANGIBLE_ASSETS_DETAILED","FQ4 2021","FQ4 2021","Currency=USD","Period=FQ","BEST_FPERIOD_OVERRIDE=FQ","FILING_STATUS=MR","SCALING_FORMAT=MLN","Sort=A","Dates=H","DateFormat=P","Fill=—","Direction=H","UseDPDF=Y")</f>
        <v>0</v>
      </c>
      <c r="P30" s="25">
        <f>_xll.BDH("ALNY US Equity","OTHER_INTANGIBLE_ASSETS_DETAILED","FQ1 2022","FQ1 2022","Currency=USD","Period=FQ","BEST_FPERIOD_OVERRIDE=FQ","FILING_STATUS=MR","SCALING_FORMAT=MLN","Sort=A","Dates=H","DateFormat=P","Fill=—","Direction=H","UseDPDF=Y")</f>
        <v>0</v>
      </c>
      <c r="Q30" s="25">
        <f>_xll.BDH("ALNY US Equity","OTHER_INTANGIBLE_ASSETS_DETAILED","FQ2 2022","FQ2 2022","Currency=USD","Period=FQ","BEST_FPERIOD_OVERRIDE=FQ","FILING_STATUS=MR","SCALING_FORMAT=MLN","Sort=A","Dates=H","DateFormat=P","Fill=—","Direction=H","UseDPDF=Y")</f>
        <v>0</v>
      </c>
      <c r="R30" s="25">
        <f>_xll.BDH("ALNY US Equity","OTHER_INTANGIBLE_ASSETS_DETAILED","FQ3 2022","FQ3 2022","Currency=USD","Period=FQ","BEST_FPERIOD_OVERRIDE=FQ","FILING_STATUS=MR","SCALING_FORMAT=MLN","Sort=A","Dates=H","DateFormat=P","Fill=—","Direction=H","UseDPDF=Y")</f>
        <v>0</v>
      </c>
      <c r="S30" s="25">
        <f>_xll.BDH("ALNY US Equity","OTHER_INTANGIBLE_ASSETS_DETAILED","FQ4 2022","FQ4 2022","Currency=USD","Period=FQ","BEST_FPERIOD_OVERRIDE=FQ","FILING_STATUS=MR","SCALING_FORMAT=MLN","Sort=A","Dates=H","DateFormat=P","Fill=—","Direction=H","UseDPDF=Y")</f>
        <v>0</v>
      </c>
      <c r="T30" s="25">
        <f>_xll.BDH("ALNY US Equity","OTHER_INTANGIBLE_ASSETS_DETAILED","FQ1 2023","FQ1 2023","Currency=USD","Period=FQ","BEST_FPERIOD_OVERRIDE=FQ","FILING_STATUS=MR","SCALING_FORMAT=MLN","Sort=A","Dates=H","DateFormat=P","Fill=—","Direction=H","UseDPDF=Y")</f>
        <v>0</v>
      </c>
      <c r="U30" s="25">
        <f>_xll.BDH("ALNY US Equity","OTHER_INTANGIBLE_ASSETS_DETAILED","FQ2 2023","FQ2 2023","Currency=USD","Period=FQ","BEST_FPERIOD_OVERRIDE=FQ","FILING_STATUS=MR","SCALING_FORMAT=MLN","Sort=A","Dates=H","DateFormat=P","Fill=—","Direction=H","UseDPDF=Y")</f>
        <v>0</v>
      </c>
      <c r="V30" s="25">
        <f>_xll.BDH("ALNY US Equity","OTHER_INTANGIBLE_ASSETS_DETAILED","FQ3 2023","FQ3 2023","Currency=USD","Period=FQ","BEST_FPERIOD_OVERRIDE=FQ","FILING_STATUS=MR","SCALING_FORMAT=MLN","Sort=A","Dates=H","DateFormat=P","Fill=—","Direction=H","UseDPDF=Y")</f>
        <v>0</v>
      </c>
      <c r="W30" s="25">
        <f>_xll.BDH("ALNY US Equity","OTHER_INTANGIBLE_ASSETS_DETAILED","FQ4 2023","FQ4 2023","Currency=USD","Period=FQ","BEST_FPERIOD_OVERRIDE=FQ","FILING_STATUS=MR","SCALING_FORMAT=MLN","Sort=A","Dates=H","DateFormat=P","Fill=—","Direction=H","UseDPDF=Y")</f>
        <v>0</v>
      </c>
      <c r="X30" s="25">
        <f>_xll.BDH("ALNY US Equity","OTHER_INTANGIBLE_ASSETS_DETAILED","FQ1 2024","FQ1 2024","Currency=USD","Period=FQ","BEST_FPERIOD_OVERRIDE=FQ","FILING_STATUS=MR","SCALING_FORMAT=MLN","Sort=A","Dates=H","DateFormat=P","Fill=—","Direction=H","UseDPDF=Y")</f>
        <v>0</v>
      </c>
      <c r="Y30" s="25">
        <f>_xll.BDH("ALNY US Equity","OTHER_INTANGIBLE_ASSETS_DETAILED","FQ2 2024","FQ2 2024","Currency=USD","Period=FQ","BEST_FPERIOD_OVERRIDE=FQ","FILING_STATUS=MR","SCALING_FORMAT=MLN","Sort=A","Dates=H","DateFormat=P","Fill=—","Direction=H","UseDPDF=Y")</f>
        <v>0</v>
      </c>
      <c r="Z30" s="25">
        <f>_xll.BDH("ALNY US Equity","OTHER_INTANGIBLE_ASSETS_DETAILED","FQ3 2024","FQ3 2024","Currency=USD","Period=FQ","BEST_FPERIOD_OVERRIDE=FQ","FILING_STATUS=MR","SCALING_FORMAT=MLN","Sort=A","Dates=H","DateFormat=P","Fill=—","Direction=H","UseDPDF=Y")</f>
        <v>0</v>
      </c>
      <c r="AA30" s="25">
        <f>_xll.BDH("ALNY US Equity","OTHER_INTANGIBLE_ASSETS_DETAILED","FQ4 2024","FQ4 2024","Currency=USD","Period=FQ","BEST_FPERIOD_OVERRIDE=FQ","FILING_STATUS=MR","SCALING_FORMAT=MLN","Sort=A","Dates=H","DateFormat=P","Fill=—","Direction=H","UseDPDF=Y")</f>
        <v>0</v>
      </c>
    </row>
    <row r="31" spans="1:27" x14ac:dyDescent="0.25">
      <c r="A31" s="10" t="s">
        <v>720</v>
      </c>
      <c r="B31" s="10" t="s">
        <v>721</v>
      </c>
      <c r="C31" s="13" t="str">
        <f>_xll.BDH("ALNY US Equity","BS_DEFERRED_TAX_ASSETS_LT","FQ4 2018","FQ4 2018","Currency=USD","Period=FQ","BEST_FPERIOD_OVERRIDE=FQ","FILING_STATUS=MR","SCALING_FORMAT=MLN","Sort=A","Dates=H","DateFormat=P","Fill=—","Direction=H","UseDPDF=Y")</f>
        <v>—</v>
      </c>
      <c r="D31" s="13" t="str">
        <f>_xll.BDH("ALNY US Equity","BS_DEFERRED_TAX_ASSETS_LT","FQ1 2019","FQ1 2019","Currency=USD","Period=FQ","BEST_FPERIOD_OVERRIDE=FQ","FILING_STATUS=MR","SCALING_FORMAT=MLN","Sort=A","Dates=H","DateFormat=P","Fill=—","Direction=H","UseDPDF=Y")</f>
        <v>—</v>
      </c>
      <c r="E31" s="13" t="str">
        <f>_xll.BDH("ALNY US Equity","BS_DEFERRED_TAX_ASSETS_LT","FQ2 2019","FQ2 2019","Currency=USD","Period=FQ","BEST_FPERIOD_OVERRIDE=FQ","FILING_STATUS=MR","SCALING_FORMAT=MLN","Sort=A","Dates=H","DateFormat=P","Fill=—","Direction=H","UseDPDF=Y")</f>
        <v>—</v>
      </c>
      <c r="F31" s="13" t="str">
        <f>_xll.BDH("ALNY US Equity","BS_DEFERRED_TAX_ASSETS_LT","FQ3 2019","FQ3 2019","Currency=USD","Period=FQ","BEST_FPERIOD_OVERRIDE=FQ","FILING_STATUS=MR","SCALING_FORMAT=MLN","Sort=A","Dates=H","DateFormat=P","Fill=—","Direction=H","UseDPDF=Y")</f>
        <v>—</v>
      </c>
      <c r="G31" s="13" t="str">
        <f>_xll.BDH("ALNY US Equity","BS_DEFERRED_TAX_ASSETS_LT","FQ4 2019","FQ4 2019","Currency=USD","Period=FQ","BEST_FPERIOD_OVERRIDE=FQ","FILING_STATUS=MR","SCALING_FORMAT=MLN","Sort=A","Dates=H","DateFormat=P","Fill=—","Direction=H","UseDPDF=Y")</f>
        <v>—</v>
      </c>
      <c r="H31" s="13" t="str">
        <f>_xll.BDH("ALNY US Equity","BS_DEFERRED_TAX_ASSETS_LT","FQ1 2020","FQ1 2020","Currency=USD","Period=FQ","BEST_FPERIOD_OVERRIDE=FQ","FILING_STATUS=MR","SCALING_FORMAT=MLN","Sort=A","Dates=H","DateFormat=P","Fill=—","Direction=H","UseDPDF=Y")</f>
        <v>—</v>
      </c>
      <c r="I31" s="13" t="str">
        <f>_xll.BDH("ALNY US Equity","BS_DEFERRED_TAX_ASSETS_LT","FQ2 2020","FQ2 2020","Currency=USD","Period=FQ","BEST_FPERIOD_OVERRIDE=FQ","FILING_STATUS=MR","SCALING_FORMAT=MLN","Sort=A","Dates=H","DateFormat=P","Fill=—","Direction=H","UseDPDF=Y")</f>
        <v>—</v>
      </c>
      <c r="J31" s="13" t="str">
        <f>_xll.BDH("ALNY US Equity","BS_DEFERRED_TAX_ASSETS_LT","FQ3 2020","FQ3 2020","Currency=USD","Period=FQ","BEST_FPERIOD_OVERRIDE=FQ","FILING_STATUS=MR","SCALING_FORMAT=MLN","Sort=A","Dates=H","DateFormat=P","Fill=—","Direction=H","UseDPDF=Y")</f>
        <v>—</v>
      </c>
      <c r="K31" s="13" t="str">
        <f>_xll.BDH("ALNY US Equity","BS_DEFERRED_TAX_ASSETS_LT","FQ4 2020","FQ4 2020","Currency=USD","Period=FQ","BEST_FPERIOD_OVERRIDE=FQ","FILING_STATUS=MR","SCALING_FORMAT=MLN","Sort=A","Dates=H","DateFormat=P","Fill=—","Direction=H","UseDPDF=Y")</f>
        <v>—</v>
      </c>
      <c r="L31" s="13" t="str">
        <f>_xll.BDH("ALNY US Equity","BS_DEFERRED_TAX_ASSETS_LT","FQ1 2021","FQ1 2021","Currency=USD","Period=FQ","BEST_FPERIOD_OVERRIDE=FQ","FILING_STATUS=MR","SCALING_FORMAT=MLN","Sort=A","Dates=H","DateFormat=P","Fill=—","Direction=H","UseDPDF=Y")</f>
        <v>—</v>
      </c>
      <c r="M31" s="13" t="str">
        <f>_xll.BDH("ALNY US Equity","BS_DEFERRED_TAX_ASSETS_LT","FQ2 2021","FQ2 2021","Currency=USD","Period=FQ","BEST_FPERIOD_OVERRIDE=FQ","FILING_STATUS=MR","SCALING_FORMAT=MLN","Sort=A","Dates=H","DateFormat=P","Fill=—","Direction=H","UseDPDF=Y")</f>
        <v>—</v>
      </c>
      <c r="N31" s="13" t="str">
        <f>_xll.BDH("ALNY US Equity","BS_DEFERRED_TAX_ASSETS_LT","FQ3 2021","FQ3 2021","Currency=USD","Period=FQ","BEST_FPERIOD_OVERRIDE=FQ","FILING_STATUS=MR","SCALING_FORMAT=MLN","Sort=A","Dates=H","DateFormat=P","Fill=—","Direction=H","UseDPDF=Y")</f>
        <v>—</v>
      </c>
      <c r="O31" s="13" t="str">
        <f>_xll.BDH("ALNY US Equity","BS_DEFERRED_TAX_ASSETS_LT","FQ4 2021","FQ4 2021","Currency=USD","Period=FQ","BEST_FPERIOD_OVERRIDE=FQ","FILING_STATUS=MR","SCALING_FORMAT=MLN","Sort=A","Dates=H","DateFormat=P","Fill=—","Direction=H","UseDPDF=Y")</f>
        <v>—</v>
      </c>
      <c r="P31" s="13" t="str">
        <f>_xll.BDH("ALNY US Equity","BS_DEFERRED_TAX_ASSETS_LT","FQ1 2022","FQ1 2022","Currency=USD","Period=FQ","BEST_FPERIOD_OVERRIDE=FQ","FILING_STATUS=MR","SCALING_FORMAT=MLN","Sort=A","Dates=H","DateFormat=P","Fill=—","Direction=H","UseDPDF=Y")</f>
        <v>—</v>
      </c>
      <c r="Q31" s="13" t="str">
        <f>_xll.BDH("ALNY US Equity","BS_DEFERRED_TAX_ASSETS_LT","FQ2 2022","FQ2 2022","Currency=USD","Period=FQ","BEST_FPERIOD_OVERRIDE=FQ","FILING_STATUS=MR","SCALING_FORMAT=MLN","Sort=A","Dates=H","DateFormat=P","Fill=—","Direction=H","UseDPDF=Y")</f>
        <v>—</v>
      </c>
      <c r="R31" s="13" t="str">
        <f>_xll.BDH("ALNY US Equity","BS_DEFERRED_TAX_ASSETS_LT","FQ3 2022","FQ3 2022","Currency=USD","Period=FQ","BEST_FPERIOD_OVERRIDE=FQ","FILING_STATUS=MR","SCALING_FORMAT=MLN","Sort=A","Dates=H","DateFormat=P","Fill=—","Direction=H","UseDPDF=Y")</f>
        <v>—</v>
      </c>
      <c r="S31" s="13" t="str">
        <f>_xll.BDH("ALNY US Equity","BS_DEFERRED_TAX_ASSETS_LT","FQ4 2022","FQ4 2022","Currency=USD","Period=FQ","BEST_FPERIOD_OVERRIDE=FQ","FILING_STATUS=MR","SCALING_FORMAT=MLN","Sort=A","Dates=H","DateFormat=P","Fill=—","Direction=H","UseDPDF=Y")</f>
        <v>—</v>
      </c>
      <c r="T31" s="13" t="str">
        <f>_xll.BDH("ALNY US Equity","BS_DEFERRED_TAX_ASSETS_LT","FQ1 2023","FQ1 2023","Currency=USD","Period=FQ","BEST_FPERIOD_OVERRIDE=FQ","FILING_STATUS=MR","SCALING_FORMAT=MLN","Sort=A","Dates=H","DateFormat=P","Fill=—","Direction=H","UseDPDF=Y")</f>
        <v>—</v>
      </c>
      <c r="U31" s="13" t="str">
        <f>_xll.BDH("ALNY US Equity","BS_DEFERRED_TAX_ASSETS_LT","FQ2 2023","FQ2 2023","Currency=USD","Period=FQ","BEST_FPERIOD_OVERRIDE=FQ","FILING_STATUS=MR","SCALING_FORMAT=MLN","Sort=A","Dates=H","DateFormat=P","Fill=—","Direction=H","UseDPDF=Y")</f>
        <v>—</v>
      </c>
      <c r="V31" s="13" t="str">
        <f>_xll.BDH("ALNY US Equity","BS_DEFERRED_TAX_ASSETS_LT","FQ3 2023","FQ3 2023","Currency=USD","Period=FQ","BEST_FPERIOD_OVERRIDE=FQ","FILING_STATUS=MR","SCALING_FORMAT=MLN","Sort=A","Dates=H","DateFormat=P","Fill=—","Direction=H","UseDPDF=Y")</f>
        <v>—</v>
      </c>
      <c r="W31" s="13" t="str">
        <f>_xll.BDH("ALNY US Equity","BS_DEFERRED_TAX_ASSETS_LT","FQ4 2023","FQ4 2023","Currency=USD","Period=FQ","BEST_FPERIOD_OVERRIDE=FQ","FILING_STATUS=MR","SCALING_FORMAT=MLN","Sort=A","Dates=H","DateFormat=P","Fill=—","Direction=H","UseDPDF=Y")</f>
        <v>—</v>
      </c>
      <c r="X31" s="13" t="str">
        <f>_xll.BDH("ALNY US Equity","BS_DEFERRED_TAX_ASSETS_LT","FQ1 2024","FQ1 2024","Currency=USD","Period=FQ","BEST_FPERIOD_OVERRIDE=FQ","FILING_STATUS=MR","SCALING_FORMAT=MLN","Sort=A","Dates=H","DateFormat=P","Fill=—","Direction=H","UseDPDF=Y")</f>
        <v>—</v>
      </c>
      <c r="Y31" s="13" t="str">
        <f>_xll.BDH("ALNY US Equity","BS_DEFERRED_TAX_ASSETS_LT","FQ2 2024","FQ2 2024","Currency=USD","Period=FQ","BEST_FPERIOD_OVERRIDE=FQ","FILING_STATUS=MR","SCALING_FORMAT=MLN","Sort=A","Dates=H","DateFormat=P","Fill=—","Direction=H","UseDPDF=Y")</f>
        <v>—</v>
      </c>
      <c r="Z31" s="13" t="str">
        <f>_xll.BDH("ALNY US Equity","BS_DEFERRED_TAX_ASSETS_LT","FQ3 2024","FQ3 2024","Currency=USD","Period=FQ","BEST_FPERIOD_OVERRIDE=FQ","FILING_STATUS=MR","SCALING_FORMAT=MLN","Sort=A","Dates=H","DateFormat=P","Fill=—","Direction=H","UseDPDF=Y")</f>
        <v>—</v>
      </c>
      <c r="AA31" s="13">
        <f>_xll.BDH("ALNY US Equity","BS_DEFERRED_TAX_ASSETS_LT","FQ4 2024","FQ4 2024","Currency=USD","Period=FQ","BEST_FPERIOD_OVERRIDE=FQ","FILING_STATUS=MR","SCALING_FORMAT=MLN","Sort=A","Dates=H","DateFormat=P","Fill=—","Direction=H","UseDPDF=Y")</f>
        <v>116.863</v>
      </c>
    </row>
    <row r="32" spans="1:27" x14ac:dyDescent="0.25">
      <c r="A32" s="10" t="s">
        <v>698</v>
      </c>
      <c r="B32" s="10" t="s">
        <v>722</v>
      </c>
      <c r="C32" s="13">
        <f>_xll.BDH("ALNY US Equity","BS_DERIV_HEDGING_ASST_LT","FQ4 2018","FQ4 2018","Currency=USD","Period=FQ","BEST_FPERIOD_OVERRIDE=FQ","FILING_STATUS=MR","SCALING_FORMAT=MLN","Sort=A","Dates=H","DateFormat=P","Fill=—","Direction=H","UseDPDF=Y")</f>
        <v>0</v>
      </c>
      <c r="D32" s="13" t="str">
        <f>_xll.BDH("ALNY US Equity","BS_DERIV_HEDGING_ASST_LT","FQ1 2019","FQ1 2019","Currency=USD","Period=FQ","BEST_FPERIOD_OVERRIDE=FQ","FILING_STATUS=MR","SCALING_FORMAT=MLN","Sort=A","Dates=H","DateFormat=P","Fill=—","Direction=H","UseDPDF=Y")</f>
        <v>—</v>
      </c>
      <c r="E32" s="13" t="str">
        <f>_xll.BDH("ALNY US Equity","BS_DERIV_HEDGING_ASST_LT","FQ2 2019","FQ2 2019","Currency=USD","Period=FQ","BEST_FPERIOD_OVERRIDE=FQ","FILING_STATUS=MR","SCALING_FORMAT=MLN","Sort=A","Dates=H","DateFormat=P","Fill=—","Direction=H","UseDPDF=Y")</f>
        <v>—</v>
      </c>
      <c r="F32" s="13" t="str">
        <f>_xll.BDH("ALNY US Equity","BS_DERIV_HEDGING_ASST_LT","FQ3 2019","FQ3 2019","Currency=USD","Period=FQ","BEST_FPERIOD_OVERRIDE=FQ","FILING_STATUS=MR","SCALING_FORMAT=MLN","Sort=A","Dates=H","DateFormat=P","Fill=—","Direction=H","UseDPDF=Y")</f>
        <v>—</v>
      </c>
      <c r="G32" s="13">
        <f>_xll.BDH("ALNY US Equity","BS_DERIV_HEDGING_ASST_LT","FQ4 2019","FQ4 2019","Currency=USD","Period=FQ","BEST_FPERIOD_OVERRIDE=FQ","FILING_STATUS=MR","SCALING_FORMAT=MLN","Sort=A","Dates=H","DateFormat=P","Fill=—","Direction=H","UseDPDF=Y")</f>
        <v>0</v>
      </c>
      <c r="H32" s="13" t="str">
        <f>_xll.BDH("ALNY US Equity","BS_DERIV_HEDGING_ASST_LT","FQ1 2020","FQ1 2020","Currency=USD","Period=FQ","BEST_FPERIOD_OVERRIDE=FQ","FILING_STATUS=MR","SCALING_FORMAT=MLN","Sort=A","Dates=H","DateFormat=P","Fill=—","Direction=H","UseDPDF=Y")</f>
        <v>—</v>
      </c>
      <c r="I32" s="13" t="str">
        <f>_xll.BDH("ALNY US Equity","BS_DERIV_HEDGING_ASST_LT","FQ2 2020","FQ2 2020","Currency=USD","Period=FQ","BEST_FPERIOD_OVERRIDE=FQ","FILING_STATUS=MR","SCALING_FORMAT=MLN","Sort=A","Dates=H","DateFormat=P","Fill=—","Direction=H","UseDPDF=Y")</f>
        <v>—</v>
      </c>
      <c r="J32" s="13" t="str">
        <f>_xll.BDH("ALNY US Equity","BS_DERIV_HEDGING_ASST_LT","FQ3 2020","FQ3 2020","Currency=USD","Period=FQ","BEST_FPERIOD_OVERRIDE=FQ","FILING_STATUS=MR","SCALING_FORMAT=MLN","Sort=A","Dates=H","DateFormat=P","Fill=—","Direction=H","UseDPDF=Y")</f>
        <v>—</v>
      </c>
      <c r="K32" s="13">
        <f>_xll.BDH("ALNY US Equity","BS_DERIV_HEDGING_ASST_LT","FQ4 2020","FQ4 2020","Currency=USD","Period=FQ","BEST_FPERIOD_OVERRIDE=FQ","FILING_STATUS=MR","SCALING_FORMAT=MLN","Sort=A","Dates=H","DateFormat=P","Fill=—","Direction=H","UseDPDF=Y")</f>
        <v>0</v>
      </c>
      <c r="L32" s="13" t="str">
        <f>_xll.BDH("ALNY US Equity","BS_DERIV_HEDGING_ASST_LT","FQ1 2021","FQ1 2021","Currency=USD","Period=FQ","BEST_FPERIOD_OVERRIDE=FQ","FILING_STATUS=MR","SCALING_FORMAT=MLN","Sort=A","Dates=H","DateFormat=P","Fill=—","Direction=H","UseDPDF=Y")</f>
        <v>—</v>
      </c>
      <c r="M32" s="13" t="str">
        <f>_xll.BDH("ALNY US Equity","BS_DERIV_HEDGING_ASST_LT","FQ2 2021","FQ2 2021","Currency=USD","Period=FQ","BEST_FPERIOD_OVERRIDE=FQ","FILING_STATUS=MR","SCALING_FORMAT=MLN","Sort=A","Dates=H","DateFormat=P","Fill=—","Direction=H","UseDPDF=Y")</f>
        <v>—</v>
      </c>
      <c r="N32" s="13" t="str">
        <f>_xll.BDH("ALNY US Equity","BS_DERIV_HEDGING_ASST_LT","FQ3 2021","FQ3 2021","Currency=USD","Period=FQ","BEST_FPERIOD_OVERRIDE=FQ","FILING_STATUS=MR","SCALING_FORMAT=MLN","Sort=A","Dates=H","DateFormat=P","Fill=—","Direction=H","UseDPDF=Y")</f>
        <v>—</v>
      </c>
      <c r="O32" s="13">
        <f>_xll.BDH("ALNY US Equity","BS_DERIV_HEDGING_ASST_LT","FQ4 2021","FQ4 2021","Currency=USD","Period=FQ","BEST_FPERIOD_OVERRIDE=FQ","FILING_STATUS=MR","SCALING_FORMAT=MLN","Sort=A","Dates=H","DateFormat=P","Fill=—","Direction=H","UseDPDF=Y")</f>
        <v>0</v>
      </c>
      <c r="P32" s="13" t="str">
        <f>_xll.BDH("ALNY US Equity","BS_DERIV_HEDGING_ASST_LT","FQ1 2022","FQ1 2022","Currency=USD","Period=FQ","BEST_FPERIOD_OVERRIDE=FQ","FILING_STATUS=MR","SCALING_FORMAT=MLN","Sort=A","Dates=H","DateFormat=P","Fill=—","Direction=H","UseDPDF=Y")</f>
        <v>—</v>
      </c>
      <c r="Q32" s="13" t="str">
        <f>_xll.BDH("ALNY US Equity","BS_DERIV_HEDGING_ASST_LT","FQ2 2022","FQ2 2022","Currency=USD","Period=FQ","BEST_FPERIOD_OVERRIDE=FQ","FILING_STATUS=MR","SCALING_FORMAT=MLN","Sort=A","Dates=H","DateFormat=P","Fill=—","Direction=H","UseDPDF=Y")</f>
        <v>—</v>
      </c>
      <c r="R32" s="13" t="str">
        <f>_xll.BDH("ALNY US Equity","BS_DERIV_HEDGING_ASST_LT","FQ3 2022","FQ3 2022","Currency=USD","Period=FQ","BEST_FPERIOD_OVERRIDE=FQ","FILING_STATUS=MR","SCALING_FORMAT=MLN","Sort=A","Dates=H","DateFormat=P","Fill=—","Direction=H","UseDPDF=Y")</f>
        <v>—</v>
      </c>
      <c r="S32" s="13">
        <f>_xll.BDH("ALNY US Equity","BS_DERIV_HEDGING_ASST_LT","FQ4 2022","FQ4 2022","Currency=USD","Period=FQ","BEST_FPERIOD_OVERRIDE=FQ","FILING_STATUS=MR","SCALING_FORMAT=MLN","Sort=A","Dates=H","DateFormat=P","Fill=—","Direction=H","UseDPDF=Y")</f>
        <v>0</v>
      </c>
      <c r="T32" s="13" t="str">
        <f>_xll.BDH("ALNY US Equity","BS_DERIV_HEDGING_ASST_LT","FQ1 2023","FQ1 2023","Currency=USD","Period=FQ","BEST_FPERIOD_OVERRIDE=FQ","FILING_STATUS=MR","SCALING_FORMAT=MLN","Sort=A","Dates=H","DateFormat=P","Fill=—","Direction=H","UseDPDF=Y")</f>
        <v>—</v>
      </c>
      <c r="U32" s="13" t="str">
        <f>_xll.BDH("ALNY US Equity","BS_DERIV_HEDGING_ASST_LT","FQ2 2023","FQ2 2023","Currency=USD","Period=FQ","BEST_FPERIOD_OVERRIDE=FQ","FILING_STATUS=MR","SCALING_FORMAT=MLN","Sort=A","Dates=H","DateFormat=P","Fill=—","Direction=H","UseDPDF=Y")</f>
        <v>—</v>
      </c>
      <c r="V32" s="13" t="str">
        <f>_xll.BDH("ALNY US Equity","BS_DERIV_HEDGING_ASST_LT","FQ3 2023","FQ3 2023","Currency=USD","Period=FQ","BEST_FPERIOD_OVERRIDE=FQ","FILING_STATUS=MR","SCALING_FORMAT=MLN","Sort=A","Dates=H","DateFormat=P","Fill=—","Direction=H","UseDPDF=Y")</f>
        <v>—</v>
      </c>
      <c r="W32" s="13">
        <f>_xll.BDH("ALNY US Equity","BS_DERIV_HEDGING_ASST_LT","FQ4 2023","FQ4 2023","Currency=USD","Period=FQ","BEST_FPERIOD_OVERRIDE=FQ","FILING_STATUS=MR","SCALING_FORMAT=MLN","Sort=A","Dates=H","DateFormat=P","Fill=—","Direction=H","UseDPDF=Y")</f>
        <v>0</v>
      </c>
      <c r="X32" s="13" t="str">
        <f>_xll.BDH("ALNY US Equity","BS_DERIV_HEDGING_ASST_LT","FQ1 2024","FQ1 2024","Currency=USD","Period=FQ","BEST_FPERIOD_OVERRIDE=FQ","FILING_STATUS=MR","SCALING_FORMAT=MLN","Sort=A","Dates=H","DateFormat=P","Fill=—","Direction=H","UseDPDF=Y")</f>
        <v>—</v>
      </c>
      <c r="Y32" s="13" t="str">
        <f>_xll.BDH("ALNY US Equity","BS_DERIV_HEDGING_ASST_LT","FQ2 2024","FQ2 2024","Currency=USD","Period=FQ","BEST_FPERIOD_OVERRIDE=FQ","FILING_STATUS=MR","SCALING_FORMAT=MLN","Sort=A","Dates=H","DateFormat=P","Fill=—","Direction=H","UseDPDF=Y")</f>
        <v>—</v>
      </c>
      <c r="Z32" s="13" t="str">
        <f>_xll.BDH("ALNY US Equity","BS_DERIV_HEDGING_ASST_LT","FQ3 2024","FQ3 2024","Currency=USD","Period=FQ","BEST_FPERIOD_OVERRIDE=FQ","FILING_STATUS=MR","SCALING_FORMAT=MLN","Sort=A","Dates=H","DateFormat=P","Fill=—","Direction=H","UseDPDF=Y")</f>
        <v>—</v>
      </c>
      <c r="AA32" s="13">
        <f>_xll.BDH("ALNY US Equity","BS_DERIV_HEDGING_ASST_LT","FQ4 2024","FQ4 2024","Currency=USD","Period=FQ","BEST_FPERIOD_OVERRIDE=FQ","FILING_STATUS=MR","SCALING_FORMAT=MLN","Sort=A","Dates=H","DateFormat=P","Fill=—","Direction=H","UseDPDF=Y")</f>
        <v>0</v>
      </c>
    </row>
    <row r="33" spans="1:27" x14ac:dyDescent="0.25">
      <c r="A33" s="10" t="s">
        <v>723</v>
      </c>
      <c r="B33" s="10" t="s">
        <v>724</v>
      </c>
      <c r="C33" s="13">
        <f>_xll.BDH("ALNY US Equity","OTHER_NONCURRENT_ASSETS_DETAILED","FQ4 2018","FQ4 2018","Currency=USD","Period=FQ","BEST_FPERIOD_OVERRIDE=FQ","FILING_STATUS=MR","SCALING_FORMAT=MLN","Sort=A","Dates=H","DateFormat=P","Fill=—","Direction=H","UseDPDF=Y")</f>
        <v>53.448</v>
      </c>
      <c r="D33" s="13">
        <f>_xll.BDH("ALNY US Equity","OTHER_NONCURRENT_ASSETS_DETAILED","FQ1 2019","FQ1 2019","Currency=USD","Period=FQ","BEST_FPERIOD_OVERRIDE=FQ","FILING_STATUS=MR","SCALING_FORMAT=MLN","Sort=A","Dates=H","DateFormat=P","Fill=—","Direction=H","UseDPDF=Y")</f>
        <v>53.862000000000002</v>
      </c>
      <c r="E33" s="13">
        <f>_xll.BDH("ALNY US Equity","OTHER_NONCURRENT_ASSETS_DETAILED","FQ2 2019","FQ2 2019","Currency=USD","Period=FQ","BEST_FPERIOD_OVERRIDE=FQ","FILING_STATUS=MR","SCALING_FORMAT=MLN","Sort=A","Dates=H","DateFormat=P","Fill=—","Direction=H","UseDPDF=Y")</f>
        <v>54.512</v>
      </c>
      <c r="F33" s="13">
        <f>_xll.BDH("ALNY US Equity","OTHER_NONCURRENT_ASSETS_DETAILED","FQ3 2019","FQ3 2019","Currency=USD","Period=FQ","BEST_FPERIOD_OVERRIDE=FQ","FILING_STATUS=MR","SCALING_FORMAT=MLN","Sort=A","Dates=H","DateFormat=P","Fill=—","Direction=H","UseDPDF=Y")</f>
        <v>24.457000000000001</v>
      </c>
      <c r="G33" s="13">
        <f>_xll.BDH("ALNY US Equity","OTHER_NONCURRENT_ASSETS_DETAILED","FQ4 2019","FQ4 2019","Currency=USD","Period=FQ","BEST_FPERIOD_OVERRIDE=FQ","FILING_STATUS=MR","SCALING_FORMAT=MLN","Sort=A","Dates=H","DateFormat=P","Fill=—","Direction=H","UseDPDF=Y")</f>
        <v>32.893999999999998</v>
      </c>
      <c r="H33" s="13">
        <f>_xll.BDH("ALNY US Equity","OTHER_NONCURRENT_ASSETS_DETAILED","FQ1 2020","FQ1 2020","Currency=USD","Period=FQ","BEST_FPERIOD_OVERRIDE=FQ","FILING_STATUS=MR","SCALING_FORMAT=MLN","Sort=A","Dates=H","DateFormat=P","Fill=—","Direction=H","UseDPDF=Y")</f>
        <v>43.756999999999998</v>
      </c>
      <c r="I33" s="13">
        <f>_xll.BDH("ALNY US Equity","OTHER_NONCURRENT_ASSETS_DETAILED","FQ2 2020","FQ2 2020","Currency=USD","Period=FQ","BEST_FPERIOD_OVERRIDE=FQ","FILING_STATUS=MR","SCALING_FORMAT=MLN","Sort=A","Dates=H","DateFormat=P","Fill=—","Direction=H","UseDPDF=Y")</f>
        <v>545.12099999999998</v>
      </c>
      <c r="J33" s="13">
        <f>_xll.BDH("ALNY US Equity","OTHER_NONCURRENT_ASSETS_DETAILED","FQ3 2020","FQ3 2020","Currency=USD","Period=FQ","BEST_FPERIOD_OVERRIDE=FQ","FILING_STATUS=MR","SCALING_FORMAT=MLN","Sort=A","Dates=H","DateFormat=P","Fill=—","Direction=H","UseDPDF=Y")</f>
        <v>62.656999999999996</v>
      </c>
      <c r="K33" s="13">
        <f>_xll.BDH("ALNY US Equity","OTHER_NONCURRENT_ASSETS_DETAILED","FQ4 2020","FQ4 2020","Currency=USD","Period=FQ","BEST_FPERIOD_OVERRIDE=FQ","FILING_STATUS=MR","SCALING_FORMAT=MLN","Sort=A","Dates=H","DateFormat=P","Fill=—","Direction=H","UseDPDF=Y")</f>
        <v>85.77</v>
      </c>
      <c r="L33" s="13">
        <f>_xll.BDH("ALNY US Equity","OTHER_NONCURRENT_ASSETS_DETAILED","FQ1 2021","FQ1 2021","Currency=USD","Period=FQ","BEST_FPERIOD_OVERRIDE=FQ","FILING_STATUS=MR","SCALING_FORMAT=MLN","Sort=A","Dates=H","DateFormat=P","Fill=—","Direction=H","UseDPDF=Y")</f>
        <v>83.400999999999996</v>
      </c>
      <c r="M33" s="13">
        <f>_xll.BDH("ALNY US Equity","OTHER_NONCURRENT_ASSETS_DETAILED","FQ2 2021","FQ2 2021","Currency=USD","Period=FQ","BEST_FPERIOD_OVERRIDE=FQ","FILING_STATUS=MR","SCALING_FORMAT=MLN","Sort=A","Dates=H","DateFormat=P","Fill=—","Direction=H","UseDPDF=Y")</f>
        <v>75.477000000000004</v>
      </c>
      <c r="N33" s="13">
        <f>_xll.BDH("ALNY US Equity","OTHER_NONCURRENT_ASSETS_DETAILED","FQ3 2021","FQ3 2021","Currency=USD","Period=FQ","BEST_FPERIOD_OVERRIDE=FQ","FILING_STATUS=MR","SCALING_FORMAT=MLN","Sort=A","Dates=H","DateFormat=P","Fill=—","Direction=H","UseDPDF=Y")</f>
        <v>76.156999999999996</v>
      </c>
      <c r="O33" s="13">
        <f>_xll.BDH("ALNY US Equity","OTHER_NONCURRENT_ASSETS_DETAILED","FQ4 2021","FQ4 2021","Currency=USD","Period=FQ","BEST_FPERIOD_OVERRIDE=FQ","FILING_STATUS=MR","SCALING_FORMAT=MLN","Sort=A","Dates=H","DateFormat=P","Fill=—","Direction=H","UseDPDF=Y")</f>
        <v>101.095</v>
      </c>
      <c r="P33" s="13">
        <f>_xll.BDH("ALNY US Equity","OTHER_NONCURRENT_ASSETS_DETAILED","FQ1 2022","FQ1 2022","Currency=USD","Period=FQ","BEST_FPERIOD_OVERRIDE=FQ","FILING_STATUS=MR","SCALING_FORMAT=MLN","Sort=A","Dates=H","DateFormat=P","Fill=—","Direction=H","UseDPDF=Y")</f>
        <v>110.71</v>
      </c>
      <c r="Q33" s="13">
        <f>_xll.BDH("ALNY US Equity","OTHER_NONCURRENT_ASSETS_DETAILED","FQ2 2022","FQ2 2022","Currency=USD","Period=FQ","BEST_FPERIOD_OVERRIDE=FQ","FILING_STATUS=MR","SCALING_FORMAT=MLN","Sort=A","Dates=H","DateFormat=P","Fill=—","Direction=H","UseDPDF=Y")</f>
        <v>126.657</v>
      </c>
      <c r="R33" s="13">
        <f>_xll.BDH("ALNY US Equity","OTHER_NONCURRENT_ASSETS_DETAILED","FQ3 2022","FQ3 2022","Currency=USD","Period=FQ","BEST_FPERIOD_OVERRIDE=FQ","FILING_STATUS=MR","SCALING_FORMAT=MLN","Sort=A","Dates=H","DateFormat=P","Fill=—","Direction=H","UseDPDF=Y")</f>
        <v>110.785</v>
      </c>
      <c r="S33" s="13">
        <f>_xll.BDH("ALNY US Equity","OTHER_NONCURRENT_ASSETS_DETAILED","FQ4 2022","FQ4 2022","Currency=USD","Period=FQ","BEST_FPERIOD_OVERRIDE=FQ","FILING_STATUS=MR","SCALING_FORMAT=MLN","Sort=A","Dates=H","DateFormat=P","Fill=—","Direction=H","UseDPDF=Y")</f>
        <v>115.482</v>
      </c>
      <c r="T33" s="13">
        <f>_xll.BDH("ALNY US Equity","OTHER_NONCURRENT_ASSETS_DETAILED","FQ1 2023","FQ1 2023","Currency=USD","Period=FQ","BEST_FPERIOD_OVERRIDE=FQ","FILING_STATUS=MR","SCALING_FORMAT=MLN","Sort=A","Dates=H","DateFormat=P","Fill=—","Direction=H","UseDPDF=Y")</f>
        <v>112.84099999999999</v>
      </c>
      <c r="U33" s="13">
        <f>_xll.BDH("ALNY US Equity","OTHER_NONCURRENT_ASSETS_DETAILED","FQ2 2023","FQ2 2023","Currency=USD","Period=FQ","BEST_FPERIOD_OVERRIDE=FQ","FILING_STATUS=MR","SCALING_FORMAT=MLN","Sort=A","Dates=H","DateFormat=P","Fill=—","Direction=H","UseDPDF=Y")</f>
        <v>142.07400000000001</v>
      </c>
      <c r="V33" s="13">
        <f>_xll.BDH("ALNY US Equity","OTHER_NONCURRENT_ASSETS_DETAILED","FQ3 2023","FQ3 2023","Currency=USD","Period=FQ","BEST_FPERIOD_OVERRIDE=FQ","FILING_STATUS=MR","SCALING_FORMAT=MLN","Sort=A","Dates=H","DateFormat=P","Fill=—","Direction=H","UseDPDF=Y")</f>
        <v>124.545</v>
      </c>
      <c r="W33" s="13">
        <f>_xll.BDH("ALNY US Equity","OTHER_NONCURRENT_ASSETS_DETAILED","FQ4 2023","FQ4 2023","Currency=USD","Period=FQ","BEST_FPERIOD_OVERRIDE=FQ","FILING_STATUS=MR","SCALING_FORMAT=MLN","Sort=A","Dates=H","DateFormat=P","Fill=—","Direction=H","UseDPDF=Y")</f>
        <v>121.39400000000001</v>
      </c>
      <c r="X33" s="13">
        <f>_xll.BDH("ALNY US Equity","OTHER_NONCURRENT_ASSETS_DETAILED","FQ1 2024","FQ1 2024","Currency=USD","Period=FQ","BEST_FPERIOD_OVERRIDE=FQ","FILING_STATUS=MR","SCALING_FORMAT=MLN","Sort=A","Dates=H","DateFormat=P","Fill=—","Direction=H","UseDPDF=Y")</f>
        <v>116.851</v>
      </c>
      <c r="Y33" s="13">
        <f>_xll.BDH("ALNY US Equity","OTHER_NONCURRENT_ASSETS_DETAILED","FQ2 2024","FQ2 2024","Currency=USD","Period=FQ","BEST_FPERIOD_OVERRIDE=FQ","FILING_STATUS=MR","SCALING_FORMAT=MLN","Sort=A","Dates=H","DateFormat=P","Fill=—","Direction=H","UseDPDF=Y")</f>
        <v>121.316</v>
      </c>
      <c r="Z33" s="13">
        <f>_xll.BDH("ALNY US Equity","OTHER_NONCURRENT_ASSETS_DETAILED","FQ3 2024","FQ3 2024","Currency=USD","Period=FQ","BEST_FPERIOD_OVERRIDE=FQ","FILING_STATUS=MR","SCALING_FORMAT=MLN","Sort=A","Dates=H","DateFormat=P","Fill=—","Direction=H","UseDPDF=Y")</f>
        <v>146.21</v>
      </c>
      <c r="AA33" s="13">
        <f>_xll.BDH("ALNY US Equity","OTHER_NONCURRENT_ASSETS_DETAILED","FQ4 2024","FQ4 2024","Currency=USD","Period=FQ","BEST_FPERIOD_OVERRIDE=FQ","FILING_STATUS=MR","SCALING_FORMAT=MLN","Sort=A","Dates=H","DateFormat=P","Fill=—","Direction=H","UseDPDF=Y")</f>
        <v>133.90299999999999</v>
      </c>
    </row>
    <row r="34" spans="1:27" x14ac:dyDescent="0.25">
      <c r="A34" s="6" t="s">
        <v>725</v>
      </c>
      <c r="B34" s="6" t="s">
        <v>726</v>
      </c>
      <c r="C34" s="19">
        <f>_xll.BDH("ALNY US Equity","BS_TOT_NON_CUR_ASSET","FQ4 2018","FQ4 2018","Currency=USD","Period=FQ","BEST_FPERIOD_OVERRIDE=FQ","FILING_STATUS=MR","SCALING_FORMAT=MLN","Sort=A","Dates=H","DateFormat=P","Fill=—","Direction=H","UseDPDF=Y")</f>
        <v>374.10599999999999</v>
      </c>
      <c r="D34" s="19">
        <f>_xll.BDH("ALNY US Equity","BS_TOT_NON_CUR_ASSET","FQ1 2019","FQ1 2019","Currency=USD","Period=FQ","BEST_FPERIOD_OVERRIDE=FQ","FILING_STATUS=MR","SCALING_FORMAT=MLN","Sort=A","Dates=H","DateFormat=P","Fill=—","Direction=H","UseDPDF=Y")</f>
        <v>621.98599999999999</v>
      </c>
      <c r="E34" s="19">
        <f>_xll.BDH("ALNY US Equity","BS_TOT_NON_CUR_ASSET","FQ2 2019","FQ2 2019","Currency=USD","Period=FQ","BEST_FPERIOD_OVERRIDE=FQ","FILING_STATUS=MR","SCALING_FORMAT=MLN","Sort=A","Dates=H","DateFormat=P","Fill=—","Direction=H","UseDPDF=Y")</f>
        <v>652.63800000000003</v>
      </c>
      <c r="F34" s="19">
        <f>_xll.BDH("ALNY US Equity","BS_TOT_NON_CUR_ASSET","FQ3 2019","FQ3 2019","Currency=USD","Period=FQ","BEST_FPERIOD_OVERRIDE=FQ","FILING_STATUS=MR","SCALING_FORMAT=MLN","Sort=A","Dates=H","DateFormat=P","Fill=—","Direction=H","UseDPDF=Y")</f>
        <v>644.35699999999997</v>
      </c>
      <c r="G34" s="19">
        <f>_xll.BDH("ALNY US Equity","BS_TOT_NON_CUR_ASSET","FQ4 2019","FQ4 2019","Currency=USD","Period=FQ","BEST_FPERIOD_OVERRIDE=FQ","FILING_STATUS=MR","SCALING_FORMAT=MLN","Sort=A","Dates=H","DateFormat=P","Fill=—","Direction=H","UseDPDF=Y")</f>
        <v>679.27</v>
      </c>
      <c r="H34" s="19">
        <f>_xll.BDH("ALNY US Equity","BS_TOT_NON_CUR_ASSET","FQ1 2020","FQ1 2020","Currency=USD","Period=FQ","BEST_FPERIOD_OVERRIDE=FQ","FILING_STATUS=MR","SCALING_FORMAT=MLN","Sort=A","Dates=H","DateFormat=P","Fill=—","Direction=H","UseDPDF=Y")</f>
        <v>694.851</v>
      </c>
      <c r="I34" s="19">
        <f>_xll.BDH("ALNY US Equity","BS_TOT_NON_CUR_ASSET","FQ2 2020","FQ2 2020","Currency=USD","Period=FQ","BEST_FPERIOD_OVERRIDE=FQ","FILING_STATUS=MR","SCALING_FORMAT=MLN","Sort=A","Dates=H","DateFormat=P","Fill=—","Direction=H","UseDPDF=Y")</f>
        <v>1213.921</v>
      </c>
      <c r="J34" s="19">
        <f>_xll.BDH("ALNY US Equity","BS_TOT_NON_CUR_ASSET","FQ3 2020","FQ3 2020","Currency=USD","Period=FQ","BEST_FPERIOD_OVERRIDE=FQ","FILING_STATUS=MR","SCALING_FORMAT=MLN","Sort=A","Dates=H","DateFormat=P","Fill=—","Direction=H","UseDPDF=Y")</f>
        <v>752.58100000000002</v>
      </c>
      <c r="K34" s="19">
        <f>_xll.BDH("ALNY US Equity","BS_TOT_NON_CUR_ASSET","FQ4 2020","FQ4 2020","Currency=USD","Period=FQ","BEST_FPERIOD_OVERRIDE=FQ","FILING_STATUS=MR","SCALING_FORMAT=MLN","Sort=A","Dates=H","DateFormat=P","Fill=—","Direction=H","UseDPDF=Y")</f>
        <v>792.28399999999999</v>
      </c>
      <c r="L34" s="19">
        <f>_xll.BDH("ALNY US Equity","BS_TOT_NON_CUR_ASSET","FQ1 2021","FQ1 2021","Currency=USD","Period=FQ","BEST_FPERIOD_OVERRIDE=FQ","FILING_STATUS=MR","SCALING_FORMAT=MLN","Sort=A","Dates=H","DateFormat=P","Fill=—","Direction=H","UseDPDF=Y")</f>
        <v>785.18600000000004</v>
      </c>
      <c r="M34" s="19">
        <f>_xll.BDH("ALNY US Equity","BS_TOT_NON_CUR_ASSET","FQ2 2021","FQ2 2021","Currency=USD","Period=FQ","BEST_FPERIOD_OVERRIDE=FQ","FILING_STATUS=MR","SCALING_FORMAT=MLN","Sort=A","Dates=H","DateFormat=P","Fill=—","Direction=H","UseDPDF=Y")</f>
        <v>784.26599999999996</v>
      </c>
      <c r="N34" s="19">
        <f>_xll.BDH("ALNY US Equity","BS_TOT_NON_CUR_ASSET","FQ3 2021","FQ3 2021","Currency=USD","Period=FQ","BEST_FPERIOD_OVERRIDE=FQ","FILING_STATUS=MR","SCALING_FORMAT=MLN","Sort=A","Dates=H","DateFormat=P","Fill=—","Direction=H","UseDPDF=Y")</f>
        <v>796.95100000000002</v>
      </c>
      <c r="O34" s="19">
        <f>_xll.BDH("ALNY US Equity","BS_TOT_NON_CUR_ASSET","FQ4 2021","FQ4 2021","Currency=USD","Period=FQ","BEST_FPERIOD_OVERRIDE=FQ","FILING_STATUS=MR","SCALING_FORMAT=MLN","Sort=A","Dates=H","DateFormat=P","Fill=—","Direction=H","UseDPDF=Y")</f>
        <v>834.72799999999995</v>
      </c>
      <c r="P34" s="19">
        <f>_xll.BDH("ALNY US Equity","BS_TOT_NON_CUR_ASSET","FQ1 2022","FQ1 2022","Currency=USD","Period=FQ","BEST_FPERIOD_OVERRIDE=FQ","FILING_STATUS=MR","SCALING_FORMAT=MLN","Sort=A","Dates=H","DateFormat=P","Fill=—","Direction=H","UseDPDF=Y")</f>
        <v>843.86800000000005</v>
      </c>
      <c r="Q34" s="19">
        <f>_xll.BDH("ALNY US Equity","BS_TOT_NON_CUR_ASSET","FQ2 2022","FQ2 2022","Currency=USD","Period=FQ","BEST_FPERIOD_OVERRIDE=FQ","FILING_STATUS=MR","SCALING_FORMAT=MLN","Sort=A","Dates=H","DateFormat=P","Fill=—","Direction=H","UseDPDF=Y")</f>
        <v>858.779</v>
      </c>
      <c r="R34" s="19">
        <f>_xll.BDH("ALNY US Equity","BS_TOT_NON_CUR_ASSET","FQ3 2022","FQ3 2022","Currency=USD","Period=FQ","BEST_FPERIOD_OVERRIDE=FQ","FILING_STATUS=MR","SCALING_FORMAT=MLN","Sort=A","Dates=H","DateFormat=P","Fill=—","Direction=H","UseDPDF=Y")</f>
        <v>844.40800000000002</v>
      </c>
      <c r="S34" s="19">
        <f>_xll.BDH("ALNY US Equity","BS_TOT_NON_CUR_ASSET","FQ4 2022","FQ4 2022","Currency=USD","Period=FQ","BEST_FPERIOD_OVERRIDE=FQ","FILING_STATUS=MR","SCALING_FORMAT=MLN","Sort=A","Dates=H","DateFormat=P","Fill=—","Direction=H","UseDPDF=Y")</f>
        <v>854.11199999999997</v>
      </c>
      <c r="T34" s="19">
        <f>_xll.BDH("ALNY US Equity","BS_TOT_NON_CUR_ASSET","FQ1 2023","FQ1 2023","Currency=USD","Period=FQ","BEST_FPERIOD_OVERRIDE=FQ","FILING_STATUS=MR","SCALING_FORMAT=MLN","Sort=A","Dates=H","DateFormat=P","Fill=—","Direction=H","UseDPDF=Y")</f>
        <v>850.92200000000003</v>
      </c>
      <c r="U34" s="19">
        <f>_xll.BDH("ALNY US Equity","BS_TOT_NON_CUR_ASSET","FQ2 2023","FQ2 2023","Currency=USD","Period=FQ","BEST_FPERIOD_OVERRIDE=FQ","FILING_STATUS=MR","SCALING_FORMAT=MLN","Sort=A","Dates=H","DateFormat=P","Fill=—","Direction=H","UseDPDF=Y")</f>
        <v>878.34900000000005</v>
      </c>
      <c r="V34" s="19">
        <f>_xll.BDH("ALNY US Equity","BS_TOT_NON_CUR_ASSET","FQ3 2023","FQ3 2023","Currency=USD","Period=FQ","BEST_FPERIOD_OVERRIDE=FQ","FILING_STATUS=MR","SCALING_FORMAT=MLN","Sort=A","Dates=H","DateFormat=P","Fill=—","Direction=H","UseDPDF=Y")</f>
        <v>853.62099999999998</v>
      </c>
      <c r="W34" s="19">
        <f>_xll.BDH("ALNY US Equity","BS_TOT_NON_CUR_ASSET","FQ4 2023","FQ4 2023","Currency=USD","Period=FQ","BEST_FPERIOD_OVERRIDE=FQ","FILING_STATUS=MR","SCALING_FORMAT=MLN","Sort=A","Dates=H","DateFormat=P","Fill=—","Direction=H","UseDPDF=Y")</f>
        <v>847.18299999999999</v>
      </c>
      <c r="X34" s="19">
        <f>_xll.BDH("ALNY US Equity","BS_TOT_NON_CUR_ASSET","FQ1 2024","FQ1 2024","Currency=USD","Period=FQ","BEST_FPERIOD_OVERRIDE=FQ","FILING_STATUS=MR","SCALING_FORMAT=MLN","Sort=A","Dates=H","DateFormat=P","Fill=—","Direction=H","UseDPDF=Y")</f>
        <v>835.779</v>
      </c>
      <c r="Y34" s="19">
        <f>_xll.BDH("ALNY US Equity","BS_TOT_NON_CUR_ASSET","FQ2 2024","FQ2 2024","Currency=USD","Period=FQ","BEST_FPERIOD_OVERRIDE=FQ","FILING_STATUS=MR","SCALING_FORMAT=MLN","Sort=A","Dates=H","DateFormat=P","Fill=—","Direction=H","UseDPDF=Y")</f>
        <v>836.77800000000002</v>
      </c>
      <c r="Z34" s="19">
        <f>_xll.BDH("ALNY US Equity","BS_TOT_NON_CUR_ASSET","FQ3 2024","FQ3 2024","Currency=USD","Period=FQ","BEST_FPERIOD_OVERRIDE=FQ","FILING_STATUS=MR","SCALING_FORMAT=MLN","Sort=A","Dates=H","DateFormat=P","Fill=—","Direction=H","UseDPDF=Y")</f>
        <v>849.61500000000001</v>
      </c>
      <c r="AA34" s="19">
        <f>_xll.BDH("ALNY US Equity","BS_TOT_NON_CUR_ASSET","FQ4 2024","FQ4 2024","Currency=USD","Period=FQ","BEST_FPERIOD_OVERRIDE=FQ","FILING_STATUS=MR","SCALING_FORMAT=MLN","Sort=A","Dates=H","DateFormat=P","Fill=—","Direction=H","UseDPDF=Y")</f>
        <v>944.69799999999998</v>
      </c>
    </row>
    <row r="35" spans="1:27" x14ac:dyDescent="0.25">
      <c r="A35" s="6" t="s">
        <v>112</v>
      </c>
      <c r="B35" s="6" t="s">
        <v>113</v>
      </c>
      <c r="C35" s="19">
        <f>_xll.BDH("ALNY US Equity","BS_TOT_ASSET","FQ4 2018","FQ4 2018","Currency=USD","Period=FQ","BEST_FPERIOD_OVERRIDE=FQ","FILING_STATUS=MR","SCALING_FORMAT=MLN","Sort=A","Dates=H","DateFormat=P","Fill=—","Direction=H","UseDPDF=Y")</f>
        <v>1574.8019999999999</v>
      </c>
      <c r="D35" s="19">
        <f>_xll.BDH("ALNY US Equity","BS_TOT_ASSET","FQ1 2019","FQ1 2019","Currency=USD","Period=FQ","BEST_FPERIOD_OVERRIDE=FQ","FILING_STATUS=MR","SCALING_FORMAT=MLN","Sort=A","Dates=H","DateFormat=P","Fill=—","Direction=H","UseDPDF=Y")</f>
        <v>2013.999</v>
      </c>
      <c r="E35" s="19">
        <f>_xll.BDH("ALNY US Equity","BS_TOT_ASSET","FQ2 2019","FQ2 2019","Currency=USD","Period=FQ","BEST_FPERIOD_OVERRIDE=FQ","FILING_STATUS=MR","SCALING_FORMAT=MLN","Sort=A","Dates=H","DateFormat=P","Fill=—","Direction=H","UseDPDF=Y")</f>
        <v>2716.4110000000001</v>
      </c>
      <c r="F35" s="19">
        <f>_xll.BDH("ALNY US Equity","BS_TOT_ASSET","FQ3 2019","FQ3 2019","Currency=USD","Period=FQ","BEST_FPERIOD_OVERRIDE=FQ","FILING_STATUS=MR","SCALING_FORMAT=MLN","Sort=A","Dates=H","DateFormat=P","Fill=—","Direction=H","UseDPDF=Y")</f>
        <v>2541.6219999999998</v>
      </c>
      <c r="G35" s="19">
        <f>_xll.BDH("ALNY US Equity","BS_TOT_ASSET","FQ4 2019","FQ4 2019","Currency=USD","Period=FQ","BEST_FPERIOD_OVERRIDE=FQ","FILING_STATUS=MR","SCALING_FORMAT=MLN","Sort=A","Dates=H","DateFormat=P","Fill=—","Direction=H","UseDPDF=Y")</f>
        <v>2395.134</v>
      </c>
      <c r="H35" s="19">
        <f>_xll.BDH("ALNY US Equity","BS_TOT_ASSET","FQ1 2020","FQ1 2020","Currency=USD","Period=FQ","BEST_FPERIOD_OVERRIDE=FQ","FILING_STATUS=MR","SCALING_FORMAT=MLN","Sort=A","Dates=H","DateFormat=P","Fill=—","Direction=H","UseDPDF=Y")</f>
        <v>2279.6239999999998</v>
      </c>
      <c r="I35" s="19">
        <f>_xll.BDH("ALNY US Equity","BS_TOT_ASSET","FQ2 2020","FQ2 2020","Currency=USD","Period=FQ","BEST_FPERIOD_OVERRIDE=FQ","FILING_STATUS=MR","SCALING_FORMAT=MLN","Sort=A","Dates=H","DateFormat=P","Fill=—","Direction=H","UseDPDF=Y")</f>
        <v>3374.3670000000002</v>
      </c>
      <c r="J35" s="19">
        <f>_xll.BDH("ALNY US Equity","BS_TOT_ASSET","FQ3 2020","FQ3 2020","Currency=USD","Period=FQ","BEST_FPERIOD_OVERRIDE=FQ","FILING_STATUS=MR","SCALING_FORMAT=MLN","Sort=A","Dates=H","DateFormat=P","Fill=—","Direction=H","UseDPDF=Y")</f>
        <v>3307.2829999999999</v>
      </c>
      <c r="K35" s="19">
        <f>_xll.BDH("ALNY US Equity","BS_TOT_ASSET","FQ4 2020","FQ4 2020","Currency=USD","Period=FQ","BEST_FPERIOD_OVERRIDE=FQ","FILING_STATUS=MR","SCALING_FORMAT=MLN","Sort=A","Dates=H","DateFormat=P","Fill=—","Direction=H","UseDPDF=Y")</f>
        <v>3407.0610000000001</v>
      </c>
      <c r="L35" s="19">
        <f>_xll.BDH("ALNY US Equity","BS_TOT_ASSET","FQ1 2021","FQ1 2021","Currency=USD","Period=FQ","BEST_FPERIOD_OVERRIDE=FQ","FILING_STATUS=MR","SCALING_FORMAT=MLN","Sort=A","Dates=H","DateFormat=P","Fill=—","Direction=H","UseDPDF=Y")</f>
        <v>3255.2689999999998</v>
      </c>
      <c r="M35" s="19">
        <f>_xll.BDH("ALNY US Equity","BS_TOT_ASSET","FQ2 2021","FQ2 2021","Currency=USD","Period=FQ","BEST_FPERIOD_OVERRIDE=FQ","FILING_STATUS=MR","SCALING_FORMAT=MLN","Sort=A","Dates=H","DateFormat=P","Fill=—","Direction=H","UseDPDF=Y")</f>
        <v>3509.4290000000001</v>
      </c>
      <c r="N35" s="19">
        <f>_xll.BDH("ALNY US Equity","BS_TOT_ASSET","FQ3 2021","FQ3 2021","Currency=USD","Period=FQ","BEST_FPERIOD_OVERRIDE=FQ","FILING_STATUS=MR","SCALING_FORMAT=MLN","Sort=A","Dates=H","DateFormat=P","Fill=—","Direction=H","UseDPDF=Y")</f>
        <v>3472.3130000000001</v>
      </c>
      <c r="O35" s="19">
        <f>_xll.BDH("ALNY US Equity","BS_TOT_ASSET","FQ4 2021","FQ4 2021","Currency=USD","Period=FQ","BEST_FPERIOD_OVERRIDE=FQ","FILING_STATUS=MR","SCALING_FORMAT=MLN","Sort=A","Dates=H","DateFormat=P","Fill=—","Direction=H","UseDPDF=Y")</f>
        <v>3643.3040000000001</v>
      </c>
      <c r="P35" s="19">
        <f>_xll.BDH("ALNY US Equity","BS_TOT_ASSET","FQ1 2022","FQ1 2022","Currency=USD","Period=FQ","BEST_FPERIOD_OVERRIDE=FQ","FILING_STATUS=MR","SCALING_FORMAT=MLN","Sort=A","Dates=H","DateFormat=P","Fill=—","Direction=H","UseDPDF=Y")</f>
        <v>3433.5450000000001</v>
      </c>
      <c r="Q35" s="19">
        <f>_xll.BDH("ALNY US Equity","BS_TOT_ASSET","FQ2 2022","FQ2 2022","Currency=USD","Period=FQ","BEST_FPERIOD_OVERRIDE=FQ","FILING_STATUS=MR","SCALING_FORMAT=MLN","Sort=A","Dates=H","DateFormat=P","Fill=—","Direction=H","UseDPDF=Y")</f>
        <v>3330.4169999999999</v>
      </c>
      <c r="R35" s="19">
        <f>_xll.BDH("ALNY US Equity","BS_TOT_ASSET","FQ3 2022","FQ3 2022","Currency=USD","Period=FQ","BEST_FPERIOD_OVERRIDE=FQ","FILING_STATUS=MR","SCALING_FORMAT=MLN","Sort=A","Dates=H","DateFormat=P","Fill=—","Direction=H","UseDPDF=Y")</f>
        <v>3535.2550000000001</v>
      </c>
      <c r="S35" s="19">
        <f>_xll.BDH("ALNY US Equity","BS_TOT_ASSET","FQ4 2022","FQ4 2022","Currency=USD","Period=FQ","BEST_FPERIOD_OVERRIDE=FQ","FILING_STATUS=MR","SCALING_FORMAT=MLN","Sort=A","Dates=H","DateFormat=P","Fill=—","Direction=H","UseDPDF=Y")</f>
        <v>3546.3589999999999</v>
      </c>
      <c r="T35" s="19">
        <f>_xll.BDH("ALNY US Equity","BS_TOT_ASSET","FQ1 2023","FQ1 2023","Currency=USD","Period=FQ","BEST_FPERIOD_OVERRIDE=FQ","FILING_STATUS=MR","SCALING_FORMAT=MLN","Sort=A","Dates=H","DateFormat=P","Fill=—","Direction=H","UseDPDF=Y")</f>
        <v>3391.94</v>
      </c>
      <c r="U35" s="19">
        <f>_xll.BDH("ALNY US Equity","BS_TOT_ASSET","FQ2 2023","FQ2 2023","Currency=USD","Period=FQ","BEST_FPERIOD_OVERRIDE=FQ","FILING_STATUS=MR","SCALING_FORMAT=MLN","Sort=A","Dates=H","DateFormat=P","Fill=—","Direction=H","UseDPDF=Y")</f>
        <v>3402.3960000000002</v>
      </c>
      <c r="V35" s="19">
        <f>_xll.BDH("ALNY US Equity","BS_TOT_ASSET","FQ3 2023","FQ3 2023","Currency=USD","Period=FQ","BEST_FPERIOD_OVERRIDE=FQ","FILING_STATUS=MR","SCALING_FORMAT=MLN","Sort=A","Dates=H","DateFormat=P","Fill=—","Direction=H","UseDPDF=Y")</f>
        <v>3839.0729999999999</v>
      </c>
      <c r="W35" s="19">
        <f>_xll.BDH("ALNY US Equity","BS_TOT_ASSET","FQ4 2023","FQ4 2023","Currency=USD","Period=FQ","BEST_FPERIOD_OVERRIDE=FQ","FILING_STATUS=MR","SCALING_FORMAT=MLN","Sort=A","Dates=H","DateFormat=P","Fill=—","Direction=H","UseDPDF=Y")</f>
        <v>3829.88</v>
      </c>
      <c r="X35" s="19">
        <f>_xll.BDH("ALNY US Equity","BS_TOT_ASSET","FQ1 2024","FQ1 2024","Currency=USD","Period=FQ","BEST_FPERIOD_OVERRIDE=FQ","FILING_STATUS=MR","SCALING_FORMAT=MLN","Sort=A","Dates=H","DateFormat=P","Fill=—","Direction=H","UseDPDF=Y")</f>
        <v>3824.386</v>
      </c>
      <c r="Y35" s="19">
        <f>_xll.BDH("ALNY US Equity","BS_TOT_ASSET","FQ2 2024","FQ2 2024","Currency=USD","Period=FQ","BEST_FPERIOD_OVERRIDE=FQ","FILING_STATUS=MR","SCALING_FORMAT=MLN","Sort=A","Dates=H","DateFormat=P","Fill=—","Direction=H","UseDPDF=Y")</f>
        <v>4009.634</v>
      </c>
      <c r="Z35" s="19">
        <f>_xll.BDH("ALNY US Equity","BS_TOT_ASSET","FQ3 2024","FQ3 2024","Currency=USD","Period=FQ","BEST_FPERIOD_OVERRIDE=FQ","FILING_STATUS=MR","SCALING_FORMAT=MLN","Sort=A","Dates=H","DateFormat=P","Fill=—","Direction=H","UseDPDF=Y")</f>
        <v>4205.0389999999998</v>
      </c>
      <c r="AA35" s="19">
        <f>_xll.BDH("ALNY US Equity","BS_TOT_ASSET","FQ4 2024","FQ4 2024","Currency=USD","Period=FQ","BEST_FPERIOD_OVERRIDE=FQ","FILING_STATUS=MR","SCALING_FORMAT=MLN","Sort=A","Dates=H","DateFormat=P","Fill=—","Direction=H","UseDPDF=Y")</f>
        <v>4239.9830000000002</v>
      </c>
    </row>
    <row r="36" spans="1:27" x14ac:dyDescent="0.25">
      <c r="A36" s="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5">
      <c r="A37" s="6" t="s">
        <v>727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5">
      <c r="A38" s="10" t="s">
        <v>728</v>
      </c>
      <c r="B38" s="10" t="s">
        <v>729</v>
      </c>
      <c r="C38" s="13">
        <f>_xll.BDH("ALNY US Equity","ACCT_PAYABLE_ACCRUALS_DETAILED","FQ4 2018","FQ4 2018","Currency=USD","Period=FQ","BEST_FPERIOD_OVERRIDE=FQ","FILING_STATUS=MR","SCALING_FORMAT=MLN","Sort=A","Dates=H","DateFormat=P","Fill=—","Direction=H","UseDPDF=Y")</f>
        <v>172.42699999999999</v>
      </c>
      <c r="D38" s="13">
        <f>_xll.BDH("ALNY US Equity","ACCT_PAYABLE_ACCRUALS_DETAILED","FQ1 2019","FQ1 2019","Currency=USD","Period=FQ","BEST_FPERIOD_OVERRIDE=FQ","FILING_STATUS=MR","SCALING_FORMAT=MLN","Sort=A","Dates=H","DateFormat=P","Fill=—","Direction=H","UseDPDF=Y")</f>
        <v>129.54400000000001</v>
      </c>
      <c r="E38" s="13">
        <f>_xll.BDH("ALNY US Equity","ACCT_PAYABLE_ACCRUALS_DETAILED","FQ2 2019","FQ2 2019","Currency=USD","Period=FQ","BEST_FPERIOD_OVERRIDE=FQ","FILING_STATUS=MR","SCALING_FORMAT=MLN","Sort=A","Dates=H","DateFormat=P","Fill=—","Direction=H","UseDPDF=Y")</f>
        <v>210.01499999999999</v>
      </c>
      <c r="F38" s="13">
        <f>_xll.BDH("ALNY US Equity","ACCT_PAYABLE_ACCRUALS_DETAILED","FQ3 2019","FQ3 2019","Currency=USD","Period=FQ","BEST_FPERIOD_OVERRIDE=FQ","FILING_STATUS=MR","SCALING_FORMAT=MLN","Sort=A","Dates=H","DateFormat=P","Fill=—","Direction=H","UseDPDF=Y")</f>
        <v>217.34</v>
      </c>
      <c r="G38" s="13">
        <f>_xll.BDH("ALNY US Equity","ACCT_PAYABLE_ACCRUALS_DETAILED","FQ4 2019","FQ4 2019","Currency=USD","Period=FQ","BEST_FPERIOD_OVERRIDE=FQ","FILING_STATUS=MR","SCALING_FORMAT=MLN","Sort=A","Dates=H","DateFormat=P","Fill=—","Direction=H","UseDPDF=Y")</f>
        <v>247.08500000000001</v>
      </c>
      <c r="H38" s="13">
        <f>_xll.BDH("ALNY US Equity","ACCT_PAYABLE_ACCRUALS_DETAILED","FQ1 2020","FQ1 2020","Currency=USD","Period=FQ","BEST_FPERIOD_OVERRIDE=FQ","FILING_STATUS=MR","SCALING_FORMAT=MLN","Sort=A","Dates=H","DateFormat=P","Fill=—","Direction=H","UseDPDF=Y")</f>
        <v>223.70500000000001</v>
      </c>
      <c r="I38" s="13">
        <f>_xll.BDH("ALNY US Equity","ACCT_PAYABLE_ACCRUALS_DETAILED","FQ2 2020","FQ2 2020","Currency=USD","Period=FQ","BEST_FPERIOD_OVERRIDE=FQ","FILING_STATUS=MR","SCALING_FORMAT=MLN","Sort=A","Dates=H","DateFormat=P","Fill=—","Direction=H","UseDPDF=Y")</f>
        <v>237.31100000000001</v>
      </c>
      <c r="J38" s="13">
        <f>_xll.BDH("ALNY US Equity","ACCT_PAYABLE_ACCRUALS_DETAILED","FQ3 2020","FQ3 2020","Currency=USD","Period=FQ","BEST_FPERIOD_OVERRIDE=FQ","FILING_STATUS=MR","SCALING_FORMAT=MLN","Sort=A","Dates=H","DateFormat=P","Fill=—","Direction=H","UseDPDF=Y")</f>
        <v>323.13200000000001</v>
      </c>
      <c r="K38" s="13">
        <f>_xll.BDH("ALNY US Equity","ACCT_PAYABLE_ACCRUALS_DETAILED","FQ4 2020","FQ4 2020","Currency=USD","Period=FQ","BEST_FPERIOD_OVERRIDE=FQ","FILING_STATUS=MR","SCALING_FORMAT=MLN","Sort=A","Dates=H","DateFormat=P","Fill=—","Direction=H","UseDPDF=Y")</f>
        <v>407.875</v>
      </c>
      <c r="L38" s="13">
        <f>_xll.BDH("ALNY US Equity","ACCT_PAYABLE_ACCRUALS_DETAILED","FQ1 2021","FQ1 2021","Currency=USD","Period=FQ","BEST_FPERIOD_OVERRIDE=FQ","FILING_STATUS=MR","SCALING_FORMAT=MLN","Sort=A","Dates=H","DateFormat=P","Fill=—","Direction=H","UseDPDF=Y")</f>
        <v>325.90800000000002</v>
      </c>
      <c r="M38" s="13">
        <f>_xll.BDH("ALNY US Equity","ACCT_PAYABLE_ACCRUALS_DETAILED","FQ2 2021","FQ2 2021","Currency=USD","Period=FQ","BEST_FPERIOD_OVERRIDE=FQ","FILING_STATUS=MR","SCALING_FORMAT=MLN","Sort=A","Dates=H","DateFormat=P","Fill=—","Direction=H","UseDPDF=Y")</f>
        <v>394.26600000000002</v>
      </c>
      <c r="N38" s="13">
        <f>_xll.BDH("ALNY US Equity","ACCT_PAYABLE_ACCRUALS_DETAILED","FQ3 2021","FQ3 2021","Currency=USD","Period=FQ","BEST_FPERIOD_OVERRIDE=FQ","FILING_STATUS=MR","SCALING_FORMAT=MLN","Sort=A","Dates=H","DateFormat=P","Fill=—","Direction=H","UseDPDF=Y")</f>
        <v>428.62400000000002</v>
      </c>
      <c r="O38" s="13">
        <f>_xll.BDH("ALNY US Equity","ACCT_PAYABLE_ACCRUALS_DETAILED","FQ4 2021","FQ4 2021","Currency=USD","Period=FQ","BEST_FPERIOD_OVERRIDE=FQ","FILING_STATUS=MR","SCALING_FORMAT=MLN","Sort=A","Dates=H","DateFormat=P","Fill=—","Direction=H","UseDPDF=Y")</f>
        <v>468.6</v>
      </c>
      <c r="P38" s="13">
        <f>_xll.BDH("ALNY US Equity","ACCT_PAYABLE_ACCRUALS_DETAILED","FQ1 2022","FQ1 2022","Currency=USD","Period=FQ","BEST_FPERIOD_OVERRIDE=FQ","FILING_STATUS=MR","SCALING_FORMAT=MLN","Sort=A","Dates=H","DateFormat=P","Fill=—","Direction=H","UseDPDF=Y")</f>
        <v>410.85199999999998</v>
      </c>
      <c r="Q38" s="13">
        <f>_xll.BDH("ALNY US Equity","ACCT_PAYABLE_ACCRUALS_DETAILED","FQ2 2022","FQ2 2022","Currency=USD","Period=FQ","BEST_FPERIOD_OVERRIDE=FQ","FILING_STATUS=MR","SCALING_FORMAT=MLN","Sort=A","Dates=H","DateFormat=P","Fill=—","Direction=H","UseDPDF=Y")</f>
        <v>473.661</v>
      </c>
      <c r="R38" s="13">
        <f>_xll.BDH("ALNY US Equity","ACCT_PAYABLE_ACCRUALS_DETAILED","FQ3 2022","FQ3 2022","Currency=USD","Period=FQ","BEST_FPERIOD_OVERRIDE=FQ","FILING_STATUS=MR","SCALING_FORMAT=MLN","Sort=A","Dates=H","DateFormat=P","Fill=—","Direction=H","UseDPDF=Y")</f>
        <v>551.15099999999995</v>
      </c>
      <c r="S38" s="13">
        <f>_xll.BDH("ALNY US Equity","ACCT_PAYABLE_ACCRUALS_DETAILED","FQ4 2022","FQ4 2022","Currency=USD","Period=FQ","BEST_FPERIOD_OVERRIDE=FQ","FILING_STATUS=MR","SCALING_FORMAT=MLN","Sort=A","Dates=H","DateFormat=P","Fill=—","Direction=H","UseDPDF=Y")</f>
        <v>643.55399999999997</v>
      </c>
      <c r="T38" s="13">
        <f>_xll.BDH("ALNY US Equity","ACCT_PAYABLE_ACCRUALS_DETAILED","FQ1 2023","FQ1 2023","Currency=USD","Period=FQ","BEST_FPERIOD_OVERRIDE=FQ","FILING_STATUS=MR","SCALING_FORMAT=MLN","Sort=A","Dates=H","DateFormat=P","Fill=—","Direction=H","UseDPDF=Y")</f>
        <v>570.83600000000001</v>
      </c>
      <c r="U38" s="13">
        <f>_xll.BDH("ALNY US Equity","ACCT_PAYABLE_ACCRUALS_DETAILED","FQ2 2023","FQ2 2023","Currency=USD","Period=FQ","BEST_FPERIOD_OVERRIDE=FQ","FILING_STATUS=MR","SCALING_FORMAT=MLN","Sort=A","Dates=H","DateFormat=P","Fill=—","Direction=H","UseDPDF=Y")</f>
        <v>658.27599999999995</v>
      </c>
      <c r="V38" s="13">
        <f>_xll.BDH("ALNY US Equity","ACCT_PAYABLE_ACCRUALS_DETAILED","FQ3 2023","FQ3 2023","Currency=USD","Period=FQ","BEST_FPERIOD_OVERRIDE=FQ","FILING_STATUS=MR","SCALING_FORMAT=MLN","Sort=A","Dates=H","DateFormat=P","Fill=—","Direction=H","UseDPDF=Y")</f>
        <v>786.93399999999997</v>
      </c>
      <c r="W38" s="13">
        <f>_xll.BDH("ALNY US Equity","ACCT_PAYABLE_ACCRUALS_DETAILED","FQ4 2023","FQ4 2023","Currency=USD","Period=FQ","BEST_FPERIOD_OVERRIDE=FQ","FILING_STATUS=MR","SCALING_FORMAT=MLN","Sort=A","Dates=H","DateFormat=P","Fill=—","Direction=H","UseDPDF=Y")</f>
        <v>768.53200000000004</v>
      </c>
      <c r="X38" s="13">
        <f>_xll.BDH("ALNY US Equity","ACCT_PAYABLE_ACCRUALS_DETAILED","FQ1 2024","FQ1 2024","Currency=USD","Period=FQ","BEST_FPERIOD_OVERRIDE=FQ","FILING_STATUS=MR","SCALING_FORMAT=MLN","Sort=A","Dates=H","DateFormat=P","Fill=—","Direction=H","UseDPDF=Y")</f>
        <v>777.01300000000003</v>
      </c>
      <c r="Y38" s="13">
        <f>_xll.BDH("ALNY US Equity","ACCT_PAYABLE_ACCRUALS_DETAILED","FQ2 2024","FQ2 2024","Currency=USD","Period=FQ","BEST_FPERIOD_OVERRIDE=FQ","FILING_STATUS=MR","SCALING_FORMAT=MLN","Sort=A","Dates=H","DateFormat=P","Fill=—","Direction=H","UseDPDF=Y")</f>
        <v>882.62300000000005</v>
      </c>
      <c r="Z38" s="13">
        <f>_xll.BDH("ALNY US Equity","ACCT_PAYABLE_ACCRUALS_DETAILED","FQ3 2024","FQ3 2024","Currency=USD","Period=FQ","BEST_FPERIOD_OVERRIDE=FQ","FILING_STATUS=MR","SCALING_FORMAT=MLN","Sort=A","Dates=H","DateFormat=P","Fill=—","Direction=H","UseDPDF=Y")</f>
        <v>1016.973</v>
      </c>
      <c r="AA38" s="13">
        <f>_xll.BDH("ALNY US Equity","ACCT_PAYABLE_ACCRUALS_DETAILED","FQ4 2024","FQ4 2024","Currency=USD","Period=FQ","BEST_FPERIOD_OVERRIDE=FQ","FILING_STATUS=MR","SCALING_FORMAT=MLN","Sort=A","Dates=H","DateFormat=P","Fill=—","Direction=H","UseDPDF=Y")</f>
        <v>975.88699999999994</v>
      </c>
    </row>
    <row r="39" spans="1:27" x14ac:dyDescent="0.25">
      <c r="A39" s="10" t="s">
        <v>730</v>
      </c>
      <c r="B39" s="10" t="s">
        <v>731</v>
      </c>
      <c r="C39" s="13">
        <f>_xll.BDH("ALNY US Equity","BS_ACCT_PAYABLE","FQ4 2018","FQ4 2018","Currency=USD","Period=FQ","BEST_FPERIOD_OVERRIDE=FQ","FILING_STATUS=MR","SCALING_FORMAT=MLN","Sort=A","Dates=H","DateFormat=P","Fill=—","Direction=H","UseDPDF=Y")</f>
        <v>59.707999999999998</v>
      </c>
      <c r="D39" s="13">
        <f>_xll.BDH("ALNY US Equity","BS_ACCT_PAYABLE","FQ1 2019","FQ1 2019","Currency=USD","Period=FQ","BEST_FPERIOD_OVERRIDE=FQ","FILING_STATUS=MR","SCALING_FORMAT=MLN","Sort=A","Dates=H","DateFormat=P","Fill=—","Direction=H","UseDPDF=Y")</f>
        <v>22.670999999999999</v>
      </c>
      <c r="E39" s="13">
        <f>_xll.BDH("ALNY US Equity","BS_ACCT_PAYABLE","FQ2 2019","FQ2 2019","Currency=USD","Period=FQ","BEST_FPERIOD_OVERRIDE=FQ","FILING_STATUS=MR","SCALING_FORMAT=MLN","Sort=A","Dates=H","DateFormat=P","Fill=—","Direction=H","UseDPDF=Y")</f>
        <v>71.215000000000003</v>
      </c>
      <c r="F39" s="13">
        <f>_xll.BDH("ALNY US Equity","BS_ACCT_PAYABLE","FQ3 2019","FQ3 2019","Currency=USD","Period=FQ","BEST_FPERIOD_OVERRIDE=FQ","FILING_STATUS=MR","SCALING_FORMAT=MLN","Sort=A","Dates=H","DateFormat=P","Fill=—","Direction=H","UseDPDF=Y")</f>
        <v>39.392000000000003</v>
      </c>
      <c r="G39" s="13">
        <f>_xll.BDH("ALNY US Equity","BS_ACCT_PAYABLE","FQ4 2019","FQ4 2019","Currency=USD","Period=FQ","BEST_FPERIOD_OVERRIDE=FQ","FILING_STATUS=MR","SCALING_FORMAT=MLN","Sort=A","Dates=H","DateFormat=P","Fill=—","Direction=H","UseDPDF=Y")</f>
        <v>49.884</v>
      </c>
      <c r="H39" s="13">
        <f>_xll.BDH("ALNY US Equity","BS_ACCT_PAYABLE","FQ1 2020","FQ1 2020","Currency=USD","Period=FQ","BEST_FPERIOD_OVERRIDE=FQ","FILING_STATUS=MR","SCALING_FORMAT=MLN","Sort=A","Dates=H","DateFormat=P","Fill=—","Direction=H","UseDPDF=Y")</f>
        <v>40.484000000000002</v>
      </c>
      <c r="I39" s="13">
        <f>_xll.BDH("ALNY US Equity","BS_ACCT_PAYABLE","FQ2 2020","FQ2 2020","Currency=USD","Period=FQ","BEST_FPERIOD_OVERRIDE=FQ","FILING_STATUS=MR","SCALING_FORMAT=MLN","Sort=A","Dates=H","DateFormat=P","Fill=—","Direction=H","UseDPDF=Y")</f>
        <v>26.125</v>
      </c>
      <c r="J39" s="13">
        <f>_xll.BDH("ALNY US Equity","BS_ACCT_PAYABLE","FQ3 2020","FQ3 2020","Currency=USD","Period=FQ","BEST_FPERIOD_OVERRIDE=FQ","FILING_STATUS=MR","SCALING_FORMAT=MLN","Sort=A","Dates=H","DateFormat=P","Fill=—","Direction=H","UseDPDF=Y")</f>
        <v>27.872</v>
      </c>
      <c r="K39" s="13">
        <f>_xll.BDH("ALNY US Equity","BS_ACCT_PAYABLE","FQ4 2020","FQ4 2020","Currency=USD","Period=FQ","BEST_FPERIOD_OVERRIDE=FQ","FILING_STATUS=MR","SCALING_FORMAT=MLN","Sort=A","Dates=H","DateFormat=P","Fill=—","Direction=H","UseDPDF=Y")</f>
        <v>51.966000000000001</v>
      </c>
      <c r="L39" s="13">
        <f>_xll.BDH("ALNY US Equity","BS_ACCT_PAYABLE","FQ1 2021","FQ1 2021","Currency=USD","Period=FQ","BEST_FPERIOD_OVERRIDE=FQ","FILING_STATUS=MR","SCALING_FORMAT=MLN","Sort=A","Dates=H","DateFormat=P","Fill=—","Direction=H","UseDPDF=Y")</f>
        <v>45.381</v>
      </c>
      <c r="M39" s="13">
        <f>_xll.BDH("ALNY US Equity","BS_ACCT_PAYABLE","FQ2 2021","FQ2 2021","Currency=USD","Period=FQ","BEST_FPERIOD_OVERRIDE=FQ","FILING_STATUS=MR","SCALING_FORMAT=MLN","Sort=A","Dates=H","DateFormat=P","Fill=—","Direction=H","UseDPDF=Y")</f>
        <v>53.079000000000001</v>
      </c>
      <c r="N39" s="13">
        <f>_xll.BDH("ALNY US Equity","BS_ACCT_PAYABLE","FQ3 2021","FQ3 2021","Currency=USD","Period=FQ","BEST_FPERIOD_OVERRIDE=FQ","FILING_STATUS=MR","SCALING_FORMAT=MLN","Sort=A","Dates=H","DateFormat=P","Fill=—","Direction=H","UseDPDF=Y")</f>
        <v>40.048000000000002</v>
      </c>
      <c r="O39" s="13">
        <f>_xll.BDH("ALNY US Equity","BS_ACCT_PAYABLE","FQ4 2021","FQ4 2021","Currency=USD","Period=FQ","BEST_FPERIOD_OVERRIDE=FQ","FILING_STATUS=MR","SCALING_FORMAT=MLN","Sort=A","Dates=H","DateFormat=P","Fill=—","Direction=H","UseDPDF=Y")</f>
        <v>73.426000000000002</v>
      </c>
      <c r="P39" s="13">
        <f>_xll.BDH("ALNY US Equity","BS_ACCT_PAYABLE","FQ1 2022","FQ1 2022","Currency=USD","Period=FQ","BEST_FPERIOD_OVERRIDE=FQ","FILING_STATUS=MR","SCALING_FORMAT=MLN","Sort=A","Dates=H","DateFormat=P","Fill=—","Direction=H","UseDPDF=Y")</f>
        <v>54.915999999999997</v>
      </c>
      <c r="Q39" s="13">
        <f>_xll.BDH("ALNY US Equity","BS_ACCT_PAYABLE","FQ2 2022","FQ2 2022","Currency=USD","Period=FQ","BEST_FPERIOD_OVERRIDE=FQ","FILING_STATUS=MR","SCALING_FORMAT=MLN","Sort=A","Dates=H","DateFormat=P","Fill=—","Direction=H","UseDPDF=Y")</f>
        <v>52.417999999999999</v>
      </c>
      <c r="R39" s="13">
        <f>_xll.BDH("ALNY US Equity","BS_ACCT_PAYABLE","FQ3 2022","FQ3 2022","Currency=USD","Period=FQ","BEST_FPERIOD_OVERRIDE=FQ","FILING_STATUS=MR","SCALING_FORMAT=MLN","Sort=A","Dates=H","DateFormat=P","Fill=—","Direction=H","UseDPDF=Y")</f>
        <v>40.572000000000003</v>
      </c>
      <c r="S39" s="13">
        <f>_xll.BDH("ALNY US Equity","BS_ACCT_PAYABLE","FQ4 2022","FQ4 2022","Currency=USD","Period=FQ","BEST_FPERIOD_OVERRIDE=FQ","FILING_STATUS=MR","SCALING_FORMAT=MLN","Sort=A","Dates=H","DateFormat=P","Fill=—","Direction=H","UseDPDF=Y")</f>
        <v>98.093999999999994</v>
      </c>
      <c r="T39" s="13">
        <f>_xll.BDH("ALNY US Equity","BS_ACCT_PAYABLE","FQ1 2023","FQ1 2023","Currency=USD","Period=FQ","BEST_FPERIOD_OVERRIDE=FQ","FILING_STATUS=MR","SCALING_FORMAT=MLN","Sort=A","Dates=H","DateFormat=P","Fill=—","Direction=H","UseDPDF=Y")</f>
        <v>62.237000000000002</v>
      </c>
      <c r="U39" s="13">
        <f>_xll.BDH("ALNY US Equity","BS_ACCT_PAYABLE","FQ2 2023","FQ2 2023","Currency=USD","Period=FQ","BEST_FPERIOD_OVERRIDE=FQ","FILING_STATUS=MR","SCALING_FORMAT=MLN","Sort=A","Dates=H","DateFormat=P","Fill=—","Direction=H","UseDPDF=Y")</f>
        <v>59.746000000000002</v>
      </c>
      <c r="V39" s="13">
        <f>_xll.BDH("ALNY US Equity","BS_ACCT_PAYABLE","FQ3 2023","FQ3 2023","Currency=USD","Period=FQ","BEST_FPERIOD_OVERRIDE=FQ","FILING_STATUS=MR","SCALING_FORMAT=MLN","Sort=A","Dates=H","DateFormat=P","Fill=—","Direction=H","UseDPDF=Y")</f>
        <v>73.84</v>
      </c>
      <c r="W39" s="13">
        <f>_xll.BDH("ALNY US Equity","BS_ACCT_PAYABLE","FQ4 2023","FQ4 2023","Currency=USD","Period=FQ","BEST_FPERIOD_OVERRIDE=FQ","FILING_STATUS=MR","SCALING_FORMAT=MLN","Sort=A","Dates=H","DateFormat=P","Fill=—","Direction=H","UseDPDF=Y")</f>
        <v>55.518999999999998</v>
      </c>
      <c r="X39" s="13">
        <f>_xll.BDH("ALNY US Equity","BS_ACCT_PAYABLE","FQ1 2024","FQ1 2024","Currency=USD","Period=FQ","BEST_FPERIOD_OVERRIDE=FQ","FILING_STATUS=MR","SCALING_FORMAT=MLN","Sort=A","Dates=H","DateFormat=P","Fill=—","Direction=H","UseDPDF=Y")</f>
        <v>78.147999999999996</v>
      </c>
      <c r="Y39" s="13">
        <f>_xll.BDH("ALNY US Equity","BS_ACCT_PAYABLE","FQ2 2024","FQ2 2024","Currency=USD","Period=FQ","BEST_FPERIOD_OVERRIDE=FQ","FILING_STATUS=MR","SCALING_FORMAT=MLN","Sort=A","Dates=H","DateFormat=P","Fill=—","Direction=H","UseDPDF=Y")</f>
        <v>73.98</v>
      </c>
      <c r="Z39" s="13">
        <f>_xll.BDH("ALNY US Equity","BS_ACCT_PAYABLE","FQ3 2024","FQ3 2024","Currency=USD","Period=FQ","BEST_FPERIOD_OVERRIDE=FQ","FILING_STATUS=MR","SCALING_FORMAT=MLN","Sort=A","Dates=H","DateFormat=P","Fill=—","Direction=H","UseDPDF=Y")</f>
        <v>70.805000000000007</v>
      </c>
      <c r="AA39" s="13">
        <f>_xll.BDH("ALNY US Equity","BS_ACCT_PAYABLE","FQ4 2024","FQ4 2024","Currency=USD","Period=FQ","BEST_FPERIOD_OVERRIDE=FQ","FILING_STATUS=MR","SCALING_FORMAT=MLN","Sort=A","Dates=H","DateFormat=P","Fill=—","Direction=H","UseDPDF=Y")</f>
        <v>88.415000000000006</v>
      </c>
    </row>
    <row r="40" spans="1:27" x14ac:dyDescent="0.25">
      <c r="A40" s="10" t="s">
        <v>732</v>
      </c>
      <c r="B40" s="10" t="s">
        <v>733</v>
      </c>
      <c r="C40" s="13">
        <f>_xll.BDH("ALNY US Equity","BS_TAXES_PAYABLE","FQ4 2018","FQ4 2018","Currency=USD","Period=FQ","BEST_FPERIOD_OVERRIDE=FQ","FILING_STATUS=MR","SCALING_FORMAT=MLN","Sort=A","Dates=H","DateFormat=P","Fill=—","Direction=H","UseDPDF=Y")</f>
        <v>0</v>
      </c>
      <c r="D40" s="13" t="str">
        <f>_xll.BDH("ALNY US Equity","BS_TAXES_PAYABLE","FQ1 2019","FQ1 2019","Currency=USD","Period=FQ","BEST_FPERIOD_OVERRIDE=FQ","FILING_STATUS=MR","SCALING_FORMAT=MLN","Sort=A","Dates=H","DateFormat=P","Fill=—","Direction=H","UseDPDF=Y")</f>
        <v>—</v>
      </c>
      <c r="E40" s="13" t="str">
        <f>_xll.BDH("ALNY US Equity","BS_TAXES_PAYABLE","FQ2 2019","FQ2 2019","Currency=USD","Period=FQ","BEST_FPERIOD_OVERRIDE=FQ","FILING_STATUS=MR","SCALING_FORMAT=MLN","Sort=A","Dates=H","DateFormat=P","Fill=—","Direction=H","UseDPDF=Y")</f>
        <v>—</v>
      </c>
      <c r="F40" s="13" t="str">
        <f>_xll.BDH("ALNY US Equity","BS_TAXES_PAYABLE","FQ3 2019","FQ3 2019","Currency=USD","Period=FQ","BEST_FPERIOD_OVERRIDE=FQ","FILING_STATUS=MR","SCALING_FORMAT=MLN","Sort=A","Dates=H","DateFormat=P","Fill=—","Direction=H","UseDPDF=Y")</f>
        <v>—</v>
      </c>
      <c r="G40" s="13">
        <f>_xll.BDH("ALNY US Equity","BS_TAXES_PAYABLE","FQ4 2019","FQ4 2019","Currency=USD","Period=FQ","BEST_FPERIOD_OVERRIDE=FQ","FILING_STATUS=MR","SCALING_FORMAT=MLN","Sort=A","Dates=H","DateFormat=P","Fill=—","Direction=H","UseDPDF=Y")</f>
        <v>0</v>
      </c>
      <c r="H40" s="13" t="str">
        <f>_xll.BDH("ALNY US Equity","BS_TAXES_PAYABLE","FQ1 2020","FQ1 2020","Currency=USD","Period=FQ","BEST_FPERIOD_OVERRIDE=FQ","FILING_STATUS=MR","SCALING_FORMAT=MLN","Sort=A","Dates=H","DateFormat=P","Fill=—","Direction=H","UseDPDF=Y")</f>
        <v>—</v>
      </c>
      <c r="I40" s="13" t="str">
        <f>_xll.BDH("ALNY US Equity","BS_TAXES_PAYABLE","FQ2 2020","FQ2 2020","Currency=USD","Period=FQ","BEST_FPERIOD_OVERRIDE=FQ","FILING_STATUS=MR","SCALING_FORMAT=MLN","Sort=A","Dates=H","DateFormat=P","Fill=—","Direction=H","UseDPDF=Y")</f>
        <v>—</v>
      </c>
      <c r="J40" s="13" t="str">
        <f>_xll.BDH("ALNY US Equity","BS_TAXES_PAYABLE","FQ3 2020","FQ3 2020","Currency=USD","Period=FQ","BEST_FPERIOD_OVERRIDE=FQ","FILING_STATUS=MR","SCALING_FORMAT=MLN","Sort=A","Dates=H","DateFormat=P","Fill=—","Direction=H","UseDPDF=Y")</f>
        <v>—</v>
      </c>
      <c r="K40" s="13">
        <f>_xll.BDH("ALNY US Equity","BS_TAXES_PAYABLE","FQ4 2020","FQ4 2020","Currency=USD","Period=FQ","BEST_FPERIOD_OVERRIDE=FQ","FILING_STATUS=MR","SCALING_FORMAT=MLN","Sort=A","Dates=H","DateFormat=P","Fill=—","Direction=H","UseDPDF=Y")</f>
        <v>0</v>
      </c>
      <c r="L40" s="13" t="str">
        <f>_xll.BDH("ALNY US Equity","BS_TAXES_PAYABLE","FQ1 2021","FQ1 2021","Currency=USD","Period=FQ","BEST_FPERIOD_OVERRIDE=FQ","FILING_STATUS=MR","SCALING_FORMAT=MLN","Sort=A","Dates=H","DateFormat=P","Fill=—","Direction=H","UseDPDF=Y")</f>
        <v>—</v>
      </c>
      <c r="M40" s="13" t="str">
        <f>_xll.BDH("ALNY US Equity","BS_TAXES_PAYABLE","FQ2 2021","FQ2 2021","Currency=USD","Period=FQ","BEST_FPERIOD_OVERRIDE=FQ","FILING_STATUS=MR","SCALING_FORMAT=MLN","Sort=A","Dates=H","DateFormat=P","Fill=—","Direction=H","UseDPDF=Y")</f>
        <v>—</v>
      </c>
      <c r="N40" s="13" t="str">
        <f>_xll.BDH("ALNY US Equity","BS_TAXES_PAYABLE","FQ3 2021","FQ3 2021","Currency=USD","Period=FQ","BEST_FPERIOD_OVERRIDE=FQ","FILING_STATUS=MR","SCALING_FORMAT=MLN","Sort=A","Dates=H","DateFormat=P","Fill=—","Direction=H","UseDPDF=Y")</f>
        <v>—</v>
      </c>
      <c r="O40" s="13">
        <f>_xll.BDH("ALNY US Equity","BS_TAXES_PAYABLE","FQ4 2021","FQ4 2021","Currency=USD","Period=FQ","BEST_FPERIOD_OVERRIDE=FQ","FILING_STATUS=MR","SCALING_FORMAT=MLN","Sort=A","Dates=H","DateFormat=P","Fill=—","Direction=H","UseDPDF=Y")</f>
        <v>0</v>
      </c>
      <c r="P40" s="13" t="str">
        <f>_xll.BDH("ALNY US Equity","BS_TAXES_PAYABLE","FQ1 2022","FQ1 2022","Currency=USD","Period=FQ","BEST_FPERIOD_OVERRIDE=FQ","FILING_STATUS=MR","SCALING_FORMAT=MLN","Sort=A","Dates=H","DateFormat=P","Fill=—","Direction=H","UseDPDF=Y")</f>
        <v>—</v>
      </c>
      <c r="Q40" s="13" t="str">
        <f>_xll.BDH("ALNY US Equity","BS_TAXES_PAYABLE","FQ2 2022","FQ2 2022","Currency=USD","Period=FQ","BEST_FPERIOD_OVERRIDE=FQ","FILING_STATUS=MR","SCALING_FORMAT=MLN","Sort=A","Dates=H","DateFormat=P","Fill=—","Direction=H","UseDPDF=Y")</f>
        <v>—</v>
      </c>
      <c r="R40" s="13" t="str">
        <f>_xll.BDH("ALNY US Equity","BS_TAXES_PAYABLE","FQ3 2022","FQ3 2022","Currency=USD","Period=FQ","BEST_FPERIOD_OVERRIDE=FQ","FILING_STATUS=MR","SCALING_FORMAT=MLN","Sort=A","Dates=H","DateFormat=P","Fill=—","Direction=H","UseDPDF=Y")</f>
        <v>—</v>
      </c>
      <c r="S40" s="13">
        <f>_xll.BDH("ALNY US Equity","BS_TAXES_PAYABLE","FQ4 2022","FQ4 2022","Currency=USD","Period=FQ","BEST_FPERIOD_OVERRIDE=FQ","FILING_STATUS=MR","SCALING_FORMAT=MLN","Sort=A","Dates=H","DateFormat=P","Fill=—","Direction=H","UseDPDF=Y")</f>
        <v>0</v>
      </c>
      <c r="T40" s="13" t="str">
        <f>_xll.BDH("ALNY US Equity","BS_TAXES_PAYABLE","FQ1 2023","FQ1 2023","Currency=USD","Period=FQ","BEST_FPERIOD_OVERRIDE=FQ","FILING_STATUS=MR","SCALING_FORMAT=MLN","Sort=A","Dates=H","DateFormat=P","Fill=—","Direction=H","UseDPDF=Y")</f>
        <v>—</v>
      </c>
      <c r="U40" s="13" t="str">
        <f>_xll.BDH("ALNY US Equity","BS_TAXES_PAYABLE","FQ2 2023","FQ2 2023","Currency=USD","Period=FQ","BEST_FPERIOD_OVERRIDE=FQ","FILING_STATUS=MR","SCALING_FORMAT=MLN","Sort=A","Dates=H","DateFormat=P","Fill=—","Direction=H","UseDPDF=Y")</f>
        <v>—</v>
      </c>
      <c r="V40" s="13" t="str">
        <f>_xll.BDH("ALNY US Equity","BS_TAXES_PAYABLE","FQ3 2023","FQ3 2023","Currency=USD","Period=FQ","BEST_FPERIOD_OVERRIDE=FQ","FILING_STATUS=MR","SCALING_FORMAT=MLN","Sort=A","Dates=H","DateFormat=P","Fill=—","Direction=H","UseDPDF=Y")</f>
        <v>—</v>
      </c>
      <c r="W40" s="13">
        <f>_xll.BDH("ALNY US Equity","BS_TAXES_PAYABLE","FQ4 2023","FQ4 2023","Currency=USD","Period=FQ","BEST_FPERIOD_OVERRIDE=FQ","FILING_STATUS=MR","SCALING_FORMAT=MLN","Sort=A","Dates=H","DateFormat=P","Fill=—","Direction=H","UseDPDF=Y")</f>
        <v>0</v>
      </c>
      <c r="X40" s="13" t="str">
        <f>_xll.BDH("ALNY US Equity","BS_TAXES_PAYABLE","FQ1 2024","FQ1 2024","Currency=USD","Period=FQ","BEST_FPERIOD_OVERRIDE=FQ","FILING_STATUS=MR","SCALING_FORMAT=MLN","Sort=A","Dates=H","DateFormat=P","Fill=—","Direction=H","UseDPDF=Y")</f>
        <v>—</v>
      </c>
      <c r="Y40" s="13" t="str">
        <f>_xll.BDH("ALNY US Equity","BS_TAXES_PAYABLE","FQ2 2024","FQ2 2024","Currency=USD","Period=FQ","BEST_FPERIOD_OVERRIDE=FQ","FILING_STATUS=MR","SCALING_FORMAT=MLN","Sort=A","Dates=H","DateFormat=P","Fill=—","Direction=H","UseDPDF=Y")</f>
        <v>—</v>
      </c>
      <c r="Z40" s="13" t="str">
        <f>_xll.BDH("ALNY US Equity","BS_TAXES_PAYABLE","FQ3 2024","FQ3 2024","Currency=USD","Period=FQ","BEST_FPERIOD_OVERRIDE=FQ","FILING_STATUS=MR","SCALING_FORMAT=MLN","Sort=A","Dates=H","DateFormat=P","Fill=—","Direction=H","UseDPDF=Y")</f>
        <v>—</v>
      </c>
      <c r="AA40" s="13">
        <f>_xll.BDH("ALNY US Equity","BS_TAXES_PAYABLE","FQ4 2024","FQ4 2024","Currency=USD","Period=FQ","BEST_FPERIOD_OVERRIDE=FQ","FILING_STATUS=MR","SCALING_FORMAT=MLN","Sort=A","Dates=H","DateFormat=P","Fill=—","Direction=H","UseDPDF=Y")</f>
        <v>0</v>
      </c>
    </row>
    <row r="41" spans="1:27" x14ac:dyDescent="0.25">
      <c r="A41" s="10" t="s">
        <v>734</v>
      </c>
      <c r="B41" s="10" t="s">
        <v>735</v>
      </c>
      <c r="C41" s="13">
        <f>_xll.BDH("ALNY US Equity","INTEREST_DIVIDENDS_PAYABLE","FQ4 2018","FQ4 2018","Currency=USD","Period=FQ","BEST_FPERIOD_OVERRIDE=FQ","FILING_STATUS=MR","SCALING_FORMAT=MLN","Sort=A","Dates=H","DateFormat=P","Fill=—","Direction=H","UseDPDF=Y")</f>
        <v>0</v>
      </c>
      <c r="D41" s="13" t="str">
        <f>_xll.BDH("ALNY US Equity","INTEREST_DIVIDENDS_PAYABLE","FQ1 2019","FQ1 2019","Currency=USD","Period=FQ","BEST_FPERIOD_OVERRIDE=FQ","FILING_STATUS=MR","SCALING_FORMAT=MLN","Sort=A","Dates=H","DateFormat=P","Fill=—","Direction=H","UseDPDF=Y")</f>
        <v>—</v>
      </c>
      <c r="E41" s="13" t="str">
        <f>_xll.BDH("ALNY US Equity","INTEREST_DIVIDENDS_PAYABLE","FQ2 2019","FQ2 2019","Currency=USD","Period=FQ","BEST_FPERIOD_OVERRIDE=FQ","FILING_STATUS=MR","SCALING_FORMAT=MLN","Sort=A","Dates=H","DateFormat=P","Fill=—","Direction=H","UseDPDF=Y")</f>
        <v>—</v>
      </c>
      <c r="F41" s="13" t="str">
        <f>_xll.BDH("ALNY US Equity","INTEREST_DIVIDENDS_PAYABLE","FQ3 2019","FQ3 2019","Currency=USD","Period=FQ","BEST_FPERIOD_OVERRIDE=FQ","FILING_STATUS=MR","SCALING_FORMAT=MLN","Sort=A","Dates=H","DateFormat=P","Fill=—","Direction=H","UseDPDF=Y")</f>
        <v>—</v>
      </c>
      <c r="G41" s="13">
        <f>_xll.BDH("ALNY US Equity","INTEREST_DIVIDENDS_PAYABLE","FQ4 2019","FQ4 2019","Currency=USD","Period=FQ","BEST_FPERIOD_OVERRIDE=FQ","FILING_STATUS=MR","SCALING_FORMAT=MLN","Sort=A","Dates=H","DateFormat=P","Fill=—","Direction=H","UseDPDF=Y")</f>
        <v>0</v>
      </c>
      <c r="H41" s="13" t="str">
        <f>_xll.BDH("ALNY US Equity","INTEREST_DIVIDENDS_PAYABLE","FQ1 2020","FQ1 2020","Currency=USD","Period=FQ","BEST_FPERIOD_OVERRIDE=FQ","FILING_STATUS=MR","SCALING_FORMAT=MLN","Sort=A","Dates=H","DateFormat=P","Fill=—","Direction=H","UseDPDF=Y")</f>
        <v>—</v>
      </c>
      <c r="I41" s="13" t="str">
        <f>_xll.BDH("ALNY US Equity","INTEREST_DIVIDENDS_PAYABLE","FQ2 2020","FQ2 2020","Currency=USD","Period=FQ","BEST_FPERIOD_OVERRIDE=FQ","FILING_STATUS=MR","SCALING_FORMAT=MLN","Sort=A","Dates=H","DateFormat=P","Fill=—","Direction=H","UseDPDF=Y")</f>
        <v>—</v>
      </c>
      <c r="J41" s="13" t="str">
        <f>_xll.BDH("ALNY US Equity","INTEREST_DIVIDENDS_PAYABLE","FQ3 2020","FQ3 2020","Currency=USD","Period=FQ","BEST_FPERIOD_OVERRIDE=FQ","FILING_STATUS=MR","SCALING_FORMAT=MLN","Sort=A","Dates=H","DateFormat=P","Fill=—","Direction=H","UseDPDF=Y")</f>
        <v>—</v>
      </c>
      <c r="K41" s="13">
        <f>_xll.BDH("ALNY US Equity","INTEREST_DIVIDENDS_PAYABLE","FQ4 2020","FQ4 2020","Currency=USD","Period=FQ","BEST_FPERIOD_OVERRIDE=FQ","FILING_STATUS=MR","SCALING_FORMAT=MLN","Sort=A","Dates=H","DateFormat=P","Fill=—","Direction=H","UseDPDF=Y")</f>
        <v>0</v>
      </c>
      <c r="L41" s="13" t="str">
        <f>_xll.BDH("ALNY US Equity","INTEREST_DIVIDENDS_PAYABLE","FQ1 2021","FQ1 2021","Currency=USD","Period=FQ","BEST_FPERIOD_OVERRIDE=FQ","FILING_STATUS=MR","SCALING_FORMAT=MLN","Sort=A","Dates=H","DateFormat=P","Fill=—","Direction=H","UseDPDF=Y")</f>
        <v>—</v>
      </c>
      <c r="M41" s="13" t="str">
        <f>_xll.BDH("ALNY US Equity","INTEREST_DIVIDENDS_PAYABLE","FQ2 2021","FQ2 2021","Currency=USD","Period=FQ","BEST_FPERIOD_OVERRIDE=FQ","FILING_STATUS=MR","SCALING_FORMAT=MLN","Sort=A","Dates=H","DateFormat=P","Fill=—","Direction=H","UseDPDF=Y")</f>
        <v>—</v>
      </c>
      <c r="N41" s="13" t="str">
        <f>_xll.BDH("ALNY US Equity","INTEREST_DIVIDENDS_PAYABLE","FQ3 2021","FQ3 2021","Currency=USD","Period=FQ","BEST_FPERIOD_OVERRIDE=FQ","FILING_STATUS=MR","SCALING_FORMAT=MLN","Sort=A","Dates=H","DateFormat=P","Fill=—","Direction=H","UseDPDF=Y")</f>
        <v>—</v>
      </c>
      <c r="O41" s="13">
        <f>_xll.BDH("ALNY US Equity","INTEREST_DIVIDENDS_PAYABLE","FQ4 2021","FQ4 2021","Currency=USD","Period=FQ","BEST_FPERIOD_OVERRIDE=FQ","FILING_STATUS=MR","SCALING_FORMAT=MLN","Sort=A","Dates=H","DateFormat=P","Fill=—","Direction=H","UseDPDF=Y")</f>
        <v>0</v>
      </c>
      <c r="P41" s="13" t="str">
        <f>_xll.BDH("ALNY US Equity","INTEREST_DIVIDENDS_PAYABLE","FQ1 2022","FQ1 2022","Currency=USD","Period=FQ","BEST_FPERIOD_OVERRIDE=FQ","FILING_STATUS=MR","SCALING_FORMAT=MLN","Sort=A","Dates=H","DateFormat=P","Fill=—","Direction=H","UseDPDF=Y")</f>
        <v>—</v>
      </c>
      <c r="Q41" s="13" t="str">
        <f>_xll.BDH("ALNY US Equity","INTEREST_DIVIDENDS_PAYABLE","FQ2 2022","FQ2 2022","Currency=USD","Period=FQ","BEST_FPERIOD_OVERRIDE=FQ","FILING_STATUS=MR","SCALING_FORMAT=MLN","Sort=A","Dates=H","DateFormat=P","Fill=—","Direction=H","UseDPDF=Y")</f>
        <v>—</v>
      </c>
      <c r="R41" s="13" t="str">
        <f>_xll.BDH("ALNY US Equity","INTEREST_DIVIDENDS_PAYABLE","FQ3 2022","FQ3 2022","Currency=USD","Period=FQ","BEST_FPERIOD_OVERRIDE=FQ","FILING_STATUS=MR","SCALING_FORMAT=MLN","Sort=A","Dates=H","DateFormat=P","Fill=—","Direction=H","UseDPDF=Y")</f>
        <v>—</v>
      </c>
      <c r="S41" s="13">
        <f>_xll.BDH("ALNY US Equity","INTEREST_DIVIDENDS_PAYABLE","FQ4 2022","FQ4 2022","Currency=USD","Period=FQ","BEST_FPERIOD_OVERRIDE=FQ","FILING_STATUS=MR","SCALING_FORMAT=MLN","Sort=A","Dates=H","DateFormat=P","Fill=—","Direction=H","UseDPDF=Y")</f>
        <v>0</v>
      </c>
      <c r="T41" s="13" t="str">
        <f>_xll.BDH("ALNY US Equity","INTEREST_DIVIDENDS_PAYABLE","FQ1 2023","FQ1 2023","Currency=USD","Period=FQ","BEST_FPERIOD_OVERRIDE=FQ","FILING_STATUS=MR","SCALING_FORMAT=MLN","Sort=A","Dates=H","DateFormat=P","Fill=—","Direction=H","UseDPDF=Y")</f>
        <v>—</v>
      </c>
      <c r="U41" s="13" t="str">
        <f>_xll.BDH("ALNY US Equity","INTEREST_DIVIDENDS_PAYABLE","FQ2 2023","FQ2 2023","Currency=USD","Period=FQ","BEST_FPERIOD_OVERRIDE=FQ","FILING_STATUS=MR","SCALING_FORMAT=MLN","Sort=A","Dates=H","DateFormat=P","Fill=—","Direction=H","UseDPDF=Y")</f>
        <v>—</v>
      </c>
      <c r="V41" s="13" t="str">
        <f>_xll.BDH("ALNY US Equity","INTEREST_DIVIDENDS_PAYABLE","FQ3 2023","FQ3 2023","Currency=USD","Period=FQ","BEST_FPERIOD_OVERRIDE=FQ","FILING_STATUS=MR","SCALING_FORMAT=MLN","Sort=A","Dates=H","DateFormat=P","Fill=—","Direction=H","UseDPDF=Y")</f>
        <v>—</v>
      </c>
      <c r="W41" s="13">
        <f>_xll.BDH("ALNY US Equity","INTEREST_DIVIDENDS_PAYABLE","FQ4 2023","FQ4 2023","Currency=USD","Period=FQ","BEST_FPERIOD_OVERRIDE=FQ","FILING_STATUS=MR","SCALING_FORMAT=MLN","Sort=A","Dates=H","DateFormat=P","Fill=—","Direction=H","UseDPDF=Y")</f>
        <v>0</v>
      </c>
      <c r="X41" s="13" t="str">
        <f>_xll.BDH("ALNY US Equity","INTEREST_DIVIDENDS_PAYABLE","FQ1 2024","FQ1 2024","Currency=USD","Period=FQ","BEST_FPERIOD_OVERRIDE=FQ","FILING_STATUS=MR","SCALING_FORMAT=MLN","Sort=A","Dates=H","DateFormat=P","Fill=—","Direction=H","UseDPDF=Y")</f>
        <v>—</v>
      </c>
      <c r="Y41" s="13" t="str">
        <f>_xll.BDH("ALNY US Equity","INTEREST_DIVIDENDS_PAYABLE","FQ2 2024","FQ2 2024","Currency=USD","Period=FQ","BEST_FPERIOD_OVERRIDE=FQ","FILING_STATUS=MR","SCALING_FORMAT=MLN","Sort=A","Dates=H","DateFormat=P","Fill=—","Direction=H","UseDPDF=Y")</f>
        <v>—</v>
      </c>
      <c r="Z41" s="13" t="str">
        <f>_xll.BDH("ALNY US Equity","INTEREST_DIVIDENDS_PAYABLE","FQ3 2024","FQ3 2024","Currency=USD","Period=FQ","BEST_FPERIOD_OVERRIDE=FQ","FILING_STATUS=MR","SCALING_FORMAT=MLN","Sort=A","Dates=H","DateFormat=P","Fill=—","Direction=H","UseDPDF=Y")</f>
        <v>—</v>
      </c>
      <c r="AA41" s="13">
        <f>_xll.BDH("ALNY US Equity","INTEREST_DIVIDENDS_PAYABLE","FQ4 2024","FQ4 2024","Currency=USD","Period=FQ","BEST_FPERIOD_OVERRIDE=FQ","FILING_STATUS=MR","SCALING_FORMAT=MLN","Sort=A","Dates=H","DateFormat=P","Fill=—","Direction=H","UseDPDF=Y")</f>
        <v>0</v>
      </c>
    </row>
    <row r="42" spans="1:27" x14ac:dyDescent="0.25">
      <c r="A42" s="10" t="s">
        <v>736</v>
      </c>
      <c r="B42" s="10" t="s">
        <v>737</v>
      </c>
      <c r="C42" s="13">
        <f>_xll.BDH("ALNY US Equity","BS_ACCRUAL","FQ4 2018","FQ4 2018","Currency=USD","Period=FQ","BEST_FPERIOD_OVERRIDE=FQ","FILING_STATUS=MR","SCALING_FORMAT=MLN","Sort=A","Dates=H","DateFormat=P","Fill=—","Direction=H","UseDPDF=Y")</f>
        <v>112.71899999999999</v>
      </c>
      <c r="D42" s="13">
        <f>_xll.BDH("ALNY US Equity","BS_ACCRUAL","FQ1 2019","FQ1 2019","Currency=USD","Period=FQ","BEST_FPERIOD_OVERRIDE=FQ","FILING_STATUS=MR","SCALING_FORMAT=MLN","Sort=A","Dates=H","DateFormat=P","Fill=—","Direction=H","UseDPDF=Y")</f>
        <v>106.873</v>
      </c>
      <c r="E42" s="13">
        <f>_xll.BDH("ALNY US Equity","BS_ACCRUAL","FQ2 2019","FQ2 2019","Currency=USD","Period=FQ","BEST_FPERIOD_OVERRIDE=FQ","FILING_STATUS=MR","SCALING_FORMAT=MLN","Sort=A","Dates=H","DateFormat=P","Fill=—","Direction=H","UseDPDF=Y")</f>
        <v>138.80000000000001</v>
      </c>
      <c r="F42" s="13">
        <f>_xll.BDH("ALNY US Equity","BS_ACCRUAL","FQ3 2019","FQ3 2019","Currency=USD","Period=FQ","BEST_FPERIOD_OVERRIDE=FQ","FILING_STATUS=MR","SCALING_FORMAT=MLN","Sort=A","Dates=H","DateFormat=P","Fill=—","Direction=H","UseDPDF=Y")</f>
        <v>177.94800000000001</v>
      </c>
      <c r="G42" s="13">
        <f>_xll.BDH("ALNY US Equity","BS_ACCRUAL","FQ4 2019","FQ4 2019","Currency=USD","Period=FQ","BEST_FPERIOD_OVERRIDE=FQ","FILING_STATUS=MR","SCALING_FORMAT=MLN","Sort=A","Dates=H","DateFormat=P","Fill=—","Direction=H","UseDPDF=Y")</f>
        <v>197.20099999999999</v>
      </c>
      <c r="H42" s="13">
        <f>_xll.BDH("ALNY US Equity","BS_ACCRUAL","FQ1 2020","FQ1 2020","Currency=USD","Period=FQ","BEST_FPERIOD_OVERRIDE=FQ","FILING_STATUS=MR","SCALING_FORMAT=MLN","Sort=A","Dates=H","DateFormat=P","Fill=—","Direction=H","UseDPDF=Y")</f>
        <v>183.221</v>
      </c>
      <c r="I42" s="13">
        <f>_xll.BDH("ALNY US Equity","BS_ACCRUAL","FQ2 2020","FQ2 2020","Currency=USD","Period=FQ","BEST_FPERIOD_OVERRIDE=FQ","FILING_STATUS=MR","SCALING_FORMAT=MLN","Sort=A","Dates=H","DateFormat=P","Fill=—","Direction=H","UseDPDF=Y")</f>
        <v>211.18600000000001</v>
      </c>
      <c r="J42" s="13">
        <f>_xll.BDH("ALNY US Equity","BS_ACCRUAL","FQ3 2020","FQ3 2020","Currency=USD","Period=FQ","BEST_FPERIOD_OVERRIDE=FQ","FILING_STATUS=MR","SCALING_FORMAT=MLN","Sort=A","Dates=H","DateFormat=P","Fill=—","Direction=H","UseDPDF=Y")</f>
        <v>295.26</v>
      </c>
      <c r="K42" s="13">
        <f>_xll.BDH("ALNY US Equity","BS_ACCRUAL","FQ4 2020","FQ4 2020","Currency=USD","Period=FQ","BEST_FPERIOD_OVERRIDE=FQ","FILING_STATUS=MR","SCALING_FORMAT=MLN","Sort=A","Dates=H","DateFormat=P","Fill=—","Direction=H","UseDPDF=Y")</f>
        <v>355.90899999999999</v>
      </c>
      <c r="L42" s="13">
        <f>_xll.BDH("ALNY US Equity","BS_ACCRUAL","FQ1 2021","FQ1 2021","Currency=USD","Period=FQ","BEST_FPERIOD_OVERRIDE=FQ","FILING_STATUS=MR","SCALING_FORMAT=MLN","Sort=A","Dates=H","DateFormat=P","Fill=—","Direction=H","UseDPDF=Y")</f>
        <v>280.52699999999999</v>
      </c>
      <c r="M42" s="13">
        <f>_xll.BDH("ALNY US Equity","BS_ACCRUAL","FQ2 2021","FQ2 2021","Currency=USD","Period=FQ","BEST_FPERIOD_OVERRIDE=FQ","FILING_STATUS=MR","SCALING_FORMAT=MLN","Sort=A","Dates=H","DateFormat=P","Fill=—","Direction=H","UseDPDF=Y")</f>
        <v>341.18700000000001</v>
      </c>
      <c r="N42" s="13">
        <f>_xll.BDH("ALNY US Equity","BS_ACCRUAL","FQ3 2021","FQ3 2021","Currency=USD","Period=FQ","BEST_FPERIOD_OVERRIDE=FQ","FILING_STATUS=MR","SCALING_FORMAT=MLN","Sort=A","Dates=H","DateFormat=P","Fill=—","Direction=H","UseDPDF=Y")</f>
        <v>388.57600000000002</v>
      </c>
      <c r="O42" s="13">
        <f>_xll.BDH("ALNY US Equity","BS_ACCRUAL","FQ4 2021","FQ4 2021","Currency=USD","Period=FQ","BEST_FPERIOD_OVERRIDE=FQ","FILING_STATUS=MR","SCALING_FORMAT=MLN","Sort=A","Dates=H","DateFormat=P","Fill=—","Direction=H","UseDPDF=Y")</f>
        <v>395.17399999999998</v>
      </c>
      <c r="P42" s="13">
        <f>_xll.BDH("ALNY US Equity","BS_ACCRUAL","FQ1 2022","FQ1 2022","Currency=USD","Period=FQ","BEST_FPERIOD_OVERRIDE=FQ","FILING_STATUS=MR","SCALING_FORMAT=MLN","Sort=A","Dates=H","DateFormat=P","Fill=—","Direction=H","UseDPDF=Y")</f>
        <v>355.93599999999998</v>
      </c>
      <c r="Q42" s="13">
        <f>_xll.BDH("ALNY US Equity","BS_ACCRUAL","FQ2 2022","FQ2 2022","Currency=USD","Period=FQ","BEST_FPERIOD_OVERRIDE=FQ","FILING_STATUS=MR","SCALING_FORMAT=MLN","Sort=A","Dates=H","DateFormat=P","Fill=—","Direction=H","UseDPDF=Y")</f>
        <v>421.24299999999999</v>
      </c>
      <c r="R42" s="13">
        <f>_xll.BDH("ALNY US Equity","BS_ACCRUAL","FQ3 2022","FQ3 2022","Currency=USD","Period=FQ","BEST_FPERIOD_OVERRIDE=FQ","FILING_STATUS=MR","SCALING_FORMAT=MLN","Sort=A","Dates=H","DateFormat=P","Fill=—","Direction=H","UseDPDF=Y")</f>
        <v>510.57900000000001</v>
      </c>
      <c r="S42" s="13">
        <f>_xll.BDH("ALNY US Equity","BS_ACCRUAL","FQ4 2022","FQ4 2022","Currency=USD","Period=FQ","BEST_FPERIOD_OVERRIDE=FQ","FILING_STATUS=MR","SCALING_FORMAT=MLN","Sort=A","Dates=H","DateFormat=P","Fill=—","Direction=H","UseDPDF=Y")</f>
        <v>545.46</v>
      </c>
      <c r="T42" s="13">
        <f>_xll.BDH("ALNY US Equity","BS_ACCRUAL","FQ1 2023","FQ1 2023","Currency=USD","Period=FQ","BEST_FPERIOD_OVERRIDE=FQ","FILING_STATUS=MR","SCALING_FORMAT=MLN","Sort=A","Dates=H","DateFormat=P","Fill=—","Direction=H","UseDPDF=Y")</f>
        <v>508.59899999999999</v>
      </c>
      <c r="U42" s="13">
        <f>_xll.BDH("ALNY US Equity","BS_ACCRUAL","FQ2 2023","FQ2 2023","Currency=USD","Period=FQ","BEST_FPERIOD_OVERRIDE=FQ","FILING_STATUS=MR","SCALING_FORMAT=MLN","Sort=A","Dates=H","DateFormat=P","Fill=—","Direction=H","UseDPDF=Y")</f>
        <v>598.53</v>
      </c>
      <c r="V42" s="13">
        <f>_xll.BDH("ALNY US Equity","BS_ACCRUAL","FQ3 2023","FQ3 2023","Currency=USD","Period=FQ","BEST_FPERIOD_OVERRIDE=FQ","FILING_STATUS=MR","SCALING_FORMAT=MLN","Sort=A","Dates=H","DateFormat=P","Fill=—","Direction=H","UseDPDF=Y")</f>
        <v>713.09400000000005</v>
      </c>
      <c r="W42" s="13">
        <f>_xll.BDH("ALNY US Equity","BS_ACCRUAL","FQ4 2023","FQ4 2023","Currency=USD","Period=FQ","BEST_FPERIOD_OVERRIDE=FQ","FILING_STATUS=MR","SCALING_FORMAT=MLN","Sort=A","Dates=H","DateFormat=P","Fill=—","Direction=H","UseDPDF=Y")</f>
        <v>713.01300000000003</v>
      </c>
      <c r="X42" s="13">
        <f>_xll.BDH("ALNY US Equity","BS_ACCRUAL","FQ1 2024","FQ1 2024","Currency=USD","Period=FQ","BEST_FPERIOD_OVERRIDE=FQ","FILING_STATUS=MR","SCALING_FORMAT=MLN","Sort=A","Dates=H","DateFormat=P","Fill=—","Direction=H","UseDPDF=Y")</f>
        <v>698.86500000000001</v>
      </c>
      <c r="Y42" s="13">
        <f>_xll.BDH("ALNY US Equity","BS_ACCRUAL","FQ2 2024","FQ2 2024","Currency=USD","Period=FQ","BEST_FPERIOD_OVERRIDE=FQ","FILING_STATUS=MR","SCALING_FORMAT=MLN","Sort=A","Dates=H","DateFormat=P","Fill=—","Direction=H","UseDPDF=Y")</f>
        <v>808.64300000000003</v>
      </c>
      <c r="Z42" s="13">
        <f>_xll.BDH("ALNY US Equity","BS_ACCRUAL","FQ3 2024","FQ3 2024","Currency=USD","Period=FQ","BEST_FPERIOD_OVERRIDE=FQ","FILING_STATUS=MR","SCALING_FORMAT=MLN","Sort=A","Dates=H","DateFormat=P","Fill=—","Direction=H","UseDPDF=Y")</f>
        <v>946.16800000000001</v>
      </c>
      <c r="AA42" s="13">
        <f>_xll.BDH("ALNY US Equity","BS_ACCRUAL","FQ4 2024","FQ4 2024","Currency=USD","Period=FQ","BEST_FPERIOD_OVERRIDE=FQ","FILING_STATUS=MR","SCALING_FORMAT=MLN","Sort=A","Dates=H","DateFormat=P","Fill=—","Direction=H","UseDPDF=Y")</f>
        <v>887.47199999999998</v>
      </c>
    </row>
    <row r="43" spans="1:27" x14ac:dyDescent="0.25">
      <c r="A43" s="10" t="s">
        <v>738</v>
      </c>
      <c r="B43" s="10" t="s">
        <v>739</v>
      </c>
      <c r="C43" s="13">
        <f>_xll.BDH("ALNY US Equity","BS_ST_BORROW","FQ4 2018","FQ4 2018","Currency=USD","Period=FQ","BEST_FPERIOD_OVERRIDE=FQ","FILING_STATUS=MR","SCALING_FORMAT=MLN","Sort=A","Dates=H","DateFormat=P","Fill=—","Direction=H","UseDPDF=Y")</f>
        <v>0</v>
      </c>
      <c r="D43" s="13">
        <f>_xll.BDH("ALNY US Equity","BS_ST_BORROW","FQ1 2019","FQ1 2019","Currency=USD","Period=FQ","BEST_FPERIOD_OVERRIDE=FQ","FILING_STATUS=MR","SCALING_FORMAT=MLN","Sort=A","Dates=H","DateFormat=P","Fill=—","Direction=H","UseDPDF=Y")</f>
        <v>16.977</v>
      </c>
      <c r="E43" s="13">
        <f>_xll.BDH("ALNY US Equity","BS_ST_BORROW","FQ2 2019","FQ2 2019","Currency=USD","Period=FQ","BEST_FPERIOD_OVERRIDE=FQ","FILING_STATUS=MR","SCALING_FORMAT=MLN","Sort=A","Dates=H","DateFormat=P","Fill=—","Direction=H","UseDPDF=Y")</f>
        <v>29.347000000000001</v>
      </c>
      <c r="F43" s="13">
        <f>_xll.BDH("ALNY US Equity","BS_ST_BORROW","FQ3 2019","FQ3 2019","Currency=USD","Period=FQ","BEST_FPERIOD_OVERRIDE=FQ","FILING_STATUS=MR","SCALING_FORMAT=MLN","Sort=A","Dates=H","DateFormat=P","Fill=—","Direction=H","UseDPDF=Y")</f>
        <v>28.164999999999999</v>
      </c>
      <c r="G43" s="13">
        <f>_xll.BDH("ALNY US Equity","BS_ST_BORROW","FQ4 2019","FQ4 2019","Currency=USD","Period=FQ","BEST_FPERIOD_OVERRIDE=FQ","FILING_STATUS=MR","SCALING_FORMAT=MLN","Sort=A","Dates=H","DateFormat=P","Fill=—","Direction=H","UseDPDF=Y")</f>
        <v>27.687999999999999</v>
      </c>
      <c r="H43" s="13">
        <f>_xll.BDH("ALNY US Equity","BS_ST_BORROW","FQ1 2020","FQ1 2020","Currency=USD","Period=FQ","BEST_FPERIOD_OVERRIDE=FQ","FILING_STATUS=MR","SCALING_FORMAT=MLN","Sort=A","Dates=H","DateFormat=P","Fill=—","Direction=H","UseDPDF=Y")</f>
        <v>29.042999999999999</v>
      </c>
      <c r="I43" s="13">
        <f>_xll.BDH("ALNY US Equity","BS_ST_BORROW","FQ2 2020","FQ2 2020","Currency=USD","Period=FQ","BEST_FPERIOD_OVERRIDE=FQ","FILING_STATUS=MR","SCALING_FORMAT=MLN","Sort=A","Dates=H","DateFormat=P","Fill=—","Direction=H","UseDPDF=Y")</f>
        <v>33.447000000000003</v>
      </c>
      <c r="J43" s="13">
        <f>_xll.BDH("ALNY US Equity","BS_ST_BORROW","FQ3 2020","FQ3 2020","Currency=USD","Period=FQ","BEST_FPERIOD_OVERRIDE=FQ","FILING_STATUS=MR","SCALING_FORMAT=MLN","Sort=A","Dates=H","DateFormat=P","Fill=—","Direction=H","UseDPDF=Y")</f>
        <v>32.192</v>
      </c>
      <c r="K43" s="13">
        <f>_xll.BDH("ALNY US Equity","BS_ST_BORROW","FQ4 2020","FQ4 2020","Currency=USD","Period=FQ","BEST_FPERIOD_OVERRIDE=FQ","FILING_STATUS=MR","SCALING_FORMAT=MLN","Sort=A","Dates=H","DateFormat=P","Fill=—","Direction=H","UseDPDF=Y")</f>
        <v>36.872</v>
      </c>
      <c r="L43" s="13">
        <f>_xll.BDH("ALNY US Equity","BS_ST_BORROW","FQ1 2021","FQ1 2021","Currency=USD","Period=FQ","BEST_FPERIOD_OVERRIDE=FQ","FILING_STATUS=MR","SCALING_FORMAT=MLN","Sort=A","Dates=H","DateFormat=P","Fill=—","Direction=H","UseDPDF=Y")</f>
        <v>38.917000000000002</v>
      </c>
      <c r="M43" s="13">
        <f>_xll.BDH("ALNY US Equity","BS_ST_BORROW","FQ2 2021","FQ2 2021","Currency=USD","Period=FQ","BEST_FPERIOD_OVERRIDE=FQ","FILING_STATUS=MR","SCALING_FORMAT=MLN","Sort=A","Dates=H","DateFormat=P","Fill=—","Direction=H","UseDPDF=Y")</f>
        <v>39.362000000000002</v>
      </c>
      <c r="N43" s="13">
        <f>_xll.BDH("ALNY US Equity","BS_ST_BORROW","FQ3 2021","FQ3 2021","Currency=USD","Period=FQ","BEST_FPERIOD_OVERRIDE=FQ","FILING_STATUS=MR","SCALING_FORMAT=MLN","Sort=A","Dates=H","DateFormat=P","Fill=—","Direction=H","UseDPDF=Y")</f>
        <v>40.612000000000002</v>
      </c>
      <c r="O43" s="13">
        <f>_xll.BDH("ALNY US Equity","BS_ST_BORROW","FQ4 2021","FQ4 2021","Currency=USD","Period=FQ","BEST_FPERIOD_OVERRIDE=FQ","FILING_STATUS=MR","SCALING_FORMAT=MLN","Sort=A","Dates=H","DateFormat=P","Fill=—","Direction=H","UseDPDF=Y")</f>
        <v>40.548000000000002</v>
      </c>
      <c r="P43" s="13">
        <f>_xll.BDH("ALNY US Equity","BS_ST_BORROW","FQ1 2022","FQ1 2022","Currency=USD","Period=FQ","BEST_FPERIOD_OVERRIDE=FQ","FILING_STATUS=MR","SCALING_FORMAT=MLN","Sort=A","Dates=H","DateFormat=P","Fill=—","Direction=H","UseDPDF=Y")</f>
        <v>41.29</v>
      </c>
      <c r="Q43" s="13">
        <f>_xll.BDH("ALNY US Equity","BS_ST_BORROW","FQ2 2022","FQ2 2022","Currency=USD","Period=FQ","BEST_FPERIOD_OVERRIDE=FQ","FILING_STATUS=MR","SCALING_FORMAT=MLN","Sort=A","Dates=H","DateFormat=P","Fill=—","Direction=H","UseDPDF=Y")</f>
        <v>41.235999999999997</v>
      </c>
      <c r="R43" s="13">
        <f>_xll.BDH("ALNY US Equity","BS_ST_BORROW","FQ3 2022","FQ3 2022","Currency=USD","Period=FQ","BEST_FPERIOD_OVERRIDE=FQ","FILING_STATUS=MR","SCALING_FORMAT=MLN","Sort=A","Dates=H","DateFormat=P","Fill=—","Direction=H","UseDPDF=Y")</f>
        <v>41.581000000000003</v>
      </c>
      <c r="S43" s="13">
        <f>_xll.BDH("ALNY US Equity","BS_ST_BORROW","FQ4 2022","FQ4 2022","Currency=USD","Period=FQ","BEST_FPERIOD_OVERRIDE=FQ","FILING_STATUS=MR","SCALING_FORMAT=MLN","Sort=A","Dates=H","DateFormat=P","Fill=—","Direction=H","UseDPDF=Y")</f>
        <v>41.966999999999999</v>
      </c>
      <c r="T43" s="13">
        <f>_xll.BDH("ALNY US Equity","BS_ST_BORROW","FQ1 2023","FQ1 2023","Currency=USD","Period=FQ","BEST_FPERIOD_OVERRIDE=FQ","FILING_STATUS=MR","SCALING_FORMAT=MLN","Sort=A","Dates=H","DateFormat=P","Fill=—","Direction=H","UseDPDF=Y")</f>
        <v>43.055</v>
      </c>
      <c r="U43" s="13">
        <f>_xll.BDH("ALNY US Equity","BS_ST_BORROW","FQ2 2023","FQ2 2023","Currency=USD","Period=FQ","BEST_FPERIOD_OVERRIDE=FQ","FILING_STATUS=MR","SCALING_FORMAT=MLN","Sort=A","Dates=H","DateFormat=P","Fill=—","Direction=H","UseDPDF=Y")</f>
        <v>42.073999999999998</v>
      </c>
      <c r="V43" s="13">
        <f>_xll.BDH("ALNY US Equity","BS_ST_BORROW","FQ3 2023","FQ3 2023","Currency=USD","Period=FQ","BEST_FPERIOD_OVERRIDE=FQ","FILING_STATUS=MR","SCALING_FORMAT=MLN","Sort=A","Dates=H","DateFormat=P","Fill=—","Direction=H","UseDPDF=Y")</f>
        <v>41.515999999999998</v>
      </c>
      <c r="W43" s="13">
        <f>_xll.BDH("ALNY US Equity","BS_ST_BORROW","FQ4 2023","FQ4 2023","Currency=USD","Period=FQ","BEST_FPERIOD_OVERRIDE=FQ","FILING_STATUS=MR","SCALING_FORMAT=MLN","Sort=A","Dates=H","DateFormat=P","Fill=—","Direction=H","UseDPDF=Y")</f>
        <v>41.51</v>
      </c>
      <c r="X43" s="13">
        <f>_xll.BDH("ALNY US Equity","BS_ST_BORROW","FQ1 2024","FQ1 2024","Currency=USD","Period=FQ","BEST_FPERIOD_OVERRIDE=FQ","FILING_STATUS=MR","SCALING_FORMAT=MLN","Sort=A","Dates=H","DateFormat=P","Fill=—","Direction=H","UseDPDF=Y")</f>
        <v>41.671999999999997</v>
      </c>
      <c r="Y43" s="13">
        <f>_xll.BDH("ALNY US Equity","BS_ST_BORROW","FQ2 2024","FQ2 2024","Currency=USD","Period=FQ","BEST_FPERIOD_OVERRIDE=FQ","FILING_STATUS=MR","SCALING_FORMAT=MLN","Sort=A","Dates=H","DateFormat=P","Fill=—","Direction=H","UseDPDF=Y")</f>
        <v>41.655999999999999</v>
      </c>
      <c r="Z43" s="13">
        <f>_xll.BDH("ALNY US Equity","BS_ST_BORROW","FQ3 2024","FQ3 2024","Currency=USD","Period=FQ","BEST_FPERIOD_OVERRIDE=FQ","FILING_STATUS=MR","SCALING_FORMAT=MLN","Sort=A","Dates=H","DateFormat=P","Fill=—","Direction=H","UseDPDF=Y")</f>
        <v>42.143999999999998</v>
      </c>
      <c r="AA43" s="13">
        <f>_xll.BDH("ALNY US Equity","BS_ST_BORROW","FQ4 2024","FQ4 2024","Currency=USD","Period=FQ","BEST_FPERIOD_OVERRIDE=FQ","FILING_STATUS=MR","SCALING_FORMAT=MLN","Sort=A","Dates=H","DateFormat=P","Fill=—","Direction=H","UseDPDF=Y")</f>
        <v>41.886000000000003</v>
      </c>
    </row>
    <row r="44" spans="1:27" x14ac:dyDescent="0.25">
      <c r="A44" s="10" t="s">
        <v>740</v>
      </c>
      <c r="B44" s="10" t="s">
        <v>741</v>
      </c>
      <c r="C44" s="13">
        <f>_xll.BDH("ALNY US Equity","SHORT_TERM_DEBT_DETAILED","FQ4 2018","FQ4 2018","Currency=USD","Period=FQ","BEST_FPERIOD_OVERRIDE=FQ","FILING_STATUS=MR","SCALING_FORMAT=MLN","Sort=A","Dates=H","DateFormat=P","Fill=—","Direction=H","UseDPDF=Y")</f>
        <v>0</v>
      </c>
      <c r="D44" s="13">
        <f>_xll.BDH("ALNY US Equity","SHORT_TERM_DEBT_DETAILED","FQ1 2019","FQ1 2019","Currency=USD","Period=FQ","BEST_FPERIOD_OVERRIDE=FQ","FILING_STATUS=MR","SCALING_FORMAT=MLN","Sort=A","Dates=H","DateFormat=P","Fill=—","Direction=H","UseDPDF=Y")</f>
        <v>0</v>
      </c>
      <c r="E44" s="13">
        <f>_xll.BDH("ALNY US Equity","SHORT_TERM_DEBT_DETAILED","FQ2 2019","FQ2 2019","Currency=USD","Period=FQ","BEST_FPERIOD_OVERRIDE=FQ","FILING_STATUS=MR","SCALING_FORMAT=MLN","Sort=A","Dates=H","DateFormat=P","Fill=—","Direction=H","UseDPDF=Y")</f>
        <v>0</v>
      </c>
      <c r="F44" s="13">
        <f>_xll.BDH("ALNY US Equity","SHORT_TERM_DEBT_DETAILED","FQ3 2019","FQ3 2019","Currency=USD","Period=FQ","BEST_FPERIOD_OVERRIDE=FQ","FILING_STATUS=MR","SCALING_FORMAT=MLN","Sort=A","Dates=H","DateFormat=P","Fill=—","Direction=H","UseDPDF=Y")</f>
        <v>0</v>
      </c>
      <c r="G44" s="13">
        <f>_xll.BDH("ALNY US Equity","SHORT_TERM_DEBT_DETAILED","FQ4 2019","FQ4 2019","Currency=USD","Period=FQ","BEST_FPERIOD_OVERRIDE=FQ","FILING_STATUS=MR","SCALING_FORMAT=MLN","Sort=A","Dates=H","DateFormat=P","Fill=—","Direction=H","UseDPDF=Y")</f>
        <v>0</v>
      </c>
      <c r="H44" s="13">
        <f>_xll.BDH("ALNY US Equity","SHORT_TERM_DEBT_DETAILED","FQ1 2020","FQ1 2020","Currency=USD","Period=FQ","BEST_FPERIOD_OVERRIDE=FQ","FILING_STATUS=MR","SCALING_FORMAT=MLN","Sort=A","Dates=H","DateFormat=P","Fill=—","Direction=H","UseDPDF=Y")</f>
        <v>0</v>
      </c>
      <c r="I44" s="13">
        <f>_xll.BDH("ALNY US Equity","SHORT_TERM_DEBT_DETAILED","FQ2 2020","FQ2 2020","Currency=USD","Period=FQ","BEST_FPERIOD_OVERRIDE=FQ","FILING_STATUS=MR","SCALING_FORMAT=MLN","Sort=A","Dates=H","DateFormat=P","Fill=—","Direction=H","UseDPDF=Y")</f>
        <v>0</v>
      </c>
      <c r="J44" s="13">
        <f>_xll.BDH("ALNY US Equity","SHORT_TERM_DEBT_DETAILED","FQ3 2020","FQ3 2020","Currency=USD","Period=FQ","BEST_FPERIOD_OVERRIDE=FQ","FILING_STATUS=MR","SCALING_FORMAT=MLN","Sort=A","Dates=H","DateFormat=P","Fill=—","Direction=H","UseDPDF=Y")</f>
        <v>0</v>
      </c>
      <c r="K44" s="13">
        <f>_xll.BDH("ALNY US Equity","SHORT_TERM_DEBT_DETAILED","FQ4 2020","FQ4 2020","Currency=USD","Period=FQ","BEST_FPERIOD_OVERRIDE=FQ","FILING_STATUS=MR","SCALING_FORMAT=MLN","Sort=A","Dates=H","DateFormat=P","Fill=—","Direction=H","UseDPDF=Y")</f>
        <v>0</v>
      </c>
      <c r="L44" s="13">
        <f>_xll.BDH("ALNY US Equity","SHORT_TERM_DEBT_DETAILED","FQ1 2021","FQ1 2021","Currency=USD","Period=FQ","BEST_FPERIOD_OVERRIDE=FQ","FILING_STATUS=MR","SCALING_FORMAT=MLN","Sort=A","Dates=H","DateFormat=P","Fill=—","Direction=H","UseDPDF=Y")</f>
        <v>0</v>
      </c>
      <c r="M44" s="13">
        <f>_xll.BDH("ALNY US Equity","SHORT_TERM_DEBT_DETAILED","FQ2 2021","FQ2 2021","Currency=USD","Period=FQ","BEST_FPERIOD_OVERRIDE=FQ","FILING_STATUS=MR","SCALING_FORMAT=MLN","Sort=A","Dates=H","DateFormat=P","Fill=—","Direction=H","UseDPDF=Y")</f>
        <v>0</v>
      </c>
      <c r="N44" s="13">
        <f>_xll.BDH("ALNY US Equity","SHORT_TERM_DEBT_DETAILED","FQ3 2021","FQ3 2021","Currency=USD","Period=FQ","BEST_FPERIOD_OVERRIDE=FQ","FILING_STATUS=MR","SCALING_FORMAT=MLN","Sort=A","Dates=H","DateFormat=P","Fill=—","Direction=H","UseDPDF=Y")</f>
        <v>0</v>
      </c>
      <c r="O44" s="13">
        <f>_xll.BDH("ALNY US Equity","SHORT_TERM_DEBT_DETAILED","FQ4 2021","FQ4 2021","Currency=USD","Period=FQ","BEST_FPERIOD_OVERRIDE=FQ","FILING_STATUS=MR","SCALING_FORMAT=MLN","Sort=A","Dates=H","DateFormat=P","Fill=—","Direction=H","UseDPDF=Y")</f>
        <v>0</v>
      </c>
      <c r="P44" s="13">
        <f>_xll.BDH("ALNY US Equity","SHORT_TERM_DEBT_DETAILED","FQ1 2022","FQ1 2022","Currency=USD","Period=FQ","BEST_FPERIOD_OVERRIDE=FQ","FILING_STATUS=MR","SCALING_FORMAT=MLN","Sort=A","Dates=H","DateFormat=P","Fill=—","Direction=H","UseDPDF=Y")</f>
        <v>0</v>
      </c>
      <c r="Q44" s="13">
        <f>_xll.BDH("ALNY US Equity","SHORT_TERM_DEBT_DETAILED","FQ2 2022","FQ2 2022","Currency=USD","Period=FQ","BEST_FPERIOD_OVERRIDE=FQ","FILING_STATUS=MR","SCALING_FORMAT=MLN","Sort=A","Dates=H","DateFormat=P","Fill=—","Direction=H","UseDPDF=Y")</f>
        <v>0</v>
      </c>
      <c r="R44" s="13">
        <f>_xll.BDH("ALNY US Equity","SHORT_TERM_DEBT_DETAILED","FQ3 2022","FQ3 2022","Currency=USD","Period=FQ","BEST_FPERIOD_OVERRIDE=FQ","FILING_STATUS=MR","SCALING_FORMAT=MLN","Sort=A","Dates=H","DateFormat=P","Fill=—","Direction=H","UseDPDF=Y")</f>
        <v>0</v>
      </c>
      <c r="S44" s="13">
        <f>_xll.BDH("ALNY US Equity","SHORT_TERM_DEBT_DETAILED","FQ4 2022","FQ4 2022","Currency=USD","Period=FQ","BEST_FPERIOD_OVERRIDE=FQ","FILING_STATUS=MR","SCALING_FORMAT=MLN","Sort=A","Dates=H","DateFormat=P","Fill=—","Direction=H","UseDPDF=Y")</f>
        <v>0</v>
      </c>
      <c r="T44" s="13">
        <f>_xll.BDH("ALNY US Equity","SHORT_TERM_DEBT_DETAILED","FQ1 2023","FQ1 2023","Currency=USD","Period=FQ","BEST_FPERIOD_OVERRIDE=FQ","FILING_STATUS=MR","SCALING_FORMAT=MLN","Sort=A","Dates=H","DateFormat=P","Fill=—","Direction=H","UseDPDF=Y")</f>
        <v>0</v>
      </c>
      <c r="U44" s="13">
        <f>_xll.BDH("ALNY US Equity","SHORT_TERM_DEBT_DETAILED","FQ2 2023","FQ2 2023","Currency=USD","Period=FQ","BEST_FPERIOD_OVERRIDE=FQ","FILING_STATUS=MR","SCALING_FORMAT=MLN","Sort=A","Dates=H","DateFormat=P","Fill=—","Direction=H","UseDPDF=Y")</f>
        <v>0</v>
      </c>
      <c r="V44" s="13">
        <f>_xll.BDH("ALNY US Equity","SHORT_TERM_DEBT_DETAILED","FQ3 2023","FQ3 2023","Currency=USD","Period=FQ","BEST_FPERIOD_OVERRIDE=FQ","FILING_STATUS=MR","SCALING_FORMAT=MLN","Sort=A","Dates=H","DateFormat=P","Fill=—","Direction=H","UseDPDF=Y")</f>
        <v>0</v>
      </c>
      <c r="W44" s="13">
        <f>_xll.BDH("ALNY US Equity","SHORT_TERM_DEBT_DETAILED","FQ4 2023","FQ4 2023","Currency=USD","Period=FQ","BEST_FPERIOD_OVERRIDE=FQ","FILING_STATUS=MR","SCALING_FORMAT=MLN","Sort=A","Dates=H","DateFormat=P","Fill=—","Direction=H","UseDPDF=Y")</f>
        <v>0</v>
      </c>
      <c r="X44" s="13">
        <f>_xll.BDH("ALNY US Equity","SHORT_TERM_DEBT_DETAILED","FQ1 2024","FQ1 2024","Currency=USD","Period=FQ","BEST_FPERIOD_OVERRIDE=FQ","FILING_STATUS=MR","SCALING_FORMAT=MLN","Sort=A","Dates=H","DateFormat=P","Fill=—","Direction=H","UseDPDF=Y")</f>
        <v>0</v>
      </c>
      <c r="Y44" s="13">
        <f>_xll.BDH("ALNY US Equity","SHORT_TERM_DEBT_DETAILED","FQ2 2024","FQ2 2024","Currency=USD","Period=FQ","BEST_FPERIOD_OVERRIDE=FQ","FILING_STATUS=MR","SCALING_FORMAT=MLN","Sort=A","Dates=H","DateFormat=P","Fill=—","Direction=H","UseDPDF=Y")</f>
        <v>0</v>
      </c>
      <c r="Z44" s="13">
        <f>_xll.BDH("ALNY US Equity","SHORT_TERM_DEBT_DETAILED","FQ3 2024","FQ3 2024","Currency=USD","Period=FQ","BEST_FPERIOD_OVERRIDE=FQ","FILING_STATUS=MR","SCALING_FORMAT=MLN","Sort=A","Dates=H","DateFormat=P","Fill=—","Direction=H","UseDPDF=Y")</f>
        <v>0</v>
      </c>
      <c r="AA44" s="13">
        <f>_xll.BDH("ALNY US Equity","SHORT_TERM_DEBT_DETAILED","FQ4 2024","FQ4 2024","Currency=USD","Period=FQ","BEST_FPERIOD_OVERRIDE=FQ","FILING_STATUS=MR","SCALING_FORMAT=MLN","Sort=A","Dates=H","DateFormat=P","Fill=—","Direction=H","UseDPDF=Y")</f>
        <v>0</v>
      </c>
    </row>
    <row r="45" spans="1:27" x14ac:dyDescent="0.25">
      <c r="A45" s="10" t="s">
        <v>742</v>
      </c>
      <c r="B45" s="10" t="s">
        <v>743</v>
      </c>
      <c r="C45" s="13">
        <f>_xll.BDH("ALNY US Equity","ST_CAPITALIZED_LEASE_LIABILITIES","FQ4 2018","FQ4 2018","Currency=USD","Period=FQ","BEST_FPERIOD_OVERRIDE=FQ","FILING_STATUS=MR","SCALING_FORMAT=MLN","Sort=A","Dates=H","DateFormat=P","Fill=—","Direction=H","UseDPDF=Y")</f>
        <v>0</v>
      </c>
      <c r="D45" s="13">
        <f>_xll.BDH("ALNY US Equity","ST_CAPITALIZED_LEASE_LIABILITIES","FQ1 2019","FQ1 2019","Currency=USD","Period=FQ","BEST_FPERIOD_OVERRIDE=FQ","FILING_STATUS=MR","SCALING_FORMAT=MLN","Sort=A","Dates=H","DateFormat=P","Fill=—","Direction=H","UseDPDF=Y")</f>
        <v>16.977</v>
      </c>
      <c r="E45" s="13">
        <f>_xll.BDH("ALNY US Equity","ST_CAPITALIZED_LEASE_LIABILITIES","FQ2 2019","FQ2 2019","Currency=USD","Period=FQ","BEST_FPERIOD_OVERRIDE=FQ","FILING_STATUS=MR","SCALING_FORMAT=MLN","Sort=A","Dates=H","DateFormat=P","Fill=—","Direction=H","UseDPDF=Y")</f>
        <v>29.347000000000001</v>
      </c>
      <c r="F45" s="13">
        <f>_xll.BDH("ALNY US Equity","ST_CAPITALIZED_LEASE_LIABILITIES","FQ3 2019","FQ3 2019","Currency=USD","Period=FQ","BEST_FPERIOD_OVERRIDE=FQ","FILING_STATUS=MR","SCALING_FORMAT=MLN","Sort=A","Dates=H","DateFormat=P","Fill=—","Direction=H","UseDPDF=Y")</f>
        <v>28.164999999999999</v>
      </c>
      <c r="G45" s="13">
        <f>_xll.BDH("ALNY US Equity","ST_CAPITALIZED_LEASE_LIABILITIES","FQ4 2019","FQ4 2019","Currency=USD","Period=FQ","BEST_FPERIOD_OVERRIDE=FQ","FILING_STATUS=MR","SCALING_FORMAT=MLN","Sort=A","Dates=H","DateFormat=P","Fill=—","Direction=H","UseDPDF=Y")</f>
        <v>27.687999999999999</v>
      </c>
      <c r="H45" s="13">
        <f>_xll.BDH("ALNY US Equity","ST_CAPITALIZED_LEASE_LIABILITIES","FQ1 2020","FQ1 2020","Currency=USD","Period=FQ","BEST_FPERIOD_OVERRIDE=FQ","FILING_STATUS=MR","SCALING_FORMAT=MLN","Sort=A","Dates=H","DateFormat=P","Fill=—","Direction=H","UseDPDF=Y")</f>
        <v>29.042999999999999</v>
      </c>
      <c r="I45" s="13">
        <f>_xll.BDH("ALNY US Equity","ST_CAPITALIZED_LEASE_LIABILITIES","FQ2 2020","FQ2 2020","Currency=USD","Period=FQ","BEST_FPERIOD_OVERRIDE=FQ","FILING_STATUS=MR","SCALING_FORMAT=MLN","Sort=A","Dates=H","DateFormat=P","Fill=—","Direction=H","UseDPDF=Y")</f>
        <v>33.447000000000003</v>
      </c>
      <c r="J45" s="13">
        <f>_xll.BDH("ALNY US Equity","ST_CAPITALIZED_LEASE_LIABILITIES","FQ3 2020","FQ3 2020","Currency=USD","Period=FQ","BEST_FPERIOD_OVERRIDE=FQ","FILING_STATUS=MR","SCALING_FORMAT=MLN","Sort=A","Dates=H","DateFormat=P","Fill=—","Direction=H","UseDPDF=Y")</f>
        <v>32.192</v>
      </c>
      <c r="K45" s="13">
        <f>_xll.BDH("ALNY US Equity","ST_CAPITALIZED_LEASE_LIABILITIES","FQ4 2020","FQ4 2020","Currency=USD","Period=FQ","BEST_FPERIOD_OVERRIDE=FQ","FILING_STATUS=MR","SCALING_FORMAT=MLN","Sort=A","Dates=H","DateFormat=P","Fill=—","Direction=H","UseDPDF=Y")</f>
        <v>36.872</v>
      </c>
      <c r="L45" s="13">
        <f>_xll.BDH("ALNY US Equity","ST_CAPITALIZED_LEASE_LIABILITIES","FQ1 2021","FQ1 2021","Currency=USD","Period=FQ","BEST_FPERIOD_OVERRIDE=FQ","FILING_STATUS=MR","SCALING_FORMAT=MLN","Sort=A","Dates=H","DateFormat=P","Fill=—","Direction=H","UseDPDF=Y")</f>
        <v>38.917000000000002</v>
      </c>
      <c r="M45" s="13">
        <f>_xll.BDH("ALNY US Equity","ST_CAPITALIZED_LEASE_LIABILITIES","FQ2 2021","FQ2 2021","Currency=USD","Period=FQ","BEST_FPERIOD_OVERRIDE=FQ","FILING_STATUS=MR","SCALING_FORMAT=MLN","Sort=A","Dates=H","DateFormat=P","Fill=—","Direction=H","UseDPDF=Y")</f>
        <v>39.362000000000002</v>
      </c>
      <c r="N45" s="13">
        <f>_xll.BDH("ALNY US Equity","ST_CAPITALIZED_LEASE_LIABILITIES","FQ3 2021","FQ3 2021","Currency=USD","Period=FQ","BEST_FPERIOD_OVERRIDE=FQ","FILING_STATUS=MR","SCALING_FORMAT=MLN","Sort=A","Dates=H","DateFormat=P","Fill=—","Direction=H","UseDPDF=Y")</f>
        <v>40.612000000000002</v>
      </c>
      <c r="O45" s="13">
        <f>_xll.BDH("ALNY US Equity","ST_CAPITALIZED_LEASE_LIABILITIES","FQ4 2021","FQ4 2021","Currency=USD","Period=FQ","BEST_FPERIOD_OVERRIDE=FQ","FILING_STATUS=MR","SCALING_FORMAT=MLN","Sort=A","Dates=H","DateFormat=P","Fill=—","Direction=H","UseDPDF=Y")</f>
        <v>40.548000000000002</v>
      </c>
      <c r="P45" s="13">
        <f>_xll.BDH("ALNY US Equity","ST_CAPITALIZED_LEASE_LIABILITIES","FQ1 2022","FQ1 2022","Currency=USD","Period=FQ","BEST_FPERIOD_OVERRIDE=FQ","FILING_STATUS=MR","SCALING_FORMAT=MLN","Sort=A","Dates=H","DateFormat=P","Fill=—","Direction=H","UseDPDF=Y")</f>
        <v>41.29</v>
      </c>
      <c r="Q45" s="13">
        <f>_xll.BDH("ALNY US Equity","ST_CAPITALIZED_LEASE_LIABILITIES","FQ2 2022","FQ2 2022","Currency=USD","Period=FQ","BEST_FPERIOD_OVERRIDE=FQ","FILING_STATUS=MR","SCALING_FORMAT=MLN","Sort=A","Dates=H","DateFormat=P","Fill=—","Direction=H","UseDPDF=Y")</f>
        <v>41.235999999999997</v>
      </c>
      <c r="R45" s="13">
        <f>_xll.BDH("ALNY US Equity","ST_CAPITALIZED_LEASE_LIABILITIES","FQ3 2022","FQ3 2022","Currency=USD","Period=FQ","BEST_FPERIOD_OVERRIDE=FQ","FILING_STATUS=MR","SCALING_FORMAT=MLN","Sort=A","Dates=H","DateFormat=P","Fill=—","Direction=H","UseDPDF=Y")</f>
        <v>41.581000000000003</v>
      </c>
      <c r="S45" s="13">
        <f>_xll.BDH("ALNY US Equity","ST_CAPITALIZED_LEASE_LIABILITIES","FQ4 2022","FQ4 2022","Currency=USD","Period=FQ","BEST_FPERIOD_OVERRIDE=FQ","FILING_STATUS=MR","SCALING_FORMAT=MLN","Sort=A","Dates=H","DateFormat=P","Fill=—","Direction=H","UseDPDF=Y")</f>
        <v>41.966999999999999</v>
      </c>
      <c r="T45" s="13">
        <f>_xll.BDH("ALNY US Equity","ST_CAPITALIZED_LEASE_LIABILITIES","FQ1 2023","FQ1 2023","Currency=USD","Period=FQ","BEST_FPERIOD_OVERRIDE=FQ","FILING_STATUS=MR","SCALING_FORMAT=MLN","Sort=A","Dates=H","DateFormat=P","Fill=—","Direction=H","UseDPDF=Y")</f>
        <v>43.055</v>
      </c>
      <c r="U45" s="13">
        <f>_xll.BDH("ALNY US Equity","ST_CAPITALIZED_LEASE_LIABILITIES","FQ2 2023","FQ2 2023","Currency=USD","Period=FQ","BEST_FPERIOD_OVERRIDE=FQ","FILING_STATUS=MR","SCALING_FORMAT=MLN","Sort=A","Dates=H","DateFormat=P","Fill=—","Direction=H","UseDPDF=Y")</f>
        <v>42.073999999999998</v>
      </c>
      <c r="V45" s="13">
        <f>_xll.BDH("ALNY US Equity","ST_CAPITALIZED_LEASE_LIABILITIES","FQ3 2023","FQ3 2023","Currency=USD","Period=FQ","BEST_FPERIOD_OVERRIDE=FQ","FILING_STATUS=MR","SCALING_FORMAT=MLN","Sort=A","Dates=H","DateFormat=P","Fill=—","Direction=H","UseDPDF=Y")</f>
        <v>41.515999999999998</v>
      </c>
      <c r="W45" s="13">
        <f>_xll.BDH("ALNY US Equity","ST_CAPITALIZED_LEASE_LIABILITIES","FQ4 2023","FQ4 2023","Currency=USD","Period=FQ","BEST_FPERIOD_OVERRIDE=FQ","FILING_STATUS=MR","SCALING_FORMAT=MLN","Sort=A","Dates=H","DateFormat=P","Fill=—","Direction=H","UseDPDF=Y")</f>
        <v>41.51</v>
      </c>
      <c r="X45" s="13">
        <f>_xll.BDH("ALNY US Equity","ST_CAPITALIZED_LEASE_LIABILITIES","FQ1 2024","FQ1 2024","Currency=USD","Period=FQ","BEST_FPERIOD_OVERRIDE=FQ","FILING_STATUS=MR","SCALING_FORMAT=MLN","Sort=A","Dates=H","DateFormat=P","Fill=—","Direction=H","UseDPDF=Y")</f>
        <v>41.671999999999997</v>
      </c>
      <c r="Y45" s="13">
        <f>_xll.BDH("ALNY US Equity","ST_CAPITALIZED_LEASE_LIABILITIES","FQ2 2024","FQ2 2024","Currency=USD","Period=FQ","BEST_FPERIOD_OVERRIDE=FQ","FILING_STATUS=MR","SCALING_FORMAT=MLN","Sort=A","Dates=H","DateFormat=P","Fill=—","Direction=H","UseDPDF=Y")</f>
        <v>41.655999999999999</v>
      </c>
      <c r="Z45" s="13">
        <f>_xll.BDH("ALNY US Equity","ST_CAPITALIZED_LEASE_LIABILITIES","FQ3 2024","FQ3 2024","Currency=USD","Period=FQ","BEST_FPERIOD_OVERRIDE=FQ","FILING_STATUS=MR","SCALING_FORMAT=MLN","Sort=A","Dates=H","DateFormat=P","Fill=—","Direction=H","UseDPDF=Y")</f>
        <v>42.143999999999998</v>
      </c>
      <c r="AA45" s="13">
        <f>_xll.BDH("ALNY US Equity","ST_CAPITALIZED_LEASE_LIABILITIES","FQ4 2024","FQ4 2024","Currency=USD","Period=FQ","BEST_FPERIOD_OVERRIDE=FQ","FILING_STATUS=MR","SCALING_FORMAT=MLN","Sort=A","Dates=H","DateFormat=P","Fill=—","Direction=H","UseDPDF=Y")</f>
        <v>41.886000000000003</v>
      </c>
    </row>
    <row r="46" spans="1:27" x14ac:dyDescent="0.25">
      <c r="A46" s="11" t="s">
        <v>744</v>
      </c>
      <c r="B46" s="11" t="s">
        <v>745</v>
      </c>
      <c r="C46" s="25">
        <f>_xll.BDH("ALNY US Equity","ST_CAPITAL_LEASE_OBLIGATIONS","FQ4 2018","FQ4 2018","Currency=USD","Period=FQ","BEST_FPERIOD_OVERRIDE=FQ","FILING_STATUS=MR","SCALING_FORMAT=MLN","Sort=A","Dates=H","DateFormat=P","Fill=—","Direction=H","UseDPDF=Y")</f>
        <v>0</v>
      </c>
      <c r="D46" s="25" t="str">
        <f>_xll.BDH("ALNY US Equity","ST_CAPITAL_LEASE_OBLIGATIONS","FQ1 2019","FQ1 2019","Currency=USD","Period=FQ","BEST_FPERIOD_OVERRIDE=FQ","FILING_STATUS=MR","SCALING_FORMAT=MLN","Sort=A","Dates=H","DateFormat=P","Fill=—","Direction=H","UseDPDF=Y")</f>
        <v>—</v>
      </c>
      <c r="E46" s="25" t="str">
        <f>_xll.BDH("ALNY US Equity","ST_CAPITAL_LEASE_OBLIGATIONS","FQ2 2019","FQ2 2019","Currency=USD","Period=FQ","BEST_FPERIOD_OVERRIDE=FQ","FILING_STATUS=MR","SCALING_FORMAT=MLN","Sort=A","Dates=H","DateFormat=P","Fill=—","Direction=H","UseDPDF=Y")</f>
        <v>—</v>
      </c>
      <c r="F46" s="25" t="str">
        <f>_xll.BDH("ALNY US Equity","ST_CAPITAL_LEASE_OBLIGATIONS","FQ3 2019","FQ3 2019","Currency=USD","Period=FQ","BEST_FPERIOD_OVERRIDE=FQ","FILING_STATUS=MR","SCALING_FORMAT=MLN","Sort=A","Dates=H","DateFormat=P","Fill=—","Direction=H","UseDPDF=Y")</f>
        <v>—</v>
      </c>
      <c r="G46" s="25" t="str">
        <f>_xll.BDH("ALNY US Equity","ST_CAPITAL_LEASE_OBLIGATIONS","FQ4 2019","FQ4 2019","Currency=USD","Period=FQ","BEST_FPERIOD_OVERRIDE=FQ","FILING_STATUS=MR","SCALING_FORMAT=MLN","Sort=A","Dates=H","DateFormat=P","Fill=—","Direction=H","UseDPDF=Y")</f>
        <v>—</v>
      </c>
      <c r="H46" s="25" t="str">
        <f>_xll.BDH("ALNY US Equity","ST_CAPITAL_LEASE_OBLIGATIONS","FQ1 2020","FQ1 2020","Currency=USD","Period=FQ","BEST_FPERIOD_OVERRIDE=FQ","FILING_STATUS=MR","SCALING_FORMAT=MLN","Sort=A","Dates=H","DateFormat=P","Fill=—","Direction=H","UseDPDF=Y")</f>
        <v>—</v>
      </c>
      <c r="I46" s="25" t="str">
        <f>_xll.BDH("ALNY US Equity","ST_CAPITAL_LEASE_OBLIGATIONS","FQ2 2020","FQ2 2020","Currency=USD","Period=FQ","BEST_FPERIOD_OVERRIDE=FQ","FILING_STATUS=MR","SCALING_FORMAT=MLN","Sort=A","Dates=H","DateFormat=P","Fill=—","Direction=H","UseDPDF=Y")</f>
        <v>—</v>
      </c>
      <c r="J46" s="25" t="str">
        <f>_xll.BDH("ALNY US Equity","ST_CAPITAL_LEASE_OBLIGATIONS","FQ3 2020","FQ3 2020","Currency=USD","Period=FQ","BEST_FPERIOD_OVERRIDE=FQ","FILING_STATUS=MR","SCALING_FORMAT=MLN","Sort=A","Dates=H","DateFormat=P","Fill=—","Direction=H","UseDPDF=Y")</f>
        <v>—</v>
      </c>
      <c r="K46" s="25" t="str">
        <f>_xll.BDH("ALNY US Equity","ST_CAPITAL_LEASE_OBLIGATIONS","FQ4 2020","FQ4 2020","Currency=USD","Period=FQ","BEST_FPERIOD_OVERRIDE=FQ","FILING_STATUS=MR","SCALING_FORMAT=MLN","Sort=A","Dates=H","DateFormat=P","Fill=—","Direction=H","UseDPDF=Y")</f>
        <v>—</v>
      </c>
      <c r="L46" s="25" t="str">
        <f>_xll.BDH("ALNY US Equity","ST_CAPITAL_LEASE_OBLIGATIONS","FQ1 2021","FQ1 2021","Currency=USD","Period=FQ","BEST_FPERIOD_OVERRIDE=FQ","FILING_STATUS=MR","SCALING_FORMAT=MLN","Sort=A","Dates=H","DateFormat=P","Fill=—","Direction=H","UseDPDF=Y")</f>
        <v>—</v>
      </c>
      <c r="M46" s="25" t="str">
        <f>_xll.BDH("ALNY US Equity","ST_CAPITAL_LEASE_OBLIGATIONS","FQ2 2021","FQ2 2021","Currency=USD","Period=FQ","BEST_FPERIOD_OVERRIDE=FQ","FILING_STATUS=MR","SCALING_FORMAT=MLN","Sort=A","Dates=H","DateFormat=P","Fill=—","Direction=H","UseDPDF=Y")</f>
        <v>—</v>
      </c>
      <c r="N46" s="25" t="str">
        <f>_xll.BDH("ALNY US Equity","ST_CAPITAL_LEASE_OBLIGATIONS","FQ3 2021","FQ3 2021","Currency=USD","Period=FQ","BEST_FPERIOD_OVERRIDE=FQ","FILING_STATUS=MR","SCALING_FORMAT=MLN","Sort=A","Dates=H","DateFormat=P","Fill=—","Direction=H","UseDPDF=Y")</f>
        <v>—</v>
      </c>
      <c r="O46" s="25" t="str">
        <f>_xll.BDH("ALNY US Equity","ST_CAPITAL_LEASE_OBLIGATIONS","FQ4 2021","FQ4 2021","Currency=USD","Period=FQ","BEST_FPERIOD_OVERRIDE=FQ","FILING_STATUS=MR","SCALING_FORMAT=MLN","Sort=A","Dates=H","DateFormat=P","Fill=—","Direction=H","UseDPDF=Y")</f>
        <v>—</v>
      </c>
      <c r="P46" s="25" t="str">
        <f>_xll.BDH("ALNY US Equity","ST_CAPITAL_LEASE_OBLIGATIONS","FQ1 2022","FQ1 2022","Currency=USD","Period=FQ","BEST_FPERIOD_OVERRIDE=FQ","FILING_STATUS=MR","SCALING_FORMAT=MLN","Sort=A","Dates=H","DateFormat=P","Fill=—","Direction=H","UseDPDF=Y")</f>
        <v>—</v>
      </c>
      <c r="Q46" s="25" t="str">
        <f>_xll.BDH("ALNY US Equity","ST_CAPITAL_LEASE_OBLIGATIONS","FQ2 2022","FQ2 2022","Currency=USD","Period=FQ","BEST_FPERIOD_OVERRIDE=FQ","FILING_STATUS=MR","SCALING_FORMAT=MLN","Sort=A","Dates=H","DateFormat=P","Fill=—","Direction=H","UseDPDF=Y")</f>
        <v>—</v>
      </c>
      <c r="R46" s="25" t="str">
        <f>_xll.BDH("ALNY US Equity","ST_CAPITAL_LEASE_OBLIGATIONS","FQ3 2022","FQ3 2022","Currency=USD","Period=FQ","BEST_FPERIOD_OVERRIDE=FQ","FILING_STATUS=MR","SCALING_FORMAT=MLN","Sort=A","Dates=H","DateFormat=P","Fill=—","Direction=H","UseDPDF=Y")</f>
        <v>—</v>
      </c>
      <c r="S46" s="25" t="str">
        <f>_xll.BDH("ALNY US Equity","ST_CAPITAL_LEASE_OBLIGATIONS","FQ4 2022","FQ4 2022","Currency=USD","Period=FQ","BEST_FPERIOD_OVERRIDE=FQ","FILING_STATUS=MR","SCALING_FORMAT=MLN","Sort=A","Dates=H","DateFormat=P","Fill=—","Direction=H","UseDPDF=Y")</f>
        <v>—</v>
      </c>
      <c r="T46" s="25" t="str">
        <f>_xll.BDH("ALNY US Equity","ST_CAPITAL_LEASE_OBLIGATIONS","FQ1 2023","FQ1 2023","Currency=USD","Period=FQ","BEST_FPERIOD_OVERRIDE=FQ","FILING_STATUS=MR","SCALING_FORMAT=MLN","Sort=A","Dates=H","DateFormat=P","Fill=—","Direction=H","UseDPDF=Y")</f>
        <v>—</v>
      </c>
      <c r="U46" s="25" t="str">
        <f>_xll.BDH("ALNY US Equity","ST_CAPITAL_LEASE_OBLIGATIONS","FQ2 2023","FQ2 2023","Currency=USD","Period=FQ","BEST_FPERIOD_OVERRIDE=FQ","FILING_STATUS=MR","SCALING_FORMAT=MLN","Sort=A","Dates=H","DateFormat=P","Fill=—","Direction=H","UseDPDF=Y")</f>
        <v>—</v>
      </c>
      <c r="V46" s="25" t="str">
        <f>_xll.BDH("ALNY US Equity","ST_CAPITAL_LEASE_OBLIGATIONS","FQ3 2023","FQ3 2023","Currency=USD","Period=FQ","BEST_FPERIOD_OVERRIDE=FQ","FILING_STATUS=MR","SCALING_FORMAT=MLN","Sort=A","Dates=H","DateFormat=P","Fill=—","Direction=H","UseDPDF=Y")</f>
        <v>—</v>
      </c>
      <c r="W46" s="25" t="str">
        <f>_xll.BDH("ALNY US Equity","ST_CAPITAL_LEASE_OBLIGATIONS","FQ4 2023","FQ4 2023","Currency=USD","Period=FQ","BEST_FPERIOD_OVERRIDE=FQ","FILING_STATUS=MR","SCALING_FORMAT=MLN","Sort=A","Dates=H","DateFormat=P","Fill=—","Direction=H","UseDPDF=Y")</f>
        <v>—</v>
      </c>
      <c r="X46" s="25" t="str">
        <f>_xll.BDH("ALNY US Equity","ST_CAPITAL_LEASE_OBLIGATIONS","FQ1 2024","FQ1 2024","Currency=USD","Period=FQ","BEST_FPERIOD_OVERRIDE=FQ","FILING_STATUS=MR","SCALING_FORMAT=MLN","Sort=A","Dates=H","DateFormat=P","Fill=—","Direction=H","UseDPDF=Y")</f>
        <v>—</v>
      </c>
      <c r="Y46" s="25" t="str">
        <f>_xll.BDH("ALNY US Equity","ST_CAPITAL_LEASE_OBLIGATIONS","FQ2 2024","FQ2 2024","Currency=USD","Period=FQ","BEST_FPERIOD_OVERRIDE=FQ","FILING_STATUS=MR","SCALING_FORMAT=MLN","Sort=A","Dates=H","DateFormat=P","Fill=—","Direction=H","UseDPDF=Y")</f>
        <v>—</v>
      </c>
      <c r="Z46" s="25" t="str">
        <f>_xll.BDH("ALNY US Equity","ST_CAPITAL_LEASE_OBLIGATIONS","FQ3 2024","FQ3 2024","Currency=USD","Period=FQ","BEST_FPERIOD_OVERRIDE=FQ","FILING_STATUS=MR","SCALING_FORMAT=MLN","Sort=A","Dates=H","DateFormat=P","Fill=—","Direction=H","UseDPDF=Y")</f>
        <v>—</v>
      </c>
      <c r="AA46" s="25" t="str">
        <f>_xll.BDH("ALNY US Equity","ST_CAPITAL_LEASE_OBLIGATIONS","FQ4 2024","FQ4 2024","Currency=USD","Period=FQ","BEST_FPERIOD_OVERRIDE=FQ","FILING_STATUS=MR","SCALING_FORMAT=MLN","Sort=A","Dates=H","DateFormat=P","Fill=—","Direction=H","UseDPDF=Y")</f>
        <v>—</v>
      </c>
    </row>
    <row r="47" spans="1:27" x14ac:dyDescent="0.25">
      <c r="A47" s="11" t="s">
        <v>746</v>
      </c>
      <c r="B47" s="11" t="s">
        <v>747</v>
      </c>
      <c r="C47" s="25" t="str">
        <f>_xll.BDH("ALNY US Equity","BS_ST_OPERATING_LEASE_LIABS","FQ4 2018","FQ4 2018","Currency=USD","Period=FQ","BEST_FPERIOD_OVERRIDE=FQ","FILING_STATUS=MR","SCALING_FORMAT=MLN","Sort=A","Dates=H","DateFormat=P","Fill=—","Direction=H","UseDPDF=Y")</f>
        <v>—</v>
      </c>
      <c r="D47" s="25">
        <f>_xll.BDH("ALNY US Equity","BS_ST_OPERATING_LEASE_LIABS","FQ1 2019","FQ1 2019","Currency=USD","Period=FQ","BEST_FPERIOD_OVERRIDE=FQ","FILING_STATUS=MR","SCALING_FORMAT=MLN","Sort=A","Dates=H","DateFormat=P","Fill=—","Direction=H","UseDPDF=Y")</f>
        <v>16.977</v>
      </c>
      <c r="E47" s="25">
        <f>_xll.BDH("ALNY US Equity","BS_ST_OPERATING_LEASE_LIABS","FQ2 2019","FQ2 2019","Currency=USD","Period=FQ","BEST_FPERIOD_OVERRIDE=FQ","FILING_STATUS=MR","SCALING_FORMAT=MLN","Sort=A","Dates=H","DateFormat=P","Fill=—","Direction=H","UseDPDF=Y")</f>
        <v>29.347000000000001</v>
      </c>
      <c r="F47" s="25">
        <f>_xll.BDH("ALNY US Equity","BS_ST_OPERATING_LEASE_LIABS","FQ3 2019","FQ3 2019","Currency=USD","Period=FQ","BEST_FPERIOD_OVERRIDE=FQ","FILING_STATUS=MR","SCALING_FORMAT=MLN","Sort=A","Dates=H","DateFormat=P","Fill=—","Direction=H","UseDPDF=Y")</f>
        <v>28.164999999999999</v>
      </c>
      <c r="G47" s="25">
        <f>_xll.BDH("ALNY US Equity","BS_ST_OPERATING_LEASE_LIABS","FQ4 2019","FQ4 2019","Currency=USD","Period=FQ","BEST_FPERIOD_OVERRIDE=FQ","FILING_STATUS=MR","SCALING_FORMAT=MLN","Sort=A","Dates=H","DateFormat=P","Fill=—","Direction=H","UseDPDF=Y")</f>
        <v>27.687999999999999</v>
      </c>
      <c r="H47" s="25">
        <f>_xll.BDH("ALNY US Equity","BS_ST_OPERATING_LEASE_LIABS","FQ1 2020","FQ1 2020","Currency=USD","Period=FQ","BEST_FPERIOD_OVERRIDE=FQ","FILING_STATUS=MR","SCALING_FORMAT=MLN","Sort=A","Dates=H","DateFormat=P","Fill=—","Direction=H","UseDPDF=Y")</f>
        <v>29.042999999999999</v>
      </c>
      <c r="I47" s="25">
        <f>_xll.BDH("ALNY US Equity","BS_ST_OPERATING_LEASE_LIABS","FQ2 2020","FQ2 2020","Currency=USD","Period=FQ","BEST_FPERIOD_OVERRIDE=FQ","FILING_STATUS=MR","SCALING_FORMAT=MLN","Sort=A","Dates=H","DateFormat=P","Fill=—","Direction=H","UseDPDF=Y")</f>
        <v>33.447000000000003</v>
      </c>
      <c r="J47" s="25">
        <f>_xll.BDH("ALNY US Equity","BS_ST_OPERATING_LEASE_LIABS","FQ3 2020","FQ3 2020","Currency=USD","Period=FQ","BEST_FPERIOD_OVERRIDE=FQ","FILING_STATUS=MR","SCALING_FORMAT=MLN","Sort=A","Dates=H","DateFormat=P","Fill=—","Direction=H","UseDPDF=Y")</f>
        <v>32.192</v>
      </c>
      <c r="K47" s="25">
        <f>_xll.BDH("ALNY US Equity","BS_ST_OPERATING_LEASE_LIABS","FQ4 2020","FQ4 2020","Currency=USD","Period=FQ","BEST_FPERIOD_OVERRIDE=FQ","FILING_STATUS=MR","SCALING_FORMAT=MLN","Sort=A","Dates=H","DateFormat=P","Fill=—","Direction=H","UseDPDF=Y")</f>
        <v>36.872</v>
      </c>
      <c r="L47" s="25">
        <f>_xll.BDH("ALNY US Equity","BS_ST_OPERATING_LEASE_LIABS","FQ1 2021","FQ1 2021","Currency=USD","Period=FQ","BEST_FPERIOD_OVERRIDE=FQ","FILING_STATUS=MR","SCALING_FORMAT=MLN","Sort=A","Dates=H","DateFormat=P","Fill=—","Direction=H","UseDPDF=Y")</f>
        <v>38.917000000000002</v>
      </c>
      <c r="M47" s="25">
        <f>_xll.BDH("ALNY US Equity","BS_ST_OPERATING_LEASE_LIABS","FQ2 2021","FQ2 2021","Currency=USD","Period=FQ","BEST_FPERIOD_OVERRIDE=FQ","FILING_STATUS=MR","SCALING_FORMAT=MLN","Sort=A","Dates=H","DateFormat=P","Fill=—","Direction=H","UseDPDF=Y")</f>
        <v>39.362000000000002</v>
      </c>
      <c r="N47" s="25">
        <f>_xll.BDH("ALNY US Equity","BS_ST_OPERATING_LEASE_LIABS","FQ3 2021","FQ3 2021","Currency=USD","Period=FQ","BEST_FPERIOD_OVERRIDE=FQ","FILING_STATUS=MR","SCALING_FORMAT=MLN","Sort=A","Dates=H","DateFormat=P","Fill=—","Direction=H","UseDPDF=Y")</f>
        <v>40.612000000000002</v>
      </c>
      <c r="O47" s="25">
        <f>_xll.BDH("ALNY US Equity","BS_ST_OPERATING_LEASE_LIABS","FQ4 2021","FQ4 2021","Currency=USD","Period=FQ","BEST_FPERIOD_OVERRIDE=FQ","FILING_STATUS=MR","SCALING_FORMAT=MLN","Sort=A","Dates=H","DateFormat=P","Fill=—","Direction=H","UseDPDF=Y")</f>
        <v>40.548000000000002</v>
      </c>
      <c r="P47" s="25">
        <f>_xll.BDH("ALNY US Equity","BS_ST_OPERATING_LEASE_LIABS","FQ1 2022","FQ1 2022","Currency=USD","Period=FQ","BEST_FPERIOD_OVERRIDE=FQ","FILING_STATUS=MR","SCALING_FORMAT=MLN","Sort=A","Dates=H","DateFormat=P","Fill=—","Direction=H","UseDPDF=Y")</f>
        <v>41.29</v>
      </c>
      <c r="Q47" s="25">
        <f>_xll.BDH("ALNY US Equity","BS_ST_OPERATING_LEASE_LIABS","FQ2 2022","FQ2 2022","Currency=USD","Period=FQ","BEST_FPERIOD_OVERRIDE=FQ","FILING_STATUS=MR","SCALING_FORMAT=MLN","Sort=A","Dates=H","DateFormat=P","Fill=—","Direction=H","UseDPDF=Y")</f>
        <v>41.235999999999997</v>
      </c>
      <c r="R47" s="25">
        <f>_xll.BDH("ALNY US Equity","BS_ST_OPERATING_LEASE_LIABS","FQ3 2022","FQ3 2022","Currency=USD","Period=FQ","BEST_FPERIOD_OVERRIDE=FQ","FILING_STATUS=MR","SCALING_FORMAT=MLN","Sort=A","Dates=H","DateFormat=P","Fill=—","Direction=H","UseDPDF=Y")</f>
        <v>41.581000000000003</v>
      </c>
      <c r="S47" s="25">
        <f>_xll.BDH("ALNY US Equity","BS_ST_OPERATING_LEASE_LIABS","FQ4 2022","FQ4 2022","Currency=USD","Period=FQ","BEST_FPERIOD_OVERRIDE=FQ","FILING_STATUS=MR","SCALING_FORMAT=MLN","Sort=A","Dates=H","DateFormat=P","Fill=—","Direction=H","UseDPDF=Y")</f>
        <v>41.966999999999999</v>
      </c>
      <c r="T47" s="25">
        <f>_xll.BDH("ALNY US Equity","BS_ST_OPERATING_LEASE_LIABS","FQ1 2023","FQ1 2023","Currency=USD","Period=FQ","BEST_FPERIOD_OVERRIDE=FQ","FILING_STATUS=MR","SCALING_FORMAT=MLN","Sort=A","Dates=H","DateFormat=P","Fill=—","Direction=H","UseDPDF=Y")</f>
        <v>43.055</v>
      </c>
      <c r="U47" s="25">
        <f>_xll.BDH("ALNY US Equity","BS_ST_OPERATING_LEASE_LIABS","FQ2 2023","FQ2 2023","Currency=USD","Period=FQ","BEST_FPERIOD_OVERRIDE=FQ","FILING_STATUS=MR","SCALING_FORMAT=MLN","Sort=A","Dates=H","DateFormat=P","Fill=—","Direction=H","UseDPDF=Y")</f>
        <v>42.073999999999998</v>
      </c>
      <c r="V47" s="25">
        <f>_xll.BDH("ALNY US Equity","BS_ST_OPERATING_LEASE_LIABS","FQ3 2023","FQ3 2023","Currency=USD","Period=FQ","BEST_FPERIOD_OVERRIDE=FQ","FILING_STATUS=MR","SCALING_FORMAT=MLN","Sort=A","Dates=H","DateFormat=P","Fill=—","Direction=H","UseDPDF=Y")</f>
        <v>41.515999999999998</v>
      </c>
      <c r="W47" s="25">
        <f>_xll.BDH("ALNY US Equity","BS_ST_OPERATING_LEASE_LIABS","FQ4 2023","FQ4 2023","Currency=USD","Period=FQ","BEST_FPERIOD_OVERRIDE=FQ","FILING_STATUS=MR","SCALING_FORMAT=MLN","Sort=A","Dates=H","DateFormat=P","Fill=—","Direction=H","UseDPDF=Y")</f>
        <v>41.51</v>
      </c>
      <c r="X47" s="25">
        <f>_xll.BDH("ALNY US Equity","BS_ST_OPERATING_LEASE_LIABS","FQ1 2024","FQ1 2024","Currency=USD","Period=FQ","BEST_FPERIOD_OVERRIDE=FQ","FILING_STATUS=MR","SCALING_FORMAT=MLN","Sort=A","Dates=H","DateFormat=P","Fill=—","Direction=H","UseDPDF=Y")</f>
        <v>41.671999999999997</v>
      </c>
      <c r="Y47" s="25">
        <f>_xll.BDH("ALNY US Equity","BS_ST_OPERATING_LEASE_LIABS","FQ2 2024","FQ2 2024","Currency=USD","Period=FQ","BEST_FPERIOD_OVERRIDE=FQ","FILING_STATUS=MR","SCALING_FORMAT=MLN","Sort=A","Dates=H","DateFormat=P","Fill=—","Direction=H","UseDPDF=Y")</f>
        <v>41.655999999999999</v>
      </c>
      <c r="Z47" s="25">
        <f>_xll.BDH("ALNY US Equity","BS_ST_OPERATING_LEASE_LIABS","FQ3 2024","FQ3 2024","Currency=USD","Period=FQ","BEST_FPERIOD_OVERRIDE=FQ","FILING_STATUS=MR","SCALING_FORMAT=MLN","Sort=A","Dates=H","DateFormat=P","Fill=—","Direction=H","UseDPDF=Y")</f>
        <v>42.143999999999998</v>
      </c>
      <c r="AA47" s="25">
        <f>_xll.BDH("ALNY US Equity","BS_ST_OPERATING_LEASE_LIABS","FQ4 2024","FQ4 2024","Currency=USD","Period=FQ","BEST_FPERIOD_OVERRIDE=FQ","FILING_STATUS=MR","SCALING_FORMAT=MLN","Sort=A","Dates=H","DateFormat=P","Fill=—","Direction=H","UseDPDF=Y")</f>
        <v>41.886000000000003</v>
      </c>
    </row>
    <row r="48" spans="1:27" x14ac:dyDescent="0.25">
      <c r="A48" s="10" t="s">
        <v>748</v>
      </c>
      <c r="B48" s="10" t="s">
        <v>749</v>
      </c>
      <c r="C48" s="13">
        <f>_xll.BDH("ALNY US Equity","OTHER_CURRENT_LIABS_SUB_DETAILED","FQ4 2018","FQ4 2018","Currency=USD","Period=FQ","BEST_FPERIOD_OVERRIDE=FQ","FILING_STATUS=MR","SCALING_FORMAT=MLN","Sort=A","Dates=H","DateFormat=P","Fill=—","Direction=H","UseDPDF=Y")</f>
        <v>7.0670000000000002</v>
      </c>
      <c r="D48" s="13">
        <f>_xll.BDH("ALNY US Equity","OTHER_CURRENT_LIABS_SUB_DETAILED","FQ1 2019","FQ1 2019","Currency=USD","Period=FQ","BEST_FPERIOD_OVERRIDE=FQ","FILING_STATUS=MR","SCALING_FORMAT=MLN","Sort=A","Dates=H","DateFormat=P","Fill=—","Direction=H","UseDPDF=Y")</f>
        <v>2.6419999999999999</v>
      </c>
      <c r="E48" s="13">
        <f>_xll.BDH("ALNY US Equity","OTHER_CURRENT_LIABS_SUB_DETAILED","FQ2 2019","FQ2 2019","Currency=USD","Period=FQ","BEST_FPERIOD_OVERRIDE=FQ","FILING_STATUS=MR","SCALING_FORMAT=MLN","Sort=A","Dates=H","DateFormat=P","Fill=—","Direction=H","UseDPDF=Y")</f>
        <v>89.242000000000004</v>
      </c>
      <c r="F48" s="13">
        <f>_xll.BDH("ALNY US Equity","OTHER_CURRENT_LIABS_SUB_DETAILED","FQ3 2019","FQ3 2019","Currency=USD","Period=FQ","BEST_FPERIOD_OVERRIDE=FQ","FILING_STATUS=MR","SCALING_FORMAT=MLN","Sort=A","Dates=H","DateFormat=P","Fill=—","Direction=H","UseDPDF=Y")</f>
        <v>107.35899999999999</v>
      </c>
      <c r="G48" s="13">
        <f>_xll.BDH("ALNY US Equity","OTHER_CURRENT_LIABS_SUB_DETAILED","FQ4 2019","FQ4 2019","Currency=USD","Period=FQ","BEST_FPERIOD_OVERRIDE=FQ","FILING_STATUS=MR","SCALING_FORMAT=MLN","Sort=A","Dates=H","DateFormat=P","Fill=—","Direction=H","UseDPDF=Y")</f>
        <v>77.820999999999998</v>
      </c>
      <c r="H48" s="13">
        <f>_xll.BDH("ALNY US Equity","OTHER_CURRENT_LIABS_SUB_DETAILED","FQ1 2020","FQ1 2020","Currency=USD","Period=FQ","BEST_FPERIOD_OVERRIDE=FQ","FILING_STATUS=MR","SCALING_FORMAT=MLN","Sort=A","Dates=H","DateFormat=P","Fill=—","Direction=H","UseDPDF=Y")</f>
        <v>86.043000000000006</v>
      </c>
      <c r="I48" s="13">
        <f>_xll.BDH("ALNY US Equity","OTHER_CURRENT_LIABS_SUB_DETAILED","FQ2 2020","FQ2 2020","Currency=USD","Period=FQ","BEST_FPERIOD_OVERRIDE=FQ","FILING_STATUS=MR","SCALING_FORMAT=MLN","Sort=A","Dates=H","DateFormat=P","Fill=—","Direction=H","UseDPDF=Y")</f>
        <v>113.544</v>
      </c>
      <c r="J48" s="13">
        <f>_xll.BDH("ALNY US Equity","OTHER_CURRENT_LIABS_SUB_DETAILED","FQ3 2020","FQ3 2020","Currency=USD","Period=FQ","BEST_FPERIOD_OVERRIDE=FQ","FILING_STATUS=MR","SCALING_FORMAT=MLN","Sort=A","Dates=H","DateFormat=P","Fill=—","Direction=H","UseDPDF=Y")</f>
        <v>124.917</v>
      </c>
      <c r="K48" s="13">
        <f>_xll.BDH("ALNY US Equity","OTHER_CURRENT_LIABS_SUB_DETAILED","FQ4 2020","FQ4 2020","Currency=USD","Period=FQ","BEST_FPERIOD_OVERRIDE=FQ","FILING_STATUS=MR","SCALING_FORMAT=MLN","Sort=A","Dates=H","DateFormat=P","Fill=—","Direction=H","UseDPDF=Y")</f>
        <v>140.523</v>
      </c>
      <c r="L48" s="13">
        <f>_xll.BDH("ALNY US Equity","OTHER_CURRENT_LIABS_SUB_DETAILED","FQ1 2021","FQ1 2021","Currency=USD","Period=FQ","BEST_FPERIOD_OVERRIDE=FQ","FILING_STATUS=MR","SCALING_FORMAT=MLN","Sort=A","Dates=H","DateFormat=P","Fill=—","Direction=H","UseDPDF=Y")</f>
        <v>130</v>
      </c>
      <c r="M48" s="13">
        <f>_xll.BDH("ALNY US Equity","OTHER_CURRENT_LIABS_SUB_DETAILED","FQ2 2021","FQ2 2021","Currency=USD","Period=FQ","BEST_FPERIOD_OVERRIDE=FQ","FILING_STATUS=MR","SCALING_FORMAT=MLN","Sort=A","Dates=H","DateFormat=P","Fill=—","Direction=H","UseDPDF=Y")</f>
        <v>121.02</v>
      </c>
      <c r="N48" s="13">
        <f>_xll.BDH("ALNY US Equity","OTHER_CURRENT_LIABS_SUB_DETAILED","FQ3 2021","FQ3 2021","Currency=USD","Period=FQ","BEST_FPERIOD_OVERRIDE=FQ","FILING_STATUS=MR","SCALING_FORMAT=MLN","Sort=A","Dates=H","DateFormat=P","Fill=—","Direction=H","UseDPDF=Y")</f>
        <v>141.41999999999999</v>
      </c>
      <c r="O48" s="13">
        <f>_xll.BDH("ALNY US Equity","OTHER_CURRENT_LIABS_SUB_DETAILED","FQ4 2021","FQ4 2021","Currency=USD","Period=FQ","BEST_FPERIOD_OVERRIDE=FQ","FILING_STATUS=MR","SCALING_FORMAT=MLN","Sort=A","Dates=H","DateFormat=P","Fill=—","Direction=H","UseDPDF=Y")</f>
        <v>186.56200000000001</v>
      </c>
      <c r="P48" s="13">
        <f>_xll.BDH("ALNY US Equity","OTHER_CURRENT_LIABS_SUB_DETAILED","FQ1 2022","FQ1 2022","Currency=USD","Period=FQ","BEST_FPERIOD_OVERRIDE=FQ","FILING_STATUS=MR","SCALING_FORMAT=MLN","Sort=A","Dates=H","DateFormat=P","Fill=—","Direction=H","UseDPDF=Y")</f>
        <v>153.821</v>
      </c>
      <c r="Q48" s="13">
        <f>_xll.BDH("ALNY US Equity","OTHER_CURRENT_LIABS_SUB_DETAILED","FQ2 2022","FQ2 2022","Currency=USD","Period=FQ","BEST_FPERIOD_OVERRIDE=FQ","FILING_STATUS=MR","SCALING_FORMAT=MLN","Sort=A","Dates=H","DateFormat=P","Fill=—","Direction=H","UseDPDF=Y")</f>
        <v>142.78800000000001</v>
      </c>
      <c r="R48" s="13">
        <f>_xll.BDH("ALNY US Equity","OTHER_CURRENT_LIABS_SUB_DETAILED","FQ3 2022","FQ3 2022","Currency=USD","Period=FQ","BEST_FPERIOD_OVERRIDE=FQ","FILING_STATUS=MR","SCALING_FORMAT=MLN","Sort=A","Dates=H","DateFormat=P","Fill=—","Direction=H","UseDPDF=Y")</f>
        <v>180.059</v>
      </c>
      <c r="S48" s="13">
        <f>_xll.BDH("ALNY US Equity","OTHER_CURRENT_LIABS_SUB_DETAILED","FQ4 2022","FQ4 2022","Currency=USD","Period=FQ","BEST_FPERIOD_OVERRIDE=FQ","FILING_STATUS=MR","SCALING_FORMAT=MLN","Sort=A","Dates=H","DateFormat=P","Fill=—","Direction=H","UseDPDF=Y")</f>
        <v>82.394000000000005</v>
      </c>
      <c r="T48" s="13">
        <f>_xll.BDH("ALNY US Equity","OTHER_CURRENT_LIABS_SUB_DETAILED","FQ1 2023","FQ1 2023","Currency=USD","Period=FQ","BEST_FPERIOD_OVERRIDE=FQ","FILING_STATUS=MR","SCALING_FORMAT=MLN","Sort=A","Dates=H","DateFormat=P","Fill=—","Direction=H","UseDPDF=Y")</f>
        <v>59.5</v>
      </c>
      <c r="U48" s="13">
        <f>_xll.BDH("ALNY US Equity","OTHER_CURRENT_LIABS_SUB_DETAILED","FQ2 2023","FQ2 2023","Currency=USD","Period=FQ","BEST_FPERIOD_OVERRIDE=FQ","FILING_STATUS=MR","SCALING_FORMAT=MLN","Sort=A","Dates=H","DateFormat=P","Fill=—","Direction=H","UseDPDF=Y")</f>
        <v>88.289000000000001</v>
      </c>
      <c r="V48" s="13">
        <f>_xll.BDH("ALNY US Equity","OTHER_CURRENT_LIABS_SUB_DETAILED","FQ3 2023","FQ3 2023","Currency=USD","Period=FQ","BEST_FPERIOD_OVERRIDE=FQ","FILING_STATUS=MR","SCALING_FORMAT=MLN","Sort=A","Dates=H","DateFormat=P","Fill=—","Direction=H","UseDPDF=Y")</f>
        <v>121.33499999999999</v>
      </c>
      <c r="W48" s="13">
        <f>_xll.BDH("ALNY US Equity","OTHER_CURRENT_LIABS_SUB_DETAILED","FQ4 2023","FQ4 2023","Currency=USD","Period=FQ","BEST_FPERIOD_OVERRIDE=FQ","FILING_STATUS=MR","SCALING_FORMAT=MLN","Sort=A","Dates=H","DateFormat=P","Fill=—","Direction=H","UseDPDF=Y")</f>
        <v>157.744</v>
      </c>
      <c r="X48" s="13">
        <f>_xll.BDH("ALNY US Equity","OTHER_CURRENT_LIABS_SUB_DETAILED","FQ1 2024","FQ1 2024","Currency=USD","Period=FQ","BEST_FPERIOD_OVERRIDE=FQ","FILING_STATUS=MR","SCALING_FORMAT=MLN","Sort=A","Dates=H","DateFormat=P","Fill=—","Direction=H","UseDPDF=Y")</f>
        <v>123.024</v>
      </c>
      <c r="Y48" s="13">
        <f>_xll.BDH("ALNY US Equity","OTHER_CURRENT_LIABS_SUB_DETAILED","FQ2 2024","FQ2 2024","Currency=USD","Period=FQ","BEST_FPERIOD_OVERRIDE=FQ","FILING_STATUS=MR","SCALING_FORMAT=MLN","Sort=A","Dates=H","DateFormat=P","Fill=—","Direction=H","UseDPDF=Y")</f>
        <v>130.97200000000001</v>
      </c>
      <c r="Z48" s="13">
        <f>_xll.BDH("ALNY US Equity","OTHER_CURRENT_LIABS_SUB_DETAILED","FQ3 2024","FQ3 2024","Currency=USD","Period=FQ","BEST_FPERIOD_OVERRIDE=FQ","FILING_STATUS=MR","SCALING_FORMAT=MLN","Sort=A","Dates=H","DateFormat=P","Fill=—","Direction=H","UseDPDF=Y")</f>
        <v>161.54599999999999</v>
      </c>
      <c r="AA48" s="13">
        <f>_xll.BDH("ALNY US Equity","OTHER_CURRENT_LIABS_SUB_DETAILED","FQ4 2024","FQ4 2024","Currency=USD","Period=FQ","BEST_FPERIOD_OVERRIDE=FQ","FILING_STATUS=MR","SCALING_FORMAT=MLN","Sort=A","Dates=H","DateFormat=P","Fill=—","Direction=H","UseDPDF=Y")</f>
        <v>168.499</v>
      </c>
    </row>
    <row r="49" spans="1:27" x14ac:dyDescent="0.25">
      <c r="A49" s="10" t="s">
        <v>750</v>
      </c>
      <c r="B49" s="10" t="s">
        <v>751</v>
      </c>
      <c r="C49" s="13">
        <f>_xll.BDH("ALNY US Equity","ST_DEFERRED_REVENUE","FQ4 2018","FQ4 2018","Currency=USD","Period=FQ","BEST_FPERIOD_OVERRIDE=FQ","FILING_STATUS=MR","SCALING_FORMAT=MLN","Sort=A","Dates=H","DateFormat=P","Fill=—","Direction=H","UseDPDF=Y")</f>
        <v>3.496</v>
      </c>
      <c r="D49" s="13">
        <f>_xll.BDH("ALNY US Equity","ST_DEFERRED_REVENUE","FQ1 2019","FQ1 2019","Currency=USD","Period=FQ","BEST_FPERIOD_OVERRIDE=FQ","FILING_STATUS=MR","SCALING_FORMAT=MLN","Sort=A","Dates=H","DateFormat=P","Fill=—","Direction=H","UseDPDF=Y")</f>
        <v>2.6419999999999999</v>
      </c>
      <c r="E49" s="13">
        <f>_xll.BDH("ALNY US Equity","ST_DEFERRED_REVENUE","FQ2 2019","FQ2 2019","Currency=USD","Period=FQ","BEST_FPERIOD_OVERRIDE=FQ","FILING_STATUS=MR","SCALING_FORMAT=MLN","Sort=A","Dates=H","DateFormat=P","Fill=—","Direction=H","UseDPDF=Y")</f>
        <v>89.242000000000004</v>
      </c>
      <c r="F49" s="13">
        <f>_xll.BDH("ALNY US Equity","ST_DEFERRED_REVENUE","FQ3 2019","FQ3 2019","Currency=USD","Period=FQ","BEST_FPERIOD_OVERRIDE=FQ","FILING_STATUS=MR","SCALING_FORMAT=MLN","Sort=A","Dates=H","DateFormat=P","Fill=—","Direction=H","UseDPDF=Y")</f>
        <v>107.35899999999999</v>
      </c>
      <c r="G49" s="13">
        <f>_xll.BDH("ALNY US Equity","ST_DEFERRED_REVENUE","FQ4 2019","FQ4 2019","Currency=USD","Period=FQ","BEST_FPERIOD_OVERRIDE=FQ","FILING_STATUS=MR","SCALING_FORMAT=MLN","Sort=A","Dates=H","DateFormat=P","Fill=—","Direction=H","UseDPDF=Y")</f>
        <v>77.820999999999998</v>
      </c>
      <c r="H49" s="13">
        <f>_xll.BDH("ALNY US Equity","ST_DEFERRED_REVENUE","FQ1 2020","FQ1 2020","Currency=USD","Period=FQ","BEST_FPERIOD_OVERRIDE=FQ","FILING_STATUS=MR","SCALING_FORMAT=MLN","Sort=A","Dates=H","DateFormat=P","Fill=—","Direction=H","UseDPDF=Y")</f>
        <v>86.043000000000006</v>
      </c>
      <c r="I49" s="13">
        <f>_xll.BDH("ALNY US Equity","ST_DEFERRED_REVENUE","FQ2 2020","FQ2 2020","Currency=USD","Period=FQ","BEST_FPERIOD_OVERRIDE=FQ","FILING_STATUS=MR","SCALING_FORMAT=MLN","Sort=A","Dates=H","DateFormat=P","Fill=—","Direction=H","UseDPDF=Y")</f>
        <v>107.587</v>
      </c>
      <c r="J49" s="13">
        <f>_xll.BDH("ALNY US Equity","ST_DEFERRED_REVENUE","FQ3 2020","FQ3 2020","Currency=USD","Period=FQ","BEST_FPERIOD_OVERRIDE=FQ","FILING_STATUS=MR","SCALING_FORMAT=MLN","Sort=A","Dates=H","DateFormat=P","Fill=—","Direction=H","UseDPDF=Y")</f>
        <v>114.601</v>
      </c>
      <c r="K49" s="13">
        <f>_xll.BDH("ALNY US Equity","ST_DEFERRED_REVENUE","FQ4 2020","FQ4 2020","Currency=USD","Period=FQ","BEST_FPERIOD_OVERRIDE=FQ","FILING_STATUS=MR","SCALING_FORMAT=MLN","Sort=A","Dates=H","DateFormat=P","Fill=—","Direction=H","UseDPDF=Y")</f>
        <v>127.20699999999999</v>
      </c>
      <c r="L49" s="13">
        <f>_xll.BDH("ALNY US Equity","ST_DEFERRED_REVENUE","FQ1 2021","FQ1 2021","Currency=USD","Period=FQ","BEST_FPERIOD_OVERRIDE=FQ","FILING_STATUS=MR","SCALING_FORMAT=MLN","Sort=A","Dates=H","DateFormat=P","Fill=—","Direction=H","UseDPDF=Y")</f>
        <v>116.34</v>
      </c>
      <c r="M49" s="13">
        <f>_xll.BDH("ALNY US Equity","ST_DEFERRED_REVENUE","FQ2 2021","FQ2 2021","Currency=USD","Period=FQ","BEST_FPERIOD_OVERRIDE=FQ","FILING_STATUS=MR","SCALING_FORMAT=MLN","Sort=A","Dates=H","DateFormat=P","Fill=—","Direction=H","UseDPDF=Y")</f>
        <v>98.144000000000005</v>
      </c>
      <c r="N49" s="13">
        <f>_xll.BDH("ALNY US Equity","ST_DEFERRED_REVENUE","FQ3 2021","FQ3 2021","Currency=USD","Period=FQ","BEST_FPERIOD_OVERRIDE=FQ","FILING_STATUS=MR","SCALING_FORMAT=MLN","Sort=A","Dates=H","DateFormat=P","Fill=—","Direction=H","UseDPDF=Y")</f>
        <v>115.044</v>
      </c>
      <c r="O49" s="13">
        <f>_xll.BDH("ALNY US Equity","ST_DEFERRED_REVENUE","FQ4 2021","FQ4 2021","Currency=USD","Period=FQ","BEST_FPERIOD_OVERRIDE=FQ","FILING_STATUS=MR","SCALING_FORMAT=MLN","Sort=A","Dates=H","DateFormat=P","Fill=—","Direction=H","UseDPDF=Y")</f>
        <v>149.483</v>
      </c>
      <c r="P49" s="13">
        <f>_xll.BDH("ALNY US Equity","ST_DEFERRED_REVENUE","FQ1 2022","FQ1 2022","Currency=USD","Period=FQ","BEST_FPERIOD_OVERRIDE=FQ","FILING_STATUS=MR","SCALING_FORMAT=MLN","Sort=A","Dates=H","DateFormat=P","Fill=—","Direction=H","UseDPDF=Y")</f>
        <v>131.83799999999999</v>
      </c>
      <c r="Q49" s="13">
        <f>_xll.BDH("ALNY US Equity","ST_DEFERRED_REVENUE","FQ2 2022","FQ2 2022","Currency=USD","Period=FQ","BEST_FPERIOD_OVERRIDE=FQ","FILING_STATUS=MR","SCALING_FORMAT=MLN","Sort=A","Dates=H","DateFormat=P","Fill=—","Direction=H","UseDPDF=Y")</f>
        <v>114.292</v>
      </c>
      <c r="R49" s="13">
        <f>_xll.BDH("ALNY US Equity","ST_DEFERRED_REVENUE","FQ3 2022","FQ3 2022","Currency=USD","Period=FQ","BEST_FPERIOD_OVERRIDE=FQ","FILING_STATUS=MR","SCALING_FORMAT=MLN","Sort=A","Dates=H","DateFormat=P","Fill=—","Direction=H","UseDPDF=Y")</f>
        <v>144.208</v>
      </c>
      <c r="S49" s="13">
        <f>_xll.BDH("ALNY US Equity","ST_DEFERRED_REVENUE","FQ4 2022","FQ4 2022","Currency=USD","Period=FQ","BEST_FPERIOD_OVERRIDE=FQ","FILING_STATUS=MR","SCALING_FORMAT=MLN","Sort=A","Dates=H","DateFormat=P","Fill=—","Direction=H","UseDPDF=Y")</f>
        <v>42.104999999999997</v>
      </c>
      <c r="T49" s="13">
        <f>_xll.BDH("ALNY US Equity","ST_DEFERRED_REVENUE","FQ1 2023","FQ1 2023","Currency=USD","Period=FQ","BEST_FPERIOD_OVERRIDE=FQ","FILING_STATUS=MR","SCALING_FORMAT=MLN","Sort=A","Dates=H","DateFormat=P","Fill=—","Direction=H","UseDPDF=Y")</f>
        <v>35.793999999999997</v>
      </c>
      <c r="U49" s="13">
        <f>_xll.BDH("ALNY US Equity","ST_DEFERRED_REVENUE","FQ2 2023","FQ2 2023","Currency=USD","Period=FQ","BEST_FPERIOD_OVERRIDE=FQ","FILING_STATUS=MR","SCALING_FORMAT=MLN","Sort=A","Dates=H","DateFormat=P","Fill=—","Direction=H","UseDPDF=Y")</f>
        <v>54.639000000000003</v>
      </c>
      <c r="V49" s="13">
        <f>_xll.BDH("ALNY US Equity","ST_DEFERRED_REVENUE","FQ3 2023","FQ3 2023","Currency=USD","Period=FQ","BEST_FPERIOD_OVERRIDE=FQ","FILING_STATUS=MR","SCALING_FORMAT=MLN","Sort=A","Dates=H","DateFormat=P","Fill=—","Direction=H","UseDPDF=Y")</f>
        <v>77.14</v>
      </c>
      <c r="W49" s="13">
        <f>_xll.BDH("ALNY US Equity","ST_DEFERRED_REVENUE","FQ4 2023","FQ4 2023","Currency=USD","Period=FQ","BEST_FPERIOD_OVERRIDE=FQ","FILING_STATUS=MR","SCALING_FORMAT=MLN","Sort=A","Dates=H","DateFormat=P","Fill=—","Direction=H","UseDPDF=Y")</f>
        <v>102.753</v>
      </c>
      <c r="X49" s="13">
        <f>_xll.BDH("ALNY US Equity","ST_DEFERRED_REVENUE","FQ1 2024","FQ1 2024","Currency=USD","Period=FQ","BEST_FPERIOD_OVERRIDE=FQ","FILING_STATUS=MR","SCALING_FORMAT=MLN","Sort=A","Dates=H","DateFormat=P","Fill=—","Direction=H","UseDPDF=Y")</f>
        <v>76.849999999999994</v>
      </c>
      <c r="Y49" s="13">
        <f>_xll.BDH("ALNY US Equity","ST_DEFERRED_REVENUE","FQ2 2024","FQ2 2024","Currency=USD","Period=FQ","BEST_FPERIOD_OVERRIDE=FQ","FILING_STATUS=MR","SCALING_FORMAT=MLN","Sort=A","Dates=H","DateFormat=P","Fill=—","Direction=H","UseDPDF=Y")</f>
        <v>69.009</v>
      </c>
      <c r="Z49" s="13">
        <f>_xll.BDH("ALNY US Equity","ST_DEFERRED_REVENUE","FQ3 2024","FQ3 2024","Currency=USD","Period=FQ","BEST_FPERIOD_OVERRIDE=FQ","FILING_STATUS=MR","SCALING_FORMAT=MLN","Sort=A","Dates=H","DateFormat=P","Fill=—","Direction=H","UseDPDF=Y")</f>
        <v>71.03</v>
      </c>
      <c r="AA49" s="13">
        <f>_xll.BDH("ALNY US Equity","ST_DEFERRED_REVENUE","FQ4 2024","FQ4 2024","Currency=USD","Period=FQ","BEST_FPERIOD_OVERRIDE=FQ","FILING_STATUS=MR","SCALING_FORMAT=MLN","Sort=A","Dates=H","DateFormat=P","Fill=—","Direction=H","UseDPDF=Y")</f>
        <v>55.481000000000002</v>
      </c>
    </row>
    <row r="50" spans="1:27" x14ac:dyDescent="0.25">
      <c r="A50" s="10" t="s">
        <v>752</v>
      </c>
      <c r="B50" s="10" t="s">
        <v>753</v>
      </c>
      <c r="C50" s="13">
        <f>_xll.BDH("ALNY US Equity","BS_DERIV_HEDGING_LIAB_ST","FQ4 2018","FQ4 2018","Currency=USD","Period=FQ","BEST_FPERIOD_OVERRIDE=FQ","FILING_STATUS=MR","SCALING_FORMAT=MLN","Sort=A","Dates=H","DateFormat=P","Fill=—","Direction=H","UseDPDF=Y")</f>
        <v>0</v>
      </c>
      <c r="D50" s="13" t="str">
        <f>_xll.BDH("ALNY US Equity","BS_DERIV_HEDGING_LIAB_ST","FQ1 2019","FQ1 2019","Currency=USD","Period=FQ","BEST_FPERIOD_OVERRIDE=FQ","FILING_STATUS=MR","SCALING_FORMAT=MLN","Sort=A","Dates=H","DateFormat=P","Fill=—","Direction=H","UseDPDF=Y")</f>
        <v>—</v>
      </c>
      <c r="E50" s="13" t="str">
        <f>_xll.BDH("ALNY US Equity","BS_DERIV_HEDGING_LIAB_ST","FQ2 2019","FQ2 2019","Currency=USD","Period=FQ","BEST_FPERIOD_OVERRIDE=FQ","FILING_STATUS=MR","SCALING_FORMAT=MLN","Sort=A","Dates=H","DateFormat=P","Fill=—","Direction=H","UseDPDF=Y")</f>
        <v>—</v>
      </c>
      <c r="F50" s="13" t="str">
        <f>_xll.BDH("ALNY US Equity","BS_DERIV_HEDGING_LIAB_ST","FQ3 2019","FQ3 2019","Currency=USD","Period=FQ","BEST_FPERIOD_OVERRIDE=FQ","FILING_STATUS=MR","SCALING_FORMAT=MLN","Sort=A","Dates=H","DateFormat=P","Fill=—","Direction=H","UseDPDF=Y")</f>
        <v>—</v>
      </c>
      <c r="G50" s="13">
        <f>_xll.BDH("ALNY US Equity","BS_DERIV_HEDGING_LIAB_ST","FQ4 2019","FQ4 2019","Currency=USD","Period=FQ","BEST_FPERIOD_OVERRIDE=FQ","FILING_STATUS=MR","SCALING_FORMAT=MLN","Sort=A","Dates=H","DateFormat=P","Fill=—","Direction=H","UseDPDF=Y")</f>
        <v>0</v>
      </c>
      <c r="H50" s="13" t="str">
        <f>_xll.BDH("ALNY US Equity","BS_DERIV_HEDGING_LIAB_ST","FQ1 2020","FQ1 2020","Currency=USD","Period=FQ","BEST_FPERIOD_OVERRIDE=FQ","FILING_STATUS=MR","SCALING_FORMAT=MLN","Sort=A","Dates=H","DateFormat=P","Fill=—","Direction=H","UseDPDF=Y")</f>
        <v>—</v>
      </c>
      <c r="I50" s="13" t="str">
        <f>_xll.BDH("ALNY US Equity","BS_DERIV_HEDGING_LIAB_ST","FQ2 2020","FQ2 2020","Currency=USD","Period=FQ","BEST_FPERIOD_OVERRIDE=FQ","FILING_STATUS=MR","SCALING_FORMAT=MLN","Sort=A","Dates=H","DateFormat=P","Fill=—","Direction=H","UseDPDF=Y")</f>
        <v>—</v>
      </c>
      <c r="J50" s="13" t="str">
        <f>_xll.BDH("ALNY US Equity","BS_DERIV_HEDGING_LIAB_ST","FQ3 2020","FQ3 2020","Currency=USD","Period=FQ","BEST_FPERIOD_OVERRIDE=FQ","FILING_STATUS=MR","SCALING_FORMAT=MLN","Sort=A","Dates=H","DateFormat=P","Fill=—","Direction=H","UseDPDF=Y")</f>
        <v>—</v>
      </c>
      <c r="K50" s="13">
        <f>_xll.BDH("ALNY US Equity","BS_DERIV_HEDGING_LIAB_ST","FQ4 2020","FQ4 2020","Currency=USD","Period=FQ","BEST_FPERIOD_OVERRIDE=FQ","FILING_STATUS=MR","SCALING_FORMAT=MLN","Sort=A","Dates=H","DateFormat=P","Fill=—","Direction=H","UseDPDF=Y")</f>
        <v>0</v>
      </c>
      <c r="L50" s="13" t="str">
        <f>_xll.BDH("ALNY US Equity","BS_DERIV_HEDGING_LIAB_ST","FQ1 2021","FQ1 2021","Currency=USD","Period=FQ","BEST_FPERIOD_OVERRIDE=FQ","FILING_STATUS=MR","SCALING_FORMAT=MLN","Sort=A","Dates=H","DateFormat=P","Fill=—","Direction=H","UseDPDF=Y")</f>
        <v>—</v>
      </c>
      <c r="M50" s="13" t="str">
        <f>_xll.BDH("ALNY US Equity","BS_DERIV_HEDGING_LIAB_ST","FQ2 2021","FQ2 2021","Currency=USD","Period=FQ","BEST_FPERIOD_OVERRIDE=FQ","FILING_STATUS=MR","SCALING_FORMAT=MLN","Sort=A","Dates=H","DateFormat=P","Fill=—","Direction=H","UseDPDF=Y")</f>
        <v>—</v>
      </c>
      <c r="N50" s="13" t="str">
        <f>_xll.BDH("ALNY US Equity","BS_DERIV_HEDGING_LIAB_ST","FQ3 2021","FQ3 2021","Currency=USD","Period=FQ","BEST_FPERIOD_OVERRIDE=FQ","FILING_STATUS=MR","SCALING_FORMAT=MLN","Sort=A","Dates=H","DateFormat=P","Fill=—","Direction=H","UseDPDF=Y")</f>
        <v>—</v>
      </c>
      <c r="O50" s="13">
        <f>_xll.BDH("ALNY US Equity","BS_DERIV_HEDGING_LIAB_ST","FQ4 2021","FQ4 2021","Currency=USD","Period=FQ","BEST_FPERIOD_OVERRIDE=FQ","FILING_STATUS=MR","SCALING_FORMAT=MLN","Sort=A","Dates=H","DateFormat=P","Fill=—","Direction=H","UseDPDF=Y")</f>
        <v>0</v>
      </c>
      <c r="P50" s="13" t="str">
        <f>_xll.BDH("ALNY US Equity","BS_DERIV_HEDGING_LIAB_ST","FQ1 2022","FQ1 2022","Currency=USD","Period=FQ","BEST_FPERIOD_OVERRIDE=FQ","FILING_STATUS=MR","SCALING_FORMAT=MLN","Sort=A","Dates=H","DateFormat=P","Fill=—","Direction=H","UseDPDF=Y")</f>
        <v>—</v>
      </c>
      <c r="Q50" s="13" t="str">
        <f>_xll.BDH("ALNY US Equity","BS_DERIV_HEDGING_LIAB_ST","FQ2 2022","FQ2 2022","Currency=USD","Period=FQ","BEST_FPERIOD_OVERRIDE=FQ","FILING_STATUS=MR","SCALING_FORMAT=MLN","Sort=A","Dates=H","DateFormat=P","Fill=—","Direction=H","UseDPDF=Y")</f>
        <v>—</v>
      </c>
      <c r="R50" s="13" t="str">
        <f>_xll.BDH("ALNY US Equity","BS_DERIV_HEDGING_LIAB_ST","FQ3 2022","FQ3 2022","Currency=USD","Period=FQ","BEST_FPERIOD_OVERRIDE=FQ","FILING_STATUS=MR","SCALING_FORMAT=MLN","Sort=A","Dates=H","DateFormat=P","Fill=—","Direction=H","UseDPDF=Y")</f>
        <v>—</v>
      </c>
      <c r="S50" s="13">
        <f>_xll.BDH("ALNY US Equity","BS_DERIV_HEDGING_LIAB_ST","FQ4 2022","FQ4 2022","Currency=USD","Period=FQ","BEST_FPERIOD_OVERRIDE=FQ","FILING_STATUS=MR","SCALING_FORMAT=MLN","Sort=A","Dates=H","DateFormat=P","Fill=—","Direction=H","UseDPDF=Y")</f>
        <v>0</v>
      </c>
      <c r="T50" s="13" t="str">
        <f>_xll.BDH("ALNY US Equity","BS_DERIV_HEDGING_LIAB_ST","FQ1 2023","FQ1 2023","Currency=USD","Period=FQ","BEST_FPERIOD_OVERRIDE=FQ","FILING_STATUS=MR","SCALING_FORMAT=MLN","Sort=A","Dates=H","DateFormat=P","Fill=—","Direction=H","UseDPDF=Y")</f>
        <v>—</v>
      </c>
      <c r="U50" s="13" t="str">
        <f>_xll.BDH("ALNY US Equity","BS_DERIV_HEDGING_LIAB_ST","FQ2 2023","FQ2 2023","Currency=USD","Period=FQ","BEST_FPERIOD_OVERRIDE=FQ","FILING_STATUS=MR","SCALING_FORMAT=MLN","Sort=A","Dates=H","DateFormat=P","Fill=—","Direction=H","UseDPDF=Y")</f>
        <v>—</v>
      </c>
      <c r="V50" s="13" t="str">
        <f>_xll.BDH("ALNY US Equity","BS_DERIV_HEDGING_LIAB_ST","FQ3 2023","FQ3 2023","Currency=USD","Period=FQ","BEST_FPERIOD_OVERRIDE=FQ","FILING_STATUS=MR","SCALING_FORMAT=MLN","Sort=A","Dates=H","DateFormat=P","Fill=—","Direction=H","UseDPDF=Y")</f>
        <v>—</v>
      </c>
      <c r="W50" s="13">
        <f>_xll.BDH("ALNY US Equity","BS_DERIV_HEDGING_LIAB_ST","FQ4 2023","FQ4 2023","Currency=USD","Period=FQ","BEST_FPERIOD_OVERRIDE=FQ","FILING_STATUS=MR","SCALING_FORMAT=MLN","Sort=A","Dates=H","DateFormat=P","Fill=—","Direction=H","UseDPDF=Y")</f>
        <v>0</v>
      </c>
      <c r="X50" s="13" t="str">
        <f>_xll.BDH("ALNY US Equity","BS_DERIV_HEDGING_LIAB_ST","FQ1 2024","FQ1 2024","Currency=USD","Period=FQ","BEST_FPERIOD_OVERRIDE=FQ","FILING_STATUS=MR","SCALING_FORMAT=MLN","Sort=A","Dates=H","DateFormat=P","Fill=—","Direction=H","UseDPDF=Y")</f>
        <v>—</v>
      </c>
      <c r="Y50" s="13" t="str">
        <f>_xll.BDH("ALNY US Equity","BS_DERIV_HEDGING_LIAB_ST","FQ2 2024","FQ2 2024","Currency=USD","Period=FQ","BEST_FPERIOD_OVERRIDE=FQ","FILING_STATUS=MR","SCALING_FORMAT=MLN","Sort=A","Dates=H","DateFormat=P","Fill=—","Direction=H","UseDPDF=Y")</f>
        <v>—</v>
      </c>
      <c r="Z50" s="13" t="str">
        <f>_xll.BDH("ALNY US Equity","BS_DERIV_HEDGING_LIAB_ST","FQ3 2024","FQ3 2024","Currency=USD","Period=FQ","BEST_FPERIOD_OVERRIDE=FQ","FILING_STATUS=MR","SCALING_FORMAT=MLN","Sort=A","Dates=H","DateFormat=P","Fill=—","Direction=H","UseDPDF=Y")</f>
        <v>—</v>
      </c>
      <c r="AA50" s="13">
        <f>_xll.BDH("ALNY US Equity","BS_DERIV_HEDGING_LIAB_ST","FQ4 2024","FQ4 2024","Currency=USD","Period=FQ","BEST_FPERIOD_OVERRIDE=FQ","FILING_STATUS=MR","SCALING_FORMAT=MLN","Sort=A","Dates=H","DateFormat=P","Fill=—","Direction=H","UseDPDF=Y")</f>
        <v>0</v>
      </c>
    </row>
    <row r="51" spans="1:27" x14ac:dyDescent="0.25">
      <c r="A51" s="10" t="s">
        <v>754</v>
      </c>
      <c r="B51" s="10" t="s">
        <v>755</v>
      </c>
      <c r="C51" s="13">
        <f>_xll.BDH("ALNY US Equity","OTHER_CURRENT_LIABS_DETAILED","FQ4 2018","FQ4 2018","Currency=USD","Period=FQ","BEST_FPERIOD_OVERRIDE=FQ","FILING_STATUS=MR","SCALING_FORMAT=MLN","Sort=A","Dates=H","DateFormat=P","Fill=—","Direction=H","UseDPDF=Y")</f>
        <v>3.5710000000000002</v>
      </c>
      <c r="D51" s="13">
        <f>_xll.BDH("ALNY US Equity","OTHER_CURRENT_LIABS_DETAILED","FQ1 2019","FQ1 2019","Currency=USD","Period=FQ","BEST_FPERIOD_OVERRIDE=FQ","FILING_STATUS=MR","SCALING_FORMAT=MLN","Sort=A","Dates=H","DateFormat=P","Fill=—","Direction=H","UseDPDF=Y")</f>
        <v>0</v>
      </c>
      <c r="E51" s="13">
        <f>_xll.BDH("ALNY US Equity","OTHER_CURRENT_LIABS_DETAILED","FQ2 2019","FQ2 2019","Currency=USD","Period=FQ","BEST_FPERIOD_OVERRIDE=FQ","FILING_STATUS=MR","SCALING_FORMAT=MLN","Sort=A","Dates=H","DateFormat=P","Fill=—","Direction=H","UseDPDF=Y")</f>
        <v>0</v>
      </c>
      <c r="F51" s="13">
        <f>_xll.BDH("ALNY US Equity","OTHER_CURRENT_LIABS_DETAILED","FQ3 2019","FQ3 2019","Currency=USD","Period=FQ","BEST_FPERIOD_OVERRIDE=FQ","FILING_STATUS=MR","SCALING_FORMAT=MLN","Sort=A","Dates=H","DateFormat=P","Fill=—","Direction=H","UseDPDF=Y")</f>
        <v>0</v>
      </c>
      <c r="G51" s="13">
        <f>_xll.BDH("ALNY US Equity","OTHER_CURRENT_LIABS_DETAILED","FQ4 2019","FQ4 2019","Currency=USD","Period=FQ","BEST_FPERIOD_OVERRIDE=FQ","FILING_STATUS=MR","SCALING_FORMAT=MLN","Sort=A","Dates=H","DateFormat=P","Fill=—","Direction=H","UseDPDF=Y")</f>
        <v>0</v>
      </c>
      <c r="H51" s="13">
        <f>_xll.BDH("ALNY US Equity","OTHER_CURRENT_LIABS_DETAILED","FQ1 2020","FQ1 2020","Currency=USD","Period=FQ","BEST_FPERIOD_OVERRIDE=FQ","FILING_STATUS=MR","SCALING_FORMAT=MLN","Sort=A","Dates=H","DateFormat=P","Fill=—","Direction=H","UseDPDF=Y")</f>
        <v>0</v>
      </c>
      <c r="I51" s="13">
        <f>_xll.BDH("ALNY US Equity","OTHER_CURRENT_LIABS_DETAILED","FQ2 2020","FQ2 2020","Currency=USD","Period=FQ","BEST_FPERIOD_OVERRIDE=FQ","FILING_STATUS=MR","SCALING_FORMAT=MLN","Sort=A","Dates=H","DateFormat=P","Fill=—","Direction=H","UseDPDF=Y")</f>
        <v>5.9569999999999999</v>
      </c>
      <c r="J51" s="13">
        <f>_xll.BDH("ALNY US Equity","OTHER_CURRENT_LIABS_DETAILED","FQ3 2020","FQ3 2020","Currency=USD","Period=FQ","BEST_FPERIOD_OVERRIDE=FQ","FILING_STATUS=MR","SCALING_FORMAT=MLN","Sort=A","Dates=H","DateFormat=P","Fill=—","Direction=H","UseDPDF=Y")</f>
        <v>10.316000000000001</v>
      </c>
      <c r="K51" s="13">
        <f>_xll.BDH("ALNY US Equity","OTHER_CURRENT_LIABS_DETAILED","FQ4 2020","FQ4 2020","Currency=USD","Period=FQ","BEST_FPERIOD_OVERRIDE=FQ","FILING_STATUS=MR","SCALING_FORMAT=MLN","Sort=A","Dates=H","DateFormat=P","Fill=—","Direction=H","UseDPDF=Y")</f>
        <v>13.316000000000001</v>
      </c>
      <c r="L51" s="13">
        <f>_xll.BDH("ALNY US Equity","OTHER_CURRENT_LIABS_DETAILED","FQ1 2021","FQ1 2021","Currency=USD","Period=FQ","BEST_FPERIOD_OVERRIDE=FQ","FILING_STATUS=MR","SCALING_FORMAT=MLN","Sort=A","Dates=H","DateFormat=P","Fill=—","Direction=H","UseDPDF=Y")</f>
        <v>13.66</v>
      </c>
      <c r="M51" s="13">
        <f>_xll.BDH("ALNY US Equity","OTHER_CURRENT_LIABS_DETAILED","FQ2 2021","FQ2 2021","Currency=USD","Period=FQ","BEST_FPERIOD_OVERRIDE=FQ","FILING_STATUS=MR","SCALING_FORMAT=MLN","Sort=A","Dates=H","DateFormat=P","Fill=—","Direction=H","UseDPDF=Y")</f>
        <v>22.876000000000001</v>
      </c>
      <c r="N51" s="13">
        <f>_xll.BDH("ALNY US Equity","OTHER_CURRENT_LIABS_DETAILED","FQ3 2021","FQ3 2021","Currency=USD","Period=FQ","BEST_FPERIOD_OVERRIDE=FQ","FILING_STATUS=MR","SCALING_FORMAT=MLN","Sort=A","Dates=H","DateFormat=P","Fill=—","Direction=H","UseDPDF=Y")</f>
        <v>26.376000000000001</v>
      </c>
      <c r="O51" s="13">
        <f>_xll.BDH("ALNY US Equity","OTHER_CURRENT_LIABS_DETAILED","FQ4 2021","FQ4 2021","Currency=USD","Period=FQ","BEST_FPERIOD_OVERRIDE=FQ","FILING_STATUS=MR","SCALING_FORMAT=MLN","Sort=A","Dates=H","DateFormat=P","Fill=—","Direction=H","UseDPDF=Y")</f>
        <v>37.079000000000001</v>
      </c>
      <c r="P51" s="13">
        <f>_xll.BDH("ALNY US Equity","OTHER_CURRENT_LIABS_DETAILED","FQ1 2022","FQ1 2022","Currency=USD","Period=FQ","BEST_FPERIOD_OVERRIDE=FQ","FILING_STATUS=MR","SCALING_FORMAT=MLN","Sort=A","Dates=H","DateFormat=P","Fill=—","Direction=H","UseDPDF=Y")</f>
        <v>21.983000000000001</v>
      </c>
      <c r="Q51" s="13">
        <f>_xll.BDH("ALNY US Equity","OTHER_CURRENT_LIABS_DETAILED","FQ2 2022","FQ2 2022","Currency=USD","Period=FQ","BEST_FPERIOD_OVERRIDE=FQ","FILING_STATUS=MR","SCALING_FORMAT=MLN","Sort=A","Dates=H","DateFormat=P","Fill=—","Direction=H","UseDPDF=Y")</f>
        <v>28.495999999999999</v>
      </c>
      <c r="R51" s="13">
        <f>_xll.BDH("ALNY US Equity","OTHER_CURRENT_LIABS_DETAILED","FQ3 2022","FQ3 2022","Currency=USD","Period=FQ","BEST_FPERIOD_OVERRIDE=FQ","FILING_STATUS=MR","SCALING_FORMAT=MLN","Sort=A","Dates=H","DateFormat=P","Fill=—","Direction=H","UseDPDF=Y")</f>
        <v>35.850999999999999</v>
      </c>
      <c r="S51" s="13">
        <f>_xll.BDH("ALNY US Equity","OTHER_CURRENT_LIABS_DETAILED","FQ4 2022","FQ4 2022","Currency=USD","Period=FQ","BEST_FPERIOD_OVERRIDE=FQ","FILING_STATUS=MR","SCALING_FORMAT=MLN","Sort=A","Dates=H","DateFormat=P","Fill=—","Direction=H","UseDPDF=Y")</f>
        <v>40.289000000000001</v>
      </c>
      <c r="T51" s="13">
        <f>_xll.BDH("ALNY US Equity","OTHER_CURRENT_LIABS_DETAILED","FQ1 2023","FQ1 2023","Currency=USD","Period=FQ","BEST_FPERIOD_OVERRIDE=FQ","FILING_STATUS=MR","SCALING_FORMAT=MLN","Sort=A","Dates=H","DateFormat=P","Fill=—","Direction=H","UseDPDF=Y")</f>
        <v>23.706</v>
      </c>
      <c r="U51" s="13">
        <f>_xll.BDH("ALNY US Equity","OTHER_CURRENT_LIABS_DETAILED","FQ2 2023","FQ2 2023","Currency=USD","Period=FQ","BEST_FPERIOD_OVERRIDE=FQ","FILING_STATUS=MR","SCALING_FORMAT=MLN","Sort=A","Dates=H","DateFormat=P","Fill=—","Direction=H","UseDPDF=Y")</f>
        <v>33.65</v>
      </c>
      <c r="V51" s="13">
        <f>_xll.BDH("ALNY US Equity","OTHER_CURRENT_LIABS_DETAILED","FQ3 2023","FQ3 2023","Currency=USD","Period=FQ","BEST_FPERIOD_OVERRIDE=FQ","FILING_STATUS=MR","SCALING_FORMAT=MLN","Sort=A","Dates=H","DateFormat=P","Fill=—","Direction=H","UseDPDF=Y")</f>
        <v>44.195</v>
      </c>
      <c r="W51" s="13">
        <f>_xll.BDH("ALNY US Equity","OTHER_CURRENT_LIABS_DETAILED","FQ4 2023","FQ4 2023","Currency=USD","Period=FQ","BEST_FPERIOD_OVERRIDE=FQ","FILING_STATUS=MR","SCALING_FORMAT=MLN","Sort=A","Dates=H","DateFormat=P","Fill=—","Direction=H","UseDPDF=Y")</f>
        <v>54.991</v>
      </c>
      <c r="X51" s="13">
        <f>_xll.BDH("ALNY US Equity","OTHER_CURRENT_LIABS_DETAILED","FQ1 2024","FQ1 2024","Currency=USD","Period=FQ","BEST_FPERIOD_OVERRIDE=FQ","FILING_STATUS=MR","SCALING_FORMAT=MLN","Sort=A","Dates=H","DateFormat=P","Fill=—","Direction=H","UseDPDF=Y")</f>
        <v>46.173999999999999</v>
      </c>
      <c r="Y51" s="13">
        <f>_xll.BDH("ALNY US Equity","OTHER_CURRENT_LIABS_DETAILED","FQ2 2024","FQ2 2024","Currency=USD","Period=FQ","BEST_FPERIOD_OVERRIDE=FQ","FILING_STATUS=MR","SCALING_FORMAT=MLN","Sort=A","Dates=H","DateFormat=P","Fill=—","Direction=H","UseDPDF=Y")</f>
        <v>61.963000000000001</v>
      </c>
      <c r="Z51" s="13">
        <f>_xll.BDH("ALNY US Equity","OTHER_CURRENT_LIABS_DETAILED","FQ3 2024","FQ3 2024","Currency=USD","Period=FQ","BEST_FPERIOD_OVERRIDE=FQ","FILING_STATUS=MR","SCALING_FORMAT=MLN","Sort=A","Dates=H","DateFormat=P","Fill=—","Direction=H","UseDPDF=Y")</f>
        <v>90.516000000000005</v>
      </c>
      <c r="AA51" s="13">
        <f>_xll.BDH("ALNY US Equity","OTHER_CURRENT_LIABS_DETAILED","FQ4 2024","FQ4 2024","Currency=USD","Period=FQ","BEST_FPERIOD_OVERRIDE=FQ","FILING_STATUS=MR","SCALING_FORMAT=MLN","Sort=A","Dates=H","DateFormat=P","Fill=—","Direction=H","UseDPDF=Y")</f>
        <v>113.018</v>
      </c>
    </row>
    <row r="52" spans="1:27" x14ac:dyDescent="0.25">
      <c r="A52" s="6" t="s">
        <v>114</v>
      </c>
      <c r="B52" s="6" t="s">
        <v>115</v>
      </c>
      <c r="C52" s="19">
        <f>_xll.BDH("ALNY US Equity","BS_CUR_LIAB","FQ4 2018","FQ4 2018","Currency=USD","Period=FQ","BEST_FPERIOD_OVERRIDE=FQ","FILING_STATUS=MR","SCALING_FORMAT=MLN","Sort=A","Dates=H","DateFormat=P","Fill=—","Direction=H","UseDPDF=Y")</f>
        <v>179.494</v>
      </c>
      <c r="D52" s="19">
        <f>_xll.BDH("ALNY US Equity","BS_CUR_LIAB","FQ1 2019","FQ1 2019","Currency=USD","Period=FQ","BEST_FPERIOD_OVERRIDE=FQ","FILING_STATUS=MR","SCALING_FORMAT=MLN","Sort=A","Dates=H","DateFormat=P","Fill=—","Direction=H","UseDPDF=Y")</f>
        <v>149.16300000000001</v>
      </c>
      <c r="E52" s="19">
        <f>_xll.BDH("ALNY US Equity","BS_CUR_LIAB","FQ2 2019","FQ2 2019","Currency=USD","Period=FQ","BEST_FPERIOD_OVERRIDE=FQ","FILING_STATUS=MR","SCALING_FORMAT=MLN","Sort=A","Dates=H","DateFormat=P","Fill=—","Direction=H","UseDPDF=Y")</f>
        <v>328.60399999999998</v>
      </c>
      <c r="F52" s="19">
        <f>_xll.BDH("ALNY US Equity","BS_CUR_LIAB","FQ3 2019","FQ3 2019","Currency=USD","Period=FQ","BEST_FPERIOD_OVERRIDE=FQ","FILING_STATUS=MR","SCALING_FORMAT=MLN","Sort=A","Dates=H","DateFormat=P","Fill=—","Direction=H","UseDPDF=Y")</f>
        <v>352.86399999999998</v>
      </c>
      <c r="G52" s="19">
        <f>_xll.BDH("ALNY US Equity","BS_CUR_LIAB","FQ4 2019","FQ4 2019","Currency=USD","Period=FQ","BEST_FPERIOD_OVERRIDE=FQ","FILING_STATUS=MR","SCALING_FORMAT=MLN","Sort=A","Dates=H","DateFormat=P","Fill=—","Direction=H","UseDPDF=Y")</f>
        <v>352.59399999999999</v>
      </c>
      <c r="H52" s="19">
        <f>_xll.BDH("ALNY US Equity","BS_CUR_LIAB","FQ1 2020","FQ1 2020","Currency=USD","Period=FQ","BEST_FPERIOD_OVERRIDE=FQ","FILING_STATUS=MR","SCALING_FORMAT=MLN","Sort=A","Dates=H","DateFormat=P","Fill=—","Direction=H","UseDPDF=Y")</f>
        <v>338.791</v>
      </c>
      <c r="I52" s="19">
        <f>_xll.BDH("ALNY US Equity","BS_CUR_LIAB","FQ2 2020","FQ2 2020","Currency=USD","Period=FQ","BEST_FPERIOD_OVERRIDE=FQ","FILING_STATUS=MR","SCALING_FORMAT=MLN","Sort=A","Dates=H","DateFormat=P","Fill=—","Direction=H","UseDPDF=Y")</f>
        <v>384.30200000000002</v>
      </c>
      <c r="J52" s="19">
        <f>_xll.BDH("ALNY US Equity","BS_CUR_LIAB","FQ3 2020","FQ3 2020","Currency=USD","Period=FQ","BEST_FPERIOD_OVERRIDE=FQ","FILING_STATUS=MR","SCALING_FORMAT=MLN","Sort=A","Dates=H","DateFormat=P","Fill=—","Direction=H","UseDPDF=Y")</f>
        <v>480.24099999999999</v>
      </c>
      <c r="K52" s="19">
        <f>_xll.BDH("ALNY US Equity","BS_CUR_LIAB","FQ4 2020","FQ4 2020","Currency=USD","Period=FQ","BEST_FPERIOD_OVERRIDE=FQ","FILING_STATUS=MR","SCALING_FORMAT=MLN","Sort=A","Dates=H","DateFormat=P","Fill=—","Direction=H","UseDPDF=Y")</f>
        <v>585.27</v>
      </c>
      <c r="L52" s="19">
        <f>_xll.BDH("ALNY US Equity","BS_CUR_LIAB","FQ1 2021","FQ1 2021","Currency=USD","Period=FQ","BEST_FPERIOD_OVERRIDE=FQ","FILING_STATUS=MR","SCALING_FORMAT=MLN","Sort=A","Dates=H","DateFormat=P","Fill=—","Direction=H","UseDPDF=Y")</f>
        <v>494.82499999999999</v>
      </c>
      <c r="M52" s="19">
        <f>_xll.BDH("ALNY US Equity","BS_CUR_LIAB","FQ2 2021","FQ2 2021","Currency=USD","Period=FQ","BEST_FPERIOD_OVERRIDE=FQ","FILING_STATUS=MR","SCALING_FORMAT=MLN","Sort=A","Dates=H","DateFormat=P","Fill=—","Direction=H","UseDPDF=Y")</f>
        <v>554.64800000000002</v>
      </c>
      <c r="N52" s="19">
        <f>_xll.BDH("ALNY US Equity","BS_CUR_LIAB","FQ3 2021","FQ3 2021","Currency=USD","Period=FQ","BEST_FPERIOD_OVERRIDE=FQ","FILING_STATUS=MR","SCALING_FORMAT=MLN","Sort=A","Dates=H","DateFormat=P","Fill=—","Direction=H","UseDPDF=Y")</f>
        <v>610.65599999999995</v>
      </c>
      <c r="O52" s="19">
        <f>_xll.BDH("ALNY US Equity","BS_CUR_LIAB","FQ4 2021","FQ4 2021","Currency=USD","Period=FQ","BEST_FPERIOD_OVERRIDE=FQ","FILING_STATUS=MR","SCALING_FORMAT=MLN","Sort=A","Dates=H","DateFormat=P","Fill=—","Direction=H","UseDPDF=Y")</f>
        <v>695.71</v>
      </c>
      <c r="P52" s="19">
        <f>_xll.BDH("ALNY US Equity","BS_CUR_LIAB","FQ1 2022","FQ1 2022","Currency=USD","Period=FQ","BEST_FPERIOD_OVERRIDE=FQ","FILING_STATUS=MR","SCALING_FORMAT=MLN","Sort=A","Dates=H","DateFormat=P","Fill=—","Direction=H","UseDPDF=Y")</f>
        <v>605.96299999999997</v>
      </c>
      <c r="Q52" s="19">
        <f>_xll.BDH("ALNY US Equity","BS_CUR_LIAB","FQ2 2022","FQ2 2022","Currency=USD","Period=FQ","BEST_FPERIOD_OVERRIDE=FQ","FILING_STATUS=MR","SCALING_FORMAT=MLN","Sort=A","Dates=H","DateFormat=P","Fill=—","Direction=H","UseDPDF=Y")</f>
        <v>657.68499999999995</v>
      </c>
      <c r="R52" s="19">
        <f>_xll.BDH("ALNY US Equity","BS_CUR_LIAB","FQ3 2022","FQ3 2022","Currency=USD","Period=FQ","BEST_FPERIOD_OVERRIDE=FQ","FILING_STATUS=MR","SCALING_FORMAT=MLN","Sort=A","Dates=H","DateFormat=P","Fill=—","Direction=H","UseDPDF=Y")</f>
        <v>772.79100000000005</v>
      </c>
      <c r="S52" s="19">
        <f>_xll.BDH("ALNY US Equity","BS_CUR_LIAB","FQ4 2022","FQ4 2022","Currency=USD","Period=FQ","BEST_FPERIOD_OVERRIDE=FQ","FILING_STATUS=MR","SCALING_FORMAT=MLN","Sort=A","Dates=H","DateFormat=P","Fill=—","Direction=H","UseDPDF=Y")</f>
        <v>767.91499999999996</v>
      </c>
      <c r="T52" s="19">
        <f>_xll.BDH("ALNY US Equity","BS_CUR_LIAB","FQ1 2023","FQ1 2023","Currency=USD","Period=FQ","BEST_FPERIOD_OVERRIDE=FQ","FILING_STATUS=MR","SCALING_FORMAT=MLN","Sort=A","Dates=H","DateFormat=P","Fill=—","Direction=H","UseDPDF=Y")</f>
        <v>673.39099999999996</v>
      </c>
      <c r="U52" s="19">
        <f>_xll.BDH("ALNY US Equity","BS_CUR_LIAB","FQ2 2023","FQ2 2023","Currency=USD","Period=FQ","BEST_FPERIOD_OVERRIDE=FQ","FILING_STATUS=MR","SCALING_FORMAT=MLN","Sort=A","Dates=H","DateFormat=P","Fill=—","Direction=H","UseDPDF=Y")</f>
        <v>788.63900000000001</v>
      </c>
      <c r="V52" s="19">
        <f>_xll.BDH("ALNY US Equity","BS_CUR_LIAB","FQ3 2023","FQ3 2023","Currency=USD","Period=FQ","BEST_FPERIOD_OVERRIDE=FQ","FILING_STATUS=MR","SCALING_FORMAT=MLN","Sort=A","Dates=H","DateFormat=P","Fill=—","Direction=H","UseDPDF=Y")</f>
        <v>949.78499999999997</v>
      </c>
      <c r="W52" s="19">
        <f>_xll.BDH("ALNY US Equity","BS_CUR_LIAB","FQ4 2023","FQ4 2023","Currency=USD","Period=FQ","BEST_FPERIOD_OVERRIDE=FQ","FILING_STATUS=MR","SCALING_FORMAT=MLN","Sort=A","Dates=H","DateFormat=P","Fill=—","Direction=H","UseDPDF=Y")</f>
        <v>967.78599999999994</v>
      </c>
      <c r="X52" s="19">
        <f>_xll.BDH("ALNY US Equity","BS_CUR_LIAB","FQ1 2024","FQ1 2024","Currency=USD","Period=FQ","BEST_FPERIOD_OVERRIDE=FQ","FILING_STATUS=MR","SCALING_FORMAT=MLN","Sort=A","Dates=H","DateFormat=P","Fill=—","Direction=H","UseDPDF=Y")</f>
        <v>941.70899999999995</v>
      </c>
      <c r="Y52" s="19">
        <f>_xll.BDH("ALNY US Equity","BS_CUR_LIAB","FQ2 2024","FQ2 2024","Currency=USD","Period=FQ","BEST_FPERIOD_OVERRIDE=FQ","FILING_STATUS=MR","SCALING_FORMAT=MLN","Sort=A","Dates=H","DateFormat=P","Fill=—","Direction=H","UseDPDF=Y")</f>
        <v>1055.251</v>
      </c>
      <c r="Z52" s="19">
        <f>_xll.BDH("ALNY US Equity","BS_CUR_LIAB","FQ3 2024","FQ3 2024","Currency=USD","Period=FQ","BEST_FPERIOD_OVERRIDE=FQ","FILING_STATUS=MR","SCALING_FORMAT=MLN","Sort=A","Dates=H","DateFormat=P","Fill=—","Direction=H","UseDPDF=Y")</f>
        <v>1220.663</v>
      </c>
      <c r="AA52" s="19">
        <f>_xll.BDH("ALNY US Equity","BS_CUR_LIAB","FQ4 2024","FQ4 2024","Currency=USD","Period=FQ","BEST_FPERIOD_OVERRIDE=FQ","FILING_STATUS=MR","SCALING_FORMAT=MLN","Sort=A","Dates=H","DateFormat=P","Fill=—","Direction=H","UseDPDF=Y")</f>
        <v>1186.2719999999999</v>
      </c>
    </row>
    <row r="53" spans="1:27" x14ac:dyDescent="0.25">
      <c r="A53" s="10" t="s">
        <v>756</v>
      </c>
      <c r="B53" s="10" t="s">
        <v>757</v>
      </c>
      <c r="C53" s="13">
        <f>_xll.BDH("ALNY US Equity","BS_LT_BORROW","FQ4 2018","FQ4 2018","Currency=USD","Period=FQ","BEST_FPERIOD_OVERRIDE=FQ","FILING_STATUS=MR","SCALING_FORMAT=MLN","Sort=A","Dates=H","DateFormat=P","Fill=—","Direction=H","UseDPDF=Y")</f>
        <v>30</v>
      </c>
      <c r="D53" s="13">
        <f>_xll.BDH("ALNY US Equity","BS_LT_BORROW","FQ1 2019","FQ1 2019","Currency=USD","Period=FQ","BEST_FPERIOD_OVERRIDE=FQ","FILING_STATUS=MR","SCALING_FORMAT=MLN","Sort=A","Dates=H","DateFormat=P","Fill=—","Direction=H","UseDPDF=Y")</f>
        <v>312.3</v>
      </c>
      <c r="E53" s="13">
        <f>_xll.BDH("ALNY US Equity","BS_LT_BORROW","FQ2 2019","FQ2 2019","Currency=USD","Period=FQ","BEST_FPERIOD_OVERRIDE=FQ","FILING_STATUS=MR","SCALING_FORMAT=MLN","Sort=A","Dates=H","DateFormat=P","Fill=—","Direction=H","UseDPDF=Y")</f>
        <v>307.21100000000001</v>
      </c>
      <c r="F53" s="13">
        <f>_xll.BDH("ALNY US Equity","BS_LT_BORROW","FQ3 2019","FQ3 2019","Currency=USD","Period=FQ","BEST_FPERIOD_OVERRIDE=FQ","FILING_STATUS=MR","SCALING_FORMAT=MLN","Sort=A","Dates=H","DateFormat=P","Fill=—","Direction=H","UseDPDF=Y")</f>
        <v>276.45600000000002</v>
      </c>
      <c r="G53" s="13">
        <f>_xll.BDH("ALNY US Equity","BS_LT_BORROW","FQ4 2019","FQ4 2019","Currency=USD","Period=FQ","BEST_FPERIOD_OVERRIDE=FQ","FILING_STATUS=MR","SCALING_FORMAT=MLN","Sort=A","Dates=H","DateFormat=P","Fill=—","Direction=H","UseDPDF=Y")</f>
        <v>276.13499999999999</v>
      </c>
      <c r="H53" s="13">
        <f>_xll.BDH("ALNY US Equity","BS_LT_BORROW","FQ1 2020","FQ1 2020","Currency=USD","Period=FQ","BEST_FPERIOD_OVERRIDE=FQ","FILING_STATUS=MR","SCALING_FORMAT=MLN","Sort=A","Dates=H","DateFormat=P","Fill=—","Direction=H","UseDPDF=Y")</f>
        <v>275.78199999999998</v>
      </c>
      <c r="I53" s="13">
        <f>_xll.BDH("ALNY US Equity","BS_LT_BORROW","FQ2 2020","FQ2 2020","Currency=USD","Period=FQ","BEST_FPERIOD_OVERRIDE=FQ","FILING_STATUS=MR","SCALING_FORMAT=MLN","Sort=A","Dates=H","DateFormat=P","Fill=—","Direction=H","UseDPDF=Y")</f>
        <v>281.61799999999999</v>
      </c>
      <c r="J53" s="13">
        <f>_xll.BDH("ALNY US Equity","BS_LT_BORROW","FQ3 2020","FQ3 2020","Currency=USD","Period=FQ","BEST_FPERIOD_OVERRIDE=FQ","FILING_STATUS=MR","SCALING_FORMAT=MLN","Sort=A","Dates=H","DateFormat=P","Fill=—","Direction=H","UseDPDF=Y")</f>
        <v>297.262</v>
      </c>
      <c r="K53" s="13">
        <f>_xll.BDH("ALNY US Equity","BS_LT_BORROW","FQ4 2020","FQ4 2020","Currency=USD","Period=FQ","BEST_FPERIOD_OVERRIDE=FQ","FILING_STATUS=MR","SCALING_FORMAT=MLN","Sort=A","Dates=H","DateFormat=P","Fill=—","Direction=H","UseDPDF=Y")</f>
        <v>484.31700000000001</v>
      </c>
      <c r="L53" s="13">
        <f>_xll.BDH("ALNY US Equity","BS_LT_BORROW","FQ1 2021","FQ1 2021","Currency=USD","Period=FQ","BEST_FPERIOD_OVERRIDE=FQ","FILING_STATUS=MR","SCALING_FORMAT=MLN","Sort=A","Dates=H","DateFormat=P","Fill=—","Direction=H","UseDPDF=Y")</f>
        <v>479.60500000000002</v>
      </c>
      <c r="M53" s="13">
        <f>_xll.BDH("ALNY US Equity","BS_LT_BORROW","FQ2 2021","FQ2 2021","Currency=USD","Period=FQ","BEST_FPERIOD_OVERRIDE=FQ","FILING_STATUS=MR","SCALING_FORMAT=MLN","Sort=A","Dates=H","DateFormat=P","Fill=—","Direction=H","UseDPDF=Y")</f>
        <v>721.71</v>
      </c>
      <c r="N53" s="13">
        <f>_xll.BDH("ALNY US Equity","BS_LT_BORROW","FQ3 2021","FQ3 2021","Currency=USD","Period=FQ","BEST_FPERIOD_OVERRIDE=FQ","FILING_STATUS=MR","SCALING_FORMAT=MLN","Sort=A","Dates=H","DateFormat=P","Fill=—","Direction=H","UseDPDF=Y")</f>
        <v>719.82899999999995</v>
      </c>
      <c r="O53" s="13">
        <f>_xll.BDH("ALNY US Equity","BS_LT_BORROW","FQ4 2021","FQ4 2021","Currency=USD","Period=FQ","BEST_FPERIOD_OVERRIDE=FQ","FILING_STATUS=MR","SCALING_FORMAT=MLN","Sort=A","Dates=H","DateFormat=P","Fill=—","Direction=H","UseDPDF=Y")</f>
        <v>957.04399999999998</v>
      </c>
      <c r="P53" s="13">
        <f>_xll.BDH("ALNY US Equity","BS_LT_BORROW","FQ1 2022","FQ1 2022","Currency=USD","Period=FQ","BEST_FPERIOD_OVERRIDE=FQ","FILING_STATUS=MR","SCALING_FORMAT=MLN","Sort=A","Dates=H","DateFormat=P","Fill=—","Direction=H","UseDPDF=Y")</f>
        <v>954.09799999999996</v>
      </c>
      <c r="Q53" s="13">
        <f>_xll.BDH("ALNY US Equity","BS_LT_BORROW","FQ2 2022","FQ2 2022","Currency=USD","Period=FQ","BEST_FPERIOD_OVERRIDE=FQ","FILING_STATUS=MR","SCALING_FORMAT=MLN","Sort=A","Dates=H","DateFormat=P","Fill=—","Direction=H","UseDPDF=Y")</f>
        <v>949.73900000000003</v>
      </c>
      <c r="R53" s="13">
        <f>_xll.BDH("ALNY US Equity","BS_LT_BORROW","FQ3 2022","FQ3 2022","Currency=USD","Period=FQ","BEST_FPERIOD_OVERRIDE=FQ","FILING_STATUS=MR","SCALING_FORMAT=MLN","Sort=A","Dates=H","DateFormat=P","Fill=—","Direction=H","UseDPDF=Y")</f>
        <v>1498.1959999999999</v>
      </c>
      <c r="S53" s="13">
        <f>_xll.BDH("ALNY US Equity","BS_LT_BORROW","FQ4 2022","FQ4 2022","Currency=USD","Period=FQ","BEST_FPERIOD_OVERRIDE=FQ","FILING_STATUS=MR","SCALING_FORMAT=MLN","Sort=A","Dates=H","DateFormat=P","Fill=—","Direction=H","UseDPDF=Y")</f>
        <v>1278.2809999999999</v>
      </c>
      <c r="T53" s="13">
        <f>_xll.BDH("ALNY US Equity","BS_LT_BORROW","FQ1 2023","FQ1 2023","Currency=USD","Period=FQ","BEST_FPERIOD_OVERRIDE=FQ","FILING_STATUS=MR","SCALING_FORMAT=MLN","Sort=A","Dates=H","DateFormat=P","Fill=—","Direction=H","UseDPDF=Y")</f>
        <v>1277.2860000000001</v>
      </c>
      <c r="U53" s="13">
        <f>_xll.BDH("ALNY US Equity","BS_LT_BORROW","FQ2 2023","FQ2 2023","Currency=USD","Period=FQ","BEST_FPERIOD_OVERRIDE=FQ","FILING_STATUS=MR","SCALING_FORMAT=MLN","Sort=A","Dates=H","DateFormat=P","Fill=—","Direction=H","UseDPDF=Y")</f>
        <v>1272.259</v>
      </c>
      <c r="V53" s="13">
        <f>_xll.BDH("ALNY US Equity","BS_LT_BORROW","FQ3 2023","FQ3 2023","Currency=USD","Period=FQ","BEST_FPERIOD_OVERRIDE=FQ","FILING_STATUS=MR","SCALING_FORMAT=MLN","Sort=A","Dates=H","DateFormat=P","Fill=—","Direction=H","UseDPDF=Y")</f>
        <v>1267.52</v>
      </c>
      <c r="W53" s="13">
        <f>_xll.BDH("ALNY US Equity","BS_LT_BORROW","FQ4 2023","FQ4 2023","Currency=USD","Period=FQ","BEST_FPERIOD_OVERRIDE=FQ","FILING_STATUS=MR","SCALING_FORMAT=MLN","Sort=A","Dates=H","DateFormat=P","Fill=—","Direction=H","UseDPDF=Y")</f>
        <v>1263.877</v>
      </c>
      <c r="X53" s="13">
        <f>_xll.BDH("ALNY US Equity","BS_LT_BORROW","FQ1 2024","FQ1 2024","Currency=USD","Period=FQ","BEST_FPERIOD_OVERRIDE=FQ","FILING_STATUS=MR","SCALING_FORMAT=MLN","Sort=A","Dates=H","DateFormat=P","Fill=—","Direction=H","UseDPDF=Y")</f>
        <v>1259.5609999999999</v>
      </c>
      <c r="Y53" s="13">
        <f>_xll.BDH("ALNY US Equity","BS_LT_BORROW","FQ2 2024","FQ2 2024","Currency=USD","Period=FQ","BEST_FPERIOD_OVERRIDE=FQ","FILING_STATUS=MR","SCALING_FORMAT=MLN","Sort=A","Dates=H","DateFormat=P","Fill=—","Direction=H","UseDPDF=Y")</f>
        <v>2604.62</v>
      </c>
      <c r="Z53" s="13">
        <f>_xll.BDH("ALNY US Equity","BS_LT_BORROW","FQ3 2024","FQ3 2024","Currency=USD","Period=FQ","BEST_FPERIOD_OVERRIDE=FQ","FILING_STATUS=MR","SCALING_FORMAT=MLN","Sort=A","Dates=H","DateFormat=P","Fill=—","Direction=H","UseDPDF=Y")</f>
        <v>1259.684</v>
      </c>
      <c r="AA53" s="13">
        <f>_xll.BDH("ALNY US Equity","BS_LT_BORROW","FQ4 2024","FQ4 2024","Currency=USD","Period=FQ","BEST_FPERIOD_OVERRIDE=FQ","FILING_STATUS=MR","SCALING_FORMAT=MLN","Sort=A","Dates=H","DateFormat=P","Fill=—","Direction=H","UseDPDF=Y")</f>
        <v>1254.162</v>
      </c>
    </row>
    <row r="54" spans="1:27" x14ac:dyDescent="0.25">
      <c r="A54" s="10" t="s">
        <v>758</v>
      </c>
      <c r="B54" s="10" t="s">
        <v>759</v>
      </c>
      <c r="C54" s="13">
        <f>_xll.BDH("ALNY US Equity","LONG_TERM_BORROWINGS_DETAILED","FQ4 2018","FQ4 2018","Currency=USD","Period=FQ","BEST_FPERIOD_OVERRIDE=FQ","FILING_STATUS=MR","SCALING_FORMAT=MLN","Sort=A","Dates=H","DateFormat=P","Fill=—","Direction=H","UseDPDF=Y")</f>
        <v>30</v>
      </c>
      <c r="D54" s="13">
        <f>_xll.BDH("ALNY US Equity","LONG_TERM_BORROWINGS_DETAILED","FQ1 2019","FQ1 2019","Currency=USD","Period=FQ","BEST_FPERIOD_OVERRIDE=FQ","FILING_STATUS=MR","SCALING_FORMAT=MLN","Sort=A","Dates=H","DateFormat=P","Fill=—","Direction=H","UseDPDF=Y")</f>
        <v>30</v>
      </c>
      <c r="E54" s="13">
        <f>_xll.BDH("ALNY US Equity","LONG_TERM_BORROWINGS_DETAILED","FQ2 2019","FQ2 2019","Currency=USD","Period=FQ","BEST_FPERIOD_OVERRIDE=FQ","FILING_STATUS=MR","SCALING_FORMAT=MLN","Sort=A","Dates=H","DateFormat=P","Fill=—","Direction=H","UseDPDF=Y")</f>
        <v>30</v>
      </c>
      <c r="F54" s="13">
        <f>_xll.BDH("ALNY US Equity","LONG_TERM_BORROWINGS_DETAILED","FQ3 2019","FQ3 2019","Currency=USD","Period=FQ","BEST_FPERIOD_OVERRIDE=FQ","FILING_STATUS=MR","SCALING_FORMAT=MLN","Sort=A","Dates=H","DateFormat=P","Fill=—","Direction=H","UseDPDF=Y")</f>
        <v>0</v>
      </c>
      <c r="G54" s="13">
        <f>_xll.BDH("ALNY US Equity","LONG_TERM_BORROWINGS_DETAILED","FQ4 2019","FQ4 2019","Currency=USD","Period=FQ","BEST_FPERIOD_OVERRIDE=FQ","FILING_STATUS=MR","SCALING_FORMAT=MLN","Sort=A","Dates=H","DateFormat=P","Fill=—","Direction=H","UseDPDF=Y")</f>
        <v>0</v>
      </c>
      <c r="H54" s="13">
        <f>_xll.BDH("ALNY US Equity","LONG_TERM_BORROWINGS_DETAILED","FQ1 2020","FQ1 2020","Currency=USD","Period=FQ","BEST_FPERIOD_OVERRIDE=FQ","FILING_STATUS=MR","SCALING_FORMAT=MLN","Sort=A","Dates=H","DateFormat=P","Fill=—","Direction=H","UseDPDF=Y")</f>
        <v>0</v>
      </c>
      <c r="I54" s="13">
        <f>_xll.BDH("ALNY US Equity","LONG_TERM_BORROWINGS_DETAILED","FQ2 2020","FQ2 2020","Currency=USD","Period=FQ","BEST_FPERIOD_OVERRIDE=FQ","FILING_STATUS=MR","SCALING_FORMAT=MLN","Sort=A","Dates=H","DateFormat=P","Fill=—","Direction=H","UseDPDF=Y")</f>
        <v>0</v>
      </c>
      <c r="J54" s="13">
        <f>_xll.BDH("ALNY US Equity","LONG_TERM_BORROWINGS_DETAILED","FQ3 2020","FQ3 2020","Currency=USD","Period=FQ","BEST_FPERIOD_OVERRIDE=FQ","FILING_STATUS=MR","SCALING_FORMAT=MLN","Sort=A","Dates=H","DateFormat=P","Fill=—","Direction=H","UseDPDF=Y")</f>
        <v>0</v>
      </c>
      <c r="K54" s="13">
        <f>_xll.BDH("ALNY US Equity","LONG_TERM_BORROWINGS_DETAILED","FQ4 2020","FQ4 2020","Currency=USD","Period=FQ","BEST_FPERIOD_OVERRIDE=FQ","FILING_STATUS=MR","SCALING_FORMAT=MLN","Sort=A","Dates=H","DateFormat=P","Fill=—","Direction=H","UseDPDF=Y")</f>
        <v>191.27799999999999</v>
      </c>
      <c r="L54" s="13">
        <f>_xll.BDH("ALNY US Equity","LONG_TERM_BORROWINGS_DETAILED","FQ1 2021","FQ1 2021","Currency=USD","Period=FQ","BEST_FPERIOD_OVERRIDE=FQ","FILING_STATUS=MR","SCALING_FORMAT=MLN","Sort=A","Dates=H","DateFormat=P","Fill=—","Direction=H","UseDPDF=Y")</f>
        <v>191.59</v>
      </c>
      <c r="M54" s="13">
        <f>_xll.BDH("ALNY US Equity","LONG_TERM_BORROWINGS_DETAILED","FQ2 2021","FQ2 2021","Currency=USD","Period=FQ","BEST_FPERIOD_OVERRIDE=FQ","FILING_STATUS=MR","SCALING_FORMAT=MLN","Sort=A","Dates=H","DateFormat=P","Fill=—","Direction=H","UseDPDF=Y")</f>
        <v>433.15100000000001</v>
      </c>
      <c r="N54" s="13">
        <f>_xll.BDH("ALNY US Equity","LONG_TERM_BORROWINGS_DETAILED","FQ3 2021","FQ3 2021","Currency=USD","Period=FQ","BEST_FPERIOD_OVERRIDE=FQ","FILING_STATUS=MR","SCALING_FORMAT=MLN","Sort=A","Dates=H","DateFormat=P","Fill=—","Direction=H","UseDPDF=Y")</f>
        <v>433.79899999999998</v>
      </c>
      <c r="O54" s="13">
        <f>_xll.BDH("ALNY US Equity","LONG_TERM_BORROWINGS_DETAILED","FQ4 2021","FQ4 2021","Currency=USD","Period=FQ","BEST_FPERIOD_OVERRIDE=FQ","FILING_STATUS=MR","SCALING_FORMAT=MLN","Sort=A","Dates=H","DateFormat=P","Fill=—","Direction=H","UseDPDF=Y")</f>
        <v>675.697</v>
      </c>
      <c r="P54" s="13">
        <f>_xll.BDH("ALNY US Equity","LONG_TERM_BORROWINGS_DETAILED","FQ1 2022","FQ1 2022","Currency=USD","Period=FQ","BEST_FPERIOD_OVERRIDE=FQ","FILING_STATUS=MR","SCALING_FORMAT=MLN","Sort=A","Dates=H","DateFormat=P","Fill=—","Direction=H","UseDPDF=Y")</f>
        <v>676.71</v>
      </c>
      <c r="Q54" s="13">
        <f>_xll.BDH("ALNY US Equity","LONG_TERM_BORROWINGS_DETAILED","FQ2 2022","FQ2 2022","Currency=USD","Period=FQ","BEST_FPERIOD_OVERRIDE=FQ","FILING_STATUS=MR","SCALING_FORMAT=MLN","Sort=A","Dates=H","DateFormat=P","Fill=—","Direction=H","UseDPDF=Y")</f>
        <v>677.72299999999996</v>
      </c>
      <c r="R54" s="13">
        <f>_xll.BDH("ALNY US Equity","LONG_TERM_BORROWINGS_DETAILED","FQ3 2022","FQ3 2022","Currency=USD","Period=FQ","BEST_FPERIOD_OVERRIDE=FQ","FILING_STATUS=MR","SCALING_FORMAT=MLN","Sort=A","Dates=H","DateFormat=P","Fill=—","Direction=H","UseDPDF=Y")</f>
        <v>1231.873</v>
      </c>
      <c r="S54" s="13">
        <f>_xll.BDH("ALNY US Equity","LONG_TERM_BORROWINGS_DETAILED","FQ4 2022","FQ4 2022","Currency=USD","Period=FQ","BEST_FPERIOD_OVERRIDE=FQ","FILING_STATUS=MR","SCALING_FORMAT=MLN","Sort=A","Dates=H","DateFormat=P","Fill=—","Direction=H","UseDPDF=Y")</f>
        <v>1016.942</v>
      </c>
      <c r="T54" s="13">
        <f>_xll.BDH("ALNY US Equity","LONG_TERM_BORROWINGS_DETAILED","FQ1 2023","FQ1 2023","Currency=USD","Period=FQ","BEST_FPERIOD_OVERRIDE=FQ","FILING_STATUS=MR","SCALING_FORMAT=MLN","Sort=A","Dates=H","DateFormat=P","Fill=—","Direction=H","UseDPDF=Y")</f>
        <v>1017.8869999999999</v>
      </c>
      <c r="U54" s="13">
        <f>_xll.BDH("ALNY US Equity","LONG_TERM_BORROWINGS_DETAILED","FQ2 2023","FQ2 2023","Currency=USD","Period=FQ","BEST_FPERIOD_OVERRIDE=FQ","FILING_STATUS=MR","SCALING_FORMAT=MLN","Sort=A","Dates=H","DateFormat=P","Fill=—","Direction=H","UseDPDF=Y")</f>
        <v>1018.843</v>
      </c>
      <c r="V54" s="13">
        <f>_xll.BDH("ALNY US Equity","LONG_TERM_BORROWINGS_DETAILED","FQ3 2023","FQ3 2023","Currency=USD","Period=FQ","BEST_FPERIOD_OVERRIDE=FQ","FILING_STATUS=MR","SCALING_FORMAT=MLN","Sort=A","Dates=H","DateFormat=P","Fill=—","Direction=H","UseDPDF=Y")</f>
        <v>1019.809</v>
      </c>
      <c r="W54" s="13">
        <f>_xll.BDH("ALNY US Equity","LONG_TERM_BORROWINGS_DETAILED","FQ4 2023","FQ4 2023","Currency=USD","Period=FQ","BEST_FPERIOD_OVERRIDE=FQ","FILING_STATUS=MR","SCALING_FORMAT=MLN","Sort=A","Dates=H","DateFormat=P","Fill=—","Direction=H","UseDPDF=Y")</f>
        <v>1020.776</v>
      </c>
      <c r="X54" s="13">
        <f>_xll.BDH("ALNY US Equity","LONG_TERM_BORROWINGS_DETAILED","FQ1 2024","FQ1 2024","Currency=USD","Period=FQ","BEST_FPERIOD_OVERRIDE=FQ","FILING_STATUS=MR","SCALING_FORMAT=MLN","Sort=A","Dates=H","DateFormat=P","Fill=—","Direction=H","UseDPDF=Y")</f>
        <v>1021.732</v>
      </c>
      <c r="Y54" s="13">
        <f>_xll.BDH("ALNY US Equity","LONG_TERM_BORROWINGS_DETAILED","FQ2 2024","FQ2 2024","Currency=USD","Period=FQ","BEST_FPERIOD_OVERRIDE=FQ","FILING_STATUS=MR","SCALING_FORMAT=MLN","Sort=A","Dates=H","DateFormat=P","Fill=—","Direction=H","UseDPDF=Y")</f>
        <v>2365.268</v>
      </c>
      <c r="Z54" s="13">
        <f>_xll.BDH("ALNY US Equity","LONG_TERM_BORROWINGS_DETAILED","FQ3 2024","FQ3 2024","Currency=USD","Period=FQ","BEST_FPERIOD_OVERRIDE=FQ","FILING_STATUS=MR","SCALING_FORMAT=MLN","Sort=A","Dates=H","DateFormat=P","Fill=—","Direction=H","UseDPDF=Y")</f>
        <v>1023.654</v>
      </c>
      <c r="AA54" s="13">
        <f>_xll.BDH("ALNY US Equity","LONG_TERM_BORROWINGS_DETAILED","FQ4 2024","FQ4 2024","Currency=USD","Period=FQ","BEST_FPERIOD_OVERRIDE=FQ","FILING_STATUS=MR","SCALING_FORMAT=MLN","Sort=A","Dates=H","DateFormat=P","Fill=—","Direction=H","UseDPDF=Y")</f>
        <v>1024.6210000000001</v>
      </c>
    </row>
    <row r="55" spans="1:27" x14ac:dyDescent="0.25">
      <c r="A55" s="10" t="s">
        <v>760</v>
      </c>
      <c r="B55" s="10" t="s">
        <v>761</v>
      </c>
      <c r="C55" s="13">
        <f>_xll.BDH("ALNY US Equity","LT_CAPITALIZED_LEASE_LIABILITIES","FQ4 2018","FQ4 2018","Currency=USD","Period=FQ","BEST_FPERIOD_OVERRIDE=FQ","FILING_STATUS=MR","SCALING_FORMAT=MLN","Sort=A","Dates=H","DateFormat=P","Fill=—","Direction=H","UseDPDF=Y")</f>
        <v>0</v>
      </c>
      <c r="D55" s="13">
        <f>_xll.BDH("ALNY US Equity","LT_CAPITALIZED_LEASE_LIABILITIES","FQ1 2019","FQ1 2019","Currency=USD","Period=FQ","BEST_FPERIOD_OVERRIDE=FQ","FILING_STATUS=MR","SCALING_FORMAT=MLN","Sort=A","Dates=H","DateFormat=P","Fill=—","Direction=H","UseDPDF=Y")</f>
        <v>282.3</v>
      </c>
      <c r="E55" s="13">
        <f>_xll.BDH("ALNY US Equity","LT_CAPITALIZED_LEASE_LIABILITIES","FQ2 2019","FQ2 2019","Currency=USD","Period=FQ","BEST_FPERIOD_OVERRIDE=FQ","FILING_STATUS=MR","SCALING_FORMAT=MLN","Sort=A","Dates=H","DateFormat=P","Fill=—","Direction=H","UseDPDF=Y")</f>
        <v>277.21100000000001</v>
      </c>
      <c r="F55" s="13">
        <f>_xll.BDH("ALNY US Equity","LT_CAPITALIZED_LEASE_LIABILITIES","FQ3 2019","FQ3 2019","Currency=USD","Period=FQ","BEST_FPERIOD_OVERRIDE=FQ","FILING_STATUS=MR","SCALING_FORMAT=MLN","Sort=A","Dates=H","DateFormat=P","Fill=—","Direction=H","UseDPDF=Y")</f>
        <v>276.45600000000002</v>
      </c>
      <c r="G55" s="13">
        <f>_xll.BDH("ALNY US Equity","LT_CAPITALIZED_LEASE_LIABILITIES","FQ4 2019","FQ4 2019","Currency=USD","Period=FQ","BEST_FPERIOD_OVERRIDE=FQ","FILING_STATUS=MR","SCALING_FORMAT=MLN","Sort=A","Dates=H","DateFormat=P","Fill=—","Direction=H","UseDPDF=Y")</f>
        <v>276.13499999999999</v>
      </c>
      <c r="H55" s="13">
        <f>_xll.BDH("ALNY US Equity","LT_CAPITALIZED_LEASE_LIABILITIES","FQ1 2020","FQ1 2020","Currency=USD","Period=FQ","BEST_FPERIOD_OVERRIDE=FQ","FILING_STATUS=MR","SCALING_FORMAT=MLN","Sort=A","Dates=H","DateFormat=P","Fill=—","Direction=H","UseDPDF=Y")</f>
        <v>275.78199999999998</v>
      </c>
      <c r="I55" s="13">
        <f>_xll.BDH("ALNY US Equity","LT_CAPITALIZED_LEASE_LIABILITIES","FQ2 2020","FQ2 2020","Currency=USD","Period=FQ","BEST_FPERIOD_OVERRIDE=FQ","FILING_STATUS=MR","SCALING_FORMAT=MLN","Sort=A","Dates=H","DateFormat=P","Fill=—","Direction=H","UseDPDF=Y")</f>
        <v>281.61799999999999</v>
      </c>
      <c r="J55" s="13">
        <f>_xll.BDH("ALNY US Equity","LT_CAPITALIZED_LEASE_LIABILITIES","FQ3 2020","FQ3 2020","Currency=USD","Period=FQ","BEST_FPERIOD_OVERRIDE=FQ","FILING_STATUS=MR","SCALING_FORMAT=MLN","Sort=A","Dates=H","DateFormat=P","Fill=—","Direction=H","UseDPDF=Y")</f>
        <v>297.262</v>
      </c>
      <c r="K55" s="13">
        <f>_xll.BDH("ALNY US Equity","LT_CAPITALIZED_LEASE_LIABILITIES","FQ4 2020","FQ4 2020","Currency=USD","Period=FQ","BEST_FPERIOD_OVERRIDE=FQ","FILING_STATUS=MR","SCALING_FORMAT=MLN","Sort=A","Dates=H","DateFormat=P","Fill=—","Direction=H","UseDPDF=Y")</f>
        <v>293.03899999999999</v>
      </c>
      <c r="L55" s="13">
        <f>_xll.BDH("ALNY US Equity","LT_CAPITALIZED_LEASE_LIABILITIES","FQ1 2021","FQ1 2021","Currency=USD","Period=FQ","BEST_FPERIOD_OVERRIDE=FQ","FILING_STATUS=MR","SCALING_FORMAT=MLN","Sort=A","Dates=H","DateFormat=P","Fill=—","Direction=H","UseDPDF=Y")</f>
        <v>288.01499999999999</v>
      </c>
      <c r="M55" s="13">
        <f>_xll.BDH("ALNY US Equity","LT_CAPITALIZED_LEASE_LIABILITIES","FQ2 2021","FQ2 2021","Currency=USD","Period=FQ","BEST_FPERIOD_OVERRIDE=FQ","FILING_STATUS=MR","SCALING_FORMAT=MLN","Sort=A","Dates=H","DateFormat=P","Fill=—","Direction=H","UseDPDF=Y")</f>
        <v>288.55900000000003</v>
      </c>
      <c r="N55" s="13">
        <f>_xll.BDH("ALNY US Equity","LT_CAPITALIZED_LEASE_LIABILITIES","FQ3 2021","FQ3 2021","Currency=USD","Period=FQ","BEST_FPERIOD_OVERRIDE=FQ","FILING_STATUS=MR","SCALING_FORMAT=MLN","Sort=A","Dates=H","DateFormat=P","Fill=—","Direction=H","UseDPDF=Y")</f>
        <v>286.02999999999997</v>
      </c>
      <c r="O55" s="13">
        <f>_xll.BDH("ALNY US Equity","LT_CAPITALIZED_LEASE_LIABILITIES","FQ4 2021","FQ4 2021","Currency=USD","Period=FQ","BEST_FPERIOD_OVERRIDE=FQ","FILING_STATUS=MR","SCALING_FORMAT=MLN","Sort=A","Dates=H","DateFormat=P","Fill=—","Direction=H","UseDPDF=Y")</f>
        <v>281.34699999999998</v>
      </c>
      <c r="P55" s="13">
        <f>_xll.BDH("ALNY US Equity","LT_CAPITALIZED_LEASE_LIABILITIES","FQ1 2022","FQ1 2022","Currency=USD","Period=FQ","BEST_FPERIOD_OVERRIDE=FQ","FILING_STATUS=MR","SCALING_FORMAT=MLN","Sort=A","Dates=H","DateFormat=P","Fill=—","Direction=H","UseDPDF=Y")</f>
        <v>277.38799999999998</v>
      </c>
      <c r="Q55" s="13">
        <f>_xll.BDH("ALNY US Equity","LT_CAPITALIZED_LEASE_LIABILITIES","FQ2 2022","FQ2 2022","Currency=USD","Period=FQ","BEST_FPERIOD_OVERRIDE=FQ","FILING_STATUS=MR","SCALING_FORMAT=MLN","Sort=A","Dates=H","DateFormat=P","Fill=—","Direction=H","UseDPDF=Y")</f>
        <v>272.01600000000002</v>
      </c>
      <c r="R55" s="13">
        <f>_xll.BDH("ALNY US Equity","LT_CAPITALIZED_LEASE_LIABILITIES","FQ3 2022","FQ3 2022","Currency=USD","Period=FQ","BEST_FPERIOD_OVERRIDE=FQ","FILING_STATUS=MR","SCALING_FORMAT=MLN","Sort=A","Dates=H","DateFormat=P","Fill=—","Direction=H","UseDPDF=Y")</f>
        <v>266.32299999999998</v>
      </c>
      <c r="S55" s="13">
        <f>_xll.BDH("ALNY US Equity","LT_CAPITALIZED_LEASE_LIABILITIES","FQ4 2022","FQ4 2022","Currency=USD","Period=FQ","BEST_FPERIOD_OVERRIDE=FQ","FILING_STATUS=MR","SCALING_FORMAT=MLN","Sort=A","Dates=H","DateFormat=P","Fill=—","Direction=H","UseDPDF=Y")</f>
        <v>261.339</v>
      </c>
      <c r="T55" s="13">
        <f>_xll.BDH("ALNY US Equity","LT_CAPITALIZED_LEASE_LIABILITIES","FQ1 2023","FQ1 2023","Currency=USD","Period=FQ","BEST_FPERIOD_OVERRIDE=FQ","FILING_STATUS=MR","SCALING_FORMAT=MLN","Sort=A","Dates=H","DateFormat=P","Fill=—","Direction=H","UseDPDF=Y")</f>
        <v>259.399</v>
      </c>
      <c r="U55" s="13">
        <f>_xll.BDH("ALNY US Equity","LT_CAPITALIZED_LEASE_LIABILITIES","FQ2 2023","FQ2 2023","Currency=USD","Period=FQ","BEST_FPERIOD_OVERRIDE=FQ","FILING_STATUS=MR","SCALING_FORMAT=MLN","Sort=A","Dates=H","DateFormat=P","Fill=—","Direction=H","UseDPDF=Y")</f>
        <v>253.416</v>
      </c>
      <c r="V55" s="13">
        <f>_xll.BDH("ALNY US Equity","LT_CAPITALIZED_LEASE_LIABILITIES","FQ3 2023","FQ3 2023","Currency=USD","Period=FQ","BEST_FPERIOD_OVERRIDE=FQ","FILING_STATUS=MR","SCALING_FORMAT=MLN","Sort=A","Dates=H","DateFormat=P","Fill=—","Direction=H","UseDPDF=Y")</f>
        <v>247.71100000000001</v>
      </c>
      <c r="W55" s="13">
        <f>_xll.BDH("ALNY US Equity","LT_CAPITALIZED_LEASE_LIABILITIES","FQ4 2023","FQ4 2023","Currency=USD","Period=FQ","BEST_FPERIOD_OVERRIDE=FQ","FILING_STATUS=MR","SCALING_FORMAT=MLN","Sort=A","Dates=H","DateFormat=P","Fill=—","Direction=H","UseDPDF=Y")</f>
        <v>243.101</v>
      </c>
      <c r="X55" s="13">
        <f>_xll.BDH("ALNY US Equity","LT_CAPITALIZED_LEASE_LIABILITIES","FQ1 2024","FQ1 2024","Currency=USD","Period=FQ","BEST_FPERIOD_OVERRIDE=FQ","FILING_STATUS=MR","SCALING_FORMAT=MLN","Sort=A","Dates=H","DateFormat=P","Fill=—","Direction=H","UseDPDF=Y")</f>
        <v>237.82900000000001</v>
      </c>
      <c r="Y55" s="13">
        <f>_xll.BDH("ALNY US Equity","LT_CAPITALIZED_LEASE_LIABILITIES","FQ2 2024","FQ2 2024","Currency=USD","Period=FQ","BEST_FPERIOD_OVERRIDE=FQ","FILING_STATUS=MR","SCALING_FORMAT=MLN","Sort=A","Dates=H","DateFormat=P","Fill=—","Direction=H","UseDPDF=Y")</f>
        <v>239.352</v>
      </c>
      <c r="Z55" s="13">
        <f>_xll.BDH("ALNY US Equity","LT_CAPITALIZED_LEASE_LIABILITIES","FQ3 2024","FQ3 2024","Currency=USD","Period=FQ","BEST_FPERIOD_OVERRIDE=FQ","FILING_STATUS=MR","SCALING_FORMAT=MLN","Sort=A","Dates=H","DateFormat=P","Fill=—","Direction=H","UseDPDF=Y")</f>
        <v>236.03</v>
      </c>
      <c r="AA55" s="13">
        <f>_xll.BDH("ALNY US Equity","LT_CAPITALIZED_LEASE_LIABILITIES","FQ4 2024","FQ4 2024","Currency=USD","Period=FQ","BEST_FPERIOD_OVERRIDE=FQ","FILING_STATUS=MR","SCALING_FORMAT=MLN","Sort=A","Dates=H","DateFormat=P","Fill=—","Direction=H","UseDPDF=Y")</f>
        <v>229.541</v>
      </c>
    </row>
    <row r="56" spans="1:27" x14ac:dyDescent="0.25">
      <c r="A56" s="11" t="s">
        <v>762</v>
      </c>
      <c r="B56" s="11" t="s">
        <v>763</v>
      </c>
      <c r="C56" s="25">
        <f>_xll.BDH("ALNY US Equity","LT_CAPITAL_LEASE_OBLIGATIONS","FQ4 2018","FQ4 2018","Currency=USD","Period=FQ","BEST_FPERIOD_OVERRIDE=FQ","FILING_STATUS=MR","SCALING_FORMAT=MLN","Sort=A","Dates=H","DateFormat=P","Fill=—","Direction=H","UseDPDF=Y")</f>
        <v>0</v>
      </c>
      <c r="D56" s="25" t="str">
        <f>_xll.BDH("ALNY US Equity","LT_CAPITAL_LEASE_OBLIGATIONS","FQ1 2019","FQ1 2019","Currency=USD","Period=FQ","BEST_FPERIOD_OVERRIDE=FQ","FILING_STATUS=MR","SCALING_FORMAT=MLN","Sort=A","Dates=H","DateFormat=P","Fill=—","Direction=H","UseDPDF=Y")</f>
        <v>—</v>
      </c>
      <c r="E56" s="25" t="str">
        <f>_xll.BDH("ALNY US Equity","LT_CAPITAL_LEASE_OBLIGATIONS","FQ2 2019","FQ2 2019","Currency=USD","Period=FQ","BEST_FPERIOD_OVERRIDE=FQ","FILING_STATUS=MR","SCALING_FORMAT=MLN","Sort=A","Dates=H","DateFormat=P","Fill=—","Direction=H","UseDPDF=Y")</f>
        <v>—</v>
      </c>
      <c r="F56" s="25" t="str">
        <f>_xll.BDH("ALNY US Equity","LT_CAPITAL_LEASE_OBLIGATIONS","FQ3 2019","FQ3 2019","Currency=USD","Period=FQ","BEST_FPERIOD_OVERRIDE=FQ","FILING_STATUS=MR","SCALING_FORMAT=MLN","Sort=A","Dates=H","DateFormat=P","Fill=—","Direction=H","UseDPDF=Y")</f>
        <v>—</v>
      </c>
      <c r="G56" s="25" t="str">
        <f>_xll.BDH("ALNY US Equity","LT_CAPITAL_LEASE_OBLIGATIONS","FQ4 2019","FQ4 2019","Currency=USD","Period=FQ","BEST_FPERIOD_OVERRIDE=FQ","FILING_STATUS=MR","SCALING_FORMAT=MLN","Sort=A","Dates=H","DateFormat=P","Fill=—","Direction=H","UseDPDF=Y")</f>
        <v>—</v>
      </c>
      <c r="H56" s="25" t="str">
        <f>_xll.BDH("ALNY US Equity","LT_CAPITAL_LEASE_OBLIGATIONS","FQ1 2020","FQ1 2020","Currency=USD","Period=FQ","BEST_FPERIOD_OVERRIDE=FQ","FILING_STATUS=MR","SCALING_FORMAT=MLN","Sort=A","Dates=H","DateFormat=P","Fill=—","Direction=H","UseDPDF=Y")</f>
        <v>—</v>
      </c>
      <c r="I56" s="25" t="str">
        <f>_xll.BDH("ALNY US Equity","LT_CAPITAL_LEASE_OBLIGATIONS","FQ2 2020","FQ2 2020","Currency=USD","Period=FQ","BEST_FPERIOD_OVERRIDE=FQ","FILING_STATUS=MR","SCALING_FORMAT=MLN","Sort=A","Dates=H","DateFormat=P","Fill=—","Direction=H","UseDPDF=Y")</f>
        <v>—</v>
      </c>
      <c r="J56" s="25" t="str">
        <f>_xll.BDH("ALNY US Equity","LT_CAPITAL_LEASE_OBLIGATIONS","FQ3 2020","FQ3 2020","Currency=USD","Period=FQ","BEST_FPERIOD_OVERRIDE=FQ","FILING_STATUS=MR","SCALING_FORMAT=MLN","Sort=A","Dates=H","DateFormat=P","Fill=—","Direction=H","UseDPDF=Y")</f>
        <v>—</v>
      </c>
      <c r="K56" s="25" t="str">
        <f>_xll.BDH("ALNY US Equity","LT_CAPITAL_LEASE_OBLIGATIONS","FQ4 2020","FQ4 2020","Currency=USD","Period=FQ","BEST_FPERIOD_OVERRIDE=FQ","FILING_STATUS=MR","SCALING_FORMAT=MLN","Sort=A","Dates=H","DateFormat=P","Fill=—","Direction=H","UseDPDF=Y")</f>
        <v>—</v>
      </c>
      <c r="L56" s="25" t="str">
        <f>_xll.BDH("ALNY US Equity","LT_CAPITAL_LEASE_OBLIGATIONS","FQ1 2021","FQ1 2021","Currency=USD","Period=FQ","BEST_FPERIOD_OVERRIDE=FQ","FILING_STATUS=MR","SCALING_FORMAT=MLN","Sort=A","Dates=H","DateFormat=P","Fill=—","Direction=H","UseDPDF=Y")</f>
        <v>—</v>
      </c>
      <c r="M56" s="25" t="str">
        <f>_xll.BDH("ALNY US Equity","LT_CAPITAL_LEASE_OBLIGATIONS","FQ2 2021","FQ2 2021","Currency=USD","Period=FQ","BEST_FPERIOD_OVERRIDE=FQ","FILING_STATUS=MR","SCALING_FORMAT=MLN","Sort=A","Dates=H","DateFormat=P","Fill=—","Direction=H","UseDPDF=Y")</f>
        <v>—</v>
      </c>
      <c r="N56" s="25" t="str">
        <f>_xll.BDH("ALNY US Equity","LT_CAPITAL_LEASE_OBLIGATIONS","FQ3 2021","FQ3 2021","Currency=USD","Period=FQ","BEST_FPERIOD_OVERRIDE=FQ","FILING_STATUS=MR","SCALING_FORMAT=MLN","Sort=A","Dates=H","DateFormat=P","Fill=—","Direction=H","UseDPDF=Y")</f>
        <v>—</v>
      </c>
      <c r="O56" s="25" t="str">
        <f>_xll.BDH("ALNY US Equity","LT_CAPITAL_LEASE_OBLIGATIONS","FQ4 2021","FQ4 2021","Currency=USD","Period=FQ","BEST_FPERIOD_OVERRIDE=FQ","FILING_STATUS=MR","SCALING_FORMAT=MLN","Sort=A","Dates=H","DateFormat=P","Fill=—","Direction=H","UseDPDF=Y")</f>
        <v>—</v>
      </c>
      <c r="P56" s="25" t="str">
        <f>_xll.BDH("ALNY US Equity","LT_CAPITAL_LEASE_OBLIGATIONS","FQ1 2022","FQ1 2022","Currency=USD","Period=FQ","BEST_FPERIOD_OVERRIDE=FQ","FILING_STATUS=MR","SCALING_FORMAT=MLN","Sort=A","Dates=H","DateFormat=P","Fill=—","Direction=H","UseDPDF=Y")</f>
        <v>—</v>
      </c>
      <c r="Q56" s="25" t="str">
        <f>_xll.BDH("ALNY US Equity","LT_CAPITAL_LEASE_OBLIGATIONS","FQ2 2022","FQ2 2022","Currency=USD","Period=FQ","BEST_FPERIOD_OVERRIDE=FQ","FILING_STATUS=MR","SCALING_FORMAT=MLN","Sort=A","Dates=H","DateFormat=P","Fill=—","Direction=H","UseDPDF=Y")</f>
        <v>—</v>
      </c>
      <c r="R56" s="25" t="str">
        <f>_xll.BDH("ALNY US Equity","LT_CAPITAL_LEASE_OBLIGATIONS","FQ3 2022","FQ3 2022","Currency=USD","Period=FQ","BEST_FPERIOD_OVERRIDE=FQ","FILING_STATUS=MR","SCALING_FORMAT=MLN","Sort=A","Dates=H","DateFormat=P","Fill=—","Direction=H","UseDPDF=Y")</f>
        <v>—</v>
      </c>
      <c r="S56" s="25" t="str">
        <f>_xll.BDH("ALNY US Equity","LT_CAPITAL_LEASE_OBLIGATIONS","FQ4 2022","FQ4 2022","Currency=USD","Period=FQ","BEST_FPERIOD_OVERRIDE=FQ","FILING_STATUS=MR","SCALING_FORMAT=MLN","Sort=A","Dates=H","DateFormat=P","Fill=—","Direction=H","UseDPDF=Y")</f>
        <v>—</v>
      </c>
      <c r="T56" s="25" t="str">
        <f>_xll.BDH("ALNY US Equity","LT_CAPITAL_LEASE_OBLIGATIONS","FQ1 2023","FQ1 2023","Currency=USD","Period=FQ","BEST_FPERIOD_OVERRIDE=FQ","FILING_STATUS=MR","SCALING_FORMAT=MLN","Sort=A","Dates=H","DateFormat=P","Fill=—","Direction=H","UseDPDF=Y")</f>
        <v>—</v>
      </c>
      <c r="U56" s="25" t="str">
        <f>_xll.BDH("ALNY US Equity","LT_CAPITAL_LEASE_OBLIGATIONS","FQ2 2023","FQ2 2023","Currency=USD","Period=FQ","BEST_FPERIOD_OVERRIDE=FQ","FILING_STATUS=MR","SCALING_FORMAT=MLN","Sort=A","Dates=H","DateFormat=P","Fill=—","Direction=H","UseDPDF=Y")</f>
        <v>—</v>
      </c>
      <c r="V56" s="25" t="str">
        <f>_xll.BDH("ALNY US Equity","LT_CAPITAL_LEASE_OBLIGATIONS","FQ3 2023","FQ3 2023","Currency=USD","Period=FQ","BEST_FPERIOD_OVERRIDE=FQ","FILING_STATUS=MR","SCALING_FORMAT=MLN","Sort=A","Dates=H","DateFormat=P","Fill=—","Direction=H","UseDPDF=Y")</f>
        <v>—</v>
      </c>
      <c r="W56" s="25" t="str">
        <f>_xll.BDH("ALNY US Equity","LT_CAPITAL_LEASE_OBLIGATIONS","FQ4 2023","FQ4 2023","Currency=USD","Period=FQ","BEST_FPERIOD_OVERRIDE=FQ","FILING_STATUS=MR","SCALING_FORMAT=MLN","Sort=A","Dates=H","DateFormat=P","Fill=—","Direction=H","UseDPDF=Y")</f>
        <v>—</v>
      </c>
      <c r="X56" s="25" t="str">
        <f>_xll.BDH("ALNY US Equity","LT_CAPITAL_LEASE_OBLIGATIONS","FQ1 2024","FQ1 2024","Currency=USD","Period=FQ","BEST_FPERIOD_OVERRIDE=FQ","FILING_STATUS=MR","SCALING_FORMAT=MLN","Sort=A","Dates=H","DateFormat=P","Fill=—","Direction=H","UseDPDF=Y")</f>
        <v>—</v>
      </c>
      <c r="Y56" s="25" t="str">
        <f>_xll.BDH("ALNY US Equity","LT_CAPITAL_LEASE_OBLIGATIONS","FQ2 2024","FQ2 2024","Currency=USD","Period=FQ","BEST_FPERIOD_OVERRIDE=FQ","FILING_STATUS=MR","SCALING_FORMAT=MLN","Sort=A","Dates=H","DateFormat=P","Fill=—","Direction=H","UseDPDF=Y")</f>
        <v>—</v>
      </c>
      <c r="Z56" s="25" t="str">
        <f>_xll.BDH("ALNY US Equity","LT_CAPITAL_LEASE_OBLIGATIONS","FQ3 2024","FQ3 2024","Currency=USD","Period=FQ","BEST_FPERIOD_OVERRIDE=FQ","FILING_STATUS=MR","SCALING_FORMAT=MLN","Sort=A","Dates=H","DateFormat=P","Fill=—","Direction=H","UseDPDF=Y")</f>
        <v>—</v>
      </c>
      <c r="AA56" s="25" t="str">
        <f>_xll.BDH("ALNY US Equity","LT_CAPITAL_LEASE_OBLIGATIONS","FQ4 2024","FQ4 2024","Currency=USD","Period=FQ","BEST_FPERIOD_OVERRIDE=FQ","FILING_STATUS=MR","SCALING_FORMAT=MLN","Sort=A","Dates=H","DateFormat=P","Fill=—","Direction=H","UseDPDF=Y")</f>
        <v>—</v>
      </c>
    </row>
    <row r="57" spans="1:27" x14ac:dyDescent="0.25">
      <c r="A57" s="11" t="s">
        <v>764</v>
      </c>
      <c r="B57" s="11" t="s">
        <v>765</v>
      </c>
      <c r="C57" s="25" t="str">
        <f>_xll.BDH("ALNY US Equity","BS_LT_OPERATING_LEASE_LIABS","FQ4 2018","FQ4 2018","Currency=USD","Period=FQ","BEST_FPERIOD_OVERRIDE=FQ","FILING_STATUS=MR","SCALING_FORMAT=MLN","Sort=A","Dates=H","DateFormat=P","Fill=—","Direction=H","UseDPDF=Y")</f>
        <v>—</v>
      </c>
      <c r="D57" s="25">
        <f>_xll.BDH("ALNY US Equity","BS_LT_OPERATING_LEASE_LIABS","FQ1 2019","FQ1 2019","Currency=USD","Period=FQ","BEST_FPERIOD_OVERRIDE=FQ","FILING_STATUS=MR","SCALING_FORMAT=MLN","Sort=A","Dates=H","DateFormat=P","Fill=—","Direction=H","UseDPDF=Y")</f>
        <v>282.3</v>
      </c>
      <c r="E57" s="25">
        <f>_xll.BDH("ALNY US Equity","BS_LT_OPERATING_LEASE_LIABS","FQ2 2019","FQ2 2019","Currency=USD","Period=FQ","BEST_FPERIOD_OVERRIDE=FQ","FILING_STATUS=MR","SCALING_FORMAT=MLN","Sort=A","Dates=H","DateFormat=P","Fill=—","Direction=H","UseDPDF=Y")</f>
        <v>277.21100000000001</v>
      </c>
      <c r="F57" s="25">
        <f>_xll.BDH("ALNY US Equity","BS_LT_OPERATING_LEASE_LIABS","FQ3 2019","FQ3 2019","Currency=USD","Period=FQ","BEST_FPERIOD_OVERRIDE=FQ","FILING_STATUS=MR","SCALING_FORMAT=MLN","Sort=A","Dates=H","DateFormat=P","Fill=—","Direction=H","UseDPDF=Y")</f>
        <v>276.45600000000002</v>
      </c>
      <c r="G57" s="25">
        <f>_xll.BDH("ALNY US Equity","BS_LT_OPERATING_LEASE_LIABS","FQ4 2019","FQ4 2019","Currency=USD","Period=FQ","BEST_FPERIOD_OVERRIDE=FQ","FILING_STATUS=MR","SCALING_FORMAT=MLN","Sort=A","Dates=H","DateFormat=P","Fill=—","Direction=H","UseDPDF=Y")</f>
        <v>276.13499999999999</v>
      </c>
      <c r="H57" s="25">
        <f>_xll.BDH("ALNY US Equity","BS_LT_OPERATING_LEASE_LIABS","FQ1 2020","FQ1 2020","Currency=USD","Period=FQ","BEST_FPERIOD_OVERRIDE=FQ","FILING_STATUS=MR","SCALING_FORMAT=MLN","Sort=A","Dates=H","DateFormat=P","Fill=—","Direction=H","UseDPDF=Y")</f>
        <v>275.78199999999998</v>
      </c>
      <c r="I57" s="25">
        <f>_xll.BDH("ALNY US Equity","BS_LT_OPERATING_LEASE_LIABS","FQ2 2020","FQ2 2020","Currency=USD","Period=FQ","BEST_FPERIOD_OVERRIDE=FQ","FILING_STATUS=MR","SCALING_FORMAT=MLN","Sort=A","Dates=H","DateFormat=P","Fill=—","Direction=H","UseDPDF=Y")</f>
        <v>281.61799999999999</v>
      </c>
      <c r="J57" s="25">
        <f>_xll.BDH("ALNY US Equity","BS_LT_OPERATING_LEASE_LIABS","FQ3 2020","FQ3 2020","Currency=USD","Period=FQ","BEST_FPERIOD_OVERRIDE=FQ","FILING_STATUS=MR","SCALING_FORMAT=MLN","Sort=A","Dates=H","DateFormat=P","Fill=—","Direction=H","UseDPDF=Y")</f>
        <v>297.262</v>
      </c>
      <c r="K57" s="25">
        <f>_xll.BDH("ALNY US Equity","BS_LT_OPERATING_LEASE_LIABS","FQ4 2020","FQ4 2020","Currency=USD","Period=FQ","BEST_FPERIOD_OVERRIDE=FQ","FILING_STATUS=MR","SCALING_FORMAT=MLN","Sort=A","Dates=H","DateFormat=P","Fill=—","Direction=H","UseDPDF=Y")</f>
        <v>293.03899999999999</v>
      </c>
      <c r="L57" s="25">
        <f>_xll.BDH("ALNY US Equity","BS_LT_OPERATING_LEASE_LIABS","FQ1 2021","FQ1 2021","Currency=USD","Period=FQ","BEST_FPERIOD_OVERRIDE=FQ","FILING_STATUS=MR","SCALING_FORMAT=MLN","Sort=A","Dates=H","DateFormat=P","Fill=—","Direction=H","UseDPDF=Y")</f>
        <v>288.01499999999999</v>
      </c>
      <c r="M57" s="25">
        <f>_xll.BDH("ALNY US Equity","BS_LT_OPERATING_LEASE_LIABS","FQ2 2021","FQ2 2021","Currency=USD","Period=FQ","BEST_FPERIOD_OVERRIDE=FQ","FILING_STATUS=MR","SCALING_FORMAT=MLN","Sort=A","Dates=H","DateFormat=P","Fill=—","Direction=H","UseDPDF=Y")</f>
        <v>288.55900000000003</v>
      </c>
      <c r="N57" s="25">
        <f>_xll.BDH("ALNY US Equity","BS_LT_OPERATING_LEASE_LIABS","FQ3 2021","FQ3 2021","Currency=USD","Period=FQ","BEST_FPERIOD_OVERRIDE=FQ","FILING_STATUS=MR","SCALING_FORMAT=MLN","Sort=A","Dates=H","DateFormat=P","Fill=—","Direction=H","UseDPDF=Y")</f>
        <v>286.02999999999997</v>
      </c>
      <c r="O57" s="25">
        <f>_xll.BDH("ALNY US Equity","BS_LT_OPERATING_LEASE_LIABS","FQ4 2021","FQ4 2021","Currency=USD","Period=FQ","BEST_FPERIOD_OVERRIDE=FQ","FILING_STATUS=MR","SCALING_FORMAT=MLN","Sort=A","Dates=H","DateFormat=P","Fill=—","Direction=H","UseDPDF=Y")</f>
        <v>281.34699999999998</v>
      </c>
      <c r="P57" s="25">
        <f>_xll.BDH("ALNY US Equity","BS_LT_OPERATING_LEASE_LIABS","FQ1 2022","FQ1 2022","Currency=USD","Period=FQ","BEST_FPERIOD_OVERRIDE=FQ","FILING_STATUS=MR","SCALING_FORMAT=MLN","Sort=A","Dates=H","DateFormat=P","Fill=—","Direction=H","UseDPDF=Y")</f>
        <v>277.38799999999998</v>
      </c>
      <c r="Q57" s="25">
        <f>_xll.BDH("ALNY US Equity","BS_LT_OPERATING_LEASE_LIABS","FQ2 2022","FQ2 2022","Currency=USD","Period=FQ","BEST_FPERIOD_OVERRIDE=FQ","FILING_STATUS=MR","SCALING_FORMAT=MLN","Sort=A","Dates=H","DateFormat=P","Fill=—","Direction=H","UseDPDF=Y")</f>
        <v>272.01600000000002</v>
      </c>
      <c r="R57" s="25">
        <f>_xll.BDH("ALNY US Equity","BS_LT_OPERATING_LEASE_LIABS","FQ3 2022","FQ3 2022","Currency=USD","Period=FQ","BEST_FPERIOD_OVERRIDE=FQ","FILING_STATUS=MR","SCALING_FORMAT=MLN","Sort=A","Dates=H","DateFormat=P","Fill=—","Direction=H","UseDPDF=Y")</f>
        <v>266.32299999999998</v>
      </c>
      <c r="S57" s="25">
        <f>_xll.BDH("ALNY US Equity","BS_LT_OPERATING_LEASE_LIABS","FQ4 2022","FQ4 2022","Currency=USD","Period=FQ","BEST_FPERIOD_OVERRIDE=FQ","FILING_STATUS=MR","SCALING_FORMAT=MLN","Sort=A","Dates=H","DateFormat=P","Fill=—","Direction=H","UseDPDF=Y")</f>
        <v>261.339</v>
      </c>
      <c r="T57" s="25">
        <f>_xll.BDH("ALNY US Equity","BS_LT_OPERATING_LEASE_LIABS","FQ1 2023","FQ1 2023","Currency=USD","Period=FQ","BEST_FPERIOD_OVERRIDE=FQ","FILING_STATUS=MR","SCALING_FORMAT=MLN","Sort=A","Dates=H","DateFormat=P","Fill=—","Direction=H","UseDPDF=Y")</f>
        <v>259.399</v>
      </c>
      <c r="U57" s="25">
        <f>_xll.BDH("ALNY US Equity","BS_LT_OPERATING_LEASE_LIABS","FQ2 2023","FQ2 2023","Currency=USD","Period=FQ","BEST_FPERIOD_OVERRIDE=FQ","FILING_STATUS=MR","SCALING_FORMAT=MLN","Sort=A","Dates=H","DateFormat=P","Fill=—","Direction=H","UseDPDF=Y")</f>
        <v>253.416</v>
      </c>
      <c r="V57" s="25">
        <f>_xll.BDH("ALNY US Equity","BS_LT_OPERATING_LEASE_LIABS","FQ3 2023","FQ3 2023","Currency=USD","Period=FQ","BEST_FPERIOD_OVERRIDE=FQ","FILING_STATUS=MR","SCALING_FORMAT=MLN","Sort=A","Dates=H","DateFormat=P","Fill=—","Direction=H","UseDPDF=Y")</f>
        <v>247.71100000000001</v>
      </c>
      <c r="W57" s="25">
        <f>_xll.BDH("ALNY US Equity","BS_LT_OPERATING_LEASE_LIABS","FQ4 2023","FQ4 2023","Currency=USD","Period=FQ","BEST_FPERIOD_OVERRIDE=FQ","FILING_STATUS=MR","SCALING_FORMAT=MLN","Sort=A","Dates=H","DateFormat=P","Fill=—","Direction=H","UseDPDF=Y")</f>
        <v>243.101</v>
      </c>
      <c r="X57" s="25">
        <f>_xll.BDH("ALNY US Equity","BS_LT_OPERATING_LEASE_LIABS","FQ1 2024","FQ1 2024","Currency=USD","Period=FQ","BEST_FPERIOD_OVERRIDE=FQ","FILING_STATUS=MR","SCALING_FORMAT=MLN","Sort=A","Dates=H","DateFormat=P","Fill=—","Direction=H","UseDPDF=Y")</f>
        <v>237.82900000000001</v>
      </c>
      <c r="Y57" s="25">
        <f>_xll.BDH("ALNY US Equity","BS_LT_OPERATING_LEASE_LIABS","FQ2 2024","FQ2 2024","Currency=USD","Period=FQ","BEST_FPERIOD_OVERRIDE=FQ","FILING_STATUS=MR","SCALING_FORMAT=MLN","Sort=A","Dates=H","DateFormat=P","Fill=—","Direction=H","UseDPDF=Y")</f>
        <v>239.352</v>
      </c>
      <c r="Z57" s="25">
        <f>_xll.BDH("ALNY US Equity","BS_LT_OPERATING_LEASE_LIABS","FQ3 2024","FQ3 2024","Currency=USD","Period=FQ","BEST_FPERIOD_OVERRIDE=FQ","FILING_STATUS=MR","SCALING_FORMAT=MLN","Sort=A","Dates=H","DateFormat=P","Fill=—","Direction=H","UseDPDF=Y")</f>
        <v>236.03</v>
      </c>
      <c r="AA57" s="25">
        <f>_xll.BDH("ALNY US Equity","BS_LT_OPERATING_LEASE_LIABS","FQ4 2024","FQ4 2024","Currency=USD","Period=FQ","BEST_FPERIOD_OVERRIDE=FQ","FILING_STATUS=MR","SCALING_FORMAT=MLN","Sort=A","Dates=H","DateFormat=P","Fill=—","Direction=H","UseDPDF=Y")</f>
        <v>229.541</v>
      </c>
    </row>
    <row r="58" spans="1:27" x14ac:dyDescent="0.25">
      <c r="A58" s="10" t="s">
        <v>766</v>
      </c>
      <c r="B58" s="10" t="s">
        <v>767</v>
      </c>
      <c r="C58" s="13">
        <f>_xll.BDH("ALNY US Equity","OTHER_NONCUR_LIABS_SUB_DETAILED","FQ4 2018","FQ4 2018","Currency=USD","Period=FQ","BEST_FPERIOD_OVERRIDE=FQ","FILING_STATUS=MR","SCALING_FORMAT=MLN","Sort=A","Dates=H","DateFormat=P","Fill=—","Direction=H","UseDPDF=Y")</f>
        <v>63.343000000000004</v>
      </c>
      <c r="D58" s="13">
        <f>_xll.BDH("ALNY US Equity","OTHER_NONCUR_LIABS_SUB_DETAILED","FQ1 2019","FQ1 2019","Currency=USD","Period=FQ","BEST_FPERIOD_OVERRIDE=FQ","FILING_STATUS=MR","SCALING_FORMAT=MLN","Sort=A","Dates=H","DateFormat=P","Fill=—","Direction=H","UseDPDF=Y")</f>
        <v>5.55</v>
      </c>
      <c r="E58" s="13">
        <f>_xll.BDH("ALNY US Equity","OTHER_NONCUR_LIABS_SUB_DETAILED","FQ2 2019","FQ2 2019","Currency=USD","Period=FQ","BEST_FPERIOD_OVERRIDE=FQ","FILING_STATUS=MR","SCALING_FORMAT=MLN","Sort=A","Dates=H","DateFormat=P","Fill=—","Direction=H","UseDPDF=Y")</f>
        <v>323.40100000000001</v>
      </c>
      <c r="F58" s="13">
        <f>_xll.BDH("ALNY US Equity","OTHER_NONCUR_LIABS_SUB_DETAILED","FQ3 2019","FQ3 2019","Currency=USD","Period=FQ","BEST_FPERIOD_OVERRIDE=FQ","FILING_STATUS=MR","SCALING_FORMAT=MLN","Sort=A","Dates=H","DateFormat=P","Fill=—","Direction=H","UseDPDF=Y")</f>
        <v>305.21499999999997</v>
      </c>
      <c r="G58" s="13">
        <f>_xll.BDH("ALNY US Equity","OTHER_NONCUR_LIABS_SUB_DETAILED","FQ4 2019","FQ4 2019","Currency=USD","Period=FQ","BEST_FPERIOD_OVERRIDE=FQ","FILING_STATUS=MR","SCALING_FORMAT=MLN","Sort=A","Dates=H","DateFormat=P","Fill=—","Direction=H","UseDPDF=Y")</f>
        <v>327.71300000000002</v>
      </c>
      <c r="H58" s="13">
        <f>_xll.BDH("ALNY US Equity","OTHER_NONCUR_LIABS_SUB_DETAILED","FQ1 2020","FQ1 2020","Currency=USD","Period=FQ","BEST_FPERIOD_OVERRIDE=FQ","FILING_STATUS=MR","SCALING_FORMAT=MLN","Sort=A","Dates=H","DateFormat=P","Fill=—","Direction=H","UseDPDF=Y")</f>
        <v>315.322</v>
      </c>
      <c r="I58" s="13">
        <f>_xll.BDH("ALNY US Equity","OTHER_NONCUR_LIABS_SUB_DETAILED","FQ2 2020","FQ2 2020","Currency=USD","Period=FQ","BEST_FPERIOD_OVERRIDE=FQ","FILING_STATUS=MR","SCALING_FORMAT=MLN","Sort=A","Dates=H","DateFormat=P","Fill=—","Direction=H","UseDPDF=Y")</f>
        <v>1308.721</v>
      </c>
      <c r="J58" s="13">
        <f>_xll.BDH("ALNY US Equity","OTHER_NONCUR_LIABS_SUB_DETAILED","FQ3 2020","FQ3 2020","Currency=USD","Period=FQ","BEST_FPERIOD_OVERRIDE=FQ","FILING_STATUS=MR","SCALING_FORMAT=MLN","Sort=A","Dates=H","DateFormat=P","Fill=—","Direction=H","UseDPDF=Y")</f>
        <v>1314.7570000000001</v>
      </c>
      <c r="K58" s="13">
        <f>_xll.BDH("ALNY US Equity","OTHER_NONCUR_LIABS_SUB_DETAILED","FQ4 2020","FQ4 2020","Currency=USD","Period=FQ","BEST_FPERIOD_OVERRIDE=FQ","FILING_STATUS=MR","SCALING_FORMAT=MLN","Sort=A","Dates=H","DateFormat=P","Fill=—","Direction=H","UseDPDF=Y")</f>
        <v>1321.2270000000001</v>
      </c>
      <c r="L58" s="13">
        <f>_xll.BDH("ALNY US Equity","OTHER_NONCUR_LIABS_SUB_DETAILED","FQ1 2021","FQ1 2021","Currency=USD","Period=FQ","BEST_FPERIOD_OVERRIDE=FQ","FILING_STATUS=MR","SCALING_FORMAT=MLN","Sort=A","Dates=H","DateFormat=P","Fill=—","Direction=H","UseDPDF=Y")</f>
        <v>1354.6489999999999</v>
      </c>
      <c r="M58" s="13">
        <f>_xll.BDH("ALNY US Equity","OTHER_NONCUR_LIABS_SUB_DETAILED","FQ2 2021","FQ2 2021","Currency=USD","Period=FQ","BEST_FPERIOD_OVERRIDE=FQ","FILING_STATUS=MR","SCALING_FORMAT=MLN","Sort=A","Dates=H","DateFormat=P","Fill=—","Direction=H","UseDPDF=Y")</f>
        <v>1379.7090000000001</v>
      </c>
      <c r="N58" s="13">
        <f>_xll.BDH("ALNY US Equity","OTHER_NONCUR_LIABS_SUB_DETAILED","FQ3 2021","FQ3 2021","Currency=USD","Period=FQ","BEST_FPERIOD_OVERRIDE=FQ","FILING_STATUS=MR","SCALING_FORMAT=MLN","Sort=A","Dates=H","DateFormat=P","Fill=—","Direction=H","UseDPDF=Y")</f>
        <v>1385.9349999999999</v>
      </c>
      <c r="O58" s="13">
        <f>_xll.BDH("ALNY US Equity","OTHER_NONCUR_LIABS_SUB_DETAILED","FQ4 2021","FQ4 2021","Currency=USD","Period=FQ","BEST_FPERIOD_OVERRIDE=FQ","FILING_STATUS=MR","SCALING_FORMAT=MLN","Sort=A","Dates=H","DateFormat=P","Fill=—","Direction=H","UseDPDF=Y")</f>
        <v>1402.347</v>
      </c>
      <c r="P58" s="13">
        <f>_xll.BDH("ALNY US Equity","OTHER_NONCUR_LIABS_SUB_DETAILED","FQ1 2022","FQ1 2022","Currency=USD","Period=FQ","BEST_FPERIOD_OVERRIDE=FQ","FILING_STATUS=MR","SCALING_FORMAT=MLN","Sort=A","Dates=H","DateFormat=P","Fill=—","Direction=H","UseDPDF=Y")</f>
        <v>1472.318</v>
      </c>
      <c r="Q58" s="13">
        <f>_xll.BDH("ALNY US Equity","OTHER_NONCUR_LIABS_SUB_DETAILED","FQ2 2022","FQ2 2022","Currency=USD","Period=FQ","BEST_FPERIOD_OVERRIDE=FQ","FILING_STATUS=MR","SCALING_FORMAT=MLN","Sort=A","Dates=H","DateFormat=P","Fill=—","Direction=H","UseDPDF=Y")</f>
        <v>1546.953</v>
      </c>
      <c r="R58" s="13">
        <f>_xll.BDH("ALNY US Equity","OTHER_NONCUR_LIABS_SUB_DETAILED","FQ3 2022","FQ3 2022","Currency=USD","Period=FQ","BEST_FPERIOD_OVERRIDE=FQ","FILING_STATUS=MR","SCALING_FORMAT=MLN","Sort=A","Dates=H","DateFormat=P","Fill=—","Direction=H","UseDPDF=Y")</f>
        <v>1331.9059999999999</v>
      </c>
      <c r="S58" s="13">
        <f>_xll.BDH("ALNY US Equity","OTHER_NONCUR_LIABS_SUB_DETAILED","FQ4 2022","FQ4 2022","Currency=USD","Period=FQ","BEST_FPERIOD_OVERRIDE=FQ","FILING_STATUS=MR","SCALING_FORMAT=MLN","Sort=A","Dates=H","DateFormat=P","Fill=—","Direction=H","UseDPDF=Y")</f>
        <v>1658.386</v>
      </c>
      <c r="T58" s="13">
        <f>_xll.BDH("ALNY US Equity","OTHER_NONCUR_LIABS_SUB_DETAILED","FQ1 2023","FQ1 2023","Currency=USD","Period=FQ","BEST_FPERIOD_OVERRIDE=FQ","FILING_STATUS=MR","SCALING_FORMAT=MLN","Sort=A","Dates=H","DateFormat=P","Fill=—","Direction=H","UseDPDF=Y")</f>
        <v>1700.5029999999999</v>
      </c>
      <c r="U58" s="13">
        <f>_xll.BDH("ALNY US Equity","OTHER_NONCUR_LIABS_SUB_DETAILED","FQ2 2023","FQ2 2023","Currency=USD","Period=FQ","BEST_FPERIOD_OVERRIDE=FQ","FILING_STATUS=MR","SCALING_FORMAT=MLN","Sort=A","Dates=H","DateFormat=P","Fill=—","Direction=H","UseDPDF=Y")</f>
        <v>1749.6289999999999</v>
      </c>
      <c r="V58" s="13">
        <f>_xll.BDH("ALNY US Equity","OTHER_NONCUR_LIABS_SUB_DETAILED","FQ3 2023","FQ3 2023","Currency=USD","Period=FQ","BEST_FPERIOD_OVERRIDE=FQ","FILING_STATUS=MR","SCALING_FORMAT=MLN","Sort=A","Dates=H","DateFormat=P","Fill=—","Direction=H","UseDPDF=Y")</f>
        <v>1787.634</v>
      </c>
      <c r="W58" s="13">
        <f>_xll.BDH("ALNY US Equity","OTHER_NONCUR_LIABS_SUB_DETAILED","FQ4 2023","FQ4 2023","Currency=USD","Period=FQ","BEST_FPERIOD_OVERRIDE=FQ","FILING_STATUS=MR","SCALING_FORMAT=MLN","Sort=A","Dates=H","DateFormat=P","Fill=—","Direction=H","UseDPDF=Y")</f>
        <v>1818.8610000000001</v>
      </c>
      <c r="X58" s="13">
        <f>_xll.BDH("ALNY US Equity","OTHER_NONCUR_LIABS_SUB_DETAILED","FQ1 2024","FQ1 2024","Currency=USD","Period=FQ","BEST_FPERIOD_OVERRIDE=FQ","FILING_STATUS=MR","SCALING_FORMAT=MLN","Sort=A","Dates=H","DateFormat=P","Fill=—","Direction=H","UseDPDF=Y")</f>
        <v>1842.3879999999999</v>
      </c>
      <c r="Y58" s="13">
        <f>_xll.BDH("ALNY US Equity","OTHER_NONCUR_LIABS_SUB_DETAILED","FQ2 2024","FQ2 2024","Currency=USD","Period=FQ","BEST_FPERIOD_OVERRIDE=FQ","FILING_STATUS=MR","SCALING_FORMAT=MLN","Sort=A","Dates=H","DateFormat=P","Fill=—","Direction=H","UseDPDF=Y")</f>
        <v>352.83</v>
      </c>
      <c r="Z58" s="13">
        <f>_xll.BDH("ALNY US Equity","OTHER_NONCUR_LIABS_SUB_DETAILED","FQ3 2024","FQ3 2024","Currency=USD","Period=FQ","BEST_FPERIOD_OVERRIDE=FQ","FILING_STATUS=MR","SCALING_FORMAT=MLN","Sort=A","Dates=H","DateFormat=P","Fill=—","Direction=H","UseDPDF=Y")</f>
        <v>1692.338</v>
      </c>
      <c r="AA58" s="13">
        <f>_xll.BDH("ALNY US Equity","OTHER_NONCUR_LIABS_SUB_DETAILED","FQ4 2024","FQ4 2024","Currency=USD","Period=FQ","BEST_FPERIOD_OVERRIDE=FQ","FILING_STATUS=MR","SCALING_FORMAT=MLN","Sort=A","Dates=H","DateFormat=P","Fill=—","Direction=H","UseDPDF=Y")</f>
        <v>1732.461</v>
      </c>
    </row>
    <row r="59" spans="1:27" x14ac:dyDescent="0.25">
      <c r="A59" s="10" t="s">
        <v>768</v>
      </c>
      <c r="B59" s="10" t="s">
        <v>769</v>
      </c>
      <c r="C59" s="13">
        <f>_xll.BDH("ALNY US Equity","BS_ACCRUED_LIABILITIES","FQ4 2018","FQ4 2018","Currency=USD","Period=FQ","BEST_FPERIOD_OVERRIDE=FQ","FILING_STATUS=MR","SCALING_FORMAT=MLN","Sort=A","Dates=H","DateFormat=P","Fill=—","Direction=H","UseDPDF=Y")</f>
        <v>0</v>
      </c>
      <c r="D59" s="13" t="str">
        <f>_xll.BDH("ALNY US Equity","BS_ACCRUED_LIABILITIES","FQ1 2019","FQ1 2019","Currency=USD","Period=FQ","BEST_FPERIOD_OVERRIDE=FQ","FILING_STATUS=MR","SCALING_FORMAT=MLN","Sort=A","Dates=H","DateFormat=P","Fill=—","Direction=H","UseDPDF=Y")</f>
        <v>—</v>
      </c>
      <c r="E59" s="13" t="str">
        <f>_xll.BDH("ALNY US Equity","BS_ACCRUED_LIABILITIES","FQ2 2019","FQ2 2019","Currency=USD","Period=FQ","BEST_FPERIOD_OVERRIDE=FQ","FILING_STATUS=MR","SCALING_FORMAT=MLN","Sort=A","Dates=H","DateFormat=P","Fill=—","Direction=H","UseDPDF=Y")</f>
        <v>—</v>
      </c>
      <c r="F59" s="13" t="str">
        <f>_xll.BDH("ALNY US Equity","BS_ACCRUED_LIABILITIES","FQ3 2019","FQ3 2019","Currency=USD","Period=FQ","BEST_FPERIOD_OVERRIDE=FQ","FILING_STATUS=MR","SCALING_FORMAT=MLN","Sort=A","Dates=H","DateFormat=P","Fill=—","Direction=H","UseDPDF=Y")</f>
        <v>—</v>
      </c>
      <c r="G59" s="13">
        <f>_xll.BDH("ALNY US Equity","BS_ACCRUED_LIABILITIES","FQ4 2019","FQ4 2019","Currency=USD","Period=FQ","BEST_FPERIOD_OVERRIDE=FQ","FILING_STATUS=MR","SCALING_FORMAT=MLN","Sort=A","Dates=H","DateFormat=P","Fill=—","Direction=H","UseDPDF=Y")</f>
        <v>0</v>
      </c>
      <c r="H59" s="13" t="str">
        <f>_xll.BDH("ALNY US Equity","BS_ACCRUED_LIABILITIES","FQ1 2020","FQ1 2020","Currency=USD","Period=FQ","BEST_FPERIOD_OVERRIDE=FQ","FILING_STATUS=MR","SCALING_FORMAT=MLN","Sort=A","Dates=H","DateFormat=P","Fill=—","Direction=H","UseDPDF=Y")</f>
        <v>—</v>
      </c>
      <c r="I59" s="13" t="str">
        <f>_xll.BDH("ALNY US Equity","BS_ACCRUED_LIABILITIES","FQ2 2020","FQ2 2020","Currency=USD","Period=FQ","BEST_FPERIOD_OVERRIDE=FQ","FILING_STATUS=MR","SCALING_FORMAT=MLN","Sort=A","Dates=H","DateFormat=P","Fill=—","Direction=H","UseDPDF=Y")</f>
        <v>—</v>
      </c>
      <c r="J59" s="13" t="str">
        <f>_xll.BDH("ALNY US Equity","BS_ACCRUED_LIABILITIES","FQ3 2020","FQ3 2020","Currency=USD","Period=FQ","BEST_FPERIOD_OVERRIDE=FQ","FILING_STATUS=MR","SCALING_FORMAT=MLN","Sort=A","Dates=H","DateFormat=P","Fill=—","Direction=H","UseDPDF=Y")</f>
        <v>—</v>
      </c>
      <c r="K59" s="13">
        <f>_xll.BDH("ALNY US Equity","BS_ACCRUED_LIABILITIES","FQ4 2020","FQ4 2020","Currency=USD","Period=FQ","BEST_FPERIOD_OVERRIDE=FQ","FILING_STATUS=MR","SCALING_FORMAT=MLN","Sort=A","Dates=H","DateFormat=P","Fill=—","Direction=H","UseDPDF=Y")</f>
        <v>0</v>
      </c>
      <c r="L59" s="13" t="str">
        <f>_xll.BDH("ALNY US Equity","BS_ACCRUED_LIABILITIES","FQ1 2021","FQ1 2021","Currency=USD","Period=FQ","BEST_FPERIOD_OVERRIDE=FQ","FILING_STATUS=MR","SCALING_FORMAT=MLN","Sort=A","Dates=H","DateFormat=P","Fill=—","Direction=H","UseDPDF=Y")</f>
        <v>—</v>
      </c>
      <c r="M59" s="13" t="str">
        <f>_xll.BDH("ALNY US Equity","BS_ACCRUED_LIABILITIES","FQ2 2021","FQ2 2021","Currency=USD","Period=FQ","BEST_FPERIOD_OVERRIDE=FQ","FILING_STATUS=MR","SCALING_FORMAT=MLN","Sort=A","Dates=H","DateFormat=P","Fill=—","Direction=H","UseDPDF=Y")</f>
        <v>—</v>
      </c>
      <c r="N59" s="13" t="str">
        <f>_xll.BDH("ALNY US Equity","BS_ACCRUED_LIABILITIES","FQ3 2021","FQ3 2021","Currency=USD","Period=FQ","BEST_FPERIOD_OVERRIDE=FQ","FILING_STATUS=MR","SCALING_FORMAT=MLN","Sort=A","Dates=H","DateFormat=P","Fill=—","Direction=H","UseDPDF=Y")</f>
        <v>—</v>
      </c>
      <c r="O59" s="13">
        <f>_xll.BDH("ALNY US Equity","BS_ACCRUED_LIABILITIES","FQ4 2021","FQ4 2021","Currency=USD","Period=FQ","BEST_FPERIOD_OVERRIDE=FQ","FILING_STATUS=MR","SCALING_FORMAT=MLN","Sort=A","Dates=H","DateFormat=P","Fill=—","Direction=H","UseDPDF=Y")</f>
        <v>0</v>
      </c>
      <c r="P59" s="13" t="str">
        <f>_xll.BDH("ALNY US Equity","BS_ACCRUED_LIABILITIES","FQ1 2022","FQ1 2022","Currency=USD","Period=FQ","BEST_FPERIOD_OVERRIDE=FQ","FILING_STATUS=MR","SCALING_FORMAT=MLN","Sort=A","Dates=H","DateFormat=P","Fill=—","Direction=H","UseDPDF=Y")</f>
        <v>—</v>
      </c>
      <c r="Q59" s="13" t="str">
        <f>_xll.BDH("ALNY US Equity","BS_ACCRUED_LIABILITIES","FQ2 2022","FQ2 2022","Currency=USD","Period=FQ","BEST_FPERIOD_OVERRIDE=FQ","FILING_STATUS=MR","SCALING_FORMAT=MLN","Sort=A","Dates=H","DateFormat=P","Fill=—","Direction=H","UseDPDF=Y")</f>
        <v>—</v>
      </c>
      <c r="R59" s="13" t="str">
        <f>_xll.BDH("ALNY US Equity","BS_ACCRUED_LIABILITIES","FQ3 2022","FQ3 2022","Currency=USD","Period=FQ","BEST_FPERIOD_OVERRIDE=FQ","FILING_STATUS=MR","SCALING_FORMAT=MLN","Sort=A","Dates=H","DateFormat=P","Fill=—","Direction=H","UseDPDF=Y")</f>
        <v>—</v>
      </c>
      <c r="S59" s="13">
        <f>_xll.BDH("ALNY US Equity","BS_ACCRUED_LIABILITIES","FQ4 2022","FQ4 2022","Currency=USD","Period=FQ","BEST_FPERIOD_OVERRIDE=FQ","FILING_STATUS=MR","SCALING_FORMAT=MLN","Sort=A","Dates=H","DateFormat=P","Fill=—","Direction=H","UseDPDF=Y")</f>
        <v>0</v>
      </c>
      <c r="T59" s="13" t="str">
        <f>_xll.BDH("ALNY US Equity","BS_ACCRUED_LIABILITIES","FQ1 2023","FQ1 2023","Currency=USD","Period=FQ","BEST_FPERIOD_OVERRIDE=FQ","FILING_STATUS=MR","SCALING_FORMAT=MLN","Sort=A","Dates=H","DateFormat=P","Fill=—","Direction=H","UseDPDF=Y")</f>
        <v>—</v>
      </c>
      <c r="U59" s="13" t="str">
        <f>_xll.BDH("ALNY US Equity","BS_ACCRUED_LIABILITIES","FQ2 2023","FQ2 2023","Currency=USD","Period=FQ","BEST_FPERIOD_OVERRIDE=FQ","FILING_STATUS=MR","SCALING_FORMAT=MLN","Sort=A","Dates=H","DateFormat=P","Fill=—","Direction=H","UseDPDF=Y")</f>
        <v>—</v>
      </c>
      <c r="V59" s="13" t="str">
        <f>_xll.BDH("ALNY US Equity","BS_ACCRUED_LIABILITIES","FQ3 2023","FQ3 2023","Currency=USD","Period=FQ","BEST_FPERIOD_OVERRIDE=FQ","FILING_STATUS=MR","SCALING_FORMAT=MLN","Sort=A","Dates=H","DateFormat=P","Fill=—","Direction=H","UseDPDF=Y")</f>
        <v>—</v>
      </c>
      <c r="W59" s="13">
        <f>_xll.BDH("ALNY US Equity","BS_ACCRUED_LIABILITIES","FQ4 2023","FQ4 2023","Currency=USD","Period=FQ","BEST_FPERIOD_OVERRIDE=FQ","FILING_STATUS=MR","SCALING_FORMAT=MLN","Sort=A","Dates=H","DateFormat=P","Fill=—","Direction=H","UseDPDF=Y")</f>
        <v>0</v>
      </c>
      <c r="X59" s="13" t="str">
        <f>_xll.BDH("ALNY US Equity","BS_ACCRUED_LIABILITIES","FQ1 2024","FQ1 2024","Currency=USD","Period=FQ","BEST_FPERIOD_OVERRIDE=FQ","FILING_STATUS=MR","SCALING_FORMAT=MLN","Sort=A","Dates=H","DateFormat=P","Fill=—","Direction=H","UseDPDF=Y")</f>
        <v>—</v>
      </c>
      <c r="Y59" s="13" t="str">
        <f>_xll.BDH("ALNY US Equity","BS_ACCRUED_LIABILITIES","FQ2 2024","FQ2 2024","Currency=USD","Period=FQ","BEST_FPERIOD_OVERRIDE=FQ","FILING_STATUS=MR","SCALING_FORMAT=MLN","Sort=A","Dates=H","DateFormat=P","Fill=—","Direction=H","UseDPDF=Y")</f>
        <v>—</v>
      </c>
      <c r="Z59" s="13" t="str">
        <f>_xll.BDH("ALNY US Equity","BS_ACCRUED_LIABILITIES","FQ3 2024","FQ3 2024","Currency=USD","Period=FQ","BEST_FPERIOD_OVERRIDE=FQ","FILING_STATUS=MR","SCALING_FORMAT=MLN","Sort=A","Dates=H","DateFormat=P","Fill=—","Direction=H","UseDPDF=Y")</f>
        <v>—</v>
      </c>
      <c r="AA59" s="13">
        <f>_xll.BDH("ALNY US Equity","BS_ACCRUED_LIABILITIES","FQ4 2024","FQ4 2024","Currency=USD","Period=FQ","BEST_FPERIOD_OVERRIDE=FQ","FILING_STATUS=MR","SCALING_FORMAT=MLN","Sort=A","Dates=H","DateFormat=P","Fill=—","Direction=H","UseDPDF=Y")</f>
        <v>0</v>
      </c>
    </row>
    <row r="60" spans="1:27" x14ac:dyDescent="0.25">
      <c r="A60" s="10" t="s">
        <v>770</v>
      </c>
      <c r="B60" s="10" t="s">
        <v>771</v>
      </c>
      <c r="C60" s="13">
        <f>_xll.BDH("ALNY US Equity","PENSION_LIABILITIES","FQ4 2018","FQ4 2018","Currency=USD","Period=FQ","BEST_FPERIOD_OVERRIDE=FQ","FILING_STATUS=MR","SCALING_FORMAT=MLN","Sort=A","Dates=H","DateFormat=P","Fill=—","Direction=H","UseDPDF=Y")</f>
        <v>0</v>
      </c>
      <c r="D60" s="13" t="str">
        <f>_xll.BDH("ALNY US Equity","PENSION_LIABILITIES","FQ1 2019","FQ1 2019","Currency=USD","Period=FQ","BEST_FPERIOD_OVERRIDE=FQ","FILING_STATUS=MR","SCALING_FORMAT=MLN","Sort=A","Dates=H","DateFormat=P","Fill=—","Direction=H","UseDPDF=Y")</f>
        <v>—</v>
      </c>
      <c r="E60" s="13" t="str">
        <f>_xll.BDH("ALNY US Equity","PENSION_LIABILITIES","FQ2 2019","FQ2 2019","Currency=USD","Period=FQ","BEST_FPERIOD_OVERRIDE=FQ","FILING_STATUS=MR","SCALING_FORMAT=MLN","Sort=A","Dates=H","DateFormat=P","Fill=—","Direction=H","UseDPDF=Y")</f>
        <v>—</v>
      </c>
      <c r="F60" s="13" t="str">
        <f>_xll.BDH("ALNY US Equity","PENSION_LIABILITIES","FQ3 2019","FQ3 2019","Currency=USD","Period=FQ","BEST_FPERIOD_OVERRIDE=FQ","FILING_STATUS=MR","SCALING_FORMAT=MLN","Sort=A","Dates=H","DateFormat=P","Fill=—","Direction=H","UseDPDF=Y")</f>
        <v>—</v>
      </c>
      <c r="G60" s="13">
        <f>_xll.BDH("ALNY US Equity","PENSION_LIABILITIES","FQ4 2019","FQ4 2019","Currency=USD","Period=FQ","BEST_FPERIOD_OVERRIDE=FQ","FILING_STATUS=MR","SCALING_FORMAT=MLN","Sort=A","Dates=H","DateFormat=P","Fill=—","Direction=H","UseDPDF=Y")</f>
        <v>0</v>
      </c>
      <c r="H60" s="13" t="str">
        <f>_xll.BDH("ALNY US Equity","PENSION_LIABILITIES","FQ1 2020","FQ1 2020","Currency=USD","Period=FQ","BEST_FPERIOD_OVERRIDE=FQ","FILING_STATUS=MR","SCALING_FORMAT=MLN","Sort=A","Dates=H","DateFormat=P","Fill=—","Direction=H","UseDPDF=Y")</f>
        <v>—</v>
      </c>
      <c r="I60" s="13" t="str">
        <f>_xll.BDH("ALNY US Equity","PENSION_LIABILITIES","FQ2 2020","FQ2 2020","Currency=USD","Period=FQ","BEST_FPERIOD_OVERRIDE=FQ","FILING_STATUS=MR","SCALING_FORMAT=MLN","Sort=A","Dates=H","DateFormat=P","Fill=—","Direction=H","UseDPDF=Y")</f>
        <v>—</v>
      </c>
      <c r="J60" s="13" t="str">
        <f>_xll.BDH("ALNY US Equity","PENSION_LIABILITIES","FQ3 2020","FQ3 2020","Currency=USD","Period=FQ","BEST_FPERIOD_OVERRIDE=FQ","FILING_STATUS=MR","SCALING_FORMAT=MLN","Sort=A","Dates=H","DateFormat=P","Fill=—","Direction=H","UseDPDF=Y")</f>
        <v>—</v>
      </c>
      <c r="K60" s="13">
        <f>_xll.BDH("ALNY US Equity","PENSION_LIABILITIES","FQ4 2020","FQ4 2020","Currency=USD","Period=FQ","BEST_FPERIOD_OVERRIDE=FQ","FILING_STATUS=MR","SCALING_FORMAT=MLN","Sort=A","Dates=H","DateFormat=P","Fill=—","Direction=H","UseDPDF=Y")</f>
        <v>0</v>
      </c>
      <c r="L60" s="13" t="str">
        <f>_xll.BDH("ALNY US Equity","PENSION_LIABILITIES","FQ1 2021","FQ1 2021","Currency=USD","Period=FQ","BEST_FPERIOD_OVERRIDE=FQ","FILING_STATUS=MR","SCALING_FORMAT=MLN","Sort=A","Dates=H","DateFormat=P","Fill=—","Direction=H","UseDPDF=Y")</f>
        <v>—</v>
      </c>
      <c r="M60" s="13" t="str">
        <f>_xll.BDH("ALNY US Equity","PENSION_LIABILITIES","FQ2 2021","FQ2 2021","Currency=USD","Period=FQ","BEST_FPERIOD_OVERRIDE=FQ","FILING_STATUS=MR","SCALING_FORMAT=MLN","Sort=A","Dates=H","DateFormat=P","Fill=—","Direction=H","UseDPDF=Y")</f>
        <v>—</v>
      </c>
      <c r="N60" s="13" t="str">
        <f>_xll.BDH("ALNY US Equity","PENSION_LIABILITIES","FQ3 2021","FQ3 2021","Currency=USD","Period=FQ","BEST_FPERIOD_OVERRIDE=FQ","FILING_STATUS=MR","SCALING_FORMAT=MLN","Sort=A","Dates=H","DateFormat=P","Fill=—","Direction=H","UseDPDF=Y")</f>
        <v>—</v>
      </c>
      <c r="O60" s="13">
        <f>_xll.BDH("ALNY US Equity","PENSION_LIABILITIES","FQ4 2021","FQ4 2021","Currency=USD","Period=FQ","BEST_FPERIOD_OVERRIDE=FQ","FILING_STATUS=MR","SCALING_FORMAT=MLN","Sort=A","Dates=H","DateFormat=P","Fill=—","Direction=H","UseDPDF=Y")</f>
        <v>0</v>
      </c>
      <c r="P60" s="13" t="str">
        <f>_xll.BDH("ALNY US Equity","PENSION_LIABILITIES","FQ1 2022","FQ1 2022","Currency=USD","Period=FQ","BEST_FPERIOD_OVERRIDE=FQ","FILING_STATUS=MR","SCALING_FORMAT=MLN","Sort=A","Dates=H","DateFormat=P","Fill=—","Direction=H","UseDPDF=Y")</f>
        <v>—</v>
      </c>
      <c r="Q60" s="13" t="str">
        <f>_xll.BDH("ALNY US Equity","PENSION_LIABILITIES","FQ2 2022","FQ2 2022","Currency=USD","Period=FQ","BEST_FPERIOD_OVERRIDE=FQ","FILING_STATUS=MR","SCALING_FORMAT=MLN","Sort=A","Dates=H","DateFormat=P","Fill=—","Direction=H","UseDPDF=Y")</f>
        <v>—</v>
      </c>
      <c r="R60" s="13" t="str">
        <f>_xll.BDH("ALNY US Equity","PENSION_LIABILITIES","FQ3 2022","FQ3 2022","Currency=USD","Period=FQ","BEST_FPERIOD_OVERRIDE=FQ","FILING_STATUS=MR","SCALING_FORMAT=MLN","Sort=A","Dates=H","DateFormat=P","Fill=—","Direction=H","UseDPDF=Y")</f>
        <v>—</v>
      </c>
      <c r="S60" s="13">
        <f>_xll.BDH("ALNY US Equity","PENSION_LIABILITIES","FQ4 2022","FQ4 2022","Currency=USD","Period=FQ","BEST_FPERIOD_OVERRIDE=FQ","FILING_STATUS=MR","SCALING_FORMAT=MLN","Sort=A","Dates=H","DateFormat=P","Fill=—","Direction=H","UseDPDF=Y")</f>
        <v>0</v>
      </c>
      <c r="T60" s="13" t="str">
        <f>_xll.BDH("ALNY US Equity","PENSION_LIABILITIES","FQ1 2023","FQ1 2023","Currency=USD","Period=FQ","BEST_FPERIOD_OVERRIDE=FQ","FILING_STATUS=MR","SCALING_FORMAT=MLN","Sort=A","Dates=H","DateFormat=P","Fill=—","Direction=H","UseDPDF=Y")</f>
        <v>—</v>
      </c>
      <c r="U60" s="13" t="str">
        <f>_xll.BDH("ALNY US Equity","PENSION_LIABILITIES","FQ2 2023","FQ2 2023","Currency=USD","Period=FQ","BEST_FPERIOD_OVERRIDE=FQ","FILING_STATUS=MR","SCALING_FORMAT=MLN","Sort=A","Dates=H","DateFormat=P","Fill=—","Direction=H","UseDPDF=Y")</f>
        <v>—</v>
      </c>
      <c r="V60" s="13" t="str">
        <f>_xll.BDH("ALNY US Equity","PENSION_LIABILITIES","FQ3 2023","FQ3 2023","Currency=USD","Period=FQ","BEST_FPERIOD_OVERRIDE=FQ","FILING_STATUS=MR","SCALING_FORMAT=MLN","Sort=A","Dates=H","DateFormat=P","Fill=—","Direction=H","UseDPDF=Y")</f>
        <v>—</v>
      </c>
      <c r="W60" s="13">
        <f>_xll.BDH("ALNY US Equity","PENSION_LIABILITIES","FQ4 2023","FQ4 2023","Currency=USD","Period=FQ","BEST_FPERIOD_OVERRIDE=FQ","FILING_STATUS=MR","SCALING_FORMAT=MLN","Sort=A","Dates=H","DateFormat=P","Fill=—","Direction=H","UseDPDF=Y")</f>
        <v>0</v>
      </c>
      <c r="X60" s="13" t="str">
        <f>_xll.BDH("ALNY US Equity","PENSION_LIABILITIES","FQ1 2024","FQ1 2024","Currency=USD","Period=FQ","BEST_FPERIOD_OVERRIDE=FQ","FILING_STATUS=MR","SCALING_FORMAT=MLN","Sort=A","Dates=H","DateFormat=P","Fill=—","Direction=H","UseDPDF=Y")</f>
        <v>—</v>
      </c>
      <c r="Y60" s="13" t="str">
        <f>_xll.BDH("ALNY US Equity","PENSION_LIABILITIES","FQ2 2024","FQ2 2024","Currency=USD","Period=FQ","BEST_FPERIOD_OVERRIDE=FQ","FILING_STATUS=MR","SCALING_FORMAT=MLN","Sort=A","Dates=H","DateFormat=P","Fill=—","Direction=H","UseDPDF=Y")</f>
        <v>—</v>
      </c>
      <c r="Z60" s="13" t="str">
        <f>_xll.BDH("ALNY US Equity","PENSION_LIABILITIES","FQ3 2024","FQ3 2024","Currency=USD","Period=FQ","BEST_FPERIOD_OVERRIDE=FQ","FILING_STATUS=MR","SCALING_FORMAT=MLN","Sort=A","Dates=H","DateFormat=P","Fill=—","Direction=H","UseDPDF=Y")</f>
        <v>—</v>
      </c>
      <c r="AA60" s="13">
        <f>_xll.BDH("ALNY US Equity","PENSION_LIABILITIES","FQ4 2024","FQ4 2024","Currency=USD","Period=FQ","BEST_FPERIOD_OVERRIDE=FQ","FILING_STATUS=MR","SCALING_FORMAT=MLN","Sort=A","Dates=H","DateFormat=P","Fill=—","Direction=H","UseDPDF=Y")</f>
        <v>0</v>
      </c>
    </row>
    <row r="61" spans="1:27" x14ac:dyDescent="0.25">
      <c r="A61" s="11" t="s">
        <v>772</v>
      </c>
      <c r="B61" s="11" t="s">
        <v>773</v>
      </c>
      <c r="C61" s="25">
        <f>_xll.BDH("ALNY US Equity","BS_PENSIONS_LT_LIABS","FQ4 2018","FQ4 2018","Currency=USD","Period=FQ","BEST_FPERIOD_OVERRIDE=FQ","FILING_STATUS=MR","SCALING_FORMAT=MLN","Sort=A","Dates=H","DateFormat=P","Fill=—","Direction=H","UseDPDF=Y")</f>
        <v>0</v>
      </c>
      <c r="D61" s="25" t="str">
        <f>_xll.BDH("ALNY US Equity","BS_PENSIONS_LT_LIABS","FQ1 2019","FQ1 2019","Currency=USD","Period=FQ","BEST_FPERIOD_OVERRIDE=FQ","FILING_STATUS=MR","SCALING_FORMAT=MLN","Sort=A","Dates=H","DateFormat=P","Fill=—","Direction=H","UseDPDF=Y")</f>
        <v>—</v>
      </c>
      <c r="E61" s="25" t="str">
        <f>_xll.BDH("ALNY US Equity","BS_PENSIONS_LT_LIABS","FQ2 2019","FQ2 2019","Currency=USD","Period=FQ","BEST_FPERIOD_OVERRIDE=FQ","FILING_STATUS=MR","SCALING_FORMAT=MLN","Sort=A","Dates=H","DateFormat=P","Fill=—","Direction=H","UseDPDF=Y")</f>
        <v>—</v>
      </c>
      <c r="F61" s="25" t="str">
        <f>_xll.BDH("ALNY US Equity","BS_PENSIONS_LT_LIABS","FQ3 2019","FQ3 2019","Currency=USD","Period=FQ","BEST_FPERIOD_OVERRIDE=FQ","FILING_STATUS=MR","SCALING_FORMAT=MLN","Sort=A","Dates=H","DateFormat=P","Fill=—","Direction=H","UseDPDF=Y")</f>
        <v>—</v>
      </c>
      <c r="G61" s="25">
        <f>_xll.BDH("ALNY US Equity","BS_PENSIONS_LT_LIABS","FQ4 2019","FQ4 2019","Currency=USD","Period=FQ","BEST_FPERIOD_OVERRIDE=FQ","FILING_STATUS=MR","SCALING_FORMAT=MLN","Sort=A","Dates=H","DateFormat=P","Fill=—","Direction=H","UseDPDF=Y")</f>
        <v>0</v>
      </c>
      <c r="H61" s="25" t="str">
        <f>_xll.BDH("ALNY US Equity","BS_PENSIONS_LT_LIABS","FQ1 2020","FQ1 2020","Currency=USD","Period=FQ","BEST_FPERIOD_OVERRIDE=FQ","FILING_STATUS=MR","SCALING_FORMAT=MLN","Sort=A","Dates=H","DateFormat=P","Fill=—","Direction=H","UseDPDF=Y")</f>
        <v>—</v>
      </c>
      <c r="I61" s="25" t="str">
        <f>_xll.BDH("ALNY US Equity","BS_PENSIONS_LT_LIABS","FQ2 2020","FQ2 2020","Currency=USD","Period=FQ","BEST_FPERIOD_OVERRIDE=FQ","FILING_STATUS=MR","SCALING_FORMAT=MLN","Sort=A","Dates=H","DateFormat=P","Fill=—","Direction=H","UseDPDF=Y")</f>
        <v>—</v>
      </c>
      <c r="J61" s="25" t="str">
        <f>_xll.BDH("ALNY US Equity","BS_PENSIONS_LT_LIABS","FQ3 2020","FQ3 2020","Currency=USD","Period=FQ","BEST_FPERIOD_OVERRIDE=FQ","FILING_STATUS=MR","SCALING_FORMAT=MLN","Sort=A","Dates=H","DateFormat=P","Fill=—","Direction=H","UseDPDF=Y")</f>
        <v>—</v>
      </c>
      <c r="K61" s="25">
        <f>_xll.BDH("ALNY US Equity","BS_PENSIONS_LT_LIABS","FQ4 2020","FQ4 2020","Currency=USD","Period=FQ","BEST_FPERIOD_OVERRIDE=FQ","FILING_STATUS=MR","SCALING_FORMAT=MLN","Sort=A","Dates=H","DateFormat=P","Fill=—","Direction=H","UseDPDF=Y")</f>
        <v>0</v>
      </c>
      <c r="L61" s="25" t="str">
        <f>_xll.BDH("ALNY US Equity","BS_PENSIONS_LT_LIABS","FQ1 2021","FQ1 2021","Currency=USD","Period=FQ","BEST_FPERIOD_OVERRIDE=FQ","FILING_STATUS=MR","SCALING_FORMAT=MLN","Sort=A","Dates=H","DateFormat=P","Fill=—","Direction=H","UseDPDF=Y")</f>
        <v>—</v>
      </c>
      <c r="M61" s="25" t="str">
        <f>_xll.BDH("ALNY US Equity","BS_PENSIONS_LT_LIABS","FQ2 2021","FQ2 2021","Currency=USD","Period=FQ","BEST_FPERIOD_OVERRIDE=FQ","FILING_STATUS=MR","SCALING_FORMAT=MLN","Sort=A","Dates=H","DateFormat=P","Fill=—","Direction=H","UseDPDF=Y")</f>
        <v>—</v>
      </c>
      <c r="N61" s="25" t="str">
        <f>_xll.BDH("ALNY US Equity","BS_PENSIONS_LT_LIABS","FQ3 2021","FQ3 2021","Currency=USD","Period=FQ","BEST_FPERIOD_OVERRIDE=FQ","FILING_STATUS=MR","SCALING_FORMAT=MLN","Sort=A","Dates=H","DateFormat=P","Fill=—","Direction=H","UseDPDF=Y")</f>
        <v>—</v>
      </c>
      <c r="O61" s="25">
        <f>_xll.BDH("ALNY US Equity","BS_PENSIONS_LT_LIABS","FQ4 2021","FQ4 2021","Currency=USD","Period=FQ","BEST_FPERIOD_OVERRIDE=FQ","FILING_STATUS=MR","SCALING_FORMAT=MLN","Sort=A","Dates=H","DateFormat=P","Fill=—","Direction=H","UseDPDF=Y")</f>
        <v>0</v>
      </c>
      <c r="P61" s="25" t="str">
        <f>_xll.BDH("ALNY US Equity","BS_PENSIONS_LT_LIABS","FQ1 2022","FQ1 2022","Currency=USD","Period=FQ","BEST_FPERIOD_OVERRIDE=FQ","FILING_STATUS=MR","SCALING_FORMAT=MLN","Sort=A","Dates=H","DateFormat=P","Fill=—","Direction=H","UseDPDF=Y")</f>
        <v>—</v>
      </c>
      <c r="Q61" s="25" t="str">
        <f>_xll.BDH("ALNY US Equity","BS_PENSIONS_LT_LIABS","FQ2 2022","FQ2 2022","Currency=USD","Period=FQ","BEST_FPERIOD_OVERRIDE=FQ","FILING_STATUS=MR","SCALING_FORMAT=MLN","Sort=A","Dates=H","DateFormat=P","Fill=—","Direction=H","UseDPDF=Y")</f>
        <v>—</v>
      </c>
      <c r="R61" s="25" t="str">
        <f>_xll.BDH("ALNY US Equity","BS_PENSIONS_LT_LIABS","FQ3 2022","FQ3 2022","Currency=USD","Period=FQ","BEST_FPERIOD_OVERRIDE=FQ","FILING_STATUS=MR","SCALING_FORMAT=MLN","Sort=A","Dates=H","DateFormat=P","Fill=—","Direction=H","UseDPDF=Y")</f>
        <v>—</v>
      </c>
      <c r="S61" s="25">
        <f>_xll.BDH("ALNY US Equity","BS_PENSIONS_LT_LIABS","FQ4 2022","FQ4 2022","Currency=USD","Period=FQ","BEST_FPERIOD_OVERRIDE=FQ","FILING_STATUS=MR","SCALING_FORMAT=MLN","Sort=A","Dates=H","DateFormat=P","Fill=—","Direction=H","UseDPDF=Y")</f>
        <v>0</v>
      </c>
      <c r="T61" s="25" t="str">
        <f>_xll.BDH("ALNY US Equity","BS_PENSIONS_LT_LIABS","FQ1 2023","FQ1 2023","Currency=USD","Period=FQ","BEST_FPERIOD_OVERRIDE=FQ","FILING_STATUS=MR","SCALING_FORMAT=MLN","Sort=A","Dates=H","DateFormat=P","Fill=—","Direction=H","UseDPDF=Y")</f>
        <v>—</v>
      </c>
      <c r="U61" s="25" t="str">
        <f>_xll.BDH("ALNY US Equity","BS_PENSIONS_LT_LIABS","FQ2 2023","FQ2 2023","Currency=USD","Period=FQ","BEST_FPERIOD_OVERRIDE=FQ","FILING_STATUS=MR","SCALING_FORMAT=MLN","Sort=A","Dates=H","DateFormat=P","Fill=—","Direction=H","UseDPDF=Y")</f>
        <v>—</v>
      </c>
      <c r="V61" s="25" t="str">
        <f>_xll.BDH("ALNY US Equity","BS_PENSIONS_LT_LIABS","FQ3 2023","FQ3 2023","Currency=USD","Period=FQ","BEST_FPERIOD_OVERRIDE=FQ","FILING_STATUS=MR","SCALING_FORMAT=MLN","Sort=A","Dates=H","DateFormat=P","Fill=—","Direction=H","UseDPDF=Y")</f>
        <v>—</v>
      </c>
      <c r="W61" s="25">
        <f>_xll.BDH("ALNY US Equity","BS_PENSIONS_LT_LIABS","FQ4 2023","FQ4 2023","Currency=USD","Period=FQ","BEST_FPERIOD_OVERRIDE=FQ","FILING_STATUS=MR","SCALING_FORMAT=MLN","Sort=A","Dates=H","DateFormat=P","Fill=—","Direction=H","UseDPDF=Y")</f>
        <v>0</v>
      </c>
      <c r="X61" s="25" t="str">
        <f>_xll.BDH("ALNY US Equity","BS_PENSIONS_LT_LIABS","FQ1 2024","FQ1 2024","Currency=USD","Period=FQ","BEST_FPERIOD_OVERRIDE=FQ","FILING_STATUS=MR","SCALING_FORMAT=MLN","Sort=A","Dates=H","DateFormat=P","Fill=—","Direction=H","UseDPDF=Y")</f>
        <v>—</v>
      </c>
      <c r="Y61" s="25" t="str">
        <f>_xll.BDH("ALNY US Equity","BS_PENSIONS_LT_LIABS","FQ2 2024","FQ2 2024","Currency=USD","Period=FQ","BEST_FPERIOD_OVERRIDE=FQ","FILING_STATUS=MR","SCALING_FORMAT=MLN","Sort=A","Dates=H","DateFormat=P","Fill=—","Direction=H","UseDPDF=Y")</f>
        <v>—</v>
      </c>
      <c r="Z61" s="25" t="str">
        <f>_xll.BDH("ALNY US Equity","BS_PENSIONS_LT_LIABS","FQ3 2024","FQ3 2024","Currency=USD","Period=FQ","BEST_FPERIOD_OVERRIDE=FQ","FILING_STATUS=MR","SCALING_FORMAT=MLN","Sort=A","Dates=H","DateFormat=P","Fill=—","Direction=H","UseDPDF=Y")</f>
        <v>—</v>
      </c>
      <c r="AA61" s="25">
        <f>_xll.BDH("ALNY US Equity","BS_PENSIONS_LT_LIABS","FQ4 2024","FQ4 2024","Currency=USD","Period=FQ","BEST_FPERIOD_OVERRIDE=FQ","FILING_STATUS=MR","SCALING_FORMAT=MLN","Sort=A","Dates=H","DateFormat=P","Fill=—","Direction=H","UseDPDF=Y")</f>
        <v>0</v>
      </c>
    </row>
    <row r="62" spans="1:27" x14ac:dyDescent="0.25">
      <c r="A62" s="11" t="s">
        <v>774</v>
      </c>
      <c r="B62" s="11" t="s">
        <v>775</v>
      </c>
      <c r="C62" s="25">
        <f>_xll.BDH("ALNY US Equity","BS_OPRB_LT_LIABS","FQ4 2018","FQ4 2018","Currency=USD","Period=FQ","BEST_FPERIOD_OVERRIDE=FQ","FILING_STATUS=MR","SCALING_FORMAT=MLN","Sort=A","Dates=H","DateFormat=P","Fill=—","Direction=H","UseDPDF=Y")</f>
        <v>0</v>
      </c>
      <c r="D62" s="25" t="str">
        <f>_xll.BDH("ALNY US Equity","BS_OPRB_LT_LIABS","FQ1 2019","FQ1 2019","Currency=USD","Period=FQ","BEST_FPERIOD_OVERRIDE=FQ","FILING_STATUS=MR","SCALING_FORMAT=MLN","Sort=A","Dates=H","DateFormat=P","Fill=—","Direction=H","UseDPDF=Y")</f>
        <v>—</v>
      </c>
      <c r="E62" s="25" t="str">
        <f>_xll.BDH("ALNY US Equity","BS_OPRB_LT_LIABS","FQ2 2019","FQ2 2019","Currency=USD","Period=FQ","BEST_FPERIOD_OVERRIDE=FQ","FILING_STATUS=MR","SCALING_FORMAT=MLN","Sort=A","Dates=H","DateFormat=P","Fill=—","Direction=H","UseDPDF=Y")</f>
        <v>—</v>
      </c>
      <c r="F62" s="25" t="str">
        <f>_xll.BDH("ALNY US Equity","BS_OPRB_LT_LIABS","FQ3 2019","FQ3 2019","Currency=USD","Period=FQ","BEST_FPERIOD_OVERRIDE=FQ","FILING_STATUS=MR","SCALING_FORMAT=MLN","Sort=A","Dates=H","DateFormat=P","Fill=—","Direction=H","UseDPDF=Y")</f>
        <v>—</v>
      </c>
      <c r="G62" s="25">
        <f>_xll.BDH("ALNY US Equity","BS_OPRB_LT_LIABS","FQ4 2019","FQ4 2019","Currency=USD","Period=FQ","BEST_FPERIOD_OVERRIDE=FQ","FILING_STATUS=MR","SCALING_FORMAT=MLN","Sort=A","Dates=H","DateFormat=P","Fill=—","Direction=H","UseDPDF=Y")</f>
        <v>0</v>
      </c>
      <c r="H62" s="25" t="str">
        <f>_xll.BDH("ALNY US Equity","BS_OPRB_LT_LIABS","FQ1 2020","FQ1 2020","Currency=USD","Period=FQ","BEST_FPERIOD_OVERRIDE=FQ","FILING_STATUS=MR","SCALING_FORMAT=MLN","Sort=A","Dates=H","DateFormat=P","Fill=—","Direction=H","UseDPDF=Y")</f>
        <v>—</v>
      </c>
      <c r="I62" s="25" t="str">
        <f>_xll.BDH("ALNY US Equity","BS_OPRB_LT_LIABS","FQ2 2020","FQ2 2020","Currency=USD","Period=FQ","BEST_FPERIOD_OVERRIDE=FQ","FILING_STATUS=MR","SCALING_FORMAT=MLN","Sort=A","Dates=H","DateFormat=P","Fill=—","Direction=H","UseDPDF=Y")</f>
        <v>—</v>
      </c>
      <c r="J62" s="25" t="str">
        <f>_xll.BDH("ALNY US Equity","BS_OPRB_LT_LIABS","FQ3 2020","FQ3 2020","Currency=USD","Period=FQ","BEST_FPERIOD_OVERRIDE=FQ","FILING_STATUS=MR","SCALING_FORMAT=MLN","Sort=A","Dates=H","DateFormat=P","Fill=—","Direction=H","UseDPDF=Y")</f>
        <v>—</v>
      </c>
      <c r="K62" s="25">
        <f>_xll.BDH("ALNY US Equity","BS_OPRB_LT_LIABS","FQ4 2020","FQ4 2020","Currency=USD","Period=FQ","BEST_FPERIOD_OVERRIDE=FQ","FILING_STATUS=MR","SCALING_FORMAT=MLN","Sort=A","Dates=H","DateFormat=P","Fill=—","Direction=H","UseDPDF=Y")</f>
        <v>0</v>
      </c>
      <c r="L62" s="25" t="str">
        <f>_xll.BDH("ALNY US Equity","BS_OPRB_LT_LIABS","FQ1 2021","FQ1 2021","Currency=USD","Period=FQ","BEST_FPERIOD_OVERRIDE=FQ","FILING_STATUS=MR","SCALING_FORMAT=MLN","Sort=A","Dates=H","DateFormat=P","Fill=—","Direction=H","UseDPDF=Y")</f>
        <v>—</v>
      </c>
      <c r="M62" s="25" t="str">
        <f>_xll.BDH("ALNY US Equity","BS_OPRB_LT_LIABS","FQ2 2021","FQ2 2021","Currency=USD","Period=FQ","BEST_FPERIOD_OVERRIDE=FQ","FILING_STATUS=MR","SCALING_FORMAT=MLN","Sort=A","Dates=H","DateFormat=P","Fill=—","Direction=H","UseDPDF=Y")</f>
        <v>—</v>
      </c>
      <c r="N62" s="25" t="str">
        <f>_xll.BDH("ALNY US Equity","BS_OPRB_LT_LIABS","FQ3 2021","FQ3 2021","Currency=USD","Period=FQ","BEST_FPERIOD_OVERRIDE=FQ","FILING_STATUS=MR","SCALING_FORMAT=MLN","Sort=A","Dates=H","DateFormat=P","Fill=—","Direction=H","UseDPDF=Y")</f>
        <v>—</v>
      </c>
      <c r="O62" s="25">
        <f>_xll.BDH("ALNY US Equity","BS_OPRB_LT_LIABS","FQ4 2021","FQ4 2021","Currency=USD","Period=FQ","BEST_FPERIOD_OVERRIDE=FQ","FILING_STATUS=MR","SCALING_FORMAT=MLN","Sort=A","Dates=H","DateFormat=P","Fill=—","Direction=H","UseDPDF=Y")</f>
        <v>0</v>
      </c>
      <c r="P62" s="25" t="str">
        <f>_xll.BDH("ALNY US Equity","BS_OPRB_LT_LIABS","FQ1 2022","FQ1 2022","Currency=USD","Period=FQ","BEST_FPERIOD_OVERRIDE=FQ","FILING_STATUS=MR","SCALING_FORMAT=MLN","Sort=A","Dates=H","DateFormat=P","Fill=—","Direction=H","UseDPDF=Y")</f>
        <v>—</v>
      </c>
      <c r="Q62" s="25" t="str">
        <f>_xll.BDH("ALNY US Equity","BS_OPRB_LT_LIABS","FQ2 2022","FQ2 2022","Currency=USD","Period=FQ","BEST_FPERIOD_OVERRIDE=FQ","FILING_STATUS=MR","SCALING_FORMAT=MLN","Sort=A","Dates=H","DateFormat=P","Fill=—","Direction=H","UseDPDF=Y")</f>
        <v>—</v>
      </c>
      <c r="R62" s="25" t="str">
        <f>_xll.BDH("ALNY US Equity","BS_OPRB_LT_LIABS","FQ3 2022","FQ3 2022","Currency=USD","Period=FQ","BEST_FPERIOD_OVERRIDE=FQ","FILING_STATUS=MR","SCALING_FORMAT=MLN","Sort=A","Dates=H","DateFormat=P","Fill=—","Direction=H","UseDPDF=Y")</f>
        <v>—</v>
      </c>
      <c r="S62" s="25">
        <f>_xll.BDH("ALNY US Equity","BS_OPRB_LT_LIABS","FQ4 2022","FQ4 2022","Currency=USD","Period=FQ","BEST_FPERIOD_OVERRIDE=FQ","FILING_STATUS=MR","SCALING_FORMAT=MLN","Sort=A","Dates=H","DateFormat=P","Fill=—","Direction=H","UseDPDF=Y")</f>
        <v>0</v>
      </c>
      <c r="T62" s="25" t="str">
        <f>_xll.BDH("ALNY US Equity","BS_OPRB_LT_LIABS","FQ1 2023","FQ1 2023","Currency=USD","Period=FQ","BEST_FPERIOD_OVERRIDE=FQ","FILING_STATUS=MR","SCALING_FORMAT=MLN","Sort=A","Dates=H","DateFormat=P","Fill=—","Direction=H","UseDPDF=Y")</f>
        <v>—</v>
      </c>
      <c r="U62" s="25" t="str">
        <f>_xll.BDH("ALNY US Equity","BS_OPRB_LT_LIABS","FQ2 2023","FQ2 2023","Currency=USD","Period=FQ","BEST_FPERIOD_OVERRIDE=FQ","FILING_STATUS=MR","SCALING_FORMAT=MLN","Sort=A","Dates=H","DateFormat=P","Fill=—","Direction=H","UseDPDF=Y")</f>
        <v>—</v>
      </c>
      <c r="V62" s="25" t="str">
        <f>_xll.BDH("ALNY US Equity","BS_OPRB_LT_LIABS","FQ3 2023","FQ3 2023","Currency=USD","Period=FQ","BEST_FPERIOD_OVERRIDE=FQ","FILING_STATUS=MR","SCALING_FORMAT=MLN","Sort=A","Dates=H","DateFormat=P","Fill=—","Direction=H","UseDPDF=Y")</f>
        <v>—</v>
      </c>
      <c r="W62" s="25">
        <f>_xll.BDH("ALNY US Equity","BS_OPRB_LT_LIABS","FQ4 2023","FQ4 2023","Currency=USD","Period=FQ","BEST_FPERIOD_OVERRIDE=FQ","FILING_STATUS=MR","SCALING_FORMAT=MLN","Sort=A","Dates=H","DateFormat=P","Fill=—","Direction=H","UseDPDF=Y")</f>
        <v>0</v>
      </c>
      <c r="X62" s="25" t="str">
        <f>_xll.BDH("ALNY US Equity","BS_OPRB_LT_LIABS","FQ1 2024","FQ1 2024","Currency=USD","Period=FQ","BEST_FPERIOD_OVERRIDE=FQ","FILING_STATUS=MR","SCALING_FORMAT=MLN","Sort=A","Dates=H","DateFormat=P","Fill=—","Direction=H","UseDPDF=Y")</f>
        <v>—</v>
      </c>
      <c r="Y62" s="25" t="str">
        <f>_xll.BDH("ALNY US Equity","BS_OPRB_LT_LIABS","FQ2 2024","FQ2 2024","Currency=USD","Period=FQ","BEST_FPERIOD_OVERRIDE=FQ","FILING_STATUS=MR","SCALING_FORMAT=MLN","Sort=A","Dates=H","DateFormat=P","Fill=—","Direction=H","UseDPDF=Y")</f>
        <v>—</v>
      </c>
      <c r="Z62" s="25" t="str">
        <f>_xll.BDH("ALNY US Equity","BS_OPRB_LT_LIABS","FQ3 2024","FQ3 2024","Currency=USD","Period=FQ","BEST_FPERIOD_OVERRIDE=FQ","FILING_STATUS=MR","SCALING_FORMAT=MLN","Sort=A","Dates=H","DateFormat=P","Fill=—","Direction=H","UseDPDF=Y")</f>
        <v>—</v>
      </c>
      <c r="AA62" s="25">
        <f>_xll.BDH("ALNY US Equity","BS_OPRB_LT_LIABS","FQ4 2024","FQ4 2024","Currency=USD","Period=FQ","BEST_FPERIOD_OVERRIDE=FQ","FILING_STATUS=MR","SCALING_FORMAT=MLN","Sort=A","Dates=H","DateFormat=P","Fill=—","Direction=H","UseDPDF=Y")</f>
        <v>0</v>
      </c>
    </row>
    <row r="63" spans="1:27" x14ac:dyDescent="0.25">
      <c r="A63" s="10" t="s">
        <v>750</v>
      </c>
      <c r="B63" s="10" t="s">
        <v>776</v>
      </c>
      <c r="C63" s="13">
        <f>_xll.BDH("ALNY US Equity","LT_DEFERRED_REVENUE","FQ4 2018","FQ4 2018","Currency=USD","Period=FQ","BEST_FPERIOD_OVERRIDE=FQ","FILING_STATUS=MR","SCALING_FORMAT=MLN","Sort=A","Dates=H","DateFormat=P","Fill=—","Direction=H","UseDPDF=Y")</f>
        <v>0.45800000000000002</v>
      </c>
      <c r="D63" s="13">
        <f>_xll.BDH("ALNY US Equity","LT_DEFERRED_REVENUE","FQ1 2019","FQ1 2019","Currency=USD","Period=FQ","BEST_FPERIOD_OVERRIDE=FQ","FILING_STATUS=MR","SCALING_FORMAT=MLN","Sort=A","Dates=H","DateFormat=P","Fill=—","Direction=H","UseDPDF=Y")</f>
        <v>0.47799999999999998</v>
      </c>
      <c r="E63" s="13">
        <f>_xll.BDH("ALNY US Equity","LT_DEFERRED_REVENUE","FQ2 2019","FQ2 2019","Currency=USD","Period=FQ","BEST_FPERIOD_OVERRIDE=FQ","FILING_STATUS=MR","SCALING_FORMAT=MLN","Sort=A","Dates=H","DateFormat=P","Fill=—","Direction=H","UseDPDF=Y")</f>
        <v>313.887</v>
      </c>
      <c r="F63" s="13">
        <f>_xll.BDH("ALNY US Equity","LT_DEFERRED_REVENUE","FQ3 2019","FQ3 2019","Currency=USD","Period=FQ","BEST_FPERIOD_OVERRIDE=FQ","FILING_STATUS=MR","SCALING_FORMAT=MLN","Sort=A","Dates=H","DateFormat=P","Fill=—","Direction=H","UseDPDF=Y")</f>
        <v>296.17899999999997</v>
      </c>
      <c r="G63" s="13">
        <f>_xll.BDH("ALNY US Equity","LT_DEFERRED_REVENUE","FQ4 2019","FQ4 2019","Currency=USD","Period=FQ","BEST_FPERIOD_OVERRIDE=FQ","FILING_STATUS=MR","SCALING_FORMAT=MLN","Sort=A","Dates=H","DateFormat=P","Fill=—","Direction=H","UseDPDF=Y")</f>
        <v>318.38299999999998</v>
      </c>
      <c r="H63" s="13">
        <f>_xll.BDH("ALNY US Equity","LT_DEFERRED_REVENUE","FQ1 2020","FQ1 2020","Currency=USD","Period=FQ","BEST_FPERIOD_OVERRIDE=FQ","FILING_STATUS=MR","SCALING_FORMAT=MLN","Sort=A","Dates=H","DateFormat=P","Fill=—","Direction=H","UseDPDF=Y")</f>
        <v>306.12400000000002</v>
      </c>
      <c r="I63" s="13">
        <f>_xll.BDH("ALNY US Equity","LT_DEFERRED_REVENUE","FQ2 2020","FQ2 2020","Currency=USD","Period=FQ","BEST_FPERIOD_OVERRIDE=FQ","FILING_STATUS=MR","SCALING_FORMAT=MLN","Sort=A","Dates=H","DateFormat=P","Fill=—","Direction=H","UseDPDF=Y")</f>
        <v>281.52999999999997</v>
      </c>
      <c r="J63" s="13">
        <f>_xll.BDH("ALNY US Equity","LT_DEFERRED_REVENUE","FQ3 2020","FQ3 2020","Currency=USD","Period=FQ","BEST_FPERIOD_OVERRIDE=FQ","FILING_STATUS=MR","SCALING_FORMAT=MLN","Sort=A","Dates=H","DateFormat=P","Fill=—","Direction=H","UseDPDF=Y")</f>
        <v>265.70800000000003</v>
      </c>
      <c r="K63" s="13">
        <f>_xll.BDH("ALNY US Equity","LT_DEFERRED_REVENUE","FQ4 2020","FQ4 2020","Currency=USD","Period=FQ","BEST_FPERIOD_OVERRIDE=FQ","FILING_STATUS=MR","SCALING_FORMAT=MLN","Sort=A","Dates=H","DateFormat=P","Fill=—","Direction=H","UseDPDF=Y")</f>
        <v>225.09399999999999</v>
      </c>
      <c r="L63" s="13">
        <f>_xll.BDH("ALNY US Equity","LT_DEFERRED_REVENUE","FQ1 2021","FQ1 2021","Currency=USD","Period=FQ","BEST_FPERIOD_OVERRIDE=FQ","FILING_STATUS=MR","SCALING_FORMAT=MLN","Sort=A","Dates=H","DateFormat=P","Fill=—","Direction=H","UseDPDF=Y")</f>
        <v>208.12299999999999</v>
      </c>
      <c r="M63" s="13">
        <f>_xll.BDH("ALNY US Equity","LT_DEFERRED_REVENUE","FQ2 2021","FQ2 2021","Currency=USD","Period=FQ","BEST_FPERIOD_OVERRIDE=FQ","FILING_STATUS=MR","SCALING_FORMAT=MLN","Sort=A","Dates=H","DateFormat=P","Fill=—","Direction=H","UseDPDF=Y")</f>
        <v>202.39099999999999</v>
      </c>
      <c r="N63" s="13">
        <f>_xll.BDH("ALNY US Equity","LT_DEFERRED_REVENUE","FQ3 2021","FQ3 2021","Currency=USD","Period=FQ","BEST_FPERIOD_OVERRIDE=FQ","FILING_STATUS=MR","SCALING_FORMAT=MLN","Sort=A","Dates=H","DateFormat=P","Fill=—","Direction=H","UseDPDF=Y")</f>
        <v>177.12299999999999</v>
      </c>
      <c r="O63" s="13">
        <f>_xll.BDH("ALNY US Equity","LT_DEFERRED_REVENUE","FQ4 2021","FQ4 2021","Currency=USD","Period=FQ","BEST_FPERIOD_OVERRIDE=FQ","FILING_STATUS=MR","SCALING_FORMAT=MLN","Sort=A","Dates=H","DateFormat=P","Fill=—","Direction=H","UseDPDF=Y")</f>
        <v>152.36000000000001</v>
      </c>
      <c r="P63" s="13">
        <f>_xll.BDH("ALNY US Equity","LT_DEFERRED_REVENUE","FQ1 2022","FQ1 2022","Currency=USD","Period=FQ","BEST_FPERIOD_OVERRIDE=FQ","FILING_STATUS=MR","SCALING_FORMAT=MLN","Sort=A","Dates=H","DateFormat=P","Fill=—","Direction=H","UseDPDF=Y")</f>
        <v>157.66800000000001</v>
      </c>
      <c r="Q63" s="13">
        <f>_xll.BDH("ALNY US Equity","LT_DEFERRED_REVENUE","FQ2 2022","FQ2 2022","Currency=USD","Period=FQ","BEST_FPERIOD_OVERRIDE=FQ","FILING_STATUS=MR","SCALING_FORMAT=MLN","Sort=A","Dates=H","DateFormat=P","Fill=—","Direction=H","UseDPDF=Y")</f>
        <v>175.34100000000001</v>
      </c>
      <c r="R63" s="13">
        <f>_xll.BDH("ALNY US Equity","LT_DEFERRED_REVENUE","FQ3 2022","FQ3 2022","Currency=USD","Period=FQ","BEST_FPERIOD_OVERRIDE=FQ","FILING_STATUS=MR","SCALING_FORMAT=MLN","Sort=A","Dates=H","DateFormat=P","Fill=—","Direction=H","UseDPDF=Y")</f>
        <v>132.93</v>
      </c>
      <c r="S63" s="13">
        <f>_xll.BDH("ALNY US Equity","LT_DEFERRED_REVENUE","FQ4 2022","FQ4 2022","Currency=USD","Period=FQ","BEST_FPERIOD_OVERRIDE=FQ","FILING_STATUS=MR","SCALING_FORMAT=MLN","Sort=A","Dates=H","DateFormat=P","Fill=—","Direction=H","UseDPDF=Y")</f>
        <v>193.791</v>
      </c>
      <c r="T63" s="13">
        <f>_xll.BDH("ALNY US Equity","LT_DEFERRED_REVENUE","FQ1 2023","FQ1 2023","Currency=USD","Period=FQ","BEST_FPERIOD_OVERRIDE=FQ","FILING_STATUS=MR","SCALING_FORMAT=MLN","Sort=A","Dates=H","DateFormat=P","Fill=—","Direction=H","UseDPDF=Y")</f>
        <v>191.25700000000001</v>
      </c>
      <c r="U63" s="13">
        <f>_xll.BDH("ALNY US Equity","LT_DEFERRED_REVENUE","FQ2 2023","FQ2 2023","Currency=USD","Period=FQ","BEST_FPERIOD_OVERRIDE=FQ","FILING_STATUS=MR","SCALING_FORMAT=MLN","Sort=A","Dates=H","DateFormat=P","Fill=—","Direction=H","UseDPDF=Y")</f>
        <v>194.12899999999999</v>
      </c>
      <c r="V63" s="13">
        <f>_xll.BDH("ALNY US Equity","LT_DEFERRED_REVENUE","FQ3 2023","FQ3 2023","Currency=USD","Period=FQ","BEST_FPERIOD_OVERRIDE=FQ","FILING_STATUS=MR","SCALING_FORMAT=MLN","Sort=A","Dates=H","DateFormat=P","Fill=—","Direction=H","UseDPDF=Y")</f>
        <v>196.08600000000001</v>
      </c>
      <c r="W63" s="13">
        <f>_xll.BDH("ALNY US Equity","LT_DEFERRED_REVENUE","FQ4 2023","FQ4 2023","Currency=USD","Period=FQ","BEST_FPERIOD_OVERRIDE=FQ","FILING_STATUS=MR","SCALING_FORMAT=MLN","Sort=A","Dates=H","DateFormat=P","Fill=—","Direction=H","UseDPDF=Y")</f>
        <v>188.17500000000001</v>
      </c>
      <c r="X63" s="13">
        <f>_xll.BDH("ALNY US Equity","LT_DEFERRED_REVENUE","FQ1 2024","FQ1 2024","Currency=USD","Period=FQ","BEST_FPERIOD_OVERRIDE=FQ","FILING_STATUS=MR","SCALING_FORMAT=MLN","Sort=A","Dates=H","DateFormat=P","Fill=—","Direction=H","UseDPDF=Y")</f>
        <v>185.506</v>
      </c>
      <c r="Y63" s="13">
        <f>_xll.BDH("ALNY US Equity","LT_DEFERRED_REVENUE","FQ2 2024","FQ2 2024","Currency=USD","Period=FQ","BEST_FPERIOD_OVERRIDE=FQ","FILING_STATUS=MR","SCALING_FORMAT=MLN","Sort=A","Dates=H","DateFormat=P","Fill=—","Direction=H","UseDPDF=Y")</f>
        <v>2.4020000000000001</v>
      </c>
      <c r="Z63" s="13">
        <f>_xll.BDH("ALNY US Equity","LT_DEFERRED_REVENUE","FQ3 2024","FQ3 2024","Currency=USD","Period=FQ","BEST_FPERIOD_OVERRIDE=FQ","FILING_STATUS=MR","SCALING_FORMAT=MLN","Sort=A","Dates=H","DateFormat=P","Fill=—","Direction=H","UseDPDF=Y")</f>
        <v>1.012</v>
      </c>
      <c r="AA63" s="13">
        <f>_xll.BDH("ALNY US Equity","LT_DEFERRED_REVENUE","FQ4 2024","FQ4 2024","Currency=USD","Period=FQ","BEST_FPERIOD_OVERRIDE=FQ","FILING_STATUS=MR","SCALING_FORMAT=MLN","Sort=A","Dates=H","DateFormat=P","Fill=—","Direction=H","UseDPDF=Y")</f>
        <v>0</v>
      </c>
    </row>
    <row r="64" spans="1:27" x14ac:dyDescent="0.25">
      <c r="A64" s="10" t="s">
        <v>752</v>
      </c>
      <c r="B64" s="10" t="s">
        <v>777</v>
      </c>
      <c r="C64" s="13">
        <f>_xll.BDH("ALNY US Equity","BS_DERIV_HEDGING_LIAB_LT","FQ4 2018","FQ4 2018","Currency=USD","Period=FQ","BEST_FPERIOD_OVERRIDE=FQ","FILING_STATUS=MR","SCALING_FORMAT=MLN","Sort=A","Dates=H","DateFormat=P","Fill=—","Direction=H","UseDPDF=Y")</f>
        <v>0</v>
      </c>
      <c r="D64" s="13" t="str">
        <f>_xll.BDH("ALNY US Equity","BS_DERIV_HEDGING_LIAB_LT","FQ1 2019","FQ1 2019","Currency=USD","Period=FQ","BEST_FPERIOD_OVERRIDE=FQ","FILING_STATUS=MR","SCALING_FORMAT=MLN","Sort=A","Dates=H","DateFormat=P","Fill=—","Direction=H","UseDPDF=Y")</f>
        <v>—</v>
      </c>
      <c r="E64" s="13" t="str">
        <f>_xll.BDH("ALNY US Equity","BS_DERIV_HEDGING_LIAB_LT","FQ2 2019","FQ2 2019","Currency=USD","Period=FQ","BEST_FPERIOD_OVERRIDE=FQ","FILING_STATUS=MR","SCALING_FORMAT=MLN","Sort=A","Dates=H","DateFormat=P","Fill=—","Direction=H","UseDPDF=Y")</f>
        <v>—</v>
      </c>
      <c r="F64" s="13" t="str">
        <f>_xll.BDH("ALNY US Equity","BS_DERIV_HEDGING_LIAB_LT","FQ3 2019","FQ3 2019","Currency=USD","Period=FQ","BEST_FPERIOD_OVERRIDE=FQ","FILING_STATUS=MR","SCALING_FORMAT=MLN","Sort=A","Dates=H","DateFormat=P","Fill=—","Direction=H","UseDPDF=Y")</f>
        <v>—</v>
      </c>
      <c r="G64" s="13">
        <f>_xll.BDH("ALNY US Equity","BS_DERIV_HEDGING_LIAB_LT","FQ4 2019","FQ4 2019","Currency=USD","Period=FQ","BEST_FPERIOD_OVERRIDE=FQ","FILING_STATUS=MR","SCALING_FORMAT=MLN","Sort=A","Dates=H","DateFormat=P","Fill=—","Direction=H","UseDPDF=Y")</f>
        <v>0</v>
      </c>
      <c r="H64" s="13" t="str">
        <f>_xll.BDH("ALNY US Equity","BS_DERIV_HEDGING_LIAB_LT","FQ1 2020","FQ1 2020","Currency=USD","Period=FQ","BEST_FPERIOD_OVERRIDE=FQ","FILING_STATUS=MR","SCALING_FORMAT=MLN","Sort=A","Dates=H","DateFormat=P","Fill=—","Direction=H","UseDPDF=Y")</f>
        <v>—</v>
      </c>
      <c r="I64" s="13" t="str">
        <f>_xll.BDH("ALNY US Equity","BS_DERIV_HEDGING_LIAB_LT","FQ2 2020","FQ2 2020","Currency=USD","Period=FQ","BEST_FPERIOD_OVERRIDE=FQ","FILING_STATUS=MR","SCALING_FORMAT=MLN","Sort=A","Dates=H","DateFormat=P","Fill=—","Direction=H","UseDPDF=Y")</f>
        <v>—</v>
      </c>
      <c r="J64" s="13" t="str">
        <f>_xll.BDH("ALNY US Equity","BS_DERIV_HEDGING_LIAB_LT","FQ3 2020","FQ3 2020","Currency=USD","Period=FQ","BEST_FPERIOD_OVERRIDE=FQ","FILING_STATUS=MR","SCALING_FORMAT=MLN","Sort=A","Dates=H","DateFormat=P","Fill=—","Direction=H","UseDPDF=Y")</f>
        <v>—</v>
      </c>
      <c r="K64" s="13">
        <f>_xll.BDH("ALNY US Equity","BS_DERIV_HEDGING_LIAB_LT","FQ4 2020","FQ4 2020","Currency=USD","Period=FQ","BEST_FPERIOD_OVERRIDE=FQ","FILING_STATUS=MR","SCALING_FORMAT=MLN","Sort=A","Dates=H","DateFormat=P","Fill=—","Direction=H","UseDPDF=Y")</f>
        <v>0</v>
      </c>
      <c r="L64" s="13" t="str">
        <f>_xll.BDH("ALNY US Equity","BS_DERIV_HEDGING_LIAB_LT","FQ1 2021","FQ1 2021","Currency=USD","Period=FQ","BEST_FPERIOD_OVERRIDE=FQ","FILING_STATUS=MR","SCALING_FORMAT=MLN","Sort=A","Dates=H","DateFormat=P","Fill=—","Direction=H","UseDPDF=Y")</f>
        <v>—</v>
      </c>
      <c r="M64" s="13" t="str">
        <f>_xll.BDH("ALNY US Equity","BS_DERIV_HEDGING_LIAB_LT","FQ2 2021","FQ2 2021","Currency=USD","Period=FQ","BEST_FPERIOD_OVERRIDE=FQ","FILING_STATUS=MR","SCALING_FORMAT=MLN","Sort=A","Dates=H","DateFormat=P","Fill=—","Direction=H","UseDPDF=Y")</f>
        <v>—</v>
      </c>
      <c r="N64" s="13" t="str">
        <f>_xll.BDH("ALNY US Equity","BS_DERIV_HEDGING_LIAB_LT","FQ3 2021","FQ3 2021","Currency=USD","Period=FQ","BEST_FPERIOD_OVERRIDE=FQ","FILING_STATUS=MR","SCALING_FORMAT=MLN","Sort=A","Dates=H","DateFormat=P","Fill=—","Direction=H","UseDPDF=Y")</f>
        <v>—</v>
      </c>
      <c r="O64" s="13">
        <f>_xll.BDH("ALNY US Equity","BS_DERIV_HEDGING_LIAB_LT","FQ4 2021","FQ4 2021","Currency=USD","Period=FQ","BEST_FPERIOD_OVERRIDE=FQ","FILING_STATUS=MR","SCALING_FORMAT=MLN","Sort=A","Dates=H","DateFormat=P","Fill=—","Direction=H","UseDPDF=Y")</f>
        <v>0</v>
      </c>
      <c r="P64" s="13" t="str">
        <f>_xll.BDH("ALNY US Equity","BS_DERIV_HEDGING_LIAB_LT","FQ1 2022","FQ1 2022","Currency=USD","Period=FQ","BEST_FPERIOD_OVERRIDE=FQ","FILING_STATUS=MR","SCALING_FORMAT=MLN","Sort=A","Dates=H","DateFormat=P","Fill=—","Direction=H","UseDPDF=Y")</f>
        <v>—</v>
      </c>
      <c r="Q64" s="13" t="str">
        <f>_xll.BDH("ALNY US Equity","BS_DERIV_HEDGING_LIAB_LT","FQ2 2022","FQ2 2022","Currency=USD","Period=FQ","BEST_FPERIOD_OVERRIDE=FQ","FILING_STATUS=MR","SCALING_FORMAT=MLN","Sort=A","Dates=H","DateFormat=P","Fill=—","Direction=H","UseDPDF=Y")</f>
        <v>—</v>
      </c>
      <c r="R64" s="13" t="str">
        <f>_xll.BDH("ALNY US Equity","BS_DERIV_HEDGING_LIAB_LT","FQ3 2022","FQ3 2022","Currency=USD","Period=FQ","BEST_FPERIOD_OVERRIDE=FQ","FILING_STATUS=MR","SCALING_FORMAT=MLN","Sort=A","Dates=H","DateFormat=P","Fill=—","Direction=H","UseDPDF=Y")</f>
        <v>—</v>
      </c>
      <c r="S64" s="13">
        <f>_xll.BDH("ALNY US Equity","BS_DERIV_HEDGING_LIAB_LT","FQ4 2022","FQ4 2022","Currency=USD","Period=FQ","BEST_FPERIOD_OVERRIDE=FQ","FILING_STATUS=MR","SCALING_FORMAT=MLN","Sort=A","Dates=H","DateFormat=P","Fill=—","Direction=H","UseDPDF=Y")</f>
        <v>0</v>
      </c>
      <c r="T64" s="13" t="str">
        <f>_xll.BDH("ALNY US Equity","BS_DERIV_HEDGING_LIAB_LT","FQ1 2023","FQ1 2023","Currency=USD","Period=FQ","BEST_FPERIOD_OVERRIDE=FQ","FILING_STATUS=MR","SCALING_FORMAT=MLN","Sort=A","Dates=H","DateFormat=P","Fill=—","Direction=H","UseDPDF=Y")</f>
        <v>—</v>
      </c>
      <c r="U64" s="13" t="str">
        <f>_xll.BDH("ALNY US Equity","BS_DERIV_HEDGING_LIAB_LT","FQ2 2023","FQ2 2023","Currency=USD","Period=FQ","BEST_FPERIOD_OVERRIDE=FQ","FILING_STATUS=MR","SCALING_FORMAT=MLN","Sort=A","Dates=H","DateFormat=P","Fill=—","Direction=H","UseDPDF=Y")</f>
        <v>—</v>
      </c>
      <c r="V64" s="13" t="str">
        <f>_xll.BDH("ALNY US Equity","BS_DERIV_HEDGING_LIAB_LT","FQ3 2023","FQ3 2023","Currency=USD","Period=FQ","BEST_FPERIOD_OVERRIDE=FQ","FILING_STATUS=MR","SCALING_FORMAT=MLN","Sort=A","Dates=H","DateFormat=P","Fill=—","Direction=H","UseDPDF=Y")</f>
        <v>—</v>
      </c>
      <c r="W64" s="13">
        <f>_xll.BDH("ALNY US Equity","BS_DERIV_HEDGING_LIAB_LT","FQ4 2023","FQ4 2023","Currency=USD","Period=FQ","BEST_FPERIOD_OVERRIDE=FQ","FILING_STATUS=MR","SCALING_FORMAT=MLN","Sort=A","Dates=H","DateFormat=P","Fill=—","Direction=H","UseDPDF=Y")</f>
        <v>0</v>
      </c>
      <c r="X64" s="13" t="str">
        <f>_xll.BDH("ALNY US Equity","BS_DERIV_HEDGING_LIAB_LT","FQ1 2024","FQ1 2024","Currency=USD","Period=FQ","BEST_FPERIOD_OVERRIDE=FQ","FILING_STATUS=MR","SCALING_FORMAT=MLN","Sort=A","Dates=H","DateFormat=P","Fill=—","Direction=H","UseDPDF=Y")</f>
        <v>—</v>
      </c>
      <c r="Y64" s="13" t="str">
        <f>_xll.BDH("ALNY US Equity","BS_DERIV_HEDGING_LIAB_LT","FQ2 2024","FQ2 2024","Currency=USD","Period=FQ","BEST_FPERIOD_OVERRIDE=FQ","FILING_STATUS=MR","SCALING_FORMAT=MLN","Sort=A","Dates=H","DateFormat=P","Fill=—","Direction=H","UseDPDF=Y")</f>
        <v>—</v>
      </c>
      <c r="Z64" s="13" t="str">
        <f>_xll.BDH("ALNY US Equity","BS_DERIV_HEDGING_LIAB_LT","FQ3 2024","FQ3 2024","Currency=USD","Period=FQ","BEST_FPERIOD_OVERRIDE=FQ","FILING_STATUS=MR","SCALING_FORMAT=MLN","Sort=A","Dates=H","DateFormat=P","Fill=—","Direction=H","UseDPDF=Y")</f>
        <v>—</v>
      </c>
      <c r="AA64" s="13">
        <f>_xll.BDH("ALNY US Equity","BS_DERIV_HEDGING_LIAB_LT","FQ4 2024","FQ4 2024","Currency=USD","Period=FQ","BEST_FPERIOD_OVERRIDE=FQ","FILING_STATUS=MR","SCALING_FORMAT=MLN","Sort=A","Dates=H","DateFormat=P","Fill=—","Direction=H","UseDPDF=Y")</f>
        <v>0</v>
      </c>
    </row>
    <row r="65" spans="1:27" x14ac:dyDescent="0.25">
      <c r="A65" s="10" t="s">
        <v>778</v>
      </c>
      <c r="B65" s="10" t="s">
        <v>779</v>
      </c>
      <c r="C65" s="13">
        <f>_xll.BDH("ALNY US Equity","OTHER_NONCURRENT_LIABS_DETAILED","FQ4 2018","FQ4 2018","Currency=USD","Period=FQ","BEST_FPERIOD_OVERRIDE=FQ","FILING_STATUS=MR","SCALING_FORMAT=MLN","Sort=A","Dates=H","DateFormat=P","Fill=—","Direction=H","UseDPDF=Y")</f>
        <v>62.884999999999998</v>
      </c>
      <c r="D65" s="13">
        <f>_xll.BDH("ALNY US Equity","OTHER_NONCURRENT_LIABS_DETAILED","FQ1 2019","FQ1 2019","Currency=USD","Period=FQ","BEST_FPERIOD_OVERRIDE=FQ","FILING_STATUS=MR","SCALING_FORMAT=MLN","Sort=A","Dates=H","DateFormat=P","Fill=—","Direction=H","UseDPDF=Y")</f>
        <v>5.0720000000000001</v>
      </c>
      <c r="E65" s="13">
        <f>_xll.BDH("ALNY US Equity","OTHER_NONCURRENT_LIABS_DETAILED","FQ2 2019","FQ2 2019","Currency=USD","Period=FQ","BEST_FPERIOD_OVERRIDE=FQ","FILING_STATUS=MR","SCALING_FORMAT=MLN","Sort=A","Dates=H","DateFormat=P","Fill=—","Direction=H","UseDPDF=Y")</f>
        <v>9.5139999999999993</v>
      </c>
      <c r="F65" s="13">
        <f>_xll.BDH("ALNY US Equity","OTHER_NONCURRENT_LIABS_DETAILED","FQ3 2019","FQ3 2019","Currency=USD","Period=FQ","BEST_FPERIOD_OVERRIDE=FQ","FILING_STATUS=MR","SCALING_FORMAT=MLN","Sort=A","Dates=H","DateFormat=P","Fill=—","Direction=H","UseDPDF=Y")</f>
        <v>9.0359999999999996</v>
      </c>
      <c r="G65" s="13">
        <f>_xll.BDH("ALNY US Equity","OTHER_NONCURRENT_LIABS_DETAILED","FQ4 2019","FQ4 2019","Currency=USD","Period=FQ","BEST_FPERIOD_OVERRIDE=FQ","FILING_STATUS=MR","SCALING_FORMAT=MLN","Sort=A","Dates=H","DateFormat=P","Fill=—","Direction=H","UseDPDF=Y")</f>
        <v>9.33</v>
      </c>
      <c r="H65" s="13">
        <f>_xll.BDH("ALNY US Equity","OTHER_NONCURRENT_LIABS_DETAILED","FQ1 2020","FQ1 2020","Currency=USD","Period=FQ","BEST_FPERIOD_OVERRIDE=FQ","FILING_STATUS=MR","SCALING_FORMAT=MLN","Sort=A","Dates=H","DateFormat=P","Fill=—","Direction=H","UseDPDF=Y")</f>
        <v>9.1980000000000004</v>
      </c>
      <c r="I65" s="13">
        <f>_xll.BDH("ALNY US Equity","OTHER_NONCURRENT_LIABS_DETAILED","FQ2 2020","FQ2 2020","Currency=USD","Period=FQ","BEST_FPERIOD_OVERRIDE=FQ","FILING_STATUS=MR","SCALING_FORMAT=MLN","Sort=A","Dates=H","DateFormat=P","Fill=—","Direction=H","UseDPDF=Y")</f>
        <v>1027.191</v>
      </c>
      <c r="J65" s="13">
        <f>_xll.BDH("ALNY US Equity","OTHER_NONCURRENT_LIABS_DETAILED","FQ3 2020","FQ3 2020","Currency=USD","Period=FQ","BEST_FPERIOD_OVERRIDE=FQ","FILING_STATUS=MR","SCALING_FORMAT=MLN","Sort=A","Dates=H","DateFormat=P","Fill=—","Direction=H","UseDPDF=Y")</f>
        <v>1049.049</v>
      </c>
      <c r="K65" s="13">
        <f>_xll.BDH("ALNY US Equity","OTHER_NONCURRENT_LIABS_DETAILED","FQ4 2020","FQ4 2020","Currency=USD","Period=FQ","BEST_FPERIOD_OVERRIDE=FQ","FILING_STATUS=MR","SCALING_FORMAT=MLN","Sort=A","Dates=H","DateFormat=P","Fill=—","Direction=H","UseDPDF=Y")</f>
        <v>1096.133</v>
      </c>
      <c r="L65" s="13">
        <f>_xll.BDH("ALNY US Equity","OTHER_NONCURRENT_LIABS_DETAILED","FQ1 2021","FQ1 2021","Currency=USD","Period=FQ","BEST_FPERIOD_OVERRIDE=FQ","FILING_STATUS=MR","SCALING_FORMAT=MLN","Sort=A","Dates=H","DateFormat=P","Fill=—","Direction=H","UseDPDF=Y")</f>
        <v>1146.5260000000001</v>
      </c>
      <c r="M65" s="13">
        <f>_xll.BDH("ALNY US Equity","OTHER_NONCURRENT_LIABS_DETAILED","FQ2 2021","FQ2 2021","Currency=USD","Period=FQ","BEST_FPERIOD_OVERRIDE=FQ","FILING_STATUS=MR","SCALING_FORMAT=MLN","Sort=A","Dates=H","DateFormat=P","Fill=—","Direction=H","UseDPDF=Y")</f>
        <v>1177.318</v>
      </c>
      <c r="N65" s="13">
        <f>_xll.BDH("ALNY US Equity","OTHER_NONCURRENT_LIABS_DETAILED","FQ3 2021","FQ3 2021","Currency=USD","Period=FQ","BEST_FPERIOD_OVERRIDE=FQ","FILING_STATUS=MR","SCALING_FORMAT=MLN","Sort=A","Dates=H","DateFormat=P","Fill=—","Direction=H","UseDPDF=Y")</f>
        <v>1208.8119999999999</v>
      </c>
      <c r="O65" s="13">
        <f>_xll.BDH("ALNY US Equity","OTHER_NONCURRENT_LIABS_DETAILED","FQ4 2021","FQ4 2021","Currency=USD","Period=FQ","BEST_FPERIOD_OVERRIDE=FQ","FILING_STATUS=MR","SCALING_FORMAT=MLN","Sort=A","Dates=H","DateFormat=P","Fill=—","Direction=H","UseDPDF=Y")</f>
        <v>1249.9870000000001</v>
      </c>
      <c r="P65" s="13">
        <f>_xll.BDH("ALNY US Equity","OTHER_NONCURRENT_LIABS_DETAILED","FQ1 2022","FQ1 2022","Currency=USD","Period=FQ","BEST_FPERIOD_OVERRIDE=FQ","FILING_STATUS=MR","SCALING_FORMAT=MLN","Sort=A","Dates=H","DateFormat=P","Fill=—","Direction=H","UseDPDF=Y")</f>
        <v>1314.65</v>
      </c>
      <c r="Q65" s="13">
        <f>_xll.BDH("ALNY US Equity","OTHER_NONCURRENT_LIABS_DETAILED","FQ2 2022","FQ2 2022","Currency=USD","Period=FQ","BEST_FPERIOD_OVERRIDE=FQ","FILING_STATUS=MR","SCALING_FORMAT=MLN","Sort=A","Dates=H","DateFormat=P","Fill=—","Direction=H","UseDPDF=Y")</f>
        <v>1371.6120000000001</v>
      </c>
      <c r="R65" s="13">
        <f>_xll.BDH("ALNY US Equity","OTHER_NONCURRENT_LIABS_DETAILED","FQ3 2022","FQ3 2022","Currency=USD","Period=FQ","BEST_FPERIOD_OVERRIDE=FQ","FILING_STATUS=MR","SCALING_FORMAT=MLN","Sort=A","Dates=H","DateFormat=P","Fill=—","Direction=H","UseDPDF=Y")</f>
        <v>1198.9760000000001</v>
      </c>
      <c r="S65" s="13">
        <f>_xll.BDH("ALNY US Equity","OTHER_NONCURRENT_LIABS_DETAILED","FQ4 2022","FQ4 2022","Currency=USD","Period=FQ","BEST_FPERIOD_OVERRIDE=FQ","FILING_STATUS=MR","SCALING_FORMAT=MLN","Sort=A","Dates=H","DateFormat=P","Fill=—","Direction=H","UseDPDF=Y")</f>
        <v>1464.595</v>
      </c>
      <c r="T65" s="13">
        <f>_xll.BDH("ALNY US Equity","OTHER_NONCURRENT_LIABS_DETAILED","FQ1 2023","FQ1 2023","Currency=USD","Period=FQ","BEST_FPERIOD_OVERRIDE=FQ","FILING_STATUS=MR","SCALING_FORMAT=MLN","Sort=A","Dates=H","DateFormat=P","Fill=—","Direction=H","UseDPDF=Y")</f>
        <v>1509.2460000000001</v>
      </c>
      <c r="U65" s="13">
        <f>_xll.BDH("ALNY US Equity","OTHER_NONCURRENT_LIABS_DETAILED","FQ2 2023","FQ2 2023","Currency=USD","Period=FQ","BEST_FPERIOD_OVERRIDE=FQ","FILING_STATUS=MR","SCALING_FORMAT=MLN","Sort=A","Dates=H","DateFormat=P","Fill=—","Direction=H","UseDPDF=Y")</f>
        <v>1555.5</v>
      </c>
      <c r="V65" s="13">
        <f>_xll.BDH("ALNY US Equity","OTHER_NONCURRENT_LIABS_DETAILED","FQ3 2023","FQ3 2023","Currency=USD","Period=FQ","BEST_FPERIOD_OVERRIDE=FQ","FILING_STATUS=MR","SCALING_FORMAT=MLN","Sort=A","Dates=H","DateFormat=P","Fill=—","Direction=H","UseDPDF=Y")</f>
        <v>1591.548</v>
      </c>
      <c r="W65" s="13">
        <f>_xll.BDH("ALNY US Equity","OTHER_NONCURRENT_LIABS_DETAILED","FQ4 2023","FQ4 2023","Currency=USD","Period=FQ","BEST_FPERIOD_OVERRIDE=FQ","FILING_STATUS=MR","SCALING_FORMAT=MLN","Sort=A","Dates=H","DateFormat=P","Fill=—","Direction=H","UseDPDF=Y")</f>
        <v>1630.6859999999999</v>
      </c>
      <c r="X65" s="13">
        <f>_xll.BDH("ALNY US Equity","OTHER_NONCURRENT_LIABS_DETAILED","FQ1 2024","FQ1 2024","Currency=USD","Period=FQ","BEST_FPERIOD_OVERRIDE=FQ","FILING_STATUS=MR","SCALING_FORMAT=MLN","Sort=A","Dates=H","DateFormat=P","Fill=—","Direction=H","UseDPDF=Y")</f>
        <v>1656.8820000000001</v>
      </c>
      <c r="Y65" s="13">
        <f>_xll.BDH("ALNY US Equity","OTHER_NONCURRENT_LIABS_DETAILED","FQ2 2024","FQ2 2024","Currency=USD","Period=FQ","BEST_FPERIOD_OVERRIDE=FQ","FILING_STATUS=MR","SCALING_FORMAT=MLN","Sort=A","Dates=H","DateFormat=P","Fill=—","Direction=H","UseDPDF=Y")</f>
        <v>350.428</v>
      </c>
      <c r="Z65" s="13">
        <f>_xll.BDH("ALNY US Equity","OTHER_NONCURRENT_LIABS_DETAILED","FQ3 2024","FQ3 2024","Currency=USD","Period=FQ","BEST_FPERIOD_OVERRIDE=FQ","FILING_STATUS=MR","SCALING_FORMAT=MLN","Sort=A","Dates=H","DateFormat=P","Fill=—","Direction=H","UseDPDF=Y")</f>
        <v>1691.326</v>
      </c>
      <c r="AA65" s="13">
        <f>_xll.BDH("ALNY US Equity","OTHER_NONCURRENT_LIABS_DETAILED","FQ4 2024","FQ4 2024","Currency=USD","Period=FQ","BEST_FPERIOD_OVERRIDE=FQ","FILING_STATUS=MR","SCALING_FORMAT=MLN","Sort=A","Dates=H","DateFormat=P","Fill=—","Direction=H","UseDPDF=Y")</f>
        <v>1732.461</v>
      </c>
    </row>
    <row r="66" spans="1:27" x14ac:dyDescent="0.25">
      <c r="A66" s="6" t="s">
        <v>780</v>
      </c>
      <c r="B66" s="6" t="s">
        <v>781</v>
      </c>
      <c r="C66" s="19">
        <f>_xll.BDH("ALNY US Equity","NON_CUR_LIAB","FQ4 2018","FQ4 2018","Currency=USD","Period=FQ","BEST_FPERIOD_OVERRIDE=FQ","FILING_STATUS=MR","SCALING_FORMAT=MLN","Sort=A","Dates=H","DateFormat=P","Fill=—","Direction=H","UseDPDF=Y")</f>
        <v>93.343000000000004</v>
      </c>
      <c r="D66" s="19">
        <f>_xll.BDH("ALNY US Equity","NON_CUR_LIAB","FQ1 2019","FQ1 2019","Currency=USD","Period=FQ","BEST_FPERIOD_OVERRIDE=FQ","FILING_STATUS=MR","SCALING_FORMAT=MLN","Sort=A","Dates=H","DateFormat=P","Fill=—","Direction=H","UseDPDF=Y")</f>
        <v>317.85000000000002</v>
      </c>
      <c r="E66" s="19">
        <f>_xll.BDH("ALNY US Equity","NON_CUR_LIAB","FQ2 2019","FQ2 2019","Currency=USD","Period=FQ","BEST_FPERIOD_OVERRIDE=FQ","FILING_STATUS=MR","SCALING_FORMAT=MLN","Sort=A","Dates=H","DateFormat=P","Fill=—","Direction=H","UseDPDF=Y")</f>
        <v>630.61199999999997</v>
      </c>
      <c r="F66" s="19">
        <f>_xll.BDH("ALNY US Equity","NON_CUR_LIAB","FQ3 2019","FQ3 2019","Currency=USD","Period=FQ","BEST_FPERIOD_OVERRIDE=FQ","FILING_STATUS=MR","SCALING_FORMAT=MLN","Sort=A","Dates=H","DateFormat=P","Fill=—","Direction=H","UseDPDF=Y")</f>
        <v>581.67100000000005</v>
      </c>
      <c r="G66" s="19">
        <f>_xll.BDH("ALNY US Equity","NON_CUR_LIAB","FQ4 2019","FQ4 2019","Currency=USD","Period=FQ","BEST_FPERIOD_OVERRIDE=FQ","FILING_STATUS=MR","SCALING_FORMAT=MLN","Sort=A","Dates=H","DateFormat=P","Fill=—","Direction=H","UseDPDF=Y")</f>
        <v>603.84799999999996</v>
      </c>
      <c r="H66" s="19">
        <f>_xll.BDH("ALNY US Equity","NON_CUR_LIAB","FQ1 2020","FQ1 2020","Currency=USD","Period=FQ","BEST_FPERIOD_OVERRIDE=FQ","FILING_STATUS=MR","SCALING_FORMAT=MLN","Sort=A","Dates=H","DateFormat=P","Fill=—","Direction=H","UseDPDF=Y")</f>
        <v>591.10400000000004</v>
      </c>
      <c r="I66" s="19">
        <f>_xll.BDH("ALNY US Equity","NON_CUR_LIAB","FQ2 2020","FQ2 2020","Currency=USD","Period=FQ","BEST_FPERIOD_OVERRIDE=FQ","FILING_STATUS=MR","SCALING_FORMAT=MLN","Sort=A","Dates=H","DateFormat=P","Fill=—","Direction=H","UseDPDF=Y")</f>
        <v>1590.3389999999999</v>
      </c>
      <c r="J66" s="19">
        <f>_xll.BDH("ALNY US Equity","NON_CUR_LIAB","FQ3 2020","FQ3 2020","Currency=USD","Period=FQ","BEST_FPERIOD_OVERRIDE=FQ","FILING_STATUS=MR","SCALING_FORMAT=MLN","Sort=A","Dates=H","DateFormat=P","Fill=—","Direction=H","UseDPDF=Y")</f>
        <v>1612.019</v>
      </c>
      <c r="K66" s="19">
        <f>_xll.BDH("ALNY US Equity","NON_CUR_LIAB","FQ4 2020","FQ4 2020","Currency=USD","Period=FQ","BEST_FPERIOD_OVERRIDE=FQ","FILING_STATUS=MR","SCALING_FORMAT=MLN","Sort=A","Dates=H","DateFormat=P","Fill=—","Direction=H","UseDPDF=Y")</f>
        <v>1805.5440000000001</v>
      </c>
      <c r="L66" s="19">
        <f>_xll.BDH("ALNY US Equity","NON_CUR_LIAB","FQ1 2021","FQ1 2021","Currency=USD","Period=FQ","BEST_FPERIOD_OVERRIDE=FQ","FILING_STATUS=MR","SCALING_FORMAT=MLN","Sort=A","Dates=H","DateFormat=P","Fill=—","Direction=H","UseDPDF=Y")</f>
        <v>1834.2539999999999</v>
      </c>
      <c r="M66" s="19">
        <f>_xll.BDH("ALNY US Equity","NON_CUR_LIAB","FQ2 2021","FQ2 2021","Currency=USD","Period=FQ","BEST_FPERIOD_OVERRIDE=FQ","FILING_STATUS=MR","SCALING_FORMAT=MLN","Sort=A","Dates=H","DateFormat=P","Fill=—","Direction=H","UseDPDF=Y")</f>
        <v>2101.4189999999999</v>
      </c>
      <c r="N66" s="19">
        <f>_xll.BDH("ALNY US Equity","NON_CUR_LIAB","FQ3 2021","FQ3 2021","Currency=USD","Period=FQ","BEST_FPERIOD_OVERRIDE=FQ","FILING_STATUS=MR","SCALING_FORMAT=MLN","Sort=A","Dates=H","DateFormat=P","Fill=—","Direction=H","UseDPDF=Y")</f>
        <v>2105.7640000000001</v>
      </c>
      <c r="O66" s="19">
        <f>_xll.BDH("ALNY US Equity","NON_CUR_LIAB","FQ4 2021","FQ4 2021","Currency=USD","Period=FQ","BEST_FPERIOD_OVERRIDE=FQ","FILING_STATUS=MR","SCALING_FORMAT=MLN","Sort=A","Dates=H","DateFormat=P","Fill=—","Direction=H","UseDPDF=Y")</f>
        <v>2359.3910000000001</v>
      </c>
      <c r="P66" s="19">
        <f>_xll.BDH("ALNY US Equity","NON_CUR_LIAB","FQ1 2022","FQ1 2022","Currency=USD","Period=FQ","BEST_FPERIOD_OVERRIDE=FQ","FILING_STATUS=MR","SCALING_FORMAT=MLN","Sort=A","Dates=H","DateFormat=P","Fill=—","Direction=H","UseDPDF=Y")</f>
        <v>2426.4160000000002</v>
      </c>
      <c r="Q66" s="19">
        <f>_xll.BDH("ALNY US Equity","NON_CUR_LIAB","FQ2 2022","FQ2 2022","Currency=USD","Period=FQ","BEST_FPERIOD_OVERRIDE=FQ","FILING_STATUS=MR","SCALING_FORMAT=MLN","Sort=A","Dates=H","DateFormat=P","Fill=—","Direction=H","UseDPDF=Y")</f>
        <v>2496.692</v>
      </c>
      <c r="R66" s="19">
        <f>_xll.BDH("ALNY US Equity","NON_CUR_LIAB","FQ3 2022","FQ3 2022","Currency=USD","Period=FQ","BEST_FPERIOD_OVERRIDE=FQ","FILING_STATUS=MR","SCALING_FORMAT=MLN","Sort=A","Dates=H","DateFormat=P","Fill=—","Direction=H","UseDPDF=Y")</f>
        <v>2830.1019999999999</v>
      </c>
      <c r="S66" s="19">
        <f>_xll.BDH("ALNY US Equity","NON_CUR_LIAB","FQ4 2022","FQ4 2022","Currency=USD","Period=FQ","BEST_FPERIOD_OVERRIDE=FQ","FILING_STATUS=MR","SCALING_FORMAT=MLN","Sort=A","Dates=H","DateFormat=P","Fill=—","Direction=H","UseDPDF=Y")</f>
        <v>2936.6669999999999</v>
      </c>
      <c r="T66" s="19">
        <f>_xll.BDH("ALNY US Equity","NON_CUR_LIAB","FQ1 2023","FQ1 2023","Currency=USD","Period=FQ","BEST_FPERIOD_OVERRIDE=FQ","FILING_STATUS=MR","SCALING_FORMAT=MLN","Sort=A","Dates=H","DateFormat=P","Fill=—","Direction=H","UseDPDF=Y")</f>
        <v>2977.7890000000002</v>
      </c>
      <c r="U66" s="19">
        <f>_xll.BDH("ALNY US Equity","NON_CUR_LIAB","FQ2 2023","FQ2 2023","Currency=USD","Period=FQ","BEST_FPERIOD_OVERRIDE=FQ","FILING_STATUS=MR","SCALING_FORMAT=MLN","Sort=A","Dates=H","DateFormat=P","Fill=—","Direction=H","UseDPDF=Y")</f>
        <v>3021.8879999999999</v>
      </c>
      <c r="V66" s="19">
        <f>_xll.BDH("ALNY US Equity","NON_CUR_LIAB","FQ3 2023","FQ3 2023","Currency=USD","Period=FQ","BEST_FPERIOD_OVERRIDE=FQ","FILING_STATUS=MR","SCALING_FORMAT=MLN","Sort=A","Dates=H","DateFormat=P","Fill=—","Direction=H","UseDPDF=Y")</f>
        <v>3055.154</v>
      </c>
      <c r="W66" s="19">
        <f>_xll.BDH("ALNY US Equity","NON_CUR_LIAB","FQ4 2023","FQ4 2023","Currency=USD","Period=FQ","BEST_FPERIOD_OVERRIDE=FQ","FILING_STATUS=MR","SCALING_FORMAT=MLN","Sort=A","Dates=H","DateFormat=P","Fill=—","Direction=H","UseDPDF=Y")</f>
        <v>3082.7379999999998</v>
      </c>
      <c r="X66" s="19">
        <f>_xll.BDH("ALNY US Equity","NON_CUR_LIAB","FQ1 2024","FQ1 2024","Currency=USD","Period=FQ","BEST_FPERIOD_OVERRIDE=FQ","FILING_STATUS=MR","SCALING_FORMAT=MLN","Sort=A","Dates=H","DateFormat=P","Fill=—","Direction=H","UseDPDF=Y")</f>
        <v>3101.9490000000001</v>
      </c>
      <c r="Y66" s="19">
        <f>_xll.BDH("ALNY US Equity","NON_CUR_LIAB","FQ2 2024","FQ2 2024","Currency=USD","Period=FQ","BEST_FPERIOD_OVERRIDE=FQ","FILING_STATUS=MR","SCALING_FORMAT=MLN","Sort=A","Dates=H","DateFormat=P","Fill=—","Direction=H","UseDPDF=Y")</f>
        <v>2957.45</v>
      </c>
      <c r="Z66" s="19">
        <f>_xll.BDH("ALNY US Equity","NON_CUR_LIAB","FQ3 2024","FQ3 2024","Currency=USD","Period=FQ","BEST_FPERIOD_OVERRIDE=FQ","FILING_STATUS=MR","SCALING_FORMAT=MLN","Sort=A","Dates=H","DateFormat=P","Fill=—","Direction=H","UseDPDF=Y")</f>
        <v>2952.0219999999999</v>
      </c>
      <c r="AA66" s="19">
        <f>_xll.BDH("ALNY US Equity","NON_CUR_LIAB","FQ4 2024","FQ4 2024","Currency=USD","Period=FQ","BEST_FPERIOD_OVERRIDE=FQ","FILING_STATUS=MR","SCALING_FORMAT=MLN","Sort=A","Dates=H","DateFormat=P","Fill=—","Direction=H","UseDPDF=Y")</f>
        <v>2986.623</v>
      </c>
    </row>
    <row r="67" spans="1:27" x14ac:dyDescent="0.25">
      <c r="A67" s="6" t="s">
        <v>116</v>
      </c>
      <c r="B67" s="6" t="s">
        <v>117</v>
      </c>
      <c r="C67" s="19">
        <f>_xll.BDH("ALNY US Equity","BS_TOT_LIAB2","FQ4 2018","FQ4 2018","Currency=USD","Period=FQ","BEST_FPERIOD_OVERRIDE=FQ","FILING_STATUS=MR","SCALING_FORMAT=MLN","Sort=A","Dates=H","DateFormat=P","Fill=—","Direction=H","UseDPDF=Y")</f>
        <v>272.83699999999999</v>
      </c>
      <c r="D67" s="19">
        <f>_xll.BDH("ALNY US Equity","BS_TOT_LIAB2","FQ1 2019","FQ1 2019","Currency=USD","Period=FQ","BEST_FPERIOD_OVERRIDE=FQ","FILING_STATUS=MR","SCALING_FORMAT=MLN","Sort=A","Dates=H","DateFormat=P","Fill=—","Direction=H","UseDPDF=Y")</f>
        <v>467.01299999999998</v>
      </c>
      <c r="E67" s="19">
        <f>_xll.BDH("ALNY US Equity","BS_TOT_LIAB2","FQ2 2019","FQ2 2019","Currency=USD","Period=FQ","BEST_FPERIOD_OVERRIDE=FQ","FILING_STATUS=MR","SCALING_FORMAT=MLN","Sort=A","Dates=H","DateFormat=P","Fill=—","Direction=H","UseDPDF=Y")</f>
        <v>959.21600000000001</v>
      </c>
      <c r="F67" s="19">
        <f>_xll.BDH("ALNY US Equity","BS_TOT_LIAB2","FQ3 2019","FQ3 2019","Currency=USD","Period=FQ","BEST_FPERIOD_OVERRIDE=FQ","FILING_STATUS=MR","SCALING_FORMAT=MLN","Sort=A","Dates=H","DateFormat=P","Fill=—","Direction=H","UseDPDF=Y")</f>
        <v>934.53499999999997</v>
      </c>
      <c r="G67" s="19">
        <f>_xll.BDH("ALNY US Equity","BS_TOT_LIAB2","FQ4 2019","FQ4 2019","Currency=USD","Period=FQ","BEST_FPERIOD_OVERRIDE=FQ","FILING_STATUS=MR","SCALING_FORMAT=MLN","Sort=A","Dates=H","DateFormat=P","Fill=—","Direction=H","UseDPDF=Y")</f>
        <v>956.44200000000001</v>
      </c>
      <c r="H67" s="19">
        <f>_xll.BDH("ALNY US Equity","BS_TOT_LIAB2","FQ1 2020","FQ1 2020","Currency=USD","Period=FQ","BEST_FPERIOD_OVERRIDE=FQ","FILING_STATUS=MR","SCALING_FORMAT=MLN","Sort=A","Dates=H","DateFormat=P","Fill=—","Direction=H","UseDPDF=Y")</f>
        <v>929.89499999999998</v>
      </c>
      <c r="I67" s="19">
        <f>_xll.BDH("ALNY US Equity","BS_TOT_LIAB2","FQ2 2020","FQ2 2020","Currency=USD","Period=FQ","BEST_FPERIOD_OVERRIDE=FQ","FILING_STATUS=MR","SCALING_FORMAT=MLN","Sort=A","Dates=H","DateFormat=P","Fill=—","Direction=H","UseDPDF=Y")</f>
        <v>1974.6410000000001</v>
      </c>
      <c r="J67" s="19">
        <f>_xll.BDH("ALNY US Equity","BS_TOT_LIAB2","FQ3 2020","FQ3 2020","Currency=USD","Period=FQ","BEST_FPERIOD_OVERRIDE=FQ","FILING_STATUS=MR","SCALING_FORMAT=MLN","Sort=A","Dates=H","DateFormat=P","Fill=—","Direction=H","UseDPDF=Y")</f>
        <v>2092.2600000000002</v>
      </c>
      <c r="K67" s="19">
        <f>_xll.BDH("ALNY US Equity","BS_TOT_LIAB2","FQ4 2020","FQ4 2020","Currency=USD","Period=FQ","BEST_FPERIOD_OVERRIDE=FQ","FILING_STATUS=MR","SCALING_FORMAT=MLN","Sort=A","Dates=H","DateFormat=P","Fill=—","Direction=H","UseDPDF=Y")</f>
        <v>2390.8139999999999</v>
      </c>
      <c r="L67" s="19">
        <f>_xll.BDH("ALNY US Equity","BS_TOT_LIAB2","FQ1 2021","FQ1 2021","Currency=USD","Period=FQ","BEST_FPERIOD_OVERRIDE=FQ","FILING_STATUS=MR","SCALING_FORMAT=MLN","Sort=A","Dates=H","DateFormat=P","Fill=—","Direction=H","UseDPDF=Y")</f>
        <v>2329.0790000000002</v>
      </c>
      <c r="M67" s="19">
        <f>_xll.BDH("ALNY US Equity","BS_TOT_LIAB2","FQ2 2021","FQ2 2021","Currency=USD","Period=FQ","BEST_FPERIOD_OVERRIDE=FQ","FILING_STATUS=MR","SCALING_FORMAT=MLN","Sort=A","Dates=H","DateFormat=P","Fill=—","Direction=H","UseDPDF=Y")</f>
        <v>2656.067</v>
      </c>
      <c r="N67" s="19">
        <f>_xll.BDH("ALNY US Equity","BS_TOT_LIAB2","FQ3 2021","FQ3 2021","Currency=USD","Period=FQ","BEST_FPERIOD_OVERRIDE=FQ","FILING_STATUS=MR","SCALING_FORMAT=MLN","Sort=A","Dates=H","DateFormat=P","Fill=—","Direction=H","UseDPDF=Y")</f>
        <v>2716.42</v>
      </c>
      <c r="O67" s="19">
        <f>_xll.BDH("ALNY US Equity","BS_TOT_LIAB2","FQ4 2021","FQ4 2021","Currency=USD","Period=FQ","BEST_FPERIOD_OVERRIDE=FQ","FILING_STATUS=MR","SCALING_FORMAT=MLN","Sort=A","Dates=H","DateFormat=P","Fill=—","Direction=H","UseDPDF=Y")</f>
        <v>3055.1010000000001</v>
      </c>
      <c r="P67" s="19">
        <f>_xll.BDH("ALNY US Equity","BS_TOT_LIAB2","FQ1 2022","FQ1 2022","Currency=USD","Period=FQ","BEST_FPERIOD_OVERRIDE=FQ","FILING_STATUS=MR","SCALING_FORMAT=MLN","Sort=A","Dates=H","DateFormat=P","Fill=—","Direction=H","UseDPDF=Y")</f>
        <v>3032.3789999999999</v>
      </c>
      <c r="Q67" s="19">
        <f>_xll.BDH("ALNY US Equity","BS_TOT_LIAB2","FQ2 2022","FQ2 2022","Currency=USD","Period=FQ","BEST_FPERIOD_OVERRIDE=FQ","FILING_STATUS=MR","SCALING_FORMAT=MLN","Sort=A","Dates=H","DateFormat=P","Fill=—","Direction=H","UseDPDF=Y")</f>
        <v>3154.377</v>
      </c>
      <c r="R67" s="19">
        <f>_xll.BDH("ALNY US Equity","BS_TOT_LIAB2","FQ3 2022","FQ3 2022","Currency=USD","Period=FQ","BEST_FPERIOD_OVERRIDE=FQ","FILING_STATUS=MR","SCALING_FORMAT=MLN","Sort=A","Dates=H","DateFormat=P","Fill=—","Direction=H","UseDPDF=Y")</f>
        <v>3602.893</v>
      </c>
      <c r="S67" s="19">
        <f>_xll.BDH("ALNY US Equity","BS_TOT_LIAB2","FQ4 2022","FQ4 2022","Currency=USD","Period=FQ","BEST_FPERIOD_OVERRIDE=FQ","FILING_STATUS=MR","SCALING_FORMAT=MLN","Sort=A","Dates=H","DateFormat=P","Fill=—","Direction=H","UseDPDF=Y")</f>
        <v>3704.5819999999999</v>
      </c>
      <c r="T67" s="19">
        <f>_xll.BDH("ALNY US Equity","BS_TOT_LIAB2","FQ1 2023","FQ1 2023","Currency=USD","Period=FQ","BEST_FPERIOD_OVERRIDE=FQ","FILING_STATUS=MR","SCALING_FORMAT=MLN","Sort=A","Dates=H","DateFormat=P","Fill=—","Direction=H","UseDPDF=Y")</f>
        <v>3651.18</v>
      </c>
      <c r="U67" s="19">
        <f>_xll.BDH("ALNY US Equity","BS_TOT_LIAB2","FQ2 2023","FQ2 2023","Currency=USD","Period=FQ","BEST_FPERIOD_OVERRIDE=FQ","FILING_STATUS=MR","SCALING_FORMAT=MLN","Sort=A","Dates=H","DateFormat=P","Fill=—","Direction=H","UseDPDF=Y")</f>
        <v>3810.527</v>
      </c>
      <c r="V67" s="19">
        <f>_xll.BDH("ALNY US Equity","BS_TOT_LIAB2","FQ3 2023","FQ3 2023","Currency=USD","Period=FQ","BEST_FPERIOD_OVERRIDE=FQ","FILING_STATUS=MR","SCALING_FORMAT=MLN","Sort=A","Dates=H","DateFormat=P","Fill=—","Direction=H","UseDPDF=Y")</f>
        <v>4004.9389999999999</v>
      </c>
      <c r="W67" s="19">
        <f>_xll.BDH("ALNY US Equity","BS_TOT_LIAB2","FQ4 2023","FQ4 2023","Currency=USD","Period=FQ","BEST_FPERIOD_OVERRIDE=FQ","FILING_STATUS=MR","SCALING_FORMAT=MLN","Sort=A","Dates=H","DateFormat=P","Fill=—","Direction=H","UseDPDF=Y")</f>
        <v>4050.5239999999999</v>
      </c>
      <c r="X67" s="19">
        <f>_xll.BDH("ALNY US Equity","BS_TOT_LIAB2","FQ1 2024","FQ1 2024","Currency=USD","Period=FQ","BEST_FPERIOD_OVERRIDE=FQ","FILING_STATUS=MR","SCALING_FORMAT=MLN","Sort=A","Dates=H","DateFormat=P","Fill=—","Direction=H","UseDPDF=Y")</f>
        <v>4043.6579999999999</v>
      </c>
      <c r="Y67" s="19">
        <f>_xll.BDH("ALNY US Equity","BS_TOT_LIAB2","FQ2 2024","FQ2 2024","Currency=USD","Period=FQ","BEST_FPERIOD_OVERRIDE=FQ","FILING_STATUS=MR","SCALING_FORMAT=MLN","Sort=A","Dates=H","DateFormat=P","Fill=—","Direction=H","UseDPDF=Y")</f>
        <v>4012.701</v>
      </c>
      <c r="Z67" s="19">
        <f>_xll.BDH("ALNY US Equity","BS_TOT_LIAB2","FQ3 2024","FQ3 2024","Currency=USD","Period=FQ","BEST_FPERIOD_OVERRIDE=FQ","FILING_STATUS=MR","SCALING_FORMAT=MLN","Sort=A","Dates=H","DateFormat=P","Fill=—","Direction=H","UseDPDF=Y")</f>
        <v>4172.6850000000004</v>
      </c>
      <c r="AA67" s="19">
        <f>_xll.BDH("ALNY US Equity","BS_TOT_LIAB2","FQ4 2024","FQ4 2024","Currency=USD","Period=FQ","BEST_FPERIOD_OVERRIDE=FQ","FILING_STATUS=MR","SCALING_FORMAT=MLN","Sort=A","Dates=H","DateFormat=P","Fill=—","Direction=H","UseDPDF=Y")</f>
        <v>4172.8950000000004</v>
      </c>
    </row>
    <row r="68" spans="1:27" x14ac:dyDescent="0.25">
      <c r="A68" s="10" t="s">
        <v>782</v>
      </c>
      <c r="B68" s="10" t="s">
        <v>168</v>
      </c>
      <c r="C68" s="13">
        <f>_xll.BDH("ALNY US Equity","PFD_EQTY_HYBRID_CAPITAL","FQ4 2018","FQ4 2018","Currency=USD","Period=FQ","BEST_FPERIOD_OVERRIDE=FQ","FILING_STATUS=MR","SCALING_FORMAT=MLN","Sort=A","Dates=H","DateFormat=P","Fill=—","Direction=H","UseDPDF=Y")</f>
        <v>0</v>
      </c>
      <c r="D68" s="13">
        <f>_xll.BDH("ALNY US Equity","PFD_EQTY_HYBRID_CAPITAL","FQ1 2019","FQ1 2019","Currency=USD","Period=FQ","BEST_FPERIOD_OVERRIDE=FQ","FILING_STATUS=MR","SCALING_FORMAT=MLN","Sort=A","Dates=H","DateFormat=P","Fill=—","Direction=H","UseDPDF=Y")</f>
        <v>0</v>
      </c>
      <c r="E68" s="13">
        <f>_xll.BDH("ALNY US Equity","PFD_EQTY_HYBRID_CAPITAL","FQ2 2019","FQ2 2019","Currency=USD","Period=FQ","BEST_FPERIOD_OVERRIDE=FQ","FILING_STATUS=MR","SCALING_FORMAT=MLN","Sort=A","Dates=H","DateFormat=P","Fill=—","Direction=H","UseDPDF=Y")</f>
        <v>0</v>
      </c>
      <c r="F68" s="13">
        <f>_xll.BDH("ALNY US Equity","PFD_EQTY_HYBRID_CAPITAL","FQ3 2019","FQ3 2019","Currency=USD","Period=FQ","BEST_FPERIOD_OVERRIDE=FQ","FILING_STATUS=MR","SCALING_FORMAT=MLN","Sort=A","Dates=H","DateFormat=P","Fill=—","Direction=H","UseDPDF=Y")</f>
        <v>0</v>
      </c>
      <c r="G68" s="13">
        <f>_xll.BDH("ALNY US Equity","PFD_EQTY_HYBRID_CAPITAL","FQ4 2019","FQ4 2019","Currency=USD","Period=FQ","BEST_FPERIOD_OVERRIDE=FQ","FILING_STATUS=MR","SCALING_FORMAT=MLN","Sort=A","Dates=H","DateFormat=P","Fill=—","Direction=H","UseDPDF=Y")</f>
        <v>0</v>
      </c>
      <c r="H68" s="13">
        <f>_xll.BDH("ALNY US Equity","PFD_EQTY_HYBRID_CAPITAL","FQ1 2020","FQ1 2020","Currency=USD","Period=FQ","BEST_FPERIOD_OVERRIDE=FQ","FILING_STATUS=MR","SCALING_FORMAT=MLN","Sort=A","Dates=H","DateFormat=P","Fill=—","Direction=H","UseDPDF=Y")</f>
        <v>0</v>
      </c>
      <c r="I68" s="13">
        <f>_xll.BDH("ALNY US Equity","PFD_EQTY_HYBRID_CAPITAL","FQ2 2020","FQ2 2020","Currency=USD","Period=FQ","BEST_FPERIOD_OVERRIDE=FQ","FILING_STATUS=MR","SCALING_FORMAT=MLN","Sort=A","Dates=H","DateFormat=P","Fill=—","Direction=H","UseDPDF=Y")</f>
        <v>0</v>
      </c>
      <c r="J68" s="13">
        <f>_xll.BDH("ALNY US Equity","PFD_EQTY_HYBRID_CAPITAL","FQ3 2020","FQ3 2020","Currency=USD","Period=FQ","BEST_FPERIOD_OVERRIDE=FQ","FILING_STATUS=MR","SCALING_FORMAT=MLN","Sort=A","Dates=H","DateFormat=P","Fill=—","Direction=H","UseDPDF=Y")</f>
        <v>0</v>
      </c>
      <c r="K68" s="13">
        <f>_xll.BDH("ALNY US Equity","PFD_EQTY_HYBRID_CAPITAL","FQ4 2020","FQ4 2020","Currency=USD","Period=FQ","BEST_FPERIOD_OVERRIDE=FQ","FILING_STATUS=MR","SCALING_FORMAT=MLN","Sort=A","Dates=H","DateFormat=P","Fill=—","Direction=H","UseDPDF=Y")</f>
        <v>0</v>
      </c>
      <c r="L68" s="13">
        <f>_xll.BDH("ALNY US Equity","PFD_EQTY_HYBRID_CAPITAL","FQ1 2021","FQ1 2021","Currency=USD","Period=FQ","BEST_FPERIOD_OVERRIDE=FQ","FILING_STATUS=MR","SCALING_FORMAT=MLN","Sort=A","Dates=H","DateFormat=P","Fill=—","Direction=H","UseDPDF=Y")</f>
        <v>0</v>
      </c>
      <c r="M68" s="13">
        <f>_xll.BDH("ALNY US Equity","PFD_EQTY_HYBRID_CAPITAL","FQ2 2021","FQ2 2021","Currency=USD","Period=FQ","BEST_FPERIOD_OVERRIDE=FQ","FILING_STATUS=MR","SCALING_FORMAT=MLN","Sort=A","Dates=H","DateFormat=P","Fill=—","Direction=H","UseDPDF=Y")</f>
        <v>0</v>
      </c>
      <c r="N68" s="13">
        <f>_xll.BDH("ALNY US Equity","PFD_EQTY_HYBRID_CAPITAL","FQ3 2021","FQ3 2021","Currency=USD","Period=FQ","BEST_FPERIOD_OVERRIDE=FQ","FILING_STATUS=MR","SCALING_FORMAT=MLN","Sort=A","Dates=H","DateFormat=P","Fill=—","Direction=H","UseDPDF=Y")</f>
        <v>0</v>
      </c>
      <c r="O68" s="13">
        <f>_xll.BDH("ALNY US Equity","PFD_EQTY_HYBRID_CAPITAL","FQ4 2021","FQ4 2021","Currency=USD","Period=FQ","BEST_FPERIOD_OVERRIDE=FQ","FILING_STATUS=MR","SCALING_FORMAT=MLN","Sort=A","Dates=H","DateFormat=P","Fill=—","Direction=H","UseDPDF=Y")</f>
        <v>0</v>
      </c>
      <c r="P68" s="13">
        <f>_xll.BDH("ALNY US Equity","PFD_EQTY_HYBRID_CAPITAL","FQ1 2022","FQ1 2022","Currency=USD","Period=FQ","BEST_FPERIOD_OVERRIDE=FQ","FILING_STATUS=MR","SCALING_FORMAT=MLN","Sort=A","Dates=H","DateFormat=P","Fill=—","Direction=H","UseDPDF=Y")</f>
        <v>0</v>
      </c>
      <c r="Q68" s="13">
        <f>_xll.BDH("ALNY US Equity","PFD_EQTY_HYBRID_CAPITAL","FQ2 2022","FQ2 2022","Currency=USD","Period=FQ","BEST_FPERIOD_OVERRIDE=FQ","FILING_STATUS=MR","SCALING_FORMAT=MLN","Sort=A","Dates=H","DateFormat=P","Fill=—","Direction=H","UseDPDF=Y")</f>
        <v>0</v>
      </c>
      <c r="R68" s="13">
        <f>_xll.BDH("ALNY US Equity","PFD_EQTY_HYBRID_CAPITAL","FQ3 2022","FQ3 2022","Currency=USD","Period=FQ","BEST_FPERIOD_OVERRIDE=FQ","FILING_STATUS=MR","SCALING_FORMAT=MLN","Sort=A","Dates=H","DateFormat=P","Fill=—","Direction=H","UseDPDF=Y")</f>
        <v>0</v>
      </c>
      <c r="S68" s="13">
        <f>_xll.BDH("ALNY US Equity","PFD_EQTY_HYBRID_CAPITAL","FQ4 2022","FQ4 2022","Currency=USD","Period=FQ","BEST_FPERIOD_OVERRIDE=FQ","FILING_STATUS=MR","SCALING_FORMAT=MLN","Sort=A","Dates=H","DateFormat=P","Fill=—","Direction=H","UseDPDF=Y")</f>
        <v>0</v>
      </c>
      <c r="T68" s="13">
        <f>_xll.BDH("ALNY US Equity","PFD_EQTY_HYBRID_CAPITAL","FQ1 2023","FQ1 2023","Currency=USD","Period=FQ","BEST_FPERIOD_OVERRIDE=FQ","FILING_STATUS=MR","SCALING_FORMAT=MLN","Sort=A","Dates=H","DateFormat=P","Fill=—","Direction=H","UseDPDF=Y")</f>
        <v>0</v>
      </c>
      <c r="U68" s="13">
        <f>_xll.BDH("ALNY US Equity","PFD_EQTY_HYBRID_CAPITAL","FQ2 2023","FQ2 2023","Currency=USD","Period=FQ","BEST_FPERIOD_OVERRIDE=FQ","FILING_STATUS=MR","SCALING_FORMAT=MLN","Sort=A","Dates=H","DateFormat=P","Fill=—","Direction=H","UseDPDF=Y")</f>
        <v>0</v>
      </c>
      <c r="V68" s="13">
        <f>_xll.BDH("ALNY US Equity","PFD_EQTY_HYBRID_CAPITAL","FQ3 2023","FQ3 2023","Currency=USD","Period=FQ","BEST_FPERIOD_OVERRIDE=FQ","FILING_STATUS=MR","SCALING_FORMAT=MLN","Sort=A","Dates=H","DateFormat=P","Fill=—","Direction=H","UseDPDF=Y")</f>
        <v>0</v>
      </c>
      <c r="W68" s="13">
        <f>_xll.BDH("ALNY US Equity","PFD_EQTY_HYBRID_CAPITAL","FQ4 2023","FQ4 2023","Currency=USD","Period=FQ","BEST_FPERIOD_OVERRIDE=FQ","FILING_STATUS=MR","SCALING_FORMAT=MLN","Sort=A","Dates=H","DateFormat=P","Fill=—","Direction=H","UseDPDF=Y")</f>
        <v>0</v>
      </c>
      <c r="X68" s="13">
        <f>_xll.BDH("ALNY US Equity","PFD_EQTY_HYBRID_CAPITAL","FQ1 2024","FQ1 2024","Currency=USD","Period=FQ","BEST_FPERIOD_OVERRIDE=FQ","FILING_STATUS=MR","SCALING_FORMAT=MLN","Sort=A","Dates=H","DateFormat=P","Fill=—","Direction=H","UseDPDF=Y")</f>
        <v>0</v>
      </c>
      <c r="Y68" s="13">
        <f>_xll.BDH("ALNY US Equity","PFD_EQTY_HYBRID_CAPITAL","FQ2 2024","FQ2 2024","Currency=USD","Period=FQ","BEST_FPERIOD_OVERRIDE=FQ","FILING_STATUS=MR","SCALING_FORMAT=MLN","Sort=A","Dates=H","DateFormat=P","Fill=—","Direction=H","UseDPDF=Y")</f>
        <v>0</v>
      </c>
      <c r="Z68" s="13">
        <f>_xll.BDH("ALNY US Equity","PFD_EQTY_HYBRID_CAPITAL","FQ3 2024","FQ3 2024","Currency=USD","Period=FQ","BEST_FPERIOD_OVERRIDE=FQ","FILING_STATUS=MR","SCALING_FORMAT=MLN","Sort=A","Dates=H","DateFormat=P","Fill=—","Direction=H","UseDPDF=Y")</f>
        <v>0</v>
      </c>
      <c r="AA68" s="13">
        <f>_xll.BDH("ALNY US Equity","PFD_EQTY_HYBRID_CAPITAL","FQ4 2024","FQ4 2024","Currency=USD","Period=FQ","BEST_FPERIOD_OVERRIDE=FQ","FILING_STATUS=MR","SCALING_FORMAT=MLN","Sort=A","Dates=H","DateFormat=P","Fill=—","Direction=H","UseDPDF=Y")</f>
        <v>0</v>
      </c>
    </row>
    <row r="69" spans="1:27" x14ac:dyDescent="0.25">
      <c r="A69" s="10" t="s">
        <v>783</v>
      </c>
      <c r="B69" s="10" t="s">
        <v>784</v>
      </c>
      <c r="C69" s="13">
        <f>_xll.BDH("ALNY US Equity","BS_SH_CAP_AND_APIC","FQ4 2018","FQ4 2018","Currency=USD","Period=FQ","BEST_FPERIOD_OVERRIDE=FQ","FILING_STATUS=MR","SCALING_FORMAT=MLN","Sort=A","Dates=H","DateFormat=P","Fill=—","Direction=H","UseDPDF=Y")</f>
        <v>4176.1499999999996</v>
      </c>
      <c r="D69" s="13">
        <f>_xll.BDH("ALNY US Equity","BS_SH_CAP_AND_APIC","FQ1 2019","FQ1 2019","Currency=USD","Period=FQ","BEST_FPERIOD_OVERRIDE=FQ","FILING_STATUS=MR","SCALING_FORMAT=MLN","Sort=A","Dates=H","DateFormat=P","Fill=—","Direction=H","UseDPDF=Y")</f>
        <v>4602.7259999999997</v>
      </c>
      <c r="E69" s="13">
        <f>_xll.BDH("ALNY US Equity","BS_SH_CAP_AND_APIC","FQ2 2019","FQ2 2019","Currency=USD","Period=FQ","BEST_FPERIOD_OVERRIDE=FQ","FILING_STATUS=MR","SCALING_FORMAT=MLN","Sort=A","Dates=H","DateFormat=P","Fill=—","Direction=H","UseDPDF=Y")</f>
        <v>5035.3940000000002</v>
      </c>
      <c r="F69" s="13">
        <f>_xll.BDH("ALNY US Equity","BS_SH_CAP_AND_APIC","FQ3 2019","FQ3 2019","Currency=USD","Period=FQ","BEST_FPERIOD_OVERRIDE=FQ","FILING_STATUS=MR","SCALING_FORMAT=MLN","Sort=A","Dates=H","DateFormat=P","Fill=—","Direction=H","UseDPDF=Y")</f>
        <v>5092.3609999999999</v>
      </c>
      <c r="G69" s="13">
        <f>_xll.BDH("ALNY US Equity","BS_SH_CAP_AND_APIC","FQ4 2019","FQ4 2019","Currency=USD","Period=FQ","BEST_FPERIOD_OVERRIDE=FQ","FILING_STATUS=MR","SCALING_FORMAT=MLN","Sort=A","Dates=H","DateFormat=P","Fill=—","Direction=H","UseDPDF=Y")</f>
        <v>5202.2979999999998</v>
      </c>
      <c r="H69" s="13">
        <f>_xll.BDH("ALNY US Equity","BS_SH_CAP_AND_APIC","FQ1 2020","FQ1 2020","Currency=USD","Period=FQ","BEST_FPERIOD_OVERRIDE=FQ","FILING_STATUS=MR","SCALING_FORMAT=MLN","Sort=A","Dates=H","DateFormat=P","Fill=—","Direction=H","UseDPDF=Y")</f>
        <v>5291.0969999999998</v>
      </c>
      <c r="I69" s="13">
        <f>_xll.BDH("ALNY US Equity","BS_SH_CAP_AND_APIC","FQ2 2020","FQ2 2020","Currency=USD","Period=FQ","BEST_FPERIOD_OVERRIDE=FQ","FILING_STATUS=MR","SCALING_FORMAT=MLN","Sort=A","Dates=H","DateFormat=P","Fill=—","Direction=H","UseDPDF=Y")</f>
        <v>5521.4759999999997</v>
      </c>
      <c r="J69" s="13">
        <f>_xll.BDH("ALNY US Equity","BS_SH_CAP_AND_APIC","FQ3 2020","FQ3 2020","Currency=USD","Period=FQ","BEST_FPERIOD_OVERRIDE=FQ","FILING_STATUS=MR","SCALING_FORMAT=MLN","Sort=A","Dates=H","DateFormat=P","Fill=—","Direction=H","UseDPDF=Y")</f>
        <v>5594.0450000000001</v>
      </c>
      <c r="K69" s="13">
        <f>_xll.BDH("ALNY US Equity","BS_SH_CAP_AND_APIC","FQ4 2020","FQ4 2020","Currency=USD","Period=FQ","BEST_FPERIOD_OVERRIDE=FQ","FILING_STATUS=MR","SCALING_FORMAT=MLN","Sort=A","Dates=H","DateFormat=P","Fill=—","Direction=H","UseDPDF=Y")</f>
        <v>5645.2380000000003</v>
      </c>
      <c r="L69" s="13">
        <f>_xll.BDH("ALNY US Equity","BS_SH_CAP_AND_APIC","FQ1 2021","FQ1 2021","Currency=USD","Period=FQ","BEST_FPERIOD_OVERRIDE=FQ","FILING_STATUS=MR","SCALING_FORMAT=MLN","Sort=A","Dates=H","DateFormat=P","Fill=—","Direction=H","UseDPDF=Y")</f>
        <v>5748.567</v>
      </c>
      <c r="M69" s="13">
        <f>_xll.BDH("ALNY US Equity","BS_SH_CAP_AND_APIC","FQ2 2021","FQ2 2021","Currency=USD","Period=FQ","BEST_FPERIOD_OVERRIDE=FQ","FILING_STATUS=MR","SCALING_FORMAT=MLN","Sort=A","Dates=H","DateFormat=P","Fill=—","Direction=H","UseDPDF=Y")</f>
        <v>5864.6620000000003</v>
      </c>
      <c r="N69" s="13">
        <f>_xll.BDH("ALNY US Equity","BS_SH_CAP_AND_APIC","FQ3 2021","FQ3 2021","Currency=USD","Period=FQ","BEST_FPERIOD_OVERRIDE=FQ","FILING_STATUS=MR","SCALING_FORMAT=MLN","Sort=A","Dates=H","DateFormat=P","Fill=—","Direction=H","UseDPDF=Y")</f>
        <v>5969.8559999999998</v>
      </c>
      <c r="O69" s="13">
        <f>_xll.BDH("ALNY US Equity","BS_SH_CAP_AND_APIC","FQ4 2021","FQ4 2021","Currency=USD","Period=FQ","BEST_FPERIOD_OVERRIDE=FQ","FILING_STATUS=MR","SCALING_FORMAT=MLN","Sort=A","Dates=H","DateFormat=P","Fill=—","Direction=H","UseDPDF=Y")</f>
        <v>6059.6549999999997</v>
      </c>
      <c r="P69" s="13">
        <f>_xll.BDH("ALNY US Equity","BS_SH_CAP_AND_APIC","FQ1 2022","FQ1 2022","Currency=USD","Period=FQ","BEST_FPERIOD_OVERRIDE=FQ","FILING_STATUS=MR","SCALING_FORMAT=MLN","Sort=A","Dates=H","DateFormat=P","Fill=—","Direction=H","UseDPDF=Y")</f>
        <v>6117.7650000000003</v>
      </c>
      <c r="Q69" s="13">
        <f>_xll.BDH("ALNY US Equity","BS_SH_CAP_AND_APIC","FQ2 2022","FQ2 2022","Currency=USD","Period=FQ","BEST_FPERIOD_OVERRIDE=FQ","FILING_STATUS=MR","SCALING_FORMAT=MLN","Sort=A","Dates=H","DateFormat=P","Fill=—","Direction=H","UseDPDF=Y")</f>
        <v>6174.2</v>
      </c>
      <c r="R69" s="13">
        <f>_xll.BDH("ALNY US Equity","BS_SH_CAP_AND_APIC","FQ3 2022","FQ3 2022","Currency=USD","Period=FQ","BEST_FPERIOD_OVERRIDE=FQ","FILING_STATUS=MR","SCALING_FORMAT=MLN","Sort=A","Dates=H","DateFormat=P","Fill=—","Direction=H","UseDPDF=Y")</f>
        <v>6338.0010000000002</v>
      </c>
      <c r="S69" s="13">
        <f>_xll.BDH("ALNY US Equity","BS_SH_CAP_AND_APIC","FQ4 2022","FQ4 2022","Currency=USD","Period=FQ","BEST_FPERIOD_OVERRIDE=FQ","FILING_STATUS=MR","SCALING_FORMAT=MLN","Sort=A","Dates=H","DateFormat=P","Fill=—","Direction=H","UseDPDF=Y")</f>
        <v>6455.78</v>
      </c>
      <c r="T69" s="13">
        <f>_xll.BDH("ALNY US Equity","BS_SH_CAP_AND_APIC","FQ1 2023","FQ1 2023","Currency=USD","Period=FQ","BEST_FPERIOD_OVERRIDE=FQ","FILING_STATUS=MR","SCALING_FORMAT=MLN","Sort=A","Dates=H","DateFormat=P","Fill=—","Direction=H","UseDPDF=Y")</f>
        <v>6523.3339999999998</v>
      </c>
      <c r="U69" s="13">
        <f>_xll.BDH("ALNY US Equity","BS_SH_CAP_AND_APIC","FQ2 2023","FQ2 2023","Currency=USD","Period=FQ","BEST_FPERIOD_OVERRIDE=FQ","FILING_STATUS=MR","SCALING_FORMAT=MLN","Sort=A","Dates=H","DateFormat=P","Fill=—","Direction=H","UseDPDF=Y")</f>
        <v>6648.4229999999998</v>
      </c>
      <c r="V69" s="13">
        <f>_xll.BDH("ALNY US Equity","BS_SH_CAP_AND_APIC","FQ3 2023","FQ3 2023","Currency=USD","Period=FQ","BEST_FPERIOD_OVERRIDE=FQ","FILING_STATUS=MR","SCALING_FORMAT=MLN","Sort=A","Dates=H","DateFormat=P","Fill=—","Direction=H","UseDPDF=Y")</f>
        <v>6738.1940000000004</v>
      </c>
      <c r="W69" s="13">
        <f>_xll.BDH("ALNY US Equity","BS_SH_CAP_AND_APIC","FQ4 2023","FQ4 2023","Currency=USD","Period=FQ","BEST_FPERIOD_OVERRIDE=FQ","FILING_STATUS=MR","SCALING_FORMAT=MLN","Sort=A","Dates=H","DateFormat=P","Fill=—","Direction=H","UseDPDF=Y")</f>
        <v>6812.3220000000001</v>
      </c>
      <c r="X69" s="13">
        <f>_xll.BDH("ALNY US Equity","BS_SH_CAP_AND_APIC","FQ1 2024","FQ1 2024","Currency=USD","Period=FQ","BEST_FPERIOD_OVERRIDE=FQ","FILING_STATUS=MR","SCALING_FORMAT=MLN","Sort=A","Dates=H","DateFormat=P","Fill=—","Direction=H","UseDPDF=Y")</f>
        <v>6883.2420000000002</v>
      </c>
      <c r="Y69" s="13">
        <f>_xll.BDH("ALNY US Equity","BS_SH_CAP_AND_APIC","FQ2 2024","FQ2 2024","Currency=USD","Period=FQ","BEST_FPERIOD_OVERRIDE=FQ","FILING_STATUS=MR","SCALING_FORMAT=MLN","Sort=A","Dates=H","DateFormat=P","Fill=—","Direction=H","UseDPDF=Y")</f>
        <v>7123.9849999999997</v>
      </c>
      <c r="Z69" s="13">
        <f>_xll.BDH("ALNY US Equity","BS_SH_CAP_AND_APIC","FQ3 2024","FQ3 2024","Currency=USD","Period=FQ","BEST_FPERIOD_OVERRIDE=FQ","FILING_STATUS=MR","SCALING_FORMAT=MLN","Sort=A","Dates=H","DateFormat=P","Fill=—","Direction=H","UseDPDF=Y")</f>
        <v>7261.165</v>
      </c>
      <c r="AA69" s="13">
        <f>_xll.BDH("ALNY US Equity","BS_SH_CAP_AND_APIC","FQ4 2024","FQ4 2024","Currency=USD","Period=FQ","BEST_FPERIOD_OVERRIDE=FQ","FILING_STATUS=MR","SCALING_FORMAT=MLN","Sort=A","Dates=H","DateFormat=P","Fill=—","Direction=H","UseDPDF=Y")</f>
        <v>7389.3540000000003</v>
      </c>
    </row>
    <row r="70" spans="1:27" x14ac:dyDescent="0.25">
      <c r="A70" s="10" t="s">
        <v>785</v>
      </c>
      <c r="B70" s="10" t="s">
        <v>786</v>
      </c>
      <c r="C70" s="13">
        <f>_xll.BDH("ALNY US Equity","BS_COMMON_STOCK","FQ4 2018","FQ4 2018","Currency=USD","Period=FQ","BEST_FPERIOD_OVERRIDE=FQ","FILING_STATUS=MR","SCALING_FORMAT=MLN","Sort=A","Dates=H","DateFormat=P","Fill=—","Direction=H","UseDPDF=Y")</f>
        <v>1.0109999999999999</v>
      </c>
      <c r="D70" s="13">
        <f>_xll.BDH("ALNY US Equity","BS_COMMON_STOCK","FQ1 2019","FQ1 2019","Currency=USD","Period=FQ","BEST_FPERIOD_OVERRIDE=FQ","FILING_STATUS=MR","SCALING_FORMAT=MLN","Sort=A","Dates=H","DateFormat=P","Fill=—","Direction=H","UseDPDF=Y")</f>
        <v>1.0640000000000001</v>
      </c>
      <c r="E70" s="13">
        <f>_xll.BDH("ALNY US Equity","BS_COMMON_STOCK","FQ2 2019","FQ2 2019","Currency=USD","Period=FQ","BEST_FPERIOD_OVERRIDE=FQ","FILING_STATUS=MR","SCALING_FORMAT=MLN","Sort=A","Dates=H","DateFormat=P","Fill=—","Direction=H","UseDPDF=Y")</f>
        <v>1.1100000000000001</v>
      </c>
      <c r="F70" s="13">
        <f>_xll.BDH("ALNY US Equity","BS_COMMON_STOCK","FQ3 2019","FQ3 2019","Currency=USD","Period=FQ","BEST_FPERIOD_OVERRIDE=FQ","FILING_STATUS=MR","SCALING_FORMAT=MLN","Sort=A","Dates=H","DateFormat=P","Fill=—","Direction=H","UseDPDF=Y")</f>
        <v>1.113</v>
      </c>
      <c r="G70" s="13">
        <f>_xll.BDH("ALNY US Equity","BS_COMMON_STOCK","FQ4 2019","FQ4 2019","Currency=USD","Period=FQ","BEST_FPERIOD_OVERRIDE=FQ","FILING_STATUS=MR","SCALING_FORMAT=MLN","Sort=A","Dates=H","DateFormat=P","Fill=—","Direction=H","UseDPDF=Y")</f>
        <v>1.1220000000000001</v>
      </c>
      <c r="H70" s="13">
        <f>_xll.BDH("ALNY US Equity","BS_COMMON_STOCK","FQ1 2020","FQ1 2020","Currency=USD","Period=FQ","BEST_FPERIOD_OVERRIDE=FQ","FILING_STATUS=MR","SCALING_FORMAT=MLN","Sort=A","Dates=H","DateFormat=P","Fill=—","Direction=H","UseDPDF=Y")</f>
        <v>1.131</v>
      </c>
      <c r="I70" s="13">
        <f>_xll.BDH("ALNY US Equity","BS_COMMON_STOCK","FQ2 2020","FQ2 2020","Currency=USD","Period=FQ","BEST_FPERIOD_OVERRIDE=FQ","FILING_STATUS=MR","SCALING_FORMAT=MLN","Sort=A","Dates=H","DateFormat=P","Fill=—","Direction=H","UseDPDF=Y")</f>
        <v>1.1559999999999999</v>
      </c>
      <c r="J70" s="13">
        <f>_xll.BDH("ALNY US Equity","BS_COMMON_STOCK","FQ3 2020","FQ3 2020","Currency=USD","Period=FQ","BEST_FPERIOD_OVERRIDE=FQ","FILING_STATUS=MR","SCALING_FORMAT=MLN","Sort=A","Dates=H","DateFormat=P","Fill=—","Direction=H","UseDPDF=Y")</f>
        <v>1.161</v>
      </c>
      <c r="K70" s="13">
        <f>_xll.BDH("ALNY US Equity","BS_COMMON_STOCK","FQ4 2020","FQ4 2020","Currency=USD","Period=FQ","BEST_FPERIOD_OVERRIDE=FQ","FILING_STATUS=MR","SCALING_FORMAT=MLN","Sort=A","Dates=H","DateFormat=P","Fill=—","Direction=H","UseDPDF=Y")</f>
        <v>1.1639999999999999</v>
      </c>
      <c r="L70" s="13">
        <f>_xll.BDH("ALNY US Equity","BS_COMMON_STOCK","FQ1 2021","FQ1 2021","Currency=USD","Period=FQ","BEST_FPERIOD_OVERRIDE=FQ","FILING_STATUS=MR","SCALING_FORMAT=MLN","Sort=A","Dates=H","DateFormat=P","Fill=—","Direction=H","UseDPDF=Y")</f>
        <v>1.173</v>
      </c>
      <c r="M70" s="13">
        <f>_xll.BDH("ALNY US Equity","BS_COMMON_STOCK","FQ2 2021","FQ2 2021","Currency=USD","Period=FQ","BEST_FPERIOD_OVERRIDE=FQ","FILING_STATUS=MR","SCALING_FORMAT=MLN","Sort=A","Dates=H","DateFormat=P","Fill=—","Direction=H","UseDPDF=Y")</f>
        <v>1.1859999999999999</v>
      </c>
      <c r="N70" s="13">
        <f>_xll.BDH("ALNY US Equity","BS_COMMON_STOCK","FQ3 2021","FQ3 2021","Currency=USD","Period=FQ","BEST_FPERIOD_OVERRIDE=FQ","FILING_STATUS=MR","SCALING_FORMAT=MLN","Sort=A","Dates=H","DateFormat=P","Fill=—","Direction=H","UseDPDF=Y")</f>
        <v>1.1950000000000001</v>
      </c>
      <c r="O70" s="13">
        <f>_xll.BDH("ALNY US Equity","BS_COMMON_STOCK","FQ4 2021","FQ4 2021","Currency=USD","Period=FQ","BEST_FPERIOD_OVERRIDE=FQ","FILING_STATUS=MR","SCALING_FORMAT=MLN","Sort=A","Dates=H","DateFormat=P","Fill=—","Direction=H","UseDPDF=Y")</f>
        <v>1.202</v>
      </c>
      <c r="P70" s="13">
        <f>_xll.BDH("ALNY US Equity","BS_COMMON_STOCK","FQ1 2022","FQ1 2022","Currency=USD","Period=FQ","BEST_FPERIOD_OVERRIDE=FQ","FILING_STATUS=MR","SCALING_FORMAT=MLN","Sort=A","Dates=H","DateFormat=P","Fill=—","Direction=H","UseDPDF=Y")</f>
        <v>1.2070000000000001</v>
      </c>
      <c r="Q70" s="13">
        <f>_xll.BDH("ALNY US Equity","BS_COMMON_STOCK","FQ2 2022","FQ2 2022","Currency=USD","Period=FQ","BEST_FPERIOD_OVERRIDE=FQ","FILING_STATUS=MR","SCALING_FORMAT=MLN","Sort=A","Dates=H","DateFormat=P","Fill=—","Direction=H","UseDPDF=Y")</f>
        <v>1.21</v>
      </c>
      <c r="R70" s="13">
        <f>_xll.BDH("ALNY US Equity","BS_COMMON_STOCK","FQ3 2022","FQ3 2022","Currency=USD","Period=FQ","BEST_FPERIOD_OVERRIDE=FQ","FILING_STATUS=MR","SCALING_FORMAT=MLN","Sort=A","Dates=H","DateFormat=P","Fill=—","Direction=H","UseDPDF=Y")</f>
        <v>1.23</v>
      </c>
      <c r="S70" s="13">
        <f>_xll.BDH("ALNY US Equity","BS_COMMON_STOCK","FQ4 2022","FQ4 2022","Currency=USD","Period=FQ","BEST_FPERIOD_OVERRIDE=FQ","FILING_STATUS=MR","SCALING_FORMAT=MLN","Sort=A","Dates=H","DateFormat=P","Fill=—","Direction=H","UseDPDF=Y")</f>
        <v>1.24</v>
      </c>
      <c r="T70" s="13">
        <f>_xll.BDH("ALNY US Equity","BS_COMMON_STOCK","FQ1 2023","FQ1 2023","Currency=USD","Period=FQ","BEST_FPERIOD_OVERRIDE=FQ","FILING_STATUS=MR","SCALING_FORMAT=MLN","Sort=A","Dates=H","DateFormat=P","Fill=—","Direction=H","UseDPDF=Y")</f>
        <v>1.2430000000000001</v>
      </c>
      <c r="U70" s="13">
        <f>_xll.BDH("ALNY US Equity","BS_COMMON_STOCK","FQ2 2023","FQ2 2023","Currency=USD","Period=FQ","BEST_FPERIOD_OVERRIDE=FQ","FILING_STATUS=MR","SCALING_FORMAT=MLN","Sort=A","Dates=H","DateFormat=P","Fill=—","Direction=H","UseDPDF=Y")</f>
        <v>1.25</v>
      </c>
      <c r="V70" s="13">
        <f>_xll.BDH("ALNY US Equity","BS_COMMON_STOCK","FQ3 2023","FQ3 2023","Currency=USD","Period=FQ","BEST_FPERIOD_OVERRIDE=FQ","FILING_STATUS=MR","SCALING_FORMAT=MLN","Sort=A","Dates=H","DateFormat=P","Fill=—","Direction=H","UseDPDF=Y")</f>
        <v>1.2549999999999999</v>
      </c>
      <c r="W70" s="13">
        <f>_xll.BDH("ALNY US Equity","BS_COMMON_STOCK","FQ4 2023","FQ4 2023","Currency=USD","Period=FQ","BEST_FPERIOD_OVERRIDE=FQ","FILING_STATUS=MR","SCALING_FORMAT=MLN","Sort=A","Dates=H","DateFormat=P","Fill=—","Direction=H","UseDPDF=Y")</f>
        <v>1.2589999999999999</v>
      </c>
      <c r="X70" s="13">
        <f>_xll.BDH("ALNY US Equity","BS_COMMON_STOCK","FQ1 2024","FQ1 2024","Currency=USD","Period=FQ","BEST_FPERIOD_OVERRIDE=FQ","FILING_STATUS=MR","SCALING_FORMAT=MLN","Sort=A","Dates=H","DateFormat=P","Fill=—","Direction=H","UseDPDF=Y")</f>
        <v>1.2649999999999999</v>
      </c>
      <c r="Y70" s="13">
        <f>_xll.BDH("ALNY US Equity","BS_COMMON_STOCK","FQ2 2024","FQ2 2024","Currency=USD","Period=FQ","BEST_FPERIOD_OVERRIDE=FQ","FILING_STATUS=MR","SCALING_FORMAT=MLN","Sort=A","Dates=H","DateFormat=P","Fill=—","Direction=H","UseDPDF=Y")</f>
        <v>1.2809999999999999</v>
      </c>
      <c r="Z70" s="13">
        <f>_xll.BDH("ALNY US Equity","BS_COMMON_STOCK","FQ3 2024","FQ3 2024","Currency=USD","Period=FQ","BEST_FPERIOD_OVERRIDE=FQ","FILING_STATUS=MR","SCALING_FORMAT=MLN","Sort=A","Dates=H","DateFormat=P","Fill=—","Direction=H","UseDPDF=Y")</f>
        <v>1.2889999999999999</v>
      </c>
      <c r="AA70" s="13">
        <f>_xll.BDH("ALNY US Equity","BS_COMMON_STOCK","FQ4 2024","FQ4 2024","Currency=USD","Period=FQ","BEST_FPERIOD_OVERRIDE=FQ","FILING_STATUS=MR","SCALING_FORMAT=MLN","Sort=A","Dates=H","DateFormat=P","Fill=—","Direction=H","UseDPDF=Y")</f>
        <v>1.2929999999999999</v>
      </c>
    </row>
    <row r="71" spans="1:27" x14ac:dyDescent="0.25">
      <c r="A71" s="10" t="s">
        <v>787</v>
      </c>
      <c r="B71" s="10" t="s">
        <v>788</v>
      </c>
      <c r="C71" s="13">
        <f>_xll.BDH("ALNY US Equity","BS_ADD_PAID_IN_CAP","FQ4 2018","FQ4 2018","Currency=USD","Period=FQ","BEST_FPERIOD_OVERRIDE=FQ","FILING_STATUS=MR","SCALING_FORMAT=MLN","Sort=A","Dates=H","DateFormat=P","Fill=—","Direction=H","UseDPDF=Y")</f>
        <v>4175.1390000000001</v>
      </c>
      <c r="D71" s="13">
        <f>_xll.BDH("ALNY US Equity","BS_ADD_PAID_IN_CAP","FQ1 2019","FQ1 2019","Currency=USD","Period=FQ","BEST_FPERIOD_OVERRIDE=FQ","FILING_STATUS=MR","SCALING_FORMAT=MLN","Sort=A","Dates=H","DateFormat=P","Fill=—","Direction=H","UseDPDF=Y")</f>
        <v>4601.6620000000003</v>
      </c>
      <c r="E71" s="13">
        <f>_xll.BDH("ALNY US Equity","BS_ADD_PAID_IN_CAP","FQ2 2019","FQ2 2019","Currency=USD","Period=FQ","BEST_FPERIOD_OVERRIDE=FQ","FILING_STATUS=MR","SCALING_FORMAT=MLN","Sort=A","Dates=H","DateFormat=P","Fill=—","Direction=H","UseDPDF=Y")</f>
        <v>5034.2839999999997</v>
      </c>
      <c r="F71" s="13">
        <f>_xll.BDH("ALNY US Equity","BS_ADD_PAID_IN_CAP","FQ3 2019","FQ3 2019","Currency=USD","Period=FQ","BEST_FPERIOD_OVERRIDE=FQ","FILING_STATUS=MR","SCALING_FORMAT=MLN","Sort=A","Dates=H","DateFormat=P","Fill=—","Direction=H","UseDPDF=Y")</f>
        <v>5091.2479999999996</v>
      </c>
      <c r="G71" s="13">
        <f>_xll.BDH("ALNY US Equity","BS_ADD_PAID_IN_CAP","FQ4 2019","FQ4 2019","Currency=USD","Period=FQ","BEST_FPERIOD_OVERRIDE=FQ","FILING_STATUS=MR","SCALING_FORMAT=MLN","Sort=A","Dates=H","DateFormat=P","Fill=—","Direction=H","UseDPDF=Y")</f>
        <v>5201.1760000000004</v>
      </c>
      <c r="H71" s="13">
        <f>_xll.BDH("ALNY US Equity","BS_ADD_PAID_IN_CAP","FQ1 2020","FQ1 2020","Currency=USD","Period=FQ","BEST_FPERIOD_OVERRIDE=FQ","FILING_STATUS=MR","SCALING_FORMAT=MLN","Sort=A","Dates=H","DateFormat=P","Fill=—","Direction=H","UseDPDF=Y")</f>
        <v>5289.9660000000003</v>
      </c>
      <c r="I71" s="13">
        <f>_xll.BDH("ALNY US Equity","BS_ADD_PAID_IN_CAP","FQ2 2020","FQ2 2020","Currency=USD","Period=FQ","BEST_FPERIOD_OVERRIDE=FQ","FILING_STATUS=MR","SCALING_FORMAT=MLN","Sort=A","Dates=H","DateFormat=P","Fill=—","Direction=H","UseDPDF=Y")</f>
        <v>5520.32</v>
      </c>
      <c r="J71" s="13">
        <f>_xll.BDH("ALNY US Equity","BS_ADD_PAID_IN_CAP","FQ3 2020","FQ3 2020","Currency=USD","Period=FQ","BEST_FPERIOD_OVERRIDE=FQ","FILING_STATUS=MR","SCALING_FORMAT=MLN","Sort=A","Dates=H","DateFormat=P","Fill=—","Direction=H","UseDPDF=Y")</f>
        <v>5592.884</v>
      </c>
      <c r="K71" s="13">
        <f>_xll.BDH("ALNY US Equity","BS_ADD_PAID_IN_CAP","FQ4 2020","FQ4 2020","Currency=USD","Period=FQ","BEST_FPERIOD_OVERRIDE=FQ","FILING_STATUS=MR","SCALING_FORMAT=MLN","Sort=A","Dates=H","DateFormat=P","Fill=—","Direction=H","UseDPDF=Y")</f>
        <v>5644.0739999999996</v>
      </c>
      <c r="L71" s="13">
        <f>_xll.BDH("ALNY US Equity","BS_ADD_PAID_IN_CAP","FQ1 2021","FQ1 2021","Currency=USD","Period=FQ","BEST_FPERIOD_OVERRIDE=FQ","FILING_STATUS=MR","SCALING_FORMAT=MLN","Sort=A","Dates=H","DateFormat=P","Fill=—","Direction=H","UseDPDF=Y")</f>
        <v>5747.3940000000002</v>
      </c>
      <c r="M71" s="13">
        <f>_xll.BDH("ALNY US Equity","BS_ADD_PAID_IN_CAP","FQ2 2021","FQ2 2021","Currency=USD","Period=FQ","BEST_FPERIOD_OVERRIDE=FQ","FILING_STATUS=MR","SCALING_FORMAT=MLN","Sort=A","Dates=H","DateFormat=P","Fill=—","Direction=H","UseDPDF=Y")</f>
        <v>5863.4759999999997</v>
      </c>
      <c r="N71" s="13">
        <f>_xll.BDH("ALNY US Equity","BS_ADD_PAID_IN_CAP","FQ3 2021","FQ3 2021","Currency=USD","Period=FQ","BEST_FPERIOD_OVERRIDE=FQ","FILING_STATUS=MR","SCALING_FORMAT=MLN","Sort=A","Dates=H","DateFormat=P","Fill=—","Direction=H","UseDPDF=Y")</f>
        <v>5968.6610000000001</v>
      </c>
      <c r="O71" s="13">
        <f>_xll.BDH("ALNY US Equity","BS_ADD_PAID_IN_CAP","FQ4 2021","FQ4 2021","Currency=USD","Period=FQ","BEST_FPERIOD_OVERRIDE=FQ","FILING_STATUS=MR","SCALING_FORMAT=MLN","Sort=A","Dates=H","DateFormat=P","Fill=—","Direction=H","UseDPDF=Y")</f>
        <v>6058.4530000000004</v>
      </c>
      <c r="P71" s="13">
        <f>_xll.BDH("ALNY US Equity","BS_ADD_PAID_IN_CAP","FQ1 2022","FQ1 2022","Currency=USD","Period=FQ","BEST_FPERIOD_OVERRIDE=FQ","FILING_STATUS=MR","SCALING_FORMAT=MLN","Sort=A","Dates=H","DateFormat=P","Fill=—","Direction=H","UseDPDF=Y")</f>
        <v>6116.558</v>
      </c>
      <c r="Q71" s="13">
        <f>_xll.BDH("ALNY US Equity","BS_ADD_PAID_IN_CAP","FQ2 2022","FQ2 2022","Currency=USD","Period=FQ","BEST_FPERIOD_OVERRIDE=FQ","FILING_STATUS=MR","SCALING_FORMAT=MLN","Sort=A","Dates=H","DateFormat=P","Fill=—","Direction=H","UseDPDF=Y")</f>
        <v>6172.99</v>
      </c>
      <c r="R71" s="13">
        <f>_xll.BDH("ALNY US Equity","BS_ADD_PAID_IN_CAP","FQ3 2022","FQ3 2022","Currency=USD","Period=FQ","BEST_FPERIOD_OVERRIDE=FQ","FILING_STATUS=MR","SCALING_FORMAT=MLN","Sort=A","Dates=H","DateFormat=P","Fill=—","Direction=H","UseDPDF=Y")</f>
        <v>6336.7709999999997</v>
      </c>
      <c r="S71" s="13">
        <f>_xll.BDH("ALNY US Equity","BS_ADD_PAID_IN_CAP","FQ4 2022","FQ4 2022","Currency=USD","Period=FQ","BEST_FPERIOD_OVERRIDE=FQ","FILING_STATUS=MR","SCALING_FORMAT=MLN","Sort=A","Dates=H","DateFormat=P","Fill=—","Direction=H","UseDPDF=Y")</f>
        <v>6454.54</v>
      </c>
      <c r="T71" s="13">
        <f>_xll.BDH("ALNY US Equity","BS_ADD_PAID_IN_CAP","FQ1 2023","FQ1 2023","Currency=USD","Period=FQ","BEST_FPERIOD_OVERRIDE=FQ","FILING_STATUS=MR","SCALING_FORMAT=MLN","Sort=A","Dates=H","DateFormat=P","Fill=—","Direction=H","UseDPDF=Y")</f>
        <v>6522.0910000000003</v>
      </c>
      <c r="U71" s="13">
        <f>_xll.BDH("ALNY US Equity","BS_ADD_PAID_IN_CAP","FQ2 2023","FQ2 2023","Currency=USD","Period=FQ","BEST_FPERIOD_OVERRIDE=FQ","FILING_STATUS=MR","SCALING_FORMAT=MLN","Sort=A","Dates=H","DateFormat=P","Fill=—","Direction=H","UseDPDF=Y")</f>
        <v>6647.1729999999998</v>
      </c>
      <c r="V71" s="13">
        <f>_xll.BDH("ALNY US Equity","BS_ADD_PAID_IN_CAP","FQ3 2023","FQ3 2023","Currency=USD","Period=FQ","BEST_FPERIOD_OVERRIDE=FQ","FILING_STATUS=MR","SCALING_FORMAT=MLN","Sort=A","Dates=H","DateFormat=P","Fill=—","Direction=H","UseDPDF=Y")</f>
        <v>6736.9390000000003</v>
      </c>
      <c r="W71" s="13">
        <f>_xll.BDH("ALNY US Equity","BS_ADD_PAID_IN_CAP","FQ4 2023","FQ4 2023","Currency=USD","Period=FQ","BEST_FPERIOD_OVERRIDE=FQ","FILING_STATUS=MR","SCALING_FORMAT=MLN","Sort=A","Dates=H","DateFormat=P","Fill=—","Direction=H","UseDPDF=Y")</f>
        <v>6811.0630000000001</v>
      </c>
      <c r="X71" s="13">
        <f>_xll.BDH("ALNY US Equity","BS_ADD_PAID_IN_CAP","FQ1 2024","FQ1 2024","Currency=USD","Period=FQ","BEST_FPERIOD_OVERRIDE=FQ","FILING_STATUS=MR","SCALING_FORMAT=MLN","Sort=A","Dates=H","DateFormat=P","Fill=—","Direction=H","UseDPDF=Y")</f>
        <v>6881.9769999999999</v>
      </c>
      <c r="Y71" s="13">
        <f>_xll.BDH("ALNY US Equity","BS_ADD_PAID_IN_CAP","FQ2 2024","FQ2 2024","Currency=USD","Period=FQ","BEST_FPERIOD_OVERRIDE=FQ","FILING_STATUS=MR","SCALING_FORMAT=MLN","Sort=A","Dates=H","DateFormat=P","Fill=—","Direction=H","UseDPDF=Y")</f>
        <v>7122.7039999999997</v>
      </c>
      <c r="Z71" s="13">
        <f>_xll.BDH("ALNY US Equity","BS_ADD_PAID_IN_CAP","FQ3 2024","FQ3 2024","Currency=USD","Period=FQ","BEST_FPERIOD_OVERRIDE=FQ","FILING_STATUS=MR","SCALING_FORMAT=MLN","Sort=A","Dates=H","DateFormat=P","Fill=—","Direction=H","UseDPDF=Y")</f>
        <v>7259.8760000000002</v>
      </c>
      <c r="AA71" s="13">
        <f>_xll.BDH("ALNY US Equity","BS_ADD_PAID_IN_CAP","FQ4 2024","FQ4 2024","Currency=USD","Period=FQ","BEST_FPERIOD_OVERRIDE=FQ","FILING_STATUS=MR","SCALING_FORMAT=MLN","Sort=A","Dates=H","DateFormat=P","Fill=—","Direction=H","UseDPDF=Y")</f>
        <v>7388.0609999999997</v>
      </c>
    </row>
    <row r="72" spans="1:27" x14ac:dyDescent="0.25">
      <c r="A72" s="10" t="s">
        <v>789</v>
      </c>
      <c r="B72" s="10" t="s">
        <v>790</v>
      </c>
      <c r="C72" s="13">
        <f>_xll.BDH("ALNY US Equity","BS_AMT_OF_TSY_STOCK","FQ4 2018","FQ4 2018","Currency=USD","Period=FQ","BEST_FPERIOD_OVERRIDE=FQ","FILING_STATUS=MR","SCALING_FORMAT=MLN","Sort=A","Dates=H","DateFormat=P","Fill=—","Direction=H","UseDPDF=Y")</f>
        <v>0</v>
      </c>
      <c r="D72" s="13">
        <f>_xll.BDH("ALNY US Equity","BS_AMT_OF_TSY_STOCK","FQ1 2019","FQ1 2019","Currency=USD","Period=FQ","BEST_FPERIOD_OVERRIDE=FQ","FILING_STATUS=MR","SCALING_FORMAT=MLN","Sort=A","Dates=H","DateFormat=P","Fill=—","Direction=H","UseDPDF=Y")</f>
        <v>0</v>
      </c>
      <c r="E72" s="13">
        <f>_xll.BDH("ALNY US Equity","BS_AMT_OF_TSY_STOCK","FQ2 2019","FQ2 2019","Currency=USD","Period=FQ","BEST_FPERIOD_OVERRIDE=FQ","FILING_STATUS=MR","SCALING_FORMAT=MLN","Sort=A","Dates=H","DateFormat=P","Fill=—","Direction=H","UseDPDF=Y")</f>
        <v>0</v>
      </c>
      <c r="F72" s="13">
        <f>_xll.BDH("ALNY US Equity","BS_AMT_OF_TSY_STOCK","FQ3 2019","FQ3 2019","Currency=USD","Period=FQ","BEST_FPERIOD_OVERRIDE=FQ","FILING_STATUS=MR","SCALING_FORMAT=MLN","Sort=A","Dates=H","DateFormat=P","Fill=—","Direction=H","UseDPDF=Y")</f>
        <v>0</v>
      </c>
      <c r="G72" s="13">
        <f>_xll.BDH("ALNY US Equity","BS_AMT_OF_TSY_STOCK","FQ4 2019","FQ4 2019","Currency=USD","Period=FQ","BEST_FPERIOD_OVERRIDE=FQ","FILING_STATUS=MR","SCALING_FORMAT=MLN","Sort=A","Dates=H","DateFormat=P","Fill=—","Direction=H","UseDPDF=Y")</f>
        <v>0</v>
      </c>
      <c r="H72" s="13">
        <f>_xll.BDH("ALNY US Equity","BS_AMT_OF_TSY_STOCK","FQ1 2020","FQ1 2020","Currency=USD","Period=FQ","BEST_FPERIOD_OVERRIDE=FQ","FILING_STATUS=MR","SCALING_FORMAT=MLN","Sort=A","Dates=H","DateFormat=P","Fill=—","Direction=H","UseDPDF=Y")</f>
        <v>0</v>
      </c>
      <c r="I72" s="13">
        <f>_xll.BDH("ALNY US Equity","BS_AMT_OF_TSY_STOCK","FQ2 2020","FQ2 2020","Currency=USD","Period=FQ","BEST_FPERIOD_OVERRIDE=FQ","FILING_STATUS=MR","SCALING_FORMAT=MLN","Sort=A","Dates=H","DateFormat=P","Fill=—","Direction=H","UseDPDF=Y")</f>
        <v>0</v>
      </c>
      <c r="J72" s="13">
        <f>_xll.BDH("ALNY US Equity","BS_AMT_OF_TSY_STOCK","FQ3 2020","FQ3 2020","Currency=USD","Period=FQ","BEST_FPERIOD_OVERRIDE=FQ","FILING_STATUS=MR","SCALING_FORMAT=MLN","Sort=A","Dates=H","DateFormat=P","Fill=—","Direction=H","UseDPDF=Y")</f>
        <v>0</v>
      </c>
      <c r="K72" s="13">
        <f>_xll.BDH("ALNY US Equity","BS_AMT_OF_TSY_STOCK","FQ4 2020","FQ4 2020","Currency=USD","Period=FQ","BEST_FPERIOD_OVERRIDE=FQ","FILING_STATUS=MR","SCALING_FORMAT=MLN","Sort=A","Dates=H","DateFormat=P","Fill=—","Direction=H","UseDPDF=Y")</f>
        <v>0</v>
      </c>
      <c r="L72" s="13">
        <f>_xll.BDH("ALNY US Equity","BS_AMT_OF_TSY_STOCK","FQ1 2021","FQ1 2021","Currency=USD","Period=FQ","BEST_FPERIOD_OVERRIDE=FQ","FILING_STATUS=MR","SCALING_FORMAT=MLN","Sort=A","Dates=H","DateFormat=P","Fill=—","Direction=H","UseDPDF=Y")</f>
        <v>0</v>
      </c>
      <c r="M72" s="13">
        <f>_xll.BDH("ALNY US Equity","BS_AMT_OF_TSY_STOCK","FQ2 2021","FQ2 2021","Currency=USD","Period=FQ","BEST_FPERIOD_OVERRIDE=FQ","FILING_STATUS=MR","SCALING_FORMAT=MLN","Sort=A","Dates=H","DateFormat=P","Fill=—","Direction=H","UseDPDF=Y")</f>
        <v>0</v>
      </c>
      <c r="N72" s="13">
        <f>_xll.BDH("ALNY US Equity","BS_AMT_OF_TSY_STOCK","FQ3 2021","FQ3 2021","Currency=USD","Period=FQ","BEST_FPERIOD_OVERRIDE=FQ","FILING_STATUS=MR","SCALING_FORMAT=MLN","Sort=A","Dates=H","DateFormat=P","Fill=—","Direction=H","UseDPDF=Y")</f>
        <v>0</v>
      </c>
      <c r="O72" s="13">
        <f>_xll.BDH("ALNY US Equity","BS_AMT_OF_TSY_STOCK","FQ4 2021","FQ4 2021","Currency=USD","Period=FQ","BEST_FPERIOD_OVERRIDE=FQ","FILING_STATUS=MR","SCALING_FORMAT=MLN","Sort=A","Dates=H","DateFormat=P","Fill=—","Direction=H","UseDPDF=Y")</f>
        <v>0</v>
      </c>
      <c r="P72" s="13">
        <f>_xll.BDH("ALNY US Equity","BS_AMT_OF_TSY_STOCK","FQ1 2022","FQ1 2022","Currency=USD","Period=FQ","BEST_FPERIOD_OVERRIDE=FQ","FILING_STATUS=MR","SCALING_FORMAT=MLN","Sort=A","Dates=H","DateFormat=P","Fill=—","Direction=H","UseDPDF=Y")</f>
        <v>0</v>
      </c>
      <c r="Q72" s="13">
        <f>_xll.BDH("ALNY US Equity","BS_AMT_OF_TSY_STOCK","FQ2 2022","FQ2 2022","Currency=USD","Period=FQ","BEST_FPERIOD_OVERRIDE=FQ","FILING_STATUS=MR","SCALING_FORMAT=MLN","Sort=A","Dates=H","DateFormat=P","Fill=—","Direction=H","UseDPDF=Y")</f>
        <v>0</v>
      </c>
      <c r="R72" s="13">
        <f>_xll.BDH("ALNY US Equity","BS_AMT_OF_TSY_STOCK","FQ3 2022","FQ3 2022","Currency=USD","Period=FQ","BEST_FPERIOD_OVERRIDE=FQ","FILING_STATUS=MR","SCALING_FORMAT=MLN","Sort=A","Dates=H","DateFormat=P","Fill=—","Direction=H","UseDPDF=Y")</f>
        <v>0</v>
      </c>
      <c r="S72" s="13">
        <f>_xll.BDH("ALNY US Equity","BS_AMT_OF_TSY_STOCK","FQ4 2022","FQ4 2022","Currency=USD","Period=FQ","BEST_FPERIOD_OVERRIDE=FQ","FILING_STATUS=MR","SCALING_FORMAT=MLN","Sort=A","Dates=H","DateFormat=P","Fill=—","Direction=H","UseDPDF=Y")</f>
        <v>0</v>
      </c>
      <c r="T72" s="13">
        <f>_xll.BDH("ALNY US Equity","BS_AMT_OF_TSY_STOCK","FQ1 2023","FQ1 2023","Currency=USD","Period=FQ","BEST_FPERIOD_OVERRIDE=FQ","FILING_STATUS=MR","SCALING_FORMAT=MLN","Sort=A","Dates=H","DateFormat=P","Fill=—","Direction=H","UseDPDF=Y")</f>
        <v>0</v>
      </c>
      <c r="U72" s="13">
        <f>_xll.BDH("ALNY US Equity","BS_AMT_OF_TSY_STOCK","FQ2 2023","FQ2 2023","Currency=USD","Period=FQ","BEST_FPERIOD_OVERRIDE=FQ","FILING_STATUS=MR","SCALING_FORMAT=MLN","Sort=A","Dates=H","DateFormat=P","Fill=—","Direction=H","UseDPDF=Y")</f>
        <v>0</v>
      </c>
      <c r="V72" s="13">
        <f>_xll.BDH("ALNY US Equity","BS_AMT_OF_TSY_STOCK","FQ3 2023","FQ3 2023","Currency=USD","Period=FQ","BEST_FPERIOD_OVERRIDE=FQ","FILING_STATUS=MR","SCALING_FORMAT=MLN","Sort=A","Dates=H","DateFormat=P","Fill=—","Direction=H","UseDPDF=Y")</f>
        <v>0</v>
      </c>
      <c r="W72" s="13">
        <f>_xll.BDH("ALNY US Equity","BS_AMT_OF_TSY_STOCK","FQ4 2023","FQ4 2023","Currency=USD","Period=FQ","BEST_FPERIOD_OVERRIDE=FQ","FILING_STATUS=MR","SCALING_FORMAT=MLN","Sort=A","Dates=H","DateFormat=P","Fill=—","Direction=H","UseDPDF=Y")</f>
        <v>0</v>
      </c>
      <c r="X72" s="13">
        <f>_xll.BDH("ALNY US Equity","BS_AMT_OF_TSY_STOCK","FQ1 2024","FQ1 2024","Currency=USD","Period=FQ","BEST_FPERIOD_OVERRIDE=FQ","FILING_STATUS=MR","SCALING_FORMAT=MLN","Sort=A","Dates=H","DateFormat=P","Fill=—","Direction=H","UseDPDF=Y")</f>
        <v>0</v>
      </c>
      <c r="Y72" s="13">
        <f>_xll.BDH("ALNY US Equity","BS_AMT_OF_TSY_STOCK","FQ2 2024","FQ2 2024","Currency=USD","Period=FQ","BEST_FPERIOD_OVERRIDE=FQ","FILING_STATUS=MR","SCALING_FORMAT=MLN","Sort=A","Dates=H","DateFormat=P","Fill=—","Direction=H","UseDPDF=Y")</f>
        <v>0</v>
      </c>
      <c r="Z72" s="13">
        <f>_xll.BDH("ALNY US Equity","BS_AMT_OF_TSY_STOCK","FQ3 2024","FQ3 2024","Currency=USD","Period=FQ","BEST_FPERIOD_OVERRIDE=FQ","FILING_STATUS=MR","SCALING_FORMAT=MLN","Sort=A","Dates=H","DateFormat=P","Fill=—","Direction=H","UseDPDF=Y")</f>
        <v>0</v>
      </c>
      <c r="AA72" s="13">
        <f>_xll.BDH("ALNY US Equity","BS_AMT_OF_TSY_STOCK","FQ4 2024","FQ4 2024","Currency=USD","Period=FQ","BEST_FPERIOD_OVERRIDE=FQ","FILING_STATUS=MR","SCALING_FORMAT=MLN","Sort=A","Dates=H","DateFormat=P","Fill=—","Direction=H","UseDPDF=Y")</f>
        <v>0</v>
      </c>
    </row>
    <row r="73" spans="1:27" x14ac:dyDescent="0.25">
      <c r="A73" s="10" t="s">
        <v>791</v>
      </c>
      <c r="B73" s="10" t="s">
        <v>792</v>
      </c>
      <c r="C73" s="13">
        <f>_xll.BDH("ALNY US Equity","BS_PURE_RETAINED_EARNINGS","FQ4 2018","FQ4 2018","Currency=USD","Period=FQ","BEST_FPERIOD_OVERRIDE=FQ","FILING_STATUS=MR","SCALING_FORMAT=MLN","Sort=A","Dates=H","DateFormat=P","Fill=—","Direction=H","UseDPDF=Y")</f>
        <v>-2840.9720000000002</v>
      </c>
      <c r="D73" s="13">
        <f>_xll.BDH("ALNY US Equity","BS_PURE_RETAINED_EARNINGS","FQ1 2019","FQ1 2019","Currency=USD","Period=FQ","BEST_FPERIOD_OVERRIDE=FQ","FILING_STATUS=MR","SCALING_FORMAT=MLN","Sort=A","Dates=H","DateFormat=P","Fill=—","Direction=H","UseDPDF=Y")</f>
        <v>-3022.8870000000002</v>
      </c>
      <c r="E73" s="13">
        <f>_xll.BDH("ALNY US Equity","BS_PURE_RETAINED_EARNINGS","FQ2 2019","FQ2 2019","Currency=USD","Period=FQ","BEST_FPERIOD_OVERRIDE=FQ","FILING_STATUS=MR","SCALING_FORMAT=MLN","Sort=A","Dates=H","DateFormat=P","Fill=—","Direction=H","UseDPDF=Y")</f>
        <v>-3242.3679999999999</v>
      </c>
      <c r="F73" s="13">
        <f>_xll.BDH("ALNY US Equity","BS_PURE_RETAINED_EARNINGS","FQ3 2019","FQ3 2019","Currency=USD","Period=FQ","BEST_FPERIOD_OVERRIDE=FQ","FILING_STATUS=MR","SCALING_FORMAT=MLN","Sort=A","Dates=H","DateFormat=P","Fill=—","Direction=H","UseDPDF=Y")</f>
        <v>-3450.9029999999998</v>
      </c>
      <c r="G73" s="13">
        <f>_xll.BDH("ALNY US Equity","BS_PURE_RETAINED_EARNINGS","FQ4 2019","FQ4 2019","Currency=USD","Period=FQ","BEST_FPERIOD_OVERRIDE=FQ","FILING_STATUS=MR","SCALING_FORMAT=MLN","Sort=A","Dates=H","DateFormat=P","Fill=—","Direction=H","UseDPDF=Y")</f>
        <v>-3727.0880000000002</v>
      </c>
      <c r="H73" s="13">
        <f>_xll.BDH("ALNY US Equity","BS_PURE_RETAINED_EARNINGS","FQ1 2020","FQ1 2020","Currency=USD","Period=FQ","BEST_FPERIOD_OVERRIDE=FQ","FILING_STATUS=MR","SCALING_FORMAT=MLN","Sort=A","Dates=H","DateFormat=P","Fill=—","Direction=H","UseDPDF=Y")</f>
        <v>-3909.3090000000002</v>
      </c>
      <c r="I73" s="13">
        <f>_xll.BDH("ALNY US Equity","BS_PURE_RETAINED_EARNINGS","FQ2 2020","FQ2 2020","Currency=USD","Period=FQ","BEST_FPERIOD_OVERRIDE=FQ","FILING_STATUS=MR","SCALING_FORMAT=MLN","Sort=A","Dates=H","DateFormat=P","Fill=—","Direction=H","UseDPDF=Y")</f>
        <v>-4088.538</v>
      </c>
      <c r="J73" s="13">
        <f>_xll.BDH("ALNY US Equity","BS_PURE_RETAINED_EARNINGS","FQ3 2020","FQ3 2020","Currency=USD","Period=FQ","BEST_FPERIOD_OVERRIDE=FQ","FILING_STATUS=MR","SCALING_FORMAT=MLN","Sort=A","Dates=H","DateFormat=P","Fill=—","Direction=H","UseDPDF=Y")</f>
        <v>-4341.8289999999997</v>
      </c>
      <c r="K73" s="13">
        <f>_xll.BDH("ALNY US Equity","BS_PURE_RETAINED_EARNINGS","FQ4 2020","FQ4 2020","Currency=USD","Period=FQ","BEST_FPERIOD_OVERRIDE=FQ","FILING_STATUS=MR","SCALING_FORMAT=MLN","Sort=A","Dates=H","DateFormat=P","Fill=—","Direction=H","UseDPDF=Y")</f>
        <v>-4585.3689999999997</v>
      </c>
      <c r="L73" s="13">
        <f>_xll.BDH("ALNY US Equity","BS_PURE_RETAINED_EARNINGS","FQ1 2021","FQ1 2021","Currency=USD","Period=FQ","BEST_FPERIOD_OVERRIDE=FQ","FILING_STATUS=MR","SCALING_FORMAT=MLN","Sort=A","Dates=H","DateFormat=P","Fill=—","Direction=H","UseDPDF=Y")</f>
        <v>-4785.66</v>
      </c>
      <c r="M73" s="13">
        <f>_xll.BDH("ALNY US Equity","BS_PURE_RETAINED_EARNINGS","FQ2 2021","FQ2 2021","Currency=USD","Period=FQ","BEST_FPERIOD_OVERRIDE=FQ","FILING_STATUS=MR","SCALING_FORMAT=MLN","Sort=A","Dates=H","DateFormat=P","Fill=—","Direction=H","UseDPDF=Y")</f>
        <v>-4975.2190000000001</v>
      </c>
      <c r="N73" s="13">
        <f>_xll.BDH("ALNY US Equity","BS_PURE_RETAINED_EARNINGS","FQ3 2021","FQ3 2021","Currency=USD","Period=FQ","BEST_FPERIOD_OVERRIDE=FQ","FILING_STATUS=MR","SCALING_FORMAT=MLN","Sort=A","Dates=H","DateFormat=P","Fill=—","Direction=H","UseDPDF=Y")</f>
        <v>-5179.7330000000002</v>
      </c>
      <c r="O73" s="13">
        <f>_xll.BDH("ALNY US Equity","BS_PURE_RETAINED_EARNINGS","FQ4 2021","FQ4 2021","Currency=USD","Period=FQ","BEST_FPERIOD_OVERRIDE=FQ","FILING_STATUS=MR","SCALING_FORMAT=MLN","Sort=A","Dates=H","DateFormat=P","Fill=—","Direction=H","UseDPDF=Y")</f>
        <v>-5438.1930000000002</v>
      </c>
      <c r="P73" s="13">
        <f>_xll.BDH("ALNY US Equity","BS_PURE_RETAINED_EARNINGS","FQ1 2022","FQ1 2022","Currency=USD","Period=FQ","BEST_FPERIOD_OVERRIDE=FQ","FILING_STATUS=MR","SCALING_FORMAT=MLN","Sort=A","Dates=H","DateFormat=P","Fill=—","Direction=H","UseDPDF=Y")</f>
        <v>-5678.5339999999997</v>
      </c>
      <c r="Q73" s="13">
        <f>_xll.BDH("ALNY US Equity","BS_PURE_RETAINED_EARNINGS","FQ2 2022","FQ2 2022","Currency=USD","Period=FQ","BEST_FPERIOD_OVERRIDE=FQ","FILING_STATUS=MR","SCALING_FORMAT=MLN","Sort=A","Dates=H","DateFormat=P","Fill=—","Direction=H","UseDPDF=Y")</f>
        <v>-5955.9359999999997</v>
      </c>
      <c r="R73" s="13">
        <f>_xll.BDH("ALNY US Equity","BS_PURE_RETAINED_EARNINGS","FQ3 2022","FQ3 2022","Currency=USD","Period=FQ","BEST_FPERIOD_OVERRIDE=FQ","FILING_STATUS=MR","SCALING_FORMAT=MLN","Sort=A","Dates=H","DateFormat=P","Fill=—","Direction=H","UseDPDF=Y")</f>
        <v>-6361.8559999999998</v>
      </c>
      <c r="S73" s="13">
        <f>_xll.BDH("ALNY US Equity","BS_PURE_RETAINED_EARNINGS","FQ4 2022","FQ4 2022","Currency=USD","Period=FQ","BEST_FPERIOD_OVERRIDE=FQ","FILING_STATUS=MR","SCALING_FORMAT=MLN","Sort=A","Dates=H","DateFormat=P","Fill=—","Direction=H","UseDPDF=Y")</f>
        <v>-6569.3490000000002</v>
      </c>
      <c r="T73" s="13">
        <f>_xll.BDH("ALNY US Equity","BS_PURE_RETAINED_EARNINGS","FQ1 2023","FQ1 2023","Currency=USD","Period=FQ","BEST_FPERIOD_OVERRIDE=FQ","FILING_STATUS=MR","SCALING_FORMAT=MLN","Sort=A","Dates=H","DateFormat=P","Fill=—","Direction=H","UseDPDF=Y")</f>
        <v>-6743.45</v>
      </c>
      <c r="U73" s="13">
        <f>_xll.BDH("ALNY US Equity","BS_PURE_RETAINED_EARNINGS","FQ2 2023","FQ2 2023","Currency=USD","Period=FQ","BEST_FPERIOD_OVERRIDE=FQ","FILING_STATUS=MR","SCALING_FORMAT=MLN","Sort=A","Dates=H","DateFormat=P","Fill=—","Direction=H","UseDPDF=Y")</f>
        <v>-7019.4740000000002</v>
      </c>
      <c r="V73" s="13">
        <f>_xll.BDH("ALNY US Equity","BS_PURE_RETAINED_EARNINGS","FQ3 2023","FQ3 2023","Currency=USD","Period=FQ","BEST_FPERIOD_OVERRIDE=FQ","FILING_STATUS=MR","SCALING_FORMAT=MLN","Sort=A","Dates=H","DateFormat=P","Fill=—","Direction=H","UseDPDF=Y")</f>
        <v>-6871.7209999999995</v>
      </c>
      <c r="W73" s="13">
        <f>_xll.BDH("ALNY US Equity","BS_PURE_RETAINED_EARNINGS","FQ4 2023","FQ4 2023","Currency=USD","Period=FQ","BEST_FPERIOD_OVERRIDE=FQ","FILING_STATUS=MR","SCALING_FORMAT=MLN","Sort=A","Dates=H","DateFormat=P","Fill=—","Direction=H","UseDPDF=Y")</f>
        <v>-7009.5910000000003</v>
      </c>
      <c r="X73" s="13">
        <f>_xll.BDH("ALNY US Equity","BS_PURE_RETAINED_EARNINGS","FQ1 2024","FQ1 2024","Currency=USD","Period=FQ","BEST_FPERIOD_OVERRIDE=FQ","FILING_STATUS=MR","SCALING_FORMAT=MLN","Sort=A","Dates=H","DateFormat=P","Fill=—","Direction=H","UseDPDF=Y")</f>
        <v>-7075.5259999999998</v>
      </c>
      <c r="Y73" s="13">
        <f>_xll.BDH("ALNY US Equity","BS_PURE_RETAINED_EARNINGS","FQ2 2024","FQ2 2024","Currency=USD","Period=FQ","BEST_FPERIOD_OVERRIDE=FQ","FILING_STATUS=MR","SCALING_FORMAT=MLN","Sort=A","Dates=H","DateFormat=P","Fill=—","Direction=H","UseDPDF=Y")</f>
        <v>-7092.415</v>
      </c>
      <c r="Z73" s="13">
        <f>_xll.BDH("ALNY US Equity","BS_PURE_RETAINED_EARNINGS","FQ3 2024","FQ3 2024","Currency=USD","Period=FQ","BEST_FPERIOD_OVERRIDE=FQ","FILING_STATUS=MR","SCALING_FORMAT=MLN","Sort=A","Dates=H","DateFormat=P","Fill=—","Direction=H","UseDPDF=Y")</f>
        <v>-7203.9849999999997</v>
      </c>
      <c r="AA73" s="13">
        <f>_xll.BDH("ALNY US Equity","BS_PURE_RETAINED_EARNINGS","FQ4 2024","FQ4 2024","Currency=USD","Period=FQ","BEST_FPERIOD_OVERRIDE=FQ","FILING_STATUS=MR","SCALING_FORMAT=MLN","Sort=A","Dates=H","DateFormat=P","Fill=—","Direction=H","UseDPDF=Y")</f>
        <v>-7287.7479999999996</v>
      </c>
    </row>
    <row r="74" spans="1:27" x14ac:dyDescent="0.25">
      <c r="A74" s="10" t="s">
        <v>793</v>
      </c>
      <c r="B74" s="10" t="s">
        <v>794</v>
      </c>
      <c r="C74" s="13">
        <f>_xll.BDH("ALNY US Equity","OTHER_EQUITY_RATIO","FQ4 2018","FQ4 2018","Currency=USD","Period=FQ","BEST_FPERIOD_OVERRIDE=FQ","FILING_STATUS=MR","SCALING_FORMAT=MLN","Sort=A","Dates=H","DateFormat=P","Fill=—","Direction=H","UseDPDF=Y")</f>
        <v>-33.213000000000001</v>
      </c>
      <c r="D74" s="13">
        <f>_xll.BDH("ALNY US Equity","OTHER_EQUITY_RATIO","FQ1 2019","FQ1 2019","Currency=USD","Period=FQ","BEST_FPERIOD_OVERRIDE=FQ","FILING_STATUS=MR","SCALING_FORMAT=MLN","Sort=A","Dates=H","DateFormat=P","Fill=—","Direction=H","UseDPDF=Y")</f>
        <v>-32.853000000000002</v>
      </c>
      <c r="E74" s="13">
        <f>_xll.BDH("ALNY US Equity","OTHER_EQUITY_RATIO","FQ2 2019","FQ2 2019","Currency=USD","Period=FQ","BEST_FPERIOD_OVERRIDE=FQ","FILING_STATUS=MR","SCALING_FORMAT=MLN","Sort=A","Dates=H","DateFormat=P","Fill=—","Direction=H","UseDPDF=Y")</f>
        <v>-35.831000000000003</v>
      </c>
      <c r="F74" s="13">
        <f>_xll.BDH("ALNY US Equity","OTHER_EQUITY_RATIO","FQ3 2019","FQ3 2019","Currency=USD","Period=FQ","BEST_FPERIOD_OVERRIDE=FQ","FILING_STATUS=MR","SCALING_FORMAT=MLN","Sort=A","Dates=H","DateFormat=P","Fill=—","Direction=H","UseDPDF=Y")</f>
        <v>-34.371000000000002</v>
      </c>
      <c r="G74" s="13">
        <f>_xll.BDH("ALNY US Equity","OTHER_EQUITY_RATIO","FQ4 2019","FQ4 2019","Currency=USD","Period=FQ","BEST_FPERIOD_OVERRIDE=FQ","FILING_STATUS=MR","SCALING_FORMAT=MLN","Sort=A","Dates=H","DateFormat=P","Fill=—","Direction=H","UseDPDF=Y")</f>
        <v>-36.518000000000001</v>
      </c>
      <c r="H74" s="13">
        <f>_xll.BDH("ALNY US Equity","OTHER_EQUITY_RATIO","FQ1 2020","FQ1 2020","Currency=USD","Period=FQ","BEST_FPERIOD_OVERRIDE=FQ","FILING_STATUS=MR","SCALING_FORMAT=MLN","Sort=A","Dates=H","DateFormat=P","Fill=—","Direction=H","UseDPDF=Y")</f>
        <v>-32.058999999999997</v>
      </c>
      <c r="I74" s="13">
        <f>_xll.BDH("ALNY US Equity","OTHER_EQUITY_RATIO","FQ2 2020","FQ2 2020","Currency=USD","Period=FQ","BEST_FPERIOD_OVERRIDE=FQ","FILING_STATUS=MR","SCALING_FORMAT=MLN","Sort=A","Dates=H","DateFormat=P","Fill=—","Direction=H","UseDPDF=Y")</f>
        <v>-33.212000000000003</v>
      </c>
      <c r="J74" s="13">
        <f>_xll.BDH("ALNY US Equity","OTHER_EQUITY_RATIO","FQ3 2020","FQ3 2020","Currency=USD","Period=FQ","BEST_FPERIOD_OVERRIDE=FQ","FILING_STATUS=MR","SCALING_FORMAT=MLN","Sort=A","Dates=H","DateFormat=P","Fill=—","Direction=H","UseDPDF=Y")</f>
        <v>-37.192999999999998</v>
      </c>
      <c r="K74" s="13">
        <f>_xll.BDH("ALNY US Equity","OTHER_EQUITY_RATIO","FQ4 2020","FQ4 2020","Currency=USD","Period=FQ","BEST_FPERIOD_OVERRIDE=FQ","FILING_STATUS=MR","SCALING_FORMAT=MLN","Sort=A","Dates=H","DateFormat=P","Fill=—","Direction=H","UseDPDF=Y")</f>
        <v>-43.622</v>
      </c>
      <c r="L74" s="13">
        <f>_xll.BDH("ALNY US Equity","OTHER_EQUITY_RATIO","FQ1 2021","FQ1 2021","Currency=USD","Period=FQ","BEST_FPERIOD_OVERRIDE=FQ","FILING_STATUS=MR","SCALING_FORMAT=MLN","Sort=A","Dates=H","DateFormat=P","Fill=—","Direction=H","UseDPDF=Y")</f>
        <v>-36.716999999999999</v>
      </c>
      <c r="M74" s="13">
        <f>_xll.BDH("ALNY US Equity","OTHER_EQUITY_RATIO","FQ2 2021","FQ2 2021","Currency=USD","Period=FQ","BEST_FPERIOD_OVERRIDE=FQ","FILING_STATUS=MR","SCALING_FORMAT=MLN","Sort=A","Dates=H","DateFormat=P","Fill=—","Direction=H","UseDPDF=Y")</f>
        <v>-36.081000000000003</v>
      </c>
      <c r="N74" s="13">
        <f>_xll.BDH("ALNY US Equity","OTHER_EQUITY_RATIO","FQ3 2021","FQ3 2021","Currency=USD","Period=FQ","BEST_FPERIOD_OVERRIDE=FQ","FILING_STATUS=MR","SCALING_FORMAT=MLN","Sort=A","Dates=H","DateFormat=P","Fill=—","Direction=H","UseDPDF=Y")</f>
        <v>-34.229999999999997</v>
      </c>
      <c r="O74" s="13">
        <f>_xll.BDH("ALNY US Equity","OTHER_EQUITY_RATIO","FQ4 2021","FQ4 2021","Currency=USD","Period=FQ","BEST_FPERIOD_OVERRIDE=FQ","FILING_STATUS=MR","SCALING_FORMAT=MLN","Sort=A","Dates=H","DateFormat=P","Fill=—","Direction=H","UseDPDF=Y")</f>
        <v>-33.259</v>
      </c>
      <c r="P74" s="13">
        <f>_xll.BDH("ALNY US Equity","OTHER_EQUITY_RATIO","FQ1 2022","FQ1 2022","Currency=USD","Period=FQ","BEST_FPERIOD_OVERRIDE=FQ","FILING_STATUS=MR","SCALING_FORMAT=MLN","Sort=A","Dates=H","DateFormat=P","Fill=—","Direction=H","UseDPDF=Y")</f>
        <v>-38.064999999999998</v>
      </c>
      <c r="Q74" s="13">
        <f>_xll.BDH("ALNY US Equity","OTHER_EQUITY_RATIO","FQ2 2022","FQ2 2022","Currency=USD","Period=FQ","BEST_FPERIOD_OVERRIDE=FQ","FILING_STATUS=MR","SCALING_FORMAT=MLN","Sort=A","Dates=H","DateFormat=P","Fill=—","Direction=H","UseDPDF=Y")</f>
        <v>-42.223999999999997</v>
      </c>
      <c r="R74" s="13">
        <f>_xll.BDH("ALNY US Equity","OTHER_EQUITY_RATIO","FQ3 2022","FQ3 2022","Currency=USD","Period=FQ","BEST_FPERIOD_OVERRIDE=FQ","FILING_STATUS=MR","SCALING_FORMAT=MLN","Sort=A","Dates=H","DateFormat=P","Fill=—","Direction=H","UseDPDF=Y")</f>
        <v>-43.783000000000001</v>
      </c>
      <c r="S74" s="13">
        <f>_xll.BDH("ALNY US Equity","OTHER_EQUITY_RATIO","FQ4 2022","FQ4 2022","Currency=USD","Period=FQ","BEST_FPERIOD_OVERRIDE=FQ","FILING_STATUS=MR","SCALING_FORMAT=MLN","Sort=A","Dates=H","DateFormat=P","Fill=—","Direction=H","UseDPDF=Y")</f>
        <v>-44.654000000000003</v>
      </c>
      <c r="T74" s="13">
        <f>_xll.BDH("ALNY US Equity","OTHER_EQUITY_RATIO","FQ1 2023","FQ1 2023","Currency=USD","Period=FQ","BEST_FPERIOD_OVERRIDE=FQ","FILING_STATUS=MR","SCALING_FORMAT=MLN","Sort=A","Dates=H","DateFormat=P","Fill=—","Direction=H","UseDPDF=Y")</f>
        <v>-39.124000000000002</v>
      </c>
      <c r="U74" s="13">
        <f>_xll.BDH("ALNY US Equity","OTHER_EQUITY_RATIO","FQ2 2023","FQ2 2023","Currency=USD","Period=FQ","BEST_FPERIOD_OVERRIDE=FQ","FILING_STATUS=MR","SCALING_FORMAT=MLN","Sort=A","Dates=H","DateFormat=P","Fill=—","Direction=H","UseDPDF=Y")</f>
        <v>-37.08</v>
      </c>
      <c r="V74" s="13">
        <f>_xll.BDH("ALNY US Equity","OTHER_EQUITY_RATIO","FQ3 2023","FQ3 2023","Currency=USD","Period=FQ","BEST_FPERIOD_OVERRIDE=FQ","FILING_STATUS=MR","SCALING_FORMAT=MLN","Sort=A","Dates=H","DateFormat=P","Fill=—","Direction=H","UseDPDF=Y")</f>
        <v>-32.338999999999999</v>
      </c>
      <c r="W74" s="13">
        <f>_xll.BDH("ALNY US Equity","OTHER_EQUITY_RATIO","FQ4 2023","FQ4 2023","Currency=USD","Period=FQ","BEST_FPERIOD_OVERRIDE=FQ","FILING_STATUS=MR","SCALING_FORMAT=MLN","Sort=A","Dates=H","DateFormat=P","Fill=—","Direction=H","UseDPDF=Y")</f>
        <v>-23.375</v>
      </c>
      <c r="X74" s="13">
        <f>_xll.BDH("ALNY US Equity","OTHER_EQUITY_RATIO","FQ1 2024","FQ1 2024","Currency=USD","Period=FQ","BEST_FPERIOD_OVERRIDE=FQ","FILING_STATUS=MR","SCALING_FORMAT=MLN","Sort=A","Dates=H","DateFormat=P","Fill=—","Direction=H","UseDPDF=Y")</f>
        <v>-26.988</v>
      </c>
      <c r="Y74" s="13">
        <f>_xll.BDH("ALNY US Equity","OTHER_EQUITY_RATIO","FQ2 2024","FQ2 2024","Currency=USD","Period=FQ","BEST_FPERIOD_OVERRIDE=FQ","FILING_STATUS=MR","SCALING_FORMAT=MLN","Sort=A","Dates=H","DateFormat=P","Fill=—","Direction=H","UseDPDF=Y")</f>
        <v>-34.637</v>
      </c>
      <c r="Z74" s="13">
        <f>_xll.BDH("ALNY US Equity","OTHER_EQUITY_RATIO","FQ3 2024","FQ3 2024","Currency=USD","Period=FQ","BEST_FPERIOD_OVERRIDE=FQ","FILING_STATUS=MR","SCALING_FORMAT=MLN","Sort=A","Dates=H","DateFormat=P","Fill=—","Direction=H","UseDPDF=Y")</f>
        <v>-24.826000000000001</v>
      </c>
      <c r="AA74" s="13">
        <f>_xll.BDH("ALNY US Equity","OTHER_EQUITY_RATIO","FQ4 2024","FQ4 2024","Currency=USD","Period=FQ","BEST_FPERIOD_OVERRIDE=FQ","FILING_STATUS=MR","SCALING_FORMAT=MLN","Sort=A","Dates=H","DateFormat=P","Fill=—","Direction=H","UseDPDF=Y")</f>
        <v>-34.518000000000001</v>
      </c>
    </row>
    <row r="75" spans="1:27" x14ac:dyDescent="0.25">
      <c r="A75" s="6" t="s">
        <v>795</v>
      </c>
      <c r="B75" s="6" t="s">
        <v>796</v>
      </c>
      <c r="C75" s="19">
        <f>_xll.BDH("ALNY US Equity","EQTY_BEF_MINORITY_INT_DETAILED","FQ4 2018","FQ4 2018","Currency=USD","Period=FQ","BEST_FPERIOD_OVERRIDE=FQ","FILING_STATUS=MR","SCALING_FORMAT=MLN","Sort=A","Dates=H","DateFormat=P","Fill=—","Direction=H","UseDPDF=Y")</f>
        <v>1301.9649999999999</v>
      </c>
      <c r="D75" s="19">
        <f>_xll.BDH("ALNY US Equity","EQTY_BEF_MINORITY_INT_DETAILED","FQ1 2019","FQ1 2019","Currency=USD","Period=FQ","BEST_FPERIOD_OVERRIDE=FQ","FILING_STATUS=MR","SCALING_FORMAT=MLN","Sort=A","Dates=H","DateFormat=P","Fill=—","Direction=H","UseDPDF=Y")</f>
        <v>1546.9860000000001</v>
      </c>
      <c r="E75" s="19">
        <f>_xll.BDH("ALNY US Equity","EQTY_BEF_MINORITY_INT_DETAILED","FQ2 2019","FQ2 2019","Currency=USD","Period=FQ","BEST_FPERIOD_OVERRIDE=FQ","FILING_STATUS=MR","SCALING_FORMAT=MLN","Sort=A","Dates=H","DateFormat=P","Fill=—","Direction=H","UseDPDF=Y")</f>
        <v>1757.1949999999999</v>
      </c>
      <c r="F75" s="19">
        <f>_xll.BDH("ALNY US Equity","EQTY_BEF_MINORITY_INT_DETAILED","FQ3 2019","FQ3 2019","Currency=USD","Period=FQ","BEST_FPERIOD_OVERRIDE=FQ","FILING_STATUS=MR","SCALING_FORMAT=MLN","Sort=A","Dates=H","DateFormat=P","Fill=—","Direction=H","UseDPDF=Y")</f>
        <v>1607.087</v>
      </c>
      <c r="G75" s="19">
        <f>_xll.BDH("ALNY US Equity","EQTY_BEF_MINORITY_INT_DETAILED","FQ4 2019","FQ4 2019","Currency=USD","Period=FQ","BEST_FPERIOD_OVERRIDE=FQ","FILING_STATUS=MR","SCALING_FORMAT=MLN","Sort=A","Dates=H","DateFormat=P","Fill=—","Direction=H","UseDPDF=Y")</f>
        <v>1438.692</v>
      </c>
      <c r="H75" s="19">
        <f>_xll.BDH("ALNY US Equity","EQTY_BEF_MINORITY_INT_DETAILED","FQ1 2020","FQ1 2020","Currency=USD","Period=FQ","BEST_FPERIOD_OVERRIDE=FQ","FILING_STATUS=MR","SCALING_FORMAT=MLN","Sort=A","Dates=H","DateFormat=P","Fill=—","Direction=H","UseDPDF=Y")</f>
        <v>1349.729</v>
      </c>
      <c r="I75" s="19">
        <f>_xll.BDH("ALNY US Equity","EQTY_BEF_MINORITY_INT_DETAILED","FQ2 2020","FQ2 2020","Currency=USD","Period=FQ","BEST_FPERIOD_OVERRIDE=FQ","FILING_STATUS=MR","SCALING_FORMAT=MLN","Sort=A","Dates=H","DateFormat=P","Fill=—","Direction=H","UseDPDF=Y")</f>
        <v>1399.7260000000001</v>
      </c>
      <c r="J75" s="19">
        <f>_xll.BDH("ALNY US Equity","EQTY_BEF_MINORITY_INT_DETAILED","FQ3 2020","FQ3 2020","Currency=USD","Period=FQ","BEST_FPERIOD_OVERRIDE=FQ","FILING_STATUS=MR","SCALING_FORMAT=MLN","Sort=A","Dates=H","DateFormat=P","Fill=—","Direction=H","UseDPDF=Y")</f>
        <v>1215.0229999999999</v>
      </c>
      <c r="K75" s="19">
        <f>_xll.BDH("ALNY US Equity","EQTY_BEF_MINORITY_INT_DETAILED","FQ4 2020","FQ4 2020","Currency=USD","Period=FQ","BEST_FPERIOD_OVERRIDE=FQ","FILING_STATUS=MR","SCALING_FORMAT=MLN","Sort=A","Dates=H","DateFormat=P","Fill=—","Direction=H","UseDPDF=Y")</f>
        <v>1016.247</v>
      </c>
      <c r="L75" s="19">
        <f>_xll.BDH("ALNY US Equity","EQTY_BEF_MINORITY_INT_DETAILED","FQ1 2021","FQ1 2021","Currency=USD","Period=FQ","BEST_FPERIOD_OVERRIDE=FQ","FILING_STATUS=MR","SCALING_FORMAT=MLN","Sort=A","Dates=H","DateFormat=P","Fill=—","Direction=H","UseDPDF=Y")</f>
        <v>926.19</v>
      </c>
      <c r="M75" s="19">
        <f>_xll.BDH("ALNY US Equity","EQTY_BEF_MINORITY_INT_DETAILED","FQ2 2021","FQ2 2021","Currency=USD","Period=FQ","BEST_FPERIOD_OVERRIDE=FQ","FILING_STATUS=MR","SCALING_FORMAT=MLN","Sort=A","Dates=H","DateFormat=P","Fill=—","Direction=H","UseDPDF=Y")</f>
        <v>853.36199999999997</v>
      </c>
      <c r="N75" s="19">
        <f>_xll.BDH("ALNY US Equity","EQTY_BEF_MINORITY_INT_DETAILED","FQ3 2021","FQ3 2021","Currency=USD","Period=FQ","BEST_FPERIOD_OVERRIDE=FQ","FILING_STATUS=MR","SCALING_FORMAT=MLN","Sort=A","Dates=H","DateFormat=P","Fill=—","Direction=H","UseDPDF=Y")</f>
        <v>755.89300000000003</v>
      </c>
      <c r="O75" s="19">
        <f>_xll.BDH("ALNY US Equity","EQTY_BEF_MINORITY_INT_DETAILED","FQ4 2021","FQ4 2021","Currency=USD","Period=FQ","BEST_FPERIOD_OVERRIDE=FQ","FILING_STATUS=MR","SCALING_FORMAT=MLN","Sort=A","Dates=H","DateFormat=P","Fill=—","Direction=H","UseDPDF=Y")</f>
        <v>588.20299999999997</v>
      </c>
      <c r="P75" s="19">
        <f>_xll.BDH("ALNY US Equity","EQTY_BEF_MINORITY_INT_DETAILED","FQ1 2022","FQ1 2022","Currency=USD","Period=FQ","BEST_FPERIOD_OVERRIDE=FQ","FILING_STATUS=MR","SCALING_FORMAT=MLN","Sort=A","Dates=H","DateFormat=P","Fill=—","Direction=H","UseDPDF=Y")</f>
        <v>401.166</v>
      </c>
      <c r="Q75" s="19">
        <f>_xll.BDH("ALNY US Equity","EQTY_BEF_MINORITY_INT_DETAILED","FQ2 2022","FQ2 2022","Currency=USD","Period=FQ","BEST_FPERIOD_OVERRIDE=FQ","FILING_STATUS=MR","SCALING_FORMAT=MLN","Sort=A","Dates=H","DateFormat=P","Fill=—","Direction=H","UseDPDF=Y")</f>
        <v>176.04</v>
      </c>
      <c r="R75" s="19">
        <f>_xll.BDH("ALNY US Equity","EQTY_BEF_MINORITY_INT_DETAILED","FQ3 2022","FQ3 2022","Currency=USD","Period=FQ","BEST_FPERIOD_OVERRIDE=FQ","FILING_STATUS=MR","SCALING_FORMAT=MLN","Sort=A","Dates=H","DateFormat=P","Fill=—","Direction=H","UseDPDF=Y")</f>
        <v>-67.638000000000005</v>
      </c>
      <c r="S75" s="19">
        <f>_xll.BDH("ALNY US Equity","EQTY_BEF_MINORITY_INT_DETAILED","FQ4 2022","FQ4 2022","Currency=USD","Period=FQ","BEST_FPERIOD_OVERRIDE=FQ","FILING_STATUS=MR","SCALING_FORMAT=MLN","Sort=A","Dates=H","DateFormat=P","Fill=—","Direction=H","UseDPDF=Y")</f>
        <v>-158.22300000000001</v>
      </c>
      <c r="T75" s="19">
        <f>_xll.BDH("ALNY US Equity","EQTY_BEF_MINORITY_INT_DETAILED","FQ1 2023","FQ1 2023","Currency=USD","Period=FQ","BEST_FPERIOD_OVERRIDE=FQ","FILING_STATUS=MR","SCALING_FORMAT=MLN","Sort=A","Dates=H","DateFormat=P","Fill=—","Direction=H","UseDPDF=Y")</f>
        <v>-259.24</v>
      </c>
      <c r="U75" s="19">
        <f>_xll.BDH("ALNY US Equity","EQTY_BEF_MINORITY_INT_DETAILED","FQ2 2023","FQ2 2023","Currency=USD","Period=FQ","BEST_FPERIOD_OVERRIDE=FQ","FILING_STATUS=MR","SCALING_FORMAT=MLN","Sort=A","Dates=H","DateFormat=P","Fill=—","Direction=H","UseDPDF=Y")</f>
        <v>-408.13099999999997</v>
      </c>
      <c r="V75" s="19">
        <f>_xll.BDH("ALNY US Equity","EQTY_BEF_MINORITY_INT_DETAILED","FQ3 2023","FQ3 2023","Currency=USD","Period=FQ","BEST_FPERIOD_OVERRIDE=FQ","FILING_STATUS=MR","SCALING_FORMAT=MLN","Sort=A","Dates=H","DateFormat=P","Fill=—","Direction=H","UseDPDF=Y")</f>
        <v>-165.86600000000001</v>
      </c>
      <c r="W75" s="19">
        <f>_xll.BDH("ALNY US Equity","EQTY_BEF_MINORITY_INT_DETAILED","FQ4 2023","FQ4 2023","Currency=USD","Period=FQ","BEST_FPERIOD_OVERRIDE=FQ","FILING_STATUS=MR","SCALING_FORMAT=MLN","Sort=A","Dates=H","DateFormat=P","Fill=—","Direction=H","UseDPDF=Y")</f>
        <v>-220.64400000000001</v>
      </c>
      <c r="X75" s="19">
        <f>_xll.BDH("ALNY US Equity","EQTY_BEF_MINORITY_INT_DETAILED","FQ1 2024","FQ1 2024","Currency=USD","Period=FQ","BEST_FPERIOD_OVERRIDE=FQ","FILING_STATUS=MR","SCALING_FORMAT=MLN","Sort=A","Dates=H","DateFormat=P","Fill=—","Direction=H","UseDPDF=Y")</f>
        <v>-219.27199999999999</v>
      </c>
      <c r="Y75" s="19">
        <f>_xll.BDH("ALNY US Equity","EQTY_BEF_MINORITY_INT_DETAILED","FQ2 2024","FQ2 2024","Currency=USD","Period=FQ","BEST_FPERIOD_OVERRIDE=FQ","FILING_STATUS=MR","SCALING_FORMAT=MLN","Sort=A","Dates=H","DateFormat=P","Fill=—","Direction=H","UseDPDF=Y")</f>
        <v>-3.0670000000000002</v>
      </c>
      <c r="Z75" s="19">
        <f>_xll.BDH("ALNY US Equity","EQTY_BEF_MINORITY_INT_DETAILED","FQ3 2024","FQ3 2024","Currency=USD","Period=FQ","BEST_FPERIOD_OVERRIDE=FQ","FILING_STATUS=MR","SCALING_FORMAT=MLN","Sort=A","Dates=H","DateFormat=P","Fill=—","Direction=H","UseDPDF=Y")</f>
        <v>32.353999999999999</v>
      </c>
      <c r="AA75" s="19">
        <f>_xll.BDH("ALNY US Equity","EQTY_BEF_MINORITY_INT_DETAILED","FQ4 2024","FQ4 2024","Currency=USD","Period=FQ","BEST_FPERIOD_OVERRIDE=FQ","FILING_STATUS=MR","SCALING_FORMAT=MLN","Sort=A","Dates=H","DateFormat=P","Fill=—","Direction=H","UseDPDF=Y")</f>
        <v>67.087999999999994</v>
      </c>
    </row>
    <row r="76" spans="1:27" x14ac:dyDescent="0.25">
      <c r="A76" s="10" t="s">
        <v>797</v>
      </c>
      <c r="B76" s="10" t="s">
        <v>170</v>
      </c>
      <c r="C76" s="13">
        <f>_xll.BDH("ALNY US Equity","MINORITY_NONCONTROLLING_INTEREST","FQ4 2018","FQ4 2018","Currency=USD","Period=FQ","BEST_FPERIOD_OVERRIDE=FQ","FILING_STATUS=MR","SCALING_FORMAT=MLN","Sort=A","Dates=H","DateFormat=P","Fill=—","Direction=H","UseDPDF=Y")</f>
        <v>0</v>
      </c>
      <c r="D76" s="13">
        <f>_xll.BDH("ALNY US Equity","MINORITY_NONCONTROLLING_INTEREST","FQ1 2019","FQ1 2019","Currency=USD","Period=FQ","BEST_FPERIOD_OVERRIDE=FQ","FILING_STATUS=MR","SCALING_FORMAT=MLN","Sort=A","Dates=H","DateFormat=P","Fill=—","Direction=H","UseDPDF=Y")</f>
        <v>0</v>
      </c>
      <c r="E76" s="13">
        <f>_xll.BDH("ALNY US Equity","MINORITY_NONCONTROLLING_INTEREST","FQ2 2019","FQ2 2019","Currency=USD","Period=FQ","BEST_FPERIOD_OVERRIDE=FQ","FILING_STATUS=MR","SCALING_FORMAT=MLN","Sort=A","Dates=H","DateFormat=P","Fill=—","Direction=H","UseDPDF=Y")</f>
        <v>0</v>
      </c>
      <c r="F76" s="13">
        <f>_xll.BDH("ALNY US Equity","MINORITY_NONCONTROLLING_INTEREST","FQ3 2019","FQ3 2019","Currency=USD","Period=FQ","BEST_FPERIOD_OVERRIDE=FQ","FILING_STATUS=MR","SCALING_FORMAT=MLN","Sort=A","Dates=H","DateFormat=P","Fill=—","Direction=H","UseDPDF=Y")</f>
        <v>0</v>
      </c>
      <c r="G76" s="13">
        <f>_xll.BDH("ALNY US Equity","MINORITY_NONCONTROLLING_INTEREST","FQ4 2019","FQ4 2019","Currency=USD","Period=FQ","BEST_FPERIOD_OVERRIDE=FQ","FILING_STATUS=MR","SCALING_FORMAT=MLN","Sort=A","Dates=H","DateFormat=P","Fill=—","Direction=H","UseDPDF=Y")</f>
        <v>0</v>
      </c>
      <c r="H76" s="13">
        <f>_xll.BDH("ALNY US Equity","MINORITY_NONCONTROLLING_INTEREST","FQ1 2020","FQ1 2020","Currency=USD","Period=FQ","BEST_FPERIOD_OVERRIDE=FQ","FILING_STATUS=MR","SCALING_FORMAT=MLN","Sort=A","Dates=H","DateFormat=P","Fill=—","Direction=H","UseDPDF=Y")</f>
        <v>0</v>
      </c>
      <c r="I76" s="13">
        <f>_xll.BDH("ALNY US Equity","MINORITY_NONCONTROLLING_INTEREST","FQ2 2020","FQ2 2020","Currency=USD","Period=FQ","BEST_FPERIOD_OVERRIDE=FQ","FILING_STATUS=MR","SCALING_FORMAT=MLN","Sort=A","Dates=H","DateFormat=P","Fill=—","Direction=H","UseDPDF=Y")</f>
        <v>0</v>
      </c>
      <c r="J76" s="13">
        <f>_xll.BDH("ALNY US Equity","MINORITY_NONCONTROLLING_INTEREST","FQ3 2020","FQ3 2020","Currency=USD","Period=FQ","BEST_FPERIOD_OVERRIDE=FQ","FILING_STATUS=MR","SCALING_FORMAT=MLN","Sort=A","Dates=H","DateFormat=P","Fill=—","Direction=H","UseDPDF=Y")</f>
        <v>0</v>
      </c>
      <c r="K76" s="13">
        <f>_xll.BDH("ALNY US Equity","MINORITY_NONCONTROLLING_INTEREST","FQ4 2020","FQ4 2020","Currency=USD","Period=FQ","BEST_FPERIOD_OVERRIDE=FQ","FILING_STATUS=MR","SCALING_FORMAT=MLN","Sort=A","Dates=H","DateFormat=P","Fill=—","Direction=H","UseDPDF=Y")</f>
        <v>0</v>
      </c>
      <c r="L76" s="13">
        <f>_xll.BDH("ALNY US Equity","MINORITY_NONCONTROLLING_INTEREST","FQ1 2021","FQ1 2021","Currency=USD","Period=FQ","BEST_FPERIOD_OVERRIDE=FQ","FILING_STATUS=MR","SCALING_FORMAT=MLN","Sort=A","Dates=H","DateFormat=P","Fill=—","Direction=H","UseDPDF=Y")</f>
        <v>0</v>
      </c>
      <c r="M76" s="13">
        <f>_xll.BDH("ALNY US Equity","MINORITY_NONCONTROLLING_INTEREST","FQ2 2021","FQ2 2021","Currency=USD","Period=FQ","BEST_FPERIOD_OVERRIDE=FQ","FILING_STATUS=MR","SCALING_FORMAT=MLN","Sort=A","Dates=H","DateFormat=P","Fill=—","Direction=H","UseDPDF=Y")</f>
        <v>0</v>
      </c>
      <c r="N76" s="13">
        <f>_xll.BDH("ALNY US Equity","MINORITY_NONCONTROLLING_INTEREST","FQ3 2021","FQ3 2021","Currency=USD","Period=FQ","BEST_FPERIOD_OVERRIDE=FQ","FILING_STATUS=MR","SCALING_FORMAT=MLN","Sort=A","Dates=H","DateFormat=P","Fill=—","Direction=H","UseDPDF=Y")</f>
        <v>0</v>
      </c>
      <c r="O76" s="13">
        <f>_xll.BDH("ALNY US Equity","MINORITY_NONCONTROLLING_INTEREST","FQ4 2021","FQ4 2021","Currency=USD","Period=FQ","BEST_FPERIOD_OVERRIDE=FQ","FILING_STATUS=MR","SCALING_FORMAT=MLN","Sort=A","Dates=H","DateFormat=P","Fill=—","Direction=H","UseDPDF=Y")</f>
        <v>0</v>
      </c>
      <c r="P76" s="13">
        <f>_xll.BDH("ALNY US Equity","MINORITY_NONCONTROLLING_INTEREST","FQ1 2022","FQ1 2022","Currency=USD","Period=FQ","BEST_FPERIOD_OVERRIDE=FQ","FILING_STATUS=MR","SCALING_FORMAT=MLN","Sort=A","Dates=H","DateFormat=P","Fill=—","Direction=H","UseDPDF=Y")</f>
        <v>0</v>
      </c>
      <c r="Q76" s="13">
        <f>_xll.BDH("ALNY US Equity","MINORITY_NONCONTROLLING_INTEREST","FQ2 2022","FQ2 2022","Currency=USD","Period=FQ","BEST_FPERIOD_OVERRIDE=FQ","FILING_STATUS=MR","SCALING_FORMAT=MLN","Sort=A","Dates=H","DateFormat=P","Fill=—","Direction=H","UseDPDF=Y")</f>
        <v>0</v>
      </c>
      <c r="R76" s="13">
        <f>_xll.BDH("ALNY US Equity","MINORITY_NONCONTROLLING_INTEREST","FQ3 2022","FQ3 2022","Currency=USD","Period=FQ","BEST_FPERIOD_OVERRIDE=FQ","FILING_STATUS=MR","SCALING_FORMAT=MLN","Sort=A","Dates=H","DateFormat=P","Fill=—","Direction=H","UseDPDF=Y")</f>
        <v>0</v>
      </c>
      <c r="S76" s="13">
        <f>_xll.BDH("ALNY US Equity","MINORITY_NONCONTROLLING_INTEREST","FQ4 2022","FQ4 2022","Currency=USD","Period=FQ","BEST_FPERIOD_OVERRIDE=FQ","FILING_STATUS=MR","SCALING_FORMAT=MLN","Sort=A","Dates=H","DateFormat=P","Fill=—","Direction=H","UseDPDF=Y")</f>
        <v>0</v>
      </c>
      <c r="T76" s="13">
        <f>_xll.BDH("ALNY US Equity","MINORITY_NONCONTROLLING_INTEREST","FQ1 2023","FQ1 2023","Currency=USD","Period=FQ","BEST_FPERIOD_OVERRIDE=FQ","FILING_STATUS=MR","SCALING_FORMAT=MLN","Sort=A","Dates=H","DateFormat=P","Fill=—","Direction=H","UseDPDF=Y")</f>
        <v>0</v>
      </c>
      <c r="U76" s="13">
        <f>_xll.BDH("ALNY US Equity","MINORITY_NONCONTROLLING_INTEREST","FQ2 2023","FQ2 2023","Currency=USD","Period=FQ","BEST_FPERIOD_OVERRIDE=FQ","FILING_STATUS=MR","SCALING_FORMAT=MLN","Sort=A","Dates=H","DateFormat=P","Fill=—","Direction=H","UseDPDF=Y")</f>
        <v>0</v>
      </c>
      <c r="V76" s="13">
        <f>_xll.BDH("ALNY US Equity","MINORITY_NONCONTROLLING_INTEREST","FQ3 2023","FQ3 2023","Currency=USD","Period=FQ","BEST_FPERIOD_OVERRIDE=FQ","FILING_STATUS=MR","SCALING_FORMAT=MLN","Sort=A","Dates=H","DateFormat=P","Fill=—","Direction=H","UseDPDF=Y")</f>
        <v>0</v>
      </c>
      <c r="W76" s="13">
        <f>_xll.BDH("ALNY US Equity","MINORITY_NONCONTROLLING_INTEREST","FQ4 2023","FQ4 2023","Currency=USD","Period=FQ","BEST_FPERIOD_OVERRIDE=FQ","FILING_STATUS=MR","SCALING_FORMAT=MLN","Sort=A","Dates=H","DateFormat=P","Fill=—","Direction=H","UseDPDF=Y")</f>
        <v>0</v>
      </c>
      <c r="X76" s="13">
        <f>_xll.BDH("ALNY US Equity","MINORITY_NONCONTROLLING_INTEREST","FQ1 2024","FQ1 2024","Currency=USD","Period=FQ","BEST_FPERIOD_OVERRIDE=FQ","FILING_STATUS=MR","SCALING_FORMAT=MLN","Sort=A","Dates=H","DateFormat=P","Fill=—","Direction=H","UseDPDF=Y")</f>
        <v>0</v>
      </c>
      <c r="Y76" s="13">
        <f>_xll.BDH("ALNY US Equity","MINORITY_NONCONTROLLING_INTEREST","FQ2 2024","FQ2 2024","Currency=USD","Period=FQ","BEST_FPERIOD_OVERRIDE=FQ","FILING_STATUS=MR","SCALING_FORMAT=MLN","Sort=A","Dates=H","DateFormat=P","Fill=—","Direction=H","UseDPDF=Y")</f>
        <v>0</v>
      </c>
      <c r="Z76" s="13">
        <f>_xll.BDH("ALNY US Equity","MINORITY_NONCONTROLLING_INTEREST","FQ3 2024","FQ3 2024","Currency=USD","Period=FQ","BEST_FPERIOD_OVERRIDE=FQ","FILING_STATUS=MR","SCALING_FORMAT=MLN","Sort=A","Dates=H","DateFormat=P","Fill=—","Direction=H","UseDPDF=Y")</f>
        <v>0</v>
      </c>
      <c r="AA76" s="13">
        <f>_xll.BDH("ALNY US Equity","MINORITY_NONCONTROLLING_INTEREST","FQ4 2024","FQ4 2024","Currency=USD","Period=FQ","BEST_FPERIOD_OVERRIDE=FQ","FILING_STATUS=MR","SCALING_FORMAT=MLN","Sort=A","Dates=H","DateFormat=P","Fill=—","Direction=H","UseDPDF=Y")</f>
        <v>0</v>
      </c>
    </row>
    <row r="77" spans="1:27" x14ac:dyDescent="0.25">
      <c r="A77" s="6" t="s">
        <v>118</v>
      </c>
      <c r="B77" s="6" t="s">
        <v>119</v>
      </c>
      <c r="C77" s="19">
        <f>_xll.BDH("ALNY US Equity","TOTAL_EQUITY","FQ4 2018","FQ4 2018","Currency=USD","Period=FQ","BEST_FPERIOD_OVERRIDE=FQ","FILING_STATUS=MR","SCALING_FORMAT=MLN","Sort=A","Dates=H","DateFormat=P","Fill=—","Direction=H","UseDPDF=Y")</f>
        <v>1301.9649999999999</v>
      </c>
      <c r="D77" s="19">
        <f>_xll.BDH("ALNY US Equity","TOTAL_EQUITY","FQ1 2019","FQ1 2019","Currency=USD","Period=FQ","BEST_FPERIOD_OVERRIDE=FQ","FILING_STATUS=MR","SCALING_FORMAT=MLN","Sort=A","Dates=H","DateFormat=P","Fill=—","Direction=H","UseDPDF=Y")</f>
        <v>1546.9860000000001</v>
      </c>
      <c r="E77" s="19">
        <f>_xll.BDH("ALNY US Equity","TOTAL_EQUITY","FQ2 2019","FQ2 2019","Currency=USD","Period=FQ","BEST_FPERIOD_OVERRIDE=FQ","FILING_STATUS=MR","SCALING_FORMAT=MLN","Sort=A","Dates=H","DateFormat=P","Fill=—","Direction=H","UseDPDF=Y")</f>
        <v>1757.1949999999999</v>
      </c>
      <c r="F77" s="19">
        <f>_xll.BDH("ALNY US Equity","TOTAL_EQUITY","FQ3 2019","FQ3 2019","Currency=USD","Period=FQ","BEST_FPERIOD_OVERRIDE=FQ","FILING_STATUS=MR","SCALING_FORMAT=MLN","Sort=A","Dates=H","DateFormat=P","Fill=—","Direction=H","UseDPDF=Y")</f>
        <v>1607.087</v>
      </c>
      <c r="G77" s="19">
        <f>_xll.BDH("ALNY US Equity","TOTAL_EQUITY","FQ4 2019","FQ4 2019","Currency=USD","Period=FQ","BEST_FPERIOD_OVERRIDE=FQ","FILING_STATUS=MR","SCALING_FORMAT=MLN","Sort=A","Dates=H","DateFormat=P","Fill=—","Direction=H","UseDPDF=Y")</f>
        <v>1438.692</v>
      </c>
      <c r="H77" s="19">
        <f>_xll.BDH("ALNY US Equity","TOTAL_EQUITY","FQ1 2020","FQ1 2020","Currency=USD","Period=FQ","BEST_FPERIOD_OVERRIDE=FQ","FILING_STATUS=MR","SCALING_FORMAT=MLN","Sort=A","Dates=H","DateFormat=P","Fill=—","Direction=H","UseDPDF=Y")</f>
        <v>1349.729</v>
      </c>
      <c r="I77" s="19">
        <f>_xll.BDH("ALNY US Equity","TOTAL_EQUITY","FQ2 2020","FQ2 2020","Currency=USD","Period=FQ","BEST_FPERIOD_OVERRIDE=FQ","FILING_STATUS=MR","SCALING_FORMAT=MLN","Sort=A","Dates=H","DateFormat=P","Fill=—","Direction=H","UseDPDF=Y")</f>
        <v>1399.7260000000001</v>
      </c>
      <c r="J77" s="19">
        <f>_xll.BDH("ALNY US Equity","TOTAL_EQUITY","FQ3 2020","FQ3 2020","Currency=USD","Period=FQ","BEST_FPERIOD_OVERRIDE=FQ","FILING_STATUS=MR","SCALING_FORMAT=MLN","Sort=A","Dates=H","DateFormat=P","Fill=—","Direction=H","UseDPDF=Y")</f>
        <v>1215.0229999999999</v>
      </c>
      <c r="K77" s="19">
        <f>_xll.BDH("ALNY US Equity","TOTAL_EQUITY","FQ4 2020","FQ4 2020","Currency=USD","Period=FQ","BEST_FPERIOD_OVERRIDE=FQ","FILING_STATUS=MR","SCALING_FORMAT=MLN","Sort=A","Dates=H","DateFormat=P","Fill=—","Direction=H","UseDPDF=Y")</f>
        <v>1016.247</v>
      </c>
      <c r="L77" s="19">
        <f>_xll.BDH("ALNY US Equity","TOTAL_EQUITY","FQ1 2021","FQ1 2021","Currency=USD","Period=FQ","BEST_FPERIOD_OVERRIDE=FQ","FILING_STATUS=MR","SCALING_FORMAT=MLN","Sort=A","Dates=H","DateFormat=P","Fill=—","Direction=H","UseDPDF=Y")</f>
        <v>926.19</v>
      </c>
      <c r="M77" s="19">
        <f>_xll.BDH("ALNY US Equity","TOTAL_EQUITY","FQ2 2021","FQ2 2021","Currency=USD","Period=FQ","BEST_FPERIOD_OVERRIDE=FQ","FILING_STATUS=MR","SCALING_FORMAT=MLN","Sort=A","Dates=H","DateFormat=P","Fill=—","Direction=H","UseDPDF=Y")</f>
        <v>853.36199999999997</v>
      </c>
      <c r="N77" s="19">
        <f>_xll.BDH("ALNY US Equity","TOTAL_EQUITY","FQ3 2021","FQ3 2021","Currency=USD","Period=FQ","BEST_FPERIOD_OVERRIDE=FQ","FILING_STATUS=MR","SCALING_FORMAT=MLN","Sort=A","Dates=H","DateFormat=P","Fill=—","Direction=H","UseDPDF=Y")</f>
        <v>755.89300000000003</v>
      </c>
      <c r="O77" s="19">
        <f>_xll.BDH("ALNY US Equity","TOTAL_EQUITY","FQ4 2021","FQ4 2021","Currency=USD","Period=FQ","BEST_FPERIOD_OVERRIDE=FQ","FILING_STATUS=MR","SCALING_FORMAT=MLN","Sort=A","Dates=H","DateFormat=P","Fill=—","Direction=H","UseDPDF=Y")</f>
        <v>588.20299999999997</v>
      </c>
      <c r="P77" s="19">
        <f>_xll.BDH("ALNY US Equity","TOTAL_EQUITY","FQ1 2022","FQ1 2022","Currency=USD","Period=FQ","BEST_FPERIOD_OVERRIDE=FQ","FILING_STATUS=MR","SCALING_FORMAT=MLN","Sort=A","Dates=H","DateFormat=P","Fill=—","Direction=H","UseDPDF=Y")</f>
        <v>401.166</v>
      </c>
      <c r="Q77" s="19">
        <f>_xll.BDH("ALNY US Equity","TOTAL_EQUITY","FQ2 2022","FQ2 2022","Currency=USD","Period=FQ","BEST_FPERIOD_OVERRIDE=FQ","FILING_STATUS=MR","SCALING_FORMAT=MLN","Sort=A","Dates=H","DateFormat=P","Fill=—","Direction=H","UseDPDF=Y")</f>
        <v>176.04</v>
      </c>
      <c r="R77" s="19">
        <f>_xll.BDH("ALNY US Equity","TOTAL_EQUITY","FQ3 2022","FQ3 2022","Currency=USD","Period=FQ","BEST_FPERIOD_OVERRIDE=FQ","FILING_STATUS=MR","SCALING_FORMAT=MLN","Sort=A","Dates=H","DateFormat=P","Fill=—","Direction=H","UseDPDF=Y")</f>
        <v>-67.638000000000005</v>
      </c>
      <c r="S77" s="19">
        <f>_xll.BDH("ALNY US Equity","TOTAL_EQUITY","FQ4 2022","FQ4 2022","Currency=USD","Period=FQ","BEST_FPERIOD_OVERRIDE=FQ","FILING_STATUS=MR","SCALING_FORMAT=MLN","Sort=A","Dates=H","DateFormat=P","Fill=—","Direction=H","UseDPDF=Y")</f>
        <v>-158.22300000000001</v>
      </c>
      <c r="T77" s="19">
        <f>_xll.BDH("ALNY US Equity","TOTAL_EQUITY","FQ1 2023","FQ1 2023","Currency=USD","Period=FQ","BEST_FPERIOD_OVERRIDE=FQ","FILING_STATUS=MR","SCALING_FORMAT=MLN","Sort=A","Dates=H","DateFormat=P","Fill=—","Direction=H","UseDPDF=Y")</f>
        <v>-259.24</v>
      </c>
      <c r="U77" s="19">
        <f>_xll.BDH("ALNY US Equity","TOTAL_EQUITY","FQ2 2023","FQ2 2023","Currency=USD","Period=FQ","BEST_FPERIOD_OVERRIDE=FQ","FILING_STATUS=MR","SCALING_FORMAT=MLN","Sort=A","Dates=H","DateFormat=P","Fill=—","Direction=H","UseDPDF=Y")</f>
        <v>-408.13099999999997</v>
      </c>
      <c r="V77" s="19">
        <f>_xll.BDH("ALNY US Equity","TOTAL_EQUITY","FQ3 2023","FQ3 2023","Currency=USD","Period=FQ","BEST_FPERIOD_OVERRIDE=FQ","FILING_STATUS=MR","SCALING_FORMAT=MLN","Sort=A","Dates=H","DateFormat=P","Fill=—","Direction=H","UseDPDF=Y")</f>
        <v>-165.86600000000001</v>
      </c>
      <c r="W77" s="19">
        <f>_xll.BDH("ALNY US Equity","TOTAL_EQUITY","FQ4 2023","FQ4 2023","Currency=USD","Period=FQ","BEST_FPERIOD_OVERRIDE=FQ","FILING_STATUS=MR","SCALING_FORMAT=MLN","Sort=A","Dates=H","DateFormat=P","Fill=—","Direction=H","UseDPDF=Y")</f>
        <v>-220.64400000000001</v>
      </c>
      <c r="X77" s="19">
        <f>_xll.BDH("ALNY US Equity","TOTAL_EQUITY","FQ1 2024","FQ1 2024","Currency=USD","Period=FQ","BEST_FPERIOD_OVERRIDE=FQ","FILING_STATUS=MR","SCALING_FORMAT=MLN","Sort=A","Dates=H","DateFormat=P","Fill=—","Direction=H","UseDPDF=Y")</f>
        <v>-219.27199999999999</v>
      </c>
      <c r="Y77" s="19">
        <f>_xll.BDH("ALNY US Equity","TOTAL_EQUITY","FQ2 2024","FQ2 2024","Currency=USD","Period=FQ","BEST_FPERIOD_OVERRIDE=FQ","FILING_STATUS=MR","SCALING_FORMAT=MLN","Sort=A","Dates=H","DateFormat=P","Fill=—","Direction=H","UseDPDF=Y")</f>
        <v>-3.0670000000000002</v>
      </c>
      <c r="Z77" s="19">
        <f>_xll.BDH("ALNY US Equity","TOTAL_EQUITY","FQ3 2024","FQ3 2024","Currency=USD","Period=FQ","BEST_FPERIOD_OVERRIDE=FQ","FILING_STATUS=MR","SCALING_FORMAT=MLN","Sort=A","Dates=H","DateFormat=P","Fill=—","Direction=H","UseDPDF=Y")</f>
        <v>32.353999999999999</v>
      </c>
      <c r="AA77" s="19">
        <f>_xll.BDH("ALNY US Equity","TOTAL_EQUITY","FQ4 2024","FQ4 2024","Currency=USD","Period=FQ","BEST_FPERIOD_OVERRIDE=FQ","FILING_STATUS=MR","SCALING_FORMAT=MLN","Sort=A","Dates=H","DateFormat=P","Fill=—","Direction=H","UseDPDF=Y")</f>
        <v>67.087999999999994</v>
      </c>
    </row>
    <row r="78" spans="1:27" x14ac:dyDescent="0.25">
      <c r="A78" s="6" t="s">
        <v>798</v>
      </c>
      <c r="B78" s="6" t="s">
        <v>799</v>
      </c>
      <c r="C78" s="19">
        <f>_xll.BDH("ALNY US Equity","TOT_LIAB_AND_EQY","FQ4 2018","FQ4 2018","Currency=USD","Period=FQ","BEST_FPERIOD_OVERRIDE=FQ","FILING_STATUS=MR","SCALING_FORMAT=MLN","Sort=A","Dates=H","DateFormat=P","Fill=—","Direction=H","UseDPDF=Y")</f>
        <v>1574.8019999999999</v>
      </c>
      <c r="D78" s="19">
        <f>_xll.BDH("ALNY US Equity","TOT_LIAB_AND_EQY","FQ1 2019","FQ1 2019","Currency=USD","Period=FQ","BEST_FPERIOD_OVERRIDE=FQ","FILING_STATUS=MR","SCALING_FORMAT=MLN","Sort=A","Dates=H","DateFormat=P","Fill=—","Direction=H","UseDPDF=Y")</f>
        <v>2013.999</v>
      </c>
      <c r="E78" s="19">
        <f>_xll.BDH("ALNY US Equity","TOT_LIAB_AND_EQY","FQ2 2019","FQ2 2019","Currency=USD","Period=FQ","BEST_FPERIOD_OVERRIDE=FQ","FILING_STATUS=MR","SCALING_FORMAT=MLN","Sort=A","Dates=H","DateFormat=P","Fill=—","Direction=H","UseDPDF=Y")</f>
        <v>2716.4110000000001</v>
      </c>
      <c r="F78" s="19">
        <f>_xll.BDH("ALNY US Equity","TOT_LIAB_AND_EQY","FQ3 2019","FQ3 2019","Currency=USD","Period=FQ","BEST_FPERIOD_OVERRIDE=FQ","FILING_STATUS=MR","SCALING_FORMAT=MLN","Sort=A","Dates=H","DateFormat=P","Fill=—","Direction=H","UseDPDF=Y")</f>
        <v>2541.6219999999998</v>
      </c>
      <c r="G78" s="19">
        <f>_xll.BDH("ALNY US Equity","TOT_LIAB_AND_EQY","FQ4 2019","FQ4 2019","Currency=USD","Period=FQ","BEST_FPERIOD_OVERRIDE=FQ","FILING_STATUS=MR","SCALING_FORMAT=MLN","Sort=A","Dates=H","DateFormat=P","Fill=—","Direction=H","UseDPDF=Y")</f>
        <v>2395.134</v>
      </c>
      <c r="H78" s="19">
        <f>_xll.BDH("ALNY US Equity","TOT_LIAB_AND_EQY","FQ1 2020","FQ1 2020","Currency=USD","Period=FQ","BEST_FPERIOD_OVERRIDE=FQ","FILING_STATUS=MR","SCALING_FORMAT=MLN","Sort=A","Dates=H","DateFormat=P","Fill=—","Direction=H","UseDPDF=Y")</f>
        <v>2279.6239999999998</v>
      </c>
      <c r="I78" s="19">
        <f>_xll.BDH("ALNY US Equity","TOT_LIAB_AND_EQY","FQ2 2020","FQ2 2020","Currency=USD","Period=FQ","BEST_FPERIOD_OVERRIDE=FQ","FILING_STATUS=MR","SCALING_FORMAT=MLN","Sort=A","Dates=H","DateFormat=P","Fill=—","Direction=H","UseDPDF=Y")</f>
        <v>3374.3670000000002</v>
      </c>
      <c r="J78" s="19">
        <f>_xll.BDH("ALNY US Equity","TOT_LIAB_AND_EQY","FQ3 2020","FQ3 2020","Currency=USD","Period=FQ","BEST_FPERIOD_OVERRIDE=FQ","FILING_STATUS=MR","SCALING_FORMAT=MLN","Sort=A","Dates=H","DateFormat=P","Fill=—","Direction=H","UseDPDF=Y")</f>
        <v>3307.2829999999999</v>
      </c>
      <c r="K78" s="19">
        <f>_xll.BDH("ALNY US Equity","TOT_LIAB_AND_EQY","FQ4 2020","FQ4 2020","Currency=USD","Period=FQ","BEST_FPERIOD_OVERRIDE=FQ","FILING_STATUS=MR","SCALING_FORMAT=MLN","Sort=A","Dates=H","DateFormat=P","Fill=—","Direction=H","UseDPDF=Y")</f>
        <v>3407.0610000000001</v>
      </c>
      <c r="L78" s="19">
        <f>_xll.BDH("ALNY US Equity","TOT_LIAB_AND_EQY","FQ1 2021","FQ1 2021","Currency=USD","Period=FQ","BEST_FPERIOD_OVERRIDE=FQ","FILING_STATUS=MR","SCALING_FORMAT=MLN","Sort=A","Dates=H","DateFormat=P","Fill=—","Direction=H","UseDPDF=Y")</f>
        <v>3255.2689999999998</v>
      </c>
      <c r="M78" s="19">
        <f>_xll.BDH("ALNY US Equity","TOT_LIAB_AND_EQY","FQ2 2021","FQ2 2021","Currency=USD","Period=FQ","BEST_FPERIOD_OVERRIDE=FQ","FILING_STATUS=MR","SCALING_FORMAT=MLN","Sort=A","Dates=H","DateFormat=P","Fill=—","Direction=H","UseDPDF=Y")</f>
        <v>3509.4290000000001</v>
      </c>
      <c r="N78" s="19">
        <f>_xll.BDH("ALNY US Equity","TOT_LIAB_AND_EQY","FQ3 2021","FQ3 2021","Currency=USD","Period=FQ","BEST_FPERIOD_OVERRIDE=FQ","FILING_STATUS=MR","SCALING_FORMAT=MLN","Sort=A","Dates=H","DateFormat=P","Fill=—","Direction=H","UseDPDF=Y")</f>
        <v>3472.3130000000001</v>
      </c>
      <c r="O78" s="19">
        <f>_xll.BDH("ALNY US Equity","TOT_LIAB_AND_EQY","FQ4 2021","FQ4 2021","Currency=USD","Period=FQ","BEST_FPERIOD_OVERRIDE=FQ","FILING_STATUS=MR","SCALING_FORMAT=MLN","Sort=A","Dates=H","DateFormat=P","Fill=—","Direction=H","UseDPDF=Y")</f>
        <v>3643.3040000000001</v>
      </c>
      <c r="P78" s="19">
        <f>_xll.BDH("ALNY US Equity","TOT_LIAB_AND_EQY","FQ1 2022","FQ1 2022","Currency=USD","Period=FQ","BEST_FPERIOD_OVERRIDE=FQ","FILING_STATUS=MR","SCALING_FORMAT=MLN","Sort=A","Dates=H","DateFormat=P","Fill=—","Direction=H","UseDPDF=Y")</f>
        <v>3433.5450000000001</v>
      </c>
      <c r="Q78" s="19">
        <f>_xll.BDH("ALNY US Equity","TOT_LIAB_AND_EQY","FQ2 2022","FQ2 2022","Currency=USD","Period=FQ","BEST_FPERIOD_OVERRIDE=FQ","FILING_STATUS=MR","SCALING_FORMAT=MLN","Sort=A","Dates=H","DateFormat=P","Fill=—","Direction=H","UseDPDF=Y")</f>
        <v>3330.4169999999999</v>
      </c>
      <c r="R78" s="19">
        <f>_xll.BDH("ALNY US Equity","TOT_LIAB_AND_EQY","FQ3 2022","FQ3 2022","Currency=USD","Period=FQ","BEST_FPERIOD_OVERRIDE=FQ","FILING_STATUS=MR","SCALING_FORMAT=MLN","Sort=A","Dates=H","DateFormat=P","Fill=—","Direction=H","UseDPDF=Y")</f>
        <v>3535.2550000000001</v>
      </c>
      <c r="S78" s="19">
        <f>_xll.BDH("ALNY US Equity","TOT_LIAB_AND_EQY","FQ4 2022","FQ4 2022","Currency=USD","Period=FQ","BEST_FPERIOD_OVERRIDE=FQ","FILING_STATUS=MR","SCALING_FORMAT=MLN","Sort=A","Dates=H","DateFormat=P","Fill=—","Direction=H","UseDPDF=Y")</f>
        <v>3546.3589999999999</v>
      </c>
      <c r="T78" s="19">
        <f>_xll.BDH("ALNY US Equity","TOT_LIAB_AND_EQY","FQ1 2023","FQ1 2023","Currency=USD","Period=FQ","BEST_FPERIOD_OVERRIDE=FQ","FILING_STATUS=MR","SCALING_FORMAT=MLN","Sort=A","Dates=H","DateFormat=P","Fill=—","Direction=H","UseDPDF=Y")</f>
        <v>3391.94</v>
      </c>
      <c r="U78" s="19">
        <f>_xll.BDH("ALNY US Equity","TOT_LIAB_AND_EQY","FQ2 2023","FQ2 2023","Currency=USD","Period=FQ","BEST_FPERIOD_OVERRIDE=FQ","FILING_STATUS=MR","SCALING_FORMAT=MLN","Sort=A","Dates=H","DateFormat=P","Fill=—","Direction=H","UseDPDF=Y")</f>
        <v>3402.3960000000002</v>
      </c>
      <c r="V78" s="19">
        <f>_xll.BDH("ALNY US Equity","TOT_LIAB_AND_EQY","FQ3 2023","FQ3 2023","Currency=USD","Period=FQ","BEST_FPERIOD_OVERRIDE=FQ","FILING_STATUS=MR","SCALING_FORMAT=MLN","Sort=A","Dates=H","DateFormat=P","Fill=—","Direction=H","UseDPDF=Y")</f>
        <v>3839.0729999999999</v>
      </c>
      <c r="W78" s="19">
        <f>_xll.BDH("ALNY US Equity","TOT_LIAB_AND_EQY","FQ4 2023","FQ4 2023","Currency=USD","Period=FQ","BEST_FPERIOD_OVERRIDE=FQ","FILING_STATUS=MR","SCALING_FORMAT=MLN","Sort=A","Dates=H","DateFormat=P","Fill=—","Direction=H","UseDPDF=Y")</f>
        <v>3829.88</v>
      </c>
      <c r="X78" s="19">
        <f>_xll.BDH("ALNY US Equity","TOT_LIAB_AND_EQY","FQ1 2024","FQ1 2024","Currency=USD","Period=FQ","BEST_FPERIOD_OVERRIDE=FQ","FILING_STATUS=MR","SCALING_FORMAT=MLN","Sort=A","Dates=H","DateFormat=P","Fill=—","Direction=H","UseDPDF=Y")</f>
        <v>3824.386</v>
      </c>
      <c r="Y78" s="19">
        <f>_xll.BDH("ALNY US Equity","TOT_LIAB_AND_EQY","FQ2 2024","FQ2 2024","Currency=USD","Period=FQ","BEST_FPERIOD_OVERRIDE=FQ","FILING_STATUS=MR","SCALING_FORMAT=MLN","Sort=A","Dates=H","DateFormat=P","Fill=—","Direction=H","UseDPDF=Y")</f>
        <v>4009.634</v>
      </c>
      <c r="Z78" s="19">
        <f>_xll.BDH("ALNY US Equity","TOT_LIAB_AND_EQY","FQ3 2024","FQ3 2024","Currency=USD","Period=FQ","BEST_FPERIOD_OVERRIDE=FQ","FILING_STATUS=MR","SCALING_FORMAT=MLN","Sort=A","Dates=H","DateFormat=P","Fill=—","Direction=H","UseDPDF=Y")</f>
        <v>4205.0389999999998</v>
      </c>
      <c r="AA78" s="19">
        <f>_xll.BDH("ALNY US Equity","TOT_LIAB_AND_EQY","FQ4 2024","FQ4 2024","Currency=USD","Period=FQ","BEST_FPERIOD_OVERRIDE=FQ","FILING_STATUS=MR","SCALING_FORMAT=MLN","Sort=A","Dates=H","DateFormat=P","Fill=—","Direction=H","UseDPDF=Y")</f>
        <v>4239.9830000000002</v>
      </c>
    </row>
    <row r="79" spans="1:27" x14ac:dyDescent="0.25">
      <c r="A79" s="6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x14ac:dyDescent="0.25">
      <c r="A80" s="6" t="s">
        <v>4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x14ac:dyDescent="0.25">
      <c r="A81" s="10" t="s">
        <v>374</v>
      </c>
      <c r="B81" s="10" t="s">
        <v>375</v>
      </c>
      <c r="C81" s="12" t="s">
        <v>376</v>
      </c>
      <c r="D81" s="12" t="s">
        <v>376</v>
      </c>
      <c r="E81" s="12" t="s">
        <v>376</v>
      </c>
      <c r="F81" s="12" t="s">
        <v>376</v>
      </c>
      <c r="G81" s="12" t="s">
        <v>376</v>
      </c>
      <c r="H81" s="12" t="s">
        <v>376</v>
      </c>
      <c r="I81" s="12" t="s">
        <v>376</v>
      </c>
      <c r="J81" s="12" t="s">
        <v>376</v>
      </c>
      <c r="K81" s="12" t="s">
        <v>376</v>
      </c>
      <c r="L81" s="12" t="s">
        <v>376</v>
      </c>
      <c r="M81" s="12" t="s">
        <v>376</v>
      </c>
      <c r="N81" s="12" t="s">
        <v>376</v>
      </c>
      <c r="O81" s="12" t="s">
        <v>376</v>
      </c>
      <c r="P81" s="12" t="s">
        <v>376</v>
      </c>
      <c r="Q81" s="12" t="s">
        <v>376</v>
      </c>
      <c r="R81" s="12" t="s">
        <v>376</v>
      </c>
      <c r="S81" s="12" t="s">
        <v>376</v>
      </c>
      <c r="T81" s="12" t="s">
        <v>376</v>
      </c>
      <c r="U81" s="12" t="s">
        <v>376</v>
      </c>
      <c r="V81" s="12" t="s">
        <v>376</v>
      </c>
      <c r="W81" s="12" t="s">
        <v>376</v>
      </c>
      <c r="X81" s="12" t="s">
        <v>376</v>
      </c>
      <c r="Y81" s="12" t="s">
        <v>376</v>
      </c>
      <c r="Z81" s="12" t="s">
        <v>376</v>
      </c>
      <c r="AA81" s="12" t="s">
        <v>376</v>
      </c>
    </row>
    <row r="82" spans="1:27" x14ac:dyDescent="0.25">
      <c r="A82" s="10" t="s">
        <v>800</v>
      </c>
      <c r="B82" s="10" t="s">
        <v>121</v>
      </c>
      <c r="C82" s="13">
        <f>_xll.BDH("ALNY US Equity","BS_SH_OUT","FQ4 2018","FQ4 2018","Currency=USD","Period=FQ","BEST_FPERIOD_OVERRIDE=FQ","FILING_STATUS=MR","Sort=A","Dates=H","DateFormat=P","Fill=—","Direction=H","UseDPDF=Y")</f>
        <v>101.17700000000001</v>
      </c>
      <c r="D82" s="13">
        <f>_xll.BDH("ALNY US Equity","BS_SH_OUT","FQ1 2019","FQ1 2019","Currency=USD","Period=FQ","BEST_FPERIOD_OVERRIDE=FQ","FILING_STATUS=MR","Sort=A","Dates=H","DateFormat=P","Fill=—","Direction=H","UseDPDF=Y")</f>
        <v>106.4</v>
      </c>
      <c r="E82" s="13">
        <f>_xll.BDH("ALNY US Equity","BS_SH_OUT","FQ2 2019","FQ2 2019","Currency=USD","Period=FQ","BEST_FPERIOD_OVERRIDE=FQ","FILING_STATUS=MR","Sort=A","Dates=H","DateFormat=P","Fill=—","Direction=H","UseDPDF=Y")</f>
        <v>111.114</v>
      </c>
      <c r="F82" s="13">
        <f>_xll.BDH("ALNY US Equity","BS_SH_OUT","FQ3 2019","FQ3 2019","Currency=USD","Period=FQ","BEST_FPERIOD_OVERRIDE=FQ","FILING_STATUS=MR","Sort=A","Dates=H","DateFormat=P","Fill=—","Direction=H","UseDPDF=Y")</f>
        <v>111.325</v>
      </c>
      <c r="G82" s="13">
        <f>_xll.BDH("ALNY US Equity","BS_SH_OUT","FQ4 2019","FQ4 2019","Currency=USD","Period=FQ","BEST_FPERIOD_OVERRIDE=FQ","FILING_STATUS=MR","Sort=A","Dates=H","DateFormat=P","Fill=—","Direction=H","UseDPDF=Y")</f>
        <v>112.188</v>
      </c>
      <c r="H82" s="13">
        <f>_xll.BDH("ALNY US Equity","BS_SH_OUT","FQ1 2020","FQ1 2020","Currency=USD","Period=FQ","BEST_FPERIOD_OVERRIDE=FQ","FILING_STATUS=MR","Sort=A","Dates=H","DateFormat=P","Fill=—","Direction=H","UseDPDF=Y")</f>
        <v>113.16800000000001</v>
      </c>
      <c r="I82" s="13">
        <f>_xll.BDH("ALNY US Equity","BS_SH_OUT","FQ2 2020","FQ2 2020","Currency=USD","Period=FQ","BEST_FPERIOD_OVERRIDE=FQ","FILING_STATUS=MR","Sort=A","Dates=H","DateFormat=P","Fill=—","Direction=H","UseDPDF=Y")</f>
        <v>115.64700000000001</v>
      </c>
      <c r="J82" s="13">
        <f>_xll.BDH("ALNY US Equity","BS_SH_OUT","FQ3 2020","FQ3 2020","Currency=USD","Period=FQ","BEST_FPERIOD_OVERRIDE=FQ","FILING_STATUS=MR","Sort=A","Dates=H","DateFormat=P","Fill=—","Direction=H","UseDPDF=Y")</f>
        <v>116.143</v>
      </c>
      <c r="K82" s="13">
        <f>_xll.BDH("ALNY US Equity","BS_SH_OUT","FQ4 2020","FQ4 2020","Currency=USD","Period=FQ","BEST_FPERIOD_OVERRIDE=FQ","FILING_STATUS=MR","Sort=A","Dates=H","DateFormat=P","Fill=—","Direction=H","UseDPDF=Y")</f>
        <v>116.42700000000001</v>
      </c>
      <c r="L82" s="13">
        <f>_xll.BDH("ALNY US Equity","BS_SH_OUT","FQ1 2021","FQ1 2021","Currency=USD","Period=FQ","BEST_FPERIOD_OVERRIDE=FQ","FILING_STATUS=MR","Sort=A","Dates=H","DateFormat=P","Fill=—","Direction=H","UseDPDF=Y")</f>
        <v>117.321</v>
      </c>
      <c r="M82" s="13">
        <f>_xll.BDH("ALNY US Equity","BS_SH_OUT","FQ2 2021","FQ2 2021","Currency=USD","Period=FQ","BEST_FPERIOD_OVERRIDE=FQ","FILING_STATUS=MR","Sort=A","Dates=H","DateFormat=P","Fill=—","Direction=H","UseDPDF=Y")</f>
        <v>118.596</v>
      </c>
      <c r="N82" s="13">
        <f>_xll.BDH("ALNY US Equity","BS_SH_OUT","FQ3 2021","FQ3 2021","Currency=USD","Period=FQ","BEST_FPERIOD_OVERRIDE=FQ","FILING_STATUS=MR","Sort=A","Dates=H","DateFormat=P","Fill=—","Direction=H","UseDPDF=Y")</f>
        <v>119.48</v>
      </c>
      <c r="O82" s="13">
        <f>_xll.BDH("ALNY US Equity","BS_SH_OUT","FQ4 2021","FQ4 2021","Currency=USD","Period=FQ","BEST_FPERIOD_OVERRIDE=FQ","FILING_STATUS=MR","Sort=A","Dates=H","DateFormat=P","Fill=—","Direction=H","UseDPDF=Y")</f>
        <v>120.182</v>
      </c>
      <c r="P82" s="13">
        <f>_xll.BDH("ALNY US Equity","BS_SH_OUT","FQ1 2022","FQ1 2022","Currency=USD","Period=FQ","BEST_FPERIOD_OVERRIDE=FQ","FILING_STATUS=MR","Sort=A","Dates=H","DateFormat=P","Fill=—","Direction=H","UseDPDF=Y")</f>
        <v>120.729</v>
      </c>
      <c r="Q82" s="13">
        <f>_xll.BDH("ALNY US Equity","BS_SH_OUT","FQ2 2022","FQ2 2022","Currency=USD","Period=FQ","BEST_FPERIOD_OVERRIDE=FQ","FILING_STATUS=MR","Sort=A","Dates=H","DateFormat=P","Fill=—","Direction=H","UseDPDF=Y")</f>
        <v>120.992</v>
      </c>
      <c r="R82" s="13">
        <f>_xll.BDH("ALNY US Equity","BS_SH_OUT","FQ3 2022","FQ3 2022","Currency=USD","Period=FQ","BEST_FPERIOD_OVERRIDE=FQ","FILING_STATUS=MR","Sort=A","Dates=H","DateFormat=P","Fill=—","Direction=H","UseDPDF=Y")</f>
        <v>122.991</v>
      </c>
      <c r="S82" s="13">
        <f>_xll.BDH("ALNY US Equity","BS_SH_OUT","FQ4 2022","FQ4 2022","Currency=USD","Period=FQ","BEST_FPERIOD_OVERRIDE=FQ","FILING_STATUS=MR","Sort=A","Dates=H","DateFormat=P","Fill=—","Direction=H","UseDPDF=Y")</f>
        <v>123.925</v>
      </c>
      <c r="T82" s="13">
        <f>_xll.BDH("ALNY US Equity","BS_SH_OUT","FQ1 2023","FQ1 2023","Currency=USD","Period=FQ","BEST_FPERIOD_OVERRIDE=FQ","FILING_STATUS=MR","Sort=A","Dates=H","DateFormat=P","Fill=—","Direction=H","UseDPDF=Y")</f>
        <v>124.241</v>
      </c>
      <c r="U82" s="13">
        <f>_xll.BDH("ALNY US Equity","BS_SH_OUT","FQ2 2023","FQ2 2023","Currency=USD","Period=FQ","BEST_FPERIOD_OVERRIDE=FQ","FILING_STATUS=MR","Sort=A","Dates=H","DateFormat=P","Fill=—","Direction=H","UseDPDF=Y")</f>
        <v>124.241</v>
      </c>
      <c r="V82" s="13">
        <f>_xll.BDH("ALNY US Equity","BS_SH_OUT","FQ3 2023","FQ3 2023","Currency=USD","Period=FQ","BEST_FPERIOD_OVERRIDE=FQ","FILING_STATUS=MR","Sort=A","Dates=H","DateFormat=P","Fill=—","Direction=H","UseDPDF=Y")</f>
        <v>125.45399999999999</v>
      </c>
      <c r="W82" s="13">
        <f>_xll.BDH("ALNY US Equity","BS_SH_OUT","FQ4 2023","FQ4 2023","Currency=USD","Period=FQ","BEST_FPERIOD_OVERRIDE=FQ","FILING_STATUS=MR","Sort=A","Dates=H","DateFormat=P","Fill=—","Direction=H","UseDPDF=Y")</f>
        <v>125.794</v>
      </c>
      <c r="X82" s="13">
        <f>_xll.BDH("ALNY US Equity","BS_SH_OUT","FQ1 2024","FQ1 2024","Currency=USD","Period=FQ","BEST_FPERIOD_OVERRIDE=FQ","FILING_STATUS=MR","Sort=A","Dates=H","DateFormat=P","Fill=—","Direction=H","UseDPDF=Y")</f>
        <v>126.46299999999999</v>
      </c>
      <c r="Y82" s="13">
        <f>_xll.BDH("ALNY US Equity","BS_SH_OUT","FQ2 2024","FQ2 2024","Currency=USD","Period=FQ","BEST_FPERIOD_OVERRIDE=FQ","FILING_STATUS=MR","Sort=A","Dates=H","DateFormat=P","Fill=—","Direction=H","UseDPDF=Y")</f>
        <v>128.02099999999999</v>
      </c>
      <c r="Z82" s="13">
        <f>_xll.BDH("ALNY US Equity","BS_SH_OUT","FQ3 2024","FQ3 2024","Currency=USD","Period=FQ","BEST_FPERIOD_OVERRIDE=FQ","FILING_STATUS=MR","Sort=A","Dates=H","DateFormat=P","Fill=—","Direction=H","UseDPDF=Y")</f>
        <v>128.84100000000001</v>
      </c>
      <c r="AA82" s="13">
        <f>_xll.BDH("ALNY US Equity","BS_SH_OUT","FQ4 2024","FQ4 2024","Currency=USD","Period=FQ","BEST_FPERIOD_OVERRIDE=FQ","FILING_STATUS=MR","Sort=A","Dates=H","DateFormat=P","Fill=—","Direction=H","UseDPDF=Y")</f>
        <v>129.29400000000001</v>
      </c>
    </row>
    <row r="83" spans="1:27" x14ac:dyDescent="0.25">
      <c r="A83" s="10" t="s">
        <v>801</v>
      </c>
      <c r="B83" s="10" t="s">
        <v>802</v>
      </c>
      <c r="C83" s="13">
        <f>_xll.BDH("ALNY US Equity","BS_NUM_OF_TSY_SH","FQ4 2018","FQ4 2018","Currency=USD","Period=FQ","BEST_FPERIOD_OVERRIDE=FQ","FILING_STATUS=MR","Sort=A","Dates=H","DateFormat=P","Fill=—","Direction=H","UseDPDF=Y")</f>
        <v>0</v>
      </c>
      <c r="D83" s="13">
        <f>_xll.BDH("ALNY US Equity","BS_NUM_OF_TSY_SH","FQ1 2019","FQ1 2019","Currency=USD","Period=FQ","BEST_FPERIOD_OVERRIDE=FQ","FILING_STATUS=MR","Sort=A","Dates=H","DateFormat=P","Fill=—","Direction=H","UseDPDF=Y")</f>
        <v>0</v>
      </c>
      <c r="E83" s="13">
        <f>_xll.BDH("ALNY US Equity","BS_NUM_OF_TSY_SH","FQ2 2019","FQ2 2019","Currency=USD","Period=FQ","BEST_FPERIOD_OVERRIDE=FQ","FILING_STATUS=MR","Sort=A","Dates=H","DateFormat=P","Fill=—","Direction=H","UseDPDF=Y")</f>
        <v>0</v>
      </c>
      <c r="F83" s="13">
        <f>_xll.BDH("ALNY US Equity","BS_NUM_OF_TSY_SH","FQ3 2019","FQ3 2019","Currency=USD","Period=FQ","BEST_FPERIOD_OVERRIDE=FQ","FILING_STATUS=MR","Sort=A","Dates=H","DateFormat=P","Fill=—","Direction=H","UseDPDF=Y")</f>
        <v>0</v>
      </c>
      <c r="G83" s="13">
        <f>_xll.BDH("ALNY US Equity","BS_NUM_OF_TSY_SH","FQ4 2019","FQ4 2019","Currency=USD","Period=FQ","BEST_FPERIOD_OVERRIDE=FQ","FILING_STATUS=MR","Sort=A","Dates=H","DateFormat=P","Fill=—","Direction=H","UseDPDF=Y")</f>
        <v>0</v>
      </c>
      <c r="H83" s="13">
        <f>_xll.BDH("ALNY US Equity","BS_NUM_OF_TSY_SH","FQ1 2020","FQ1 2020","Currency=USD","Period=FQ","BEST_FPERIOD_OVERRIDE=FQ","FILING_STATUS=MR","Sort=A","Dates=H","DateFormat=P","Fill=—","Direction=H","UseDPDF=Y")</f>
        <v>0</v>
      </c>
      <c r="I83" s="13">
        <f>_xll.BDH("ALNY US Equity","BS_NUM_OF_TSY_SH","FQ2 2020","FQ2 2020","Currency=USD","Period=FQ","BEST_FPERIOD_OVERRIDE=FQ","FILING_STATUS=MR","Sort=A","Dates=H","DateFormat=P","Fill=—","Direction=H","UseDPDF=Y")</f>
        <v>0</v>
      </c>
      <c r="J83" s="13">
        <f>_xll.BDH("ALNY US Equity","BS_NUM_OF_TSY_SH","FQ3 2020","FQ3 2020","Currency=USD","Period=FQ","BEST_FPERIOD_OVERRIDE=FQ","FILING_STATUS=MR","Sort=A","Dates=H","DateFormat=P","Fill=—","Direction=H","UseDPDF=Y")</f>
        <v>0</v>
      </c>
      <c r="K83" s="13">
        <f>_xll.BDH("ALNY US Equity","BS_NUM_OF_TSY_SH","FQ4 2020","FQ4 2020","Currency=USD","Period=FQ","BEST_FPERIOD_OVERRIDE=FQ","FILING_STATUS=MR","Sort=A","Dates=H","DateFormat=P","Fill=—","Direction=H","UseDPDF=Y")</f>
        <v>0</v>
      </c>
      <c r="L83" s="13">
        <f>_xll.BDH("ALNY US Equity","BS_NUM_OF_TSY_SH","FQ1 2021","FQ1 2021","Currency=USD","Period=FQ","BEST_FPERIOD_OVERRIDE=FQ","FILING_STATUS=MR","Sort=A","Dates=H","DateFormat=P","Fill=—","Direction=H","UseDPDF=Y")</f>
        <v>0</v>
      </c>
      <c r="M83" s="13">
        <f>_xll.BDH("ALNY US Equity","BS_NUM_OF_TSY_SH","FQ2 2021","FQ2 2021","Currency=USD","Period=FQ","BEST_FPERIOD_OVERRIDE=FQ","FILING_STATUS=MR","Sort=A","Dates=H","DateFormat=P","Fill=—","Direction=H","UseDPDF=Y")</f>
        <v>0</v>
      </c>
      <c r="N83" s="13">
        <f>_xll.BDH("ALNY US Equity","BS_NUM_OF_TSY_SH","FQ3 2021","FQ3 2021","Currency=USD","Period=FQ","BEST_FPERIOD_OVERRIDE=FQ","FILING_STATUS=MR","Sort=A","Dates=H","DateFormat=P","Fill=—","Direction=H","UseDPDF=Y")</f>
        <v>0</v>
      </c>
      <c r="O83" s="13">
        <f>_xll.BDH("ALNY US Equity","BS_NUM_OF_TSY_SH","FQ4 2021","FQ4 2021","Currency=USD","Period=FQ","BEST_FPERIOD_OVERRIDE=FQ","FILING_STATUS=MR","Sort=A","Dates=H","DateFormat=P","Fill=—","Direction=H","UseDPDF=Y")</f>
        <v>0</v>
      </c>
      <c r="P83" s="13">
        <f>_xll.BDH("ALNY US Equity","BS_NUM_OF_TSY_SH","FQ1 2022","FQ1 2022","Currency=USD","Period=FQ","BEST_FPERIOD_OVERRIDE=FQ","FILING_STATUS=MR","Sort=A","Dates=H","DateFormat=P","Fill=—","Direction=H","UseDPDF=Y")</f>
        <v>0</v>
      </c>
      <c r="Q83" s="13">
        <f>_xll.BDH("ALNY US Equity","BS_NUM_OF_TSY_SH","FQ2 2022","FQ2 2022","Currency=USD","Period=FQ","BEST_FPERIOD_OVERRIDE=FQ","FILING_STATUS=MR","Sort=A","Dates=H","DateFormat=P","Fill=—","Direction=H","UseDPDF=Y")</f>
        <v>0</v>
      </c>
      <c r="R83" s="13">
        <f>_xll.BDH("ALNY US Equity","BS_NUM_OF_TSY_SH","FQ3 2022","FQ3 2022","Currency=USD","Period=FQ","BEST_FPERIOD_OVERRIDE=FQ","FILING_STATUS=MR","Sort=A","Dates=H","DateFormat=P","Fill=—","Direction=H","UseDPDF=Y")</f>
        <v>0</v>
      </c>
      <c r="S83" s="13">
        <f>_xll.BDH("ALNY US Equity","BS_NUM_OF_TSY_SH","FQ4 2022","FQ4 2022","Currency=USD","Period=FQ","BEST_FPERIOD_OVERRIDE=FQ","FILING_STATUS=MR","Sort=A","Dates=H","DateFormat=P","Fill=—","Direction=H","UseDPDF=Y")</f>
        <v>0</v>
      </c>
      <c r="T83" s="13">
        <f>_xll.BDH("ALNY US Equity","BS_NUM_OF_TSY_SH","FQ1 2023","FQ1 2023","Currency=USD","Period=FQ","BEST_FPERIOD_OVERRIDE=FQ","FILING_STATUS=MR","Sort=A","Dates=H","DateFormat=P","Fill=—","Direction=H","UseDPDF=Y")</f>
        <v>0</v>
      </c>
      <c r="U83" s="13">
        <f>_xll.BDH("ALNY US Equity","BS_NUM_OF_TSY_SH","FQ2 2023","FQ2 2023","Currency=USD","Period=FQ","BEST_FPERIOD_OVERRIDE=FQ","FILING_STATUS=MR","Sort=A","Dates=H","DateFormat=P","Fill=—","Direction=H","UseDPDF=Y")</f>
        <v>0</v>
      </c>
      <c r="V83" s="13">
        <f>_xll.BDH("ALNY US Equity","BS_NUM_OF_TSY_SH","FQ3 2023","FQ3 2023","Currency=USD","Period=FQ","BEST_FPERIOD_OVERRIDE=FQ","FILING_STATUS=MR","Sort=A","Dates=H","DateFormat=P","Fill=—","Direction=H","UseDPDF=Y")</f>
        <v>0</v>
      </c>
      <c r="W83" s="13">
        <f>_xll.BDH("ALNY US Equity","BS_NUM_OF_TSY_SH","FQ4 2023","FQ4 2023","Currency=USD","Period=FQ","BEST_FPERIOD_OVERRIDE=FQ","FILING_STATUS=MR","Sort=A","Dates=H","DateFormat=P","Fill=—","Direction=H","UseDPDF=Y")</f>
        <v>0</v>
      </c>
      <c r="X83" s="13">
        <f>_xll.BDH("ALNY US Equity","BS_NUM_OF_TSY_SH","FQ1 2024","FQ1 2024","Currency=USD","Period=FQ","BEST_FPERIOD_OVERRIDE=FQ","FILING_STATUS=MR","Sort=A","Dates=H","DateFormat=P","Fill=—","Direction=H","UseDPDF=Y")</f>
        <v>0</v>
      </c>
      <c r="Y83" s="13">
        <f>_xll.BDH("ALNY US Equity","BS_NUM_OF_TSY_SH","FQ2 2024","FQ2 2024","Currency=USD","Period=FQ","BEST_FPERIOD_OVERRIDE=FQ","FILING_STATUS=MR","Sort=A","Dates=H","DateFormat=P","Fill=—","Direction=H","UseDPDF=Y")</f>
        <v>0</v>
      </c>
      <c r="Z83" s="13">
        <f>_xll.BDH("ALNY US Equity","BS_NUM_OF_TSY_SH","FQ3 2024","FQ3 2024","Currency=USD","Period=FQ","BEST_FPERIOD_OVERRIDE=FQ","FILING_STATUS=MR","Sort=A","Dates=H","DateFormat=P","Fill=—","Direction=H","UseDPDF=Y")</f>
        <v>0</v>
      </c>
      <c r="AA83" s="13">
        <f>_xll.BDH("ALNY US Equity","BS_NUM_OF_TSY_SH","FQ4 2024","FQ4 2024","Currency=USD","Period=FQ","BEST_FPERIOD_OVERRIDE=FQ","FILING_STATUS=MR","Sort=A","Dates=H","DateFormat=P","Fill=—","Direction=H","UseDPDF=Y")</f>
        <v>0</v>
      </c>
    </row>
    <row r="84" spans="1:27" x14ac:dyDescent="0.25">
      <c r="A84" s="10" t="s">
        <v>803</v>
      </c>
      <c r="B84" s="10" t="s">
        <v>804</v>
      </c>
      <c r="C84" s="13">
        <f>_xll.BDH("ALNY US Equity","BS_PENSION_RSRV","FQ4 2018","FQ4 2018","Currency=USD","Period=FQ","BEST_FPERIOD_OVERRIDE=FQ","FILING_STATUS=MR","SCALING_FORMAT=MLN","Sort=A","Dates=H","DateFormat=P","Fill=—","Direction=H","UseDPDF=Y")</f>
        <v>0</v>
      </c>
      <c r="D84" s="13">
        <f>_xll.BDH("ALNY US Equity","BS_PENSION_RSRV","FQ1 2019","FQ1 2019","Currency=USD","Period=FQ","BEST_FPERIOD_OVERRIDE=FQ","FILING_STATUS=MR","SCALING_FORMAT=MLN","Sort=A","Dates=H","DateFormat=P","Fill=—","Direction=H","UseDPDF=Y")</f>
        <v>0</v>
      </c>
      <c r="E84" s="13">
        <f>_xll.BDH("ALNY US Equity","BS_PENSION_RSRV","FQ2 2019","FQ2 2019","Currency=USD","Period=FQ","BEST_FPERIOD_OVERRIDE=FQ","FILING_STATUS=MR","SCALING_FORMAT=MLN","Sort=A","Dates=H","DateFormat=P","Fill=—","Direction=H","UseDPDF=Y")</f>
        <v>0</v>
      </c>
      <c r="F84" s="13">
        <f>_xll.BDH("ALNY US Equity","BS_PENSION_RSRV","FQ3 2019","FQ3 2019","Currency=USD","Period=FQ","BEST_FPERIOD_OVERRIDE=FQ","FILING_STATUS=MR","SCALING_FORMAT=MLN","Sort=A","Dates=H","DateFormat=P","Fill=—","Direction=H","UseDPDF=Y")</f>
        <v>0</v>
      </c>
      <c r="G84" s="13">
        <f>_xll.BDH("ALNY US Equity","BS_PENSION_RSRV","FQ4 2019","FQ4 2019","Currency=USD","Period=FQ","BEST_FPERIOD_OVERRIDE=FQ","FILING_STATUS=MR","SCALING_FORMAT=MLN","Sort=A","Dates=H","DateFormat=P","Fill=—","Direction=H","UseDPDF=Y")</f>
        <v>0</v>
      </c>
      <c r="H84" s="13">
        <f>_xll.BDH("ALNY US Equity","BS_PENSION_RSRV","FQ1 2020","FQ1 2020","Currency=USD","Period=FQ","BEST_FPERIOD_OVERRIDE=FQ","FILING_STATUS=MR","SCALING_FORMAT=MLN","Sort=A","Dates=H","DateFormat=P","Fill=—","Direction=H","UseDPDF=Y")</f>
        <v>0</v>
      </c>
      <c r="I84" s="13">
        <f>_xll.BDH("ALNY US Equity","BS_PENSION_RSRV","FQ2 2020","FQ2 2020","Currency=USD","Period=FQ","BEST_FPERIOD_OVERRIDE=FQ","FILING_STATUS=MR","SCALING_FORMAT=MLN","Sort=A","Dates=H","DateFormat=P","Fill=—","Direction=H","UseDPDF=Y")</f>
        <v>0</v>
      </c>
      <c r="J84" s="13">
        <f>_xll.BDH("ALNY US Equity","BS_PENSION_RSRV","FQ3 2020","FQ3 2020","Currency=USD","Period=FQ","BEST_FPERIOD_OVERRIDE=FQ","FILING_STATUS=MR","SCALING_FORMAT=MLN","Sort=A","Dates=H","DateFormat=P","Fill=—","Direction=H","UseDPDF=Y")</f>
        <v>0</v>
      </c>
      <c r="K84" s="13">
        <f>_xll.BDH("ALNY US Equity","BS_PENSION_RSRV","FQ4 2020","FQ4 2020","Currency=USD","Period=FQ","BEST_FPERIOD_OVERRIDE=FQ","FILING_STATUS=MR","SCALING_FORMAT=MLN","Sort=A","Dates=H","DateFormat=P","Fill=—","Direction=H","UseDPDF=Y")</f>
        <v>0</v>
      </c>
      <c r="L84" s="13">
        <f>_xll.BDH("ALNY US Equity","BS_PENSION_RSRV","FQ1 2021","FQ1 2021","Currency=USD","Period=FQ","BEST_FPERIOD_OVERRIDE=FQ","FILING_STATUS=MR","SCALING_FORMAT=MLN","Sort=A","Dates=H","DateFormat=P","Fill=—","Direction=H","UseDPDF=Y")</f>
        <v>0</v>
      </c>
      <c r="M84" s="13">
        <f>_xll.BDH("ALNY US Equity","BS_PENSION_RSRV","FQ2 2021","FQ2 2021","Currency=USD","Period=FQ","BEST_FPERIOD_OVERRIDE=FQ","FILING_STATUS=MR","SCALING_FORMAT=MLN","Sort=A","Dates=H","DateFormat=P","Fill=—","Direction=H","UseDPDF=Y")</f>
        <v>0</v>
      </c>
      <c r="N84" s="13">
        <f>_xll.BDH("ALNY US Equity","BS_PENSION_RSRV","FQ3 2021","FQ3 2021","Currency=USD","Period=FQ","BEST_FPERIOD_OVERRIDE=FQ","FILING_STATUS=MR","SCALING_FORMAT=MLN","Sort=A","Dates=H","DateFormat=P","Fill=—","Direction=H","UseDPDF=Y")</f>
        <v>0</v>
      </c>
      <c r="O84" s="13">
        <f>_xll.BDH("ALNY US Equity","BS_PENSION_RSRV","FQ4 2021","FQ4 2021","Currency=USD","Period=FQ","BEST_FPERIOD_OVERRIDE=FQ","FILING_STATUS=MR","SCALING_FORMAT=MLN","Sort=A","Dates=H","DateFormat=P","Fill=—","Direction=H","UseDPDF=Y")</f>
        <v>0</v>
      </c>
      <c r="P84" s="13">
        <f>_xll.BDH("ALNY US Equity","BS_PENSION_RSRV","FQ1 2022","FQ1 2022","Currency=USD","Period=FQ","BEST_FPERIOD_OVERRIDE=FQ","FILING_STATUS=MR","SCALING_FORMAT=MLN","Sort=A","Dates=H","DateFormat=P","Fill=—","Direction=H","UseDPDF=Y")</f>
        <v>0</v>
      </c>
      <c r="Q84" s="13">
        <f>_xll.BDH("ALNY US Equity","BS_PENSION_RSRV","FQ2 2022","FQ2 2022","Currency=USD","Period=FQ","BEST_FPERIOD_OVERRIDE=FQ","FILING_STATUS=MR","SCALING_FORMAT=MLN","Sort=A","Dates=H","DateFormat=P","Fill=—","Direction=H","UseDPDF=Y")</f>
        <v>0</v>
      </c>
      <c r="R84" s="13">
        <f>_xll.BDH("ALNY US Equity","BS_PENSION_RSRV","FQ3 2022","FQ3 2022","Currency=USD","Period=FQ","BEST_FPERIOD_OVERRIDE=FQ","FILING_STATUS=MR","SCALING_FORMAT=MLN","Sort=A","Dates=H","DateFormat=P","Fill=—","Direction=H","UseDPDF=Y")</f>
        <v>0</v>
      </c>
      <c r="S84" s="13">
        <f>_xll.BDH("ALNY US Equity","BS_PENSION_RSRV","FQ4 2022","FQ4 2022","Currency=USD","Period=FQ","BEST_FPERIOD_OVERRIDE=FQ","FILING_STATUS=MR","SCALING_FORMAT=MLN","Sort=A","Dates=H","DateFormat=P","Fill=—","Direction=H","UseDPDF=Y")</f>
        <v>0</v>
      </c>
      <c r="T84" s="13">
        <f>_xll.BDH("ALNY US Equity","BS_PENSION_RSRV","FQ1 2023","FQ1 2023","Currency=USD","Period=FQ","BEST_FPERIOD_OVERRIDE=FQ","FILING_STATUS=MR","SCALING_FORMAT=MLN","Sort=A","Dates=H","DateFormat=P","Fill=—","Direction=H","UseDPDF=Y")</f>
        <v>0</v>
      </c>
      <c r="U84" s="13">
        <f>_xll.BDH("ALNY US Equity","BS_PENSION_RSRV","FQ2 2023","FQ2 2023","Currency=USD","Period=FQ","BEST_FPERIOD_OVERRIDE=FQ","FILING_STATUS=MR","SCALING_FORMAT=MLN","Sort=A","Dates=H","DateFormat=P","Fill=—","Direction=H","UseDPDF=Y")</f>
        <v>0</v>
      </c>
      <c r="V84" s="13">
        <f>_xll.BDH("ALNY US Equity","BS_PENSION_RSRV","FQ3 2023","FQ3 2023","Currency=USD","Period=FQ","BEST_FPERIOD_OVERRIDE=FQ","FILING_STATUS=MR","SCALING_FORMAT=MLN","Sort=A","Dates=H","DateFormat=P","Fill=—","Direction=H","UseDPDF=Y")</f>
        <v>0</v>
      </c>
      <c r="W84" s="13">
        <f>_xll.BDH("ALNY US Equity","BS_PENSION_RSRV","FQ4 2023","FQ4 2023","Currency=USD","Period=FQ","BEST_FPERIOD_OVERRIDE=FQ","FILING_STATUS=MR","SCALING_FORMAT=MLN","Sort=A","Dates=H","DateFormat=P","Fill=—","Direction=H","UseDPDF=Y")</f>
        <v>0</v>
      </c>
      <c r="X84" s="13">
        <f>_xll.BDH("ALNY US Equity","BS_PENSION_RSRV","FQ1 2024","FQ1 2024","Currency=USD","Period=FQ","BEST_FPERIOD_OVERRIDE=FQ","FILING_STATUS=MR","SCALING_FORMAT=MLN","Sort=A","Dates=H","DateFormat=P","Fill=—","Direction=H","UseDPDF=Y")</f>
        <v>0</v>
      </c>
      <c r="Y84" s="13">
        <f>_xll.BDH("ALNY US Equity","BS_PENSION_RSRV","FQ2 2024","FQ2 2024","Currency=USD","Period=FQ","BEST_FPERIOD_OVERRIDE=FQ","FILING_STATUS=MR","SCALING_FORMAT=MLN","Sort=A","Dates=H","DateFormat=P","Fill=—","Direction=H","UseDPDF=Y")</f>
        <v>0</v>
      </c>
      <c r="Z84" s="13">
        <f>_xll.BDH("ALNY US Equity","BS_PENSION_RSRV","FQ3 2024","FQ3 2024","Currency=USD","Period=FQ","BEST_FPERIOD_OVERRIDE=FQ","FILING_STATUS=MR","SCALING_FORMAT=MLN","Sort=A","Dates=H","DateFormat=P","Fill=—","Direction=H","UseDPDF=Y")</f>
        <v>0</v>
      </c>
      <c r="AA84" s="13">
        <f>_xll.BDH("ALNY US Equity","BS_PENSION_RSRV","FQ4 2024","FQ4 2024","Currency=USD","Period=FQ","BEST_FPERIOD_OVERRIDE=FQ","FILING_STATUS=MR","SCALING_FORMAT=MLN","Sort=A","Dates=H","DateFormat=P","Fill=—","Direction=H","UseDPDF=Y")</f>
        <v>0</v>
      </c>
    </row>
    <row r="85" spans="1:27" x14ac:dyDescent="0.25">
      <c r="A85" s="10" t="s">
        <v>805</v>
      </c>
      <c r="B85" s="10" t="s">
        <v>806</v>
      </c>
      <c r="C85" s="13">
        <f>_xll.BDH("ALNY US Equity","BS_FUTURE_MIN_OPER_LEASE_OBLIG","FQ4 2018","FQ4 2018","Currency=USD","Period=FQ","BEST_FPERIOD_OVERRIDE=FQ","FILING_STATUS=MR","SCALING_FORMAT=MLN","Sort=A","Dates=H","DateFormat=P","Fill=—","Direction=H","UseDPDF=Y")</f>
        <v>562.01499999999999</v>
      </c>
      <c r="D85" s="13">
        <f>_xll.BDH("ALNY US Equity","BS_FUTURE_MIN_OPER_LEASE_OBLIG","FQ1 2019","FQ1 2019","Currency=USD","Period=FQ","BEST_FPERIOD_OVERRIDE=FQ","FILING_STATUS=MR","SCALING_FORMAT=MLN","Sort=A","Dates=H","DateFormat=P","Fill=—","Direction=H","UseDPDF=Y")</f>
        <v>543.77099999999996</v>
      </c>
      <c r="E85" s="13">
        <f>_xll.BDH("ALNY US Equity","BS_FUTURE_MIN_OPER_LEASE_OBLIG","FQ2 2019","FQ2 2019","Currency=USD","Period=FQ","BEST_FPERIOD_OVERRIDE=FQ","FILING_STATUS=MR","SCALING_FORMAT=MLN","Sort=A","Dates=H","DateFormat=P","Fill=—","Direction=H","UseDPDF=Y")</f>
        <v>544.45299999999997</v>
      </c>
      <c r="F85" s="13">
        <f>_xll.BDH("ALNY US Equity","BS_FUTURE_MIN_OPER_LEASE_OBLIG","FQ3 2019","FQ3 2019","Currency=USD","Period=FQ","BEST_FPERIOD_OVERRIDE=FQ","FILING_STATUS=MR","SCALING_FORMAT=MLN","Sort=A","Dates=H","DateFormat=P","Fill=—","Direction=H","UseDPDF=Y")</f>
        <v>536.27499999999998</v>
      </c>
      <c r="G85" s="13">
        <f>_xll.BDH("ALNY US Equity","BS_FUTURE_MIN_OPER_LEASE_OBLIG","FQ4 2019","FQ4 2019","Currency=USD","Period=FQ","BEST_FPERIOD_OVERRIDE=FQ","FILING_STATUS=MR","SCALING_FORMAT=MLN","Sort=A","Dates=H","DateFormat=P","Fill=—","Direction=H","UseDPDF=Y")</f>
        <v>532.70600000000002</v>
      </c>
      <c r="H85" s="13" t="str">
        <f>_xll.BDH("ALNY US Equity","BS_FUTURE_MIN_OPER_LEASE_OBLIG","FQ1 2020","FQ1 2020","Currency=USD","Period=FQ","BEST_FPERIOD_OVERRIDE=FQ","FILING_STATUS=MR","SCALING_FORMAT=MLN","Sort=A","Dates=H","DateFormat=P","Fill=—","Direction=H","UseDPDF=Y")</f>
        <v>—</v>
      </c>
      <c r="I85" s="13" t="str">
        <f>_xll.BDH("ALNY US Equity","BS_FUTURE_MIN_OPER_LEASE_OBLIG","FQ2 2020","FQ2 2020","Currency=USD","Period=FQ","BEST_FPERIOD_OVERRIDE=FQ","FILING_STATUS=MR","SCALING_FORMAT=MLN","Sort=A","Dates=H","DateFormat=P","Fill=—","Direction=H","UseDPDF=Y")</f>
        <v>—</v>
      </c>
      <c r="J85" s="13" t="str">
        <f>_xll.BDH("ALNY US Equity","BS_FUTURE_MIN_OPER_LEASE_OBLIG","FQ3 2020","FQ3 2020","Currency=USD","Period=FQ","BEST_FPERIOD_OVERRIDE=FQ","FILING_STATUS=MR","SCALING_FORMAT=MLN","Sort=A","Dates=H","DateFormat=P","Fill=—","Direction=H","UseDPDF=Y")</f>
        <v>—</v>
      </c>
      <c r="K85" s="13">
        <f>_xll.BDH("ALNY US Equity","BS_FUTURE_MIN_OPER_LEASE_OBLIG","FQ4 2020","FQ4 2020","Currency=USD","Period=FQ","BEST_FPERIOD_OVERRIDE=FQ","FILING_STATUS=MR","SCALING_FORMAT=MLN","Sort=A","Dates=H","DateFormat=P","Fill=—","Direction=H","UseDPDF=Y")</f>
        <v>536.33000000000004</v>
      </c>
      <c r="L85" s="13" t="str">
        <f>_xll.BDH("ALNY US Equity","BS_FUTURE_MIN_OPER_LEASE_OBLIG","FQ1 2021","FQ1 2021","Currency=USD","Period=FQ","BEST_FPERIOD_OVERRIDE=FQ","FILING_STATUS=MR","SCALING_FORMAT=MLN","Sort=A","Dates=H","DateFormat=P","Fill=—","Direction=H","UseDPDF=Y")</f>
        <v>—</v>
      </c>
      <c r="M85" s="13" t="str">
        <f>_xll.BDH("ALNY US Equity","BS_FUTURE_MIN_OPER_LEASE_OBLIG","FQ2 2021","FQ2 2021","Currency=USD","Period=FQ","BEST_FPERIOD_OVERRIDE=FQ","FILING_STATUS=MR","SCALING_FORMAT=MLN","Sort=A","Dates=H","DateFormat=P","Fill=—","Direction=H","UseDPDF=Y")</f>
        <v>—</v>
      </c>
      <c r="N85" s="13" t="str">
        <f>_xll.BDH("ALNY US Equity","BS_FUTURE_MIN_OPER_LEASE_OBLIG","FQ3 2021","FQ3 2021","Currency=USD","Period=FQ","BEST_FPERIOD_OVERRIDE=FQ","FILING_STATUS=MR","SCALING_FORMAT=MLN","Sort=A","Dates=H","DateFormat=P","Fill=—","Direction=H","UseDPDF=Y")</f>
        <v>—</v>
      </c>
      <c r="O85" s="13">
        <f>_xll.BDH("ALNY US Equity","BS_FUTURE_MIN_OPER_LEASE_OBLIG","FQ4 2021","FQ4 2021","Currency=USD","Period=FQ","BEST_FPERIOD_OVERRIDE=FQ","FILING_STATUS=MR","SCALING_FORMAT=MLN","Sort=A","Dates=H","DateFormat=P","Fill=—","Direction=H","UseDPDF=Y")</f>
        <v>503.58699999999999</v>
      </c>
      <c r="P85" s="13" t="str">
        <f>_xll.BDH("ALNY US Equity","BS_FUTURE_MIN_OPER_LEASE_OBLIG","FQ1 2022","FQ1 2022","Currency=USD","Period=FQ","BEST_FPERIOD_OVERRIDE=FQ","FILING_STATUS=MR","SCALING_FORMAT=MLN","Sort=A","Dates=H","DateFormat=P","Fill=—","Direction=H","UseDPDF=Y")</f>
        <v>—</v>
      </c>
      <c r="Q85" s="13" t="str">
        <f>_xll.BDH("ALNY US Equity","BS_FUTURE_MIN_OPER_LEASE_OBLIG","FQ2 2022","FQ2 2022","Currency=USD","Period=FQ","BEST_FPERIOD_OVERRIDE=FQ","FILING_STATUS=MR","SCALING_FORMAT=MLN","Sort=A","Dates=H","DateFormat=P","Fill=—","Direction=H","UseDPDF=Y")</f>
        <v>—</v>
      </c>
      <c r="R85" s="13" t="str">
        <f>_xll.BDH("ALNY US Equity","BS_FUTURE_MIN_OPER_LEASE_OBLIG","FQ3 2022","FQ3 2022","Currency=USD","Period=FQ","BEST_FPERIOD_OVERRIDE=FQ","FILING_STATUS=MR","SCALING_FORMAT=MLN","Sort=A","Dates=H","DateFormat=P","Fill=—","Direction=H","UseDPDF=Y")</f>
        <v>—</v>
      </c>
      <c r="S85" s="13">
        <f>_xll.BDH("ALNY US Equity","BS_FUTURE_MIN_OPER_LEASE_OBLIG","FQ4 2022","FQ4 2022","Currency=USD","Period=FQ","BEST_FPERIOD_OVERRIDE=FQ","FILING_STATUS=MR","SCALING_FORMAT=MLN","Sort=A","Dates=H","DateFormat=P","Fill=—","Direction=H","UseDPDF=Y")</f>
        <v>460.13200000000001</v>
      </c>
      <c r="T85" s="13" t="str">
        <f>_xll.BDH("ALNY US Equity","BS_FUTURE_MIN_OPER_LEASE_OBLIG","FQ1 2023","FQ1 2023","Currency=USD","Period=FQ","BEST_FPERIOD_OVERRIDE=FQ","FILING_STATUS=MR","SCALING_FORMAT=MLN","Sort=A","Dates=H","DateFormat=P","Fill=—","Direction=H","UseDPDF=Y")</f>
        <v>—</v>
      </c>
      <c r="U85" s="13" t="str">
        <f>_xll.BDH("ALNY US Equity","BS_FUTURE_MIN_OPER_LEASE_OBLIG","FQ2 2023","FQ2 2023","Currency=USD","Period=FQ","BEST_FPERIOD_OVERRIDE=FQ","FILING_STATUS=MR","SCALING_FORMAT=MLN","Sort=A","Dates=H","DateFormat=P","Fill=—","Direction=H","UseDPDF=Y")</f>
        <v>—</v>
      </c>
      <c r="V85" s="13" t="str">
        <f>_xll.BDH("ALNY US Equity","BS_FUTURE_MIN_OPER_LEASE_OBLIG","FQ3 2023","FQ3 2023","Currency=USD","Period=FQ","BEST_FPERIOD_OVERRIDE=FQ","FILING_STATUS=MR","SCALING_FORMAT=MLN","Sort=A","Dates=H","DateFormat=P","Fill=—","Direction=H","UseDPDF=Y")</f>
        <v>—</v>
      </c>
      <c r="W85" s="13">
        <f>_xll.BDH("ALNY US Equity","BS_FUTURE_MIN_OPER_LEASE_OBLIG","FQ4 2023","FQ4 2023","Currency=USD","Period=FQ","BEST_FPERIOD_OVERRIDE=FQ","FILING_STATUS=MR","SCALING_FORMAT=MLN","Sort=A","Dates=H","DateFormat=P","Fill=—","Direction=H","UseDPDF=Y")</f>
        <v>418.041</v>
      </c>
      <c r="X85" s="13" t="str">
        <f>_xll.BDH("ALNY US Equity","BS_FUTURE_MIN_OPER_LEASE_OBLIG","FQ1 2024","FQ1 2024","Currency=USD","Period=FQ","BEST_FPERIOD_OVERRIDE=FQ","FILING_STATUS=MR","SCALING_FORMAT=MLN","Sort=A","Dates=H","DateFormat=P","Fill=—","Direction=H","UseDPDF=Y")</f>
        <v>—</v>
      </c>
      <c r="Y85" s="13" t="str">
        <f>_xll.BDH("ALNY US Equity","BS_FUTURE_MIN_OPER_LEASE_OBLIG","FQ2 2024","FQ2 2024","Currency=USD","Period=FQ","BEST_FPERIOD_OVERRIDE=FQ","FILING_STATUS=MR","SCALING_FORMAT=MLN","Sort=A","Dates=H","DateFormat=P","Fill=—","Direction=H","UseDPDF=Y")</f>
        <v>—</v>
      </c>
      <c r="Z85" s="13" t="str">
        <f>_xll.BDH("ALNY US Equity","BS_FUTURE_MIN_OPER_LEASE_OBLIG","FQ3 2024","FQ3 2024","Currency=USD","Period=FQ","BEST_FPERIOD_OVERRIDE=FQ","FILING_STATUS=MR","SCALING_FORMAT=MLN","Sort=A","Dates=H","DateFormat=P","Fill=—","Direction=H","UseDPDF=Y")</f>
        <v>—</v>
      </c>
      <c r="AA85" s="13">
        <f>_xll.BDH("ALNY US Equity","BS_FUTURE_MIN_OPER_LEASE_OBLIG","FQ4 2024","FQ4 2024","Currency=USD","Period=FQ","BEST_FPERIOD_OVERRIDE=FQ","FILING_STATUS=MR","SCALING_FORMAT=MLN","Sort=A","Dates=H","DateFormat=P","Fill=—","Direction=H","UseDPDF=Y")</f>
        <v>384.48899999999998</v>
      </c>
    </row>
    <row r="86" spans="1:27" x14ac:dyDescent="0.25">
      <c r="A86" s="10" t="s">
        <v>807</v>
      </c>
      <c r="B86" s="10" t="s">
        <v>808</v>
      </c>
      <c r="C86" s="13">
        <f>_xll.BDH("ALNY US Equity","BS_TOTAL_CAPITAL_LEASES","FQ4 2018","FQ4 2018","Currency=USD","Period=FQ","BEST_FPERIOD_OVERRIDE=FQ","FILING_STATUS=MR","SCALING_FORMAT=MLN","Sort=A","Dates=H","DateFormat=P","Fill=—","Direction=H","UseDPDF=Y")</f>
        <v>0</v>
      </c>
      <c r="D86" s="13" t="str">
        <f>_xll.BDH("ALNY US Equity","BS_TOTAL_CAPITAL_LEASES","FQ1 2019","FQ1 2019","Currency=USD","Period=FQ","BEST_FPERIOD_OVERRIDE=FQ","FILING_STATUS=MR","SCALING_FORMAT=MLN","Sort=A","Dates=H","DateFormat=P","Fill=—","Direction=H","UseDPDF=Y")</f>
        <v>—</v>
      </c>
      <c r="E86" s="13" t="str">
        <f>_xll.BDH("ALNY US Equity","BS_TOTAL_CAPITAL_LEASES","FQ2 2019","FQ2 2019","Currency=USD","Period=FQ","BEST_FPERIOD_OVERRIDE=FQ","FILING_STATUS=MR","SCALING_FORMAT=MLN","Sort=A","Dates=H","DateFormat=P","Fill=—","Direction=H","UseDPDF=Y")</f>
        <v>—</v>
      </c>
      <c r="F86" s="13" t="str">
        <f>_xll.BDH("ALNY US Equity","BS_TOTAL_CAPITAL_LEASES","FQ3 2019","FQ3 2019","Currency=USD","Period=FQ","BEST_FPERIOD_OVERRIDE=FQ","FILING_STATUS=MR","SCALING_FORMAT=MLN","Sort=A","Dates=H","DateFormat=P","Fill=—","Direction=H","UseDPDF=Y")</f>
        <v>—</v>
      </c>
      <c r="G86" s="13" t="str">
        <f>_xll.BDH("ALNY US Equity","BS_TOTAL_CAPITAL_LEASES","FQ4 2019","FQ4 2019","Currency=USD","Period=FQ","BEST_FPERIOD_OVERRIDE=FQ","FILING_STATUS=MR","SCALING_FORMAT=MLN","Sort=A","Dates=H","DateFormat=P","Fill=—","Direction=H","UseDPDF=Y")</f>
        <v>—</v>
      </c>
      <c r="H86" s="13" t="str">
        <f>_xll.BDH("ALNY US Equity","BS_TOTAL_CAPITAL_LEASES","FQ1 2020","FQ1 2020","Currency=USD","Period=FQ","BEST_FPERIOD_OVERRIDE=FQ","FILING_STATUS=MR","SCALING_FORMAT=MLN","Sort=A","Dates=H","DateFormat=P","Fill=—","Direction=H","UseDPDF=Y")</f>
        <v>—</v>
      </c>
      <c r="I86" s="13" t="str">
        <f>_xll.BDH("ALNY US Equity","BS_TOTAL_CAPITAL_LEASES","FQ2 2020","FQ2 2020","Currency=USD","Period=FQ","BEST_FPERIOD_OVERRIDE=FQ","FILING_STATUS=MR","SCALING_FORMAT=MLN","Sort=A","Dates=H","DateFormat=P","Fill=—","Direction=H","UseDPDF=Y")</f>
        <v>—</v>
      </c>
      <c r="J86" s="13" t="str">
        <f>_xll.BDH("ALNY US Equity","BS_TOTAL_CAPITAL_LEASES","FQ3 2020","FQ3 2020","Currency=USD","Period=FQ","BEST_FPERIOD_OVERRIDE=FQ","FILING_STATUS=MR","SCALING_FORMAT=MLN","Sort=A","Dates=H","DateFormat=P","Fill=—","Direction=H","UseDPDF=Y")</f>
        <v>—</v>
      </c>
      <c r="K86" s="13" t="str">
        <f>_xll.BDH("ALNY US Equity","BS_TOTAL_CAPITAL_LEASES","FQ4 2020","FQ4 2020","Currency=USD","Period=FQ","BEST_FPERIOD_OVERRIDE=FQ","FILING_STATUS=MR","SCALING_FORMAT=MLN","Sort=A","Dates=H","DateFormat=P","Fill=—","Direction=H","UseDPDF=Y")</f>
        <v>—</v>
      </c>
      <c r="L86" s="13" t="str">
        <f>_xll.BDH("ALNY US Equity","BS_TOTAL_CAPITAL_LEASES","FQ1 2021","FQ1 2021","Currency=USD","Period=FQ","BEST_FPERIOD_OVERRIDE=FQ","FILING_STATUS=MR","SCALING_FORMAT=MLN","Sort=A","Dates=H","DateFormat=P","Fill=—","Direction=H","UseDPDF=Y")</f>
        <v>—</v>
      </c>
      <c r="M86" s="13" t="str">
        <f>_xll.BDH("ALNY US Equity","BS_TOTAL_CAPITAL_LEASES","FQ2 2021","FQ2 2021","Currency=USD","Period=FQ","BEST_FPERIOD_OVERRIDE=FQ","FILING_STATUS=MR","SCALING_FORMAT=MLN","Sort=A","Dates=H","DateFormat=P","Fill=—","Direction=H","UseDPDF=Y")</f>
        <v>—</v>
      </c>
      <c r="N86" s="13" t="str">
        <f>_xll.BDH("ALNY US Equity","BS_TOTAL_CAPITAL_LEASES","FQ3 2021","FQ3 2021","Currency=USD","Period=FQ","BEST_FPERIOD_OVERRIDE=FQ","FILING_STATUS=MR","SCALING_FORMAT=MLN","Sort=A","Dates=H","DateFormat=P","Fill=—","Direction=H","UseDPDF=Y")</f>
        <v>—</v>
      </c>
      <c r="O86" s="13" t="str">
        <f>_xll.BDH("ALNY US Equity","BS_TOTAL_CAPITAL_LEASES","FQ4 2021","FQ4 2021","Currency=USD","Period=FQ","BEST_FPERIOD_OVERRIDE=FQ","FILING_STATUS=MR","SCALING_FORMAT=MLN","Sort=A","Dates=H","DateFormat=P","Fill=—","Direction=H","UseDPDF=Y")</f>
        <v>—</v>
      </c>
      <c r="P86" s="13" t="str">
        <f>_xll.BDH("ALNY US Equity","BS_TOTAL_CAPITAL_LEASES","FQ1 2022","FQ1 2022","Currency=USD","Period=FQ","BEST_FPERIOD_OVERRIDE=FQ","FILING_STATUS=MR","SCALING_FORMAT=MLN","Sort=A","Dates=H","DateFormat=P","Fill=—","Direction=H","UseDPDF=Y")</f>
        <v>—</v>
      </c>
      <c r="Q86" s="13" t="str">
        <f>_xll.BDH("ALNY US Equity","BS_TOTAL_CAPITAL_LEASES","FQ2 2022","FQ2 2022","Currency=USD","Period=FQ","BEST_FPERIOD_OVERRIDE=FQ","FILING_STATUS=MR","SCALING_FORMAT=MLN","Sort=A","Dates=H","DateFormat=P","Fill=—","Direction=H","UseDPDF=Y")</f>
        <v>—</v>
      </c>
      <c r="R86" s="13" t="str">
        <f>_xll.BDH("ALNY US Equity","BS_TOTAL_CAPITAL_LEASES","FQ3 2022","FQ3 2022","Currency=USD","Period=FQ","BEST_FPERIOD_OVERRIDE=FQ","FILING_STATUS=MR","SCALING_FORMAT=MLN","Sort=A","Dates=H","DateFormat=P","Fill=—","Direction=H","UseDPDF=Y")</f>
        <v>—</v>
      </c>
      <c r="S86" s="13" t="str">
        <f>_xll.BDH("ALNY US Equity","BS_TOTAL_CAPITAL_LEASES","FQ4 2022","FQ4 2022","Currency=USD","Period=FQ","BEST_FPERIOD_OVERRIDE=FQ","FILING_STATUS=MR","SCALING_FORMAT=MLN","Sort=A","Dates=H","DateFormat=P","Fill=—","Direction=H","UseDPDF=Y")</f>
        <v>—</v>
      </c>
      <c r="T86" s="13" t="str">
        <f>_xll.BDH("ALNY US Equity","BS_TOTAL_CAPITAL_LEASES","FQ1 2023","FQ1 2023","Currency=USD","Period=FQ","BEST_FPERIOD_OVERRIDE=FQ","FILING_STATUS=MR","SCALING_FORMAT=MLN","Sort=A","Dates=H","DateFormat=P","Fill=—","Direction=H","UseDPDF=Y")</f>
        <v>—</v>
      </c>
      <c r="U86" s="13" t="str">
        <f>_xll.BDH("ALNY US Equity","BS_TOTAL_CAPITAL_LEASES","FQ2 2023","FQ2 2023","Currency=USD","Period=FQ","BEST_FPERIOD_OVERRIDE=FQ","FILING_STATUS=MR","SCALING_FORMAT=MLN","Sort=A","Dates=H","DateFormat=P","Fill=—","Direction=H","UseDPDF=Y")</f>
        <v>—</v>
      </c>
      <c r="V86" s="13" t="str">
        <f>_xll.BDH("ALNY US Equity","BS_TOTAL_CAPITAL_LEASES","FQ3 2023","FQ3 2023","Currency=USD","Period=FQ","BEST_FPERIOD_OVERRIDE=FQ","FILING_STATUS=MR","SCALING_FORMAT=MLN","Sort=A","Dates=H","DateFormat=P","Fill=—","Direction=H","UseDPDF=Y")</f>
        <v>—</v>
      </c>
      <c r="W86" s="13" t="str">
        <f>_xll.BDH("ALNY US Equity","BS_TOTAL_CAPITAL_LEASES","FQ4 2023","FQ4 2023","Currency=USD","Period=FQ","BEST_FPERIOD_OVERRIDE=FQ","FILING_STATUS=MR","SCALING_FORMAT=MLN","Sort=A","Dates=H","DateFormat=P","Fill=—","Direction=H","UseDPDF=Y")</f>
        <v>—</v>
      </c>
      <c r="X86" s="13" t="str">
        <f>_xll.BDH("ALNY US Equity","BS_TOTAL_CAPITAL_LEASES","FQ1 2024","FQ1 2024","Currency=USD","Period=FQ","BEST_FPERIOD_OVERRIDE=FQ","FILING_STATUS=MR","SCALING_FORMAT=MLN","Sort=A","Dates=H","DateFormat=P","Fill=—","Direction=H","UseDPDF=Y")</f>
        <v>—</v>
      </c>
      <c r="Y86" s="13" t="str">
        <f>_xll.BDH("ALNY US Equity","BS_TOTAL_CAPITAL_LEASES","FQ2 2024","FQ2 2024","Currency=USD","Period=FQ","BEST_FPERIOD_OVERRIDE=FQ","FILING_STATUS=MR","SCALING_FORMAT=MLN","Sort=A","Dates=H","DateFormat=P","Fill=—","Direction=H","UseDPDF=Y")</f>
        <v>—</v>
      </c>
      <c r="Z86" s="13" t="str">
        <f>_xll.BDH("ALNY US Equity","BS_TOTAL_CAPITAL_LEASES","FQ3 2024","FQ3 2024","Currency=USD","Period=FQ","BEST_FPERIOD_OVERRIDE=FQ","FILING_STATUS=MR","SCALING_FORMAT=MLN","Sort=A","Dates=H","DateFormat=P","Fill=—","Direction=H","UseDPDF=Y")</f>
        <v>—</v>
      </c>
      <c r="AA86" s="13" t="str">
        <f>_xll.BDH("ALNY US Equity","BS_TOTAL_CAPITAL_LEASES","FQ4 2024","FQ4 2024","Currency=USD","Period=FQ","BEST_FPERIOD_OVERRIDE=FQ","FILING_STATUS=MR","SCALING_FORMAT=MLN","Sort=A","Dates=H","DateFormat=P","Fill=—","Direction=H","UseDPDF=Y")</f>
        <v>—</v>
      </c>
    </row>
    <row r="87" spans="1:27" x14ac:dyDescent="0.25">
      <c r="A87" s="10" t="s">
        <v>809</v>
      </c>
      <c r="B87" s="10" t="s">
        <v>810</v>
      </c>
      <c r="C87" s="13" t="str">
        <f>_xll.BDH("ALNY US Equity","BS_OPTIONS_GRANTED","FQ4 2018","FQ4 2018","Currency=USD","Period=FQ","BEST_FPERIOD_OVERRIDE=FQ","FILING_STATUS=MR","Sort=A","Dates=H","DateFormat=P","Fill=—","Direction=H","UseDPDF=Y")</f>
        <v>—</v>
      </c>
      <c r="D87" s="13" t="str">
        <f>_xll.BDH("ALNY US Equity","BS_OPTIONS_GRANTED","FQ1 2019","FQ1 2019","Currency=USD","Period=FQ","BEST_FPERIOD_OVERRIDE=FQ","FILING_STATUS=MR","Sort=A","Dates=H","DateFormat=P","Fill=—","Direction=H","UseDPDF=Y")</f>
        <v>—</v>
      </c>
      <c r="E87" s="13" t="str">
        <f>_xll.BDH("ALNY US Equity","BS_OPTIONS_GRANTED","FQ2 2019","FQ2 2019","Currency=USD","Period=FQ","BEST_FPERIOD_OVERRIDE=FQ","FILING_STATUS=MR","Sort=A","Dates=H","DateFormat=P","Fill=—","Direction=H","UseDPDF=Y")</f>
        <v>—</v>
      </c>
      <c r="F87" s="13" t="str">
        <f>_xll.BDH("ALNY US Equity","BS_OPTIONS_GRANTED","FQ3 2019","FQ3 2019","Currency=USD","Period=FQ","BEST_FPERIOD_OVERRIDE=FQ","FILING_STATUS=MR","Sort=A","Dates=H","DateFormat=P","Fill=—","Direction=H","UseDPDF=Y")</f>
        <v>—</v>
      </c>
      <c r="G87" s="13" t="str">
        <f>_xll.BDH("ALNY US Equity","BS_OPTIONS_GRANTED","FQ4 2019","FQ4 2019","Currency=USD","Period=FQ","BEST_FPERIOD_OVERRIDE=FQ","FILING_STATUS=MR","Sort=A","Dates=H","DateFormat=P","Fill=—","Direction=H","UseDPDF=Y")</f>
        <v>—</v>
      </c>
      <c r="H87" s="13" t="str">
        <f>_xll.BDH("ALNY US Equity","BS_OPTIONS_GRANTED","FQ1 2020","FQ1 2020","Currency=USD","Period=FQ","BEST_FPERIOD_OVERRIDE=FQ","FILING_STATUS=MR","Sort=A","Dates=H","DateFormat=P","Fill=—","Direction=H","UseDPDF=Y")</f>
        <v>—</v>
      </c>
      <c r="I87" s="13" t="str">
        <f>_xll.BDH("ALNY US Equity","BS_OPTIONS_GRANTED","FQ2 2020","FQ2 2020","Currency=USD","Period=FQ","BEST_FPERIOD_OVERRIDE=FQ","FILING_STATUS=MR","Sort=A","Dates=H","DateFormat=P","Fill=—","Direction=H","UseDPDF=Y")</f>
        <v>—</v>
      </c>
      <c r="J87" s="13" t="str">
        <f>_xll.BDH("ALNY US Equity","BS_OPTIONS_GRANTED","FQ3 2020","FQ3 2020","Currency=USD","Period=FQ","BEST_FPERIOD_OVERRIDE=FQ","FILING_STATUS=MR","Sort=A","Dates=H","DateFormat=P","Fill=—","Direction=H","UseDPDF=Y")</f>
        <v>—</v>
      </c>
      <c r="K87" s="13" t="str">
        <f>_xll.BDH("ALNY US Equity","BS_OPTIONS_GRANTED","FQ4 2020","FQ4 2020","Currency=USD","Period=FQ","BEST_FPERIOD_OVERRIDE=FQ","FILING_STATUS=MR","Sort=A","Dates=H","DateFormat=P","Fill=—","Direction=H","UseDPDF=Y")</f>
        <v>—</v>
      </c>
      <c r="L87" s="13" t="str">
        <f>_xll.BDH("ALNY US Equity","BS_OPTIONS_GRANTED","FQ1 2021","FQ1 2021","Currency=USD","Period=FQ","BEST_FPERIOD_OVERRIDE=FQ","FILING_STATUS=MR","Sort=A","Dates=H","DateFormat=P","Fill=—","Direction=H","UseDPDF=Y")</f>
        <v>—</v>
      </c>
      <c r="M87" s="13" t="str">
        <f>_xll.BDH("ALNY US Equity","BS_OPTIONS_GRANTED","FQ2 2021","FQ2 2021","Currency=USD","Period=FQ","BEST_FPERIOD_OVERRIDE=FQ","FILING_STATUS=MR","Sort=A","Dates=H","DateFormat=P","Fill=—","Direction=H","UseDPDF=Y")</f>
        <v>—</v>
      </c>
      <c r="N87" s="13" t="str">
        <f>_xll.BDH("ALNY US Equity","BS_OPTIONS_GRANTED","FQ3 2021","FQ3 2021","Currency=USD","Period=FQ","BEST_FPERIOD_OVERRIDE=FQ","FILING_STATUS=MR","Sort=A","Dates=H","DateFormat=P","Fill=—","Direction=H","UseDPDF=Y")</f>
        <v>—</v>
      </c>
      <c r="O87" s="13">
        <f>_xll.BDH("ALNY US Equity","BS_OPTIONS_GRANTED","FQ4 2021","FQ4 2021","Currency=USD","Period=FQ","BEST_FPERIOD_OVERRIDE=FQ","FILING_STATUS=MR","Sort=A","Dates=H","DateFormat=P","Fill=—","Direction=H","UseDPDF=Y")</f>
        <v>1.893</v>
      </c>
      <c r="P87" s="13" t="str">
        <f>_xll.BDH("ALNY US Equity","BS_OPTIONS_GRANTED","FQ1 2022","FQ1 2022","Currency=USD","Period=FQ","BEST_FPERIOD_OVERRIDE=FQ","FILING_STATUS=MR","Sort=A","Dates=H","DateFormat=P","Fill=—","Direction=H","UseDPDF=Y")</f>
        <v>—</v>
      </c>
      <c r="Q87" s="13" t="str">
        <f>_xll.BDH("ALNY US Equity","BS_OPTIONS_GRANTED","FQ2 2022","FQ2 2022","Currency=USD","Period=FQ","BEST_FPERIOD_OVERRIDE=FQ","FILING_STATUS=MR","Sort=A","Dates=H","DateFormat=P","Fill=—","Direction=H","UseDPDF=Y")</f>
        <v>—</v>
      </c>
      <c r="R87" s="13" t="str">
        <f>_xll.BDH("ALNY US Equity","BS_OPTIONS_GRANTED","FQ3 2022","FQ3 2022","Currency=USD","Period=FQ","BEST_FPERIOD_OVERRIDE=FQ","FILING_STATUS=MR","Sort=A","Dates=H","DateFormat=P","Fill=—","Direction=H","UseDPDF=Y")</f>
        <v>—</v>
      </c>
      <c r="S87" s="13" t="str">
        <f>_xll.BDH("ALNY US Equity","BS_OPTIONS_GRANTED","FQ4 2022","FQ4 2022","Currency=USD","Period=FQ","BEST_FPERIOD_OVERRIDE=FQ","FILING_STATUS=MR","Sort=A","Dates=H","DateFormat=P","Fill=—","Direction=H","UseDPDF=Y")</f>
        <v>—</v>
      </c>
      <c r="T87" s="13" t="str">
        <f>_xll.BDH("ALNY US Equity","BS_OPTIONS_GRANTED","FQ1 2023","FQ1 2023","Currency=USD","Period=FQ","BEST_FPERIOD_OVERRIDE=FQ","FILING_STATUS=MR","Sort=A","Dates=H","DateFormat=P","Fill=—","Direction=H","UseDPDF=Y")</f>
        <v>—</v>
      </c>
      <c r="U87" s="13" t="str">
        <f>_xll.BDH("ALNY US Equity","BS_OPTIONS_GRANTED","FQ2 2023","FQ2 2023","Currency=USD","Period=FQ","BEST_FPERIOD_OVERRIDE=FQ","FILING_STATUS=MR","Sort=A","Dates=H","DateFormat=P","Fill=—","Direction=H","UseDPDF=Y")</f>
        <v>—</v>
      </c>
      <c r="V87" s="13" t="str">
        <f>_xll.BDH("ALNY US Equity","BS_OPTIONS_GRANTED","FQ3 2023","FQ3 2023","Currency=USD","Period=FQ","BEST_FPERIOD_OVERRIDE=FQ","FILING_STATUS=MR","Sort=A","Dates=H","DateFormat=P","Fill=—","Direction=H","UseDPDF=Y")</f>
        <v>—</v>
      </c>
      <c r="W87" s="13" t="str">
        <f>_xll.BDH("ALNY US Equity","BS_OPTIONS_GRANTED","FQ4 2023","FQ4 2023","Currency=USD","Period=FQ","BEST_FPERIOD_OVERRIDE=FQ","FILING_STATUS=MR","Sort=A","Dates=H","DateFormat=P","Fill=—","Direction=H","UseDPDF=Y")</f>
        <v>—</v>
      </c>
      <c r="X87" s="13" t="str">
        <f>_xll.BDH("ALNY US Equity","BS_OPTIONS_GRANTED","FQ1 2024","FQ1 2024","Currency=USD","Period=FQ","BEST_FPERIOD_OVERRIDE=FQ","FILING_STATUS=MR","Sort=A","Dates=H","DateFormat=P","Fill=—","Direction=H","UseDPDF=Y")</f>
        <v>—</v>
      </c>
      <c r="Y87" s="13" t="str">
        <f>_xll.BDH("ALNY US Equity","BS_OPTIONS_GRANTED","FQ2 2024","FQ2 2024","Currency=USD","Period=FQ","BEST_FPERIOD_OVERRIDE=FQ","FILING_STATUS=MR","Sort=A","Dates=H","DateFormat=P","Fill=—","Direction=H","UseDPDF=Y")</f>
        <v>—</v>
      </c>
      <c r="Z87" s="13" t="str">
        <f>_xll.BDH("ALNY US Equity","BS_OPTIONS_GRANTED","FQ3 2024","FQ3 2024","Currency=USD","Period=FQ","BEST_FPERIOD_OVERRIDE=FQ","FILING_STATUS=MR","Sort=A","Dates=H","DateFormat=P","Fill=—","Direction=H","UseDPDF=Y")</f>
        <v>—</v>
      </c>
      <c r="AA87" s="13" t="str">
        <f>_xll.BDH("ALNY US Equity","BS_OPTIONS_GRANTED","FQ4 2024","FQ4 2024","Currency=USD","Period=FQ","BEST_FPERIOD_OVERRIDE=FQ","FILING_STATUS=MR","Sort=A","Dates=H","DateFormat=P","Fill=—","Direction=H","UseDPDF=Y")</f>
        <v>—</v>
      </c>
    </row>
    <row r="88" spans="1:27" x14ac:dyDescent="0.25">
      <c r="A88" s="10" t="s">
        <v>811</v>
      </c>
      <c r="B88" s="10" t="s">
        <v>812</v>
      </c>
      <c r="C88" s="13">
        <f>_xll.BDH("ALNY US Equity","BS_OPTIONS_OUTSTANDING","FQ4 2018","FQ4 2018","Currency=USD","Period=FQ","BEST_FPERIOD_OVERRIDE=FQ","FILING_STATUS=MR","Sort=A","Dates=H","DateFormat=P","Fill=—","Direction=H","UseDPDF=Y")</f>
        <v>9.8290000000000006</v>
      </c>
      <c r="D88" s="13" t="str">
        <f>_xll.BDH("ALNY US Equity","BS_OPTIONS_OUTSTANDING","FQ1 2019","FQ1 2019","Currency=USD","Period=FQ","BEST_FPERIOD_OVERRIDE=FQ","FILING_STATUS=MR","Sort=A","Dates=H","DateFormat=P","Fill=—","Direction=H","UseDPDF=Y")</f>
        <v>—</v>
      </c>
      <c r="E88" s="13" t="str">
        <f>_xll.BDH("ALNY US Equity","BS_OPTIONS_OUTSTANDING","FQ2 2019","FQ2 2019","Currency=USD","Period=FQ","BEST_FPERIOD_OVERRIDE=FQ","FILING_STATUS=MR","Sort=A","Dates=H","DateFormat=P","Fill=—","Direction=H","UseDPDF=Y")</f>
        <v>—</v>
      </c>
      <c r="F88" s="13" t="str">
        <f>_xll.BDH("ALNY US Equity","BS_OPTIONS_OUTSTANDING","FQ3 2019","FQ3 2019","Currency=USD","Period=FQ","BEST_FPERIOD_OVERRIDE=FQ","FILING_STATUS=MR","Sort=A","Dates=H","DateFormat=P","Fill=—","Direction=H","UseDPDF=Y")</f>
        <v>—</v>
      </c>
      <c r="G88" s="13">
        <f>_xll.BDH("ALNY US Equity","BS_OPTIONS_OUTSTANDING","FQ4 2019","FQ4 2019","Currency=USD","Period=FQ","BEST_FPERIOD_OVERRIDE=FQ","FILING_STATUS=MR","Sort=A","Dates=H","DateFormat=P","Fill=—","Direction=H","UseDPDF=Y")</f>
        <v>10.878</v>
      </c>
      <c r="H88" s="13" t="str">
        <f>_xll.BDH("ALNY US Equity","BS_OPTIONS_OUTSTANDING","FQ1 2020","FQ1 2020","Currency=USD","Period=FQ","BEST_FPERIOD_OVERRIDE=FQ","FILING_STATUS=MR","Sort=A","Dates=H","DateFormat=P","Fill=—","Direction=H","UseDPDF=Y")</f>
        <v>—</v>
      </c>
      <c r="I88" s="13" t="str">
        <f>_xll.BDH("ALNY US Equity","BS_OPTIONS_OUTSTANDING","FQ2 2020","FQ2 2020","Currency=USD","Period=FQ","BEST_FPERIOD_OVERRIDE=FQ","FILING_STATUS=MR","Sort=A","Dates=H","DateFormat=P","Fill=—","Direction=H","UseDPDF=Y")</f>
        <v>—</v>
      </c>
      <c r="J88" s="13" t="str">
        <f>_xll.BDH("ALNY US Equity","BS_OPTIONS_OUTSTANDING","FQ3 2020","FQ3 2020","Currency=USD","Period=FQ","BEST_FPERIOD_OVERRIDE=FQ","FILING_STATUS=MR","Sort=A","Dates=H","DateFormat=P","Fill=—","Direction=H","UseDPDF=Y")</f>
        <v>—</v>
      </c>
      <c r="K88" s="13">
        <f>_xll.BDH("ALNY US Equity","BS_OPTIONS_OUTSTANDING","FQ4 2020","FQ4 2020","Currency=USD","Period=FQ","BEST_FPERIOD_OVERRIDE=FQ","FILING_STATUS=MR","Sort=A","Dates=H","DateFormat=P","Fill=—","Direction=H","UseDPDF=Y")</f>
        <v>10.068</v>
      </c>
      <c r="L88" s="13" t="str">
        <f>_xll.BDH("ALNY US Equity","BS_OPTIONS_OUTSTANDING","FQ1 2021","FQ1 2021","Currency=USD","Period=FQ","BEST_FPERIOD_OVERRIDE=FQ","FILING_STATUS=MR","Sort=A","Dates=H","DateFormat=P","Fill=—","Direction=H","UseDPDF=Y")</f>
        <v>—</v>
      </c>
      <c r="M88" s="13" t="str">
        <f>_xll.BDH("ALNY US Equity","BS_OPTIONS_OUTSTANDING","FQ2 2021","FQ2 2021","Currency=USD","Period=FQ","BEST_FPERIOD_OVERRIDE=FQ","FILING_STATUS=MR","Sort=A","Dates=H","DateFormat=P","Fill=—","Direction=H","UseDPDF=Y")</f>
        <v>—</v>
      </c>
      <c r="N88" s="13" t="str">
        <f>_xll.BDH("ALNY US Equity","BS_OPTIONS_OUTSTANDING","FQ3 2021","FQ3 2021","Currency=USD","Period=FQ","BEST_FPERIOD_OVERRIDE=FQ","FILING_STATUS=MR","Sort=A","Dates=H","DateFormat=P","Fill=—","Direction=H","UseDPDF=Y")</f>
        <v>—</v>
      </c>
      <c r="O88" s="13">
        <f>_xll.BDH("ALNY US Equity","BS_OPTIONS_OUTSTANDING","FQ4 2021","FQ4 2021","Currency=USD","Period=FQ","BEST_FPERIOD_OVERRIDE=FQ","FILING_STATUS=MR","Sort=A","Dates=H","DateFormat=P","Fill=—","Direction=H","UseDPDF=Y")</f>
        <v>8.84</v>
      </c>
      <c r="P88" s="13" t="str">
        <f>_xll.BDH("ALNY US Equity","BS_OPTIONS_OUTSTANDING","FQ1 2022","FQ1 2022","Currency=USD","Period=FQ","BEST_FPERIOD_OVERRIDE=FQ","FILING_STATUS=MR","Sort=A","Dates=H","DateFormat=P","Fill=—","Direction=H","UseDPDF=Y")</f>
        <v>—</v>
      </c>
      <c r="Q88" s="13" t="str">
        <f>_xll.BDH("ALNY US Equity","BS_OPTIONS_OUTSTANDING","FQ2 2022","FQ2 2022","Currency=USD","Period=FQ","BEST_FPERIOD_OVERRIDE=FQ","FILING_STATUS=MR","Sort=A","Dates=H","DateFormat=P","Fill=—","Direction=H","UseDPDF=Y")</f>
        <v>—</v>
      </c>
      <c r="R88" s="13" t="str">
        <f>_xll.BDH("ALNY US Equity","BS_OPTIONS_OUTSTANDING","FQ3 2022","FQ3 2022","Currency=USD","Period=FQ","BEST_FPERIOD_OVERRIDE=FQ","FILING_STATUS=MR","Sort=A","Dates=H","DateFormat=P","Fill=—","Direction=H","UseDPDF=Y")</f>
        <v>—</v>
      </c>
      <c r="S88" s="13">
        <f>_xll.BDH("ALNY US Equity","BS_OPTIONS_OUTSTANDING","FQ4 2022","FQ4 2022","Currency=USD","Period=FQ","BEST_FPERIOD_OVERRIDE=FQ","FILING_STATUS=MR","Sort=A","Dates=H","DateFormat=P","Fill=—","Direction=H","UseDPDF=Y")</f>
        <v>7.8680000000000003</v>
      </c>
      <c r="T88" s="13" t="str">
        <f>_xll.BDH("ALNY US Equity","BS_OPTIONS_OUTSTANDING","FQ1 2023","FQ1 2023","Currency=USD","Period=FQ","BEST_FPERIOD_OVERRIDE=FQ","FILING_STATUS=MR","Sort=A","Dates=H","DateFormat=P","Fill=—","Direction=H","UseDPDF=Y")</f>
        <v>—</v>
      </c>
      <c r="U88" s="13" t="str">
        <f>_xll.BDH("ALNY US Equity","BS_OPTIONS_OUTSTANDING","FQ2 2023","FQ2 2023","Currency=USD","Period=FQ","BEST_FPERIOD_OVERRIDE=FQ","FILING_STATUS=MR","Sort=A","Dates=H","DateFormat=P","Fill=—","Direction=H","UseDPDF=Y")</f>
        <v>—</v>
      </c>
      <c r="V88" s="13" t="str">
        <f>_xll.BDH("ALNY US Equity","BS_OPTIONS_OUTSTANDING","FQ3 2023","FQ3 2023","Currency=USD","Period=FQ","BEST_FPERIOD_OVERRIDE=FQ","FILING_STATUS=MR","Sort=A","Dates=H","DateFormat=P","Fill=—","Direction=H","UseDPDF=Y")</f>
        <v>—</v>
      </c>
      <c r="W88" s="13">
        <f>_xll.BDH("ALNY US Equity","BS_OPTIONS_OUTSTANDING","FQ4 2023","FQ4 2023","Currency=USD","Period=FQ","BEST_FPERIOD_OVERRIDE=FQ","FILING_STATUS=MR","Sort=A","Dates=H","DateFormat=P","Fill=—","Direction=H","UseDPDF=Y")</f>
        <v>6.96</v>
      </c>
      <c r="X88" s="13" t="str">
        <f>_xll.BDH("ALNY US Equity","BS_OPTIONS_OUTSTANDING","FQ1 2024","FQ1 2024","Currency=USD","Period=FQ","BEST_FPERIOD_OVERRIDE=FQ","FILING_STATUS=MR","Sort=A","Dates=H","DateFormat=P","Fill=—","Direction=H","UseDPDF=Y")</f>
        <v>—</v>
      </c>
      <c r="Y88" s="13" t="str">
        <f>_xll.BDH("ALNY US Equity","BS_OPTIONS_OUTSTANDING","FQ2 2024","FQ2 2024","Currency=USD","Period=FQ","BEST_FPERIOD_OVERRIDE=FQ","FILING_STATUS=MR","Sort=A","Dates=H","DateFormat=P","Fill=—","Direction=H","UseDPDF=Y")</f>
        <v>—</v>
      </c>
      <c r="Z88" s="13" t="str">
        <f>_xll.BDH("ALNY US Equity","BS_OPTIONS_OUTSTANDING","FQ3 2024","FQ3 2024","Currency=USD","Period=FQ","BEST_FPERIOD_OVERRIDE=FQ","FILING_STATUS=MR","Sort=A","Dates=H","DateFormat=P","Fill=—","Direction=H","UseDPDF=Y")</f>
        <v>—</v>
      </c>
      <c r="AA88" s="13">
        <f>_xll.BDH("ALNY US Equity","BS_OPTIONS_OUTSTANDING","FQ4 2024","FQ4 2024","Currency=USD","Period=FQ","BEST_FPERIOD_OVERRIDE=FQ","FILING_STATUS=MR","Sort=A","Dates=H","DateFormat=P","Fill=—","Direction=H","UseDPDF=Y")</f>
        <v>4.8630000000000004</v>
      </c>
    </row>
    <row r="89" spans="1:27" x14ac:dyDescent="0.25">
      <c r="A89" s="10" t="s">
        <v>813</v>
      </c>
      <c r="B89" s="10" t="s">
        <v>814</v>
      </c>
      <c r="C89" s="13">
        <f>_xll.BDH("ALNY US Equity","NET_DEBT","FQ4 2018","FQ4 2018","Currency=USD","Period=FQ","BEST_FPERIOD_OVERRIDE=FQ","FILING_STATUS=MR","SCALING_FORMAT=MLN","Sort=A","Dates=H","DateFormat=P","Fill=—","Direction=H","UseDPDF=Y")</f>
        <v>-1054.155</v>
      </c>
      <c r="D89" s="13">
        <f>_xll.BDH("ALNY US Equity","NET_DEBT","FQ1 2019","FQ1 2019","Currency=USD","Period=FQ","BEST_FPERIOD_OVERRIDE=FQ","FILING_STATUS=MR","SCALING_FORMAT=MLN","Sort=A","Dates=H","DateFormat=P","Fill=—","Direction=H","UseDPDF=Y")</f>
        <v>-915.26</v>
      </c>
      <c r="E89" s="13">
        <f>_xll.BDH("ALNY US Equity","NET_DEBT","FQ2 2019","FQ2 2019","Currency=USD","Period=FQ","BEST_FPERIOD_OVERRIDE=FQ","FILING_STATUS=MR","SCALING_FORMAT=MLN","Sort=A","Dates=H","DateFormat=P","Fill=—","Direction=H","UseDPDF=Y")</f>
        <v>-1590.2729999999999</v>
      </c>
      <c r="F89" s="13">
        <f>_xll.BDH("ALNY US Equity","NET_DEBT","FQ3 2019","FQ3 2019","Currency=USD","Period=FQ","BEST_FPERIOD_OVERRIDE=FQ","FILING_STATUS=MR","SCALING_FORMAT=MLN","Sort=A","Dates=H","DateFormat=P","Fill=—","Direction=H","UseDPDF=Y")</f>
        <v>-1416.4369999999999</v>
      </c>
      <c r="G89" s="13">
        <f>_xll.BDH("ALNY US Equity","NET_DEBT","FQ4 2019","FQ4 2019","Currency=USD","Period=FQ","BEST_FPERIOD_OVERRIDE=FQ","FILING_STATUS=MR","SCALING_FORMAT=MLN","Sort=A","Dates=H","DateFormat=P","Fill=—","Direction=H","UseDPDF=Y")</f>
        <v>-1232.3389999999999</v>
      </c>
      <c r="H89" s="13">
        <f>_xll.BDH("ALNY US Equity","NET_DEBT","FQ1 2020","FQ1 2020","Currency=USD","Period=FQ","BEST_FPERIOD_OVERRIDE=FQ","FILING_STATUS=MR","SCALING_FORMAT=MLN","Sort=A","Dates=H","DateFormat=P","Fill=—","Direction=H","UseDPDF=Y")</f>
        <v>-1037.3779999999999</v>
      </c>
      <c r="I89" s="13">
        <f>_xll.BDH("ALNY US Equity","NET_DEBT","FQ2 2020","FQ2 2020","Currency=USD","Period=FQ","BEST_FPERIOD_OVERRIDE=FQ","FILING_STATUS=MR","SCALING_FORMAT=MLN","Sort=A","Dates=H","DateFormat=P","Fill=—","Direction=H","UseDPDF=Y")</f>
        <v>-1610.499</v>
      </c>
      <c r="J89" s="13">
        <f>_xll.BDH("ALNY US Equity","NET_DEBT","FQ3 2020","FQ3 2020","Currency=USD","Period=FQ","BEST_FPERIOD_OVERRIDE=FQ","FILING_STATUS=MR","SCALING_FORMAT=MLN","Sort=A","Dates=H","DateFormat=P","Fill=—","Direction=H","UseDPDF=Y")</f>
        <v>-1504.422</v>
      </c>
      <c r="K89" s="13">
        <f>_xll.BDH("ALNY US Equity","NET_DEBT","FQ4 2020","FQ4 2020","Currency=USD","Period=FQ","BEST_FPERIOD_OVERRIDE=FQ","FILING_STATUS=MR","SCALING_FORMAT=MLN","Sort=A","Dates=H","DateFormat=P","Fill=—","Direction=H","UseDPDF=Y")</f>
        <v>-1353.2059999999999</v>
      </c>
      <c r="L89" s="13">
        <f>_xll.BDH("ALNY US Equity","NET_DEBT","FQ1 2021","FQ1 2021","Currency=USD","Period=FQ","BEST_FPERIOD_OVERRIDE=FQ","FILING_STATUS=MR","SCALING_FORMAT=MLN","Sort=A","Dates=H","DateFormat=P","Fill=—","Direction=H","UseDPDF=Y")</f>
        <v>-1191.0150000000001</v>
      </c>
      <c r="M89" s="13">
        <f>_xll.BDH("ALNY US Equity","NET_DEBT","FQ2 2021","FQ2 2021","Currency=USD","Period=FQ","BEST_FPERIOD_OVERRIDE=FQ","FILING_STATUS=MR","SCALING_FORMAT=MLN","Sort=A","Dates=H","DateFormat=P","Fill=—","Direction=H","UseDPDF=Y")</f>
        <v>-1139.01</v>
      </c>
      <c r="N89" s="13">
        <f>_xll.BDH("ALNY US Equity","NET_DEBT","FQ3 2021","FQ3 2021","Currency=USD","Period=FQ","BEST_FPERIOD_OVERRIDE=FQ","FILING_STATUS=MR","SCALING_FORMAT=MLN","Sort=A","Dates=H","DateFormat=P","Fill=—","Direction=H","UseDPDF=Y")</f>
        <v>-1567.424</v>
      </c>
      <c r="O89" s="13">
        <f>_xll.BDH("ALNY US Equity","NET_DEBT","FQ4 2021","FQ4 2021","Currency=USD","Period=FQ","BEST_FPERIOD_OVERRIDE=FQ","FILING_STATUS=MR","SCALING_FORMAT=MLN","Sort=A","Dates=H","DateFormat=P","Fill=—","Direction=H","UseDPDF=Y")</f>
        <v>-1437.972</v>
      </c>
      <c r="P89" s="13">
        <f>_xll.BDH("ALNY US Equity","NET_DEBT","FQ1 2022","FQ1 2022","Currency=USD","Period=FQ","BEST_FPERIOD_OVERRIDE=FQ","FILING_STATUS=MR","SCALING_FORMAT=MLN","Sort=A","Dates=H","DateFormat=P","Fill=—","Direction=H","UseDPDF=Y")</f>
        <v>-1244.175</v>
      </c>
      <c r="Q89" s="13">
        <f>_xll.BDH("ALNY US Equity","NET_DEBT","FQ2 2022","FQ2 2022","Currency=USD","Period=FQ","BEST_FPERIOD_OVERRIDE=FQ","FILING_STATUS=MR","SCALING_FORMAT=MLN","Sort=A","Dates=H","DateFormat=P","Fill=—","Direction=H","UseDPDF=Y")</f>
        <v>-1119.6379999999999</v>
      </c>
      <c r="R89" s="13">
        <f>_xll.BDH("ALNY US Equity","NET_DEBT","FQ3 2022","FQ3 2022","Currency=USD","Period=FQ","BEST_FPERIOD_OVERRIDE=FQ","FILING_STATUS=MR","SCALING_FORMAT=MLN","Sort=A","Dates=H","DateFormat=P","Fill=—","Direction=H","UseDPDF=Y")</f>
        <v>-725.55200000000002</v>
      </c>
      <c r="S89" s="13">
        <f>_xll.BDH("ALNY US Equity","NET_DEBT","FQ4 2022","FQ4 2022","Currency=USD","Period=FQ","BEST_FPERIOD_OVERRIDE=FQ","FILING_STATUS=MR","SCALING_FORMAT=MLN","Sort=A","Dates=H","DateFormat=P","Fill=—","Direction=H","UseDPDF=Y")</f>
        <v>-872.15800000000002</v>
      </c>
      <c r="T89" s="13">
        <f>_xll.BDH("ALNY US Equity","NET_DEBT","FQ1 2023","FQ1 2023","Currency=USD","Period=FQ","BEST_FPERIOD_OVERRIDE=FQ","FILING_STATUS=MR","SCALING_FORMAT=MLN","Sort=A","Dates=H","DateFormat=P","Fill=—","Direction=H","UseDPDF=Y")</f>
        <v>-750.33399999999995</v>
      </c>
      <c r="U89" s="13">
        <f>_xll.BDH("ALNY US Equity","NET_DEBT","FQ2 2023","FQ2 2023","Currency=USD","Period=FQ","BEST_FPERIOD_OVERRIDE=FQ","FILING_STATUS=MR","SCALING_FORMAT=MLN","Sort=A","Dates=H","DateFormat=P","Fill=—","Direction=H","UseDPDF=Y")</f>
        <v>-743.17399999999998</v>
      </c>
      <c r="V89" s="13">
        <f>_xll.BDH("ALNY US Equity","NET_DEBT","FQ3 2023","FQ3 2023","Currency=USD","Period=FQ","BEST_FPERIOD_OVERRIDE=FQ","FILING_STATUS=MR","SCALING_FORMAT=MLN","Sort=A","Dates=H","DateFormat=P","Fill=—","Direction=H","UseDPDF=Y")</f>
        <v>-1097.242</v>
      </c>
      <c r="W89" s="13">
        <f>_xll.BDH("ALNY US Equity","NET_DEBT","FQ4 2023","FQ4 2023","Currency=USD","Period=FQ","BEST_FPERIOD_OVERRIDE=FQ","FILING_STATUS=MR","SCALING_FORMAT=MLN","Sort=A","Dates=H","DateFormat=P","Fill=—","Direction=H","UseDPDF=Y")</f>
        <v>-1133.9949999999999</v>
      </c>
      <c r="X89" s="13">
        <f>_xll.BDH("ALNY US Equity","NET_DEBT","FQ1 2024","FQ1 2024","Currency=USD","Period=FQ","BEST_FPERIOD_OVERRIDE=FQ","FILING_STATUS=MR","SCALING_FORMAT=MLN","Sort=A","Dates=H","DateFormat=P","Fill=—","Direction=H","UseDPDF=Y")</f>
        <v>-1070.049</v>
      </c>
      <c r="Y89" s="13">
        <f>_xll.BDH("ALNY US Equity","NET_DEBT","FQ2 2024","FQ2 2024","Currency=USD","Period=FQ","BEST_FPERIOD_OVERRIDE=FQ","FILING_STATUS=MR","SCALING_FORMAT=MLN","Sort=A","Dates=H","DateFormat=P","Fill=—","Direction=H","UseDPDF=Y")</f>
        <v>21.626999999999999</v>
      </c>
      <c r="Z89" s="13">
        <f>_xll.BDH("ALNY US Equity","NET_DEBT","FQ3 2024","FQ3 2024","Currency=USD","Period=FQ","BEST_FPERIOD_OVERRIDE=FQ","FILING_STATUS=MR","SCALING_FORMAT=MLN","Sort=A","Dates=H","DateFormat=P","Fill=—","Direction=H","UseDPDF=Y")</f>
        <v>-1478.4069999999999</v>
      </c>
      <c r="AA89" s="13">
        <f>_xll.BDH("ALNY US Equity","NET_DEBT","FQ4 2024","FQ4 2024","Currency=USD","Period=FQ","BEST_FPERIOD_OVERRIDE=FQ","FILING_STATUS=MR","SCALING_FORMAT=MLN","Sort=A","Dates=H","DateFormat=P","Fill=—","Direction=H","UseDPDF=Y")</f>
        <v>-1398.4559999999999</v>
      </c>
    </row>
    <row r="90" spans="1:27" x14ac:dyDescent="0.25">
      <c r="A90" s="10" t="s">
        <v>815</v>
      </c>
      <c r="B90" s="10" t="s">
        <v>816</v>
      </c>
      <c r="C90" s="14">
        <f>_xll.BDH("ALNY US Equity","NET_DEBT_TO_SHRHLDR_EQTY","FQ4 2018","FQ4 2018","Currency=USD","Period=FQ","BEST_FPERIOD_OVERRIDE=FQ","FILING_STATUS=MR","Sort=A","Dates=H","DateFormat=P","Fill=—","Direction=H","UseDPDF=Y")</f>
        <v>-80.966499999999996</v>
      </c>
      <c r="D90" s="14">
        <f>_xll.BDH("ALNY US Equity","NET_DEBT_TO_SHRHLDR_EQTY","FQ1 2019","FQ1 2019","Currency=USD","Period=FQ","BEST_FPERIOD_OVERRIDE=FQ","FILING_STATUS=MR","Sort=A","Dates=H","DateFormat=P","Fill=—","Direction=H","UseDPDF=Y")</f>
        <v>-59.164099999999998</v>
      </c>
      <c r="E90" s="14">
        <f>_xll.BDH("ALNY US Equity","NET_DEBT_TO_SHRHLDR_EQTY","FQ2 2019","FQ2 2019","Currency=USD","Period=FQ","BEST_FPERIOD_OVERRIDE=FQ","FILING_STATUS=MR","Sort=A","Dates=H","DateFormat=P","Fill=—","Direction=H","UseDPDF=Y")</f>
        <v>-90.500699999999995</v>
      </c>
      <c r="F90" s="14">
        <f>_xll.BDH("ALNY US Equity","NET_DEBT_TO_SHRHLDR_EQTY","FQ3 2019","FQ3 2019","Currency=USD","Period=FQ","BEST_FPERIOD_OVERRIDE=FQ","FILING_STATUS=MR","Sort=A","Dates=H","DateFormat=P","Fill=—","Direction=H","UseDPDF=Y")</f>
        <v>-88.136899999999997</v>
      </c>
      <c r="G90" s="14">
        <f>_xll.BDH("ALNY US Equity","NET_DEBT_TO_SHRHLDR_EQTY","FQ4 2019","FQ4 2019","Currency=USD","Period=FQ","BEST_FPERIOD_OVERRIDE=FQ","FILING_STATUS=MR","Sort=A","Dates=H","DateFormat=P","Fill=—","Direction=H","UseDPDF=Y")</f>
        <v>-85.656899999999993</v>
      </c>
      <c r="H90" s="14">
        <f>_xll.BDH("ALNY US Equity","NET_DEBT_TO_SHRHLDR_EQTY","FQ1 2020","FQ1 2020","Currency=USD","Period=FQ","BEST_FPERIOD_OVERRIDE=FQ","FILING_STATUS=MR","Sort=A","Dates=H","DateFormat=P","Fill=—","Direction=H","UseDPDF=Y")</f>
        <v>-76.858199999999997</v>
      </c>
      <c r="I90" s="14">
        <f>_xll.BDH("ALNY US Equity","NET_DEBT_TO_SHRHLDR_EQTY","FQ2 2020","FQ2 2020","Currency=USD","Period=FQ","BEST_FPERIOD_OVERRIDE=FQ","FILING_STATUS=MR","Sort=A","Dates=H","DateFormat=P","Fill=—","Direction=H","UseDPDF=Y")</f>
        <v>-115.0582</v>
      </c>
      <c r="J90" s="14">
        <f>_xll.BDH("ALNY US Equity","NET_DEBT_TO_SHRHLDR_EQTY","FQ3 2020","FQ3 2020","Currency=USD","Period=FQ","BEST_FPERIOD_OVERRIDE=FQ","FILING_STATUS=MR","Sort=A","Dates=H","DateFormat=P","Fill=—","Direction=H","UseDPDF=Y")</f>
        <v>-123.8184</v>
      </c>
      <c r="K90" s="14">
        <f>_xll.BDH("ALNY US Equity","NET_DEBT_TO_SHRHLDR_EQTY","FQ4 2020","FQ4 2020","Currency=USD","Period=FQ","BEST_FPERIOD_OVERRIDE=FQ","FILING_STATUS=MR","Sort=A","Dates=H","DateFormat=P","Fill=—","Direction=H","UseDPDF=Y")</f>
        <v>-133.15719999999999</v>
      </c>
      <c r="L90" s="14">
        <f>_xll.BDH("ALNY US Equity","NET_DEBT_TO_SHRHLDR_EQTY","FQ1 2021","FQ1 2021","Currency=USD","Period=FQ","BEST_FPERIOD_OVERRIDE=FQ","FILING_STATUS=MR","Sort=A","Dates=H","DateFormat=P","Fill=—","Direction=H","UseDPDF=Y")</f>
        <v>-128.59289999999999</v>
      </c>
      <c r="M90" s="14">
        <f>_xll.BDH("ALNY US Equity","NET_DEBT_TO_SHRHLDR_EQTY","FQ2 2021","FQ2 2021","Currency=USD","Period=FQ","BEST_FPERIOD_OVERRIDE=FQ","FILING_STATUS=MR","Sort=A","Dates=H","DateFormat=P","Fill=—","Direction=H","UseDPDF=Y")</f>
        <v>-133.47329999999999</v>
      </c>
      <c r="N90" s="14">
        <f>_xll.BDH("ALNY US Equity","NET_DEBT_TO_SHRHLDR_EQTY","FQ3 2021","FQ3 2021","Currency=USD","Period=FQ","BEST_FPERIOD_OVERRIDE=FQ","FILING_STATUS=MR","Sort=A","Dates=H","DateFormat=P","Fill=—","Direction=H","UseDPDF=Y")</f>
        <v>-207.36060000000001</v>
      </c>
      <c r="O90" s="14">
        <f>_xll.BDH("ALNY US Equity","NET_DEBT_TO_SHRHLDR_EQTY","FQ4 2021","FQ4 2021","Currency=USD","Period=FQ","BEST_FPERIOD_OVERRIDE=FQ","FILING_STATUS=MR","Sort=A","Dates=H","DateFormat=P","Fill=—","Direction=H","UseDPDF=Y")</f>
        <v>-244.46870000000001</v>
      </c>
      <c r="P90" s="14">
        <f>_xll.BDH("ALNY US Equity","NET_DEBT_TO_SHRHLDR_EQTY","FQ1 2022","FQ1 2022","Currency=USD","Period=FQ","BEST_FPERIOD_OVERRIDE=FQ","FILING_STATUS=MR","Sort=A","Dates=H","DateFormat=P","Fill=—","Direction=H","UseDPDF=Y")</f>
        <v>-310.1397</v>
      </c>
      <c r="Q90" s="14">
        <f>_xll.BDH("ALNY US Equity","NET_DEBT_TO_SHRHLDR_EQTY","FQ2 2022","FQ2 2022","Currency=USD","Period=FQ","BEST_FPERIOD_OVERRIDE=FQ","FILING_STATUS=MR","Sort=A","Dates=H","DateFormat=P","Fill=—","Direction=H","UseDPDF=Y")</f>
        <v>-636.01340000000005</v>
      </c>
      <c r="R90" s="14" t="str">
        <f>_xll.BDH("ALNY US Equity","NET_DEBT_TO_SHRHLDR_EQTY","FQ3 2022","FQ3 2022","Currency=USD","Period=FQ","BEST_FPERIOD_OVERRIDE=FQ","FILING_STATUS=MR","Sort=A","Dates=H","DateFormat=P","Fill=—","Direction=H","UseDPDF=Y")</f>
        <v>—</v>
      </c>
      <c r="S90" s="14" t="str">
        <f>_xll.BDH("ALNY US Equity","NET_DEBT_TO_SHRHLDR_EQTY","FQ4 2022","FQ4 2022","Currency=USD","Period=FQ","BEST_FPERIOD_OVERRIDE=FQ","FILING_STATUS=MR","Sort=A","Dates=H","DateFormat=P","Fill=—","Direction=H","UseDPDF=Y")</f>
        <v>—</v>
      </c>
      <c r="T90" s="14" t="str">
        <f>_xll.BDH("ALNY US Equity","NET_DEBT_TO_SHRHLDR_EQTY","FQ1 2023","FQ1 2023","Currency=USD","Period=FQ","BEST_FPERIOD_OVERRIDE=FQ","FILING_STATUS=MR","Sort=A","Dates=H","DateFormat=P","Fill=—","Direction=H","UseDPDF=Y")</f>
        <v>—</v>
      </c>
      <c r="U90" s="14" t="str">
        <f>_xll.BDH("ALNY US Equity","NET_DEBT_TO_SHRHLDR_EQTY","FQ2 2023","FQ2 2023","Currency=USD","Period=FQ","BEST_FPERIOD_OVERRIDE=FQ","FILING_STATUS=MR","Sort=A","Dates=H","DateFormat=P","Fill=—","Direction=H","UseDPDF=Y")</f>
        <v>—</v>
      </c>
      <c r="V90" s="14" t="str">
        <f>_xll.BDH("ALNY US Equity","NET_DEBT_TO_SHRHLDR_EQTY","FQ3 2023","FQ3 2023","Currency=USD","Period=FQ","BEST_FPERIOD_OVERRIDE=FQ","FILING_STATUS=MR","Sort=A","Dates=H","DateFormat=P","Fill=—","Direction=H","UseDPDF=Y")</f>
        <v>—</v>
      </c>
      <c r="W90" s="14" t="str">
        <f>_xll.BDH("ALNY US Equity","NET_DEBT_TO_SHRHLDR_EQTY","FQ4 2023","FQ4 2023","Currency=USD","Period=FQ","BEST_FPERIOD_OVERRIDE=FQ","FILING_STATUS=MR","Sort=A","Dates=H","DateFormat=P","Fill=—","Direction=H","UseDPDF=Y")</f>
        <v>—</v>
      </c>
      <c r="X90" s="14" t="str">
        <f>_xll.BDH("ALNY US Equity","NET_DEBT_TO_SHRHLDR_EQTY","FQ1 2024","FQ1 2024","Currency=USD","Period=FQ","BEST_FPERIOD_OVERRIDE=FQ","FILING_STATUS=MR","Sort=A","Dates=H","DateFormat=P","Fill=—","Direction=H","UseDPDF=Y")</f>
        <v>—</v>
      </c>
      <c r="Y90" s="14" t="str">
        <f>_xll.BDH("ALNY US Equity","NET_DEBT_TO_SHRHLDR_EQTY","FQ2 2024","FQ2 2024","Currency=USD","Period=FQ","BEST_FPERIOD_OVERRIDE=FQ","FILING_STATUS=MR","Sort=A","Dates=H","DateFormat=P","Fill=—","Direction=H","UseDPDF=Y")</f>
        <v>—</v>
      </c>
      <c r="Z90" s="14">
        <f>_xll.BDH("ALNY US Equity","NET_DEBT_TO_SHRHLDR_EQTY","FQ3 2024","FQ3 2024","Currency=USD","Period=FQ","BEST_FPERIOD_OVERRIDE=FQ","FILING_STATUS=MR","Sort=A","Dates=H","DateFormat=P","Fill=—","Direction=H","UseDPDF=Y")</f>
        <v>-4569.4721</v>
      </c>
      <c r="AA90" s="14">
        <f>_xll.BDH("ALNY US Equity","NET_DEBT_TO_SHRHLDR_EQTY","FQ4 2024","FQ4 2024","Currency=USD","Period=FQ","BEST_FPERIOD_OVERRIDE=FQ","FILING_STATUS=MR","Sort=A","Dates=H","DateFormat=P","Fill=—","Direction=H","UseDPDF=Y")</f>
        <v>-2084.5099</v>
      </c>
    </row>
    <row r="91" spans="1:27" x14ac:dyDescent="0.25">
      <c r="A91" s="10" t="s">
        <v>817</v>
      </c>
      <c r="B91" s="10" t="s">
        <v>818</v>
      </c>
      <c r="C91" s="14">
        <f>_xll.BDH("ALNY US Equity","TCE_RATIO","FQ4 2018","FQ4 2018","Currency=USD","Period=FQ","BEST_FPERIOD_OVERRIDE=FQ","FILING_STATUS=MR","Sort=A","Dates=H","DateFormat=P","Fill=—","Direction=H","UseDPDF=Y")</f>
        <v>82.674800000000005</v>
      </c>
      <c r="D91" s="14" t="str">
        <f>_xll.BDH("ALNY US Equity","TCE_RATIO","FQ1 2019","FQ1 2019","Currency=USD","Period=FQ","BEST_FPERIOD_OVERRIDE=FQ","FILING_STATUS=MR","Sort=A","Dates=H","DateFormat=P","Fill=—","Direction=H","UseDPDF=Y")</f>
        <v>—</v>
      </c>
      <c r="E91" s="14">
        <f>_xll.BDH("ALNY US Equity","TCE_RATIO","FQ2 2019","FQ2 2019","Currency=USD","Period=FQ","BEST_FPERIOD_OVERRIDE=FQ","FILING_STATUS=MR","Sort=A","Dates=H","DateFormat=P","Fill=—","Direction=H","UseDPDF=Y")</f>
        <v>64.688100000000006</v>
      </c>
      <c r="F91" s="14">
        <f>_xll.BDH("ALNY US Equity","TCE_RATIO","FQ3 2019","FQ3 2019","Currency=USD","Period=FQ","BEST_FPERIOD_OVERRIDE=FQ","FILING_STATUS=MR","Sort=A","Dates=H","DateFormat=P","Fill=—","Direction=H","UseDPDF=Y")</f>
        <v>63.230800000000002</v>
      </c>
      <c r="G91" s="14">
        <f>_xll.BDH("ALNY US Equity","TCE_RATIO","FQ4 2019","FQ4 2019","Currency=USD","Period=FQ","BEST_FPERIOD_OVERRIDE=FQ","FILING_STATUS=MR","Sort=A","Dates=H","DateFormat=P","Fill=—","Direction=H","UseDPDF=Y")</f>
        <v>60.067300000000003</v>
      </c>
      <c r="H91" s="14">
        <f>_xll.BDH("ALNY US Equity","TCE_RATIO","FQ1 2020","FQ1 2020","Currency=USD","Period=FQ","BEST_FPERIOD_OVERRIDE=FQ","FILING_STATUS=MR","Sort=A","Dates=H","DateFormat=P","Fill=—","Direction=H","UseDPDF=Y")</f>
        <v>59.208399999999997</v>
      </c>
      <c r="I91" s="14">
        <f>_xll.BDH("ALNY US Equity","TCE_RATIO","FQ2 2020","FQ2 2020","Currency=USD","Period=FQ","BEST_FPERIOD_OVERRIDE=FQ","FILING_STATUS=MR","Sort=A","Dates=H","DateFormat=P","Fill=—","Direction=H","UseDPDF=Y")</f>
        <v>41.481099999999998</v>
      </c>
      <c r="J91" s="14">
        <f>_xll.BDH("ALNY US Equity","TCE_RATIO","FQ3 2020","FQ3 2020","Currency=USD","Period=FQ","BEST_FPERIOD_OVERRIDE=FQ","FILING_STATUS=MR","Sort=A","Dates=H","DateFormat=P","Fill=—","Direction=H","UseDPDF=Y")</f>
        <v>36.7378</v>
      </c>
      <c r="K91" s="14">
        <f>_xll.BDH("ALNY US Equity","TCE_RATIO","FQ4 2020","FQ4 2020","Currency=USD","Period=FQ","BEST_FPERIOD_OVERRIDE=FQ","FILING_STATUS=MR","Sort=A","Dates=H","DateFormat=P","Fill=—","Direction=H","UseDPDF=Y")</f>
        <v>29.8277</v>
      </c>
      <c r="L91" s="14">
        <f>_xll.BDH("ALNY US Equity","TCE_RATIO","FQ1 2021","FQ1 2021","Currency=USD","Period=FQ","BEST_FPERIOD_OVERRIDE=FQ","FILING_STATUS=MR","Sort=A","Dates=H","DateFormat=P","Fill=—","Direction=H","UseDPDF=Y")</f>
        <v>28.452000000000002</v>
      </c>
      <c r="M91" s="14">
        <f>_xll.BDH("ALNY US Equity","TCE_RATIO","FQ2 2021","FQ2 2021","Currency=USD","Period=FQ","BEST_FPERIOD_OVERRIDE=FQ","FILING_STATUS=MR","Sort=A","Dates=H","DateFormat=P","Fill=—","Direction=H","UseDPDF=Y")</f>
        <v>24.316299999999998</v>
      </c>
      <c r="N91" s="14">
        <f>_xll.BDH("ALNY US Equity","TCE_RATIO","FQ3 2021","FQ3 2021","Currency=USD","Period=FQ","BEST_FPERIOD_OVERRIDE=FQ","FILING_STATUS=MR","Sort=A","Dates=H","DateFormat=P","Fill=—","Direction=H","UseDPDF=Y")</f>
        <v>21.769100000000002</v>
      </c>
      <c r="O91" s="14">
        <f>_xll.BDH("ALNY US Equity","TCE_RATIO","FQ4 2021","FQ4 2021","Currency=USD","Period=FQ","BEST_FPERIOD_OVERRIDE=FQ","FILING_STATUS=MR","Sort=A","Dates=H","DateFormat=P","Fill=—","Direction=H","UseDPDF=Y")</f>
        <v>16.1448</v>
      </c>
      <c r="P91" s="14">
        <f>_xll.BDH("ALNY US Equity","TCE_RATIO","FQ1 2022","FQ1 2022","Currency=USD","Period=FQ","BEST_FPERIOD_OVERRIDE=FQ","FILING_STATUS=MR","Sort=A","Dates=H","DateFormat=P","Fill=—","Direction=H","UseDPDF=Y")</f>
        <v>11.6837</v>
      </c>
      <c r="Q91" s="14">
        <f>_xll.BDH("ALNY US Equity","TCE_RATIO","FQ2 2022","FQ2 2022","Currency=USD","Period=FQ","BEST_FPERIOD_OVERRIDE=FQ","FILING_STATUS=MR","Sort=A","Dates=H","DateFormat=P","Fill=—","Direction=H","UseDPDF=Y")</f>
        <v>5.2858000000000001</v>
      </c>
      <c r="R91" s="14">
        <f>_xll.BDH("ALNY US Equity","TCE_RATIO","FQ3 2022","FQ3 2022","Currency=USD","Period=FQ","BEST_FPERIOD_OVERRIDE=FQ","FILING_STATUS=MR","Sort=A","Dates=H","DateFormat=P","Fill=—","Direction=H","UseDPDF=Y")</f>
        <v>-1.9132</v>
      </c>
      <c r="S91" s="14">
        <f>_xll.BDH("ALNY US Equity","TCE_RATIO","FQ4 2022","FQ4 2022","Currency=USD","Period=FQ","BEST_FPERIOD_OVERRIDE=FQ","FILING_STATUS=MR","Sort=A","Dates=H","DateFormat=P","Fill=—","Direction=H","UseDPDF=Y")</f>
        <v>-4.4615999999999998</v>
      </c>
      <c r="T91" s="14">
        <f>_xll.BDH("ALNY US Equity","TCE_RATIO","FQ1 2023","FQ1 2023","Currency=USD","Period=FQ","BEST_FPERIOD_OVERRIDE=FQ","FILING_STATUS=MR","Sort=A","Dates=H","DateFormat=P","Fill=—","Direction=H","UseDPDF=Y")</f>
        <v>-7.6428000000000003</v>
      </c>
      <c r="U91" s="14">
        <f>_xll.BDH("ALNY US Equity","TCE_RATIO","FQ2 2023","FQ2 2023","Currency=USD","Period=FQ","BEST_FPERIOD_OVERRIDE=FQ","FILING_STATUS=MR","Sort=A","Dates=H","DateFormat=P","Fill=—","Direction=H","UseDPDF=Y")</f>
        <v>-11.9954</v>
      </c>
      <c r="V91" s="14">
        <f>_xll.BDH("ALNY US Equity","TCE_RATIO","FQ3 2023","FQ3 2023","Currency=USD","Period=FQ","BEST_FPERIOD_OVERRIDE=FQ","FILING_STATUS=MR","Sort=A","Dates=H","DateFormat=P","Fill=—","Direction=H","UseDPDF=Y")</f>
        <v>-4.3205</v>
      </c>
      <c r="W91" s="14">
        <f>_xll.BDH("ALNY US Equity","TCE_RATIO","FQ4 2023","FQ4 2023","Currency=USD","Period=FQ","BEST_FPERIOD_OVERRIDE=FQ","FILING_STATUS=MR","Sort=A","Dates=H","DateFormat=P","Fill=—","Direction=H","UseDPDF=Y")</f>
        <v>-5.7610999999999999</v>
      </c>
      <c r="X91" s="14">
        <f>_xll.BDH("ALNY US Equity","TCE_RATIO","FQ1 2024","FQ1 2024","Currency=USD","Period=FQ","BEST_FPERIOD_OVERRIDE=FQ","FILING_STATUS=MR","Sort=A","Dates=H","DateFormat=P","Fill=—","Direction=H","UseDPDF=Y")</f>
        <v>-5.7335000000000003</v>
      </c>
      <c r="Y91" s="14">
        <f>_xll.BDH("ALNY US Equity","TCE_RATIO","FQ2 2024","FQ2 2024","Currency=USD","Period=FQ","BEST_FPERIOD_OVERRIDE=FQ","FILING_STATUS=MR","Sort=A","Dates=H","DateFormat=P","Fill=—","Direction=H","UseDPDF=Y")</f>
        <v>-7.6499999999999999E-2</v>
      </c>
      <c r="Z91" s="14">
        <f>_xll.BDH("ALNY US Equity","TCE_RATIO","FQ3 2024","FQ3 2024","Currency=USD","Period=FQ","BEST_FPERIOD_OVERRIDE=FQ","FILING_STATUS=MR","Sort=A","Dates=H","DateFormat=P","Fill=—","Direction=H","UseDPDF=Y")</f>
        <v>0.76939999999999997</v>
      </c>
      <c r="AA91" s="14">
        <f>_xll.BDH("ALNY US Equity","TCE_RATIO","FQ4 2024","FQ4 2024","Currency=USD","Period=FQ","BEST_FPERIOD_OVERRIDE=FQ","FILING_STATUS=MR","Sort=A","Dates=H","DateFormat=P","Fill=—","Direction=H","UseDPDF=Y")</f>
        <v>1.5823</v>
      </c>
    </row>
    <row r="92" spans="1:27" x14ac:dyDescent="0.25">
      <c r="A92" s="10" t="s">
        <v>819</v>
      </c>
      <c r="B92" s="10" t="s">
        <v>820</v>
      </c>
      <c r="C92" s="14">
        <f>_xll.BDH("ALNY US Equity","CUR_RATIO","FQ4 2018","FQ4 2018","Currency=USD","Period=FQ","BEST_FPERIOD_OVERRIDE=FQ","FILING_STATUS=MR","Sort=A","Dates=H","DateFormat=P","Fill=—","Direction=H","UseDPDF=Y")</f>
        <v>6.6893000000000002</v>
      </c>
      <c r="D92" s="14">
        <f>_xll.BDH("ALNY US Equity","CUR_RATIO","FQ1 2019","FQ1 2019","Currency=USD","Period=FQ","BEST_FPERIOD_OVERRIDE=FQ","FILING_STATUS=MR","Sort=A","Dates=H","DateFormat=P","Fill=—","Direction=H","UseDPDF=Y")</f>
        <v>9.3322000000000003</v>
      </c>
      <c r="E92" s="14">
        <f>_xll.BDH("ALNY US Equity","CUR_RATIO","FQ2 2019","FQ2 2019","Currency=USD","Period=FQ","BEST_FPERIOD_OVERRIDE=FQ","FILING_STATUS=MR","Sort=A","Dates=H","DateFormat=P","Fill=—","Direction=H","UseDPDF=Y")</f>
        <v>6.2804000000000002</v>
      </c>
      <c r="F92" s="14">
        <f>_xll.BDH("ALNY US Equity","CUR_RATIO","FQ3 2019","FQ3 2019","Currency=USD","Period=FQ","BEST_FPERIOD_OVERRIDE=FQ","FILING_STATUS=MR","Sort=A","Dates=H","DateFormat=P","Fill=—","Direction=H","UseDPDF=Y")</f>
        <v>5.3768000000000002</v>
      </c>
      <c r="G92" s="14">
        <f>_xll.BDH("ALNY US Equity","CUR_RATIO","FQ4 2019","FQ4 2019","Currency=USD","Period=FQ","BEST_FPERIOD_OVERRIDE=FQ","FILING_STATUS=MR","Sort=A","Dates=H","DateFormat=P","Fill=—","Direction=H","UseDPDF=Y")</f>
        <v>4.8663999999999996</v>
      </c>
      <c r="H92" s="14">
        <f>_xll.BDH("ALNY US Equity","CUR_RATIO","FQ1 2020","FQ1 2020","Currency=USD","Period=FQ","BEST_FPERIOD_OVERRIDE=FQ","FILING_STATUS=MR","Sort=A","Dates=H","DateFormat=P","Fill=—","Direction=H","UseDPDF=Y")</f>
        <v>4.6776999999999997</v>
      </c>
      <c r="I92" s="14">
        <f>_xll.BDH("ALNY US Equity","CUR_RATIO","FQ2 2020","FQ2 2020","Currency=USD","Period=FQ","BEST_FPERIOD_OVERRIDE=FQ","FILING_STATUS=MR","Sort=A","Dates=H","DateFormat=P","Fill=—","Direction=H","UseDPDF=Y")</f>
        <v>5.6216999999999997</v>
      </c>
      <c r="J92" s="14">
        <f>_xll.BDH("ALNY US Equity","CUR_RATIO","FQ3 2020","FQ3 2020","Currency=USD","Period=FQ","BEST_FPERIOD_OVERRIDE=FQ","FILING_STATUS=MR","Sort=A","Dates=H","DateFormat=P","Fill=—","Direction=H","UseDPDF=Y")</f>
        <v>5.3196000000000003</v>
      </c>
      <c r="K92" s="14">
        <f>_xll.BDH("ALNY US Equity","CUR_RATIO","FQ4 2020","FQ4 2020","Currency=USD","Period=FQ","BEST_FPERIOD_OVERRIDE=FQ","FILING_STATUS=MR","Sort=A","Dates=H","DateFormat=P","Fill=—","Direction=H","UseDPDF=Y")</f>
        <v>4.4676</v>
      </c>
      <c r="L92" s="14">
        <f>_xll.BDH("ALNY US Equity","CUR_RATIO","FQ1 2021","FQ1 2021","Currency=USD","Period=FQ","BEST_FPERIOD_OVERRIDE=FQ","FILING_STATUS=MR","Sort=A","Dates=H","DateFormat=P","Fill=—","Direction=H","UseDPDF=Y")</f>
        <v>4.9917999999999996</v>
      </c>
      <c r="M92" s="14">
        <f>_xll.BDH("ALNY US Equity","CUR_RATIO","FQ2 2021","FQ2 2021","Currency=USD","Period=FQ","BEST_FPERIOD_OVERRIDE=FQ","FILING_STATUS=MR","Sort=A","Dates=H","DateFormat=P","Fill=—","Direction=H","UseDPDF=Y")</f>
        <v>4.9132999999999996</v>
      </c>
      <c r="N92" s="14">
        <f>_xll.BDH("ALNY US Equity","CUR_RATIO","FQ3 2021","FQ3 2021","Currency=USD","Period=FQ","BEST_FPERIOD_OVERRIDE=FQ","FILING_STATUS=MR","Sort=A","Dates=H","DateFormat=P","Fill=—","Direction=H","UseDPDF=Y")</f>
        <v>4.3811</v>
      </c>
      <c r="O92" s="14">
        <f>_xll.BDH("ALNY US Equity","CUR_RATIO","FQ4 2021","FQ4 2021","Currency=USD","Period=FQ","BEST_FPERIOD_OVERRIDE=FQ","FILING_STATUS=MR","Sort=A","Dates=H","DateFormat=P","Fill=—","Direction=H","UseDPDF=Y")</f>
        <v>4.0369999999999999</v>
      </c>
      <c r="P92" s="14">
        <f>_xll.BDH("ALNY US Equity","CUR_RATIO","FQ1 2022","FQ1 2022","Currency=USD","Period=FQ","BEST_FPERIOD_OVERRIDE=FQ","FILING_STATUS=MR","Sort=A","Dates=H","DateFormat=P","Fill=—","Direction=H","UseDPDF=Y")</f>
        <v>4.2736999999999998</v>
      </c>
      <c r="Q92" s="14">
        <f>_xll.BDH("ALNY US Equity","CUR_RATIO","FQ2 2022","FQ2 2022","Currency=USD","Period=FQ","BEST_FPERIOD_OVERRIDE=FQ","FILING_STATUS=MR","Sort=A","Dates=H","DateFormat=P","Fill=—","Direction=H","UseDPDF=Y")</f>
        <v>3.7581000000000002</v>
      </c>
      <c r="R92" s="14">
        <f>_xll.BDH("ALNY US Equity","CUR_RATIO","FQ3 2022","FQ3 2022","Currency=USD","Period=FQ","BEST_FPERIOD_OVERRIDE=FQ","FILING_STATUS=MR","Sort=A","Dates=H","DateFormat=P","Fill=—","Direction=H","UseDPDF=Y")</f>
        <v>3.4820000000000002</v>
      </c>
      <c r="S92" s="14">
        <f>_xll.BDH("ALNY US Equity","CUR_RATIO","FQ4 2022","FQ4 2022","Currency=USD","Period=FQ","BEST_FPERIOD_OVERRIDE=FQ","FILING_STATUS=MR","Sort=A","Dates=H","DateFormat=P","Fill=—","Direction=H","UseDPDF=Y")</f>
        <v>3.5059</v>
      </c>
      <c r="T92" s="14">
        <f>_xll.BDH("ALNY US Equity","CUR_RATIO","FQ1 2023","FQ1 2023","Currency=USD","Period=FQ","BEST_FPERIOD_OVERRIDE=FQ","FILING_STATUS=MR","Sort=A","Dates=H","DateFormat=P","Fill=—","Direction=H","UseDPDF=Y")</f>
        <v>3.7734999999999999</v>
      </c>
      <c r="U92" s="14">
        <f>_xll.BDH("ALNY US Equity","CUR_RATIO","FQ2 2023","FQ2 2023","Currency=USD","Period=FQ","BEST_FPERIOD_OVERRIDE=FQ","FILING_STATUS=MR","Sort=A","Dates=H","DateFormat=P","Fill=—","Direction=H","UseDPDF=Y")</f>
        <v>3.2004999999999999</v>
      </c>
      <c r="V92" s="14">
        <f>_xll.BDH("ALNY US Equity","CUR_RATIO","FQ3 2023","FQ3 2023","Currency=USD","Period=FQ","BEST_FPERIOD_OVERRIDE=FQ","FILING_STATUS=MR","Sort=A","Dates=H","DateFormat=P","Fill=—","Direction=H","UseDPDF=Y")</f>
        <v>3.1433</v>
      </c>
      <c r="W92" s="14">
        <f>_xll.BDH("ALNY US Equity","CUR_RATIO","FQ4 2023","FQ4 2023","Currency=USD","Period=FQ","BEST_FPERIOD_OVERRIDE=FQ","FILING_STATUS=MR","Sort=A","Dates=H","DateFormat=P","Fill=—","Direction=H","UseDPDF=Y")</f>
        <v>3.0819999999999999</v>
      </c>
      <c r="X92" s="14">
        <f>_xll.BDH("ALNY US Equity","CUR_RATIO","FQ1 2024","FQ1 2024","Currency=USD","Period=FQ","BEST_FPERIOD_OVERRIDE=FQ","FILING_STATUS=MR","Sort=A","Dates=H","DateFormat=P","Fill=—","Direction=H","UseDPDF=Y")</f>
        <v>3.1736</v>
      </c>
      <c r="Y92" s="14">
        <f>_xll.BDH("ALNY US Equity","CUR_RATIO","FQ2 2024","FQ2 2024","Currency=USD","Period=FQ","BEST_FPERIOD_OVERRIDE=FQ","FILING_STATUS=MR","Sort=A","Dates=H","DateFormat=P","Fill=—","Direction=H","UseDPDF=Y")</f>
        <v>3.0066999999999999</v>
      </c>
      <c r="Z92" s="14">
        <f>_xll.BDH("ALNY US Equity","CUR_RATIO","FQ3 2024","FQ3 2024","Currency=USD","Period=FQ","BEST_FPERIOD_OVERRIDE=FQ","FILING_STATUS=MR","Sort=A","Dates=H","DateFormat=P","Fill=—","Direction=H","UseDPDF=Y")</f>
        <v>2.7488999999999999</v>
      </c>
      <c r="AA92" s="14">
        <f>_xll.BDH("ALNY US Equity","CUR_RATIO","FQ4 2024","FQ4 2024","Currency=USD","Period=FQ","BEST_FPERIOD_OVERRIDE=FQ","FILING_STATUS=MR","Sort=A","Dates=H","DateFormat=P","Fill=—","Direction=H","UseDPDF=Y")</f>
        <v>2.7778</v>
      </c>
    </row>
    <row r="93" spans="1:27" x14ac:dyDescent="0.25">
      <c r="A93" s="10" t="s">
        <v>821</v>
      </c>
      <c r="B93" s="10" t="s">
        <v>822</v>
      </c>
      <c r="C93" s="14" t="str">
        <f>_xll.BDH("ALNY US Equity","CASH_CONVERSION_CYCLE","FQ4 2018","FQ4 2018","Currency=USD","Period=FQ","BEST_FPERIOD_OVERRIDE=FQ","FILING_STATUS=MR","FA_ADJUSTED=GAAP","Sort=A","Dates=H","DateFormat=P","Fill=—","Direction=H","UseDPDF=Y")</f>
        <v>—</v>
      </c>
      <c r="D93" s="14">
        <f>_xll.BDH("ALNY US Equity","CASH_CONVERSION_CYCLE","FQ1 2019","FQ1 2019","Currency=USD","Period=FQ","BEST_FPERIOD_OVERRIDE=FQ","FILING_STATUS=MR","FA_ADJUSTED=GAAP","Sort=A","Dates=H","DateFormat=P","Fill=—","Direction=H","UseDPDF=Y")</f>
        <v>1029.4668999999999</v>
      </c>
      <c r="E93" s="14">
        <f>_xll.BDH("ALNY US Equity","CASH_CONVERSION_CYCLE","FQ2 2019","FQ2 2019","Currency=USD","Period=FQ","BEST_FPERIOD_OVERRIDE=FQ","FILING_STATUS=MR","FA_ADJUSTED=GAAP","Sort=A","Dates=H","DateFormat=P","Fill=—","Direction=H","UseDPDF=Y")</f>
        <v>533.92290000000003</v>
      </c>
      <c r="F93" s="14">
        <f>_xll.BDH("ALNY US Equity","CASH_CONVERSION_CYCLE","FQ3 2019","FQ3 2019","Currency=USD","Period=FQ","BEST_FPERIOD_OVERRIDE=FQ","FILING_STATUS=MR","FA_ADJUSTED=GAAP","Sort=A","Dates=H","DateFormat=P","Fill=—","Direction=H","UseDPDF=Y")</f>
        <v>686.50009999999997</v>
      </c>
      <c r="G93" s="14">
        <f>_xll.BDH("ALNY US Equity","CASH_CONVERSION_CYCLE","FQ4 2019","FQ4 2019","Currency=USD","Period=FQ","BEST_FPERIOD_OVERRIDE=FQ","FILING_STATUS=MR","FA_ADJUSTED=GAAP","Sort=A","Dates=H","DateFormat=P","Fill=—","Direction=H","UseDPDF=Y")</f>
        <v>288.0908</v>
      </c>
      <c r="H93" s="14">
        <f>_xll.BDH("ALNY US Equity","CASH_CONVERSION_CYCLE","FQ1 2020","FQ1 2020","Currency=USD","Period=FQ","BEST_FPERIOD_OVERRIDE=FQ","FILING_STATUS=MR","FA_ADJUSTED=GAAP","Sort=A","Dates=H","DateFormat=P","Fill=—","Direction=H","UseDPDF=Y")</f>
        <v>432.11790000000002</v>
      </c>
      <c r="I93" s="14">
        <f>_xll.BDH("ALNY US Equity","CASH_CONVERSION_CYCLE","FQ2 2020","FQ2 2020","Currency=USD","Period=FQ","BEST_FPERIOD_OVERRIDE=FQ","FILING_STATUS=MR","FA_ADJUSTED=GAAP","Sort=A","Dates=H","DateFormat=P","Fill=—","Direction=H","UseDPDF=Y")</f>
        <v>275.85300000000001</v>
      </c>
      <c r="J93" s="14">
        <f>_xll.BDH("ALNY US Equity","CASH_CONVERSION_CYCLE","FQ3 2020","FQ3 2020","Currency=USD","Period=FQ","BEST_FPERIOD_OVERRIDE=FQ","FILING_STATUS=MR","FA_ADJUSTED=GAAP","Sort=A","Dates=H","DateFormat=P","Fill=—","Direction=H","UseDPDF=Y")</f>
        <v>234.25630000000001</v>
      </c>
      <c r="K93" s="14">
        <f>_xll.BDH("ALNY US Equity","CASH_CONVERSION_CYCLE","FQ4 2020","FQ4 2020","Currency=USD","Period=FQ","BEST_FPERIOD_OVERRIDE=FQ","FILING_STATUS=MR","FA_ADJUSTED=GAAP","Sort=A","Dates=H","DateFormat=P","Fill=—","Direction=H","UseDPDF=Y")</f>
        <v>170.0915</v>
      </c>
      <c r="L93" s="14">
        <f>_xll.BDH("ALNY US Equity","CASH_CONVERSION_CYCLE","FQ1 2021","FQ1 2021","Currency=USD","Period=FQ","BEST_FPERIOD_OVERRIDE=FQ","FILING_STATUS=MR","FA_ADJUSTED=GAAP","Sort=A","Dates=H","DateFormat=P","Fill=—","Direction=H","UseDPDF=Y")</f>
        <v>175.9915</v>
      </c>
      <c r="M93" s="14">
        <f>_xll.BDH("ALNY US Equity","CASH_CONVERSION_CYCLE","FQ2 2021","FQ2 2021","Currency=USD","Period=FQ","BEST_FPERIOD_OVERRIDE=FQ","FILING_STATUS=MR","FA_ADJUSTED=GAAP","Sort=A","Dates=H","DateFormat=P","Fill=—","Direction=H","UseDPDF=Y")</f>
        <v>195.9058</v>
      </c>
      <c r="N93" s="14">
        <f>_xll.BDH("ALNY US Equity","CASH_CONVERSION_CYCLE","FQ3 2021","FQ3 2021","Currency=USD","Period=FQ","BEST_FPERIOD_OVERRIDE=FQ","FILING_STATUS=MR","FA_ADJUSTED=GAAP","Sort=A","Dates=H","DateFormat=P","Fill=—","Direction=H","UseDPDF=Y")</f>
        <v>214.1045</v>
      </c>
      <c r="O93" s="14">
        <f>_xll.BDH("ALNY US Equity","CASH_CONVERSION_CYCLE","FQ4 2021","FQ4 2021","Currency=USD","Period=FQ","BEST_FPERIOD_OVERRIDE=FQ","FILING_STATUS=MR","FA_ADJUSTED=GAAP","Sort=A","Dates=H","DateFormat=P","Fill=—","Direction=H","UseDPDF=Y")</f>
        <v>124.211</v>
      </c>
      <c r="P93" s="14">
        <f>_xll.BDH("ALNY US Equity","CASH_CONVERSION_CYCLE","FQ1 2022","FQ1 2022","Currency=USD","Period=FQ","BEST_FPERIOD_OVERRIDE=FQ","FILING_STATUS=MR","FA_ADJUSTED=GAAP","Sort=A","Dates=H","DateFormat=P","Fill=—","Direction=H","UseDPDF=Y")</f>
        <v>125.0641</v>
      </c>
      <c r="Q93" s="14">
        <f>_xll.BDH("ALNY US Equity","CASH_CONVERSION_CYCLE","FQ2 2022","FQ2 2022","Currency=USD","Period=FQ","BEST_FPERIOD_OVERRIDE=FQ","FILING_STATUS=MR","FA_ADJUSTED=GAAP","Sort=A","Dates=H","DateFormat=P","Fill=—","Direction=H","UseDPDF=Y")</f>
        <v>147.97559999999999</v>
      </c>
      <c r="R93" s="14">
        <f>_xll.BDH("ALNY US Equity","CASH_CONVERSION_CYCLE","FQ3 2022","FQ3 2022","Currency=USD","Period=FQ","BEST_FPERIOD_OVERRIDE=FQ","FILING_STATUS=MR","FA_ADJUSTED=GAAP","Sort=A","Dates=H","DateFormat=P","Fill=—","Direction=H","UseDPDF=Y")</f>
        <v>227.59049999999999</v>
      </c>
      <c r="S93" s="14">
        <f>_xll.BDH("ALNY US Equity","CASH_CONVERSION_CYCLE","FQ4 2022","FQ4 2022","Currency=USD","Period=FQ","BEST_FPERIOD_OVERRIDE=FQ","FILING_STATUS=MR","FA_ADJUSTED=GAAP","Sort=A","Dates=H","DateFormat=P","Fill=—","Direction=H","UseDPDF=Y")</f>
        <v>161.51089999999999</v>
      </c>
      <c r="T93" s="14">
        <f>_xll.BDH("ALNY US Equity","CASH_CONVERSION_CYCLE","FQ1 2023","FQ1 2023","Currency=USD","Period=FQ","BEST_FPERIOD_OVERRIDE=FQ","FILING_STATUS=MR","FA_ADJUSTED=GAAP","Sort=A","Dates=H","DateFormat=P","Fill=—","Direction=H","UseDPDF=Y")</f>
        <v>175.6215</v>
      </c>
      <c r="U93" s="14">
        <f>_xll.BDH("ALNY US Equity","CASH_CONVERSION_CYCLE","FQ2 2023","FQ2 2023","Currency=USD","Period=FQ","BEST_FPERIOD_OVERRIDE=FQ","FILING_STATUS=MR","FA_ADJUSTED=GAAP","Sort=A","Dates=H","DateFormat=P","Fill=—","Direction=H","UseDPDF=Y")</f>
        <v>118.2792</v>
      </c>
      <c r="V93" s="14">
        <f>_xll.BDH("ALNY US Equity","CASH_CONVERSION_CYCLE","FQ3 2023","FQ3 2023","Currency=USD","Period=FQ","BEST_FPERIOD_OVERRIDE=FQ","FILING_STATUS=MR","FA_ADJUSTED=GAAP","Sort=A","Dates=H","DateFormat=P","Fill=—","Direction=H","UseDPDF=Y")</f>
        <v>112.249</v>
      </c>
      <c r="W93" s="14">
        <f>_xll.BDH("ALNY US Equity","CASH_CONVERSION_CYCLE","FQ4 2023","FQ4 2023","Currency=USD","Period=FQ","BEST_FPERIOD_OVERRIDE=FQ","FILING_STATUS=MR","FA_ADJUSTED=GAAP","Sort=A","Dates=H","DateFormat=P","Fill=—","Direction=H","UseDPDF=Y")</f>
        <v>81.102900000000005</v>
      </c>
      <c r="X93" s="14">
        <f>_xll.BDH("ALNY US Equity","CASH_CONVERSION_CYCLE","FQ1 2024","FQ1 2024","Currency=USD","Period=FQ","BEST_FPERIOD_OVERRIDE=FQ","FILING_STATUS=MR","FA_ADJUSTED=GAAP","Sort=A","Dates=H","DateFormat=P","Fill=—","Direction=H","UseDPDF=Y")</f>
        <v>87.381799999999998</v>
      </c>
      <c r="Y93" s="14">
        <f>_xll.BDH("ALNY US Equity","CASH_CONVERSION_CYCLE","FQ2 2024","FQ2 2024","Currency=USD","Period=FQ","BEST_FPERIOD_OVERRIDE=FQ","FILING_STATUS=MR","FA_ADJUSTED=GAAP","Sort=A","Dates=H","DateFormat=P","Fill=—","Direction=H","UseDPDF=Y")</f>
        <v>67.236800000000002</v>
      </c>
      <c r="Z93" s="14">
        <f>_xll.BDH("ALNY US Equity","CASH_CONVERSION_CYCLE","FQ3 2024","FQ3 2024","Currency=USD","Period=FQ","BEST_FPERIOD_OVERRIDE=FQ","FILING_STATUS=MR","FA_ADJUSTED=GAAP","Sort=A","Dates=H","DateFormat=P","Fill=—","Direction=H","UseDPDF=Y")</f>
        <v>69.573099999999997</v>
      </c>
      <c r="AA93" s="14">
        <f>_xll.BDH("ALNY US Equity","CASH_CONVERSION_CYCLE","FQ4 2024","FQ4 2024","Currency=USD","Period=FQ","BEST_FPERIOD_OVERRIDE=FQ","FILING_STATUS=MR","FA_ADJUSTED=GAAP","Sort=A","Dates=H","DateFormat=P","Fill=—","Direction=H","UseDPDF=Y")</f>
        <v>70.325199999999995</v>
      </c>
    </row>
    <row r="94" spans="1:27" x14ac:dyDescent="0.25">
      <c r="A94" s="10" t="s">
        <v>823</v>
      </c>
      <c r="B94" s="10" t="s">
        <v>824</v>
      </c>
      <c r="C94" s="14">
        <f>_xll.BDH("ALNY US Equity","NUM_OF_EMPLOYEES","FQ4 2018","FQ4 2018","Currency=USD","Period=FQ","BEST_FPERIOD_OVERRIDE=FQ","FILING_STATUS=MR","Sort=A","Dates=H","DateFormat=P","Fill=—","Direction=H","UseDPDF=Y")</f>
        <v>1065</v>
      </c>
      <c r="D94" s="14" t="str">
        <f>_xll.BDH("ALNY US Equity","NUM_OF_EMPLOYEES","FQ1 2019","FQ1 2019","Currency=USD","Period=FQ","BEST_FPERIOD_OVERRIDE=FQ","FILING_STATUS=MR","Sort=A","Dates=H","DateFormat=P","Fill=—","Direction=H","UseDPDF=Y")</f>
        <v>—</v>
      </c>
      <c r="E94" s="14" t="str">
        <f>_xll.BDH("ALNY US Equity","NUM_OF_EMPLOYEES","FQ2 2019","FQ2 2019","Currency=USD","Period=FQ","BEST_FPERIOD_OVERRIDE=FQ","FILING_STATUS=MR","Sort=A","Dates=H","DateFormat=P","Fill=—","Direction=H","UseDPDF=Y")</f>
        <v>—</v>
      </c>
      <c r="F94" s="14" t="str">
        <f>_xll.BDH("ALNY US Equity","NUM_OF_EMPLOYEES","FQ3 2019","FQ3 2019","Currency=USD","Period=FQ","BEST_FPERIOD_OVERRIDE=FQ","FILING_STATUS=MR","Sort=A","Dates=H","DateFormat=P","Fill=—","Direction=H","UseDPDF=Y")</f>
        <v>—</v>
      </c>
      <c r="G94" s="14">
        <f>_xll.BDH("ALNY US Equity","NUM_OF_EMPLOYEES","FQ4 2019","FQ4 2019","Currency=USD","Period=FQ","BEST_FPERIOD_OVERRIDE=FQ","FILING_STATUS=MR","Sort=A","Dates=H","DateFormat=P","Fill=—","Direction=H","UseDPDF=Y")</f>
        <v>1323</v>
      </c>
      <c r="H94" s="14" t="str">
        <f>_xll.BDH("ALNY US Equity","NUM_OF_EMPLOYEES","FQ1 2020","FQ1 2020","Currency=USD","Period=FQ","BEST_FPERIOD_OVERRIDE=FQ","FILING_STATUS=MR","Sort=A","Dates=H","DateFormat=P","Fill=—","Direction=H","UseDPDF=Y")</f>
        <v>—</v>
      </c>
      <c r="I94" s="14" t="str">
        <f>_xll.BDH("ALNY US Equity","NUM_OF_EMPLOYEES","FQ2 2020","FQ2 2020","Currency=USD","Period=FQ","BEST_FPERIOD_OVERRIDE=FQ","FILING_STATUS=MR","Sort=A","Dates=H","DateFormat=P","Fill=—","Direction=H","UseDPDF=Y")</f>
        <v>—</v>
      </c>
      <c r="J94" s="14" t="str">
        <f>_xll.BDH("ALNY US Equity","NUM_OF_EMPLOYEES","FQ3 2020","FQ3 2020","Currency=USD","Period=FQ","BEST_FPERIOD_OVERRIDE=FQ","FILING_STATUS=MR","Sort=A","Dates=H","DateFormat=P","Fill=—","Direction=H","UseDPDF=Y")</f>
        <v>—</v>
      </c>
      <c r="K94" s="14">
        <f>_xll.BDH("ALNY US Equity","NUM_OF_EMPLOYEES","FQ4 2020","FQ4 2020","Currency=USD","Period=FQ","BEST_FPERIOD_OVERRIDE=FQ","FILING_STATUS=MR","Sort=A","Dates=H","DateFormat=P","Fill=—","Direction=H","UseDPDF=Y")</f>
        <v>1453</v>
      </c>
      <c r="L94" s="14" t="str">
        <f>_xll.BDH("ALNY US Equity","NUM_OF_EMPLOYEES","FQ1 2021","FQ1 2021","Currency=USD","Period=FQ","BEST_FPERIOD_OVERRIDE=FQ","FILING_STATUS=MR","Sort=A","Dates=H","DateFormat=P","Fill=—","Direction=H","UseDPDF=Y")</f>
        <v>—</v>
      </c>
      <c r="M94" s="14" t="str">
        <f>_xll.BDH("ALNY US Equity","NUM_OF_EMPLOYEES","FQ2 2021","FQ2 2021","Currency=USD","Period=FQ","BEST_FPERIOD_OVERRIDE=FQ","FILING_STATUS=MR","Sort=A","Dates=H","DateFormat=P","Fill=—","Direction=H","UseDPDF=Y")</f>
        <v>—</v>
      </c>
      <c r="N94" s="14" t="str">
        <f>_xll.BDH("ALNY US Equity","NUM_OF_EMPLOYEES","FQ3 2021","FQ3 2021","Currency=USD","Period=FQ","BEST_FPERIOD_OVERRIDE=FQ","FILING_STATUS=MR","Sort=A","Dates=H","DateFormat=P","Fill=—","Direction=H","UseDPDF=Y")</f>
        <v>—</v>
      </c>
      <c r="O94" s="14">
        <f>_xll.BDH("ALNY US Equity","NUM_OF_EMPLOYEES","FQ4 2021","FQ4 2021","Currency=USD","Period=FQ","BEST_FPERIOD_OVERRIDE=FQ","FILING_STATUS=MR","Sort=A","Dates=H","DateFormat=P","Fill=—","Direction=H","UseDPDF=Y")</f>
        <v>1665</v>
      </c>
      <c r="P94" s="14" t="str">
        <f>_xll.BDH("ALNY US Equity","NUM_OF_EMPLOYEES","FQ1 2022","FQ1 2022","Currency=USD","Period=FQ","BEST_FPERIOD_OVERRIDE=FQ","FILING_STATUS=MR","Sort=A","Dates=H","DateFormat=P","Fill=—","Direction=H","UseDPDF=Y")</f>
        <v>—</v>
      </c>
      <c r="Q94" s="14" t="str">
        <f>_xll.BDH("ALNY US Equity","NUM_OF_EMPLOYEES","FQ2 2022","FQ2 2022","Currency=USD","Period=FQ","BEST_FPERIOD_OVERRIDE=FQ","FILING_STATUS=MR","Sort=A","Dates=H","DateFormat=P","Fill=—","Direction=H","UseDPDF=Y")</f>
        <v>—</v>
      </c>
      <c r="R94" s="14" t="str">
        <f>_xll.BDH("ALNY US Equity","NUM_OF_EMPLOYEES","FQ3 2022","FQ3 2022","Currency=USD","Period=FQ","BEST_FPERIOD_OVERRIDE=FQ","FILING_STATUS=MR","Sort=A","Dates=H","DateFormat=P","Fill=—","Direction=H","UseDPDF=Y")</f>
        <v>—</v>
      </c>
      <c r="S94" s="14">
        <f>_xll.BDH("ALNY US Equity","NUM_OF_EMPLOYEES","FQ4 2022","FQ4 2022","Currency=USD","Period=FQ","BEST_FPERIOD_OVERRIDE=FQ","FILING_STATUS=MR","Sort=A","Dates=H","DateFormat=P","Fill=—","Direction=H","UseDPDF=Y")</f>
        <v>2002</v>
      </c>
      <c r="T94" s="14" t="str">
        <f>_xll.BDH("ALNY US Equity","NUM_OF_EMPLOYEES","FQ1 2023","FQ1 2023","Currency=USD","Period=FQ","BEST_FPERIOD_OVERRIDE=FQ","FILING_STATUS=MR","Sort=A","Dates=H","DateFormat=P","Fill=—","Direction=H","UseDPDF=Y")</f>
        <v>—</v>
      </c>
      <c r="U94" s="14" t="str">
        <f>_xll.BDH("ALNY US Equity","NUM_OF_EMPLOYEES","FQ2 2023","FQ2 2023","Currency=USD","Period=FQ","BEST_FPERIOD_OVERRIDE=FQ","FILING_STATUS=MR","Sort=A","Dates=H","DateFormat=P","Fill=—","Direction=H","UseDPDF=Y")</f>
        <v>—</v>
      </c>
      <c r="V94" s="14" t="str">
        <f>_xll.BDH("ALNY US Equity","NUM_OF_EMPLOYEES","FQ3 2023","FQ3 2023","Currency=USD","Period=FQ","BEST_FPERIOD_OVERRIDE=FQ","FILING_STATUS=MR","Sort=A","Dates=H","DateFormat=P","Fill=—","Direction=H","UseDPDF=Y")</f>
        <v>—</v>
      </c>
      <c r="W94" s="14">
        <f>_xll.BDH("ALNY US Equity","NUM_OF_EMPLOYEES","FQ4 2023","FQ4 2023","Currency=USD","Period=FQ","BEST_FPERIOD_OVERRIDE=FQ","FILING_STATUS=MR","Sort=A","Dates=H","DateFormat=P","Fill=—","Direction=H","UseDPDF=Y")</f>
        <v>2100</v>
      </c>
      <c r="X94" s="14" t="str">
        <f>_xll.BDH("ALNY US Equity","NUM_OF_EMPLOYEES","FQ1 2024","FQ1 2024","Currency=USD","Period=FQ","BEST_FPERIOD_OVERRIDE=FQ","FILING_STATUS=MR","Sort=A","Dates=H","DateFormat=P","Fill=—","Direction=H","UseDPDF=Y")</f>
        <v>—</v>
      </c>
      <c r="Y94" s="14" t="str">
        <f>_xll.BDH("ALNY US Equity","NUM_OF_EMPLOYEES","FQ2 2024","FQ2 2024","Currency=USD","Period=FQ","BEST_FPERIOD_OVERRIDE=FQ","FILING_STATUS=MR","Sort=A","Dates=H","DateFormat=P","Fill=—","Direction=H","UseDPDF=Y")</f>
        <v>—</v>
      </c>
      <c r="Z94" s="14" t="str">
        <f>_xll.BDH("ALNY US Equity","NUM_OF_EMPLOYEES","FQ3 2024","FQ3 2024","Currency=USD","Period=FQ","BEST_FPERIOD_OVERRIDE=FQ","FILING_STATUS=MR","Sort=A","Dates=H","DateFormat=P","Fill=—","Direction=H","UseDPDF=Y")</f>
        <v>—</v>
      </c>
      <c r="AA94" s="14">
        <f>_xll.BDH("ALNY US Equity","NUM_OF_EMPLOYEES","FQ4 2024","FQ4 2024","Currency=USD","Period=FQ","BEST_FPERIOD_OVERRIDE=FQ","FILING_STATUS=MR","Sort=A","Dates=H","DateFormat=P","Fill=—","Direction=H","UseDPDF=Y")</f>
        <v>2230</v>
      </c>
    </row>
    <row r="95" spans="1:27" x14ac:dyDescent="0.25">
      <c r="A95" s="7" t="s">
        <v>90</v>
      </c>
      <c r="B95" s="7"/>
      <c r="C95" s="7" t="s">
        <v>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79"/>
  <sheetViews>
    <sheetView workbookViewId="0">
      <selection activeCell="N2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400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825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826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0" t="s">
        <v>109</v>
      </c>
      <c r="B8" s="10" t="s">
        <v>827</v>
      </c>
      <c r="C8" s="13">
        <f>_xll.BDH("ALNY US Equity","ARD_CASH_AND_EQUIVALENTS","FQ4 2018","FQ4 2018","Currency=USD","Period=FQ","BEST_FPERIOD_OVERRIDE=FQ","FILING_STATUS=MR","SCALING_FORMAT=MLN","Sort=A","Dates=H","DateFormat=P","Fill=—","Direction=H","UseDPDF=Y")</f>
        <v>420.14600000000002</v>
      </c>
      <c r="D8" s="13">
        <f>_xll.BDH("ALNY US Equity","ARD_CASH_AND_EQUIVALENTS","FQ1 2019","FQ1 2019","Currency=USD","Period=FQ","BEST_FPERIOD_OVERRIDE=FQ","FILING_STATUS=MR","SCALING_FORMAT=MLN","Sort=A","Dates=H","DateFormat=P","Fill=—","Direction=H","UseDPDF=Y")</f>
        <v>724.95899999999995</v>
      </c>
      <c r="E8" s="13">
        <f>_xll.BDH("ALNY US Equity","ARD_CASH_AND_EQUIVALENTS","FQ2 2019","FQ2 2019","Currency=USD","Period=FQ","BEST_FPERIOD_OVERRIDE=FQ","FILING_STATUS=MR","SCALING_FORMAT=MLN","Sort=A","Dates=H","DateFormat=P","Fill=—","Direction=H","UseDPDF=Y")</f>
        <v>1136.289</v>
      </c>
      <c r="F8" s="13">
        <f>_xll.BDH("ALNY US Equity","ARD_CASH_AND_EQUIVALENTS","FQ3 2019","FQ3 2019","Currency=USD","Period=FQ","BEST_FPERIOD_OVERRIDE=FQ","FILING_STATUS=MR","SCALING_FORMAT=MLN","Sort=A","Dates=H","DateFormat=P","Fill=—","Direction=H","UseDPDF=Y")</f>
        <v>923.30399999999997</v>
      </c>
      <c r="G8" s="13">
        <f>_xll.BDH("ALNY US Equity","ARD_CASH_AND_EQUIVALENTS","FQ4 2019","FQ4 2019","Currency=USD","Period=FQ","BEST_FPERIOD_OVERRIDE=FQ","FILING_STATUS=MR","SCALING_FORMAT=MLN","Sort=A","Dates=H","DateFormat=P","Fill=—","Direction=H","UseDPDF=Y")</f>
        <v>547.178</v>
      </c>
      <c r="H8" s="13">
        <f>_xll.BDH("ALNY US Equity","ARD_CASH_AND_EQUIVALENTS","FQ1 2020","FQ1 2020","Currency=USD","Period=FQ","BEST_FPERIOD_OVERRIDE=FQ","FILING_STATUS=MR","SCALING_FORMAT=MLN","Sort=A","Dates=H","DateFormat=P","Fill=—","Direction=H","UseDPDF=Y")</f>
        <v>467.779</v>
      </c>
      <c r="I8" s="13">
        <f>_xll.BDH("ALNY US Equity","ARD_CASH_AND_EQUIVALENTS","FQ2 2020","FQ2 2020","Currency=USD","Period=FQ","BEST_FPERIOD_OVERRIDE=FQ","FILING_STATUS=MR","SCALING_FORMAT=MLN","Sort=A","Dates=H","DateFormat=P","Fill=—","Direction=H","UseDPDF=Y")</f>
        <v>580.82899999999995</v>
      </c>
      <c r="J8" s="13">
        <f>_xll.BDH("ALNY US Equity","ARD_CASH_AND_EQUIVALENTS","FQ3 2020","FQ3 2020","Currency=USD","Period=FQ","BEST_FPERIOD_OVERRIDE=FQ","FILING_STATUS=MR","SCALING_FORMAT=MLN","Sort=A","Dates=H","DateFormat=P","Fill=—","Direction=H","UseDPDF=Y")</f>
        <v>496.70400000000001</v>
      </c>
      <c r="K8" s="13">
        <f>_xll.BDH("ALNY US Equity","ARD_CASH_AND_EQUIVALENTS","FQ4 2020","FQ4 2020","Currency=USD","Period=FQ","BEST_FPERIOD_OVERRIDE=FQ","FILING_STATUS=MR","SCALING_FORMAT=MLN","Sort=A","Dates=H","DateFormat=P","Fill=—","Direction=H","UseDPDF=Y")</f>
        <v>496.58</v>
      </c>
      <c r="L8" s="13">
        <f>_xll.BDH("ALNY US Equity","ARD_CASH_AND_EQUIVALENTS","FQ1 2021","FQ1 2021","Currency=USD","Period=FQ","BEST_FPERIOD_OVERRIDE=FQ","FILING_STATUS=MR","SCALING_FORMAT=MLN","Sort=A","Dates=H","DateFormat=P","Fill=—","Direction=H","UseDPDF=Y")</f>
        <v>379.54300000000001</v>
      </c>
      <c r="M8" s="13">
        <f>_xll.BDH("ALNY US Equity","ARD_CASH_AND_EQUIVALENTS","FQ2 2021","FQ2 2021","Currency=USD","Period=FQ","BEST_FPERIOD_OVERRIDE=FQ","FILING_STATUS=MR","SCALING_FORMAT=MLN","Sort=A","Dates=H","DateFormat=P","Fill=—","Direction=H","UseDPDF=Y")</f>
        <v>745.76700000000005</v>
      </c>
      <c r="N8" s="13">
        <f>_xll.BDH("ALNY US Equity","ARD_CASH_AND_EQUIVALENTS","FQ3 2021","FQ3 2021","Currency=USD","Period=FQ","BEST_FPERIOD_OVERRIDE=FQ","FILING_STATUS=MR","SCALING_FORMAT=MLN","Sort=A","Dates=H","DateFormat=P","Fill=—","Direction=H","UseDPDF=Y")</f>
        <v>1093.991</v>
      </c>
      <c r="O8" s="13">
        <f>_xll.BDH("ALNY US Equity","ARD_CASH_AND_EQUIVALENTS","FQ4 2021","FQ4 2021","Currency=USD","Period=FQ","BEST_FPERIOD_OVERRIDE=FQ","FILING_STATUS=MR","SCALING_FORMAT=MLN","Sort=A","Dates=H","DateFormat=P","Fill=—","Direction=H","UseDPDF=Y")</f>
        <v>819.97500000000002</v>
      </c>
      <c r="P8" s="13">
        <f>_xll.BDH("ALNY US Equity","ARD_CASH_AND_EQUIVALENTS","FQ1 2022","FQ1 2022","Currency=USD","Period=FQ","BEST_FPERIOD_OVERRIDE=FQ","FILING_STATUS=MR","SCALING_FORMAT=MLN","Sort=A","Dates=H","DateFormat=P","Fill=—","Direction=H","UseDPDF=Y")</f>
        <v>534.08100000000002</v>
      </c>
      <c r="Q8" s="13">
        <f>_xll.BDH("ALNY US Equity","ARD_CASH_AND_EQUIVALENTS","FQ2 2022","FQ2 2022","Currency=USD","Period=FQ","BEST_FPERIOD_OVERRIDE=FQ","FILING_STATUS=MR","SCALING_FORMAT=MLN","Sort=A","Dates=H","DateFormat=P","Fill=—","Direction=H","UseDPDF=Y")</f>
        <v>575.55799999999999</v>
      </c>
      <c r="R8" s="13">
        <f>_xll.BDH("ALNY US Equity","ARD_CASH_AND_EQUIVALENTS","FQ3 2022","FQ3 2022","Currency=USD","Period=FQ","BEST_FPERIOD_OVERRIDE=FQ","FILING_STATUS=MR","SCALING_FORMAT=MLN","Sort=A","Dates=H","DateFormat=P","Fill=—","Direction=H","UseDPDF=Y")</f>
        <v>1073.2280000000001</v>
      </c>
      <c r="S8" s="13">
        <f>_xll.BDH("ALNY US Equity","ARD_CASH_AND_EQUIVALENTS","FQ4 2022","FQ4 2022","Currency=USD","Period=FQ","BEST_FPERIOD_OVERRIDE=FQ","FILING_STATUS=MR","SCALING_FORMAT=MLN","Sort=A","Dates=H","DateFormat=P","Fill=—","Direction=H","UseDPDF=Y")</f>
        <v>866.39400000000001</v>
      </c>
      <c r="T8" s="13">
        <f>_xll.BDH("ALNY US Equity","ARD_CASH_AND_EQUIVALENTS","FQ1 2023","FQ1 2023","Currency=USD","Period=FQ","BEST_FPERIOD_OVERRIDE=FQ","FILING_STATUS=MR","SCALING_FORMAT=MLN","Sort=A","Dates=H","DateFormat=P","Fill=—","Direction=H","UseDPDF=Y")</f>
        <v>672.245</v>
      </c>
      <c r="U8" s="13">
        <f>_xll.BDH("ALNY US Equity","ARD_CASH_AND_EQUIVALENTS","FQ2 2023","FQ2 2023","Currency=USD","Period=FQ","BEST_FPERIOD_OVERRIDE=FQ","FILING_STATUS=MR","SCALING_FORMAT=MLN","Sort=A","Dates=H","DateFormat=P","Fill=—","Direction=H","UseDPDF=Y")</f>
        <v>657.8</v>
      </c>
      <c r="V8" s="13">
        <f>_xll.BDH("ALNY US Equity","ARD_CASH_AND_EQUIVALENTS","FQ3 2023","FQ3 2023","Currency=USD","Period=FQ","BEST_FPERIOD_OVERRIDE=FQ","FILING_STATUS=MR","SCALING_FORMAT=MLN","Sort=A","Dates=H","DateFormat=P","Fill=—","Direction=H","UseDPDF=Y")</f>
        <v>1033.0239999999999</v>
      </c>
      <c r="W8" s="13">
        <f>_xll.BDH("ALNY US Equity","ARD_CASH_AND_EQUIVALENTS","FQ4 2023","FQ4 2023","Currency=USD","Period=FQ","BEST_FPERIOD_OVERRIDE=FQ","FILING_STATUS=MR","SCALING_FORMAT=MLN","Sort=A","Dates=H","DateFormat=P","Fill=—","Direction=H","UseDPDF=Y")</f>
        <v>812.68799999999999</v>
      </c>
      <c r="X8" s="13">
        <f>_xll.BDH("ALNY US Equity","ARD_CASH_AND_EQUIVALENTS","FQ1 2024","FQ1 2024","Currency=USD","Period=FQ","BEST_FPERIOD_OVERRIDE=FQ","FILING_STATUS=MR","SCALING_FORMAT=MLN","Sort=A","Dates=H","DateFormat=P","Fill=—","Direction=H","UseDPDF=Y")</f>
        <v>681.87900000000002</v>
      </c>
      <c r="Y8" s="13">
        <f>_xll.BDH("ALNY US Equity","ARD_CASH_AND_EQUIVALENTS","FQ2 2024","FQ2 2024","Currency=USD","Period=FQ","BEST_FPERIOD_OVERRIDE=FQ","FILING_STATUS=MR","SCALING_FORMAT=MLN","Sort=A","Dates=H","DateFormat=P","Fill=—","Direction=H","UseDPDF=Y")</f>
        <v>968.49199999999996</v>
      </c>
      <c r="Z8" s="13">
        <f>_xll.BDH("ALNY US Equity","ARD_CASH_AND_EQUIVALENTS","FQ3 2024","FQ3 2024","Currency=USD","Period=FQ","BEST_FPERIOD_OVERRIDE=FQ","FILING_STATUS=MR","SCALING_FORMAT=MLN","Sort=A","Dates=H","DateFormat=P","Fill=—","Direction=H","UseDPDF=Y")</f>
        <v>1099.92</v>
      </c>
      <c r="AA8" s="13">
        <f>_xll.BDH("ALNY US Equity","ARD_CASH_AND_EQUIVALENTS","FQ4 2024","FQ4 2024","Currency=USD","Period=FQ","BEST_FPERIOD_OVERRIDE=FQ","FILING_STATUS=MR","SCALING_FORMAT=MLN","Sort=A","Dates=H","DateFormat=P","Fill=—","Direction=H","UseDPDF=Y")</f>
        <v>966.428</v>
      </c>
    </row>
    <row r="9" spans="1:27" x14ac:dyDescent="0.25">
      <c r="A9" s="10" t="s">
        <v>828</v>
      </c>
      <c r="B9" s="10" t="s">
        <v>829</v>
      </c>
      <c r="C9" s="13">
        <f>_xll.BDH("ALNY US Equity","ARD_MARKETABLE_SECURITIES","FQ4 2018","FQ4 2018","Currency=USD","Period=FQ","BEST_FPERIOD_OVERRIDE=FQ","FILING_STATUS=MR","SCALING_FORMAT=MLN","Sort=A","Dates=H","DateFormat=P","Fill=—","Direction=H","UseDPDF=Y")</f>
        <v>664.00900000000001</v>
      </c>
      <c r="D9" s="13">
        <f>_xll.BDH("ALNY US Equity","ARD_MARKETABLE_SECURITIES","FQ1 2019","FQ1 2019","Currency=USD","Period=FQ","BEST_FPERIOD_OVERRIDE=FQ","FILING_STATUS=MR","SCALING_FORMAT=MLN","Sort=A","Dates=H","DateFormat=P","Fill=—","Direction=H","UseDPDF=Y")</f>
        <v>519.57799999999997</v>
      </c>
      <c r="E9" s="13">
        <f>_xll.BDH("ALNY US Equity","ARD_MARKETABLE_SECURITIES","FQ2 2019","FQ2 2019","Currency=USD","Period=FQ","BEST_FPERIOD_OVERRIDE=FQ","FILING_STATUS=MR","SCALING_FORMAT=MLN","Sort=A","Dates=H","DateFormat=P","Fill=—","Direction=H","UseDPDF=Y")</f>
        <v>790.54200000000003</v>
      </c>
      <c r="F9" s="13">
        <f>_xll.BDH("ALNY US Equity","ARD_MARKETABLE_SECURITIES","FQ3 2019","FQ3 2019","Currency=USD","Period=FQ","BEST_FPERIOD_OVERRIDE=FQ","FILING_STATUS=MR","SCALING_FORMAT=MLN","Sort=A","Dates=H","DateFormat=P","Fill=—","Direction=H","UseDPDF=Y")</f>
        <v>797.75400000000002</v>
      </c>
      <c r="G9" s="13">
        <f>_xll.BDH("ALNY US Equity","ARD_MARKETABLE_SECURITIES","FQ4 2019","FQ4 2019","Currency=USD","Period=FQ","BEST_FPERIOD_OVERRIDE=FQ","FILING_STATUS=MR","SCALING_FORMAT=MLN","Sort=A","Dates=H","DateFormat=P","Fill=—","Direction=H","UseDPDF=Y")</f>
        <v>988.98400000000004</v>
      </c>
      <c r="H9" s="13">
        <f>_xll.BDH("ALNY US Equity","ARD_MARKETABLE_SECURITIES","FQ1 2020","FQ1 2020","Currency=USD","Period=FQ","BEST_FPERIOD_OVERRIDE=FQ","FILING_STATUS=MR","SCALING_FORMAT=MLN","Sort=A","Dates=H","DateFormat=P","Fill=—","Direction=H","UseDPDF=Y")</f>
        <v>874.42399999999998</v>
      </c>
      <c r="I9" s="13">
        <f>_xll.BDH("ALNY US Equity","ARD_MARKETABLE_SECURITIES","FQ2 2020","FQ2 2020","Currency=USD","Period=FQ","BEST_FPERIOD_OVERRIDE=FQ","FILING_STATUS=MR","SCALING_FORMAT=MLN","Sort=A","Dates=H","DateFormat=P","Fill=—","Direction=H","UseDPDF=Y")</f>
        <v>1344.7349999999999</v>
      </c>
      <c r="J9" s="13">
        <f>_xll.BDH("ALNY US Equity","ARD_MARKETABLE_SECURITIES","FQ3 2020","FQ3 2020","Currency=USD","Period=FQ","BEST_FPERIOD_OVERRIDE=FQ","FILING_STATUS=MR","SCALING_FORMAT=MLN","Sort=A","Dates=H","DateFormat=P","Fill=—","Direction=H","UseDPDF=Y")</f>
        <v>1337.172</v>
      </c>
      <c r="K9" s="13">
        <f>_xll.BDH("ALNY US Equity","ARD_MARKETABLE_SECURITIES","FQ4 2020","FQ4 2020","Currency=USD","Period=FQ","BEST_FPERIOD_OVERRIDE=FQ","FILING_STATUS=MR","SCALING_FORMAT=MLN","Sort=A","Dates=H","DateFormat=P","Fill=—","Direction=H","UseDPDF=Y")</f>
        <v>1377.8150000000001</v>
      </c>
      <c r="L9" s="13">
        <f>_xll.BDH("ALNY US Equity","ARD_MARKETABLE_SECURITIES","FQ1 2021","FQ1 2021","Currency=USD","Period=FQ","BEST_FPERIOD_OVERRIDE=FQ","FILING_STATUS=MR","SCALING_FORMAT=MLN","Sort=A","Dates=H","DateFormat=P","Fill=—","Direction=H","UseDPDF=Y")</f>
        <v>1329.9939999999999</v>
      </c>
      <c r="M9" s="13">
        <f>_xll.BDH("ALNY US Equity","ARD_MARKETABLE_SECURITIES","FQ2 2021","FQ2 2021","Currency=USD","Period=FQ","BEST_FPERIOD_OVERRIDE=FQ","FILING_STATUS=MR","SCALING_FORMAT=MLN","Sort=A","Dates=H","DateFormat=P","Fill=—","Direction=H","UseDPDF=Y")</f>
        <v>1154.3150000000001</v>
      </c>
      <c r="N9" s="13">
        <f>_xll.BDH("ALNY US Equity","ARD_MARKETABLE_SECURITIES","FQ3 2021","FQ3 2021","Currency=USD","Period=FQ","BEST_FPERIOD_OVERRIDE=FQ","FILING_STATUS=MR","SCALING_FORMAT=MLN","Sort=A","Dates=H","DateFormat=P","Fill=—","Direction=H","UseDPDF=Y")</f>
        <v>1233.874</v>
      </c>
      <c r="O9" s="13">
        <f>_xll.BDH("ALNY US Equity","ARD_MARKETABLE_SECURITIES","FQ4 2021","FQ4 2021","Currency=USD","Period=FQ","BEST_FPERIOD_OVERRIDE=FQ","FILING_STATUS=MR","SCALING_FORMAT=MLN","Sort=A","Dates=H","DateFormat=P","Fill=—","Direction=H","UseDPDF=Y")</f>
        <v>1615.5889999999999</v>
      </c>
      <c r="P9" s="13">
        <f>_xll.BDH("ALNY US Equity","ARD_MARKETABLE_SECURITIES","FQ1 2022","FQ1 2022","Currency=USD","Period=FQ","BEST_FPERIOD_OVERRIDE=FQ","FILING_STATUS=MR","SCALING_FORMAT=MLN","Sort=A","Dates=H","DateFormat=P","Fill=—","Direction=H","UseDPDF=Y")</f>
        <v>1705.482</v>
      </c>
      <c r="Q9" s="13">
        <f>_xll.BDH("ALNY US Equity","ARD_MARKETABLE_SECURITIES","FQ2 2022","FQ2 2022","Currency=USD","Period=FQ","BEST_FPERIOD_OVERRIDE=FQ","FILING_STATUS=MR","SCALING_FORMAT=MLN","Sort=A","Dates=H","DateFormat=P","Fill=—","Direction=H","UseDPDF=Y")</f>
        <v>1535.0550000000001</v>
      </c>
      <c r="R9" s="13">
        <f>_xll.BDH("ALNY US Equity","ARD_MARKETABLE_SECURITIES","FQ3 2022","FQ3 2022","Currency=USD","Period=FQ","BEST_FPERIOD_OVERRIDE=FQ","FILING_STATUS=MR","SCALING_FORMAT=MLN","Sort=A","Dates=H","DateFormat=P","Fill=—","Direction=H","UseDPDF=Y")</f>
        <v>1192.1010000000001</v>
      </c>
      <c r="S9" s="13">
        <f>_xll.BDH("ALNY US Equity","ARD_MARKETABLE_SECURITIES","FQ4 2022","FQ4 2022","Currency=USD","Period=FQ","BEST_FPERIOD_OVERRIDE=FQ","FILING_STATUS=MR","SCALING_FORMAT=MLN","Sort=A","Dates=H","DateFormat=P","Fill=—","Direction=H","UseDPDF=Y")</f>
        <v>1326.0119999999999</v>
      </c>
      <c r="T9" s="13">
        <f>_xll.BDH("ALNY US Equity","ARD_MARKETABLE_SECURITIES","FQ1 2023","FQ1 2023","Currency=USD","Period=FQ","BEST_FPERIOD_OVERRIDE=FQ","FILING_STATUS=MR","SCALING_FORMAT=MLN","Sort=A","Dates=H","DateFormat=P","Fill=—","Direction=H","UseDPDF=Y")</f>
        <v>1398.43</v>
      </c>
      <c r="U9" s="13">
        <f>_xll.BDH("ALNY US Equity","ARD_MARKETABLE_SECURITIES","FQ2 2023","FQ2 2023","Currency=USD","Period=FQ","BEST_FPERIOD_OVERRIDE=FQ","FILING_STATUS=MR","SCALING_FORMAT=MLN","Sort=A","Dates=H","DateFormat=P","Fill=—","Direction=H","UseDPDF=Y")</f>
        <v>1399.7070000000001</v>
      </c>
      <c r="V9" s="13">
        <f>_xll.BDH("ALNY US Equity","ARD_MARKETABLE_SECURITIES","FQ3 2023","FQ3 2023","Currency=USD","Period=FQ","BEST_FPERIOD_OVERRIDE=FQ","FILING_STATUS=MR","SCALING_FORMAT=MLN","Sort=A","Dates=H","DateFormat=P","Fill=—","Direction=H","UseDPDF=Y")</f>
        <v>1373.2539999999999</v>
      </c>
      <c r="W9" s="13">
        <f>_xll.BDH("ALNY US Equity","ARD_MARKETABLE_SECURITIES","FQ4 2023","FQ4 2023","Currency=USD","Period=FQ","BEST_FPERIOD_OVERRIDE=FQ","FILING_STATUS=MR","SCALING_FORMAT=MLN","Sort=A","Dates=H","DateFormat=P","Fill=—","Direction=H","UseDPDF=Y")</f>
        <v>1626.694</v>
      </c>
      <c r="X9" s="13">
        <f>_xll.BDH("ALNY US Equity","ARD_MARKETABLE_SECURITIES","FQ1 2024","FQ1 2024","Currency=USD","Period=FQ","BEST_FPERIOD_OVERRIDE=FQ","FILING_STATUS=MR","SCALING_FORMAT=MLN","Sort=A","Dates=H","DateFormat=P","Fill=—","Direction=H","UseDPDF=Y")</f>
        <v>1689.403</v>
      </c>
      <c r="Y9" s="13">
        <f>_xll.BDH("ALNY US Equity","ARD_MARKETABLE_SECURITIES","FQ2 2024","FQ2 2024","Currency=USD","Period=FQ","BEST_FPERIOD_OVERRIDE=FQ","FILING_STATUS=MR","SCALING_FORMAT=MLN","Sort=A","Dates=H","DateFormat=P","Fill=—","Direction=H","UseDPDF=Y")</f>
        <v>1656.1569999999999</v>
      </c>
      <c r="Z9" s="13">
        <f>_xll.BDH("ALNY US Equity","ARD_MARKETABLE_SECURITIES","FQ3 2024","FQ3 2024","Currency=USD","Period=FQ","BEST_FPERIOD_OVERRIDE=FQ","FILING_STATUS=MR","SCALING_FORMAT=MLN","Sort=A","Dates=H","DateFormat=P","Fill=—","Direction=H","UseDPDF=Y")</f>
        <v>1680.3150000000001</v>
      </c>
      <c r="AA9" s="13">
        <f>_xll.BDH("ALNY US Equity","ARD_MARKETABLE_SECURITIES","FQ4 2024","FQ4 2024","Currency=USD","Period=FQ","BEST_FPERIOD_OVERRIDE=FQ","FILING_STATUS=MR","SCALING_FORMAT=MLN","Sort=A","Dates=H","DateFormat=P","Fill=—","Direction=H","UseDPDF=Y")</f>
        <v>1728.076</v>
      </c>
    </row>
    <row r="10" spans="1:27" x14ac:dyDescent="0.25">
      <c r="A10" s="10" t="s">
        <v>830</v>
      </c>
      <c r="B10" s="10" t="s">
        <v>831</v>
      </c>
      <c r="C10" s="13">
        <f>_xll.BDH("ALNY US Equity","ARD_ACCTS_RECEIVABLE_TRADE","FQ4 2018","FQ4 2018","Currency=USD","Period=FQ","BEST_FPERIOD_OVERRIDE=FQ","FILING_STATUS=MR","SCALING_FORMAT=MLN","Sort=A","Dates=H","DateFormat=P","Fill=—","Direction=H","UseDPDF=Y")</f>
        <v>18.760000000000002</v>
      </c>
      <c r="D10" s="13">
        <f>_xll.BDH("ALNY US Equity","ARD_ACCTS_RECEIVABLE_TRADE","FQ1 2019","FQ1 2019","Currency=USD","Period=FQ","BEST_FPERIOD_OVERRIDE=FQ","FILING_STATUS=MR","SCALING_FORMAT=MLN","Sort=A","Dates=H","DateFormat=P","Fill=—","Direction=H","UseDPDF=Y")</f>
        <v>33.801000000000002</v>
      </c>
      <c r="E10" s="13">
        <f>_xll.BDH("ALNY US Equity","ARD_ACCTS_RECEIVABLE_TRADE","FQ2 2019","FQ2 2019","Currency=USD","Period=FQ","BEST_FPERIOD_OVERRIDE=FQ","FILING_STATUS=MR","SCALING_FORMAT=MLN","Sort=A","Dates=H","DateFormat=P","Fill=—","Direction=H","UseDPDF=Y")</f>
        <v>30.739000000000001</v>
      </c>
      <c r="F10" s="13">
        <f>_xll.BDH("ALNY US Equity","ARD_ACCTS_RECEIVABLE_TRADE","FQ3 2019","FQ3 2019","Currency=USD","Period=FQ","BEST_FPERIOD_OVERRIDE=FQ","FILING_STATUS=MR","SCALING_FORMAT=MLN","Sort=A","Dates=H","DateFormat=P","Fill=—","Direction=H","UseDPDF=Y")</f>
        <v>48.109000000000002</v>
      </c>
      <c r="G10" s="13">
        <f>_xll.BDH("ALNY US Equity","ARD_ACCTS_RECEIVABLE_TRADE","FQ4 2019","FQ4 2019","Currency=USD","Period=FQ","BEST_FPERIOD_OVERRIDE=FQ","FILING_STATUS=MR","SCALING_FORMAT=MLN","Sort=A","Dates=H","DateFormat=P","Fill=—","Direction=H","UseDPDF=Y")</f>
        <v>43.011000000000003</v>
      </c>
      <c r="H10" s="13">
        <f>_xll.BDH("ALNY US Equity","ARD_ACCTS_RECEIVABLE_TRADE","FQ1 2020","FQ1 2020","Currency=USD","Period=FQ","BEST_FPERIOD_OVERRIDE=FQ","FILING_STATUS=MR","SCALING_FORMAT=MLN","Sort=A","Dates=H","DateFormat=P","Fill=—","Direction=H","UseDPDF=Y")</f>
        <v>75.572000000000003</v>
      </c>
      <c r="I10" s="13">
        <f>_xll.BDH("ALNY US Equity","ARD_ACCTS_RECEIVABLE_TRADE","FQ2 2020","FQ2 2020","Currency=USD","Period=FQ","BEST_FPERIOD_OVERRIDE=FQ","FILING_STATUS=MR","SCALING_FORMAT=MLN","Sort=A","Dates=H","DateFormat=P","Fill=—","Direction=H","UseDPDF=Y")</f>
        <v>69.114999999999995</v>
      </c>
      <c r="J10" s="13">
        <f>_xll.BDH("ALNY US Equity","ARD_ACCTS_RECEIVABLE_TRADE","FQ3 2020","FQ3 2020","Currency=USD","Period=FQ","BEST_FPERIOD_OVERRIDE=FQ","FILING_STATUS=MR","SCALING_FORMAT=MLN","Sort=A","Dates=H","DateFormat=P","Fill=—","Direction=H","UseDPDF=Y")</f>
        <v>79.117999999999995</v>
      </c>
      <c r="K10" s="13">
        <f>_xll.BDH("ALNY US Equity","ARD_ACCTS_RECEIVABLE_TRADE","FQ4 2020","FQ4 2020","Currency=USD","Period=FQ","BEST_FPERIOD_OVERRIDE=FQ","FILING_STATUS=MR","SCALING_FORMAT=MLN","Sort=A","Dates=H","DateFormat=P","Fill=—","Direction=H","UseDPDF=Y")</f>
        <v>102.413</v>
      </c>
      <c r="L10" s="13">
        <f>_xll.BDH("ALNY US Equity","ARD_ACCTS_RECEIVABLE_TRADE","FQ1 2021","FQ1 2021","Currency=USD","Period=FQ","BEST_FPERIOD_OVERRIDE=FQ","FILING_STATUS=MR","SCALING_FORMAT=MLN","Sort=A","Dates=H","DateFormat=P","Fill=—","Direction=H","UseDPDF=Y")</f>
        <v>110.626</v>
      </c>
      <c r="M10" s="13">
        <f>_xll.BDH("ALNY US Equity","ARD_ACCTS_RECEIVABLE_TRADE","FQ2 2021","FQ2 2021","Currency=USD","Period=FQ","BEST_FPERIOD_OVERRIDE=FQ","FILING_STATUS=MR","SCALING_FORMAT=MLN","Sort=A","Dates=H","DateFormat=P","Fill=—","Direction=H","UseDPDF=Y")</f>
        <v>146.58699999999999</v>
      </c>
      <c r="N10" s="13">
        <f>_xll.BDH("ALNY US Equity","ARD_ACCTS_RECEIVABLE_TRADE","FQ3 2021","FQ3 2021","Currency=USD","Period=FQ","BEST_FPERIOD_OVERRIDE=FQ","FILING_STATUS=MR","SCALING_FORMAT=MLN","Sort=A","Dates=H","DateFormat=P","Fill=—","Direction=H","UseDPDF=Y")</f>
        <v>141.06399999999999</v>
      </c>
      <c r="O10" s="13">
        <f>_xll.BDH("ALNY US Equity","ARD_ACCTS_RECEIVABLE_TRADE","FQ4 2021","FQ4 2021","Currency=USD","Period=FQ","BEST_FPERIOD_OVERRIDE=FQ","FILING_STATUS=MR","SCALING_FORMAT=MLN","Sort=A","Dates=H","DateFormat=P","Fill=—","Direction=H","UseDPDF=Y")</f>
        <v>198.571</v>
      </c>
      <c r="P10" s="13">
        <f>_xll.BDH("ALNY US Equity","ARD_ACCTS_RECEIVABLE_TRADE","FQ1 2022","FQ1 2022","Currency=USD","Period=FQ","BEST_FPERIOD_OVERRIDE=FQ","FILING_STATUS=MR","SCALING_FORMAT=MLN","Sort=A","Dates=H","DateFormat=P","Fill=—","Direction=H","UseDPDF=Y")</f>
        <v>156.53299999999999</v>
      </c>
      <c r="Q10" s="13">
        <f>_xll.BDH("ALNY US Equity","ARD_ACCTS_RECEIVABLE_TRADE","FQ2 2022","FQ2 2022","Currency=USD","Period=FQ","BEST_FPERIOD_OVERRIDE=FQ","FILING_STATUS=MR","SCALING_FORMAT=MLN","Sort=A","Dates=H","DateFormat=P","Fill=—","Direction=H","UseDPDF=Y")</f>
        <v>142.27099999999999</v>
      </c>
      <c r="R10" s="13">
        <f>_xll.BDH("ALNY US Equity","ARD_ACCTS_RECEIVABLE_TRADE","FQ3 2022","FQ3 2022","Currency=USD","Period=FQ","BEST_FPERIOD_OVERRIDE=FQ","FILING_STATUS=MR","SCALING_FORMAT=MLN","Sort=A","Dates=H","DateFormat=P","Fill=—","Direction=H","UseDPDF=Y")</f>
        <v>184.51300000000001</v>
      </c>
      <c r="S10" s="13">
        <f>_xll.BDH("ALNY US Equity","ARD_ACCTS_RECEIVABLE_TRADE","FQ4 2022","FQ4 2022","Currency=USD","Period=FQ","BEST_FPERIOD_OVERRIDE=FQ","FILING_STATUS=MR","SCALING_FORMAT=MLN","Sort=A","Dates=H","DateFormat=P","Fill=—","Direction=H","UseDPDF=Y")</f>
        <v>237.96299999999999</v>
      </c>
      <c r="T10" s="13">
        <f>_xll.BDH("ALNY US Equity","ARD_ACCTS_RECEIVABLE_TRADE","FQ1 2023","FQ1 2023","Currency=USD","Period=FQ","BEST_FPERIOD_OVERRIDE=FQ","FILING_STATUS=MR","SCALING_FORMAT=MLN","Sort=A","Dates=H","DateFormat=P","Fill=—","Direction=H","UseDPDF=Y")</f>
        <v>219.434</v>
      </c>
      <c r="U10" s="13">
        <f>_xll.BDH("ALNY US Equity","ARD_ACCTS_RECEIVABLE_TRADE","FQ2 2023","FQ2 2023","Currency=USD","Period=FQ","BEST_FPERIOD_OVERRIDE=FQ","FILING_STATUS=MR","SCALING_FORMAT=MLN","Sort=A","Dates=H","DateFormat=P","Fill=—","Direction=H","UseDPDF=Y")</f>
        <v>220.63499999999999</v>
      </c>
      <c r="V10" s="13">
        <f>_xll.BDH("ALNY US Equity","ARD_ACCTS_RECEIVABLE_TRADE","FQ3 2023","FQ3 2023","Currency=USD","Period=FQ","BEST_FPERIOD_OVERRIDE=FQ","FILING_STATUS=MR","SCALING_FORMAT=MLN","Sort=A","Dates=H","DateFormat=P","Fill=—","Direction=H","UseDPDF=Y")</f>
        <v>325.44499999999999</v>
      </c>
      <c r="W10" s="13">
        <f>_xll.BDH("ALNY US Equity","ARD_ACCTS_RECEIVABLE_TRADE","FQ4 2023","FQ4 2023","Currency=USD","Period=FQ","BEST_FPERIOD_OVERRIDE=FQ","FILING_STATUS=MR","SCALING_FORMAT=MLN","Sort=A","Dates=H","DateFormat=P","Fill=—","Direction=H","UseDPDF=Y")</f>
        <v>327.78699999999998</v>
      </c>
      <c r="X10" s="13">
        <f>_xll.BDH("ALNY US Equity","ARD_ACCTS_RECEIVABLE_TRADE","FQ1 2024","FQ1 2024","Currency=USD","Period=FQ","BEST_FPERIOD_OVERRIDE=FQ","FILING_STATUS=MR","SCALING_FORMAT=MLN","Sort=A","Dates=H","DateFormat=P","Fill=—","Direction=H","UseDPDF=Y")</f>
        <v>321.37700000000001</v>
      </c>
      <c r="Y10" s="13">
        <f>_xll.BDH("ALNY US Equity","ARD_ACCTS_RECEIVABLE_TRADE","FQ2 2024","FQ2 2024","Currency=USD","Period=FQ","BEST_FPERIOD_OVERRIDE=FQ","FILING_STATUS=MR","SCALING_FORMAT=MLN","Sort=A","Dates=H","DateFormat=P","Fill=—","Direction=H","UseDPDF=Y")</f>
        <v>309.48099999999999</v>
      </c>
      <c r="Z10" s="13">
        <f>_xll.BDH("ALNY US Equity","ARD_ACCTS_RECEIVABLE_TRADE","FQ3 2024","FQ3 2024","Currency=USD","Period=FQ","BEST_FPERIOD_OVERRIDE=FQ","FILING_STATUS=MR","SCALING_FORMAT=MLN","Sort=A","Dates=H","DateFormat=P","Fill=—","Direction=H","UseDPDF=Y")</f>
        <v>353.85199999999998</v>
      </c>
      <c r="AA10" s="13">
        <f>_xll.BDH("ALNY US Equity","ARD_ACCTS_RECEIVABLE_TRADE","FQ4 2024","FQ4 2024","Currency=USD","Period=FQ","BEST_FPERIOD_OVERRIDE=FQ","FILING_STATUS=MR","SCALING_FORMAT=MLN","Sort=A","Dates=H","DateFormat=P","Fill=—","Direction=H","UseDPDF=Y")</f>
        <v>405.30799999999999</v>
      </c>
    </row>
    <row r="11" spans="1:27" x14ac:dyDescent="0.25">
      <c r="A11" s="10" t="s">
        <v>832</v>
      </c>
      <c r="B11" s="10" t="s">
        <v>833</v>
      </c>
      <c r="C11" s="13">
        <f>_xll.BDH("ALNY US Equity","ARD_INVENTORY","FQ4 2018","FQ4 2018","Currency=USD","Period=FQ","BEST_FPERIOD_OVERRIDE=FQ","FILING_STATUS=MR","SCALING_FORMAT=MLN","Sort=A","Dates=H","DateFormat=P","Fill=—","Direction=H","UseDPDF=Y")</f>
        <v>24.068000000000001</v>
      </c>
      <c r="D11" s="13">
        <f>_xll.BDH("ALNY US Equity","ARD_INVENTORY","FQ1 2019","FQ1 2019","Currency=USD","Period=FQ","BEST_FPERIOD_OVERRIDE=FQ","FILING_STATUS=MR","SCALING_FORMAT=MLN","Sort=A","Dates=H","DateFormat=P","Fill=—","Direction=H","UseDPDF=Y")</f>
        <v>32.000999999999998</v>
      </c>
      <c r="E11" s="13">
        <f>_xll.BDH("ALNY US Equity","ARD_INVENTORY","FQ2 2019","FQ2 2019","Currency=USD","Period=FQ","BEST_FPERIOD_OVERRIDE=FQ","FILING_STATUS=MR","SCALING_FORMAT=MLN","Sort=A","Dates=H","DateFormat=P","Fill=—","Direction=H","UseDPDF=Y")</f>
        <v>40.587000000000003</v>
      </c>
      <c r="F11" s="13">
        <f>_xll.BDH("ALNY US Equity","ARD_INVENTORY","FQ3 2019","FQ3 2019","Currency=USD","Period=FQ","BEST_FPERIOD_OVERRIDE=FQ","FILING_STATUS=MR","SCALING_FORMAT=MLN","Sort=A","Dates=H","DateFormat=P","Fill=—","Direction=H","UseDPDF=Y")</f>
        <v>54.561999999999998</v>
      </c>
      <c r="G11" s="13">
        <f>_xll.BDH("ALNY US Equity","ARD_INVENTORY","FQ4 2019","FQ4 2019","Currency=USD","Period=FQ","BEST_FPERIOD_OVERRIDE=FQ","FILING_STATUS=MR","SCALING_FORMAT=MLN","Sort=A","Dates=H","DateFormat=P","Fill=—","Direction=H","UseDPDF=Y")</f>
        <v>56.347999999999999</v>
      </c>
      <c r="H11" s="13">
        <f>_xll.BDH("ALNY US Equity","ARD_INVENTORY","FQ1 2020","FQ1 2020","Currency=USD","Period=FQ","BEST_FPERIOD_OVERRIDE=FQ","FILING_STATUS=MR","SCALING_FORMAT=MLN","Sort=A","Dates=H","DateFormat=P","Fill=—","Direction=H","UseDPDF=Y")</f>
        <v>68.3</v>
      </c>
      <c r="I11" s="13">
        <f>_xll.BDH("ALNY US Equity","ARD_INVENTORY","FQ2 2020","FQ2 2020","Currency=USD","Period=FQ","BEST_FPERIOD_OVERRIDE=FQ","FILING_STATUS=MR","SCALING_FORMAT=MLN","Sort=A","Dates=H","DateFormat=P","Fill=—","Direction=H","UseDPDF=Y")</f>
        <v>77.418000000000006</v>
      </c>
      <c r="J11" s="13">
        <f>_xll.BDH("ALNY US Equity","ARD_INVENTORY","FQ3 2020","FQ3 2020","Currency=USD","Period=FQ","BEST_FPERIOD_OVERRIDE=FQ","FILING_STATUS=MR","SCALING_FORMAT=MLN","Sort=A","Dates=H","DateFormat=P","Fill=—","Direction=H","UseDPDF=Y")</f>
        <v>66.941999999999993</v>
      </c>
      <c r="K11" s="13">
        <f>_xll.BDH("ALNY US Equity","ARD_INVENTORY","FQ4 2020","FQ4 2020","Currency=USD","Period=FQ","BEST_FPERIOD_OVERRIDE=FQ","FILING_STATUS=MR","SCALING_FORMAT=MLN","Sort=A","Dates=H","DateFormat=P","Fill=—","Direction=H","UseDPDF=Y")</f>
        <v>75.201999999999998</v>
      </c>
      <c r="L11" s="13">
        <f>_xll.BDH("ALNY US Equity","ARD_INVENTORY","FQ1 2021","FQ1 2021","Currency=USD","Period=FQ","BEST_FPERIOD_OVERRIDE=FQ","FILING_STATUS=MR","SCALING_FORMAT=MLN","Sort=A","Dates=H","DateFormat=P","Fill=—","Direction=H","UseDPDF=Y")</f>
        <v>73.94</v>
      </c>
      <c r="M11" s="13">
        <f>_xll.BDH("ALNY US Equity","ARD_INVENTORY","FQ2 2021","FQ2 2021","Currency=USD","Period=FQ","BEST_FPERIOD_OVERRIDE=FQ","FILING_STATUS=MR","SCALING_FORMAT=MLN","Sort=A","Dates=H","DateFormat=P","Fill=—","Direction=H","UseDPDF=Y")</f>
        <v>84.358000000000004</v>
      </c>
      <c r="N11" s="13">
        <f>_xll.BDH("ALNY US Equity","ARD_INVENTORY","FQ3 2021","FQ3 2021","Currency=USD","Period=FQ","BEST_FPERIOD_OVERRIDE=FQ","FILING_STATUS=MR","SCALING_FORMAT=MLN","Sort=A","Dates=H","DateFormat=P","Fill=—","Direction=H","UseDPDF=Y")</f>
        <v>97.899000000000001</v>
      </c>
      <c r="O11" s="13">
        <f>_xll.BDH("ALNY US Equity","ARD_INVENTORY","FQ4 2021","FQ4 2021","Currency=USD","Period=FQ","BEST_FPERIOD_OVERRIDE=FQ","FILING_STATUS=MR","SCALING_FORMAT=MLN","Sort=A","Dates=H","DateFormat=P","Fill=—","Direction=H","UseDPDF=Y")</f>
        <v>86.363</v>
      </c>
      <c r="P11" s="13">
        <f>_xll.BDH("ALNY US Equity","ARD_INVENTORY","FQ1 2022","FQ1 2022","Currency=USD","Period=FQ","BEST_FPERIOD_OVERRIDE=FQ","FILING_STATUS=MR","SCALING_FORMAT=MLN","Sort=A","Dates=H","DateFormat=P","Fill=—","Direction=H","UseDPDF=Y")</f>
        <v>78.516000000000005</v>
      </c>
      <c r="Q11" s="13">
        <f>_xll.BDH("ALNY US Equity","ARD_INVENTORY","FQ2 2022","FQ2 2022","Currency=USD","Period=FQ","BEST_FPERIOD_OVERRIDE=FQ","FILING_STATUS=MR","SCALING_FORMAT=MLN","Sort=A","Dates=H","DateFormat=P","Fill=—","Direction=H","UseDPDF=Y")</f>
        <v>88.975999999999999</v>
      </c>
      <c r="R11" s="13">
        <f>_xll.BDH("ALNY US Equity","ARD_INVENTORY","FQ3 2022","FQ3 2022","Currency=USD","Period=FQ","BEST_FPERIOD_OVERRIDE=FQ","FILING_STATUS=MR","SCALING_FORMAT=MLN","Sort=A","Dates=H","DateFormat=P","Fill=—","Direction=H","UseDPDF=Y")</f>
        <v>115.489</v>
      </c>
      <c r="S11" s="13">
        <f>_xll.BDH("ALNY US Equity","ARD_INVENTORY","FQ4 2022","FQ4 2022","Currency=USD","Period=FQ","BEST_FPERIOD_OVERRIDE=FQ","FILING_STATUS=MR","SCALING_FORMAT=MLN","Sort=A","Dates=H","DateFormat=P","Fill=—","Direction=H","UseDPDF=Y")</f>
        <v>128.96199999999999</v>
      </c>
      <c r="T11" s="13">
        <f>_xll.BDH("ALNY US Equity","ARD_INVENTORY","FQ1 2023","FQ1 2023","Currency=USD","Period=FQ","BEST_FPERIOD_OVERRIDE=FQ","FILING_STATUS=MR","SCALING_FORMAT=MLN","Sort=A","Dates=H","DateFormat=P","Fill=—","Direction=H","UseDPDF=Y")</f>
        <v>131.87899999999999</v>
      </c>
      <c r="U11" s="13">
        <f>_xll.BDH("ALNY US Equity","ARD_INVENTORY","FQ2 2023","FQ2 2023","Currency=USD","Period=FQ","BEST_FPERIOD_OVERRIDE=FQ","FILING_STATUS=MR","SCALING_FORMAT=MLN","Sort=A","Dates=H","DateFormat=P","Fill=—","Direction=H","UseDPDF=Y")</f>
        <v>100.453</v>
      </c>
      <c r="V11" s="13">
        <f>_xll.BDH("ALNY US Equity","ARD_INVENTORY","FQ3 2023","FQ3 2023","Currency=USD","Period=FQ","BEST_FPERIOD_OVERRIDE=FQ","FILING_STATUS=MR","SCALING_FORMAT=MLN","Sort=A","Dates=H","DateFormat=P","Fill=—","Direction=H","UseDPDF=Y")</f>
        <v>95.771000000000001</v>
      </c>
      <c r="W11" s="13">
        <f>_xll.BDH("ALNY US Equity","ARD_INVENTORY","FQ4 2023","FQ4 2023","Currency=USD","Period=FQ","BEST_FPERIOD_OVERRIDE=FQ","FILING_STATUS=MR","SCALING_FORMAT=MLN","Sort=A","Dates=H","DateFormat=P","Fill=—","Direction=H","UseDPDF=Y")</f>
        <v>89.146000000000001</v>
      </c>
      <c r="X11" s="13">
        <f>_xll.BDH("ALNY US Equity","ARD_INVENTORY","FQ1 2024","FQ1 2024","Currency=USD","Period=FQ","BEST_FPERIOD_OVERRIDE=FQ","FILING_STATUS=MR","SCALING_FORMAT=MLN","Sort=A","Dates=H","DateFormat=P","Fill=—","Direction=H","UseDPDF=Y")</f>
        <v>93.988</v>
      </c>
      <c r="Y11" s="13">
        <f>_xll.BDH("ALNY US Equity","ARD_INVENTORY","FQ2 2024","FQ2 2024","Currency=USD","Period=FQ","BEST_FPERIOD_OVERRIDE=FQ","FILING_STATUS=MR","SCALING_FORMAT=MLN","Sort=A","Dates=H","DateFormat=P","Fill=—","Direction=H","UseDPDF=Y")</f>
        <v>83.980999999999995</v>
      </c>
      <c r="Z11" s="13">
        <f>_xll.BDH("ALNY US Equity","ARD_INVENTORY","FQ3 2024","FQ3 2024","Currency=USD","Period=FQ","BEST_FPERIOD_OVERRIDE=FQ","FILING_STATUS=MR","SCALING_FORMAT=MLN","Sort=A","Dates=H","DateFormat=P","Fill=—","Direction=H","UseDPDF=Y")</f>
        <v>75.986999999999995</v>
      </c>
      <c r="AA11" s="13">
        <f>_xll.BDH("ALNY US Equity","ARD_INVENTORY","FQ4 2024","FQ4 2024","Currency=USD","Period=FQ","BEST_FPERIOD_OVERRIDE=FQ","FILING_STATUS=MR","SCALING_FORMAT=MLN","Sort=A","Dates=H","DateFormat=P","Fill=—","Direction=H","UseDPDF=Y")</f>
        <v>78.509</v>
      </c>
    </row>
    <row r="12" spans="1:27" x14ac:dyDescent="0.25">
      <c r="A12" s="10" t="s">
        <v>834</v>
      </c>
      <c r="B12" s="10" t="s">
        <v>835</v>
      </c>
      <c r="C12" s="13">
        <f>_xll.BDH("ALNY US Equity","ARD_PREPAID_EXP_AND_OTHER","FQ4 2018","FQ4 2018","Currency=USD","Period=FQ","BEST_FPERIOD_OVERRIDE=FQ","FILING_STATUS=MR","SCALING_FORMAT=MLN","Sort=A","Dates=H","DateFormat=P","Fill=—","Direction=H","UseDPDF=Y")</f>
        <v>73.712999999999994</v>
      </c>
      <c r="D12" s="13">
        <f>_xll.BDH("ALNY US Equity","ARD_PREPAID_EXP_AND_OTHER","FQ1 2019","FQ1 2019","Currency=USD","Period=FQ","BEST_FPERIOD_OVERRIDE=FQ","FILING_STATUS=MR","SCALING_FORMAT=MLN","Sort=A","Dates=H","DateFormat=P","Fill=—","Direction=H","UseDPDF=Y")</f>
        <v>81.674000000000007</v>
      </c>
      <c r="E12" s="13">
        <f>_xll.BDH("ALNY US Equity","ARD_PREPAID_EXP_AND_OTHER","FQ2 2019","FQ2 2019","Currency=USD","Period=FQ","BEST_FPERIOD_OVERRIDE=FQ","FILING_STATUS=MR","SCALING_FORMAT=MLN","Sort=A","Dates=H","DateFormat=P","Fill=—","Direction=H","UseDPDF=Y")</f>
        <v>65.616</v>
      </c>
      <c r="F12" s="13">
        <f>_xll.BDH("ALNY US Equity","ARD_PREPAID_EXP_AND_OTHER","FQ3 2019","FQ3 2019","Currency=USD","Period=FQ","BEST_FPERIOD_OVERRIDE=FQ","FILING_STATUS=MR","SCALING_FORMAT=MLN","Sort=A","Dates=H","DateFormat=P","Fill=—","Direction=H","UseDPDF=Y")</f>
        <v>73.536000000000001</v>
      </c>
      <c r="G12" s="13">
        <f>_xll.BDH("ALNY US Equity","ARD_PREPAID_EXP_AND_OTHER","FQ4 2019","FQ4 2019","Currency=USD","Period=FQ","BEST_FPERIOD_OVERRIDE=FQ","FILING_STATUS=MR","SCALING_FORMAT=MLN","Sort=A","Dates=H","DateFormat=P","Fill=—","Direction=H","UseDPDF=Y")</f>
        <v>80.343000000000004</v>
      </c>
      <c r="H12" s="13">
        <f>_xll.BDH("ALNY US Equity","ARD_PREPAID_EXP_AND_OTHER","FQ1 2020","FQ1 2020","Currency=USD","Period=FQ","BEST_FPERIOD_OVERRIDE=FQ","FILING_STATUS=MR","SCALING_FORMAT=MLN","Sort=A","Dates=H","DateFormat=P","Fill=—","Direction=H","UseDPDF=Y")</f>
        <v>98.697999999999993</v>
      </c>
      <c r="I12" s="13">
        <f>_xll.BDH("ALNY US Equity","ARD_PREPAID_EXP_AND_OTHER","FQ2 2020","FQ2 2020","Currency=USD","Period=FQ","BEST_FPERIOD_OVERRIDE=FQ","FILING_STATUS=MR","SCALING_FORMAT=MLN","Sort=A","Dates=H","DateFormat=P","Fill=—","Direction=H","UseDPDF=Y")</f>
        <v>88.349000000000004</v>
      </c>
      <c r="J12" s="13">
        <f>_xll.BDH("ALNY US Equity","ARD_PREPAID_EXP_AND_OTHER","FQ3 2020","FQ3 2020","Currency=USD","Period=FQ","BEST_FPERIOD_OVERRIDE=FQ","FILING_STATUS=MR","SCALING_FORMAT=MLN","Sort=A","Dates=H","DateFormat=P","Fill=—","Direction=H","UseDPDF=Y")</f>
        <v>74.766000000000005</v>
      </c>
      <c r="K12" s="13">
        <f>_xll.BDH("ALNY US Equity","ARD_PREPAID_EXP_AND_OTHER","FQ4 2020","FQ4 2020","Currency=USD","Period=FQ","BEST_FPERIOD_OVERRIDE=FQ","FILING_STATUS=MR","SCALING_FORMAT=MLN","Sort=A","Dates=H","DateFormat=P","Fill=—","Direction=H","UseDPDF=Y")</f>
        <v>62.767000000000003</v>
      </c>
      <c r="L12" s="13">
        <f>_xll.BDH("ALNY US Equity","ARD_PREPAID_EXP_AND_OTHER","FQ1 2021","FQ1 2021","Currency=USD","Period=FQ","BEST_FPERIOD_OVERRIDE=FQ","FILING_STATUS=MR","SCALING_FORMAT=MLN","Sort=A","Dates=H","DateFormat=P","Fill=—","Direction=H","UseDPDF=Y")</f>
        <v>75.98</v>
      </c>
      <c r="M12" s="13">
        <f>_xll.BDH("ALNY US Equity","ARD_PREPAID_EXP_AND_OTHER","FQ2 2021","FQ2 2021","Currency=USD","Period=FQ","BEST_FPERIOD_OVERRIDE=FQ","FILING_STATUS=MR","SCALING_FORMAT=MLN","Sort=A","Dates=H","DateFormat=P","Fill=—","Direction=H","UseDPDF=Y")</f>
        <v>94.135999999999996</v>
      </c>
      <c r="N12" s="13">
        <f>_xll.BDH("ALNY US Equity","ARD_PREPAID_EXP_AND_OTHER","FQ3 2021","FQ3 2021","Currency=USD","Period=FQ","BEST_FPERIOD_OVERRIDE=FQ","FILING_STATUS=MR","SCALING_FORMAT=MLN","Sort=A","Dates=H","DateFormat=P","Fill=—","Direction=H","UseDPDF=Y")</f>
        <v>108.53400000000001</v>
      </c>
      <c r="O12" s="13">
        <f>_xll.BDH("ALNY US Equity","ARD_PREPAID_EXP_AND_OTHER","FQ4 2021","FQ4 2021","Currency=USD","Period=FQ","BEST_FPERIOD_OVERRIDE=FQ","FILING_STATUS=MR","SCALING_FORMAT=MLN","Sort=A","Dates=H","DateFormat=P","Fill=—","Direction=H","UseDPDF=Y")</f>
        <v>88.078000000000003</v>
      </c>
      <c r="P12" s="13">
        <f>_xll.BDH("ALNY US Equity","ARD_PREPAID_EXP_AND_OTHER","FQ1 2022","FQ1 2022","Currency=USD","Period=FQ","BEST_FPERIOD_OVERRIDE=FQ","FILING_STATUS=MR","SCALING_FORMAT=MLN","Sort=A","Dates=H","DateFormat=P","Fill=—","Direction=H","UseDPDF=Y")</f>
        <v>115.065</v>
      </c>
      <c r="Q12" s="13">
        <f>_xll.BDH("ALNY US Equity","ARD_PREPAID_EXP_AND_OTHER","FQ2 2022","FQ2 2022","Currency=USD","Period=FQ","BEST_FPERIOD_OVERRIDE=FQ","FILING_STATUS=MR","SCALING_FORMAT=MLN","Sort=A","Dates=H","DateFormat=P","Fill=—","Direction=H","UseDPDF=Y")</f>
        <v>129.77799999999999</v>
      </c>
      <c r="R12" s="13">
        <f>_xll.BDH("ALNY US Equity","ARD_PREPAID_EXP_AND_OTHER","FQ3 2022","FQ3 2022","Currency=USD","Period=FQ","BEST_FPERIOD_OVERRIDE=FQ","FILING_STATUS=MR","SCALING_FORMAT=MLN","Sort=A","Dates=H","DateFormat=P","Fill=—","Direction=H","UseDPDF=Y")</f>
        <v>125.51600000000001</v>
      </c>
      <c r="S12" s="13">
        <f>_xll.BDH("ALNY US Equity","ARD_PREPAID_EXP_AND_OTHER","FQ4 2022","FQ4 2022","Currency=USD","Period=FQ","BEST_FPERIOD_OVERRIDE=FQ","FILING_STATUS=MR","SCALING_FORMAT=MLN","Sort=A","Dates=H","DateFormat=P","Fill=—","Direction=H","UseDPDF=Y")</f>
        <v>132.916</v>
      </c>
      <c r="T12" s="13">
        <f>_xll.BDH("ALNY US Equity","ARD_PREPAID_EXP_AND_OTHER","FQ1 2023","FQ1 2023","Currency=USD","Period=FQ","BEST_FPERIOD_OVERRIDE=FQ","FILING_STATUS=MR","SCALING_FORMAT=MLN","Sort=A","Dates=H","DateFormat=P","Fill=—","Direction=H","UseDPDF=Y")</f>
        <v>119.03</v>
      </c>
      <c r="U12" s="13">
        <f>_xll.BDH("ALNY US Equity","ARD_PREPAID_EXP_AND_OTHER","FQ2 2023","FQ2 2023","Currency=USD","Period=FQ","BEST_FPERIOD_OVERRIDE=FQ","FILING_STATUS=MR","SCALING_FORMAT=MLN","Sort=A","Dates=H","DateFormat=P","Fill=—","Direction=H","UseDPDF=Y")</f>
        <v>145.452</v>
      </c>
      <c r="V12" s="13">
        <f>_xll.BDH("ALNY US Equity","ARD_PREPAID_EXP_AND_OTHER","FQ3 2023","FQ3 2023","Currency=USD","Period=FQ","BEST_FPERIOD_OVERRIDE=FQ","FILING_STATUS=MR","SCALING_FORMAT=MLN","Sort=A","Dates=H","DateFormat=P","Fill=—","Direction=H","UseDPDF=Y")</f>
        <v>157.958</v>
      </c>
      <c r="W12" s="13">
        <f>_xll.BDH("ALNY US Equity","ARD_PREPAID_EXP_AND_OTHER","FQ4 2023","FQ4 2023","Currency=USD","Period=FQ","BEST_FPERIOD_OVERRIDE=FQ","FILING_STATUS=MR","SCALING_FORMAT=MLN","Sort=A","Dates=H","DateFormat=P","Fill=—","Direction=H","UseDPDF=Y")</f>
        <v>126.38200000000001</v>
      </c>
      <c r="X12" s="13">
        <f>_xll.BDH("ALNY US Equity","ARD_PREPAID_EXP_AND_OTHER","FQ1 2024","FQ1 2024","Currency=USD","Period=FQ","BEST_FPERIOD_OVERRIDE=FQ","FILING_STATUS=MR","SCALING_FORMAT=MLN","Sort=A","Dates=H","DateFormat=P","Fill=—","Direction=H","UseDPDF=Y")</f>
        <v>201.96</v>
      </c>
      <c r="Y12" s="13">
        <f>_xll.BDH("ALNY US Equity","ARD_PREPAID_EXP_AND_OTHER","FQ2 2024","FQ2 2024","Currency=USD","Period=FQ","BEST_FPERIOD_OVERRIDE=FQ","FILING_STATUS=MR","SCALING_FORMAT=MLN","Sort=A","Dates=H","DateFormat=P","Fill=—","Direction=H","UseDPDF=Y")</f>
        <v>154.745</v>
      </c>
      <c r="Z12" s="13">
        <f>_xll.BDH("ALNY US Equity","ARD_PREPAID_EXP_AND_OTHER","FQ3 2024","FQ3 2024","Currency=USD","Period=FQ","BEST_FPERIOD_OVERRIDE=FQ","FILING_STATUS=MR","SCALING_FORMAT=MLN","Sort=A","Dates=H","DateFormat=P","Fill=—","Direction=H","UseDPDF=Y")</f>
        <v>145.35</v>
      </c>
      <c r="AA12" s="13">
        <f>_xll.BDH("ALNY US Equity","ARD_PREPAID_EXP_AND_OTHER","FQ4 2024","FQ4 2024","Currency=USD","Period=FQ","BEST_FPERIOD_OVERRIDE=FQ","FILING_STATUS=MR","SCALING_FORMAT=MLN","Sort=A","Dates=H","DateFormat=P","Fill=—","Direction=H","UseDPDF=Y")</f>
        <v>116.964</v>
      </c>
    </row>
    <row r="13" spans="1:27" x14ac:dyDescent="0.25">
      <c r="A13" s="10" t="s">
        <v>836</v>
      </c>
      <c r="B13" s="10" t="s">
        <v>837</v>
      </c>
      <c r="C13" s="13" t="str">
        <f>_xll.BDH("ALNY US Equity","ARD_OTHER_CURRENT_ASSETS","FQ4 2018","FQ4 2018","Currency=USD","Period=FQ","BEST_FPERIOD_OVERRIDE=FQ","FILING_STATUS=MR","SCALING_FORMAT=MLN","Sort=A","Dates=H","DateFormat=P","Fill=—","Direction=H","UseDPDF=Y")</f>
        <v>—</v>
      </c>
      <c r="D13" s="13" t="str">
        <f>_xll.BDH("ALNY US Equity","ARD_OTHER_CURRENT_ASSETS","FQ1 2019","FQ1 2019","Currency=USD","Period=FQ","BEST_FPERIOD_OVERRIDE=FQ","FILING_STATUS=MR","SCALING_FORMAT=MLN","Sort=A","Dates=H","DateFormat=P","Fill=—","Direction=H","UseDPDF=Y")</f>
        <v>—</v>
      </c>
      <c r="E13" s="13" t="str">
        <f>_xll.BDH("ALNY US Equity","ARD_OTHER_CURRENT_ASSETS","FQ2 2019","FQ2 2019","Currency=USD","Period=FQ","BEST_FPERIOD_OVERRIDE=FQ","FILING_STATUS=MR","SCALING_FORMAT=MLN","Sort=A","Dates=H","DateFormat=P","Fill=—","Direction=H","UseDPDF=Y")</f>
        <v>—</v>
      </c>
      <c r="F13" s="13" t="str">
        <f>_xll.BDH("ALNY US Equity","ARD_OTHER_CURRENT_ASSETS","FQ3 2019","FQ3 2019","Currency=USD","Period=FQ","BEST_FPERIOD_OVERRIDE=FQ","FILING_STATUS=MR","SCALING_FORMAT=MLN","Sort=A","Dates=H","DateFormat=P","Fill=—","Direction=H","UseDPDF=Y")</f>
        <v>—</v>
      </c>
      <c r="G13" s="13" t="str">
        <f>_xll.BDH("ALNY US Equity","ARD_OTHER_CURRENT_ASSETS","FQ4 2019","FQ4 2019","Currency=USD","Period=FQ","BEST_FPERIOD_OVERRIDE=FQ","FILING_STATUS=MR","SCALING_FORMAT=MLN","Sort=A","Dates=H","DateFormat=P","Fill=—","Direction=H","UseDPDF=Y")</f>
        <v>—</v>
      </c>
      <c r="H13" s="13" t="str">
        <f>_xll.BDH("ALNY US Equity","ARD_OTHER_CURRENT_ASSETS","FQ1 2020","FQ1 2020","Currency=USD","Period=FQ","BEST_FPERIOD_OVERRIDE=FQ","FILING_STATUS=MR","SCALING_FORMAT=MLN","Sort=A","Dates=H","DateFormat=P","Fill=—","Direction=H","UseDPDF=Y")</f>
        <v>—</v>
      </c>
      <c r="I13" s="13" t="str">
        <f>_xll.BDH("ALNY US Equity","ARD_OTHER_CURRENT_ASSETS","FQ2 2020","FQ2 2020","Currency=USD","Period=FQ","BEST_FPERIOD_OVERRIDE=FQ","FILING_STATUS=MR","SCALING_FORMAT=MLN","Sort=A","Dates=H","DateFormat=P","Fill=—","Direction=H","UseDPDF=Y")</f>
        <v>—</v>
      </c>
      <c r="J13" s="13">
        <f>_xll.BDH("ALNY US Equity","ARD_OTHER_CURRENT_ASSETS","FQ3 2020","FQ3 2020","Currency=USD","Period=FQ","BEST_FPERIOD_OVERRIDE=FQ","FILING_STATUS=MR","SCALING_FORMAT=MLN","Sort=A","Dates=H","DateFormat=P","Fill=—","Direction=H","UseDPDF=Y")</f>
        <v>500</v>
      </c>
      <c r="K13" s="13">
        <f>_xll.BDH("ALNY US Equity","ARD_OTHER_CURRENT_ASSETS","FQ4 2020","FQ4 2020","Currency=USD","Period=FQ","BEST_FPERIOD_OVERRIDE=FQ","FILING_STATUS=MR","SCALING_FORMAT=MLN","Sort=A","Dates=H","DateFormat=P","Fill=—","Direction=H","UseDPDF=Y")</f>
        <v>500</v>
      </c>
      <c r="L13" s="13">
        <f>_xll.BDH("ALNY US Equity","ARD_OTHER_CURRENT_ASSETS","FQ1 2021","FQ1 2021","Currency=USD","Period=FQ","BEST_FPERIOD_OVERRIDE=FQ","FILING_STATUS=MR","SCALING_FORMAT=MLN","Sort=A","Dates=H","DateFormat=P","Fill=—","Direction=H","UseDPDF=Y")</f>
        <v>500</v>
      </c>
      <c r="M13" s="13">
        <f>_xll.BDH("ALNY US Equity","ARD_OTHER_CURRENT_ASSETS","FQ2 2021","FQ2 2021","Currency=USD","Period=FQ","BEST_FPERIOD_OVERRIDE=FQ","FILING_STATUS=MR","SCALING_FORMAT=MLN","Sort=A","Dates=H","DateFormat=P","Fill=—","Direction=H","UseDPDF=Y")</f>
        <v>500</v>
      </c>
      <c r="N13" s="13">
        <f>_xll.BDH("ALNY US Equity","ARD_OTHER_CURRENT_ASSETS","FQ3 2021","FQ3 2021","Currency=USD","Period=FQ","BEST_FPERIOD_OVERRIDE=FQ","FILING_STATUS=MR","SCALING_FORMAT=MLN","Sort=A","Dates=H","DateFormat=P","Fill=—","Direction=H","UseDPDF=Y")</f>
        <v>0</v>
      </c>
      <c r="O13" s="13">
        <f>_xll.BDH("ALNY US Equity","ARD_OTHER_CURRENT_ASSETS","FQ4 2021","FQ4 2021","Currency=USD","Period=FQ","BEST_FPERIOD_OVERRIDE=FQ","FILING_STATUS=MR","SCALING_FORMAT=MLN","Sort=A","Dates=H","DateFormat=P","Fill=—","Direction=H","UseDPDF=Y")</f>
        <v>0</v>
      </c>
      <c r="P13" s="13" t="str">
        <f>_xll.BDH("ALNY US Equity","ARD_OTHER_CURRENT_ASSETS","FQ1 2022","FQ1 2022","Currency=USD","Period=FQ","BEST_FPERIOD_OVERRIDE=FQ","FILING_STATUS=MR","SCALING_FORMAT=MLN","Sort=A","Dates=H","DateFormat=P","Fill=—","Direction=H","UseDPDF=Y")</f>
        <v>—</v>
      </c>
      <c r="Q13" s="13" t="str">
        <f>_xll.BDH("ALNY US Equity","ARD_OTHER_CURRENT_ASSETS","FQ2 2022","FQ2 2022","Currency=USD","Period=FQ","BEST_FPERIOD_OVERRIDE=FQ","FILING_STATUS=MR","SCALING_FORMAT=MLN","Sort=A","Dates=H","DateFormat=P","Fill=—","Direction=H","UseDPDF=Y")</f>
        <v>—</v>
      </c>
      <c r="R13" s="13" t="str">
        <f>_xll.BDH("ALNY US Equity","ARD_OTHER_CURRENT_ASSETS","FQ3 2022","FQ3 2022","Currency=USD","Period=FQ","BEST_FPERIOD_OVERRIDE=FQ","FILING_STATUS=MR","SCALING_FORMAT=MLN","Sort=A","Dates=H","DateFormat=P","Fill=—","Direction=H","UseDPDF=Y")</f>
        <v>—</v>
      </c>
      <c r="S13" s="13" t="str">
        <f>_xll.BDH("ALNY US Equity","ARD_OTHER_CURRENT_ASSETS","FQ4 2022","FQ4 2022","Currency=USD","Period=FQ","BEST_FPERIOD_OVERRIDE=FQ","FILING_STATUS=MR","SCALING_FORMAT=MLN","Sort=A","Dates=H","DateFormat=P","Fill=—","Direction=H","UseDPDF=Y")</f>
        <v>—</v>
      </c>
      <c r="T13" s="13" t="str">
        <f>_xll.BDH("ALNY US Equity","ARD_OTHER_CURRENT_ASSETS","FQ1 2023","FQ1 2023","Currency=USD","Period=FQ","BEST_FPERIOD_OVERRIDE=FQ","FILING_STATUS=MR","SCALING_FORMAT=MLN","Sort=A","Dates=H","DateFormat=P","Fill=—","Direction=H","UseDPDF=Y")</f>
        <v>—</v>
      </c>
      <c r="U13" s="13" t="str">
        <f>_xll.BDH("ALNY US Equity","ARD_OTHER_CURRENT_ASSETS","FQ2 2023","FQ2 2023","Currency=USD","Period=FQ","BEST_FPERIOD_OVERRIDE=FQ","FILING_STATUS=MR","SCALING_FORMAT=MLN","Sort=A","Dates=H","DateFormat=P","Fill=—","Direction=H","UseDPDF=Y")</f>
        <v>—</v>
      </c>
      <c r="V13" s="13" t="str">
        <f>_xll.BDH("ALNY US Equity","ARD_OTHER_CURRENT_ASSETS","FQ3 2023","FQ3 2023","Currency=USD","Period=FQ","BEST_FPERIOD_OVERRIDE=FQ","FILING_STATUS=MR","SCALING_FORMAT=MLN","Sort=A","Dates=H","DateFormat=P","Fill=—","Direction=H","UseDPDF=Y")</f>
        <v>—</v>
      </c>
      <c r="W13" s="13" t="str">
        <f>_xll.BDH("ALNY US Equity","ARD_OTHER_CURRENT_ASSETS","FQ4 2023","FQ4 2023","Currency=USD","Period=FQ","BEST_FPERIOD_OVERRIDE=FQ","FILING_STATUS=MR","SCALING_FORMAT=MLN","Sort=A","Dates=H","DateFormat=P","Fill=—","Direction=H","UseDPDF=Y")</f>
        <v>—</v>
      </c>
      <c r="X13" s="13" t="str">
        <f>_xll.BDH("ALNY US Equity","ARD_OTHER_CURRENT_ASSETS","FQ1 2024","FQ1 2024","Currency=USD","Period=FQ","BEST_FPERIOD_OVERRIDE=FQ","FILING_STATUS=MR","SCALING_FORMAT=MLN","Sort=A","Dates=H","DateFormat=P","Fill=—","Direction=H","UseDPDF=Y")</f>
        <v>—</v>
      </c>
      <c r="Y13" s="13" t="str">
        <f>_xll.BDH("ALNY US Equity","ARD_OTHER_CURRENT_ASSETS","FQ2 2024","FQ2 2024","Currency=USD","Period=FQ","BEST_FPERIOD_OVERRIDE=FQ","FILING_STATUS=MR","SCALING_FORMAT=MLN","Sort=A","Dates=H","DateFormat=P","Fill=—","Direction=H","UseDPDF=Y")</f>
        <v>—</v>
      </c>
      <c r="Z13" s="13" t="str">
        <f>_xll.BDH("ALNY US Equity","ARD_OTHER_CURRENT_ASSETS","FQ3 2024","FQ3 2024","Currency=USD","Period=FQ","BEST_FPERIOD_OVERRIDE=FQ","FILING_STATUS=MR","SCALING_FORMAT=MLN","Sort=A","Dates=H","DateFormat=P","Fill=—","Direction=H","UseDPDF=Y")</f>
        <v>—</v>
      </c>
      <c r="AA13" s="13" t="str">
        <f>_xll.BDH("ALNY US Equity","ARD_OTHER_CURRENT_ASSETS","FQ4 2024","FQ4 2024","Currency=USD","Period=FQ","BEST_FPERIOD_OVERRIDE=FQ","FILING_STATUS=MR","SCALING_FORMAT=MLN","Sort=A","Dates=H","DateFormat=P","Fill=—","Direction=H","UseDPDF=Y")</f>
        <v>—</v>
      </c>
    </row>
    <row r="14" spans="1:27" x14ac:dyDescent="0.25">
      <c r="A14" s="6" t="s">
        <v>110</v>
      </c>
      <c r="B14" s="6" t="s">
        <v>838</v>
      </c>
      <c r="C14" s="19">
        <f>_xll.BDH("ALNY US Equity","ARD_TOTAL_CUR_ASSETS","FQ4 2018","FQ4 2018","Currency=USD","Period=FQ","BEST_FPERIOD_OVERRIDE=FQ","FILING_STATUS=MR","SCALING_FORMAT=MLN","Sort=A","Dates=H","DateFormat=P","Fill=—","Direction=H","UseDPDF=Y")</f>
        <v>1200.6959999999999</v>
      </c>
      <c r="D14" s="19">
        <f>_xll.BDH("ALNY US Equity","ARD_TOTAL_CUR_ASSETS","FQ1 2019","FQ1 2019","Currency=USD","Period=FQ","BEST_FPERIOD_OVERRIDE=FQ","FILING_STATUS=MR","SCALING_FORMAT=MLN","Sort=A","Dates=H","DateFormat=P","Fill=—","Direction=H","UseDPDF=Y")</f>
        <v>1392.0129999999999</v>
      </c>
      <c r="E14" s="19">
        <f>_xll.BDH("ALNY US Equity","ARD_TOTAL_CUR_ASSETS","FQ2 2019","FQ2 2019","Currency=USD","Period=FQ","BEST_FPERIOD_OVERRIDE=FQ","FILING_STATUS=MR","SCALING_FORMAT=MLN","Sort=A","Dates=H","DateFormat=P","Fill=—","Direction=H","UseDPDF=Y")</f>
        <v>2063.7730000000001</v>
      </c>
      <c r="F14" s="19">
        <f>_xll.BDH("ALNY US Equity","ARD_TOTAL_CUR_ASSETS","FQ3 2019","FQ3 2019","Currency=USD","Period=FQ","BEST_FPERIOD_OVERRIDE=FQ","FILING_STATUS=MR","SCALING_FORMAT=MLN","Sort=A","Dates=H","DateFormat=P","Fill=—","Direction=H","UseDPDF=Y")</f>
        <v>1897.2650000000001</v>
      </c>
      <c r="G14" s="19">
        <f>_xll.BDH("ALNY US Equity","ARD_TOTAL_CUR_ASSETS","FQ4 2019","FQ4 2019","Currency=USD","Period=FQ","BEST_FPERIOD_OVERRIDE=FQ","FILING_STATUS=MR","SCALING_FORMAT=MLN","Sort=A","Dates=H","DateFormat=P","Fill=—","Direction=H","UseDPDF=Y")</f>
        <v>1715.864</v>
      </c>
      <c r="H14" s="19">
        <f>_xll.BDH("ALNY US Equity","ARD_TOTAL_CUR_ASSETS","FQ1 2020","FQ1 2020","Currency=USD","Period=FQ","BEST_FPERIOD_OVERRIDE=FQ","FILING_STATUS=MR","SCALING_FORMAT=MLN","Sort=A","Dates=H","DateFormat=P","Fill=—","Direction=H","UseDPDF=Y")</f>
        <v>1584.7729999999999</v>
      </c>
      <c r="I14" s="19">
        <f>_xll.BDH("ALNY US Equity","ARD_TOTAL_CUR_ASSETS","FQ2 2020","FQ2 2020","Currency=USD","Period=FQ","BEST_FPERIOD_OVERRIDE=FQ","FILING_STATUS=MR","SCALING_FORMAT=MLN","Sort=A","Dates=H","DateFormat=P","Fill=—","Direction=H","UseDPDF=Y")</f>
        <v>2160.4459999999999</v>
      </c>
      <c r="J14" s="19">
        <f>_xll.BDH("ALNY US Equity","ARD_TOTAL_CUR_ASSETS","FQ3 2020","FQ3 2020","Currency=USD","Period=FQ","BEST_FPERIOD_OVERRIDE=FQ","FILING_STATUS=MR","SCALING_FORMAT=MLN","Sort=A","Dates=H","DateFormat=P","Fill=—","Direction=H","UseDPDF=Y")</f>
        <v>2554.7020000000002</v>
      </c>
      <c r="K14" s="19">
        <f>_xll.BDH("ALNY US Equity","ARD_TOTAL_CUR_ASSETS","FQ4 2020","FQ4 2020","Currency=USD","Period=FQ","BEST_FPERIOD_OVERRIDE=FQ","FILING_STATUS=MR","SCALING_FORMAT=MLN","Sort=A","Dates=H","DateFormat=P","Fill=—","Direction=H","UseDPDF=Y")</f>
        <v>2614.777</v>
      </c>
      <c r="L14" s="19">
        <f>_xll.BDH("ALNY US Equity","ARD_TOTAL_CUR_ASSETS","FQ1 2021","FQ1 2021","Currency=USD","Period=FQ","BEST_FPERIOD_OVERRIDE=FQ","FILING_STATUS=MR","SCALING_FORMAT=MLN","Sort=A","Dates=H","DateFormat=P","Fill=—","Direction=H","UseDPDF=Y")</f>
        <v>2470.0830000000001</v>
      </c>
      <c r="M14" s="19">
        <f>_xll.BDH("ALNY US Equity","ARD_TOTAL_CUR_ASSETS","FQ2 2021","FQ2 2021","Currency=USD","Period=FQ","BEST_FPERIOD_OVERRIDE=FQ","FILING_STATUS=MR","SCALING_FORMAT=MLN","Sort=A","Dates=H","DateFormat=P","Fill=—","Direction=H","UseDPDF=Y")</f>
        <v>2725.163</v>
      </c>
      <c r="N14" s="19">
        <f>_xll.BDH("ALNY US Equity","ARD_TOTAL_CUR_ASSETS","FQ3 2021","FQ3 2021","Currency=USD","Period=FQ","BEST_FPERIOD_OVERRIDE=FQ","FILING_STATUS=MR","SCALING_FORMAT=MLN","Sort=A","Dates=H","DateFormat=P","Fill=—","Direction=H","UseDPDF=Y")</f>
        <v>2675.3620000000001</v>
      </c>
      <c r="O14" s="19">
        <f>_xll.BDH("ALNY US Equity","ARD_TOTAL_CUR_ASSETS","FQ4 2021","FQ4 2021","Currency=USD","Period=FQ","BEST_FPERIOD_OVERRIDE=FQ","FILING_STATUS=MR","SCALING_FORMAT=MLN","Sort=A","Dates=H","DateFormat=P","Fill=—","Direction=H","UseDPDF=Y")</f>
        <v>2808.576</v>
      </c>
      <c r="P14" s="19">
        <f>_xll.BDH("ALNY US Equity","ARD_TOTAL_CUR_ASSETS","FQ1 2022","FQ1 2022","Currency=USD","Period=FQ","BEST_FPERIOD_OVERRIDE=FQ","FILING_STATUS=MR","SCALING_FORMAT=MLN","Sort=A","Dates=H","DateFormat=P","Fill=—","Direction=H","UseDPDF=Y")</f>
        <v>2589.6770000000001</v>
      </c>
      <c r="Q14" s="19">
        <f>_xll.BDH("ALNY US Equity","ARD_TOTAL_CUR_ASSETS","FQ2 2022","FQ2 2022","Currency=USD","Period=FQ","BEST_FPERIOD_OVERRIDE=FQ","FILING_STATUS=MR","SCALING_FORMAT=MLN","Sort=A","Dates=H","DateFormat=P","Fill=—","Direction=H","UseDPDF=Y")</f>
        <v>2471.6379999999999</v>
      </c>
      <c r="R14" s="19">
        <f>_xll.BDH("ALNY US Equity","ARD_TOTAL_CUR_ASSETS","FQ3 2022","FQ3 2022","Currency=USD","Period=FQ","BEST_FPERIOD_OVERRIDE=FQ","FILING_STATUS=MR","SCALING_FORMAT=MLN","Sort=A","Dates=H","DateFormat=P","Fill=—","Direction=H","UseDPDF=Y")</f>
        <v>2690.8470000000002</v>
      </c>
      <c r="S14" s="19">
        <f>_xll.BDH("ALNY US Equity","ARD_TOTAL_CUR_ASSETS","FQ4 2022","FQ4 2022","Currency=USD","Period=FQ","BEST_FPERIOD_OVERRIDE=FQ","FILING_STATUS=MR","SCALING_FORMAT=MLN","Sort=A","Dates=H","DateFormat=P","Fill=—","Direction=H","UseDPDF=Y")</f>
        <v>2692.2469999999998</v>
      </c>
      <c r="T14" s="19">
        <f>_xll.BDH("ALNY US Equity","ARD_TOTAL_CUR_ASSETS","FQ1 2023","FQ1 2023","Currency=USD","Period=FQ","BEST_FPERIOD_OVERRIDE=FQ","FILING_STATUS=MR","SCALING_FORMAT=MLN","Sort=A","Dates=H","DateFormat=P","Fill=—","Direction=H","UseDPDF=Y")</f>
        <v>2541.018</v>
      </c>
      <c r="U14" s="19">
        <f>_xll.BDH("ALNY US Equity","ARD_TOTAL_CUR_ASSETS","FQ2 2023","FQ2 2023","Currency=USD","Period=FQ","BEST_FPERIOD_OVERRIDE=FQ","FILING_STATUS=MR","SCALING_FORMAT=MLN","Sort=A","Dates=H","DateFormat=P","Fill=—","Direction=H","UseDPDF=Y")</f>
        <v>2524.047</v>
      </c>
      <c r="V14" s="19">
        <f>_xll.BDH("ALNY US Equity","ARD_TOTAL_CUR_ASSETS","FQ3 2023","FQ3 2023","Currency=USD","Period=FQ","BEST_FPERIOD_OVERRIDE=FQ","FILING_STATUS=MR","SCALING_FORMAT=MLN","Sort=A","Dates=H","DateFormat=P","Fill=—","Direction=H","UseDPDF=Y")</f>
        <v>2985.4520000000002</v>
      </c>
      <c r="W14" s="19">
        <f>_xll.BDH("ALNY US Equity","ARD_TOTAL_CUR_ASSETS","FQ4 2023","FQ4 2023","Currency=USD","Period=FQ","BEST_FPERIOD_OVERRIDE=FQ","FILING_STATUS=MR","SCALING_FORMAT=MLN","Sort=A","Dates=H","DateFormat=P","Fill=—","Direction=H","UseDPDF=Y")</f>
        <v>2982.6970000000001</v>
      </c>
      <c r="X14" s="19">
        <f>_xll.BDH("ALNY US Equity","ARD_TOTAL_CUR_ASSETS","FQ1 2024","FQ1 2024","Currency=USD","Period=FQ","BEST_FPERIOD_OVERRIDE=FQ","FILING_STATUS=MR","SCALING_FORMAT=MLN","Sort=A","Dates=H","DateFormat=P","Fill=—","Direction=H","UseDPDF=Y")</f>
        <v>2988.607</v>
      </c>
      <c r="Y14" s="19">
        <f>_xll.BDH("ALNY US Equity","ARD_TOTAL_CUR_ASSETS","FQ2 2024","FQ2 2024","Currency=USD","Period=FQ","BEST_FPERIOD_OVERRIDE=FQ","FILING_STATUS=MR","SCALING_FORMAT=MLN","Sort=A","Dates=H","DateFormat=P","Fill=—","Direction=H","UseDPDF=Y")</f>
        <v>3172.8560000000002</v>
      </c>
      <c r="Z14" s="19">
        <f>_xll.BDH("ALNY US Equity","ARD_TOTAL_CUR_ASSETS","FQ3 2024","FQ3 2024","Currency=USD","Period=FQ","BEST_FPERIOD_OVERRIDE=FQ","FILING_STATUS=MR","SCALING_FORMAT=MLN","Sort=A","Dates=H","DateFormat=P","Fill=—","Direction=H","UseDPDF=Y")</f>
        <v>3355.424</v>
      </c>
      <c r="AA14" s="19">
        <f>_xll.BDH("ALNY US Equity","ARD_TOTAL_CUR_ASSETS","FQ4 2024","FQ4 2024","Currency=USD","Period=FQ","BEST_FPERIOD_OVERRIDE=FQ","FILING_STATUS=MR","SCALING_FORMAT=MLN","Sort=A","Dates=H","DateFormat=P","Fill=—","Direction=H","UseDPDF=Y")</f>
        <v>3295.2849999999999</v>
      </c>
    </row>
    <row r="15" spans="1:27" x14ac:dyDescent="0.25">
      <c r="A15" s="10" t="s">
        <v>839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0" t="s">
        <v>840</v>
      </c>
      <c r="B16" s="10" t="s">
        <v>841</v>
      </c>
      <c r="C16" s="13">
        <f>_xll.BDH("ALNY US Equity","ARD_NON_CUR_MKT_SEC","FQ4 2018","FQ4 2018","Currency=USD","Period=FQ","BEST_FPERIOD_OVERRIDE=FQ","FILING_STATUS=MR","SCALING_FORMAT=MLN","Sort=A","Dates=H","DateFormat=P","Fill=—","Direction=H","UseDPDF=Y")</f>
        <v>0</v>
      </c>
      <c r="D16" s="13" t="str">
        <f>_xll.BDH("ALNY US Equity","ARD_NON_CUR_MKT_SEC","FQ1 2019","FQ1 2019","Currency=USD","Period=FQ","BEST_FPERIOD_OVERRIDE=FQ","FILING_STATUS=MR","SCALING_FORMAT=MLN","Sort=A","Dates=H","DateFormat=P","Fill=—","Direction=H","UseDPDF=Y")</f>
        <v>—</v>
      </c>
      <c r="E16" s="13" t="str">
        <f>_xll.BDH("ALNY US Equity","ARD_NON_CUR_MKT_SEC","FQ2 2019","FQ2 2019","Currency=USD","Period=FQ","BEST_FPERIOD_OVERRIDE=FQ","FILING_STATUS=MR","SCALING_FORMAT=MLN","Sort=A","Dates=H","DateFormat=P","Fill=—","Direction=H","UseDPDF=Y")</f>
        <v>—</v>
      </c>
      <c r="F16" s="13" t="str">
        <f>_xll.BDH("ALNY US Equity","ARD_NON_CUR_MKT_SEC","FQ3 2019","FQ3 2019","Currency=USD","Period=FQ","BEST_FPERIOD_OVERRIDE=FQ","FILING_STATUS=MR","SCALING_FORMAT=MLN","Sort=A","Dates=H","DateFormat=P","Fill=—","Direction=H","UseDPDF=Y")</f>
        <v>—</v>
      </c>
      <c r="G16" s="13" t="str">
        <f>_xll.BDH("ALNY US Equity","ARD_NON_CUR_MKT_SEC","FQ4 2019","FQ4 2019","Currency=USD","Period=FQ","BEST_FPERIOD_OVERRIDE=FQ","FILING_STATUS=MR","SCALING_FORMAT=MLN","Sort=A","Dates=H","DateFormat=P","Fill=—","Direction=H","UseDPDF=Y")</f>
        <v>—</v>
      </c>
      <c r="H16" s="13" t="str">
        <f>_xll.BDH("ALNY US Equity","ARD_NON_CUR_MKT_SEC","FQ1 2020","FQ1 2020","Currency=USD","Period=FQ","BEST_FPERIOD_OVERRIDE=FQ","FILING_STATUS=MR","SCALING_FORMAT=MLN","Sort=A","Dates=H","DateFormat=P","Fill=—","Direction=H","UseDPDF=Y")</f>
        <v>—</v>
      </c>
      <c r="I16" s="13" t="str">
        <f>_xll.BDH("ALNY US Equity","ARD_NON_CUR_MKT_SEC","FQ2 2020","FQ2 2020","Currency=USD","Period=FQ","BEST_FPERIOD_OVERRIDE=FQ","FILING_STATUS=MR","SCALING_FORMAT=MLN","Sort=A","Dates=H","DateFormat=P","Fill=—","Direction=H","UseDPDF=Y")</f>
        <v>—</v>
      </c>
      <c r="J16" s="13" t="str">
        <f>_xll.BDH("ALNY US Equity","ARD_NON_CUR_MKT_SEC","FQ3 2020","FQ3 2020","Currency=USD","Period=FQ","BEST_FPERIOD_OVERRIDE=FQ","FILING_STATUS=MR","SCALING_FORMAT=MLN","Sort=A","Dates=H","DateFormat=P","Fill=—","Direction=H","UseDPDF=Y")</f>
        <v>—</v>
      </c>
      <c r="K16" s="13" t="str">
        <f>_xll.BDH("ALNY US Equity","ARD_NON_CUR_MKT_SEC","FQ4 2020","FQ4 2020","Currency=USD","Period=FQ","BEST_FPERIOD_OVERRIDE=FQ","FILING_STATUS=MR","SCALING_FORMAT=MLN","Sort=A","Dates=H","DateFormat=P","Fill=—","Direction=H","UseDPDF=Y")</f>
        <v>—</v>
      </c>
      <c r="L16" s="13" t="str">
        <f>_xll.BDH("ALNY US Equity","ARD_NON_CUR_MKT_SEC","FQ1 2021","FQ1 2021","Currency=USD","Period=FQ","BEST_FPERIOD_OVERRIDE=FQ","FILING_STATUS=MR","SCALING_FORMAT=MLN","Sort=A","Dates=H","DateFormat=P","Fill=—","Direction=H","UseDPDF=Y")</f>
        <v>—</v>
      </c>
      <c r="M16" s="13" t="str">
        <f>_xll.BDH("ALNY US Equity","ARD_NON_CUR_MKT_SEC","FQ2 2021","FQ2 2021","Currency=USD","Period=FQ","BEST_FPERIOD_OVERRIDE=FQ","FILING_STATUS=MR","SCALING_FORMAT=MLN","Sort=A","Dates=H","DateFormat=P","Fill=—","Direction=H","UseDPDF=Y")</f>
        <v>—</v>
      </c>
      <c r="N16" s="13" t="str">
        <f>_xll.BDH("ALNY US Equity","ARD_NON_CUR_MKT_SEC","FQ3 2021","FQ3 2021","Currency=USD","Period=FQ","BEST_FPERIOD_OVERRIDE=FQ","FILING_STATUS=MR","SCALING_FORMAT=MLN","Sort=A","Dates=H","DateFormat=P","Fill=—","Direction=H","UseDPDF=Y")</f>
        <v>—</v>
      </c>
      <c r="O16" s="13" t="str">
        <f>_xll.BDH("ALNY US Equity","ARD_NON_CUR_MKT_SEC","FQ4 2021","FQ4 2021","Currency=USD","Period=FQ","BEST_FPERIOD_OVERRIDE=FQ","FILING_STATUS=MR","SCALING_FORMAT=MLN","Sort=A","Dates=H","DateFormat=P","Fill=—","Direction=H","UseDPDF=Y")</f>
        <v>—</v>
      </c>
      <c r="P16" s="13" t="str">
        <f>_xll.BDH("ALNY US Equity","ARD_NON_CUR_MKT_SEC","FQ1 2022","FQ1 2022","Currency=USD","Period=FQ","BEST_FPERIOD_OVERRIDE=FQ","FILING_STATUS=MR","SCALING_FORMAT=MLN","Sort=A","Dates=H","DateFormat=P","Fill=—","Direction=H","UseDPDF=Y")</f>
        <v>—</v>
      </c>
      <c r="Q16" s="13" t="str">
        <f>_xll.BDH("ALNY US Equity","ARD_NON_CUR_MKT_SEC","FQ2 2022","FQ2 2022","Currency=USD","Period=FQ","BEST_FPERIOD_OVERRIDE=FQ","FILING_STATUS=MR","SCALING_FORMAT=MLN","Sort=A","Dates=H","DateFormat=P","Fill=—","Direction=H","UseDPDF=Y")</f>
        <v>—</v>
      </c>
      <c r="R16" s="13" t="str">
        <f>_xll.BDH("ALNY US Equity","ARD_NON_CUR_MKT_SEC","FQ3 2022","FQ3 2022","Currency=USD","Period=FQ","BEST_FPERIOD_OVERRIDE=FQ","FILING_STATUS=MR","SCALING_FORMAT=MLN","Sort=A","Dates=H","DateFormat=P","Fill=—","Direction=H","UseDPDF=Y")</f>
        <v>—</v>
      </c>
      <c r="S16" s="13" t="str">
        <f>_xll.BDH("ALNY US Equity","ARD_NON_CUR_MKT_SEC","FQ4 2022","FQ4 2022","Currency=USD","Period=FQ","BEST_FPERIOD_OVERRIDE=FQ","FILING_STATUS=MR","SCALING_FORMAT=MLN","Sort=A","Dates=H","DateFormat=P","Fill=—","Direction=H","UseDPDF=Y")</f>
        <v>—</v>
      </c>
      <c r="T16" s="13" t="str">
        <f>_xll.BDH("ALNY US Equity","ARD_NON_CUR_MKT_SEC","FQ1 2023","FQ1 2023","Currency=USD","Period=FQ","BEST_FPERIOD_OVERRIDE=FQ","FILING_STATUS=MR","SCALING_FORMAT=MLN","Sort=A","Dates=H","DateFormat=P","Fill=—","Direction=H","UseDPDF=Y")</f>
        <v>—</v>
      </c>
      <c r="U16" s="13" t="str">
        <f>_xll.BDH("ALNY US Equity","ARD_NON_CUR_MKT_SEC","FQ2 2023","FQ2 2023","Currency=USD","Period=FQ","BEST_FPERIOD_OVERRIDE=FQ","FILING_STATUS=MR","SCALING_FORMAT=MLN","Sort=A","Dates=H","DateFormat=P","Fill=—","Direction=H","UseDPDF=Y")</f>
        <v>—</v>
      </c>
      <c r="V16" s="13" t="str">
        <f>_xll.BDH("ALNY US Equity","ARD_NON_CUR_MKT_SEC","FQ3 2023","FQ3 2023","Currency=USD","Period=FQ","BEST_FPERIOD_OVERRIDE=FQ","FILING_STATUS=MR","SCALING_FORMAT=MLN","Sort=A","Dates=H","DateFormat=P","Fill=—","Direction=H","UseDPDF=Y")</f>
        <v>—</v>
      </c>
      <c r="W16" s="13" t="str">
        <f>_xll.BDH("ALNY US Equity","ARD_NON_CUR_MKT_SEC","FQ4 2023","FQ4 2023","Currency=USD","Period=FQ","BEST_FPERIOD_OVERRIDE=FQ","FILING_STATUS=MR","SCALING_FORMAT=MLN","Sort=A","Dates=H","DateFormat=P","Fill=—","Direction=H","UseDPDF=Y")</f>
        <v>—</v>
      </c>
      <c r="X16" s="13" t="str">
        <f>_xll.BDH("ALNY US Equity","ARD_NON_CUR_MKT_SEC","FQ1 2024","FQ1 2024","Currency=USD","Period=FQ","BEST_FPERIOD_OVERRIDE=FQ","FILING_STATUS=MR","SCALING_FORMAT=MLN","Sort=A","Dates=H","DateFormat=P","Fill=—","Direction=H","UseDPDF=Y")</f>
        <v>—</v>
      </c>
      <c r="Y16" s="13" t="str">
        <f>_xll.BDH("ALNY US Equity","ARD_NON_CUR_MKT_SEC","FQ2 2024","FQ2 2024","Currency=USD","Period=FQ","BEST_FPERIOD_OVERRIDE=FQ","FILING_STATUS=MR","SCALING_FORMAT=MLN","Sort=A","Dates=H","DateFormat=P","Fill=—","Direction=H","UseDPDF=Y")</f>
        <v>—</v>
      </c>
      <c r="Z16" s="13" t="str">
        <f>_xll.BDH("ALNY US Equity","ARD_NON_CUR_MKT_SEC","FQ3 2024","FQ3 2024","Currency=USD","Period=FQ","BEST_FPERIOD_OVERRIDE=FQ","FILING_STATUS=MR","SCALING_FORMAT=MLN","Sort=A","Dates=H","DateFormat=P","Fill=—","Direction=H","UseDPDF=Y")</f>
        <v>—</v>
      </c>
      <c r="AA16" s="13" t="str">
        <f>_xll.BDH("ALNY US Equity","ARD_NON_CUR_MKT_SEC","FQ4 2024","FQ4 2024","Currency=USD","Period=FQ","BEST_FPERIOD_OVERRIDE=FQ","FILING_STATUS=MR","SCALING_FORMAT=MLN","Sort=A","Dates=H","DateFormat=P","Fill=—","Direction=H","UseDPDF=Y")</f>
        <v>—</v>
      </c>
    </row>
    <row r="17" spans="1:27" x14ac:dyDescent="0.25">
      <c r="A17" s="10" t="s">
        <v>842</v>
      </c>
      <c r="B17" s="10" t="s">
        <v>843</v>
      </c>
      <c r="C17" s="13">
        <f>_xll.BDH("ALNY US Equity","ARD_PROPERTY_PLANT_EQUIP_NET","FQ4 2018","FQ4 2018","Currency=USD","Period=FQ","BEST_FPERIOD_OVERRIDE=FQ","FILING_STATUS=MR","SCALING_FORMAT=MLN","Sort=A","Dates=H","DateFormat=P","Fill=—","Direction=H","UseDPDF=Y")</f>
        <v>320.65800000000002</v>
      </c>
      <c r="D17" s="13">
        <f>_xll.BDH("ALNY US Equity","ARD_PROPERTY_PLANT_EQUIP_NET","FQ1 2019","FQ1 2019","Currency=USD","Period=FQ","BEST_FPERIOD_OVERRIDE=FQ","FILING_STATUS=MR","SCALING_FORMAT=MLN","Sort=A","Dates=H","DateFormat=P","Fill=—","Direction=H","UseDPDF=Y")</f>
        <v>341.71199999999999</v>
      </c>
      <c r="E17" s="13">
        <f>_xll.BDH("ALNY US Equity","ARD_PROPERTY_PLANT_EQUIP_NET","FQ2 2019","FQ2 2019","Currency=USD","Period=FQ","BEST_FPERIOD_OVERRIDE=FQ","FILING_STATUS=MR","SCALING_FORMAT=MLN","Sort=A","Dates=H","DateFormat=P","Fill=—","Direction=H","UseDPDF=Y")</f>
        <v>371.76900000000001</v>
      </c>
      <c r="F17" s="13">
        <f>_xll.BDH("ALNY US Equity","ARD_PROPERTY_PLANT_EQUIP_NET","FQ3 2019","FQ3 2019","Currency=USD","Period=FQ","BEST_FPERIOD_OVERRIDE=FQ","FILING_STATUS=MR","SCALING_FORMAT=MLN","Sort=A","Dates=H","DateFormat=P","Fill=—","Direction=H","UseDPDF=Y")</f>
        <v>396.45600000000002</v>
      </c>
      <c r="G17" s="13">
        <f>_xll.BDH("ALNY US Equity","ARD_PROPERTY_PLANT_EQUIP_NET","FQ4 2019","FQ4 2019","Currency=USD","Period=FQ","BEST_FPERIOD_OVERRIDE=FQ","FILING_STATUS=MR","SCALING_FORMAT=MLN","Sort=A","Dates=H","DateFormat=P","Fill=—","Direction=H","UseDPDF=Y")</f>
        <v>425.17899999999997</v>
      </c>
      <c r="H17" s="13">
        <f>_xll.BDH("ALNY US Equity","ARD_PROPERTY_PLANT_EQUIP_NET","FQ1 2020","FQ1 2020","Currency=USD","Period=FQ","BEST_FPERIOD_OVERRIDE=FQ","FILING_STATUS=MR","SCALING_FORMAT=MLN","Sort=A","Dates=H","DateFormat=P","Fill=—","Direction=H","UseDPDF=Y")</f>
        <v>429.81400000000002</v>
      </c>
      <c r="I17" s="13">
        <f>_xll.BDH("ALNY US Equity","ARD_PROPERTY_PLANT_EQUIP_NET","FQ2 2020","FQ2 2020","Currency=USD","Period=FQ","BEST_FPERIOD_OVERRIDE=FQ","FILING_STATUS=MR","SCALING_FORMAT=MLN","Sort=A","Dates=H","DateFormat=P","Fill=—","Direction=H","UseDPDF=Y")</f>
        <v>439.12599999999998</v>
      </c>
      <c r="J17" s="13">
        <f>_xll.BDH("ALNY US Equity","ARD_PROPERTY_PLANT_EQUIP_NET","FQ3 2020","FQ3 2020","Currency=USD","Period=FQ","BEST_FPERIOD_OVERRIDE=FQ","FILING_STATUS=MR","SCALING_FORMAT=MLN","Sort=A","Dates=H","DateFormat=P","Fill=—","Direction=H","UseDPDF=Y")</f>
        <v>444.69</v>
      </c>
      <c r="K17" s="13">
        <f>_xll.BDH("ALNY US Equity","ARD_PROPERTY_PLANT_EQUIP_NET","FQ4 2020","FQ4 2020","Currency=USD","Period=FQ","BEST_FPERIOD_OVERRIDE=FQ","FILING_STATUS=MR","SCALING_FORMAT=MLN","Sort=A","Dates=H","DateFormat=P","Fill=—","Direction=H","UseDPDF=Y")</f>
        <v>465.029</v>
      </c>
      <c r="L17" s="13">
        <f>_xll.BDH("ALNY US Equity","ARD_PROPERTY_PLANT_EQUIP_NET","FQ1 2021","FQ1 2021","Currency=USD","Period=FQ","BEST_FPERIOD_OVERRIDE=FQ","FILING_STATUS=MR","SCALING_FORMAT=MLN","Sort=A","Dates=H","DateFormat=P","Fill=—","Direction=H","UseDPDF=Y")</f>
        <v>464.572</v>
      </c>
      <c r="M17" s="13">
        <f>_xll.BDH("ALNY US Equity","ARD_PROPERTY_PLANT_EQUIP_NET","FQ2 2021","FQ2 2021","Currency=USD","Period=FQ","BEST_FPERIOD_OVERRIDE=FQ","FILING_STATUS=MR","SCALING_FORMAT=MLN","Sort=A","Dates=H","DateFormat=P","Fill=—","Direction=H","UseDPDF=Y")</f>
        <v>470.7</v>
      </c>
      <c r="N17" s="13">
        <f>_xll.BDH("ALNY US Equity","ARD_PROPERTY_PLANT_EQUIP_NET","FQ3 2021","FQ3 2021","Currency=USD","Period=FQ","BEST_FPERIOD_OVERRIDE=FQ","FILING_STATUS=MR","SCALING_FORMAT=MLN","Sort=A","Dates=H","DateFormat=P","Fill=—","Direction=H","UseDPDF=Y")</f>
        <v>484.94099999999997</v>
      </c>
      <c r="O17" s="13">
        <f>_xll.BDH("ALNY US Equity","ARD_PROPERTY_PLANT_EQUIP_NET","FQ4 2021","FQ4 2021","Currency=USD","Period=FQ","BEST_FPERIOD_OVERRIDE=FQ","FILING_STATUS=MR","SCALING_FORMAT=MLN","Sort=A","Dates=H","DateFormat=P","Fill=—","Direction=H","UseDPDF=Y")</f>
        <v>501.95800000000003</v>
      </c>
      <c r="P17" s="13">
        <f>_xll.BDH("ALNY US Equity","ARD_PROPERTY_PLANT_EQUIP_NET","FQ1 2022","FQ1 2022","Currency=USD","Period=FQ","BEST_FPERIOD_OVERRIDE=FQ","FILING_STATUS=MR","SCALING_FORMAT=MLN","Sort=A","Dates=H","DateFormat=P","Fill=—","Direction=H","UseDPDF=Y")</f>
        <v>504.38900000000001</v>
      </c>
      <c r="Q17" s="13">
        <f>_xll.BDH("ALNY US Equity","ARD_PROPERTY_PLANT_EQUIP_NET","FQ2 2022","FQ2 2022","Currency=USD","Period=FQ","BEST_FPERIOD_OVERRIDE=FQ","FILING_STATUS=MR","SCALING_FORMAT=MLN","Sort=A","Dates=H","DateFormat=P","Fill=—","Direction=H","UseDPDF=Y")</f>
        <v>508.20100000000002</v>
      </c>
      <c r="R17" s="13">
        <f>_xll.BDH("ALNY US Equity","ARD_PROPERTY_PLANT_EQUIP_NET","FQ3 2022","FQ3 2022","Currency=USD","Period=FQ","BEST_FPERIOD_OVERRIDE=FQ","FILING_STATUS=MR","SCALING_FORMAT=MLN","Sort=A","Dates=H","DateFormat=P","Fill=—","Direction=H","UseDPDF=Y")</f>
        <v>514.82100000000003</v>
      </c>
      <c r="S17" s="13">
        <f>_xll.BDH("ALNY US Equity","ARD_PROPERTY_PLANT_EQUIP_NET","FQ4 2022","FQ4 2022","Currency=USD","Period=FQ","BEST_FPERIOD_OVERRIDE=FQ","FILING_STATUS=MR","SCALING_FORMAT=MLN","Sort=A","Dates=H","DateFormat=P","Fill=—","Direction=H","UseDPDF=Y")</f>
        <v>523.49400000000003</v>
      </c>
      <c r="T17" s="13">
        <f>_xll.BDH("ALNY US Equity","ARD_PROPERTY_PLANT_EQUIP_NET","FQ1 2023","FQ1 2023","Currency=USD","Period=FQ","BEST_FPERIOD_OVERRIDE=FQ","FILING_STATUS=MR","SCALING_FORMAT=MLN","Sort=A","Dates=H","DateFormat=P","Fill=—","Direction=H","UseDPDF=Y")</f>
        <v>523.03200000000004</v>
      </c>
      <c r="U17" s="13">
        <f>_xll.BDH("ALNY US Equity","ARD_PROPERTY_PLANT_EQUIP_NET","FQ2 2023","FQ2 2023","Currency=USD","Period=FQ","BEST_FPERIOD_OVERRIDE=FQ","FILING_STATUS=MR","SCALING_FORMAT=MLN","Sort=A","Dates=H","DateFormat=P","Fill=—","Direction=H","UseDPDF=Y")</f>
        <v>527.47400000000005</v>
      </c>
      <c r="V17" s="13">
        <f>_xll.BDH("ALNY US Equity","ARD_PROPERTY_PLANT_EQUIP_NET","FQ3 2023","FQ3 2023","Currency=USD","Period=FQ","BEST_FPERIOD_OVERRIDE=FQ","FILING_STATUS=MR","SCALING_FORMAT=MLN","Sort=A","Dates=H","DateFormat=P","Fill=—","Direction=H","UseDPDF=Y")</f>
        <v>525.59100000000001</v>
      </c>
      <c r="W17" s="13">
        <f>_xll.BDH("ALNY US Equity","ARD_PROPERTY_PLANT_EQUIP_NET","FQ4 2023","FQ4 2023","Currency=USD","Period=FQ","BEST_FPERIOD_OVERRIDE=FQ","FILING_STATUS=MR","SCALING_FORMAT=MLN","Sort=A","Dates=H","DateFormat=P","Fill=—","Direction=H","UseDPDF=Y")</f>
        <v>526.05700000000002</v>
      </c>
      <c r="X17" s="13">
        <f>_xll.BDH("ALNY US Equity","ARD_PROPERTY_PLANT_EQUIP_NET","FQ1 2024","FQ1 2024","Currency=USD","Period=FQ","BEST_FPERIOD_OVERRIDE=FQ","FILING_STATUS=MR","SCALING_FORMAT=MLN","Sort=A","Dates=H","DateFormat=P","Fill=—","Direction=H","UseDPDF=Y")</f>
        <v>523.46</v>
      </c>
      <c r="Y17" s="13">
        <f>_xll.BDH("ALNY US Equity","ARD_PROPERTY_PLANT_EQUIP_NET","FQ2 2024","FQ2 2024","Currency=USD","Period=FQ","BEST_FPERIOD_OVERRIDE=FQ","FILING_STATUS=MR","SCALING_FORMAT=MLN","Sort=A","Dates=H","DateFormat=P","Fill=—","Direction=H","UseDPDF=Y")</f>
        <v>517.15899999999999</v>
      </c>
      <c r="Z17" s="13">
        <f>_xll.BDH("ALNY US Equity","ARD_PROPERTY_PLANT_EQUIP_NET","FQ3 2024","FQ3 2024","Currency=USD","Period=FQ","BEST_FPERIOD_OVERRIDE=FQ","FILING_STATUS=MR","SCALING_FORMAT=MLN","Sort=A","Dates=H","DateFormat=P","Fill=—","Direction=H","UseDPDF=Y")</f>
        <v>506.99700000000001</v>
      </c>
      <c r="AA17" s="13">
        <f>_xll.BDH("ALNY US Equity","ARD_PROPERTY_PLANT_EQUIP_NET","FQ4 2024","FQ4 2024","Currency=USD","Period=FQ","BEST_FPERIOD_OVERRIDE=FQ","FILING_STATUS=MR","SCALING_FORMAT=MLN","Sort=A","Dates=H","DateFormat=P","Fill=—","Direction=H","UseDPDF=Y")</f>
        <v>502.78399999999999</v>
      </c>
    </row>
    <row r="18" spans="1:27" x14ac:dyDescent="0.25">
      <c r="A18" s="10" t="s">
        <v>844</v>
      </c>
      <c r="B18" s="10" t="s">
        <v>845</v>
      </c>
      <c r="C18" s="13" t="str">
        <f>_xll.BDH("ALNY US Equity","ARD_DEFERRED_INC_TAX_ASSET_LT","FQ4 2018","FQ4 2018","Currency=USD","Period=FQ","BEST_FPERIOD_OVERRIDE=FQ","FILING_STATUS=MR","SCALING_FORMAT=MLN","Sort=A","Dates=H","DateFormat=P","Fill=—","Direction=H","UseDPDF=Y")</f>
        <v>—</v>
      </c>
      <c r="D18" s="13" t="str">
        <f>_xll.BDH("ALNY US Equity","ARD_DEFERRED_INC_TAX_ASSET_LT","FQ1 2019","FQ1 2019","Currency=USD","Period=FQ","BEST_FPERIOD_OVERRIDE=FQ","FILING_STATUS=MR","SCALING_FORMAT=MLN","Sort=A","Dates=H","DateFormat=P","Fill=—","Direction=H","UseDPDF=Y")</f>
        <v>—</v>
      </c>
      <c r="E18" s="13" t="str">
        <f>_xll.BDH("ALNY US Equity","ARD_DEFERRED_INC_TAX_ASSET_LT","FQ2 2019","FQ2 2019","Currency=USD","Period=FQ","BEST_FPERIOD_OVERRIDE=FQ","FILING_STATUS=MR","SCALING_FORMAT=MLN","Sort=A","Dates=H","DateFormat=P","Fill=—","Direction=H","UseDPDF=Y")</f>
        <v>—</v>
      </c>
      <c r="F18" s="13" t="str">
        <f>_xll.BDH("ALNY US Equity","ARD_DEFERRED_INC_TAX_ASSET_LT","FQ3 2019","FQ3 2019","Currency=USD","Period=FQ","BEST_FPERIOD_OVERRIDE=FQ","FILING_STATUS=MR","SCALING_FORMAT=MLN","Sort=A","Dates=H","DateFormat=P","Fill=—","Direction=H","UseDPDF=Y")</f>
        <v>—</v>
      </c>
      <c r="G18" s="13" t="str">
        <f>_xll.BDH("ALNY US Equity","ARD_DEFERRED_INC_TAX_ASSET_LT","FQ4 2019","FQ4 2019","Currency=USD","Period=FQ","BEST_FPERIOD_OVERRIDE=FQ","FILING_STATUS=MR","SCALING_FORMAT=MLN","Sort=A","Dates=H","DateFormat=P","Fill=—","Direction=H","UseDPDF=Y")</f>
        <v>—</v>
      </c>
      <c r="H18" s="13" t="str">
        <f>_xll.BDH("ALNY US Equity","ARD_DEFERRED_INC_TAX_ASSET_LT","FQ1 2020","FQ1 2020","Currency=USD","Period=FQ","BEST_FPERIOD_OVERRIDE=FQ","FILING_STATUS=MR","SCALING_FORMAT=MLN","Sort=A","Dates=H","DateFormat=P","Fill=—","Direction=H","UseDPDF=Y")</f>
        <v>—</v>
      </c>
      <c r="I18" s="13" t="str">
        <f>_xll.BDH("ALNY US Equity","ARD_DEFERRED_INC_TAX_ASSET_LT","FQ2 2020","FQ2 2020","Currency=USD","Period=FQ","BEST_FPERIOD_OVERRIDE=FQ","FILING_STATUS=MR","SCALING_FORMAT=MLN","Sort=A","Dates=H","DateFormat=P","Fill=—","Direction=H","UseDPDF=Y")</f>
        <v>—</v>
      </c>
      <c r="J18" s="13" t="str">
        <f>_xll.BDH("ALNY US Equity","ARD_DEFERRED_INC_TAX_ASSET_LT","FQ3 2020","FQ3 2020","Currency=USD","Period=FQ","BEST_FPERIOD_OVERRIDE=FQ","FILING_STATUS=MR","SCALING_FORMAT=MLN","Sort=A","Dates=H","DateFormat=P","Fill=—","Direction=H","UseDPDF=Y")</f>
        <v>—</v>
      </c>
      <c r="K18" s="13" t="str">
        <f>_xll.BDH("ALNY US Equity","ARD_DEFERRED_INC_TAX_ASSET_LT","FQ4 2020","FQ4 2020","Currency=USD","Period=FQ","BEST_FPERIOD_OVERRIDE=FQ","FILING_STATUS=MR","SCALING_FORMAT=MLN","Sort=A","Dates=H","DateFormat=P","Fill=—","Direction=H","UseDPDF=Y")</f>
        <v>—</v>
      </c>
      <c r="L18" s="13" t="str">
        <f>_xll.BDH("ALNY US Equity","ARD_DEFERRED_INC_TAX_ASSET_LT","FQ1 2021","FQ1 2021","Currency=USD","Period=FQ","BEST_FPERIOD_OVERRIDE=FQ","FILING_STATUS=MR","SCALING_FORMAT=MLN","Sort=A","Dates=H","DateFormat=P","Fill=—","Direction=H","UseDPDF=Y")</f>
        <v>—</v>
      </c>
      <c r="M18" s="13" t="str">
        <f>_xll.BDH("ALNY US Equity","ARD_DEFERRED_INC_TAX_ASSET_LT","FQ2 2021","FQ2 2021","Currency=USD","Period=FQ","BEST_FPERIOD_OVERRIDE=FQ","FILING_STATUS=MR","SCALING_FORMAT=MLN","Sort=A","Dates=H","DateFormat=P","Fill=—","Direction=H","UseDPDF=Y")</f>
        <v>—</v>
      </c>
      <c r="N18" s="13" t="str">
        <f>_xll.BDH("ALNY US Equity","ARD_DEFERRED_INC_TAX_ASSET_LT","FQ3 2021","FQ3 2021","Currency=USD","Period=FQ","BEST_FPERIOD_OVERRIDE=FQ","FILING_STATUS=MR","SCALING_FORMAT=MLN","Sort=A","Dates=H","DateFormat=P","Fill=—","Direction=H","UseDPDF=Y")</f>
        <v>—</v>
      </c>
      <c r="O18" s="13" t="str">
        <f>_xll.BDH("ALNY US Equity","ARD_DEFERRED_INC_TAX_ASSET_LT","FQ4 2021","FQ4 2021","Currency=USD","Period=FQ","BEST_FPERIOD_OVERRIDE=FQ","FILING_STATUS=MR","SCALING_FORMAT=MLN","Sort=A","Dates=H","DateFormat=P","Fill=—","Direction=H","UseDPDF=Y")</f>
        <v>—</v>
      </c>
      <c r="P18" s="13" t="str">
        <f>_xll.BDH("ALNY US Equity","ARD_DEFERRED_INC_TAX_ASSET_LT","FQ1 2022","FQ1 2022","Currency=USD","Period=FQ","BEST_FPERIOD_OVERRIDE=FQ","FILING_STATUS=MR","SCALING_FORMAT=MLN","Sort=A","Dates=H","DateFormat=P","Fill=—","Direction=H","UseDPDF=Y")</f>
        <v>—</v>
      </c>
      <c r="Q18" s="13" t="str">
        <f>_xll.BDH("ALNY US Equity","ARD_DEFERRED_INC_TAX_ASSET_LT","FQ2 2022","FQ2 2022","Currency=USD","Period=FQ","BEST_FPERIOD_OVERRIDE=FQ","FILING_STATUS=MR","SCALING_FORMAT=MLN","Sort=A","Dates=H","DateFormat=P","Fill=—","Direction=H","UseDPDF=Y")</f>
        <v>—</v>
      </c>
      <c r="R18" s="13" t="str">
        <f>_xll.BDH("ALNY US Equity","ARD_DEFERRED_INC_TAX_ASSET_LT","FQ3 2022","FQ3 2022","Currency=USD","Period=FQ","BEST_FPERIOD_OVERRIDE=FQ","FILING_STATUS=MR","SCALING_FORMAT=MLN","Sort=A","Dates=H","DateFormat=P","Fill=—","Direction=H","UseDPDF=Y")</f>
        <v>—</v>
      </c>
      <c r="S18" s="13" t="str">
        <f>_xll.BDH("ALNY US Equity","ARD_DEFERRED_INC_TAX_ASSET_LT","FQ4 2022","FQ4 2022","Currency=USD","Period=FQ","BEST_FPERIOD_OVERRIDE=FQ","FILING_STATUS=MR","SCALING_FORMAT=MLN","Sort=A","Dates=H","DateFormat=P","Fill=—","Direction=H","UseDPDF=Y")</f>
        <v>—</v>
      </c>
      <c r="T18" s="13" t="str">
        <f>_xll.BDH("ALNY US Equity","ARD_DEFERRED_INC_TAX_ASSET_LT","FQ1 2023","FQ1 2023","Currency=USD","Period=FQ","BEST_FPERIOD_OVERRIDE=FQ","FILING_STATUS=MR","SCALING_FORMAT=MLN","Sort=A","Dates=H","DateFormat=P","Fill=—","Direction=H","UseDPDF=Y")</f>
        <v>—</v>
      </c>
      <c r="U18" s="13" t="str">
        <f>_xll.BDH("ALNY US Equity","ARD_DEFERRED_INC_TAX_ASSET_LT","FQ2 2023","FQ2 2023","Currency=USD","Period=FQ","BEST_FPERIOD_OVERRIDE=FQ","FILING_STATUS=MR","SCALING_FORMAT=MLN","Sort=A","Dates=H","DateFormat=P","Fill=—","Direction=H","UseDPDF=Y")</f>
        <v>—</v>
      </c>
      <c r="V18" s="13" t="str">
        <f>_xll.BDH("ALNY US Equity","ARD_DEFERRED_INC_TAX_ASSET_LT","FQ3 2023","FQ3 2023","Currency=USD","Period=FQ","BEST_FPERIOD_OVERRIDE=FQ","FILING_STATUS=MR","SCALING_FORMAT=MLN","Sort=A","Dates=H","DateFormat=P","Fill=—","Direction=H","UseDPDF=Y")</f>
        <v>—</v>
      </c>
      <c r="W18" s="13" t="str">
        <f>_xll.BDH("ALNY US Equity","ARD_DEFERRED_INC_TAX_ASSET_LT","FQ4 2023","FQ4 2023","Currency=USD","Period=FQ","BEST_FPERIOD_OVERRIDE=FQ","FILING_STATUS=MR","SCALING_FORMAT=MLN","Sort=A","Dates=H","DateFormat=P","Fill=—","Direction=H","UseDPDF=Y")</f>
        <v>—</v>
      </c>
      <c r="X18" s="13" t="str">
        <f>_xll.BDH("ALNY US Equity","ARD_DEFERRED_INC_TAX_ASSET_LT","FQ1 2024","FQ1 2024","Currency=USD","Period=FQ","BEST_FPERIOD_OVERRIDE=FQ","FILING_STATUS=MR","SCALING_FORMAT=MLN","Sort=A","Dates=H","DateFormat=P","Fill=—","Direction=H","UseDPDF=Y")</f>
        <v>—</v>
      </c>
      <c r="Y18" s="13" t="str">
        <f>_xll.BDH("ALNY US Equity","ARD_DEFERRED_INC_TAX_ASSET_LT","FQ2 2024","FQ2 2024","Currency=USD","Period=FQ","BEST_FPERIOD_OVERRIDE=FQ","FILING_STATUS=MR","SCALING_FORMAT=MLN","Sort=A","Dates=H","DateFormat=P","Fill=—","Direction=H","UseDPDF=Y")</f>
        <v>—</v>
      </c>
      <c r="Z18" s="13" t="str">
        <f>_xll.BDH("ALNY US Equity","ARD_DEFERRED_INC_TAX_ASSET_LT","FQ3 2024","FQ3 2024","Currency=USD","Period=FQ","BEST_FPERIOD_OVERRIDE=FQ","FILING_STATUS=MR","SCALING_FORMAT=MLN","Sort=A","Dates=H","DateFormat=P","Fill=—","Direction=H","UseDPDF=Y")</f>
        <v>—</v>
      </c>
      <c r="AA18" s="13">
        <f>_xll.BDH("ALNY US Equity","ARD_DEFERRED_INC_TAX_ASSET_LT","FQ4 2024","FQ4 2024","Currency=USD","Period=FQ","BEST_FPERIOD_OVERRIDE=FQ","FILING_STATUS=MR","SCALING_FORMAT=MLN","Sort=A","Dates=H","DateFormat=P","Fill=—","Direction=H","UseDPDF=Y")</f>
        <v>116.863</v>
      </c>
    </row>
    <row r="19" spans="1:27" x14ac:dyDescent="0.25">
      <c r="A19" s="10" t="s">
        <v>846</v>
      </c>
      <c r="B19" s="10" t="s">
        <v>847</v>
      </c>
      <c r="C19" s="13">
        <f>_xll.BDH("ALNY US Equity","ARD_RESTRICTED_CASH_INVEST_LT","FQ4 2018","FQ4 2018","Currency=USD","Period=FQ","BEST_FPERIOD_OVERRIDE=FQ","FILING_STATUS=MR","SCALING_FORMAT=MLN","Sort=A","Dates=H","DateFormat=P","Fill=—","Direction=H","UseDPDF=Y")</f>
        <v>44.825000000000003</v>
      </c>
      <c r="D19" s="13">
        <f>_xll.BDH("ALNY US Equity","ARD_RESTRICTED_CASH_INVEST_LT","FQ1 2019","FQ1 2019","Currency=USD","Period=FQ","BEST_FPERIOD_OVERRIDE=FQ","FILING_STATUS=MR","SCALING_FORMAT=MLN","Sort=A","Dates=H","DateFormat=P","Fill=—","Direction=H","UseDPDF=Y")</f>
        <v>44.825000000000003</v>
      </c>
      <c r="E19" s="13">
        <f>_xll.BDH("ALNY US Equity","ARD_RESTRICTED_CASH_INVEST_LT","FQ2 2019","FQ2 2019","Currency=USD","Period=FQ","BEST_FPERIOD_OVERRIDE=FQ","FILING_STATUS=MR","SCALING_FORMAT=MLN","Sort=A","Dates=H","DateFormat=P","Fill=—","Direction=H","UseDPDF=Y")</f>
        <v>44.825000000000003</v>
      </c>
      <c r="F19" s="13">
        <f>_xll.BDH("ALNY US Equity","ARD_RESTRICTED_CASH_INVEST_LT","FQ3 2019","FQ3 2019","Currency=USD","Period=FQ","BEST_FPERIOD_OVERRIDE=FQ","FILING_STATUS=MR","SCALING_FORMAT=MLN","Sort=A","Dates=H","DateFormat=P","Fill=—","Direction=H","UseDPDF=Y")</f>
        <v>14.824999999999999</v>
      </c>
      <c r="G19" s="13">
        <f>_xll.BDH("ALNY US Equity","ARD_RESTRICTED_CASH_INVEST_LT","FQ4 2019","FQ4 2019","Currency=USD","Period=FQ","BEST_FPERIOD_OVERRIDE=FQ","FILING_STATUS=MR","SCALING_FORMAT=MLN","Sort=A","Dates=H","DateFormat=P","Fill=—","Direction=H","UseDPDF=Y")</f>
        <v>14.824999999999999</v>
      </c>
      <c r="H19" s="13">
        <f>_xll.BDH("ALNY US Equity","ARD_RESTRICTED_CASH_INVEST_LT","FQ1 2020","FQ1 2020","Currency=USD","Period=FQ","BEST_FPERIOD_OVERRIDE=FQ","FILING_STATUS=MR","SCALING_FORMAT=MLN","Sort=A","Dates=H","DateFormat=P","Fill=—","Direction=H","UseDPDF=Y")</f>
        <v>24.725000000000001</v>
      </c>
      <c r="I19" s="13">
        <f>_xll.BDH("ALNY US Equity","ARD_RESTRICTED_CASH_INVEST_LT","FQ2 2020","FQ2 2020","Currency=USD","Period=FQ","BEST_FPERIOD_OVERRIDE=FQ","FILING_STATUS=MR","SCALING_FORMAT=MLN","Sort=A","Dates=H","DateFormat=P","Fill=—","Direction=H","UseDPDF=Y")</f>
        <v>24.725000000000001</v>
      </c>
      <c r="J19" s="13">
        <f>_xll.BDH("ALNY US Equity","ARD_RESTRICTED_CASH_INVEST_LT","FQ3 2020","FQ3 2020","Currency=USD","Period=FQ","BEST_FPERIOD_OVERRIDE=FQ","FILING_STATUS=MR","SCALING_FORMAT=MLN","Sort=A","Dates=H","DateFormat=P","Fill=—","Direction=H","UseDPDF=Y")</f>
        <v>24.725000000000001</v>
      </c>
      <c r="K19" s="13">
        <f>_xll.BDH("ALNY US Equity","ARD_RESTRICTED_CASH_INVEST_LT","FQ4 2020","FQ4 2020","Currency=USD","Period=FQ","BEST_FPERIOD_OVERRIDE=FQ","FILING_STATUS=MR","SCALING_FORMAT=MLN","Sort=A","Dates=H","DateFormat=P","Fill=—","Direction=H","UseDPDF=Y")</f>
        <v>40.725000000000001</v>
      </c>
      <c r="L19" s="13">
        <f>_xll.BDH("ALNY US Equity","ARD_RESTRICTED_CASH_INVEST_LT","FQ1 2021","FQ1 2021","Currency=USD","Period=FQ","BEST_FPERIOD_OVERRIDE=FQ","FILING_STATUS=MR","SCALING_FORMAT=MLN","Sort=A","Dates=H","DateFormat=P","Fill=—","Direction=H","UseDPDF=Y")</f>
        <v>40.725000000000001</v>
      </c>
      <c r="M19" s="13">
        <f>_xll.BDH("ALNY US Equity","ARD_RESTRICTED_CASH_INVEST_LT","FQ2 2021","FQ2 2021","Currency=USD","Period=FQ","BEST_FPERIOD_OVERRIDE=FQ","FILING_STATUS=MR","SCALING_FORMAT=MLN","Sort=A","Dates=H","DateFormat=P","Fill=—","Direction=H","UseDPDF=Y")</f>
        <v>40.89</v>
      </c>
      <c r="N19" s="13">
        <f>_xll.BDH("ALNY US Equity","ARD_RESTRICTED_CASH_INVEST_LT","FQ3 2021","FQ3 2021","Currency=USD","Period=FQ","BEST_FPERIOD_OVERRIDE=FQ","FILING_STATUS=MR","SCALING_FORMAT=MLN","Sort=A","Dates=H","DateFormat=P","Fill=—","Direction=H","UseDPDF=Y")</f>
        <v>40.89</v>
      </c>
      <c r="O19" s="13">
        <f>_xll.BDH("ALNY US Equity","ARD_RESTRICTED_CASH_INVEST_LT","FQ4 2021","FQ4 2021","Currency=USD","Period=FQ","BEST_FPERIOD_OVERRIDE=FQ","FILING_STATUS=MR","SCALING_FORMAT=MLN","Sort=A","Dates=H","DateFormat=P","Fill=—","Direction=H","UseDPDF=Y")</f>
        <v>40.890999999999998</v>
      </c>
      <c r="P19" s="13">
        <f>_xll.BDH("ALNY US Equity","ARD_RESTRICTED_CASH_INVEST_LT","FQ1 2022","FQ1 2022","Currency=USD","Period=FQ","BEST_FPERIOD_OVERRIDE=FQ","FILING_STATUS=MR","SCALING_FORMAT=MLN","Sort=A","Dates=H","DateFormat=P","Fill=—","Direction=H","UseDPDF=Y")</f>
        <v>40.889000000000003</v>
      </c>
      <c r="Q19" s="13">
        <f>_xll.BDH("ALNY US Equity","ARD_RESTRICTED_CASH_INVEST_LT","FQ2 2022","FQ2 2022","Currency=USD","Period=FQ","BEST_FPERIOD_OVERRIDE=FQ","FILING_STATUS=MR","SCALING_FORMAT=MLN","Sort=A","Dates=H","DateFormat=P","Fill=—","Direction=H","UseDPDF=Y")</f>
        <v>49.39</v>
      </c>
      <c r="R19" s="13">
        <f>_xll.BDH("ALNY US Equity","ARD_RESTRICTED_CASH_INVEST_LT","FQ3 2022","FQ3 2022","Currency=USD","Period=FQ","BEST_FPERIOD_OVERRIDE=FQ","FILING_STATUS=MR","SCALING_FORMAT=MLN","Sort=A","Dates=H","DateFormat=P","Fill=—","Direction=H","UseDPDF=Y")</f>
        <v>49.389000000000003</v>
      </c>
      <c r="S19" s="13">
        <f>_xll.BDH("ALNY US Equity","ARD_RESTRICTED_CASH_INVEST_LT","FQ4 2022","FQ4 2022","Currency=USD","Period=FQ","BEST_FPERIOD_OVERRIDE=FQ","FILING_STATUS=MR","SCALING_FORMAT=MLN","Sort=A","Dates=H","DateFormat=P","Fill=—","Direction=H","UseDPDF=Y")</f>
        <v>49.39</v>
      </c>
      <c r="T19" s="13">
        <f>_xll.BDH("ALNY US Equity","ARD_RESTRICTED_CASH_INVEST_LT","FQ1 2023","FQ1 2023","Currency=USD","Period=FQ","BEST_FPERIOD_OVERRIDE=FQ","FILING_STATUS=MR","SCALING_FORMAT=MLN","Sort=A","Dates=H","DateFormat=P","Fill=—","Direction=H","UseDPDF=Y")</f>
        <v>49.387999999999998</v>
      </c>
      <c r="U19" s="13">
        <f>_xll.BDH("ALNY US Equity","ARD_RESTRICTED_CASH_INVEST_LT","FQ2 2023","FQ2 2023","Currency=USD","Period=FQ","BEST_FPERIOD_OVERRIDE=FQ","FILING_STATUS=MR","SCALING_FORMAT=MLN","Sort=A","Dates=H","DateFormat=P","Fill=—","Direction=H","UseDPDF=Y")</f>
        <v>49.387999999999998</v>
      </c>
      <c r="V19" s="13">
        <f>_xll.BDH("ALNY US Equity","ARD_RESTRICTED_CASH_INVEST_LT","FQ3 2023","FQ3 2023","Currency=USD","Period=FQ","BEST_FPERIOD_OVERRIDE=FQ","FILING_STATUS=MR","SCALING_FORMAT=MLN","Sort=A","Dates=H","DateFormat=P","Fill=—","Direction=H","UseDPDF=Y")</f>
        <v>49.39</v>
      </c>
      <c r="W19" s="13">
        <f>_xll.BDH("ALNY US Equity","ARD_RESTRICTED_CASH_INVEST_LT","FQ4 2023","FQ4 2023","Currency=USD","Period=FQ","BEST_FPERIOD_OVERRIDE=FQ","FILING_STATUS=MR","SCALING_FORMAT=MLN","Sort=A","Dates=H","DateFormat=P","Fill=—","Direction=H","UseDPDF=Y")</f>
        <v>49.390999999999998</v>
      </c>
      <c r="X19" s="13">
        <f>_xll.BDH("ALNY US Equity","ARD_RESTRICTED_CASH_INVEST_LT","FQ1 2024","FQ1 2024","Currency=USD","Period=FQ","BEST_FPERIOD_OVERRIDE=FQ","FILING_STATUS=MR","SCALING_FORMAT=MLN","Sort=A","Dates=H","DateFormat=P","Fill=—","Direction=H","UseDPDF=Y")</f>
        <v>49.39</v>
      </c>
      <c r="Y19" s="13">
        <f>_xll.BDH("ALNY US Equity","ARD_RESTRICTED_CASH_INVEST_LT","FQ2 2024","FQ2 2024","Currency=USD","Period=FQ","BEST_FPERIOD_OVERRIDE=FQ","FILING_STATUS=MR","SCALING_FORMAT=MLN","Sort=A","Dates=H","DateFormat=P","Fill=—","Direction=H","UseDPDF=Y")</f>
        <v>49.390999999999998</v>
      </c>
      <c r="Z19" s="13">
        <f>_xll.BDH("ALNY US Equity","ARD_RESTRICTED_CASH_INVEST_LT","FQ3 2024","FQ3 2024","Currency=USD","Period=FQ","BEST_FPERIOD_OVERRIDE=FQ","FILING_STATUS=MR","SCALING_FORMAT=MLN","Sort=A","Dates=H","DateFormat=P","Fill=—","Direction=H","UseDPDF=Y")</f>
        <v>68.591999999999999</v>
      </c>
      <c r="AA19" s="13">
        <f>_xll.BDH("ALNY US Equity","ARD_RESTRICTED_CASH_INVEST_LT","FQ4 2024","FQ4 2024","Currency=USD","Period=FQ","BEST_FPERIOD_OVERRIDE=FQ","FILING_STATUS=MR","SCALING_FORMAT=MLN","Sort=A","Dates=H","DateFormat=P","Fill=—","Direction=H","UseDPDF=Y")</f>
        <v>68.593000000000004</v>
      </c>
    </row>
    <row r="20" spans="1:27" x14ac:dyDescent="0.25">
      <c r="A20" s="10" t="s">
        <v>848</v>
      </c>
      <c r="B20" s="10" t="s">
        <v>849</v>
      </c>
      <c r="C20" s="13">
        <f>_xll.BDH("ALNY US Equity","ARD_OTHER_NONCURRENT_ASSET","FQ4 2018","FQ4 2018","Currency=USD","Period=FQ","BEST_FPERIOD_OVERRIDE=FQ","FILING_STATUS=MR","SCALING_FORMAT=MLN","Sort=A","Dates=H","DateFormat=P","Fill=—","Direction=H","UseDPDF=Y")</f>
        <v>8.6229999999999993</v>
      </c>
      <c r="D20" s="13">
        <f>_xll.BDH("ALNY US Equity","ARD_OTHER_NONCURRENT_ASSET","FQ1 2019","FQ1 2019","Currency=USD","Period=FQ","BEST_FPERIOD_OVERRIDE=FQ","FILING_STATUS=MR","SCALING_FORMAT=MLN","Sort=A","Dates=H","DateFormat=P","Fill=—","Direction=H","UseDPDF=Y")</f>
        <v>9.0370000000000008</v>
      </c>
      <c r="E20" s="13">
        <f>_xll.BDH("ALNY US Equity","ARD_OTHER_NONCURRENT_ASSET","FQ2 2019","FQ2 2019","Currency=USD","Period=FQ","BEST_FPERIOD_OVERRIDE=FQ","FILING_STATUS=MR","SCALING_FORMAT=MLN","Sort=A","Dates=H","DateFormat=P","Fill=—","Direction=H","UseDPDF=Y")</f>
        <v>9.6869999999999994</v>
      </c>
      <c r="F20" s="13">
        <f>_xll.BDH("ALNY US Equity","ARD_OTHER_NONCURRENT_ASSET","FQ3 2019","FQ3 2019","Currency=USD","Period=FQ","BEST_FPERIOD_OVERRIDE=FQ","FILING_STATUS=MR","SCALING_FORMAT=MLN","Sort=A","Dates=H","DateFormat=P","Fill=—","Direction=H","UseDPDF=Y")</f>
        <v>9.6319999999999997</v>
      </c>
      <c r="G20" s="13">
        <f>_xll.BDH("ALNY US Equity","ARD_OTHER_NONCURRENT_ASSET","FQ4 2019","FQ4 2019","Currency=USD","Period=FQ","BEST_FPERIOD_OVERRIDE=FQ","FILING_STATUS=MR","SCALING_FORMAT=MLN","Sort=A","Dates=H","DateFormat=P","Fill=—","Direction=H","UseDPDF=Y")</f>
        <v>18.068999999999999</v>
      </c>
      <c r="H20" s="13">
        <f>_xll.BDH("ALNY US Equity","ARD_OTHER_NONCURRENT_ASSET","FQ1 2020","FQ1 2020","Currency=USD","Period=FQ","BEST_FPERIOD_OVERRIDE=FQ","FILING_STATUS=MR","SCALING_FORMAT=MLN","Sort=A","Dates=H","DateFormat=P","Fill=—","Direction=H","UseDPDF=Y")</f>
        <v>19.032</v>
      </c>
      <c r="I20" s="13">
        <f>_xll.BDH("ALNY US Equity","ARD_OTHER_NONCURRENT_ASSET","FQ2 2020","FQ2 2020","Currency=USD","Period=FQ","BEST_FPERIOD_OVERRIDE=FQ","FILING_STATUS=MR","SCALING_FORMAT=MLN","Sort=A","Dates=H","DateFormat=P","Fill=—","Direction=H","UseDPDF=Y")</f>
        <v>20.396000000000001</v>
      </c>
      <c r="J20" s="13">
        <f>_xll.BDH("ALNY US Equity","ARD_OTHER_NONCURRENT_ASSET","FQ3 2020","FQ3 2020","Currency=USD","Period=FQ","BEST_FPERIOD_OVERRIDE=FQ","FILING_STATUS=MR","SCALING_FORMAT=MLN","Sort=A","Dates=H","DateFormat=P","Fill=—","Direction=H","UseDPDF=Y")</f>
        <v>37.932000000000002</v>
      </c>
      <c r="K20" s="13">
        <f>_xll.BDH("ALNY US Equity","ARD_OTHER_NONCURRENT_ASSET","FQ4 2020","FQ4 2020","Currency=USD","Period=FQ","BEST_FPERIOD_OVERRIDE=FQ","FILING_STATUS=MR","SCALING_FORMAT=MLN","Sort=A","Dates=H","DateFormat=P","Fill=—","Direction=H","UseDPDF=Y")</f>
        <v>45.045000000000002</v>
      </c>
      <c r="L20" s="13">
        <f>_xll.BDH("ALNY US Equity","ARD_OTHER_NONCURRENT_ASSET","FQ1 2021","FQ1 2021","Currency=USD","Period=FQ","BEST_FPERIOD_OVERRIDE=FQ","FILING_STATUS=MR","SCALING_FORMAT=MLN","Sort=A","Dates=H","DateFormat=P","Fill=—","Direction=H","UseDPDF=Y")</f>
        <v>42.676000000000002</v>
      </c>
      <c r="M20" s="13">
        <f>_xll.BDH("ALNY US Equity","ARD_OTHER_NONCURRENT_ASSET","FQ2 2021","FQ2 2021","Currency=USD","Period=FQ","BEST_FPERIOD_OVERRIDE=FQ","FILING_STATUS=MR","SCALING_FORMAT=MLN","Sort=A","Dates=H","DateFormat=P","Fill=—","Direction=H","UseDPDF=Y")</f>
        <v>34.587000000000003</v>
      </c>
      <c r="N20" s="13">
        <f>_xll.BDH("ALNY US Equity","ARD_OTHER_NONCURRENT_ASSET","FQ3 2021","FQ3 2021","Currency=USD","Period=FQ","BEST_FPERIOD_OVERRIDE=FQ","FILING_STATUS=MR","SCALING_FORMAT=MLN","Sort=A","Dates=H","DateFormat=P","Fill=—","Direction=H","UseDPDF=Y")</f>
        <v>35.267000000000003</v>
      </c>
      <c r="O20" s="13">
        <f>_xll.BDH("ALNY US Equity","ARD_OTHER_NONCURRENT_ASSET","FQ4 2021","FQ4 2021","Currency=USD","Period=FQ","BEST_FPERIOD_OVERRIDE=FQ","FILING_STATUS=MR","SCALING_FORMAT=MLN","Sort=A","Dates=H","DateFormat=P","Fill=—","Direction=H","UseDPDF=Y")</f>
        <v>60.204000000000001</v>
      </c>
      <c r="P20" s="13">
        <f>_xll.BDH("ALNY US Equity","ARD_OTHER_NONCURRENT_ASSET","FQ1 2022","FQ1 2022","Currency=USD","Period=FQ","BEST_FPERIOD_OVERRIDE=FQ","FILING_STATUS=MR","SCALING_FORMAT=MLN","Sort=A","Dates=H","DateFormat=P","Fill=—","Direction=H","UseDPDF=Y")</f>
        <v>69.820999999999998</v>
      </c>
      <c r="Q20" s="13">
        <f>_xll.BDH("ALNY US Equity","ARD_OTHER_NONCURRENT_ASSET","FQ2 2022","FQ2 2022","Currency=USD","Period=FQ","BEST_FPERIOD_OVERRIDE=FQ","FILING_STATUS=MR","SCALING_FORMAT=MLN","Sort=A","Dates=H","DateFormat=P","Fill=—","Direction=H","UseDPDF=Y")</f>
        <v>77.266999999999996</v>
      </c>
      <c r="R20" s="13">
        <f>_xll.BDH("ALNY US Equity","ARD_OTHER_NONCURRENT_ASSET","FQ3 2022","FQ3 2022","Currency=USD","Period=FQ","BEST_FPERIOD_OVERRIDE=FQ","FILING_STATUS=MR","SCALING_FORMAT=MLN","Sort=A","Dates=H","DateFormat=P","Fill=—","Direction=H","UseDPDF=Y")</f>
        <v>61.396000000000001</v>
      </c>
      <c r="S20" s="13">
        <f>_xll.BDH("ALNY US Equity","ARD_OTHER_NONCURRENT_ASSET","FQ4 2022","FQ4 2022","Currency=USD","Period=FQ","BEST_FPERIOD_OVERRIDE=FQ","FILING_STATUS=MR","SCALING_FORMAT=MLN","Sort=A","Dates=H","DateFormat=P","Fill=—","Direction=H","UseDPDF=Y")</f>
        <v>66.091999999999999</v>
      </c>
      <c r="T20" s="13">
        <f>_xll.BDH("ALNY US Equity","ARD_OTHER_NONCURRENT_ASSET","FQ1 2023","FQ1 2023","Currency=USD","Period=FQ","BEST_FPERIOD_OVERRIDE=FQ","FILING_STATUS=MR","SCALING_FORMAT=MLN","Sort=A","Dates=H","DateFormat=P","Fill=—","Direction=H","UseDPDF=Y")</f>
        <v>63.453000000000003</v>
      </c>
      <c r="U20" s="13">
        <f>_xll.BDH("ALNY US Equity","ARD_OTHER_NONCURRENT_ASSET","FQ2 2023","FQ2 2023","Currency=USD","Period=FQ","BEST_FPERIOD_OVERRIDE=FQ","FILING_STATUS=MR","SCALING_FORMAT=MLN","Sort=A","Dates=H","DateFormat=P","Fill=—","Direction=H","UseDPDF=Y")</f>
        <v>92.686000000000007</v>
      </c>
      <c r="V20" s="13">
        <f>_xll.BDH("ALNY US Equity","ARD_OTHER_NONCURRENT_ASSET","FQ3 2023","FQ3 2023","Currency=USD","Period=FQ","BEST_FPERIOD_OVERRIDE=FQ","FILING_STATUS=MR","SCALING_FORMAT=MLN","Sort=A","Dates=H","DateFormat=P","Fill=—","Direction=H","UseDPDF=Y")</f>
        <v>75.155000000000001</v>
      </c>
      <c r="W20" s="13">
        <f>_xll.BDH("ALNY US Equity","ARD_OTHER_NONCURRENT_ASSET","FQ4 2023","FQ4 2023","Currency=USD","Period=FQ","BEST_FPERIOD_OVERRIDE=FQ","FILING_STATUS=MR","SCALING_FORMAT=MLN","Sort=A","Dates=H","DateFormat=P","Fill=—","Direction=H","UseDPDF=Y")</f>
        <v>72.003</v>
      </c>
      <c r="X20" s="13">
        <f>_xll.BDH("ALNY US Equity","ARD_OTHER_NONCURRENT_ASSET","FQ1 2024","FQ1 2024","Currency=USD","Period=FQ","BEST_FPERIOD_OVERRIDE=FQ","FILING_STATUS=MR","SCALING_FORMAT=MLN","Sort=A","Dates=H","DateFormat=P","Fill=—","Direction=H","UseDPDF=Y")</f>
        <v>67.460999999999999</v>
      </c>
      <c r="Y20" s="13">
        <f>_xll.BDH("ALNY US Equity","ARD_OTHER_NONCURRENT_ASSET","FQ2 2024","FQ2 2024","Currency=USD","Period=FQ","BEST_FPERIOD_OVERRIDE=FQ","FILING_STATUS=MR","SCALING_FORMAT=MLN","Sort=A","Dates=H","DateFormat=P","Fill=—","Direction=H","UseDPDF=Y")</f>
        <v>71.924999999999997</v>
      </c>
      <c r="Z20" s="13">
        <f>_xll.BDH("ALNY US Equity","ARD_OTHER_NONCURRENT_ASSET","FQ3 2024","FQ3 2024","Currency=USD","Period=FQ","BEST_FPERIOD_OVERRIDE=FQ","FILING_STATUS=MR","SCALING_FORMAT=MLN","Sort=A","Dates=H","DateFormat=P","Fill=—","Direction=H","UseDPDF=Y")</f>
        <v>77.617999999999995</v>
      </c>
      <c r="AA20" s="13">
        <f>_xll.BDH("ALNY US Equity","ARD_OTHER_NONCURRENT_ASSET","FQ4 2024","FQ4 2024","Currency=USD","Period=FQ","BEST_FPERIOD_OVERRIDE=FQ","FILING_STATUS=MR","SCALING_FORMAT=MLN","Sort=A","Dates=H","DateFormat=P","Fill=—","Direction=H","UseDPDF=Y")</f>
        <v>65.31</v>
      </c>
    </row>
    <row r="21" spans="1:27" x14ac:dyDescent="0.25">
      <c r="A21" s="10" t="s">
        <v>850</v>
      </c>
      <c r="B21" s="10" t="s">
        <v>851</v>
      </c>
      <c r="C21" s="13" t="str">
        <f>_xll.BDH("ALNY US Equity","ARD_OTHER_RECEIVABLES_LT","FQ4 2018","FQ4 2018","Currency=USD","Period=FQ","BEST_FPERIOD_OVERRIDE=FQ","FILING_STATUS=MR","SCALING_FORMAT=MLN","Sort=A","Dates=H","DateFormat=P","Fill=—","Direction=H","UseDPDF=Y")</f>
        <v>—</v>
      </c>
      <c r="D21" s="13" t="str">
        <f>_xll.BDH("ALNY US Equity","ARD_OTHER_RECEIVABLES_LT","FQ1 2019","FQ1 2019","Currency=USD","Period=FQ","BEST_FPERIOD_OVERRIDE=FQ","FILING_STATUS=MR","SCALING_FORMAT=MLN","Sort=A","Dates=H","DateFormat=P","Fill=—","Direction=H","UseDPDF=Y")</f>
        <v>—</v>
      </c>
      <c r="E21" s="13" t="str">
        <f>_xll.BDH("ALNY US Equity","ARD_OTHER_RECEIVABLES_LT","FQ2 2019","FQ2 2019","Currency=USD","Period=FQ","BEST_FPERIOD_OVERRIDE=FQ","FILING_STATUS=MR","SCALING_FORMAT=MLN","Sort=A","Dates=H","DateFormat=P","Fill=—","Direction=H","UseDPDF=Y")</f>
        <v>—</v>
      </c>
      <c r="F21" s="13" t="str">
        <f>_xll.BDH("ALNY US Equity","ARD_OTHER_RECEIVABLES_LT","FQ3 2019","FQ3 2019","Currency=USD","Period=FQ","BEST_FPERIOD_OVERRIDE=FQ","FILING_STATUS=MR","SCALING_FORMAT=MLN","Sort=A","Dates=H","DateFormat=P","Fill=—","Direction=H","UseDPDF=Y")</f>
        <v>—</v>
      </c>
      <c r="G21" s="13" t="str">
        <f>_xll.BDH("ALNY US Equity","ARD_OTHER_RECEIVABLES_LT","FQ4 2019","FQ4 2019","Currency=USD","Period=FQ","BEST_FPERIOD_OVERRIDE=FQ","FILING_STATUS=MR","SCALING_FORMAT=MLN","Sort=A","Dates=H","DateFormat=P","Fill=—","Direction=H","UseDPDF=Y")</f>
        <v>—</v>
      </c>
      <c r="H21" s="13" t="str">
        <f>_xll.BDH("ALNY US Equity","ARD_OTHER_RECEIVABLES_LT","FQ1 2020","FQ1 2020","Currency=USD","Period=FQ","BEST_FPERIOD_OVERRIDE=FQ","FILING_STATUS=MR","SCALING_FORMAT=MLN","Sort=A","Dates=H","DateFormat=P","Fill=—","Direction=H","UseDPDF=Y")</f>
        <v>—</v>
      </c>
      <c r="I21" s="13">
        <f>_xll.BDH("ALNY US Equity","ARD_OTHER_RECEIVABLES_LT","FQ2 2020","FQ2 2020","Currency=USD","Period=FQ","BEST_FPERIOD_OVERRIDE=FQ","FILING_STATUS=MR","SCALING_FORMAT=MLN","Sort=A","Dates=H","DateFormat=P","Fill=—","Direction=H","UseDPDF=Y")</f>
        <v>500</v>
      </c>
      <c r="J21" s="13" t="str">
        <f>_xll.BDH("ALNY US Equity","ARD_OTHER_RECEIVABLES_LT","FQ3 2020","FQ3 2020","Currency=USD","Period=FQ","BEST_FPERIOD_OVERRIDE=FQ","FILING_STATUS=MR","SCALING_FORMAT=MLN","Sort=A","Dates=H","DateFormat=P","Fill=—","Direction=H","UseDPDF=Y")</f>
        <v>—</v>
      </c>
      <c r="K21" s="13" t="str">
        <f>_xll.BDH("ALNY US Equity","ARD_OTHER_RECEIVABLES_LT","FQ4 2020","FQ4 2020","Currency=USD","Period=FQ","BEST_FPERIOD_OVERRIDE=FQ","FILING_STATUS=MR","SCALING_FORMAT=MLN","Sort=A","Dates=H","DateFormat=P","Fill=—","Direction=H","UseDPDF=Y")</f>
        <v>—</v>
      </c>
      <c r="L21" s="13" t="str">
        <f>_xll.BDH("ALNY US Equity","ARD_OTHER_RECEIVABLES_LT","FQ1 2021","FQ1 2021","Currency=USD","Period=FQ","BEST_FPERIOD_OVERRIDE=FQ","FILING_STATUS=MR","SCALING_FORMAT=MLN","Sort=A","Dates=H","DateFormat=P","Fill=—","Direction=H","UseDPDF=Y")</f>
        <v>—</v>
      </c>
      <c r="M21" s="13" t="str">
        <f>_xll.BDH("ALNY US Equity","ARD_OTHER_RECEIVABLES_LT","FQ2 2021","FQ2 2021","Currency=USD","Period=FQ","BEST_FPERIOD_OVERRIDE=FQ","FILING_STATUS=MR","SCALING_FORMAT=MLN","Sort=A","Dates=H","DateFormat=P","Fill=—","Direction=H","UseDPDF=Y")</f>
        <v>—</v>
      </c>
      <c r="N21" s="13" t="str">
        <f>_xll.BDH("ALNY US Equity","ARD_OTHER_RECEIVABLES_LT","FQ3 2021","FQ3 2021","Currency=USD","Period=FQ","BEST_FPERIOD_OVERRIDE=FQ","FILING_STATUS=MR","SCALING_FORMAT=MLN","Sort=A","Dates=H","DateFormat=P","Fill=—","Direction=H","UseDPDF=Y")</f>
        <v>—</v>
      </c>
      <c r="O21" s="13" t="str">
        <f>_xll.BDH("ALNY US Equity","ARD_OTHER_RECEIVABLES_LT","FQ4 2021","FQ4 2021","Currency=USD","Period=FQ","BEST_FPERIOD_OVERRIDE=FQ","FILING_STATUS=MR","SCALING_FORMAT=MLN","Sort=A","Dates=H","DateFormat=P","Fill=—","Direction=H","UseDPDF=Y")</f>
        <v>—</v>
      </c>
      <c r="P21" s="13" t="str">
        <f>_xll.BDH("ALNY US Equity","ARD_OTHER_RECEIVABLES_LT","FQ1 2022","FQ1 2022","Currency=USD","Period=FQ","BEST_FPERIOD_OVERRIDE=FQ","FILING_STATUS=MR","SCALING_FORMAT=MLN","Sort=A","Dates=H","DateFormat=P","Fill=—","Direction=H","UseDPDF=Y")</f>
        <v>—</v>
      </c>
      <c r="Q21" s="13" t="str">
        <f>_xll.BDH("ALNY US Equity","ARD_OTHER_RECEIVABLES_LT","FQ2 2022","FQ2 2022","Currency=USD","Period=FQ","BEST_FPERIOD_OVERRIDE=FQ","FILING_STATUS=MR","SCALING_FORMAT=MLN","Sort=A","Dates=H","DateFormat=P","Fill=—","Direction=H","UseDPDF=Y")</f>
        <v>—</v>
      </c>
      <c r="R21" s="13" t="str">
        <f>_xll.BDH("ALNY US Equity","ARD_OTHER_RECEIVABLES_LT","FQ3 2022","FQ3 2022","Currency=USD","Period=FQ","BEST_FPERIOD_OVERRIDE=FQ","FILING_STATUS=MR","SCALING_FORMAT=MLN","Sort=A","Dates=H","DateFormat=P","Fill=—","Direction=H","UseDPDF=Y")</f>
        <v>—</v>
      </c>
      <c r="S21" s="13" t="str">
        <f>_xll.BDH("ALNY US Equity","ARD_OTHER_RECEIVABLES_LT","FQ4 2022","FQ4 2022","Currency=USD","Period=FQ","BEST_FPERIOD_OVERRIDE=FQ","FILING_STATUS=MR","SCALING_FORMAT=MLN","Sort=A","Dates=H","DateFormat=P","Fill=—","Direction=H","UseDPDF=Y")</f>
        <v>—</v>
      </c>
      <c r="T21" s="13" t="str">
        <f>_xll.BDH("ALNY US Equity","ARD_OTHER_RECEIVABLES_LT","FQ1 2023","FQ1 2023","Currency=USD","Period=FQ","BEST_FPERIOD_OVERRIDE=FQ","FILING_STATUS=MR","SCALING_FORMAT=MLN","Sort=A","Dates=H","DateFormat=P","Fill=—","Direction=H","UseDPDF=Y")</f>
        <v>—</v>
      </c>
      <c r="U21" s="13" t="str">
        <f>_xll.BDH("ALNY US Equity","ARD_OTHER_RECEIVABLES_LT","FQ2 2023","FQ2 2023","Currency=USD","Period=FQ","BEST_FPERIOD_OVERRIDE=FQ","FILING_STATUS=MR","SCALING_FORMAT=MLN","Sort=A","Dates=H","DateFormat=P","Fill=—","Direction=H","UseDPDF=Y")</f>
        <v>—</v>
      </c>
      <c r="V21" s="13" t="str">
        <f>_xll.BDH("ALNY US Equity","ARD_OTHER_RECEIVABLES_LT","FQ3 2023","FQ3 2023","Currency=USD","Period=FQ","BEST_FPERIOD_OVERRIDE=FQ","FILING_STATUS=MR","SCALING_FORMAT=MLN","Sort=A","Dates=H","DateFormat=P","Fill=—","Direction=H","UseDPDF=Y")</f>
        <v>—</v>
      </c>
      <c r="W21" s="13" t="str">
        <f>_xll.BDH("ALNY US Equity","ARD_OTHER_RECEIVABLES_LT","FQ4 2023","FQ4 2023","Currency=USD","Period=FQ","BEST_FPERIOD_OVERRIDE=FQ","FILING_STATUS=MR","SCALING_FORMAT=MLN","Sort=A","Dates=H","DateFormat=P","Fill=—","Direction=H","UseDPDF=Y")</f>
        <v>—</v>
      </c>
      <c r="X21" s="13" t="str">
        <f>_xll.BDH("ALNY US Equity","ARD_OTHER_RECEIVABLES_LT","FQ1 2024","FQ1 2024","Currency=USD","Period=FQ","BEST_FPERIOD_OVERRIDE=FQ","FILING_STATUS=MR","SCALING_FORMAT=MLN","Sort=A","Dates=H","DateFormat=P","Fill=—","Direction=H","UseDPDF=Y")</f>
        <v>—</v>
      </c>
      <c r="Y21" s="13" t="str">
        <f>_xll.BDH("ALNY US Equity","ARD_OTHER_RECEIVABLES_LT","FQ2 2024","FQ2 2024","Currency=USD","Period=FQ","BEST_FPERIOD_OVERRIDE=FQ","FILING_STATUS=MR","SCALING_FORMAT=MLN","Sort=A","Dates=H","DateFormat=P","Fill=—","Direction=H","UseDPDF=Y")</f>
        <v>—</v>
      </c>
      <c r="Z21" s="13" t="str">
        <f>_xll.BDH("ALNY US Equity","ARD_OTHER_RECEIVABLES_LT","FQ3 2024","FQ3 2024","Currency=USD","Period=FQ","BEST_FPERIOD_OVERRIDE=FQ","FILING_STATUS=MR","SCALING_FORMAT=MLN","Sort=A","Dates=H","DateFormat=P","Fill=—","Direction=H","UseDPDF=Y")</f>
        <v>—</v>
      </c>
      <c r="AA21" s="13" t="str">
        <f>_xll.BDH("ALNY US Equity","ARD_OTHER_RECEIVABLES_LT","FQ4 2024","FQ4 2024","Currency=USD","Period=FQ","BEST_FPERIOD_OVERRIDE=FQ","FILING_STATUS=MR","SCALING_FORMAT=MLN","Sort=A","Dates=H","DateFormat=P","Fill=—","Direction=H","UseDPDF=Y")</f>
        <v>—</v>
      </c>
    </row>
    <row r="22" spans="1:27" x14ac:dyDescent="0.25">
      <c r="A22" s="10" t="s">
        <v>852</v>
      </c>
      <c r="B22" s="10" t="s">
        <v>853</v>
      </c>
      <c r="C22" s="13" t="str">
        <f>_xll.BDH("ALNY US Equity","ARD_TOTAL_NONCURRENT_ASSETS","FQ4 2018","FQ4 2018","Currency=USD","Period=FQ","BEST_FPERIOD_OVERRIDE=FQ","FILING_STATUS=MR","SCALING_FORMAT=MLN","Sort=A","Dates=H","DateFormat=P","Fill=—","Direction=H","UseDPDF=Y")</f>
        <v>—</v>
      </c>
      <c r="D22" s="13" t="str">
        <f>_xll.BDH("ALNY US Equity","ARD_TOTAL_NONCURRENT_ASSETS","FQ1 2019","FQ1 2019","Currency=USD","Period=FQ","BEST_FPERIOD_OVERRIDE=FQ","FILING_STATUS=MR","SCALING_FORMAT=MLN","Sort=A","Dates=H","DateFormat=P","Fill=—","Direction=H","UseDPDF=Y")</f>
        <v>—</v>
      </c>
      <c r="E22" s="13" t="str">
        <f>_xll.BDH("ALNY US Equity","ARD_TOTAL_NONCURRENT_ASSETS","FQ2 2019","FQ2 2019","Currency=USD","Period=FQ","BEST_FPERIOD_OVERRIDE=FQ","FILING_STATUS=MR","SCALING_FORMAT=MLN","Sort=A","Dates=H","DateFormat=P","Fill=—","Direction=H","UseDPDF=Y")</f>
        <v>—</v>
      </c>
      <c r="F22" s="13" t="str">
        <f>_xll.BDH("ALNY US Equity","ARD_TOTAL_NONCURRENT_ASSETS","FQ3 2019","FQ3 2019","Currency=USD","Period=FQ","BEST_FPERIOD_OVERRIDE=FQ","FILING_STATUS=MR","SCALING_FORMAT=MLN","Sort=A","Dates=H","DateFormat=P","Fill=—","Direction=H","UseDPDF=Y")</f>
        <v>—</v>
      </c>
      <c r="G22" s="13" t="str">
        <f>_xll.BDH("ALNY US Equity","ARD_TOTAL_NONCURRENT_ASSETS","FQ4 2019","FQ4 2019","Currency=USD","Period=FQ","BEST_FPERIOD_OVERRIDE=FQ","FILING_STATUS=MR","SCALING_FORMAT=MLN","Sort=A","Dates=H","DateFormat=P","Fill=—","Direction=H","UseDPDF=Y")</f>
        <v>—</v>
      </c>
      <c r="H22" s="13" t="str">
        <f>_xll.BDH("ALNY US Equity","ARD_TOTAL_NONCURRENT_ASSETS","FQ1 2020","FQ1 2020","Currency=USD","Period=FQ","BEST_FPERIOD_OVERRIDE=FQ","FILING_STATUS=MR","SCALING_FORMAT=MLN","Sort=A","Dates=H","DateFormat=P","Fill=—","Direction=H","UseDPDF=Y")</f>
        <v>—</v>
      </c>
      <c r="I22" s="13" t="str">
        <f>_xll.BDH("ALNY US Equity","ARD_TOTAL_NONCURRENT_ASSETS","FQ2 2020","FQ2 2020","Currency=USD","Period=FQ","BEST_FPERIOD_OVERRIDE=FQ","FILING_STATUS=MR","SCALING_FORMAT=MLN","Sort=A","Dates=H","DateFormat=P","Fill=—","Direction=H","UseDPDF=Y")</f>
        <v>—</v>
      </c>
      <c r="J22" s="13" t="str">
        <f>_xll.BDH("ALNY US Equity","ARD_TOTAL_NONCURRENT_ASSETS","FQ3 2020","FQ3 2020","Currency=USD","Period=FQ","BEST_FPERIOD_OVERRIDE=FQ","FILING_STATUS=MR","SCALING_FORMAT=MLN","Sort=A","Dates=H","DateFormat=P","Fill=—","Direction=H","UseDPDF=Y")</f>
        <v>—</v>
      </c>
      <c r="K22" s="13" t="str">
        <f>_xll.BDH("ALNY US Equity","ARD_TOTAL_NONCURRENT_ASSETS","FQ4 2020","FQ4 2020","Currency=USD","Period=FQ","BEST_FPERIOD_OVERRIDE=FQ","FILING_STATUS=MR","SCALING_FORMAT=MLN","Sort=A","Dates=H","DateFormat=P","Fill=—","Direction=H","UseDPDF=Y")</f>
        <v>—</v>
      </c>
      <c r="L22" s="13" t="str">
        <f>_xll.BDH("ALNY US Equity","ARD_TOTAL_NONCURRENT_ASSETS","FQ1 2021","FQ1 2021","Currency=USD","Period=FQ","BEST_FPERIOD_OVERRIDE=FQ","FILING_STATUS=MR","SCALING_FORMAT=MLN","Sort=A","Dates=H","DateFormat=P","Fill=—","Direction=H","UseDPDF=Y")</f>
        <v>—</v>
      </c>
      <c r="M22" s="13" t="str">
        <f>_xll.BDH("ALNY US Equity","ARD_TOTAL_NONCURRENT_ASSETS","FQ2 2021","FQ2 2021","Currency=USD","Period=FQ","BEST_FPERIOD_OVERRIDE=FQ","FILING_STATUS=MR","SCALING_FORMAT=MLN","Sort=A","Dates=H","DateFormat=P","Fill=—","Direction=H","UseDPDF=Y")</f>
        <v>—</v>
      </c>
      <c r="N22" s="13">
        <f>_xll.BDH("ALNY US Equity","ARD_TOTAL_NONCURRENT_ASSETS","FQ3 2021","FQ3 2021","Currency=USD","Period=FQ","BEST_FPERIOD_OVERRIDE=FQ","FILING_STATUS=MR","SCALING_FORMAT=MLN","Sort=A","Dates=H","DateFormat=P","Fill=—","Direction=H","UseDPDF=Y")</f>
        <v>796.95100000000002</v>
      </c>
      <c r="O22" s="13" t="str">
        <f>_xll.BDH("ALNY US Equity","ARD_TOTAL_NONCURRENT_ASSETS","FQ4 2021","FQ4 2021","Currency=USD","Period=FQ","BEST_FPERIOD_OVERRIDE=FQ","FILING_STATUS=MR","SCALING_FORMAT=MLN","Sort=A","Dates=H","DateFormat=P","Fill=—","Direction=H","UseDPDF=Y")</f>
        <v>—</v>
      </c>
      <c r="P22" s="13" t="str">
        <f>_xll.BDH("ALNY US Equity","ARD_TOTAL_NONCURRENT_ASSETS","FQ1 2022","FQ1 2022","Currency=USD","Period=FQ","BEST_FPERIOD_OVERRIDE=FQ","FILING_STATUS=MR","SCALING_FORMAT=MLN","Sort=A","Dates=H","DateFormat=P","Fill=—","Direction=H","UseDPDF=Y")</f>
        <v>—</v>
      </c>
      <c r="Q22" s="13" t="str">
        <f>_xll.BDH("ALNY US Equity","ARD_TOTAL_NONCURRENT_ASSETS","FQ2 2022","FQ2 2022","Currency=USD","Period=FQ","BEST_FPERIOD_OVERRIDE=FQ","FILING_STATUS=MR","SCALING_FORMAT=MLN","Sort=A","Dates=H","DateFormat=P","Fill=—","Direction=H","UseDPDF=Y")</f>
        <v>—</v>
      </c>
      <c r="R22" s="13">
        <f>_xll.BDH("ALNY US Equity","ARD_TOTAL_NONCURRENT_ASSETS","FQ3 2022","FQ3 2022","Currency=USD","Period=FQ","BEST_FPERIOD_OVERRIDE=FQ","FILING_STATUS=MR","SCALING_FORMAT=MLN","Sort=A","Dates=H","DateFormat=P","Fill=—","Direction=H","UseDPDF=Y")</f>
        <v>844.40800000000002</v>
      </c>
      <c r="S22" s="13">
        <f>_xll.BDH("ALNY US Equity","ARD_TOTAL_NONCURRENT_ASSETS","FQ4 2022","FQ4 2022","Currency=USD","Period=FQ","BEST_FPERIOD_OVERRIDE=FQ","FILING_STATUS=MR","SCALING_FORMAT=MLN","Sort=A","Dates=H","DateFormat=P","Fill=—","Direction=H","UseDPDF=Y")</f>
        <v>854.11199999999997</v>
      </c>
      <c r="T22" s="13">
        <f>_xll.BDH("ALNY US Equity","ARD_TOTAL_NONCURRENT_ASSETS","FQ1 2023","FQ1 2023","Currency=USD","Period=FQ","BEST_FPERIOD_OVERRIDE=FQ","FILING_STATUS=MR","SCALING_FORMAT=MLN","Sort=A","Dates=H","DateFormat=P","Fill=—","Direction=H","UseDPDF=Y")</f>
        <v>850.92200000000003</v>
      </c>
      <c r="U22" s="13">
        <f>_xll.BDH("ALNY US Equity","ARD_TOTAL_NONCURRENT_ASSETS","FQ2 2023","FQ2 2023","Currency=USD","Period=FQ","BEST_FPERIOD_OVERRIDE=FQ","FILING_STATUS=MR","SCALING_FORMAT=MLN","Sort=A","Dates=H","DateFormat=P","Fill=—","Direction=H","UseDPDF=Y")</f>
        <v>878.34900000000005</v>
      </c>
      <c r="V22" s="13">
        <f>_xll.BDH("ALNY US Equity","ARD_TOTAL_NONCURRENT_ASSETS","FQ3 2023","FQ3 2023","Currency=USD","Period=FQ","BEST_FPERIOD_OVERRIDE=FQ","FILING_STATUS=MR","SCALING_FORMAT=MLN","Sort=A","Dates=H","DateFormat=P","Fill=—","Direction=H","UseDPDF=Y")</f>
        <v>853.62099999999998</v>
      </c>
      <c r="W22" s="13">
        <f>_xll.BDH("ALNY US Equity","ARD_TOTAL_NONCURRENT_ASSETS","FQ4 2023","FQ4 2023","Currency=USD","Period=FQ","BEST_FPERIOD_OVERRIDE=FQ","FILING_STATUS=MR","SCALING_FORMAT=MLN","Sort=A","Dates=H","DateFormat=P","Fill=—","Direction=H","UseDPDF=Y")</f>
        <v>847.18299999999999</v>
      </c>
      <c r="X22" s="13">
        <f>_xll.BDH("ALNY US Equity","ARD_TOTAL_NONCURRENT_ASSETS","FQ1 2024","FQ1 2024","Currency=USD","Period=FQ","BEST_FPERIOD_OVERRIDE=FQ","FILING_STATUS=MR","SCALING_FORMAT=MLN","Sort=A","Dates=H","DateFormat=P","Fill=—","Direction=H","UseDPDF=Y")</f>
        <v>835.779</v>
      </c>
      <c r="Y22" s="13">
        <f>_xll.BDH("ALNY US Equity","ARD_TOTAL_NONCURRENT_ASSETS","FQ2 2024","FQ2 2024","Currency=USD","Period=FQ","BEST_FPERIOD_OVERRIDE=FQ","FILING_STATUS=MR","SCALING_FORMAT=MLN","Sort=A","Dates=H","DateFormat=P","Fill=—","Direction=H","UseDPDF=Y")</f>
        <v>836.77800000000002</v>
      </c>
      <c r="Z22" s="13" t="str">
        <f>_xll.BDH("ALNY US Equity","ARD_TOTAL_NONCURRENT_ASSETS","FQ3 2024","FQ3 2024","Currency=USD","Period=FQ","BEST_FPERIOD_OVERRIDE=FQ","FILING_STATUS=MR","SCALING_FORMAT=MLN","Sort=A","Dates=H","DateFormat=P","Fill=—","Direction=H","UseDPDF=Y")</f>
        <v>—</v>
      </c>
      <c r="AA22" s="13" t="str">
        <f>_xll.BDH("ALNY US Equity","ARD_TOTAL_NONCURRENT_ASSETS","FQ4 2024","FQ4 2024","Currency=USD","Period=FQ","BEST_FPERIOD_OVERRIDE=FQ","FILING_STATUS=MR","SCALING_FORMAT=MLN","Sort=A","Dates=H","DateFormat=P","Fill=—","Direction=H","UseDPDF=Y")</f>
        <v>—</v>
      </c>
    </row>
    <row r="23" spans="1:27" x14ac:dyDescent="0.25">
      <c r="A23" s="6" t="s">
        <v>112</v>
      </c>
      <c r="B23" s="6" t="s">
        <v>854</v>
      </c>
      <c r="C23" s="19">
        <f>_xll.BDH("ALNY US Equity","ARD_TOT_ASSETS","FQ4 2018","FQ4 2018","Currency=USD","Period=FQ","BEST_FPERIOD_OVERRIDE=FQ","FILING_STATUS=MR","SCALING_FORMAT=MLN","Sort=A","Dates=H","DateFormat=P","Fill=—","Direction=H","UseDPDF=Y")</f>
        <v>1574.8019999999999</v>
      </c>
      <c r="D23" s="19">
        <f>_xll.BDH("ALNY US Equity","ARD_TOT_ASSETS","FQ1 2019","FQ1 2019","Currency=USD","Period=FQ","BEST_FPERIOD_OVERRIDE=FQ","FILING_STATUS=MR","SCALING_FORMAT=MLN","Sort=A","Dates=H","DateFormat=P","Fill=—","Direction=H","UseDPDF=Y")</f>
        <v>2013.999</v>
      </c>
      <c r="E23" s="19">
        <f>_xll.BDH("ALNY US Equity","ARD_TOT_ASSETS","FQ2 2019","FQ2 2019","Currency=USD","Period=FQ","BEST_FPERIOD_OVERRIDE=FQ","FILING_STATUS=MR","SCALING_FORMAT=MLN","Sort=A","Dates=H","DateFormat=P","Fill=—","Direction=H","UseDPDF=Y")</f>
        <v>2716.4110000000001</v>
      </c>
      <c r="F23" s="19">
        <f>_xll.BDH("ALNY US Equity","ARD_TOT_ASSETS","FQ3 2019","FQ3 2019","Currency=USD","Period=FQ","BEST_FPERIOD_OVERRIDE=FQ","FILING_STATUS=MR","SCALING_FORMAT=MLN","Sort=A","Dates=H","DateFormat=P","Fill=—","Direction=H","UseDPDF=Y")</f>
        <v>2541.6219999999998</v>
      </c>
      <c r="G23" s="19">
        <f>_xll.BDH("ALNY US Equity","ARD_TOT_ASSETS","FQ4 2019","FQ4 2019","Currency=USD","Period=FQ","BEST_FPERIOD_OVERRIDE=FQ","FILING_STATUS=MR","SCALING_FORMAT=MLN","Sort=A","Dates=H","DateFormat=P","Fill=—","Direction=H","UseDPDF=Y")</f>
        <v>2395.134</v>
      </c>
      <c r="H23" s="19">
        <f>_xll.BDH("ALNY US Equity","ARD_TOT_ASSETS","FQ1 2020","FQ1 2020","Currency=USD","Period=FQ","BEST_FPERIOD_OVERRIDE=FQ","FILING_STATUS=MR","SCALING_FORMAT=MLN","Sort=A","Dates=H","DateFormat=P","Fill=—","Direction=H","UseDPDF=Y")</f>
        <v>2279.6239999999998</v>
      </c>
      <c r="I23" s="19">
        <f>_xll.BDH("ALNY US Equity","ARD_TOT_ASSETS","FQ2 2020","FQ2 2020","Currency=USD","Period=FQ","BEST_FPERIOD_OVERRIDE=FQ","FILING_STATUS=MR","SCALING_FORMAT=MLN","Sort=A","Dates=H","DateFormat=P","Fill=—","Direction=H","UseDPDF=Y")</f>
        <v>3374.3670000000002</v>
      </c>
      <c r="J23" s="19">
        <f>_xll.BDH("ALNY US Equity","ARD_TOT_ASSETS","FQ3 2020","FQ3 2020","Currency=USD","Period=FQ","BEST_FPERIOD_OVERRIDE=FQ","FILING_STATUS=MR","SCALING_FORMAT=MLN","Sort=A","Dates=H","DateFormat=P","Fill=—","Direction=H","UseDPDF=Y")</f>
        <v>3307.2829999999999</v>
      </c>
      <c r="K23" s="19">
        <f>_xll.BDH("ALNY US Equity","ARD_TOT_ASSETS","FQ4 2020","FQ4 2020","Currency=USD","Period=FQ","BEST_FPERIOD_OVERRIDE=FQ","FILING_STATUS=MR","SCALING_FORMAT=MLN","Sort=A","Dates=H","DateFormat=P","Fill=—","Direction=H","UseDPDF=Y")</f>
        <v>3407.0610000000001</v>
      </c>
      <c r="L23" s="19">
        <f>_xll.BDH("ALNY US Equity","ARD_TOT_ASSETS","FQ1 2021","FQ1 2021","Currency=USD","Period=FQ","BEST_FPERIOD_OVERRIDE=FQ","FILING_STATUS=MR","SCALING_FORMAT=MLN","Sort=A","Dates=H","DateFormat=P","Fill=—","Direction=H","UseDPDF=Y")</f>
        <v>3255.2689999999998</v>
      </c>
      <c r="M23" s="19">
        <f>_xll.BDH("ALNY US Equity","ARD_TOT_ASSETS","FQ2 2021","FQ2 2021","Currency=USD","Period=FQ","BEST_FPERIOD_OVERRIDE=FQ","FILING_STATUS=MR","SCALING_FORMAT=MLN","Sort=A","Dates=H","DateFormat=P","Fill=—","Direction=H","UseDPDF=Y")</f>
        <v>3509.4290000000001</v>
      </c>
      <c r="N23" s="19">
        <f>_xll.BDH("ALNY US Equity","ARD_TOT_ASSETS","FQ3 2021","FQ3 2021","Currency=USD","Period=FQ","BEST_FPERIOD_OVERRIDE=FQ","FILING_STATUS=MR","SCALING_FORMAT=MLN","Sort=A","Dates=H","DateFormat=P","Fill=—","Direction=H","UseDPDF=Y")</f>
        <v>3472.3130000000001</v>
      </c>
      <c r="O23" s="19">
        <f>_xll.BDH("ALNY US Equity","ARD_TOT_ASSETS","FQ4 2021","FQ4 2021","Currency=USD","Period=FQ","BEST_FPERIOD_OVERRIDE=FQ","FILING_STATUS=MR","SCALING_FORMAT=MLN","Sort=A","Dates=H","DateFormat=P","Fill=—","Direction=H","UseDPDF=Y")</f>
        <v>3643.3040000000001</v>
      </c>
      <c r="P23" s="19">
        <f>_xll.BDH("ALNY US Equity","ARD_TOT_ASSETS","FQ1 2022","FQ1 2022","Currency=USD","Period=FQ","BEST_FPERIOD_OVERRIDE=FQ","FILING_STATUS=MR","SCALING_FORMAT=MLN","Sort=A","Dates=H","DateFormat=P","Fill=—","Direction=H","UseDPDF=Y")</f>
        <v>3433.5450000000001</v>
      </c>
      <c r="Q23" s="19">
        <f>_xll.BDH("ALNY US Equity","ARD_TOT_ASSETS","FQ2 2022","FQ2 2022","Currency=USD","Period=FQ","BEST_FPERIOD_OVERRIDE=FQ","FILING_STATUS=MR","SCALING_FORMAT=MLN","Sort=A","Dates=H","DateFormat=P","Fill=—","Direction=H","UseDPDF=Y")</f>
        <v>3330.4169999999999</v>
      </c>
      <c r="R23" s="19">
        <f>_xll.BDH("ALNY US Equity","ARD_TOT_ASSETS","FQ3 2022","FQ3 2022","Currency=USD","Period=FQ","BEST_FPERIOD_OVERRIDE=FQ","FILING_STATUS=MR","SCALING_FORMAT=MLN","Sort=A","Dates=H","DateFormat=P","Fill=—","Direction=H","UseDPDF=Y")</f>
        <v>3535.2550000000001</v>
      </c>
      <c r="S23" s="19">
        <f>_xll.BDH("ALNY US Equity","ARD_TOT_ASSETS","FQ4 2022","FQ4 2022","Currency=USD","Period=FQ","BEST_FPERIOD_OVERRIDE=FQ","FILING_STATUS=MR","SCALING_FORMAT=MLN","Sort=A","Dates=H","DateFormat=P","Fill=—","Direction=H","UseDPDF=Y")</f>
        <v>3546.3589999999999</v>
      </c>
      <c r="T23" s="19">
        <f>_xll.BDH("ALNY US Equity","ARD_TOT_ASSETS","FQ1 2023","FQ1 2023","Currency=USD","Period=FQ","BEST_FPERIOD_OVERRIDE=FQ","FILING_STATUS=MR","SCALING_FORMAT=MLN","Sort=A","Dates=H","DateFormat=P","Fill=—","Direction=H","UseDPDF=Y")</f>
        <v>3391.94</v>
      </c>
      <c r="U23" s="19">
        <f>_xll.BDH("ALNY US Equity","ARD_TOT_ASSETS","FQ2 2023","FQ2 2023","Currency=USD","Period=FQ","BEST_FPERIOD_OVERRIDE=FQ","FILING_STATUS=MR","SCALING_FORMAT=MLN","Sort=A","Dates=H","DateFormat=P","Fill=—","Direction=H","UseDPDF=Y")</f>
        <v>3402.3960000000002</v>
      </c>
      <c r="V23" s="19">
        <f>_xll.BDH("ALNY US Equity","ARD_TOT_ASSETS","FQ3 2023","FQ3 2023","Currency=USD","Period=FQ","BEST_FPERIOD_OVERRIDE=FQ","FILING_STATUS=MR","SCALING_FORMAT=MLN","Sort=A","Dates=H","DateFormat=P","Fill=—","Direction=H","UseDPDF=Y")</f>
        <v>3839.0729999999999</v>
      </c>
      <c r="W23" s="19">
        <f>_xll.BDH("ALNY US Equity","ARD_TOT_ASSETS","FQ4 2023","FQ4 2023","Currency=USD","Period=FQ","BEST_FPERIOD_OVERRIDE=FQ","FILING_STATUS=MR","SCALING_FORMAT=MLN","Sort=A","Dates=H","DateFormat=P","Fill=—","Direction=H","UseDPDF=Y")</f>
        <v>3829.88</v>
      </c>
      <c r="X23" s="19">
        <f>_xll.BDH("ALNY US Equity","ARD_TOT_ASSETS","FQ1 2024","FQ1 2024","Currency=USD","Period=FQ","BEST_FPERIOD_OVERRIDE=FQ","FILING_STATUS=MR","SCALING_FORMAT=MLN","Sort=A","Dates=H","DateFormat=P","Fill=—","Direction=H","UseDPDF=Y")</f>
        <v>3824.386</v>
      </c>
      <c r="Y23" s="19">
        <f>_xll.BDH("ALNY US Equity","ARD_TOT_ASSETS","FQ2 2024","FQ2 2024","Currency=USD","Period=FQ","BEST_FPERIOD_OVERRIDE=FQ","FILING_STATUS=MR","SCALING_FORMAT=MLN","Sort=A","Dates=H","DateFormat=P","Fill=—","Direction=H","UseDPDF=Y")</f>
        <v>4009.634</v>
      </c>
      <c r="Z23" s="19">
        <f>_xll.BDH("ALNY US Equity","ARD_TOT_ASSETS","FQ3 2024","FQ3 2024","Currency=USD","Period=FQ","BEST_FPERIOD_OVERRIDE=FQ","FILING_STATUS=MR","SCALING_FORMAT=MLN","Sort=A","Dates=H","DateFormat=P","Fill=—","Direction=H","UseDPDF=Y")</f>
        <v>4205.0389999999998</v>
      </c>
      <c r="AA23" s="19">
        <f>_xll.BDH("ALNY US Equity","ARD_TOT_ASSETS","FQ4 2024","FQ4 2024","Currency=USD","Period=FQ","BEST_FPERIOD_OVERRIDE=FQ","FILING_STATUS=MR","SCALING_FORMAT=MLN","Sort=A","Dates=H","DateFormat=P","Fill=—","Direction=H","UseDPDF=Y")</f>
        <v>4239.9830000000002</v>
      </c>
    </row>
    <row r="24" spans="1:27" x14ac:dyDescent="0.25">
      <c r="A24" s="10" t="s">
        <v>855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0" t="s">
        <v>856</v>
      </c>
      <c r="B25" s="10" t="s">
        <v>857</v>
      </c>
      <c r="C25" s="13">
        <f>_xll.BDH("ALNY US Equity","ARD_ACCOUNTS_PAYABLE_TRADE","FQ4 2018","FQ4 2018","Currency=USD","Period=FQ","BEST_FPERIOD_OVERRIDE=FQ","FILING_STATUS=MR","SCALING_FORMAT=MLN","Sort=A","Dates=H","DateFormat=P","Fill=—","Direction=H","UseDPDF=Y")</f>
        <v>59.707999999999998</v>
      </c>
      <c r="D25" s="13">
        <f>_xll.BDH("ALNY US Equity","ARD_ACCOUNTS_PAYABLE_TRADE","FQ1 2019","FQ1 2019","Currency=USD","Period=FQ","BEST_FPERIOD_OVERRIDE=FQ","FILING_STATUS=MR","SCALING_FORMAT=MLN","Sort=A","Dates=H","DateFormat=P","Fill=—","Direction=H","UseDPDF=Y")</f>
        <v>22.670999999999999</v>
      </c>
      <c r="E25" s="13">
        <f>_xll.BDH("ALNY US Equity","ARD_ACCOUNTS_PAYABLE_TRADE","FQ2 2019","FQ2 2019","Currency=USD","Period=FQ","BEST_FPERIOD_OVERRIDE=FQ","FILING_STATUS=MR","SCALING_FORMAT=MLN","Sort=A","Dates=H","DateFormat=P","Fill=—","Direction=H","UseDPDF=Y")</f>
        <v>71.215000000000003</v>
      </c>
      <c r="F25" s="13">
        <f>_xll.BDH("ALNY US Equity","ARD_ACCOUNTS_PAYABLE_TRADE","FQ3 2019","FQ3 2019","Currency=USD","Period=FQ","BEST_FPERIOD_OVERRIDE=FQ","FILING_STATUS=MR","SCALING_FORMAT=MLN","Sort=A","Dates=H","DateFormat=P","Fill=—","Direction=H","UseDPDF=Y")</f>
        <v>39.392000000000003</v>
      </c>
      <c r="G25" s="13">
        <f>_xll.BDH("ALNY US Equity","ARD_ACCOUNTS_PAYABLE_TRADE","FQ4 2019","FQ4 2019","Currency=USD","Period=FQ","BEST_FPERIOD_OVERRIDE=FQ","FILING_STATUS=MR","SCALING_FORMAT=MLN","Sort=A","Dates=H","DateFormat=P","Fill=—","Direction=H","UseDPDF=Y")</f>
        <v>49.884</v>
      </c>
      <c r="H25" s="13">
        <f>_xll.BDH("ALNY US Equity","ARD_ACCOUNTS_PAYABLE_TRADE","FQ1 2020","FQ1 2020","Currency=USD","Period=FQ","BEST_FPERIOD_OVERRIDE=FQ","FILING_STATUS=MR","SCALING_FORMAT=MLN","Sort=A","Dates=H","DateFormat=P","Fill=—","Direction=H","UseDPDF=Y")</f>
        <v>40.484000000000002</v>
      </c>
      <c r="I25" s="13">
        <f>_xll.BDH("ALNY US Equity","ARD_ACCOUNTS_PAYABLE_TRADE","FQ2 2020","FQ2 2020","Currency=USD","Period=FQ","BEST_FPERIOD_OVERRIDE=FQ","FILING_STATUS=MR","SCALING_FORMAT=MLN","Sort=A","Dates=H","DateFormat=P","Fill=—","Direction=H","UseDPDF=Y")</f>
        <v>26.125</v>
      </c>
      <c r="J25" s="13">
        <f>_xll.BDH("ALNY US Equity","ARD_ACCOUNTS_PAYABLE_TRADE","FQ3 2020","FQ3 2020","Currency=USD","Period=FQ","BEST_FPERIOD_OVERRIDE=FQ","FILING_STATUS=MR","SCALING_FORMAT=MLN","Sort=A","Dates=H","DateFormat=P","Fill=—","Direction=H","UseDPDF=Y")</f>
        <v>27.872</v>
      </c>
      <c r="K25" s="13">
        <f>_xll.BDH("ALNY US Equity","ARD_ACCOUNTS_PAYABLE_TRADE","FQ4 2020","FQ4 2020","Currency=USD","Period=FQ","BEST_FPERIOD_OVERRIDE=FQ","FILING_STATUS=MR","SCALING_FORMAT=MLN","Sort=A","Dates=H","DateFormat=P","Fill=—","Direction=H","UseDPDF=Y")</f>
        <v>51.966000000000001</v>
      </c>
      <c r="L25" s="13">
        <f>_xll.BDH("ALNY US Equity","ARD_ACCOUNTS_PAYABLE_TRADE","FQ1 2021","FQ1 2021","Currency=USD","Period=FQ","BEST_FPERIOD_OVERRIDE=FQ","FILING_STATUS=MR","SCALING_FORMAT=MLN","Sort=A","Dates=H","DateFormat=P","Fill=—","Direction=H","UseDPDF=Y")</f>
        <v>45.381</v>
      </c>
      <c r="M25" s="13">
        <f>_xll.BDH("ALNY US Equity","ARD_ACCOUNTS_PAYABLE_TRADE","FQ2 2021","FQ2 2021","Currency=USD","Period=FQ","BEST_FPERIOD_OVERRIDE=FQ","FILING_STATUS=MR","SCALING_FORMAT=MLN","Sort=A","Dates=H","DateFormat=P","Fill=—","Direction=H","UseDPDF=Y")</f>
        <v>53.079000000000001</v>
      </c>
      <c r="N25" s="13">
        <f>_xll.BDH("ALNY US Equity","ARD_ACCOUNTS_PAYABLE_TRADE","FQ3 2021","FQ3 2021","Currency=USD","Period=FQ","BEST_FPERIOD_OVERRIDE=FQ","FILING_STATUS=MR","SCALING_FORMAT=MLN","Sort=A","Dates=H","DateFormat=P","Fill=—","Direction=H","UseDPDF=Y")</f>
        <v>40.048000000000002</v>
      </c>
      <c r="O25" s="13">
        <f>_xll.BDH("ALNY US Equity","ARD_ACCOUNTS_PAYABLE_TRADE","FQ4 2021","FQ4 2021","Currency=USD","Period=FQ","BEST_FPERIOD_OVERRIDE=FQ","FILING_STATUS=MR","SCALING_FORMAT=MLN","Sort=A","Dates=H","DateFormat=P","Fill=—","Direction=H","UseDPDF=Y")</f>
        <v>73.426000000000002</v>
      </c>
      <c r="P25" s="13">
        <f>_xll.BDH("ALNY US Equity","ARD_ACCOUNTS_PAYABLE_TRADE","FQ1 2022","FQ1 2022","Currency=USD","Period=FQ","BEST_FPERIOD_OVERRIDE=FQ","FILING_STATUS=MR","SCALING_FORMAT=MLN","Sort=A","Dates=H","DateFormat=P","Fill=—","Direction=H","UseDPDF=Y")</f>
        <v>54.915999999999997</v>
      </c>
      <c r="Q25" s="13">
        <f>_xll.BDH("ALNY US Equity","ARD_ACCOUNTS_PAYABLE_TRADE","FQ2 2022","FQ2 2022","Currency=USD","Period=FQ","BEST_FPERIOD_OVERRIDE=FQ","FILING_STATUS=MR","SCALING_FORMAT=MLN","Sort=A","Dates=H","DateFormat=P","Fill=—","Direction=H","UseDPDF=Y")</f>
        <v>52.417999999999999</v>
      </c>
      <c r="R25" s="13">
        <f>_xll.BDH("ALNY US Equity","ARD_ACCOUNTS_PAYABLE_TRADE","FQ3 2022","FQ3 2022","Currency=USD","Period=FQ","BEST_FPERIOD_OVERRIDE=FQ","FILING_STATUS=MR","SCALING_FORMAT=MLN","Sort=A","Dates=H","DateFormat=P","Fill=—","Direction=H","UseDPDF=Y")</f>
        <v>40.572000000000003</v>
      </c>
      <c r="S25" s="13">
        <f>_xll.BDH("ALNY US Equity","ARD_ACCOUNTS_PAYABLE_TRADE","FQ4 2022","FQ4 2022","Currency=USD","Period=FQ","BEST_FPERIOD_OVERRIDE=FQ","FILING_STATUS=MR","SCALING_FORMAT=MLN","Sort=A","Dates=H","DateFormat=P","Fill=—","Direction=H","UseDPDF=Y")</f>
        <v>98.093999999999994</v>
      </c>
      <c r="T25" s="13">
        <f>_xll.BDH("ALNY US Equity","ARD_ACCOUNTS_PAYABLE_TRADE","FQ1 2023","FQ1 2023","Currency=USD","Period=FQ","BEST_FPERIOD_OVERRIDE=FQ","FILING_STATUS=MR","SCALING_FORMAT=MLN","Sort=A","Dates=H","DateFormat=P","Fill=—","Direction=H","UseDPDF=Y")</f>
        <v>62.237000000000002</v>
      </c>
      <c r="U25" s="13">
        <f>_xll.BDH("ALNY US Equity","ARD_ACCOUNTS_PAYABLE_TRADE","FQ2 2023","FQ2 2023","Currency=USD","Period=FQ","BEST_FPERIOD_OVERRIDE=FQ","FILING_STATUS=MR","SCALING_FORMAT=MLN","Sort=A","Dates=H","DateFormat=P","Fill=—","Direction=H","UseDPDF=Y")</f>
        <v>59.746000000000002</v>
      </c>
      <c r="V25" s="13">
        <f>_xll.BDH("ALNY US Equity","ARD_ACCOUNTS_PAYABLE_TRADE","FQ3 2023","FQ3 2023","Currency=USD","Period=FQ","BEST_FPERIOD_OVERRIDE=FQ","FILING_STATUS=MR","SCALING_FORMAT=MLN","Sort=A","Dates=H","DateFormat=P","Fill=—","Direction=H","UseDPDF=Y")</f>
        <v>73.84</v>
      </c>
      <c r="W25" s="13">
        <f>_xll.BDH("ALNY US Equity","ARD_ACCOUNTS_PAYABLE_TRADE","FQ4 2023","FQ4 2023","Currency=USD","Period=FQ","BEST_FPERIOD_OVERRIDE=FQ","FILING_STATUS=MR","SCALING_FORMAT=MLN","Sort=A","Dates=H","DateFormat=P","Fill=—","Direction=H","UseDPDF=Y")</f>
        <v>55.518999999999998</v>
      </c>
      <c r="X25" s="13">
        <f>_xll.BDH("ALNY US Equity","ARD_ACCOUNTS_PAYABLE_TRADE","FQ1 2024","FQ1 2024","Currency=USD","Period=FQ","BEST_FPERIOD_OVERRIDE=FQ","FILING_STATUS=MR","SCALING_FORMAT=MLN","Sort=A","Dates=H","DateFormat=P","Fill=—","Direction=H","UseDPDF=Y")</f>
        <v>78.147999999999996</v>
      </c>
      <c r="Y25" s="13">
        <f>_xll.BDH("ALNY US Equity","ARD_ACCOUNTS_PAYABLE_TRADE","FQ2 2024","FQ2 2024","Currency=USD","Period=FQ","BEST_FPERIOD_OVERRIDE=FQ","FILING_STATUS=MR","SCALING_FORMAT=MLN","Sort=A","Dates=H","DateFormat=P","Fill=—","Direction=H","UseDPDF=Y")</f>
        <v>73.98</v>
      </c>
      <c r="Z25" s="13">
        <f>_xll.BDH("ALNY US Equity","ARD_ACCOUNTS_PAYABLE_TRADE","FQ3 2024","FQ3 2024","Currency=USD","Period=FQ","BEST_FPERIOD_OVERRIDE=FQ","FILING_STATUS=MR","SCALING_FORMAT=MLN","Sort=A","Dates=H","DateFormat=P","Fill=—","Direction=H","UseDPDF=Y")</f>
        <v>70.805000000000007</v>
      </c>
      <c r="AA25" s="13">
        <f>_xll.BDH("ALNY US Equity","ARD_ACCOUNTS_PAYABLE_TRADE","FQ4 2024","FQ4 2024","Currency=USD","Period=FQ","BEST_FPERIOD_OVERRIDE=FQ","FILING_STATUS=MR","SCALING_FORMAT=MLN","Sort=A","Dates=H","DateFormat=P","Fill=—","Direction=H","UseDPDF=Y")</f>
        <v>88.415000000000006</v>
      </c>
    </row>
    <row r="26" spans="1:27" x14ac:dyDescent="0.25">
      <c r="A26" s="10" t="s">
        <v>858</v>
      </c>
      <c r="B26" s="10" t="s">
        <v>859</v>
      </c>
      <c r="C26" s="13">
        <f>_xll.BDH("ALNY US Equity","ARD_ACCRUED_EXPENSES","FQ4 2018","FQ4 2018","Currency=USD","Period=FQ","BEST_FPERIOD_OVERRIDE=FQ","FILING_STATUS=MR","SCALING_FORMAT=MLN","Sort=A","Dates=H","DateFormat=P","Fill=—","Direction=H","UseDPDF=Y")</f>
        <v>112.71899999999999</v>
      </c>
      <c r="D26" s="13">
        <f>_xll.BDH("ALNY US Equity","ARD_ACCRUED_EXPENSES","FQ1 2019","FQ1 2019","Currency=USD","Period=FQ","BEST_FPERIOD_OVERRIDE=FQ","FILING_STATUS=MR","SCALING_FORMAT=MLN","Sort=A","Dates=H","DateFormat=P","Fill=—","Direction=H","UseDPDF=Y")</f>
        <v>106.873</v>
      </c>
      <c r="E26" s="13">
        <f>_xll.BDH("ALNY US Equity","ARD_ACCRUED_EXPENSES","FQ2 2019","FQ2 2019","Currency=USD","Period=FQ","BEST_FPERIOD_OVERRIDE=FQ","FILING_STATUS=MR","SCALING_FORMAT=MLN","Sort=A","Dates=H","DateFormat=P","Fill=—","Direction=H","UseDPDF=Y")</f>
        <v>138.80000000000001</v>
      </c>
      <c r="F26" s="13">
        <f>_xll.BDH("ALNY US Equity","ARD_ACCRUED_EXPENSES","FQ3 2019","FQ3 2019","Currency=USD","Period=FQ","BEST_FPERIOD_OVERRIDE=FQ","FILING_STATUS=MR","SCALING_FORMAT=MLN","Sort=A","Dates=H","DateFormat=P","Fill=—","Direction=H","UseDPDF=Y")</f>
        <v>177.94800000000001</v>
      </c>
      <c r="G26" s="13">
        <f>_xll.BDH("ALNY US Equity","ARD_ACCRUED_EXPENSES","FQ4 2019","FQ4 2019","Currency=USD","Period=FQ","BEST_FPERIOD_OVERRIDE=FQ","FILING_STATUS=MR","SCALING_FORMAT=MLN","Sort=A","Dates=H","DateFormat=P","Fill=—","Direction=H","UseDPDF=Y")</f>
        <v>197.20099999999999</v>
      </c>
      <c r="H26" s="13">
        <f>_xll.BDH("ALNY US Equity","ARD_ACCRUED_EXPENSES","FQ1 2020","FQ1 2020","Currency=USD","Period=FQ","BEST_FPERIOD_OVERRIDE=FQ","FILING_STATUS=MR","SCALING_FORMAT=MLN","Sort=A","Dates=H","DateFormat=P","Fill=—","Direction=H","UseDPDF=Y")</f>
        <v>183.221</v>
      </c>
      <c r="I26" s="13">
        <f>_xll.BDH("ALNY US Equity","ARD_ACCRUED_EXPENSES","FQ2 2020","FQ2 2020","Currency=USD","Period=FQ","BEST_FPERIOD_OVERRIDE=FQ","FILING_STATUS=MR","SCALING_FORMAT=MLN","Sort=A","Dates=H","DateFormat=P","Fill=—","Direction=H","UseDPDF=Y")</f>
        <v>211.18600000000001</v>
      </c>
      <c r="J26" s="13">
        <f>_xll.BDH("ALNY US Equity","ARD_ACCRUED_EXPENSES","FQ3 2020","FQ3 2020","Currency=USD","Period=FQ","BEST_FPERIOD_OVERRIDE=FQ","FILING_STATUS=MR","SCALING_FORMAT=MLN","Sort=A","Dates=H","DateFormat=P","Fill=—","Direction=H","UseDPDF=Y")</f>
        <v>295.26</v>
      </c>
      <c r="K26" s="13">
        <f>_xll.BDH("ALNY US Equity","ARD_ACCRUED_EXPENSES","FQ4 2020","FQ4 2020","Currency=USD","Period=FQ","BEST_FPERIOD_OVERRIDE=FQ","FILING_STATUS=MR","SCALING_FORMAT=MLN","Sort=A","Dates=H","DateFormat=P","Fill=—","Direction=H","UseDPDF=Y")</f>
        <v>355.90899999999999</v>
      </c>
      <c r="L26" s="13">
        <f>_xll.BDH("ALNY US Equity","ARD_ACCRUED_EXPENSES","FQ1 2021","FQ1 2021","Currency=USD","Period=FQ","BEST_FPERIOD_OVERRIDE=FQ","FILING_STATUS=MR","SCALING_FORMAT=MLN","Sort=A","Dates=H","DateFormat=P","Fill=—","Direction=H","UseDPDF=Y")</f>
        <v>280.52699999999999</v>
      </c>
      <c r="M26" s="13">
        <f>_xll.BDH("ALNY US Equity","ARD_ACCRUED_EXPENSES","FQ2 2021","FQ2 2021","Currency=USD","Period=FQ","BEST_FPERIOD_OVERRIDE=FQ","FILING_STATUS=MR","SCALING_FORMAT=MLN","Sort=A","Dates=H","DateFormat=P","Fill=—","Direction=H","UseDPDF=Y")</f>
        <v>341.18700000000001</v>
      </c>
      <c r="N26" s="13">
        <f>_xll.BDH("ALNY US Equity","ARD_ACCRUED_EXPENSES","FQ3 2021","FQ3 2021","Currency=USD","Period=FQ","BEST_FPERIOD_OVERRIDE=FQ","FILING_STATUS=MR","SCALING_FORMAT=MLN","Sort=A","Dates=H","DateFormat=P","Fill=—","Direction=H","UseDPDF=Y")</f>
        <v>388.57600000000002</v>
      </c>
      <c r="O26" s="13">
        <f>_xll.BDH("ALNY US Equity","ARD_ACCRUED_EXPENSES","FQ4 2021","FQ4 2021","Currency=USD","Period=FQ","BEST_FPERIOD_OVERRIDE=FQ","FILING_STATUS=MR","SCALING_FORMAT=MLN","Sort=A","Dates=H","DateFormat=P","Fill=—","Direction=H","UseDPDF=Y")</f>
        <v>395.17399999999998</v>
      </c>
      <c r="P26" s="13">
        <f>_xll.BDH("ALNY US Equity","ARD_ACCRUED_EXPENSES","FQ1 2022","FQ1 2022","Currency=USD","Period=FQ","BEST_FPERIOD_OVERRIDE=FQ","FILING_STATUS=MR","SCALING_FORMAT=MLN","Sort=A","Dates=H","DateFormat=P","Fill=—","Direction=H","UseDPDF=Y")</f>
        <v>355.93599999999998</v>
      </c>
      <c r="Q26" s="13">
        <f>_xll.BDH("ALNY US Equity","ARD_ACCRUED_EXPENSES","FQ2 2022","FQ2 2022","Currency=USD","Period=FQ","BEST_FPERIOD_OVERRIDE=FQ","FILING_STATUS=MR","SCALING_FORMAT=MLN","Sort=A","Dates=H","DateFormat=P","Fill=—","Direction=H","UseDPDF=Y")</f>
        <v>421.24299999999999</v>
      </c>
      <c r="R26" s="13">
        <f>_xll.BDH("ALNY US Equity","ARD_ACCRUED_EXPENSES","FQ3 2022","FQ3 2022","Currency=USD","Period=FQ","BEST_FPERIOD_OVERRIDE=FQ","FILING_STATUS=MR","SCALING_FORMAT=MLN","Sort=A","Dates=H","DateFormat=P","Fill=—","Direction=H","UseDPDF=Y")</f>
        <v>510.57900000000001</v>
      </c>
      <c r="S26" s="13">
        <f>_xll.BDH("ALNY US Equity","ARD_ACCRUED_EXPENSES","FQ4 2022","FQ4 2022","Currency=USD","Period=FQ","BEST_FPERIOD_OVERRIDE=FQ","FILING_STATUS=MR","SCALING_FORMAT=MLN","Sort=A","Dates=H","DateFormat=P","Fill=—","Direction=H","UseDPDF=Y")</f>
        <v>545.46</v>
      </c>
      <c r="T26" s="13">
        <f>_xll.BDH("ALNY US Equity","ARD_ACCRUED_EXPENSES","FQ1 2023","FQ1 2023","Currency=USD","Period=FQ","BEST_FPERIOD_OVERRIDE=FQ","FILING_STATUS=MR","SCALING_FORMAT=MLN","Sort=A","Dates=H","DateFormat=P","Fill=—","Direction=H","UseDPDF=Y")</f>
        <v>508.59899999999999</v>
      </c>
      <c r="U26" s="13">
        <f>_xll.BDH("ALNY US Equity","ARD_ACCRUED_EXPENSES","FQ2 2023","FQ2 2023","Currency=USD","Period=FQ","BEST_FPERIOD_OVERRIDE=FQ","FILING_STATUS=MR","SCALING_FORMAT=MLN","Sort=A","Dates=H","DateFormat=P","Fill=—","Direction=H","UseDPDF=Y")</f>
        <v>598.53</v>
      </c>
      <c r="V26" s="13">
        <f>_xll.BDH("ALNY US Equity","ARD_ACCRUED_EXPENSES","FQ3 2023","FQ3 2023","Currency=USD","Period=FQ","BEST_FPERIOD_OVERRIDE=FQ","FILING_STATUS=MR","SCALING_FORMAT=MLN","Sort=A","Dates=H","DateFormat=P","Fill=—","Direction=H","UseDPDF=Y")</f>
        <v>713.09400000000005</v>
      </c>
      <c r="W26" s="13">
        <f>_xll.BDH("ALNY US Equity","ARD_ACCRUED_EXPENSES","FQ4 2023","FQ4 2023","Currency=USD","Period=FQ","BEST_FPERIOD_OVERRIDE=FQ","FILING_STATUS=MR","SCALING_FORMAT=MLN","Sort=A","Dates=H","DateFormat=P","Fill=—","Direction=H","UseDPDF=Y")</f>
        <v>713.01300000000003</v>
      </c>
      <c r="X26" s="13">
        <f>_xll.BDH("ALNY US Equity","ARD_ACCRUED_EXPENSES","FQ1 2024","FQ1 2024","Currency=USD","Period=FQ","BEST_FPERIOD_OVERRIDE=FQ","FILING_STATUS=MR","SCALING_FORMAT=MLN","Sort=A","Dates=H","DateFormat=P","Fill=—","Direction=H","UseDPDF=Y")</f>
        <v>698.86500000000001</v>
      </c>
      <c r="Y26" s="13">
        <f>_xll.BDH("ALNY US Equity","ARD_ACCRUED_EXPENSES","FQ2 2024","FQ2 2024","Currency=USD","Period=FQ","BEST_FPERIOD_OVERRIDE=FQ","FILING_STATUS=MR","SCALING_FORMAT=MLN","Sort=A","Dates=H","DateFormat=P","Fill=—","Direction=H","UseDPDF=Y")</f>
        <v>808.64300000000003</v>
      </c>
      <c r="Z26" s="13">
        <f>_xll.BDH("ALNY US Equity","ARD_ACCRUED_EXPENSES","FQ3 2024","FQ3 2024","Currency=USD","Period=FQ","BEST_FPERIOD_OVERRIDE=FQ","FILING_STATUS=MR","SCALING_FORMAT=MLN","Sort=A","Dates=H","DateFormat=P","Fill=—","Direction=H","UseDPDF=Y")</f>
        <v>946.16800000000001</v>
      </c>
      <c r="AA26" s="13">
        <f>_xll.BDH("ALNY US Equity","ARD_ACCRUED_EXPENSES","FQ4 2024","FQ4 2024","Currency=USD","Period=FQ","BEST_FPERIOD_OVERRIDE=FQ","FILING_STATUS=MR","SCALING_FORMAT=MLN","Sort=A","Dates=H","DateFormat=P","Fill=—","Direction=H","UseDPDF=Y")</f>
        <v>887.47199999999998</v>
      </c>
    </row>
    <row r="27" spans="1:27" x14ac:dyDescent="0.25">
      <c r="A27" s="10" t="s">
        <v>860</v>
      </c>
      <c r="B27" s="10" t="s">
        <v>861</v>
      </c>
      <c r="C27" s="13">
        <f>_xll.BDH("ALNY US Equity","ARD_DEFERRED_UNEARNED_REV_ST","FQ4 2018","FQ4 2018","Currency=USD","Period=FQ","BEST_FPERIOD_OVERRIDE=FQ","FILING_STATUS=MR","SCALING_FORMAT=MLN","Sort=A","Dates=H","DateFormat=P","Fill=—","Direction=H","UseDPDF=Y")</f>
        <v>3.496</v>
      </c>
      <c r="D27" s="13">
        <f>_xll.BDH("ALNY US Equity","ARD_DEFERRED_UNEARNED_REV_ST","FQ1 2019","FQ1 2019","Currency=USD","Period=FQ","BEST_FPERIOD_OVERRIDE=FQ","FILING_STATUS=MR","SCALING_FORMAT=MLN","Sort=A","Dates=H","DateFormat=P","Fill=—","Direction=H","UseDPDF=Y")</f>
        <v>2.6419999999999999</v>
      </c>
      <c r="E27" s="13">
        <f>_xll.BDH("ALNY US Equity","ARD_DEFERRED_UNEARNED_REV_ST","FQ2 2019","FQ2 2019","Currency=USD","Period=FQ","BEST_FPERIOD_OVERRIDE=FQ","FILING_STATUS=MR","SCALING_FORMAT=MLN","Sort=A","Dates=H","DateFormat=P","Fill=—","Direction=H","UseDPDF=Y")</f>
        <v>89.242000000000004</v>
      </c>
      <c r="F27" s="13">
        <f>_xll.BDH("ALNY US Equity","ARD_DEFERRED_UNEARNED_REV_ST","FQ3 2019","FQ3 2019","Currency=USD","Period=FQ","BEST_FPERIOD_OVERRIDE=FQ","FILING_STATUS=MR","SCALING_FORMAT=MLN","Sort=A","Dates=H","DateFormat=P","Fill=—","Direction=H","UseDPDF=Y")</f>
        <v>107.35899999999999</v>
      </c>
      <c r="G27" s="13">
        <f>_xll.BDH("ALNY US Equity","ARD_DEFERRED_UNEARNED_REV_ST","FQ4 2019","FQ4 2019","Currency=USD","Period=FQ","BEST_FPERIOD_OVERRIDE=FQ","FILING_STATUS=MR","SCALING_FORMAT=MLN","Sort=A","Dates=H","DateFormat=P","Fill=—","Direction=H","UseDPDF=Y")</f>
        <v>77.820999999999998</v>
      </c>
      <c r="H27" s="13">
        <f>_xll.BDH("ALNY US Equity","ARD_DEFERRED_UNEARNED_REV_ST","FQ1 2020","FQ1 2020","Currency=USD","Period=FQ","BEST_FPERIOD_OVERRIDE=FQ","FILING_STATUS=MR","SCALING_FORMAT=MLN","Sort=A","Dates=H","DateFormat=P","Fill=—","Direction=H","UseDPDF=Y")</f>
        <v>86.043000000000006</v>
      </c>
      <c r="I27" s="13">
        <f>_xll.BDH("ALNY US Equity","ARD_DEFERRED_UNEARNED_REV_ST","FQ2 2020","FQ2 2020","Currency=USD","Period=FQ","BEST_FPERIOD_OVERRIDE=FQ","FILING_STATUS=MR","SCALING_FORMAT=MLN","Sort=A","Dates=H","DateFormat=P","Fill=—","Direction=H","UseDPDF=Y")</f>
        <v>107.587</v>
      </c>
      <c r="J27" s="13">
        <f>_xll.BDH("ALNY US Equity","ARD_DEFERRED_UNEARNED_REV_ST","FQ3 2020","FQ3 2020","Currency=USD","Period=FQ","BEST_FPERIOD_OVERRIDE=FQ","FILING_STATUS=MR","SCALING_FORMAT=MLN","Sort=A","Dates=H","DateFormat=P","Fill=—","Direction=H","UseDPDF=Y")</f>
        <v>114.601</v>
      </c>
      <c r="K27" s="13">
        <f>_xll.BDH("ALNY US Equity","ARD_DEFERRED_UNEARNED_REV_ST","FQ4 2020","FQ4 2020","Currency=USD","Period=FQ","BEST_FPERIOD_OVERRIDE=FQ","FILING_STATUS=MR","SCALING_FORMAT=MLN","Sort=A","Dates=H","DateFormat=P","Fill=—","Direction=H","UseDPDF=Y")</f>
        <v>127.20699999999999</v>
      </c>
      <c r="L27" s="13">
        <f>_xll.BDH("ALNY US Equity","ARD_DEFERRED_UNEARNED_REV_ST","FQ1 2021","FQ1 2021","Currency=USD","Period=FQ","BEST_FPERIOD_OVERRIDE=FQ","FILING_STATUS=MR","SCALING_FORMAT=MLN","Sort=A","Dates=H","DateFormat=P","Fill=—","Direction=H","UseDPDF=Y")</f>
        <v>116.34</v>
      </c>
      <c r="M27" s="13">
        <f>_xll.BDH("ALNY US Equity","ARD_DEFERRED_UNEARNED_REV_ST","FQ2 2021","FQ2 2021","Currency=USD","Period=FQ","BEST_FPERIOD_OVERRIDE=FQ","FILING_STATUS=MR","SCALING_FORMAT=MLN","Sort=A","Dates=H","DateFormat=P","Fill=—","Direction=H","UseDPDF=Y")</f>
        <v>98.144000000000005</v>
      </c>
      <c r="N27" s="13">
        <f>_xll.BDH("ALNY US Equity","ARD_DEFERRED_UNEARNED_REV_ST","FQ3 2021","FQ3 2021","Currency=USD","Period=FQ","BEST_FPERIOD_OVERRIDE=FQ","FILING_STATUS=MR","SCALING_FORMAT=MLN","Sort=A","Dates=H","DateFormat=P","Fill=—","Direction=H","UseDPDF=Y")</f>
        <v>115.044</v>
      </c>
      <c r="O27" s="13">
        <f>_xll.BDH("ALNY US Equity","ARD_DEFERRED_UNEARNED_REV_ST","FQ4 2021","FQ4 2021","Currency=USD","Period=FQ","BEST_FPERIOD_OVERRIDE=FQ","FILING_STATUS=MR","SCALING_FORMAT=MLN","Sort=A","Dates=H","DateFormat=P","Fill=—","Direction=H","UseDPDF=Y")</f>
        <v>149.483</v>
      </c>
      <c r="P27" s="13">
        <f>_xll.BDH("ALNY US Equity","ARD_DEFERRED_UNEARNED_REV_ST","FQ1 2022","FQ1 2022","Currency=USD","Period=FQ","BEST_FPERIOD_OVERRIDE=FQ","FILING_STATUS=MR","SCALING_FORMAT=MLN","Sort=A","Dates=H","DateFormat=P","Fill=—","Direction=H","UseDPDF=Y")</f>
        <v>131.83799999999999</v>
      </c>
      <c r="Q27" s="13">
        <f>_xll.BDH("ALNY US Equity","ARD_DEFERRED_UNEARNED_REV_ST","FQ2 2022","FQ2 2022","Currency=USD","Period=FQ","BEST_FPERIOD_OVERRIDE=FQ","FILING_STATUS=MR","SCALING_FORMAT=MLN","Sort=A","Dates=H","DateFormat=P","Fill=—","Direction=H","UseDPDF=Y")</f>
        <v>114.292</v>
      </c>
      <c r="R27" s="13">
        <f>_xll.BDH("ALNY US Equity","ARD_DEFERRED_UNEARNED_REV_ST","FQ3 2022","FQ3 2022","Currency=USD","Period=FQ","BEST_FPERIOD_OVERRIDE=FQ","FILING_STATUS=MR","SCALING_FORMAT=MLN","Sort=A","Dates=H","DateFormat=P","Fill=—","Direction=H","UseDPDF=Y")</f>
        <v>144.208</v>
      </c>
      <c r="S27" s="13">
        <f>_xll.BDH("ALNY US Equity","ARD_DEFERRED_UNEARNED_REV_ST","FQ4 2022","FQ4 2022","Currency=USD","Period=FQ","BEST_FPERIOD_OVERRIDE=FQ","FILING_STATUS=MR","SCALING_FORMAT=MLN","Sort=A","Dates=H","DateFormat=P","Fill=—","Direction=H","UseDPDF=Y")</f>
        <v>42.104999999999997</v>
      </c>
      <c r="T27" s="13">
        <f>_xll.BDH("ALNY US Equity","ARD_DEFERRED_UNEARNED_REV_ST","FQ1 2023","FQ1 2023","Currency=USD","Period=FQ","BEST_FPERIOD_OVERRIDE=FQ","FILING_STATUS=MR","SCALING_FORMAT=MLN","Sort=A","Dates=H","DateFormat=P","Fill=—","Direction=H","UseDPDF=Y")</f>
        <v>35.793999999999997</v>
      </c>
      <c r="U27" s="13">
        <f>_xll.BDH("ALNY US Equity","ARD_DEFERRED_UNEARNED_REV_ST","FQ2 2023","FQ2 2023","Currency=USD","Period=FQ","BEST_FPERIOD_OVERRIDE=FQ","FILING_STATUS=MR","SCALING_FORMAT=MLN","Sort=A","Dates=H","DateFormat=P","Fill=—","Direction=H","UseDPDF=Y")</f>
        <v>54.639000000000003</v>
      </c>
      <c r="V27" s="13">
        <f>_xll.BDH("ALNY US Equity","ARD_DEFERRED_UNEARNED_REV_ST","FQ3 2023","FQ3 2023","Currency=USD","Period=FQ","BEST_FPERIOD_OVERRIDE=FQ","FILING_STATUS=MR","SCALING_FORMAT=MLN","Sort=A","Dates=H","DateFormat=P","Fill=—","Direction=H","UseDPDF=Y")</f>
        <v>77.14</v>
      </c>
      <c r="W27" s="13">
        <f>_xll.BDH("ALNY US Equity","ARD_DEFERRED_UNEARNED_REV_ST","FQ4 2023","FQ4 2023","Currency=USD","Period=FQ","BEST_FPERIOD_OVERRIDE=FQ","FILING_STATUS=MR","SCALING_FORMAT=MLN","Sort=A","Dates=H","DateFormat=P","Fill=—","Direction=H","UseDPDF=Y")</f>
        <v>102.753</v>
      </c>
      <c r="X27" s="13">
        <f>_xll.BDH("ALNY US Equity","ARD_DEFERRED_UNEARNED_REV_ST","FQ1 2024","FQ1 2024","Currency=USD","Period=FQ","BEST_FPERIOD_OVERRIDE=FQ","FILING_STATUS=MR","SCALING_FORMAT=MLN","Sort=A","Dates=H","DateFormat=P","Fill=—","Direction=H","UseDPDF=Y")</f>
        <v>76.849999999999994</v>
      </c>
      <c r="Y27" s="13">
        <f>_xll.BDH("ALNY US Equity","ARD_DEFERRED_UNEARNED_REV_ST","FQ2 2024","FQ2 2024","Currency=USD","Period=FQ","BEST_FPERIOD_OVERRIDE=FQ","FILING_STATUS=MR","SCALING_FORMAT=MLN","Sort=A","Dates=H","DateFormat=P","Fill=—","Direction=H","UseDPDF=Y")</f>
        <v>69.009</v>
      </c>
      <c r="Z27" s="13">
        <f>_xll.BDH("ALNY US Equity","ARD_DEFERRED_UNEARNED_REV_ST","FQ3 2024","FQ3 2024","Currency=USD","Period=FQ","BEST_FPERIOD_OVERRIDE=FQ","FILING_STATUS=MR","SCALING_FORMAT=MLN","Sort=A","Dates=H","DateFormat=P","Fill=—","Direction=H","UseDPDF=Y")</f>
        <v>71.03</v>
      </c>
      <c r="AA27" s="13">
        <f>_xll.BDH("ALNY US Equity","ARD_DEFERRED_UNEARNED_REV_ST","FQ4 2024","FQ4 2024","Currency=USD","Period=FQ","BEST_FPERIOD_OVERRIDE=FQ","FILING_STATUS=MR","SCALING_FORMAT=MLN","Sort=A","Dates=H","DateFormat=P","Fill=—","Direction=H","UseDPDF=Y")</f>
        <v>55.481000000000002</v>
      </c>
    </row>
    <row r="28" spans="1:27" x14ac:dyDescent="0.25">
      <c r="A28" s="10" t="s">
        <v>862</v>
      </c>
      <c r="B28" s="10" t="s">
        <v>863</v>
      </c>
      <c r="C28" s="13" t="str">
        <f>_xll.BDH("ALNY US Equity","ARD_OTHER_CURRENT_LIABILITIES","FQ4 2018","FQ4 2018","Currency=USD","Period=FQ","BEST_FPERIOD_OVERRIDE=FQ","FILING_STATUS=MR","SCALING_FORMAT=MLN","Sort=A","Dates=H","DateFormat=P","Fill=—","Direction=H","UseDPDF=Y")</f>
        <v>—</v>
      </c>
      <c r="D28" s="13" t="str">
        <f>_xll.BDH("ALNY US Equity","ARD_OTHER_CURRENT_LIABILITIES","FQ1 2019","FQ1 2019","Currency=USD","Period=FQ","BEST_FPERIOD_OVERRIDE=FQ","FILING_STATUS=MR","SCALING_FORMAT=MLN","Sort=A","Dates=H","DateFormat=P","Fill=—","Direction=H","UseDPDF=Y")</f>
        <v>—</v>
      </c>
      <c r="E28" s="13" t="str">
        <f>_xll.BDH("ALNY US Equity","ARD_OTHER_CURRENT_LIABILITIES","FQ2 2019","FQ2 2019","Currency=USD","Period=FQ","BEST_FPERIOD_OVERRIDE=FQ","FILING_STATUS=MR","SCALING_FORMAT=MLN","Sort=A","Dates=H","DateFormat=P","Fill=—","Direction=H","UseDPDF=Y")</f>
        <v>—</v>
      </c>
      <c r="F28" s="13" t="str">
        <f>_xll.BDH("ALNY US Equity","ARD_OTHER_CURRENT_LIABILITIES","FQ3 2019","FQ3 2019","Currency=USD","Period=FQ","BEST_FPERIOD_OVERRIDE=FQ","FILING_STATUS=MR","SCALING_FORMAT=MLN","Sort=A","Dates=H","DateFormat=P","Fill=—","Direction=H","UseDPDF=Y")</f>
        <v>—</v>
      </c>
      <c r="G28" s="13" t="str">
        <f>_xll.BDH("ALNY US Equity","ARD_OTHER_CURRENT_LIABILITIES","FQ4 2019","FQ4 2019","Currency=USD","Period=FQ","BEST_FPERIOD_OVERRIDE=FQ","FILING_STATUS=MR","SCALING_FORMAT=MLN","Sort=A","Dates=H","DateFormat=P","Fill=—","Direction=H","UseDPDF=Y")</f>
        <v>—</v>
      </c>
      <c r="H28" s="13" t="str">
        <f>_xll.BDH("ALNY US Equity","ARD_OTHER_CURRENT_LIABILITIES","FQ1 2020","FQ1 2020","Currency=USD","Period=FQ","BEST_FPERIOD_OVERRIDE=FQ","FILING_STATUS=MR","SCALING_FORMAT=MLN","Sort=A","Dates=H","DateFormat=P","Fill=—","Direction=H","UseDPDF=Y")</f>
        <v>—</v>
      </c>
      <c r="I28" s="13">
        <f>_xll.BDH("ALNY US Equity","ARD_OTHER_CURRENT_LIABILITIES","FQ2 2020","FQ2 2020","Currency=USD","Period=FQ","BEST_FPERIOD_OVERRIDE=FQ","FILING_STATUS=MR","SCALING_FORMAT=MLN","Sort=A","Dates=H","DateFormat=P","Fill=—","Direction=H","UseDPDF=Y")</f>
        <v>5.9569999999999999</v>
      </c>
      <c r="J28" s="13">
        <f>_xll.BDH("ALNY US Equity","ARD_OTHER_CURRENT_LIABILITIES","FQ3 2020","FQ3 2020","Currency=USD","Period=FQ","BEST_FPERIOD_OVERRIDE=FQ","FILING_STATUS=MR","SCALING_FORMAT=MLN","Sort=A","Dates=H","DateFormat=P","Fill=—","Direction=H","UseDPDF=Y")</f>
        <v>10.316000000000001</v>
      </c>
      <c r="K28" s="13">
        <f>_xll.BDH("ALNY US Equity","ARD_OTHER_CURRENT_LIABILITIES","FQ4 2020","FQ4 2020","Currency=USD","Period=FQ","BEST_FPERIOD_OVERRIDE=FQ","FILING_STATUS=MR","SCALING_FORMAT=MLN","Sort=A","Dates=H","DateFormat=P","Fill=—","Direction=H","UseDPDF=Y")</f>
        <v>13.316000000000001</v>
      </c>
      <c r="L28" s="13">
        <f>_xll.BDH("ALNY US Equity","ARD_OTHER_CURRENT_LIABILITIES","FQ1 2021","FQ1 2021","Currency=USD","Period=FQ","BEST_FPERIOD_OVERRIDE=FQ","FILING_STATUS=MR","SCALING_FORMAT=MLN","Sort=A","Dates=H","DateFormat=P","Fill=—","Direction=H","UseDPDF=Y")</f>
        <v>13.66</v>
      </c>
      <c r="M28" s="13">
        <f>_xll.BDH("ALNY US Equity","ARD_OTHER_CURRENT_LIABILITIES","FQ2 2021","FQ2 2021","Currency=USD","Period=FQ","BEST_FPERIOD_OVERRIDE=FQ","FILING_STATUS=MR","SCALING_FORMAT=MLN","Sort=A","Dates=H","DateFormat=P","Fill=—","Direction=H","UseDPDF=Y")</f>
        <v>22.876000000000001</v>
      </c>
      <c r="N28" s="13">
        <f>_xll.BDH("ALNY US Equity","ARD_OTHER_CURRENT_LIABILITIES","FQ3 2021","FQ3 2021","Currency=USD","Period=FQ","BEST_FPERIOD_OVERRIDE=FQ","FILING_STATUS=MR","SCALING_FORMAT=MLN","Sort=A","Dates=H","DateFormat=P","Fill=—","Direction=H","UseDPDF=Y")</f>
        <v>26.376000000000001</v>
      </c>
      <c r="O28" s="13">
        <f>_xll.BDH("ALNY US Equity","ARD_OTHER_CURRENT_LIABILITIES","FQ4 2021","FQ4 2021","Currency=USD","Period=FQ","BEST_FPERIOD_OVERRIDE=FQ","FILING_STATUS=MR","SCALING_FORMAT=MLN","Sort=A","Dates=H","DateFormat=P","Fill=—","Direction=H","UseDPDF=Y")</f>
        <v>37.079000000000001</v>
      </c>
      <c r="P28" s="13">
        <f>_xll.BDH("ALNY US Equity","ARD_OTHER_CURRENT_LIABILITIES","FQ1 2022","FQ1 2022","Currency=USD","Period=FQ","BEST_FPERIOD_OVERRIDE=FQ","FILING_STATUS=MR","SCALING_FORMAT=MLN","Sort=A","Dates=H","DateFormat=P","Fill=—","Direction=H","UseDPDF=Y")</f>
        <v>21.983000000000001</v>
      </c>
      <c r="Q28" s="13">
        <f>_xll.BDH("ALNY US Equity","ARD_OTHER_CURRENT_LIABILITIES","FQ2 2022","FQ2 2022","Currency=USD","Period=FQ","BEST_FPERIOD_OVERRIDE=FQ","FILING_STATUS=MR","SCALING_FORMAT=MLN","Sort=A","Dates=H","DateFormat=P","Fill=—","Direction=H","UseDPDF=Y")</f>
        <v>28.495999999999999</v>
      </c>
      <c r="R28" s="13">
        <f>_xll.BDH("ALNY US Equity","ARD_OTHER_CURRENT_LIABILITIES","FQ3 2022","FQ3 2022","Currency=USD","Period=FQ","BEST_FPERIOD_OVERRIDE=FQ","FILING_STATUS=MR","SCALING_FORMAT=MLN","Sort=A","Dates=H","DateFormat=P","Fill=—","Direction=H","UseDPDF=Y")</f>
        <v>35.850999999999999</v>
      </c>
      <c r="S28" s="13">
        <f>_xll.BDH("ALNY US Equity","ARD_OTHER_CURRENT_LIABILITIES","FQ4 2022","FQ4 2022","Currency=USD","Period=FQ","BEST_FPERIOD_OVERRIDE=FQ","FILING_STATUS=MR","SCALING_FORMAT=MLN","Sort=A","Dates=H","DateFormat=P","Fill=—","Direction=H","UseDPDF=Y")</f>
        <v>40.289000000000001</v>
      </c>
      <c r="T28" s="13">
        <f>_xll.BDH("ALNY US Equity","ARD_OTHER_CURRENT_LIABILITIES","FQ1 2023","FQ1 2023","Currency=USD","Period=FQ","BEST_FPERIOD_OVERRIDE=FQ","FILING_STATUS=MR","SCALING_FORMAT=MLN","Sort=A","Dates=H","DateFormat=P","Fill=—","Direction=H","UseDPDF=Y")</f>
        <v>23.706</v>
      </c>
      <c r="U28" s="13">
        <f>_xll.BDH("ALNY US Equity","ARD_OTHER_CURRENT_LIABILITIES","FQ2 2023","FQ2 2023","Currency=USD","Period=FQ","BEST_FPERIOD_OVERRIDE=FQ","FILING_STATUS=MR","SCALING_FORMAT=MLN","Sort=A","Dates=H","DateFormat=P","Fill=—","Direction=H","UseDPDF=Y")</f>
        <v>33.65</v>
      </c>
      <c r="V28" s="13">
        <f>_xll.BDH("ALNY US Equity","ARD_OTHER_CURRENT_LIABILITIES","FQ3 2023","FQ3 2023","Currency=USD","Period=FQ","BEST_FPERIOD_OVERRIDE=FQ","FILING_STATUS=MR","SCALING_FORMAT=MLN","Sort=A","Dates=H","DateFormat=P","Fill=—","Direction=H","UseDPDF=Y")</f>
        <v>44.195</v>
      </c>
      <c r="W28" s="13">
        <f>_xll.BDH("ALNY US Equity","ARD_OTHER_CURRENT_LIABILITIES","FQ4 2023","FQ4 2023","Currency=USD","Period=FQ","BEST_FPERIOD_OVERRIDE=FQ","FILING_STATUS=MR","SCALING_FORMAT=MLN","Sort=A","Dates=H","DateFormat=P","Fill=—","Direction=H","UseDPDF=Y")</f>
        <v>54.991</v>
      </c>
      <c r="X28" s="13">
        <f>_xll.BDH("ALNY US Equity","ARD_OTHER_CURRENT_LIABILITIES","FQ1 2024","FQ1 2024","Currency=USD","Period=FQ","BEST_FPERIOD_OVERRIDE=FQ","FILING_STATUS=MR","SCALING_FORMAT=MLN","Sort=A","Dates=H","DateFormat=P","Fill=—","Direction=H","UseDPDF=Y")</f>
        <v>46.173999999999999</v>
      </c>
      <c r="Y28" s="13">
        <f>_xll.BDH("ALNY US Equity","ARD_OTHER_CURRENT_LIABILITIES","FQ2 2024","FQ2 2024","Currency=USD","Period=FQ","BEST_FPERIOD_OVERRIDE=FQ","FILING_STATUS=MR","SCALING_FORMAT=MLN","Sort=A","Dates=H","DateFormat=P","Fill=—","Direction=H","UseDPDF=Y")</f>
        <v>61.963000000000001</v>
      </c>
      <c r="Z28" s="13">
        <f>_xll.BDH("ALNY US Equity","ARD_OTHER_CURRENT_LIABILITIES","FQ3 2024","FQ3 2024","Currency=USD","Period=FQ","BEST_FPERIOD_OVERRIDE=FQ","FILING_STATUS=MR","SCALING_FORMAT=MLN","Sort=A","Dates=H","DateFormat=P","Fill=—","Direction=H","UseDPDF=Y")</f>
        <v>90.516000000000005</v>
      </c>
      <c r="AA28" s="13">
        <f>_xll.BDH("ALNY US Equity","ARD_OTHER_CURRENT_LIABILITIES","FQ4 2024","FQ4 2024","Currency=USD","Period=FQ","BEST_FPERIOD_OVERRIDE=FQ","FILING_STATUS=MR","SCALING_FORMAT=MLN","Sort=A","Dates=H","DateFormat=P","Fill=—","Direction=H","UseDPDF=Y")</f>
        <v>113.018</v>
      </c>
    </row>
    <row r="29" spans="1:27" x14ac:dyDescent="0.25">
      <c r="A29" s="10" t="s">
        <v>864</v>
      </c>
      <c r="B29" s="10" t="s">
        <v>865</v>
      </c>
      <c r="C29" s="13" t="str">
        <f>_xll.BDH("ALNY US Equity","ARD_ST_OPERATING_LEASE_LIABS","FQ4 2018","FQ4 2018","Currency=USD","Period=FQ","BEST_FPERIOD_OVERRIDE=FQ","FILING_STATUS=MR","Sort=A","Dates=H","DateFormat=P","Fill=—","Direction=H","UseDPDF=Y")</f>
        <v>—</v>
      </c>
      <c r="D29" s="13">
        <f>_xll.BDH("ALNY US Equity","ARD_ST_OPERATING_LEASE_LIABS","FQ1 2019","FQ1 2019","Currency=USD","Period=FQ","BEST_FPERIOD_OVERRIDE=FQ","FILING_STATUS=MR","Sort=A","Dates=H","DateFormat=P","Fill=—","Direction=H","UseDPDF=Y")</f>
        <v>16.977</v>
      </c>
      <c r="E29" s="13">
        <f>_xll.BDH("ALNY US Equity","ARD_ST_OPERATING_LEASE_LIABS","FQ2 2019","FQ2 2019","Currency=USD","Period=FQ","BEST_FPERIOD_OVERRIDE=FQ","FILING_STATUS=MR","Sort=A","Dates=H","DateFormat=P","Fill=—","Direction=H","UseDPDF=Y")</f>
        <v>29.347000000000001</v>
      </c>
      <c r="F29" s="13">
        <f>_xll.BDH("ALNY US Equity","ARD_ST_OPERATING_LEASE_LIABS","FQ3 2019","FQ3 2019","Currency=USD","Period=FQ","BEST_FPERIOD_OVERRIDE=FQ","FILING_STATUS=MR","Sort=A","Dates=H","DateFormat=P","Fill=—","Direction=H","UseDPDF=Y")</f>
        <v>28.164999999999999</v>
      </c>
      <c r="G29" s="13">
        <f>_xll.BDH("ALNY US Equity","ARD_ST_OPERATING_LEASE_LIABS","FQ4 2019","FQ4 2019","Currency=USD","Period=FQ","BEST_FPERIOD_OVERRIDE=FQ","FILING_STATUS=MR","Sort=A","Dates=H","DateFormat=P","Fill=—","Direction=H","UseDPDF=Y")</f>
        <v>27.687999999999999</v>
      </c>
      <c r="H29" s="13">
        <f>_xll.BDH("ALNY US Equity","ARD_ST_OPERATING_LEASE_LIABS","FQ1 2020","FQ1 2020","Currency=USD","Period=FQ","BEST_FPERIOD_OVERRIDE=FQ","FILING_STATUS=MR","Sort=A","Dates=H","DateFormat=P","Fill=—","Direction=H","UseDPDF=Y")</f>
        <v>29.042999999999999</v>
      </c>
      <c r="I29" s="13">
        <f>_xll.BDH("ALNY US Equity","ARD_ST_OPERATING_LEASE_LIABS","FQ2 2020","FQ2 2020","Currency=USD","Period=FQ","BEST_FPERIOD_OVERRIDE=FQ","FILING_STATUS=MR","Sort=A","Dates=H","DateFormat=P","Fill=—","Direction=H","UseDPDF=Y")</f>
        <v>33.447000000000003</v>
      </c>
      <c r="J29" s="13">
        <f>_xll.BDH("ALNY US Equity","ARD_ST_OPERATING_LEASE_LIABS","FQ3 2020","FQ3 2020","Currency=USD","Period=FQ","BEST_FPERIOD_OVERRIDE=FQ","FILING_STATUS=MR","Sort=A","Dates=H","DateFormat=P","Fill=—","Direction=H","UseDPDF=Y")</f>
        <v>32.192</v>
      </c>
      <c r="K29" s="13">
        <f>_xll.BDH("ALNY US Equity","ARD_ST_OPERATING_LEASE_LIABS","FQ4 2020","FQ4 2020","Currency=USD","Period=FQ","BEST_FPERIOD_OVERRIDE=FQ","FILING_STATUS=MR","Sort=A","Dates=H","DateFormat=P","Fill=—","Direction=H","UseDPDF=Y")</f>
        <v>36.872</v>
      </c>
      <c r="L29" s="13">
        <f>_xll.BDH("ALNY US Equity","ARD_ST_OPERATING_LEASE_LIABS","FQ1 2021","FQ1 2021","Currency=USD","Period=FQ","BEST_FPERIOD_OVERRIDE=FQ","FILING_STATUS=MR","Sort=A","Dates=H","DateFormat=P","Fill=—","Direction=H","UseDPDF=Y")</f>
        <v>38.917000000000002</v>
      </c>
      <c r="M29" s="13">
        <f>_xll.BDH("ALNY US Equity","ARD_ST_OPERATING_LEASE_LIABS","FQ2 2021","FQ2 2021","Currency=USD","Period=FQ","BEST_FPERIOD_OVERRIDE=FQ","FILING_STATUS=MR","Sort=A","Dates=H","DateFormat=P","Fill=—","Direction=H","UseDPDF=Y")</f>
        <v>39.362000000000002</v>
      </c>
      <c r="N29" s="13">
        <f>_xll.BDH("ALNY US Equity","ARD_ST_OPERATING_LEASE_LIABS","FQ3 2021","FQ3 2021","Currency=USD","Period=FQ","BEST_FPERIOD_OVERRIDE=FQ","FILING_STATUS=MR","Sort=A","Dates=H","DateFormat=P","Fill=—","Direction=H","UseDPDF=Y")</f>
        <v>40.612000000000002</v>
      </c>
      <c r="O29" s="13">
        <f>_xll.BDH("ALNY US Equity","ARD_ST_OPERATING_LEASE_LIABS","FQ4 2021","FQ4 2021","Currency=USD","Period=FQ","BEST_FPERIOD_OVERRIDE=FQ","FILING_STATUS=MR","Sort=A","Dates=H","DateFormat=P","Fill=—","Direction=H","UseDPDF=Y")</f>
        <v>40.548000000000002</v>
      </c>
      <c r="P29" s="13">
        <f>_xll.BDH("ALNY US Equity","ARD_ST_OPERATING_LEASE_LIABS","FQ1 2022","FQ1 2022","Currency=USD","Period=FQ","BEST_FPERIOD_OVERRIDE=FQ","FILING_STATUS=MR","Sort=A","Dates=H","DateFormat=P","Fill=—","Direction=H","UseDPDF=Y")</f>
        <v>41.29</v>
      </c>
      <c r="Q29" s="13">
        <f>_xll.BDH("ALNY US Equity","ARD_ST_OPERATING_LEASE_LIABS","FQ2 2022","FQ2 2022","Currency=USD","Period=FQ","BEST_FPERIOD_OVERRIDE=FQ","FILING_STATUS=MR","Sort=A","Dates=H","DateFormat=P","Fill=—","Direction=H","UseDPDF=Y")</f>
        <v>41.235999999999997</v>
      </c>
      <c r="R29" s="13">
        <f>_xll.BDH("ALNY US Equity","ARD_ST_OPERATING_LEASE_LIABS","FQ3 2022","FQ3 2022","Currency=USD","Period=FQ","BEST_FPERIOD_OVERRIDE=FQ","FILING_STATUS=MR","Sort=A","Dates=H","DateFormat=P","Fill=—","Direction=H","UseDPDF=Y")</f>
        <v>41.581000000000003</v>
      </c>
      <c r="S29" s="13">
        <f>_xll.BDH("ALNY US Equity","ARD_ST_OPERATING_LEASE_LIABS","FQ4 2022","FQ4 2022","Currency=USD","Period=FQ","BEST_FPERIOD_OVERRIDE=FQ","FILING_STATUS=MR","Sort=A","Dates=H","DateFormat=P","Fill=—","Direction=H","UseDPDF=Y")</f>
        <v>41.966999999999999</v>
      </c>
      <c r="T29" s="13">
        <f>_xll.BDH("ALNY US Equity","ARD_ST_OPERATING_LEASE_LIABS","FQ1 2023","FQ1 2023","Currency=USD","Period=FQ","BEST_FPERIOD_OVERRIDE=FQ","FILING_STATUS=MR","Sort=A","Dates=H","DateFormat=P","Fill=—","Direction=H","UseDPDF=Y")</f>
        <v>43.055</v>
      </c>
      <c r="U29" s="13">
        <f>_xll.BDH("ALNY US Equity","ARD_ST_OPERATING_LEASE_LIABS","FQ2 2023","FQ2 2023","Currency=USD","Period=FQ","BEST_FPERIOD_OVERRIDE=FQ","FILING_STATUS=MR","Sort=A","Dates=H","DateFormat=P","Fill=—","Direction=H","UseDPDF=Y")</f>
        <v>42.073999999999998</v>
      </c>
      <c r="V29" s="13">
        <f>_xll.BDH("ALNY US Equity","ARD_ST_OPERATING_LEASE_LIABS","FQ3 2023","FQ3 2023","Currency=USD","Period=FQ","BEST_FPERIOD_OVERRIDE=FQ","FILING_STATUS=MR","Sort=A","Dates=H","DateFormat=P","Fill=—","Direction=H","UseDPDF=Y")</f>
        <v>41.515999999999998</v>
      </c>
      <c r="W29" s="13">
        <f>_xll.BDH("ALNY US Equity","ARD_ST_OPERATING_LEASE_LIABS","FQ4 2023","FQ4 2023","Currency=USD","Period=FQ","BEST_FPERIOD_OVERRIDE=FQ","FILING_STATUS=MR","Sort=A","Dates=H","DateFormat=P","Fill=—","Direction=H","UseDPDF=Y")</f>
        <v>41.51</v>
      </c>
      <c r="X29" s="13">
        <f>_xll.BDH("ALNY US Equity","ARD_ST_OPERATING_LEASE_LIABS","FQ1 2024","FQ1 2024","Currency=USD","Period=FQ","BEST_FPERIOD_OVERRIDE=FQ","FILING_STATUS=MR","Sort=A","Dates=H","DateFormat=P","Fill=—","Direction=H","UseDPDF=Y")</f>
        <v>41.671999999999997</v>
      </c>
      <c r="Y29" s="13">
        <f>_xll.BDH("ALNY US Equity","ARD_ST_OPERATING_LEASE_LIABS","FQ2 2024","FQ2 2024","Currency=USD","Period=FQ","BEST_FPERIOD_OVERRIDE=FQ","FILING_STATUS=MR","Sort=A","Dates=H","DateFormat=P","Fill=—","Direction=H","UseDPDF=Y")</f>
        <v>41.655999999999999</v>
      </c>
      <c r="Z29" s="13">
        <f>_xll.BDH("ALNY US Equity","ARD_ST_OPERATING_LEASE_LIABS","FQ3 2024","FQ3 2024","Currency=USD","Period=FQ","BEST_FPERIOD_OVERRIDE=FQ","FILING_STATUS=MR","Sort=A","Dates=H","DateFormat=P","Fill=—","Direction=H","UseDPDF=Y")</f>
        <v>42.143999999999998</v>
      </c>
      <c r="AA29" s="13">
        <f>_xll.BDH("ALNY US Equity","ARD_ST_OPERATING_LEASE_LIABS","FQ4 2024","FQ4 2024","Currency=USD","Period=FQ","BEST_FPERIOD_OVERRIDE=FQ","FILING_STATUS=MR","Sort=A","Dates=H","DateFormat=P","Fill=—","Direction=H","UseDPDF=Y")</f>
        <v>41.886000000000003</v>
      </c>
    </row>
    <row r="30" spans="1:27" x14ac:dyDescent="0.25">
      <c r="A30" s="10" t="s">
        <v>866</v>
      </c>
      <c r="B30" s="10" t="s">
        <v>867</v>
      </c>
      <c r="C30" s="13">
        <f>_xll.BDH("ALNY US Equity","ARD_DEFERRED_EXPENSES_ST","FQ4 2018","FQ4 2018","Currency=USD","Period=FQ","BEST_FPERIOD_OVERRIDE=FQ","FILING_STATUS=MR","SCALING_FORMAT=MLN","Sort=A","Dates=H","DateFormat=P","Fill=—","Direction=H","UseDPDF=Y")</f>
        <v>3.5710000000000002</v>
      </c>
      <c r="D30" s="13">
        <f>_xll.BDH("ALNY US Equity","ARD_DEFERRED_EXPENSES_ST","FQ1 2019","FQ1 2019","Currency=USD","Period=FQ","BEST_FPERIOD_OVERRIDE=FQ","FILING_STATUS=MR","SCALING_FORMAT=MLN","Sort=A","Dates=H","DateFormat=P","Fill=—","Direction=H","UseDPDF=Y")</f>
        <v>0</v>
      </c>
      <c r="E30" s="13">
        <f>_xll.BDH("ALNY US Equity","ARD_DEFERRED_EXPENSES_ST","FQ2 2019","FQ2 2019","Currency=USD","Period=FQ","BEST_FPERIOD_OVERRIDE=FQ","FILING_STATUS=MR","SCALING_FORMAT=MLN","Sort=A","Dates=H","DateFormat=P","Fill=—","Direction=H","UseDPDF=Y")</f>
        <v>0</v>
      </c>
      <c r="F30" s="13">
        <f>_xll.BDH("ALNY US Equity","ARD_DEFERRED_EXPENSES_ST","FQ3 2019","FQ3 2019","Currency=USD","Period=FQ","BEST_FPERIOD_OVERRIDE=FQ","FILING_STATUS=MR","SCALING_FORMAT=MLN","Sort=A","Dates=H","DateFormat=P","Fill=—","Direction=H","UseDPDF=Y")</f>
        <v>0</v>
      </c>
      <c r="G30" s="13">
        <f>_xll.BDH("ALNY US Equity","ARD_DEFERRED_EXPENSES_ST","FQ4 2019","FQ4 2019","Currency=USD","Period=FQ","BEST_FPERIOD_OVERRIDE=FQ","FILING_STATUS=MR","SCALING_FORMAT=MLN","Sort=A","Dates=H","DateFormat=P","Fill=—","Direction=H","UseDPDF=Y")</f>
        <v>0</v>
      </c>
      <c r="H30" s="13" t="str">
        <f>_xll.BDH("ALNY US Equity","ARD_DEFERRED_EXPENSES_ST","FQ1 2020","FQ1 2020","Currency=USD","Period=FQ","BEST_FPERIOD_OVERRIDE=FQ","FILING_STATUS=MR","SCALING_FORMAT=MLN","Sort=A","Dates=H","DateFormat=P","Fill=—","Direction=H","UseDPDF=Y")</f>
        <v>—</v>
      </c>
      <c r="I30" s="13" t="str">
        <f>_xll.BDH("ALNY US Equity","ARD_DEFERRED_EXPENSES_ST","FQ2 2020","FQ2 2020","Currency=USD","Period=FQ","BEST_FPERIOD_OVERRIDE=FQ","FILING_STATUS=MR","SCALING_FORMAT=MLN","Sort=A","Dates=H","DateFormat=P","Fill=—","Direction=H","UseDPDF=Y")</f>
        <v>—</v>
      </c>
      <c r="J30" s="13" t="str">
        <f>_xll.BDH("ALNY US Equity","ARD_DEFERRED_EXPENSES_ST","FQ3 2020","FQ3 2020","Currency=USD","Period=FQ","BEST_FPERIOD_OVERRIDE=FQ","FILING_STATUS=MR","SCALING_FORMAT=MLN","Sort=A","Dates=H","DateFormat=P","Fill=—","Direction=H","UseDPDF=Y")</f>
        <v>—</v>
      </c>
      <c r="K30" s="13" t="str">
        <f>_xll.BDH("ALNY US Equity","ARD_DEFERRED_EXPENSES_ST","FQ4 2020","FQ4 2020","Currency=USD","Period=FQ","BEST_FPERIOD_OVERRIDE=FQ","FILING_STATUS=MR","SCALING_FORMAT=MLN","Sort=A","Dates=H","DateFormat=P","Fill=—","Direction=H","UseDPDF=Y")</f>
        <v>—</v>
      </c>
      <c r="L30" s="13" t="str">
        <f>_xll.BDH("ALNY US Equity","ARD_DEFERRED_EXPENSES_ST","FQ1 2021","FQ1 2021","Currency=USD","Period=FQ","BEST_FPERIOD_OVERRIDE=FQ","FILING_STATUS=MR","SCALING_FORMAT=MLN","Sort=A","Dates=H","DateFormat=P","Fill=—","Direction=H","UseDPDF=Y")</f>
        <v>—</v>
      </c>
      <c r="M30" s="13" t="str">
        <f>_xll.BDH("ALNY US Equity","ARD_DEFERRED_EXPENSES_ST","FQ2 2021","FQ2 2021","Currency=USD","Period=FQ","BEST_FPERIOD_OVERRIDE=FQ","FILING_STATUS=MR","SCALING_FORMAT=MLN","Sort=A","Dates=H","DateFormat=P","Fill=—","Direction=H","UseDPDF=Y")</f>
        <v>—</v>
      </c>
      <c r="N30" s="13" t="str">
        <f>_xll.BDH("ALNY US Equity","ARD_DEFERRED_EXPENSES_ST","FQ3 2021","FQ3 2021","Currency=USD","Period=FQ","BEST_FPERIOD_OVERRIDE=FQ","FILING_STATUS=MR","SCALING_FORMAT=MLN","Sort=A","Dates=H","DateFormat=P","Fill=—","Direction=H","UseDPDF=Y")</f>
        <v>—</v>
      </c>
      <c r="O30" s="13" t="str">
        <f>_xll.BDH("ALNY US Equity","ARD_DEFERRED_EXPENSES_ST","FQ4 2021","FQ4 2021","Currency=USD","Period=FQ","BEST_FPERIOD_OVERRIDE=FQ","FILING_STATUS=MR","SCALING_FORMAT=MLN","Sort=A","Dates=H","DateFormat=P","Fill=—","Direction=H","UseDPDF=Y")</f>
        <v>—</v>
      </c>
      <c r="P30" s="13" t="str">
        <f>_xll.BDH("ALNY US Equity","ARD_DEFERRED_EXPENSES_ST","FQ1 2022","FQ1 2022","Currency=USD","Period=FQ","BEST_FPERIOD_OVERRIDE=FQ","FILING_STATUS=MR","SCALING_FORMAT=MLN","Sort=A","Dates=H","DateFormat=P","Fill=—","Direction=H","UseDPDF=Y")</f>
        <v>—</v>
      </c>
      <c r="Q30" s="13" t="str">
        <f>_xll.BDH("ALNY US Equity","ARD_DEFERRED_EXPENSES_ST","FQ2 2022","FQ2 2022","Currency=USD","Period=FQ","BEST_FPERIOD_OVERRIDE=FQ","FILING_STATUS=MR","SCALING_FORMAT=MLN","Sort=A","Dates=H","DateFormat=P","Fill=—","Direction=H","UseDPDF=Y")</f>
        <v>—</v>
      </c>
      <c r="R30" s="13" t="str">
        <f>_xll.BDH("ALNY US Equity","ARD_DEFERRED_EXPENSES_ST","FQ3 2022","FQ3 2022","Currency=USD","Period=FQ","BEST_FPERIOD_OVERRIDE=FQ","FILING_STATUS=MR","SCALING_FORMAT=MLN","Sort=A","Dates=H","DateFormat=P","Fill=—","Direction=H","UseDPDF=Y")</f>
        <v>—</v>
      </c>
      <c r="S30" s="13" t="str">
        <f>_xll.BDH("ALNY US Equity","ARD_DEFERRED_EXPENSES_ST","FQ4 2022","FQ4 2022","Currency=USD","Period=FQ","BEST_FPERIOD_OVERRIDE=FQ","FILING_STATUS=MR","SCALING_FORMAT=MLN","Sort=A","Dates=H","DateFormat=P","Fill=—","Direction=H","UseDPDF=Y")</f>
        <v>—</v>
      </c>
      <c r="T30" s="13" t="str">
        <f>_xll.BDH("ALNY US Equity","ARD_DEFERRED_EXPENSES_ST","FQ1 2023","FQ1 2023","Currency=USD","Period=FQ","BEST_FPERIOD_OVERRIDE=FQ","FILING_STATUS=MR","SCALING_FORMAT=MLN","Sort=A","Dates=H","DateFormat=P","Fill=—","Direction=H","UseDPDF=Y")</f>
        <v>—</v>
      </c>
      <c r="U30" s="13" t="str">
        <f>_xll.BDH("ALNY US Equity","ARD_DEFERRED_EXPENSES_ST","FQ2 2023","FQ2 2023","Currency=USD","Period=FQ","BEST_FPERIOD_OVERRIDE=FQ","FILING_STATUS=MR","SCALING_FORMAT=MLN","Sort=A","Dates=H","DateFormat=P","Fill=—","Direction=H","UseDPDF=Y")</f>
        <v>—</v>
      </c>
      <c r="V30" s="13" t="str">
        <f>_xll.BDH("ALNY US Equity","ARD_DEFERRED_EXPENSES_ST","FQ3 2023","FQ3 2023","Currency=USD","Period=FQ","BEST_FPERIOD_OVERRIDE=FQ","FILING_STATUS=MR","SCALING_FORMAT=MLN","Sort=A","Dates=H","DateFormat=P","Fill=—","Direction=H","UseDPDF=Y")</f>
        <v>—</v>
      </c>
      <c r="W30" s="13" t="str">
        <f>_xll.BDH("ALNY US Equity","ARD_DEFERRED_EXPENSES_ST","FQ4 2023","FQ4 2023","Currency=USD","Period=FQ","BEST_FPERIOD_OVERRIDE=FQ","FILING_STATUS=MR","SCALING_FORMAT=MLN","Sort=A","Dates=H","DateFormat=P","Fill=—","Direction=H","UseDPDF=Y")</f>
        <v>—</v>
      </c>
      <c r="X30" s="13" t="str">
        <f>_xll.BDH("ALNY US Equity","ARD_DEFERRED_EXPENSES_ST","FQ1 2024","FQ1 2024","Currency=USD","Period=FQ","BEST_FPERIOD_OVERRIDE=FQ","FILING_STATUS=MR","SCALING_FORMAT=MLN","Sort=A","Dates=H","DateFormat=P","Fill=—","Direction=H","UseDPDF=Y")</f>
        <v>—</v>
      </c>
      <c r="Y30" s="13" t="str">
        <f>_xll.BDH("ALNY US Equity","ARD_DEFERRED_EXPENSES_ST","FQ2 2024","FQ2 2024","Currency=USD","Period=FQ","BEST_FPERIOD_OVERRIDE=FQ","FILING_STATUS=MR","SCALING_FORMAT=MLN","Sort=A","Dates=H","DateFormat=P","Fill=—","Direction=H","UseDPDF=Y")</f>
        <v>—</v>
      </c>
      <c r="Z30" s="13" t="str">
        <f>_xll.BDH("ALNY US Equity","ARD_DEFERRED_EXPENSES_ST","FQ3 2024","FQ3 2024","Currency=USD","Period=FQ","BEST_FPERIOD_OVERRIDE=FQ","FILING_STATUS=MR","SCALING_FORMAT=MLN","Sort=A","Dates=H","DateFormat=P","Fill=—","Direction=H","UseDPDF=Y")</f>
        <v>—</v>
      </c>
      <c r="AA30" s="13" t="str">
        <f>_xll.BDH("ALNY US Equity","ARD_DEFERRED_EXPENSES_ST","FQ4 2024","FQ4 2024","Currency=USD","Period=FQ","BEST_FPERIOD_OVERRIDE=FQ","FILING_STATUS=MR","SCALING_FORMAT=MLN","Sort=A","Dates=H","DateFormat=P","Fill=—","Direction=H","UseDPDF=Y")</f>
        <v>—</v>
      </c>
    </row>
    <row r="31" spans="1:27" x14ac:dyDescent="0.25">
      <c r="A31" s="6" t="s">
        <v>114</v>
      </c>
      <c r="B31" s="6" t="s">
        <v>868</v>
      </c>
      <c r="C31" s="19">
        <f>_xll.BDH("ALNY US Equity","ARD_TOTAL_CURRENT_LIABILITIES","FQ4 2018","FQ4 2018","Currency=USD","Period=FQ","BEST_FPERIOD_OVERRIDE=FQ","FILING_STATUS=MR","SCALING_FORMAT=MLN","Sort=A","Dates=H","DateFormat=P","Fill=—","Direction=H","UseDPDF=Y")</f>
        <v>179.494</v>
      </c>
      <c r="D31" s="19">
        <f>_xll.BDH("ALNY US Equity","ARD_TOTAL_CURRENT_LIABILITIES","FQ1 2019","FQ1 2019","Currency=USD","Period=FQ","BEST_FPERIOD_OVERRIDE=FQ","FILING_STATUS=MR","SCALING_FORMAT=MLN","Sort=A","Dates=H","DateFormat=P","Fill=—","Direction=H","UseDPDF=Y")</f>
        <v>149.16300000000001</v>
      </c>
      <c r="E31" s="19">
        <f>_xll.BDH("ALNY US Equity","ARD_TOTAL_CURRENT_LIABILITIES","FQ2 2019","FQ2 2019","Currency=USD","Period=FQ","BEST_FPERIOD_OVERRIDE=FQ","FILING_STATUS=MR","SCALING_FORMAT=MLN","Sort=A","Dates=H","DateFormat=P","Fill=—","Direction=H","UseDPDF=Y")</f>
        <v>328.60399999999998</v>
      </c>
      <c r="F31" s="19">
        <f>_xll.BDH("ALNY US Equity","ARD_TOTAL_CURRENT_LIABILITIES","FQ3 2019","FQ3 2019","Currency=USD","Period=FQ","BEST_FPERIOD_OVERRIDE=FQ","FILING_STATUS=MR","SCALING_FORMAT=MLN","Sort=A","Dates=H","DateFormat=P","Fill=—","Direction=H","UseDPDF=Y")</f>
        <v>352.86399999999998</v>
      </c>
      <c r="G31" s="19">
        <f>_xll.BDH("ALNY US Equity","ARD_TOTAL_CURRENT_LIABILITIES","FQ4 2019","FQ4 2019","Currency=USD","Period=FQ","BEST_FPERIOD_OVERRIDE=FQ","FILING_STATUS=MR","SCALING_FORMAT=MLN","Sort=A","Dates=H","DateFormat=P","Fill=—","Direction=H","UseDPDF=Y")</f>
        <v>352.59399999999999</v>
      </c>
      <c r="H31" s="19">
        <f>_xll.BDH("ALNY US Equity","ARD_TOTAL_CURRENT_LIABILITIES","FQ1 2020","FQ1 2020","Currency=USD","Period=FQ","BEST_FPERIOD_OVERRIDE=FQ","FILING_STATUS=MR","SCALING_FORMAT=MLN","Sort=A","Dates=H","DateFormat=P","Fill=—","Direction=H","UseDPDF=Y")</f>
        <v>338.791</v>
      </c>
      <c r="I31" s="19">
        <f>_xll.BDH("ALNY US Equity","ARD_TOTAL_CURRENT_LIABILITIES","FQ2 2020","FQ2 2020","Currency=USD","Period=FQ","BEST_FPERIOD_OVERRIDE=FQ","FILING_STATUS=MR","SCALING_FORMAT=MLN","Sort=A","Dates=H","DateFormat=P","Fill=—","Direction=H","UseDPDF=Y")</f>
        <v>384.30200000000002</v>
      </c>
      <c r="J31" s="19">
        <f>_xll.BDH("ALNY US Equity","ARD_TOTAL_CURRENT_LIABILITIES","FQ3 2020","FQ3 2020","Currency=USD","Period=FQ","BEST_FPERIOD_OVERRIDE=FQ","FILING_STATUS=MR","SCALING_FORMAT=MLN","Sort=A","Dates=H","DateFormat=P","Fill=—","Direction=H","UseDPDF=Y")</f>
        <v>480.24099999999999</v>
      </c>
      <c r="K31" s="19">
        <f>_xll.BDH("ALNY US Equity","ARD_TOTAL_CURRENT_LIABILITIES","FQ4 2020","FQ4 2020","Currency=USD","Period=FQ","BEST_FPERIOD_OVERRIDE=FQ","FILING_STATUS=MR","SCALING_FORMAT=MLN","Sort=A","Dates=H","DateFormat=P","Fill=—","Direction=H","UseDPDF=Y")</f>
        <v>585.27</v>
      </c>
      <c r="L31" s="19">
        <f>_xll.BDH("ALNY US Equity","ARD_TOTAL_CURRENT_LIABILITIES","FQ1 2021","FQ1 2021","Currency=USD","Period=FQ","BEST_FPERIOD_OVERRIDE=FQ","FILING_STATUS=MR","SCALING_FORMAT=MLN","Sort=A","Dates=H","DateFormat=P","Fill=—","Direction=H","UseDPDF=Y")</f>
        <v>494.82499999999999</v>
      </c>
      <c r="M31" s="19">
        <f>_xll.BDH("ALNY US Equity","ARD_TOTAL_CURRENT_LIABILITIES","FQ2 2021","FQ2 2021","Currency=USD","Period=FQ","BEST_FPERIOD_OVERRIDE=FQ","FILING_STATUS=MR","SCALING_FORMAT=MLN","Sort=A","Dates=H","DateFormat=P","Fill=—","Direction=H","UseDPDF=Y")</f>
        <v>554.64800000000002</v>
      </c>
      <c r="N31" s="19">
        <f>_xll.BDH("ALNY US Equity","ARD_TOTAL_CURRENT_LIABILITIES","FQ3 2021","FQ3 2021","Currency=USD","Period=FQ","BEST_FPERIOD_OVERRIDE=FQ","FILING_STATUS=MR","SCALING_FORMAT=MLN","Sort=A","Dates=H","DateFormat=P","Fill=—","Direction=H","UseDPDF=Y")</f>
        <v>610.65599999999995</v>
      </c>
      <c r="O31" s="19">
        <f>_xll.BDH("ALNY US Equity","ARD_TOTAL_CURRENT_LIABILITIES","FQ4 2021","FQ4 2021","Currency=USD","Period=FQ","BEST_FPERIOD_OVERRIDE=FQ","FILING_STATUS=MR","SCALING_FORMAT=MLN","Sort=A","Dates=H","DateFormat=P","Fill=—","Direction=H","UseDPDF=Y")</f>
        <v>695.71</v>
      </c>
      <c r="P31" s="19">
        <f>_xll.BDH("ALNY US Equity","ARD_TOTAL_CURRENT_LIABILITIES","FQ1 2022","FQ1 2022","Currency=USD","Period=FQ","BEST_FPERIOD_OVERRIDE=FQ","FILING_STATUS=MR","SCALING_FORMAT=MLN","Sort=A","Dates=H","DateFormat=P","Fill=—","Direction=H","UseDPDF=Y")</f>
        <v>605.96299999999997</v>
      </c>
      <c r="Q31" s="19">
        <f>_xll.BDH("ALNY US Equity","ARD_TOTAL_CURRENT_LIABILITIES","FQ2 2022","FQ2 2022","Currency=USD","Period=FQ","BEST_FPERIOD_OVERRIDE=FQ","FILING_STATUS=MR","SCALING_FORMAT=MLN","Sort=A","Dates=H","DateFormat=P","Fill=—","Direction=H","UseDPDF=Y")</f>
        <v>657.68499999999995</v>
      </c>
      <c r="R31" s="19">
        <f>_xll.BDH("ALNY US Equity","ARD_TOTAL_CURRENT_LIABILITIES","FQ3 2022","FQ3 2022","Currency=USD","Period=FQ","BEST_FPERIOD_OVERRIDE=FQ","FILING_STATUS=MR","SCALING_FORMAT=MLN","Sort=A","Dates=H","DateFormat=P","Fill=—","Direction=H","UseDPDF=Y")</f>
        <v>772.79100000000005</v>
      </c>
      <c r="S31" s="19">
        <f>_xll.BDH("ALNY US Equity","ARD_TOTAL_CURRENT_LIABILITIES","FQ4 2022","FQ4 2022","Currency=USD","Period=FQ","BEST_FPERIOD_OVERRIDE=FQ","FILING_STATUS=MR","SCALING_FORMAT=MLN","Sort=A","Dates=H","DateFormat=P","Fill=—","Direction=H","UseDPDF=Y")</f>
        <v>767.91499999999996</v>
      </c>
      <c r="T31" s="19">
        <f>_xll.BDH("ALNY US Equity","ARD_TOTAL_CURRENT_LIABILITIES","FQ1 2023","FQ1 2023","Currency=USD","Period=FQ","BEST_FPERIOD_OVERRIDE=FQ","FILING_STATUS=MR","SCALING_FORMAT=MLN","Sort=A","Dates=H","DateFormat=P","Fill=—","Direction=H","UseDPDF=Y")</f>
        <v>673.39099999999996</v>
      </c>
      <c r="U31" s="19">
        <f>_xll.BDH("ALNY US Equity","ARD_TOTAL_CURRENT_LIABILITIES","FQ2 2023","FQ2 2023","Currency=USD","Period=FQ","BEST_FPERIOD_OVERRIDE=FQ","FILING_STATUS=MR","SCALING_FORMAT=MLN","Sort=A","Dates=H","DateFormat=P","Fill=—","Direction=H","UseDPDF=Y")</f>
        <v>788.63900000000001</v>
      </c>
      <c r="V31" s="19">
        <f>_xll.BDH("ALNY US Equity","ARD_TOTAL_CURRENT_LIABILITIES","FQ3 2023","FQ3 2023","Currency=USD","Period=FQ","BEST_FPERIOD_OVERRIDE=FQ","FILING_STATUS=MR","SCALING_FORMAT=MLN","Sort=A","Dates=H","DateFormat=P","Fill=—","Direction=H","UseDPDF=Y")</f>
        <v>949.78499999999997</v>
      </c>
      <c r="W31" s="19">
        <f>_xll.BDH("ALNY US Equity","ARD_TOTAL_CURRENT_LIABILITIES","FQ4 2023","FQ4 2023","Currency=USD","Period=FQ","BEST_FPERIOD_OVERRIDE=FQ","FILING_STATUS=MR","SCALING_FORMAT=MLN","Sort=A","Dates=H","DateFormat=P","Fill=—","Direction=H","UseDPDF=Y")</f>
        <v>967.78599999999994</v>
      </c>
      <c r="X31" s="19">
        <f>_xll.BDH("ALNY US Equity","ARD_TOTAL_CURRENT_LIABILITIES","FQ1 2024","FQ1 2024","Currency=USD","Period=FQ","BEST_FPERIOD_OVERRIDE=FQ","FILING_STATUS=MR","SCALING_FORMAT=MLN","Sort=A","Dates=H","DateFormat=P","Fill=—","Direction=H","UseDPDF=Y")</f>
        <v>941.70899999999995</v>
      </c>
      <c r="Y31" s="19">
        <f>_xll.BDH("ALNY US Equity","ARD_TOTAL_CURRENT_LIABILITIES","FQ2 2024","FQ2 2024","Currency=USD","Period=FQ","BEST_FPERIOD_OVERRIDE=FQ","FILING_STATUS=MR","SCALING_FORMAT=MLN","Sort=A","Dates=H","DateFormat=P","Fill=—","Direction=H","UseDPDF=Y")</f>
        <v>1055.251</v>
      </c>
      <c r="Z31" s="19">
        <f>_xll.BDH("ALNY US Equity","ARD_TOTAL_CURRENT_LIABILITIES","FQ3 2024","FQ3 2024","Currency=USD","Period=FQ","BEST_FPERIOD_OVERRIDE=FQ","FILING_STATUS=MR","SCALING_FORMAT=MLN","Sort=A","Dates=H","DateFormat=P","Fill=—","Direction=H","UseDPDF=Y")</f>
        <v>1220.663</v>
      </c>
      <c r="AA31" s="19">
        <f>_xll.BDH("ALNY US Equity","ARD_TOTAL_CURRENT_LIABILITIES","FQ4 2024","FQ4 2024","Currency=USD","Period=FQ","BEST_FPERIOD_OVERRIDE=FQ","FILING_STATUS=MR","SCALING_FORMAT=MLN","Sort=A","Dates=H","DateFormat=P","Fill=—","Direction=H","UseDPDF=Y")</f>
        <v>1186.2719999999999</v>
      </c>
    </row>
    <row r="32" spans="1:27" x14ac:dyDescent="0.25">
      <c r="A32" s="10" t="s">
        <v>869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10" t="s">
        <v>780</v>
      </c>
      <c r="B33" s="10" t="s">
        <v>870</v>
      </c>
      <c r="C33" s="13" t="str">
        <f>_xll.BDH("ALNY US Equity","ARD_TOT_NONCURRENT_LIABILITIES","FQ4 2018","FQ4 2018","Currency=USD","Period=FQ","BEST_FPERIOD_OVERRIDE=FQ","FILING_STATUS=MR","SCALING_FORMAT=MLN","Sort=A","Dates=H","DateFormat=P","Fill=—","Direction=H","UseDPDF=Y")</f>
        <v>—</v>
      </c>
      <c r="D33" s="13" t="str">
        <f>_xll.BDH("ALNY US Equity","ARD_TOT_NONCURRENT_LIABILITIES","FQ1 2019","FQ1 2019","Currency=USD","Period=FQ","BEST_FPERIOD_OVERRIDE=FQ","FILING_STATUS=MR","SCALING_FORMAT=MLN","Sort=A","Dates=H","DateFormat=P","Fill=—","Direction=H","UseDPDF=Y")</f>
        <v>—</v>
      </c>
      <c r="E33" s="13" t="str">
        <f>_xll.BDH("ALNY US Equity","ARD_TOT_NONCURRENT_LIABILITIES","FQ2 2019","FQ2 2019","Currency=USD","Period=FQ","BEST_FPERIOD_OVERRIDE=FQ","FILING_STATUS=MR","SCALING_FORMAT=MLN","Sort=A","Dates=H","DateFormat=P","Fill=—","Direction=H","UseDPDF=Y")</f>
        <v>—</v>
      </c>
      <c r="F33" s="13" t="str">
        <f>_xll.BDH("ALNY US Equity","ARD_TOT_NONCURRENT_LIABILITIES","FQ3 2019","FQ3 2019","Currency=USD","Period=FQ","BEST_FPERIOD_OVERRIDE=FQ","FILING_STATUS=MR","SCALING_FORMAT=MLN","Sort=A","Dates=H","DateFormat=P","Fill=—","Direction=H","UseDPDF=Y")</f>
        <v>—</v>
      </c>
      <c r="G33" s="13" t="str">
        <f>_xll.BDH("ALNY US Equity","ARD_TOT_NONCURRENT_LIABILITIES","FQ4 2019","FQ4 2019","Currency=USD","Period=FQ","BEST_FPERIOD_OVERRIDE=FQ","FILING_STATUS=MR","SCALING_FORMAT=MLN","Sort=A","Dates=H","DateFormat=P","Fill=—","Direction=H","UseDPDF=Y")</f>
        <v>—</v>
      </c>
      <c r="H33" s="13" t="str">
        <f>_xll.BDH("ALNY US Equity","ARD_TOT_NONCURRENT_LIABILITIES","FQ1 2020","FQ1 2020","Currency=USD","Period=FQ","BEST_FPERIOD_OVERRIDE=FQ","FILING_STATUS=MR","SCALING_FORMAT=MLN","Sort=A","Dates=H","DateFormat=P","Fill=—","Direction=H","UseDPDF=Y")</f>
        <v>—</v>
      </c>
      <c r="I33" s="13" t="str">
        <f>_xll.BDH("ALNY US Equity","ARD_TOT_NONCURRENT_LIABILITIES","FQ2 2020","FQ2 2020","Currency=USD","Period=FQ","BEST_FPERIOD_OVERRIDE=FQ","FILING_STATUS=MR","SCALING_FORMAT=MLN","Sort=A","Dates=H","DateFormat=P","Fill=—","Direction=H","UseDPDF=Y")</f>
        <v>—</v>
      </c>
      <c r="J33" s="13" t="str">
        <f>_xll.BDH("ALNY US Equity","ARD_TOT_NONCURRENT_LIABILITIES","FQ3 2020","FQ3 2020","Currency=USD","Period=FQ","BEST_FPERIOD_OVERRIDE=FQ","FILING_STATUS=MR","SCALING_FORMAT=MLN","Sort=A","Dates=H","DateFormat=P","Fill=—","Direction=H","UseDPDF=Y")</f>
        <v>—</v>
      </c>
      <c r="K33" s="13" t="str">
        <f>_xll.BDH("ALNY US Equity","ARD_TOT_NONCURRENT_LIABILITIES","FQ4 2020","FQ4 2020","Currency=USD","Period=FQ","BEST_FPERIOD_OVERRIDE=FQ","FILING_STATUS=MR","SCALING_FORMAT=MLN","Sort=A","Dates=H","DateFormat=P","Fill=—","Direction=H","UseDPDF=Y")</f>
        <v>—</v>
      </c>
      <c r="L33" s="13" t="str">
        <f>_xll.BDH("ALNY US Equity","ARD_TOT_NONCURRENT_LIABILITIES","FQ1 2021","FQ1 2021","Currency=USD","Period=FQ","BEST_FPERIOD_OVERRIDE=FQ","FILING_STATUS=MR","SCALING_FORMAT=MLN","Sort=A","Dates=H","DateFormat=P","Fill=—","Direction=H","UseDPDF=Y")</f>
        <v>—</v>
      </c>
      <c r="M33" s="13" t="str">
        <f>_xll.BDH("ALNY US Equity","ARD_TOT_NONCURRENT_LIABILITIES","FQ2 2021","FQ2 2021","Currency=USD","Period=FQ","BEST_FPERIOD_OVERRIDE=FQ","FILING_STATUS=MR","SCALING_FORMAT=MLN","Sort=A","Dates=H","DateFormat=P","Fill=—","Direction=H","UseDPDF=Y")</f>
        <v>—</v>
      </c>
      <c r="N33" s="13" t="str">
        <f>_xll.BDH("ALNY US Equity","ARD_TOT_NONCURRENT_LIABILITIES","FQ3 2021","FQ3 2021","Currency=USD","Period=FQ","BEST_FPERIOD_OVERRIDE=FQ","FILING_STATUS=MR","SCALING_FORMAT=MLN","Sort=A","Dates=H","DateFormat=P","Fill=—","Direction=H","UseDPDF=Y")</f>
        <v>—</v>
      </c>
      <c r="O33" s="13" t="str">
        <f>_xll.BDH("ALNY US Equity","ARD_TOT_NONCURRENT_LIABILITIES","FQ4 2021","FQ4 2021","Currency=USD","Period=FQ","BEST_FPERIOD_OVERRIDE=FQ","FILING_STATUS=MR","SCALING_FORMAT=MLN","Sort=A","Dates=H","DateFormat=P","Fill=—","Direction=H","UseDPDF=Y")</f>
        <v>—</v>
      </c>
      <c r="P33" s="13" t="str">
        <f>_xll.BDH("ALNY US Equity","ARD_TOT_NONCURRENT_LIABILITIES","FQ1 2022","FQ1 2022","Currency=USD","Period=FQ","BEST_FPERIOD_OVERRIDE=FQ","FILING_STATUS=MR","SCALING_FORMAT=MLN","Sort=A","Dates=H","DateFormat=P","Fill=—","Direction=H","UseDPDF=Y")</f>
        <v>—</v>
      </c>
      <c r="Q33" s="13" t="str">
        <f>_xll.BDH("ALNY US Equity","ARD_TOT_NONCURRENT_LIABILITIES","FQ2 2022","FQ2 2022","Currency=USD","Period=FQ","BEST_FPERIOD_OVERRIDE=FQ","FILING_STATUS=MR","SCALING_FORMAT=MLN","Sort=A","Dates=H","DateFormat=P","Fill=—","Direction=H","UseDPDF=Y")</f>
        <v>—</v>
      </c>
      <c r="R33" s="13" t="str">
        <f>_xll.BDH("ALNY US Equity","ARD_TOT_NONCURRENT_LIABILITIES","FQ3 2022","FQ3 2022","Currency=USD","Period=FQ","BEST_FPERIOD_OVERRIDE=FQ","FILING_STATUS=MR","SCALING_FORMAT=MLN","Sort=A","Dates=H","DateFormat=P","Fill=—","Direction=H","UseDPDF=Y")</f>
        <v>—</v>
      </c>
      <c r="S33" s="13">
        <f>_xll.BDH("ALNY US Equity","ARD_TOT_NONCURRENT_LIABILITIES","FQ4 2022","FQ4 2022","Currency=USD","Period=FQ","BEST_FPERIOD_OVERRIDE=FQ","FILING_STATUS=MR","SCALING_FORMAT=MLN","Sort=A","Dates=H","DateFormat=P","Fill=—","Direction=H","UseDPDF=Y")</f>
        <v>2936.6669999999999</v>
      </c>
      <c r="T33" s="13">
        <f>_xll.BDH("ALNY US Equity","ARD_TOT_NONCURRENT_LIABILITIES","FQ1 2023","FQ1 2023","Currency=USD","Period=FQ","BEST_FPERIOD_OVERRIDE=FQ","FILING_STATUS=MR","SCALING_FORMAT=MLN","Sort=A","Dates=H","DateFormat=P","Fill=—","Direction=H","UseDPDF=Y")</f>
        <v>2977.7890000000002</v>
      </c>
      <c r="U33" s="13">
        <f>_xll.BDH("ALNY US Equity","ARD_TOT_NONCURRENT_LIABILITIES","FQ2 2023","FQ2 2023","Currency=USD","Period=FQ","BEST_FPERIOD_OVERRIDE=FQ","FILING_STATUS=MR","SCALING_FORMAT=MLN","Sort=A","Dates=H","DateFormat=P","Fill=—","Direction=H","UseDPDF=Y")</f>
        <v>3021.8879999999999</v>
      </c>
      <c r="V33" s="13">
        <f>_xll.BDH("ALNY US Equity","ARD_TOT_NONCURRENT_LIABILITIES","FQ3 2023","FQ3 2023","Currency=USD","Period=FQ","BEST_FPERIOD_OVERRIDE=FQ","FILING_STATUS=MR","SCALING_FORMAT=MLN","Sort=A","Dates=H","DateFormat=P","Fill=—","Direction=H","UseDPDF=Y")</f>
        <v>3055.154</v>
      </c>
      <c r="W33" s="13">
        <f>_xll.BDH("ALNY US Equity","ARD_TOT_NONCURRENT_LIABILITIES","FQ4 2023","FQ4 2023","Currency=USD","Period=FQ","BEST_FPERIOD_OVERRIDE=FQ","FILING_STATUS=MR","SCALING_FORMAT=MLN","Sort=A","Dates=H","DateFormat=P","Fill=—","Direction=H","UseDPDF=Y")</f>
        <v>3082.7379999999998</v>
      </c>
      <c r="X33" s="13">
        <f>_xll.BDH("ALNY US Equity","ARD_TOT_NONCURRENT_LIABILITIES","FQ1 2024","FQ1 2024","Currency=USD","Period=FQ","BEST_FPERIOD_OVERRIDE=FQ","FILING_STATUS=MR","SCALING_FORMAT=MLN","Sort=A","Dates=H","DateFormat=P","Fill=—","Direction=H","UseDPDF=Y")</f>
        <v>3101.9490000000001</v>
      </c>
      <c r="Y33" s="13">
        <f>_xll.BDH("ALNY US Equity","ARD_TOT_NONCURRENT_LIABILITIES","FQ2 2024","FQ2 2024","Currency=USD","Period=FQ","BEST_FPERIOD_OVERRIDE=FQ","FILING_STATUS=MR","SCALING_FORMAT=MLN","Sort=A","Dates=H","DateFormat=P","Fill=—","Direction=H","UseDPDF=Y")</f>
        <v>2957.45</v>
      </c>
      <c r="Z33" s="13" t="str">
        <f>_xll.BDH("ALNY US Equity","ARD_TOT_NONCURRENT_LIABILITIES","FQ3 2024","FQ3 2024","Currency=USD","Period=FQ","BEST_FPERIOD_OVERRIDE=FQ","FILING_STATUS=MR","SCALING_FORMAT=MLN","Sort=A","Dates=H","DateFormat=P","Fill=—","Direction=H","UseDPDF=Y")</f>
        <v>—</v>
      </c>
      <c r="AA33" s="13" t="str">
        <f>_xll.BDH("ALNY US Equity","ARD_TOT_NONCURRENT_LIABILITIES","FQ4 2024","FQ4 2024","Currency=USD","Period=FQ","BEST_FPERIOD_OVERRIDE=FQ","FILING_STATUS=MR","SCALING_FORMAT=MLN","Sort=A","Dates=H","DateFormat=P","Fill=—","Direction=H","UseDPDF=Y")</f>
        <v>—</v>
      </c>
    </row>
    <row r="34" spans="1:27" x14ac:dyDescent="0.25">
      <c r="A34" s="10" t="s">
        <v>871</v>
      </c>
      <c r="B34" s="10" t="s">
        <v>872</v>
      </c>
      <c r="C34" s="13" t="str">
        <f>_xll.BDH("ALNY US Equity","ARD_CONVERTIBLE_DEBT_LT","FQ4 2018","FQ4 2018","Currency=USD","Period=FQ","BEST_FPERIOD_OVERRIDE=FQ","FILING_STATUS=MR","SCALING_FORMAT=MLN","Sort=A","Dates=H","DateFormat=P","Fill=—","Direction=H","UseDPDF=Y")</f>
        <v>—</v>
      </c>
      <c r="D34" s="13" t="str">
        <f>_xll.BDH("ALNY US Equity","ARD_CONVERTIBLE_DEBT_LT","FQ1 2019","FQ1 2019","Currency=USD","Period=FQ","BEST_FPERIOD_OVERRIDE=FQ","FILING_STATUS=MR","SCALING_FORMAT=MLN","Sort=A","Dates=H","DateFormat=P","Fill=—","Direction=H","UseDPDF=Y")</f>
        <v>—</v>
      </c>
      <c r="E34" s="13" t="str">
        <f>_xll.BDH("ALNY US Equity","ARD_CONVERTIBLE_DEBT_LT","FQ2 2019","FQ2 2019","Currency=USD","Period=FQ","BEST_FPERIOD_OVERRIDE=FQ","FILING_STATUS=MR","SCALING_FORMAT=MLN","Sort=A","Dates=H","DateFormat=P","Fill=—","Direction=H","UseDPDF=Y")</f>
        <v>—</v>
      </c>
      <c r="F34" s="13" t="str">
        <f>_xll.BDH("ALNY US Equity","ARD_CONVERTIBLE_DEBT_LT","FQ3 2019","FQ3 2019","Currency=USD","Period=FQ","BEST_FPERIOD_OVERRIDE=FQ","FILING_STATUS=MR","SCALING_FORMAT=MLN","Sort=A","Dates=H","DateFormat=P","Fill=—","Direction=H","UseDPDF=Y")</f>
        <v>—</v>
      </c>
      <c r="G34" s="13" t="str">
        <f>_xll.BDH("ALNY US Equity","ARD_CONVERTIBLE_DEBT_LT","FQ4 2019","FQ4 2019","Currency=USD","Period=FQ","BEST_FPERIOD_OVERRIDE=FQ","FILING_STATUS=MR","SCALING_FORMAT=MLN","Sort=A","Dates=H","DateFormat=P","Fill=—","Direction=H","UseDPDF=Y")</f>
        <v>—</v>
      </c>
      <c r="H34" s="13" t="str">
        <f>_xll.BDH("ALNY US Equity","ARD_CONVERTIBLE_DEBT_LT","FQ1 2020","FQ1 2020","Currency=USD","Period=FQ","BEST_FPERIOD_OVERRIDE=FQ","FILING_STATUS=MR","SCALING_FORMAT=MLN","Sort=A","Dates=H","DateFormat=P","Fill=—","Direction=H","UseDPDF=Y")</f>
        <v>—</v>
      </c>
      <c r="I34" s="13" t="str">
        <f>_xll.BDH("ALNY US Equity","ARD_CONVERTIBLE_DEBT_LT","FQ2 2020","FQ2 2020","Currency=USD","Period=FQ","BEST_FPERIOD_OVERRIDE=FQ","FILING_STATUS=MR","SCALING_FORMAT=MLN","Sort=A","Dates=H","DateFormat=P","Fill=—","Direction=H","UseDPDF=Y")</f>
        <v>—</v>
      </c>
      <c r="J34" s="13" t="str">
        <f>_xll.BDH("ALNY US Equity","ARD_CONVERTIBLE_DEBT_LT","FQ3 2020","FQ3 2020","Currency=USD","Period=FQ","BEST_FPERIOD_OVERRIDE=FQ","FILING_STATUS=MR","SCALING_FORMAT=MLN","Sort=A","Dates=H","DateFormat=P","Fill=—","Direction=H","UseDPDF=Y")</f>
        <v>—</v>
      </c>
      <c r="K34" s="13" t="str">
        <f>_xll.BDH("ALNY US Equity","ARD_CONVERTIBLE_DEBT_LT","FQ4 2020","FQ4 2020","Currency=USD","Period=FQ","BEST_FPERIOD_OVERRIDE=FQ","FILING_STATUS=MR","SCALING_FORMAT=MLN","Sort=A","Dates=H","DateFormat=P","Fill=—","Direction=H","UseDPDF=Y")</f>
        <v>—</v>
      </c>
      <c r="L34" s="13" t="str">
        <f>_xll.BDH("ALNY US Equity","ARD_CONVERTIBLE_DEBT_LT","FQ1 2021","FQ1 2021","Currency=USD","Period=FQ","BEST_FPERIOD_OVERRIDE=FQ","FILING_STATUS=MR","SCALING_FORMAT=MLN","Sort=A","Dates=H","DateFormat=P","Fill=—","Direction=H","UseDPDF=Y")</f>
        <v>—</v>
      </c>
      <c r="M34" s="13" t="str">
        <f>_xll.BDH("ALNY US Equity","ARD_CONVERTIBLE_DEBT_LT","FQ2 2021","FQ2 2021","Currency=USD","Period=FQ","BEST_FPERIOD_OVERRIDE=FQ","FILING_STATUS=MR","SCALING_FORMAT=MLN","Sort=A","Dates=H","DateFormat=P","Fill=—","Direction=H","UseDPDF=Y")</f>
        <v>—</v>
      </c>
      <c r="N34" s="13" t="str">
        <f>_xll.BDH("ALNY US Equity","ARD_CONVERTIBLE_DEBT_LT","FQ3 2021","FQ3 2021","Currency=USD","Period=FQ","BEST_FPERIOD_OVERRIDE=FQ","FILING_STATUS=MR","SCALING_FORMAT=MLN","Sort=A","Dates=H","DateFormat=P","Fill=—","Direction=H","UseDPDF=Y")</f>
        <v>—</v>
      </c>
      <c r="O34" s="13" t="str">
        <f>_xll.BDH("ALNY US Equity","ARD_CONVERTIBLE_DEBT_LT","FQ4 2021","FQ4 2021","Currency=USD","Period=FQ","BEST_FPERIOD_OVERRIDE=FQ","FILING_STATUS=MR","SCALING_FORMAT=MLN","Sort=A","Dates=H","DateFormat=P","Fill=—","Direction=H","UseDPDF=Y")</f>
        <v>—</v>
      </c>
      <c r="P34" s="13" t="str">
        <f>_xll.BDH("ALNY US Equity","ARD_CONVERTIBLE_DEBT_LT","FQ1 2022","FQ1 2022","Currency=USD","Period=FQ","BEST_FPERIOD_OVERRIDE=FQ","FILING_STATUS=MR","SCALING_FORMAT=MLN","Sort=A","Dates=H","DateFormat=P","Fill=—","Direction=H","UseDPDF=Y")</f>
        <v>—</v>
      </c>
      <c r="Q34" s="13" t="str">
        <f>_xll.BDH("ALNY US Equity","ARD_CONVERTIBLE_DEBT_LT","FQ2 2022","FQ2 2022","Currency=USD","Period=FQ","BEST_FPERIOD_OVERRIDE=FQ","FILING_STATUS=MR","SCALING_FORMAT=MLN","Sort=A","Dates=H","DateFormat=P","Fill=—","Direction=H","UseDPDF=Y")</f>
        <v>—</v>
      </c>
      <c r="R34" s="13" t="str">
        <f>_xll.BDH("ALNY US Equity","ARD_CONVERTIBLE_DEBT_LT","FQ3 2022","FQ3 2022","Currency=USD","Period=FQ","BEST_FPERIOD_OVERRIDE=FQ","FILING_STATUS=MR","SCALING_FORMAT=MLN","Sort=A","Dates=H","DateFormat=P","Fill=—","Direction=H","UseDPDF=Y")</f>
        <v>—</v>
      </c>
      <c r="S34" s="13">
        <f>_xll.BDH("ALNY US Equity","ARD_CONVERTIBLE_DEBT_LT","FQ4 2022","FQ4 2022","Currency=USD","Period=FQ","BEST_FPERIOD_OVERRIDE=FQ","FILING_STATUS=MR","SCALING_FORMAT=MLN","Sort=A","Dates=H","DateFormat=P","Fill=—","Direction=H","UseDPDF=Y")</f>
        <v>1016.942</v>
      </c>
      <c r="T34" s="13">
        <f>_xll.BDH("ALNY US Equity","ARD_CONVERTIBLE_DEBT_LT","FQ1 2023","FQ1 2023","Currency=USD","Period=FQ","BEST_FPERIOD_OVERRIDE=FQ","FILING_STATUS=MR","SCALING_FORMAT=MLN","Sort=A","Dates=H","DateFormat=P","Fill=—","Direction=H","UseDPDF=Y")</f>
        <v>1017.8869999999999</v>
      </c>
      <c r="U34" s="13">
        <f>_xll.BDH("ALNY US Equity","ARD_CONVERTIBLE_DEBT_LT","FQ2 2023","FQ2 2023","Currency=USD","Period=FQ","BEST_FPERIOD_OVERRIDE=FQ","FILING_STATUS=MR","SCALING_FORMAT=MLN","Sort=A","Dates=H","DateFormat=P","Fill=—","Direction=H","UseDPDF=Y")</f>
        <v>1018.843</v>
      </c>
      <c r="V34" s="13">
        <f>_xll.BDH("ALNY US Equity","ARD_CONVERTIBLE_DEBT_LT","FQ3 2023","FQ3 2023","Currency=USD","Period=FQ","BEST_FPERIOD_OVERRIDE=FQ","FILING_STATUS=MR","SCALING_FORMAT=MLN","Sort=A","Dates=H","DateFormat=P","Fill=—","Direction=H","UseDPDF=Y")</f>
        <v>1019.809</v>
      </c>
      <c r="W34" s="13">
        <f>_xll.BDH("ALNY US Equity","ARD_CONVERTIBLE_DEBT_LT","FQ4 2023","FQ4 2023","Currency=USD","Period=FQ","BEST_FPERIOD_OVERRIDE=FQ","FILING_STATUS=MR","SCALING_FORMAT=MLN","Sort=A","Dates=H","DateFormat=P","Fill=—","Direction=H","UseDPDF=Y")</f>
        <v>1020.776</v>
      </c>
      <c r="X34" s="13">
        <f>_xll.BDH("ALNY US Equity","ARD_CONVERTIBLE_DEBT_LT","FQ1 2024","FQ1 2024","Currency=USD","Period=FQ","BEST_FPERIOD_OVERRIDE=FQ","FILING_STATUS=MR","SCALING_FORMAT=MLN","Sort=A","Dates=H","DateFormat=P","Fill=—","Direction=H","UseDPDF=Y")</f>
        <v>1021.732</v>
      </c>
      <c r="Y34" s="13">
        <f>_xll.BDH("ALNY US Equity","ARD_CONVERTIBLE_DEBT_LT","FQ2 2024","FQ2 2024","Currency=USD","Period=FQ","BEST_FPERIOD_OVERRIDE=FQ","FILING_STATUS=MR","SCALING_FORMAT=MLN","Sort=A","Dates=H","DateFormat=P","Fill=—","Direction=H","UseDPDF=Y")</f>
        <v>1022.688</v>
      </c>
      <c r="Z34" s="13">
        <f>_xll.BDH("ALNY US Equity","ARD_CONVERTIBLE_DEBT_LT","FQ3 2024","FQ3 2024","Currency=USD","Period=FQ","BEST_FPERIOD_OVERRIDE=FQ","FILING_STATUS=MR","SCALING_FORMAT=MLN","Sort=A","Dates=H","DateFormat=P","Fill=—","Direction=H","UseDPDF=Y")</f>
        <v>1023.654</v>
      </c>
      <c r="AA34" s="13">
        <f>_xll.BDH("ALNY US Equity","ARD_CONVERTIBLE_DEBT_LT","FQ4 2024","FQ4 2024","Currency=USD","Period=FQ","BEST_FPERIOD_OVERRIDE=FQ","FILING_STATUS=MR","SCALING_FORMAT=MLN","Sort=A","Dates=H","DateFormat=P","Fill=—","Direction=H","UseDPDF=Y")</f>
        <v>1024.6210000000001</v>
      </c>
    </row>
    <row r="35" spans="1:27" x14ac:dyDescent="0.25">
      <c r="A35" s="10" t="s">
        <v>873</v>
      </c>
      <c r="B35" s="10" t="s">
        <v>874</v>
      </c>
      <c r="C35" s="13">
        <f>_xll.BDH("ALNY US Equity","ARD_LT_DEBT","FQ4 2018","FQ4 2018","Currency=USD","Period=FQ","BEST_FPERIOD_OVERRIDE=FQ","FILING_STATUS=MR","SCALING_FORMAT=MLN","Sort=A","Dates=H","DateFormat=P","Fill=—","Direction=H","UseDPDF=Y")</f>
        <v>30</v>
      </c>
      <c r="D35" s="13">
        <f>_xll.BDH("ALNY US Equity","ARD_LT_DEBT","FQ1 2019","FQ1 2019","Currency=USD","Period=FQ","BEST_FPERIOD_OVERRIDE=FQ","FILING_STATUS=MR","SCALING_FORMAT=MLN","Sort=A","Dates=H","DateFormat=P","Fill=—","Direction=H","UseDPDF=Y")</f>
        <v>30</v>
      </c>
      <c r="E35" s="13">
        <f>_xll.BDH("ALNY US Equity","ARD_LT_DEBT","FQ2 2019","FQ2 2019","Currency=USD","Period=FQ","BEST_FPERIOD_OVERRIDE=FQ","FILING_STATUS=MR","SCALING_FORMAT=MLN","Sort=A","Dates=H","DateFormat=P","Fill=—","Direction=H","UseDPDF=Y")</f>
        <v>30</v>
      </c>
      <c r="F35" s="13">
        <f>_xll.BDH("ALNY US Equity","ARD_LT_DEBT","FQ3 2019","FQ3 2019","Currency=USD","Period=FQ","BEST_FPERIOD_OVERRIDE=FQ","FILING_STATUS=MR","SCALING_FORMAT=MLN","Sort=A","Dates=H","DateFormat=P","Fill=—","Direction=H","UseDPDF=Y")</f>
        <v>0</v>
      </c>
      <c r="G35" s="13">
        <f>_xll.BDH("ALNY US Equity","ARD_LT_DEBT","FQ4 2019","FQ4 2019","Currency=USD","Period=FQ","BEST_FPERIOD_OVERRIDE=FQ","FILING_STATUS=MR","SCALING_FORMAT=MLN","Sort=A","Dates=H","DateFormat=P","Fill=—","Direction=H","UseDPDF=Y")</f>
        <v>0</v>
      </c>
      <c r="H35" s="13" t="str">
        <f>_xll.BDH("ALNY US Equity","ARD_LT_DEBT","FQ1 2020","FQ1 2020","Currency=USD","Period=FQ","BEST_FPERIOD_OVERRIDE=FQ","FILING_STATUS=MR","SCALING_FORMAT=MLN","Sort=A","Dates=H","DateFormat=P","Fill=—","Direction=H","UseDPDF=Y")</f>
        <v>—</v>
      </c>
      <c r="I35" s="13" t="str">
        <f>_xll.BDH("ALNY US Equity","ARD_LT_DEBT","FQ2 2020","FQ2 2020","Currency=USD","Period=FQ","BEST_FPERIOD_OVERRIDE=FQ","FILING_STATUS=MR","SCALING_FORMAT=MLN","Sort=A","Dates=H","DateFormat=P","Fill=—","Direction=H","UseDPDF=Y")</f>
        <v>—</v>
      </c>
      <c r="J35" s="13" t="str">
        <f>_xll.BDH("ALNY US Equity","ARD_LT_DEBT","FQ3 2020","FQ3 2020","Currency=USD","Period=FQ","BEST_FPERIOD_OVERRIDE=FQ","FILING_STATUS=MR","SCALING_FORMAT=MLN","Sort=A","Dates=H","DateFormat=P","Fill=—","Direction=H","UseDPDF=Y")</f>
        <v>—</v>
      </c>
      <c r="K35" s="13">
        <f>_xll.BDH("ALNY US Equity","ARD_LT_DEBT","FQ4 2020","FQ4 2020","Currency=USD","Period=FQ","BEST_FPERIOD_OVERRIDE=FQ","FILING_STATUS=MR","SCALING_FORMAT=MLN","Sort=A","Dates=H","DateFormat=P","Fill=—","Direction=H","UseDPDF=Y")</f>
        <v>191.27799999999999</v>
      </c>
      <c r="L35" s="13">
        <f>_xll.BDH("ALNY US Equity","ARD_LT_DEBT","FQ1 2021","FQ1 2021","Currency=USD","Period=FQ","BEST_FPERIOD_OVERRIDE=FQ","FILING_STATUS=MR","SCALING_FORMAT=MLN","Sort=A","Dates=H","DateFormat=P","Fill=—","Direction=H","UseDPDF=Y")</f>
        <v>191.59</v>
      </c>
      <c r="M35" s="13">
        <f>_xll.BDH("ALNY US Equity","ARD_LT_DEBT","FQ2 2021","FQ2 2021","Currency=USD","Period=FQ","BEST_FPERIOD_OVERRIDE=FQ","FILING_STATUS=MR","SCALING_FORMAT=MLN","Sort=A","Dates=H","DateFormat=P","Fill=—","Direction=H","UseDPDF=Y")</f>
        <v>433.15100000000001</v>
      </c>
      <c r="N35" s="13">
        <f>_xll.BDH("ALNY US Equity","ARD_LT_DEBT","FQ3 2021","FQ3 2021","Currency=USD","Period=FQ","BEST_FPERIOD_OVERRIDE=FQ","FILING_STATUS=MR","SCALING_FORMAT=MLN","Sort=A","Dates=H","DateFormat=P","Fill=—","Direction=H","UseDPDF=Y")</f>
        <v>433.79899999999998</v>
      </c>
      <c r="O35" s="13">
        <f>_xll.BDH("ALNY US Equity","ARD_LT_DEBT","FQ4 2021","FQ4 2021","Currency=USD","Period=FQ","BEST_FPERIOD_OVERRIDE=FQ","FILING_STATUS=MR","SCALING_FORMAT=MLN","Sort=A","Dates=H","DateFormat=P","Fill=—","Direction=H","UseDPDF=Y")</f>
        <v>675.697</v>
      </c>
      <c r="P35" s="13">
        <f>_xll.BDH("ALNY US Equity","ARD_LT_DEBT","FQ1 2022","FQ1 2022","Currency=USD","Period=FQ","BEST_FPERIOD_OVERRIDE=FQ","FILING_STATUS=MR","SCALING_FORMAT=MLN","Sort=A","Dates=H","DateFormat=P","Fill=—","Direction=H","UseDPDF=Y")</f>
        <v>676.71</v>
      </c>
      <c r="Q35" s="13">
        <f>_xll.BDH("ALNY US Equity","ARD_LT_DEBT","FQ2 2022","FQ2 2022","Currency=USD","Period=FQ","BEST_FPERIOD_OVERRIDE=FQ","FILING_STATUS=MR","SCALING_FORMAT=MLN","Sort=A","Dates=H","DateFormat=P","Fill=—","Direction=H","UseDPDF=Y")</f>
        <v>677.72299999999996</v>
      </c>
      <c r="R35" s="13">
        <f>_xll.BDH("ALNY US Equity","ARD_LT_DEBT","FQ3 2022","FQ3 2022","Currency=USD","Period=FQ","BEST_FPERIOD_OVERRIDE=FQ","FILING_STATUS=MR","SCALING_FORMAT=MLN","Sort=A","Dates=H","DateFormat=P","Fill=—","Direction=H","UseDPDF=Y")</f>
        <v>0</v>
      </c>
      <c r="S35" s="13">
        <f>_xll.BDH("ALNY US Equity","ARD_LT_DEBT","FQ4 2022","FQ4 2022","Currency=USD","Period=FQ","BEST_FPERIOD_OVERRIDE=FQ","FILING_STATUS=MR","SCALING_FORMAT=MLN","Sort=A","Dates=H","DateFormat=P","Fill=—","Direction=H","UseDPDF=Y")</f>
        <v>0</v>
      </c>
      <c r="T35" s="13" t="str">
        <f>_xll.BDH("ALNY US Equity","ARD_LT_DEBT","FQ1 2023","FQ1 2023","Currency=USD","Period=FQ","BEST_FPERIOD_OVERRIDE=FQ","FILING_STATUS=MR","SCALING_FORMAT=MLN","Sort=A","Dates=H","DateFormat=P","Fill=—","Direction=H","UseDPDF=Y")</f>
        <v>—</v>
      </c>
      <c r="U35" s="13" t="str">
        <f>_xll.BDH("ALNY US Equity","ARD_LT_DEBT","FQ2 2023","FQ2 2023","Currency=USD","Period=FQ","BEST_FPERIOD_OVERRIDE=FQ","FILING_STATUS=MR","SCALING_FORMAT=MLN","Sort=A","Dates=H","DateFormat=P","Fill=—","Direction=H","UseDPDF=Y")</f>
        <v>—</v>
      </c>
      <c r="V35" s="13" t="str">
        <f>_xll.BDH("ALNY US Equity","ARD_LT_DEBT","FQ3 2023","FQ3 2023","Currency=USD","Period=FQ","BEST_FPERIOD_OVERRIDE=FQ","FILING_STATUS=MR","SCALING_FORMAT=MLN","Sort=A","Dates=H","DateFormat=P","Fill=—","Direction=H","UseDPDF=Y")</f>
        <v>—</v>
      </c>
      <c r="W35" s="13" t="str">
        <f>_xll.BDH("ALNY US Equity","ARD_LT_DEBT","FQ4 2023","FQ4 2023","Currency=USD","Period=FQ","BEST_FPERIOD_OVERRIDE=FQ","FILING_STATUS=MR","SCALING_FORMAT=MLN","Sort=A","Dates=H","DateFormat=P","Fill=—","Direction=H","UseDPDF=Y")</f>
        <v>—</v>
      </c>
      <c r="X35" s="13" t="str">
        <f>_xll.BDH("ALNY US Equity","ARD_LT_DEBT","FQ1 2024","FQ1 2024","Currency=USD","Period=FQ","BEST_FPERIOD_OVERRIDE=FQ","FILING_STATUS=MR","SCALING_FORMAT=MLN","Sort=A","Dates=H","DateFormat=P","Fill=—","Direction=H","UseDPDF=Y")</f>
        <v>—</v>
      </c>
      <c r="Y35" s="13" t="str">
        <f>_xll.BDH("ALNY US Equity","ARD_LT_DEBT","FQ2 2024","FQ2 2024","Currency=USD","Period=FQ","BEST_FPERIOD_OVERRIDE=FQ","FILING_STATUS=MR","SCALING_FORMAT=MLN","Sort=A","Dates=H","DateFormat=P","Fill=—","Direction=H","UseDPDF=Y")</f>
        <v>—</v>
      </c>
      <c r="Z35" s="13" t="str">
        <f>_xll.BDH("ALNY US Equity","ARD_LT_DEBT","FQ3 2024","FQ3 2024","Currency=USD","Period=FQ","BEST_FPERIOD_OVERRIDE=FQ","FILING_STATUS=MR","SCALING_FORMAT=MLN","Sort=A","Dates=H","DateFormat=P","Fill=—","Direction=H","UseDPDF=Y")</f>
        <v>—</v>
      </c>
      <c r="AA35" s="13" t="str">
        <f>_xll.BDH("ALNY US Equity","ARD_LT_DEBT","FQ4 2024","FQ4 2024","Currency=USD","Period=FQ","BEST_FPERIOD_OVERRIDE=FQ","FILING_STATUS=MR","SCALING_FORMAT=MLN","Sort=A","Dates=H","DateFormat=P","Fill=—","Direction=H","UseDPDF=Y")</f>
        <v>—</v>
      </c>
    </row>
    <row r="36" spans="1:27" x14ac:dyDescent="0.25">
      <c r="A36" s="10" t="s">
        <v>875</v>
      </c>
      <c r="B36" s="10" t="s">
        <v>876</v>
      </c>
      <c r="C36" s="13">
        <f>_xll.BDH("ALNY US Equity","ARD_DEFERRED_UNEARNED_REV_LT","FQ4 2018","FQ4 2018","Currency=USD","Period=FQ","BEST_FPERIOD_OVERRIDE=FQ","FILING_STATUS=MR","SCALING_FORMAT=MLN","Sort=A","Dates=H","DateFormat=P","Fill=—","Direction=H","UseDPDF=Y")</f>
        <v>0.45800000000000002</v>
      </c>
      <c r="D36" s="13">
        <f>_xll.BDH("ALNY US Equity","ARD_DEFERRED_UNEARNED_REV_LT","FQ1 2019","FQ1 2019","Currency=USD","Period=FQ","BEST_FPERIOD_OVERRIDE=FQ","FILING_STATUS=MR","SCALING_FORMAT=MLN","Sort=A","Dates=H","DateFormat=P","Fill=—","Direction=H","UseDPDF=Y")</f>
        <v>0.47799999999999998</v>
      </c>
      <c r="E36" s="13">
        <f>_xll.BDH("ALNY US Equity","ARD_DEFERRED_UNEARNED_REV_LT","FQ2 2019","FQ2 2019","Currency=USD","Period=FQ","BEST_FPERIOD_OVERRIDE=FQ","FILING_STATUS=MR","SCALING_FORMAT=MLN","Sort=A","Dates=H","DateFormat=P","Fill=—","Direction=H","UseDPDF=Y")</f>
        <v>313.887</v>
      </c>
      <c r="F36" s="13">
        <f>_xll.BDH("ALNY US Equity","ARD_DEFERRED_UNEARNED_REV_LT","FQ3 2019","FQ3 2019","Currency=USD","Period=FQ","BEST_FPERIOD_OVERRIDE=FQ","FILING_STATUS=MR","SCALING_FORMAT=MLN","Sort=A","Dates=H","DateFormat=P","Fill=—","Direction=H","UseDPDF=Y")</f>
        <v>296.17899999999997</v>
      </c>
      <c r="G36" s="13">
        <f>_xll.BDH("ALNY US Equity","ARD_DEFERRED_UNEARNED_REV_LT","FQ4 2019","FQ4 2019","Currency=USD","Period=FQ","BEST_FPERIOD_OVERRIDE=FQ","FILING_STATUS=MR","SCALING_FORMAT=MLN","Sort=A","Dates=H","DateFormat=P","Fill=—","Direction=H","UseDPDF=Y")</f>
        <v>318.38299999999998</v>
      </c>
      <c r="H36" s="13">
        <f>_xll.BDH("ALNY US Equity","ARD_DEFERRED_UNEARNED_REV_LT","FQ1 2020","FQ1 2020","Currency=USD","Period=FQ","BEST_FPERIOD_OVERRIDE=FQ","FILING_STATUS=MR","SCALING_FORMAT=MLN","Sort=A","Dates=H","DateFormat=P","Fill=—","Direction=H","UseDPDF=Y")</f>
        <v>306.12400000000002</v>
      </c>
      <c r="I36" s="13">
        <f>_xll.BDH("ALNY US Equity","ARD_DEFERRED_UNEARNED_REV_LT","FQ2 2020","FQ2 2020","Currency=USD","Period=FQ","BEST_FPERIOD_OVERRIDE=FQ","FILING_STATUS=MR","SCALING_FORMAT=MLN","Sort=A","Dates=H","DateFormat=P","Fill=—","Direction=H","UseDPDF=Y")</f>
        <v>281.52999999999997</v>
      </c>
      <c r="J36" s="13">
        <f>_xll.BDH("ALNY US Equity","ARD_DEFERRED_UNEARNED_REV_LT","FQ3 2020","FQ3 2020","Currency=USD","Period=FQ","BEST_FPERIOD_OVERRIDE=FQ","FILING_STATUS=MR","SCALING_FORMAT=MLN","Sort=A","Dates=H","DateFormat=P","Fill=—","Direction=H","UseDPDF=Y")</f>
        <v>265.70800000000003</v>
      </c>
      <c r="K36" s="13">
        <f>_xll.BDH("ALNY US Equity","ARD_DEFERRED_UNEARNED_REV_LT","FQ4 2020","FQ4 2020","Currency=USD","Period=FQ","BEST_FPERIOD_OVERRIDE=FQ","FILING_STATUS=MR","SCALING_FORMAT=MLN","Sort=A","Dates=H","DateFormat=P","Fill=—","Direction=H","UseDPDF=Y")</f>
        <v>225.09399999999999</v>
      </c>
      <c r="L36" s="13">
        <f>_xll.BDH("ALNY US Equity","ARD_DEFERRED_UNEARNED_REV_LT","FQ1 2021","FQ1 2021","Currency=USD","Period=FQ","BEST_FPERIOD_OVERRIDE=FQ","FILING_STATUS=MR","SCALING_FORMAT=MLN","Sort=A","Dates=H","DateFormat=P","Fill=—","Direction=H","UseDPDF=Y")</f>
        <v>208.12299999999999</v>
      </c>
      <c r="M36" s="13">
        <f>_xll.BDH("ALNY US Equity","ARD_DEFERRED_UNEARNED_REV_LT","FQ2 2021","FQ2 2021","Currency=USD","Period=FQ","BEST_FPERIOD_OVERRIDE=FQ","FILING_STATUS=MR","SCALING_FORMAT=MLN","Sort=A","Dates=H","DateFormat=P","Fill=—","Direction=H","UseDPDF=Y")</f>
        <v>202.39099999999999</v>
      </c>
      <c r="N36" s="13">
        <f>_xll.BDH("ALNY US Equity","ARD_DEFERRED_UNEARNED_REV_LT","FQ3 2021","FQ3 2021","Currency=USD","Period=FQ","BEST_FPERIOD_OVERRIDE=FQ","FILING_STATUS=MR","SCALING_FORMAT=MLN","Sort=A","Dates=H","DateFormat=P","Fill=—","Direction=H","UseDPDF=Y")</f>
        <v>177.12299999999999</v>
      </c>
      <c r="O36" s="13">
        <f>_xll.BDH("ALNY US Equity","ARD_DEFERRED_UNEARNED_REV_LT","FQ4 2021","FQ4 2021","Currency=USD","Period=FQ","BEST_FPERIOD_OVERRIDE=FQ","FILING_STATUS=MR","SCALING_FORMAT=MLN","Sort=A","Dates=H","DateFormat=P","Fill=—","Direction=H","UseDPDF=Y")</f>
        <v>152.36000000000001</v>
      </c>
      <c r="P36" s="13">
        <f>_xll.BDH("ALNY US Equity","ARD_DEFERRED_UNEARNED_REV_LT","FQ1 2022","FQ1 2022","Currency=USD","Period=FQ","BEST_FPERIOD_OVERRIDE=FQ","FILING_STATUS=MR","SCALING_FORMAT=MLN","Sort=A","Dates=H","DateFormat=P","Fill=—","Direction=H","UseDPDF=Y")</f>
        <v>157.66800000000001</v>
      </c>
      <c r="Q36" s="13">
        <f>_xll.BDH("ALNY US Equity","ARD_DEFERRED_UNEARNED_REV_LT","FQ2 2022","FQ2 2022","Currency=USD","Period=FQ","BEST_FPERIOD_OVERRIDE=FQ","FILING_STATUS=MR","SCALING_FORMAT=MLN","Sort=A","Dates=H","DateFormat=P","Fill=—","Direction=H","UseDPDF=Y")</f>
        <v>175.34100000000001</v>
      </c>
      <c r="R36" s="13">
        <f>_xll.BDH("ALNY US Equity","ARD_DEFERRED_UNEARNED_REV_LT","FQ3 2022","FQ3 2022","Currency=USD","Period=FQ","BEST_FPERIOD_OVERRIDE=FQ","FILING_STATUS=MR","SCALING_FORMAT=MLN","Sort=A","Dates=H","DateFormat=P","Fill=—","Direction=H","UseDPDF=Y")</f>
        <v>132.93</v>
      </c>
      <c r="S36" s="13">
        <f>_xll.BDH("ALNY US Equity","ARD_DEFERRED_UNEARNED_REV_LT","FQ4 2022","FQ4 2022","Currency=USD","Period=FQ","BEST_FPERIOD_OVERRIDE=FQ","FILING_STATUS=MR","SCALING_FORMAT=MLN","Sort=A","Dates=H","DateFormat=P","Fill=—","Direction=H","UseDPDF=Y")</f>
        <v>193.791</v>
      </c>
      <c r="T36" s="13">
        <f>_xll.BDH("ALNY US Equity","ARD_DEFERRED_UNEARNED_REV_LT","FQ1 2023","FQ1 2023","Currency=USD","Period=FQ","BEST_FPERIOD_OVERRIDE=FQ","FILING_STATUS=MR","SCALING_FORMAT=MLN","Sort=A","Dates=H","DateFormat=P","Fill=—","Direction=H","UseDPDF=Y")</f>
        <v>191.25700000000001</v>
      </c>
      <c r="U36" s="13">
        <f>_xll.BDH("ALNY US Equity","ARD_DEFERRED_UNEARNED_REV_LT","FQ2 2023","FQ2 2023","Currency=USD","Period=FQ","BEST_FPERIOD_OVERRIDE=FQ","FILING_STATUS=MR","SCALING_FORMAT=MLN","Sort=A","Dates=H","DateFormat=P","Fill=—","Direction=H","UseDPDF=Y")</f>
        <v>194.12899999999999</v>
      </c>
      <c r="V36" s="13">
        <f>_xll.BDH("ALNY US Equity","ARD_DEFERRED_UNEARNED_REV_LT","FQ3 2023","FQ3 2023","Currency=USD","Period=FQ","BEST_FPERIOD_OVERRIDE=FQ","FILING_STATUS=MR","SCALING_FORMAT=MLN","Sort=A","Dates=H","DateFormat=P","Fill=—","Direction=H","UseDPDF=Y")</f>
        <v>196.08600000000001</v>
      </c>
      <c r="W36" s="13">
        <f>_xll.BDH("ALNY US Equity","ARD_DEFERRED_UNEARNED_REV_LT","FQ4 2023","FQ4 2023","Currency=USD","Period=FQ","BEST_FPERIOD_OVERRIDE=FQ","FILING_STATUS=MR","SCALING_FORMAT=MLN","Sort=A","Dates=H","DateFormat=P","Fill=—","Direction=H","UseDPDF=Y")</f>
        <v>188.17500000000001</v>
      </c>
      <c r="X36" s="13">
        <f>_xll.BDH("ALNY US Equity","ARD_DEFERRED_UNEARNED_REV_LT","FQ1 2024","FQ1 2024","Currency=USD","Period=FQ","BEST_FPERIOD_OVERRIDE=FQ","FILING_STATUS=MR","SCALING_FORMAT=MLN","Sort=A","Dates=H","DateFormat=P","Fill=—","Direction=H","UseDPDF=Y")</f>
        <v>185.506</v>
      </c>
      <c r="Y36" s="13">
        <f>_xll.BDH("ALNY US Equity","ARD_DEFERRED_UNEARNED_REV_LT","FQ2 2024","FQ2 2024","Currency=USD","Period=FQ","BEST_FPERIOD_OVERRIDE=FQ","FILING_STATUS=MR","SCALING_FORMAT=MLN","Sort=A","Dates=H","DateFormat=P","Fill=—","Direction=H","UseDPDF=Y")</f>
        <v>2.4020000000000001</v>
      </c>
      <c r="Z36" s="13">
        <f>_xll.BDH("ALNY US Equity","ARD_DEFERRED_UNEARNED_REV_LT","FQ3 2024","FQ3 2024","Currency=USD","Period=FQ","BEST_FPERIOD_OVERRIDE=FQ","FILING_STATUS=MR","SCALING_FORMAT=MLN","Sort=A","Dates=H","DateFormat=P","Fill=—","Direction=H","UseDPDF=Y")</f>
        <v>1.012</v>
      </c>
      <c r="AA36" s="13">
        <f>_xll.BDH("ALNY US Equity","ARD_DEFERRED_UNEARNED_REV_LT","FQ4 2024","FQ4 2024","Currency=USD","Period=FQ","BEST_FPERIOD_OVERRIDE=FQ","FILING_STATUS=MR","SCALING_FORMAT=MLN","Sort=A","Dates=H","DateFormat=P","Fill=—","Direction=H","UseDPDF=Y")</f>
        <v>0</v>
      </c>
    </row>
    <row r="37" spans="1:27" x14ac:dyDescent="0.25">
      <c r="A37" s="10" t="s">
        <v>877</v>
      </c>
      <c r="B37" s="10" t="s">
        <v>878</v>
      </c>
      <c r="C37" s="13">
        <f>_xll.BDH("ALNY US Equity","ARD_OTH_NONCURRENT_LIABILITIES","FQ4 2018","FQ4 2018","Currency=USD","Period=FQ","BEST_FPERIOD_OVERRIDE=FQ","FILING_STATUS=MR","SCALING_FORMAT=MLN","Sort=A","Dates=H","DateFormat=P","Fill=—","Direction=H","UseDPDF=Y")</f>
        <v>4.9649999999999999</v>
      </c>
      <c r="D37" s="13">
        <f>_xll.BDH("ALNY US Equity","ARD_OTH_NONCURRENT_LIABILITIES","FQ1 2019","FQ1 2019","Currency=USD","Period=FQ","BEST_FPERIOD_OVERRIDE=FQ","FILING_STATUS=MR","SCALING_FORMAT=MLN","Sort=A","Dates=H","DateFormat=P","Fill=—","Direction=H","UseDPDF=Y")</f>
        <v>5.0720000000000001</v>
      </c>
      <c r="E37" s="13">
        <f>_xll.BDH("ALNY US Equity","ARD_OTH_NONCURRENT_LIABILITIES","FQ2 2019","FQ2 2019","Currency=USD","Period=FQ","BEST_FPERIOD_OVERRIDE=FQ","FILING_STATUS=MR","SCALING_FORMAT=MLN","Sort=A","Dates=H","DateFormat=P","Fill=—","Direction=H","UseDPDF=Y")</f>
        <v>9.5139999999999993</v>
      </c>
      <c r="F37" s="13">
        <f>_xll.BDH("ALNY US Equity","ARD_OTH_NONCURRENT_LIABILITIES","FQ3 2019","FQ3 2019","Currency=USD","Period=FQ","BEST_FPERIOD_OVERRIDE=FQ","FILING_STATUS=MR","SCALING_FORMAT=MLN","Sort=A","Dates=H","DateFormat=P","Fill=—","Direction=H","UseDPDF=Y")</f>
        <v>9.0359999999999996</v>
      </c>
      <c r="G37" s="13">
        <f>_xll.BDH("ALNY US Equity","ARD_OTH_NONCURRENT_LIABILITIES","FQ4 2019","FQ4 2019","Currency=USD","Period=FQ","BEST_FPERIOD_OVERRIDE=FQ","FILING_STATUS=MR","SCALING_FORMAT=MLN","Sort=A","Dates=H","DateFormat=P","Fill=—","Direction=H","UseDPDF=Y")</f>
        <v>9.33</v>
      </c>
      <c r="H37" s="13">
        <f>_xll.BDH("ALNY US Equity","ARD_OTH_NONCURRENT_LIABILITIES","FQ1 2020","FQ1 2020","Currency=USD","Period=FQ","BEST_FPERIOD_OVERRIDE=FQ","FILING_STATUS=MR","SCALING_FORMAT=MLN","Sort=A","Dates=H","DateFormat=P","Fill=—","Direction=H","UseDPDF=Y")</f>
        <v>9.1980000000000004</v>
      </c>
      <c r="I37" s="13">
        <f>_xll.BDH("ALNY US Equity","ARD_OTH_NONCURRENT_LIABILITIES","FQ2 2020","FQ2 2020","Currency=USD","Period=FQ","BEST_FPERIOD_OVERRIDE=FQ","FILING_STATUS=MR","SCALING_FORMAT=MLN","Sort=A","Dates=H","DateFormat=P","Fill=—","Direction=H","UseDPDF=Y")</f>
        <v>1027.191</v>
      </c>
      <c r="J37" s="13">
        <f>_xll.BDH("ALNY US Equity","ARD_OTH_NONCURRENT_LIABILITIES","FQ3 2020","FQ3 2020","Currency=USD","Period=FQ","BEST_FPERIOD_OVERRIDE=FQ","FILING_STATUS=MR","SCALING_FORMAT=MLN","Sort=A","Dates=H","DateFormat=P","Fill=—","Direction=H","UseDPDF=Y")</f>
        <v>1049.049</v>
      </c>
      <c r="K37" s="13">
        <f>_xll.BDH("ALNY US Equity","ARD_OTH_NONCURRENT_LIABILITIES","FQ4 2020","FQ4 2020","Currency=USD","Period=FQ","BEST_FPERIOD_OVERRIDE=FQ","FILING_STATUS=MR","SCALING_FORMAT=MLN","Sort=A","Dates=H","DateFormat=P","Fill=—","Direction=H","UseDPDF=Y")</f>
        <v>1096.133</v>
      </c>
      <c r="L37" s="13">
        <f>_xll.BDH("ALNY US Equity","ARD_OTH_NONCURRENT_LIABILITIES","FQ1 2021","FQ1 2021","Currency=USD","Period=FQ","BEST_FPERIOD_OVERRIDE=FQ","FILING_STATUS=MR","SCALING_FORMAT=MLN","Sort=A","Dates=H","DateFormat=P","Fill=—","Direction=H","UseDPDF=Y")</f>
        <v>1146.5260000000001</v>
      </c>
      <c r="M37" s="13">
        <f>_xll.BDH("ALNY US Equity","ARD_OTH_NONCURRENT_LIABILITIES","FQ2 2021","FQ2 2021","Currency=USD","Period=FQ","BEST_FPERIOD_OVERRIDE=FQ","FILING_STATUS=MR","SCALING_FORMAT=MLN","Sort=A","Dates=H","DateFormat=P","Fill=—","Direction=H","UseDPDF=Y")</f>
        <v>1177.318</v>
      </c>
      <c r="N37" s="13">
        <f>_xll.BDH("ALNY US Equity","ARD_OTH_NONCURRENT_LIABILITIES","FQ3 2021","FQ3 2021","Currency=USD","Period=FQ","BEST_FPERIOD_OVERRIDE=FQ","FILING_STATUS=MR","SCALING_FORMAT=MLN","Sort=A","Dates=H","DateFormat=P","Fill=—","Direction=H","UseDPDF=Y")</f>
        <v>1208.8119999999999</v>
      </c>
      <c r="O37" s="13">
        <f>_xll.BDH("ALNY US Equity","ARD_OTH_NONCURRENT_LIABILITIES","FQ4 2021","FQ4 2021","Currency=USD","Period=FQ","BEST_FPERIOD_OVERRIDE=FQ","FILING_STATUS=MR","SCALING_FORMAT=MLN","Sort=A","Dates=H","DateFormat=P","Fill=—","Direction=H","UseDPDF=Y")</f>
        <v>1249.9870000000001</v>
      </c>
      <c r="P37" s="13">
        <f>_xll.BDH("ALNY US Equity","ARD_OTH_NONCURRENT_LIABILITIES","FQ1 2022","FQ1 2022","Currency=USD","Period=FQ","BEST_FPERIOD_OVERRIDE=FQ","FILING_STATUS=MR","SCALING_FORMAT=MLN","Sort=A","Dates=H","DateFormat=P","Fill=—","Direction=H","UseDPDF=Y")</f>
        <v>1314.65</v>
      </c>
      <c r="Q37" s="13">
        <f>_xll.BDH("ALNY US Equity","ARD_OTH_NONCURRENT_LIABILITIES","FQ2 2022","FQ2 2022","Currency=USD","Period=FQ","BEST_FPERIOD_OVERRIDE=FQ","FILING_STATUS=MR","SCALING_FORMAT=MLN","Sort=A","Dates=H","DateFormat=P","Fill=—","Direction=H","UseDPDF=Y")</f>
        <v>1371.6120000000001</v>
      </c>
      <c r="R37" s="13">
        <f>_xll.BDH("ALNY US Equity","ARD_OTH_NONCURRENT_LIABILITIES","FQ3 2022","FQ3 2022","Currency=USD","Period=FQ","BEST_FPERIOD_OVERRIDE=FQ","FILING_STATUS=MR","SCALING_FORMAT=MLN","Sort=A","Dates=H","DateFormat=P","Fill=—","Direction=H","UseDPDF=Y")</f>
        <v>1198.9760000000001</v>
      </c>
      <c r="S37" s="13">
        <f>_xll.BDH("ALNY US Equity","ARD_OTH_NONCURRENT_LIABILITIES","FQ4 2022","FQ4 2022","Currency=USD","Period=FQ","BEST_FPERIOD_OVERRIDE=FQ","FILING_STATUS=MR","SCALING_FORMAT=MLN","Sort=A","Dates=H","DateFormat=P","Fill=—","Direction=H","UseDPDF=Y")</f>
        <v>1464.595</v>
      </c>
      <c r="T37" s="13">
        <f>_xll.BDH("ALNY US Equity","ARD_OTH_NONCURRENT_LIABILITIES","FQ1 2023","FQ1 2023","Currency=USD","Period=FQ","BEST_FPERIOD_OVERRIDE=FQ","FILING_STATUS=MR","SCALING_FORMAT=MLN","Sort=A","Dates=H","DateFormat=P","Fill=—","Direction=H","UseDPDF=Y")</f>
        <v>1509.2460000000001</v>
      </c>
      <c r="U37" s="13">
        <f>_xll.BDH("ALNY US Equity","ARD_OTH_NONCURRENT_LIABILITIES","FQ2 2023","FQ2 2023","Currency=USD","Period=FQ","BEST_FPERIOD_OVERRIDE=FQ","FILING_STATUS=MR","SCALING_FORMAT=MLN","Sort=A","Dates=H","DateFormat=P","Fill=—","Direction=H","UseDPDF=Y")</f>
        <v>1555.5</v>
      </c>
      <c r="V37" s="13">
        <f>_xll.BDH("ALNY US Equity","ARD_OTH_NONCURRENT_LIABILITIES","FQ3 2023","FQ3 2023","Currency=USD","Period=FQ","BEST_FPERIOD_OVERRIDE=FQ","FILING_STATUS=MR","SCALING_FORMAT=MLN","Sort=A","Dates=H","DateFormat=P","Fill=—","Direction=H","UseDPDF=Y")</f>
        <v>1591.548</v>
      </c>
      <c r="W37" s="13">
        <f>_xll.BDH("ALNY US Equity","ARD_OTH_NONCURRENT_LIABILITIES","FQ4 2023","FQ4 2023","Currency=USD","Period=FQ","BEST_FPERIOD_OVERRIDE=FQ","FILING_STATUS=MR","SCALING_FORMAT=MLN","Sort=A","Dates=H","DateFormat=P","Fill=—","Direction=H","UseDPDF=Y")</f>
        <v>1630.6859999999999</v>
      </c>
      <c r="X37" s="13">
        <f>_xll.BDH("ALNY US Equity","ARD_OTH_NONCURRENT_LIABILITIES","FQ1 2024","FQ1 2024","Currency=USD","Period=FQ","BEST_FPERIOD_OVERRIDE=FQ","FILING_STATUS=MR","SCALING_FORMAT=MLN","Sort=A","Dates=H","DateFormat=P","Fill=—","Direction=H","UseDPDF=Y")</f>
        <v>1656.8820000000001</v>
      </c>
      <c r="Y37" s="13">
        <f>_xll.BDH("ALNY US Equity","ARD_OTH_NONCURRENT_LIABILITIES","FQ2 2024","FQ2 2024","Currency=USD","Period=FQ","BEST_FPERIOD_OVERRIDE=FQ","FILING_STATUS=MR","SCALING_FORMAT=MLN","Sort=A","Dates=H","DateFormat=P","Fill=—","Direction=H","UseDPDF=Y")</f>
        <v>350.428</v>
      </c>
      <c r="Z37" s="13">
        <f>_xll.BDH("ALNY US Equity","ARD_OTH_NONCURRENT_LIABILITIES","FQ3 2024","FQ3 2024","Currency=USD","Period=FQ","BEST_FPERIOD_OVERRIDE=FQ","FILING_STATUS=MR","SCALING_FORMAT=MLN","Sort=A","Dates=H","DateFormat=P","Fill=—","Direction=H","UseDPDF=Y")</f>
        <v>1691.326</v>
      </c>
      <c r="AA37" s="13">
        <f>_xll.BDH("ALNY US Equity","ARD_OTH_NONCURRENT_LIABILITIES","FQ4 2024","FQ4 2024","Currency=USD","Period=FQ","BEST_FPERIOD_OVERRIDE=FQ","FILING_STATUS=MR","SCALING_FORMAT=MLN","Sort=A","Dates=H","DateFormat=P","Fill=—","Direction=H","UseDPDF=Y")</f>
        <v>1732.461</v>
      </c>
    </row>
    <row r="38" spans="1:27" x14ac:dyDescent="0.25">
      <c r="A38" s="10" t="s">
        <v>879</v>
      </c>
      <c r="B38" s="10" t="s">
        <v>880</v>
      </c>
      <c r="C38" s="13" t="str">
        <f>_xll.BDH("ALNY US Equity","ARD_LT_OPERATING_LEASE_LIABS","FQ4 2018","FQ4 2018","Currency=USD","Period=FQ","BEST_FPERIOD_OVERRIDE=FQ","FILING_STATUS=MR","Sort=A","Dates=H","DateFormat=P","Fill=—","Direction=H","UseDPDF=Y")</f>
        <v>—</v>
      </c>
      <c r="D38" s="13">
        <f>_xll.BDH("ALNY US Equity","ARD_LT_OPERATING_LEASE_LIABS","FQ1 2019","FQ1 2019","Currency=USD","Period=FQ","BEST_FPERIOD_OVERRIDE=FQ","FILING_STATUS=MR","Sort=A","Dates=H","DateFormat=P","Fill=—","Direction=H","UseDPDF=Y")</f>
        <v>282.3</v>
      </c>
      <c r="E38" s="13">
        <f>_xll.BDH("ALNY US Equity","ARD_LT_OPERATING_LEASE_LIABS","FQ2 2019","FQ2 2019","Currency=USD","Period=FQ","BEST_FPERIOD_OVERRIDE=FQ","FILING_STATUS=MR","Sort=A","Dates=H","DateFormat=P","Fill=—","Direction=H","UseDPDF=Y")</f>
        <v>277.21100000000001</v>
      </c>
      <c r="F38" s="13">
        <f>_xll.BDH("ALNY US Equity","ARD_LT_OPERATING_LEASE_LIABS","FQ3 2019","FQ3 2019","Currency=USD","Period=FQ","BEST_FPERIOD_OVERRIDE=FQ","FILING_STATUS=MR","Sort=A","Dates=H","DateFormat=P","Fill=—","Direction=H","UseDPDF=Y")</f>
        <v>276.45600000000002</v>
      </c>
      <c r="G38" s="13">
        <f>_xll.BDH("ALNY US Equity","ARD_LT_OPERATING_LEASE_LIABS","FQ4 2019","FQ4 2019","Currency=USD","Period=FQ","BEST_FPERIOD_OVERRIDE=FQ","FILING_STATUS=MR","Sort=A","Dates=H","DateFormat=P","Fill=—","Direction=H","UseDPDF=Y")</f>
        <v>276.13499999999999</v>
      </c>
      <c r="H38" s="13">
        <f>_xll.BDH("ALNY US Equity","ARD_LT_OPERATING_LEASE_LIABS","FQ1 2020","FQ1 2020","Currency=USD","Period=FQ","BEST_FPERIOD_OVERRIDE=FQ","FILING_STATUS=MR","Sort=A","Dates=H","DateFormat=P","Fill=—","Direction=H","UseDPDF=Y")</f>
        <v>275.78199999999998</v>
      </c>
      <c r="I38" s="13">
        <f>_xll.BDH("ALNY US Equity","ARD_LT_OPERATING_LEASE_LIABS","FQ2 2020","FQ2 2020","Currency=USD","Period=FQ","BEST_FPERIOD_OVERRIDE=FQ","FILING_STATUS=MR","Sort=A","Dates=H","DateFormat=P","Fill=—","Direction=H","UseDPDF=Y")</f>
        <v>281.61799999999999</v>
      </c>
      <c r="J38" s="13">
        <f>_xll.BDH("ALNY US Equity","ARD_LT_OPERATING_LEASE_LIABS","FQ3 2020","FQ3 2020","Currency=USD","Period=FQ","BEST_FPERIOD_OVERRIDE=FQ","FILING_STATUS=MR","Sort=A","Dates=H","DateFormat=P","Fill=—","Direction=H","UseDPDF=Y")</f>
        <v>297.262</v>
      </c>
      <c r="K38" s="13">
        <f>_xll.BDH("ALNY US Equity","ARD_LT_OPERATING_LEASE_LIABS","FQ4 2020","FQ4 2020","Currency=USD","Period=FQ","BEST_FPERIOD_OVERRIDE=FQ","FILING_STATUS=MR","Sort=A","Dates=H","DateFormat=P","Fill=—","Direction=H","UseDPDF=Y")</f>
        <v>293.03899999999999</v>
      </c>
      <c r="L38" s="13">
        <f>_xll.BDH("ALNY US Equity","ARD_LT_OPERATING_LEASE_LIABS","FQ1 2021","FQ1 2021","Currency=USD","Period=FQ","BEST_FPERIOD_OVERRIDE=FQ","FILING_STATUS=MR","Sort=A","Dates=H","DateFormat=P","Fill=—","Direction=H","UseDPDF=Y")</f>
        <v>288.01499999999999</v>
      </c>
      <c r="M38" s="13">
        <f>_xll.BDH("ALNY US Equity","ARD_LT_OPERATING_LEASE_LIABS","FQ2 2021","FQ2 2021","Currency=USD","Period=FQ","BEST_FPERIOD_OVERRIDE=FQ","FILING_STATUS=MR","Sort=A","Dates=H","DateFormat=P","Fill=—","Direction=H","UseDPDF=Y")</f>
        <v>288.55900000000003</v>
      </c>
      <c r="N38" s="13">
        <f>_xll.BDH("ALNY US Equity","ARD_LT_OPERATING_LEASE_LIABS","FQ3 2021","FQ3 2021","Currency=USD","Period=FQ","BEST_FPERIOD_OVERRIDE=FQ","FILING_STATUS=MR","Sort=A","Dates=H","DateFormat=P","Fill=—","Direction=H","UseDPDF=Y")</f>
        <v>286.02999999999997</v>
      </c>
      <c r="O38" s="13">
        <f>_xll.BDH("ALNY US Equity","ARD_LT_OPERATING_LEASE_LIABS","FQ4 2021","FQ4 2021","Currency=USD","Period=FQ","BEST_FPERIOD_OVERRIDE=FQ","FILING_STATUS=MR","Sort=A","Dates=H","DateFormat=P","Fill=—","Direction=H","UseDPDF=Y")</f>
        <v>281.34699999999998</v>
      </c>
      <c r="P38" s="13">
        <f>_xll.BDH("ALNY US Equity","ARD_LT_OPERATING_LEASE_LIABS","FQ1 2022","FQ1 2022","Currency=USD","Period=FQ","BEST_FPERIOD_OVERRIDE=FQ","FILING_STATUS=MR","Sort=A","Dates=H","DateFormat=P","Fill=—","Direction=H","UseDPDF=Y")</f>
        <v>277.38799999999998</v>
      </c>
      <c r="Q38" s="13">
        <f>_xll.BDH("ALNY US Equity","ARD_LT_OPERATING_LEASE_LIABS","FQ2 2022","FQ2 2022","Currency=USD","Period=FQ","BEST_FPERIOD_OVERRIDE=FQ","FILING_STATUS=MR","Sort=A","Dates=H","DateFormat=P","Fill=—","Direction=H","UseDPDF=Y")</f>
        <v>272.01600000000002</v>
      </c>
      <c r="R38" s="13">
        <f>_xll.BDH("ALNY US Equity","ARD_LT_OPERATING_LEASE_LIABS","FQ3 2022","FQ3 2022","Currency=USD","Period=FQ","BEST_FPERIOD_OVERRIDE=FQ","FILING_STATUS=MR","Sort=A","Dates=H","DateFormat=P","Fill=—","Direction=H","UseDPDF=Y")</f>
        <v>266.32299999999998</v>
      </c>
      <c r="S38" s="13">
        <f>_xll.BDH("ALNY US Equity","ARD_LT_OPERATING_LEASE_LIABS","FQ4 2022","FQ4 2022","Currency=USD","Period=FQ","BEST_FPERIOD_OVERRIDE=FQ","FILING_STATUS=MR","Sort=A","Dates=H","DateFormat=P","Fill=—","Direction=H","UseDPDF=Y")</f>
        <v>261.339</v>
      </c>
      <c r="T38" s="13">
        <f>_xll.BDH("ALNY US Equity","ARD_LT_OPERATING_LEASE_LIABS","FQ1 2023","FQ1 2023","Currency=USD","Period=FQ","BEST_FPERIOD_OVERRIDE=FQ","FILING_STATUS=MR","Sort=A","Dates=H","DateFormat=P","Fill=—","Direction=H","UseDPDF=Y")</f>
        <v>259.399</v>
      </c>
      <c r="U38" s="13">
        <f>_xll.BDH("ALNY US Equity","ARD_LT_OPERATING_LEASE_LIABS","FQ2 2023","FQ2 2023","Currency=USD","Period=FQ","BEST_FPERIOD_OVERRIDE=FQ","FILING_STATUS=MR","Sort=A","Dates=H","DateFormat=P","Fill=—","Direction=H","UseDPDF=Y")</f>
        <v>253.416</v>
      </c>
      <c r="V38" s="13">
        <f>_xll.BDH("ALNY US Equity","ARD_LT_OPERATING_LEASE_LIABS","FQ3 2023","FQ3 2023","Currency=USD","Period=FQ","BEST_FPERIOD_OVERRIDE=FQ","FILING_STATUS=MR","Sort=A","Dates=H","DateFormat=P","Fill=—","Direction=H","UseDPDF=Y")</f>
        <v>247.71100000000001</v>
      </c>
      <c r="W38" s="13">
        <f>_xll.BDH("ALNY US Equity","ARD_LT_OPERATING_LEASE_LIABS","FQ4 2023","FQ4 2023","Currency=USD","Period=FQ","BEST_FPERIOD_OVERRIDE=FQ","FILING_STATUS=MR","Sort=A","Dates=H","DateFormat=P","Fill=—","Direction=H","UseDPDF=Y")</f>
        <v>243.101</v>
      </c>
      <c r="X38" s="13">
        <f>_xll.BDH("ALNY US Equity","ARD_LT_OPERATING_LEASE_LIABS","FQ1 2024","FQ1 2024","Currency=USD","Period=FQ","BEST_FPERIOD_OVERRIDE=FQ","FILING_STATUS=MR","Sort=A","Dates=H","DateFormat=P","Fill=—","Direction=H","UseDPDF=Y")</f>
        <v>237.82900000000001</v>
      </c>
      <c r="Y38" s="13">
        <f>_xll.BDH("ALNY US Equity","ARD_LT_OPERATING_LEASE_LIABS","FQ2 2024","FQ2 2024","Currency=USD","Period=FQ","BEST_FPERIOD_OVERRIDE=FQ","FILING_STATUS=MR","Sort=A","Dates=H","DateFormat=P","Fill=—","Direction=H","UseDPDF=Y")</f>
        <v>239.352</v>
      </c>
      <c r="Z38" s="13">
        <f>_xll.BDH("ALNY US Equity","ARD_LT_OPERATING_LEASE_LIABS","FQ3 2024","FQ3 2024","Currency=USD","Period=FQ","BEST_FPERIOD_OVERRIDE=FQ","FILING_STATUS=MR","Sort=A","Dates=H","DateFormat=P","Fill=—","Direction=H","UseDPDF=Y")</f>
        <v>236.03</v>
      </c>
      <c r="AA38" s="13">
        <f>_xll.BDH("ALNY US Equity","ARD_LT_OPERATING_LEASE_LIABS","FQ4 2024","FQ4 2024","Currency=USD","Period=FQ","BEST_FPERIOD_OVERRIDE=FQ","FILING_STATUS=MR","Sort=A","Dates=H","DateFormat=P","Fill=—","Direction=H","UseDPDF=Y")</f>
        <v>229.541</v>
      </c>
    </row>
    <row r="39" spans="1:27" x14ac:dyDescent="0.25">
      <c r="A39" s="10" t="s">
        <v>881</v>
      </c>
      <c r="B39" s="10" t="s">
        <v>882</v>
      </c>
      <c r="C39" s="13" t="str">
        <f>_xll.BDH("ALNY US Equity","ARD_OTHER_LT_DEBT","FQ4 2018","FQ4 2018","Currency=USD","Period=FQ","BEST_FPERIOD_OVERRIDE=FQ","FILING_STATUS=MR","SCALING_FORMAT=MLN","Sort=A","Dates=H","DateFormat=P","Fill=—","Direction=H","UseDPDF=Y")</f>
        <v>—</v>
      </c>
      <c r="D39" s="13" t="str">
        <f>_xll.BDH("ALNY US Equity","ARD_OTHER_LT_DEBT","FQ1 2019","FQ1 2019","Currency=USD","Period=FQ","BEST_FPERIOD_OVERRIDE=FQ","FILING_STATUS=MR","SCALING_FORMAT=MLN","Sort=A","Dates=H","DateFormat=P","Fill=—","Direction=H","UseDPDF=Y")</f>
        <v>—</v>
      </c>
      <c r="E39" s="13" t="str">
        <f>_xll.BDH("ALNY US Equity","ARD_OTHER_LT_DEBT","FQ2 2019","FQ2 2019","Currency=USD","Period=FQ","BEST_FPERIOD_OVERRIDE=FQ","FILING_STATUS=MR","SCALING_FORMAT=MLN","Sort=A","Dates=H","DateFormat=P","Fill=—","Direction=H","UseDPDF=Y")</f>
        <v>—</v>
      </c>
      <c r="F39" s="13" t="str">
        <f>_xll.BDH("ALNY US Equity","ARD_OTHER_LT_DEBT","FQ3 2019","FQ3 2019","Currency=USD","Period=FQ","BEST_FPERIOD_OVERRIDE=FQ","FILING_STATUS=MR","SCALING_FORMAT=MLN","Sort=A","Dates=H","DateFormat=P","Fill=—","Direction=H","UseDPDF=Y")</f>
        <v>—</v>
      </c>
      <c r="G39" s="13" t="str">
        <f>_xll.BDH("ALNY US Equity","ARD_OTHER_LT_DEBT","FQ4 2019","FQ4 2019","Currency=USD","Period=FQ","BEST_FPERIOD_OVERRIDE=FQ","FILING_STATUS=MR","SCALING_FORMAT=MLN","Sort=A","Dates=H","DateFormat=P","Fill=—","Direction=H","UseDPDF=Y")</f>
        <v>—</v>
      </c>
      <c r="H39" s="13" t="str">
        <f>_xll.BDH("ALNY US Equity","ARD_OTHER_LT_DEBT","FQ1 2020","FQ1 2020","Currency=USD","Period=FQ","BEST_FPERIOD_OVERRIDE=FQ","FILING_STATUS=MR","SCALING_FORMAT=MLN","Sort=A","Dates=H","DateFormat=P","Fill=—","Direction=H","UseDPDF=Y")</f>
        <v>—</v>
      </c>
      <c r="I39" s="13" t="str">
        <f>_xll.BDH("ALNY US Equity","ARD_OTHER_LT_DEBT","FQ2 2020","FQ2 2020","Currency=USD","Period=FQ","BEST_FPERIOD_OVERRIDE=FQ","FILING_STATUS=MR","SCALING_FORMAT=MLN","Sort=A","Dates=H","DateFormat=P","Fill=—","Direction=H","UseDPDF=Y")</f>
        <v>—</v>
      </c>
      <c r="J39" s="13" t="str">
        <f>_xll.BDH("ALNY US Equity","ARD_OTHER_LT_DEBT","FQ3 2020","FQ3 2020","Currency=USD","Period=FQ","BEST_FPERIOD_OVERRIDE=FQ","FILING_STATUS=MR","SCALING_FORMAT=MLN","Sort=A","Dates=H","DateFormat=P","Fill=—","Direction=H","UseDPDF=Y")</f>
        <v>—</v>
      </c>
      <c r="K39" s="13" t="str">
        <f>_xll.BDH("ALNY US Equity","ARD_OTHER_LT_DEBT","FQ4 2020","FQ4 2020","Currency=USD","Period=FQ","BEST_FPERIOD_OVERRIDE=FQ","FILING_STATUS=MR","SCALING_FORMAT=MLN","Sort=A","Dates=H","DateFormat=P","Fill=—","Direction=H","UseDPDF=Y")</f>
        <v>—</v>
      </c>
      <c r="L39" s="13" t="str">
        <f>_xll.BDH("ALNY US Equity","ARD_OTHER_LT_DEBT","FQ1 2021","FQ1 2021","Currency=USD","Period=FQ","BEST_FPERIOD_OVERRIDE=FQ","FILING_STATUS=MR","SCALING_FORMAT=MLN","Sort=A","Dates=H","DateFormat=P","Fill=—","Direction=H","UseDPDF=Y")</f>
        <v>—</v>
      </c>
      <c r="M39" s="13" t="str">
        <f>_xll.BDH("ALNY US Equity","ARD_OTHER_LT_DEBT","FQ2 2021","FQ2 2021","Currency=USD","Period=FQ","BEST_FPERIOD_OVERRIDE=FQ","FILING_STATUS=MR","SCALING_FORMAT=MLN","Sort=A","Dates=H","DateFormat=P","Fill=—","Direction=H","UseDPDF=Y")</f>
        <v>—</v>
      </c>
      <c r="N39" s="13" t="str">
        <f>_xll.BDH("ALNY US Equity","ARD_OTHER_LT_DEBT","FQ3 2021","FQ3 2021","Currency=USD","Period=FQ","BEST_FPERIOD_OVERRIDE=FQ","FILING_STATUS=MR","SCALING_FORMAT=MLN","Sort=A","Dates=H","DateFormat=P","Fill=—","Direction=H","UseDPDF=Y")</f>
        <v>—</v>
      </c>
      <c r="O39" s="13" t="str">
        <f>_xll.BDH("ALNY US Equity","ARD_OTHER_LT_DEBT","FQ4 2021","FQ4 2021","Currency=USD","Period=FQ","BEST_FPERIOD_OVERRIDE=FQ","FILING_STATUS=MR","SCALING_FORMAT=MLN","Sort=A","Dates=H","DateFormat=P","Fill=—","Direction=H","UseDPDF=Y")</f>
        <v>—</v>
      </c>
      <c r="P39" s="13" t="str">
        <f>_xll.BDH("ALNY US Equity","ARD_OTHER_LT_DEBT","FQ1 2022","FQ1 2022","Currency=USD","Period=FQ","BEST_FPERIOD_OVERRIDE=FQ","FILING_STATUS=MR","SCALING_FORMAT=MLN","Sort=A","Dates=H","DateFormat=P","Fill=—","Direction=H","UseDPDF=Y")</f>
        <v>—</v>
      </c>
      <c r="Q39" s="13" t="str">
        <f>_xll.BDH("ALNY US Equity","ARD_OTHER_LT_DEBT","FQ2 2022","FQ2 2022","Currency=USD","Period=FQ","BEST_FPERIOD_OVERRIDE=FQ","FILING_STATUS=MR","SCALING_FORMAT=MLN","Sort=A","Dates=H","DateFormat=P","Fill=—","Direction=H","UseDPDF=Y")</f>
        <v>—</v>
      </c>
      <c r="R39" s="13">
        <f>_xll.BDH("ALNY US Equity","ARD_OTHER_LT_DEBT","FQ3 2022","FQ3 2022","Currency=USD","Period=FQ","BEST_FPERIOD_OVERRIDE=FQ","FILING_STATUS=MR","SCALING_FORMAT=MLN","Sort=A","Dates=H","DateFormat=P","Fill=—","Direction=H","UseDPDF=Y")</f>
        <v>1231.873</v>
      </c>
      <c r="S39" s="13" t="str">
        <f>_xll.BDH("ALNY US Equity","ARD_OTHER_LT_DEBT","FQ4 2022","FQ4 2022","Currency=USD","Period=FQ","BEST_FPERIOD_OVERRIDE=FQ","FILING_STATUS=MR","SCALING_FORMAT=MLN","Sort=A","Dates=H","DateFormat=P","Fill=—","Direction=H","UseDPDF=Y")</f>
        <v>—</v>
      </c>
      <c r="T39" s="13" t="str">
        <f>_xll.BDH("ALNY US Equity","ARD_OTHER_LT_DEBT","FQ1 2023","FQ1 2023","Currency=USD","Period=FQ","BEST_FPERIOD_OVERRIDE=FQ","FILING_STATUS=MR","SCALING_FORMAT=MLN","Sort=A","Dates=H","DateFormat=P","Fill=—","Direction=H","UseDPDF=Y")</f>
        <v>—</v>
      </c>
      <c r="U39" s="13" t="str">
        <f>_xll.BDH("ALNY US Equity","ARD_OTHER_LT_DEBT","FQ2 2023","FQ2 2023","Currency=USD","Period=FQ","BEST_FPERIOD_OVERRIDE=FQ","FILING_STATUS=MR","SCALING_FORMAT=MLN","Sort=A","Dates=H","DateFormat=P","Fill=—","Direction=H","UseDPDF=Y")</f>
        <v>—</v>
      </c>
      <c r="V39" s="13" t="str">
        <f>_xll.BDH("ALNY US Equity","ARD_OTHER_LT_DEBT","FQ3 2023","FQ3 2023","Currency=USD","Period=FQ","BEST_FPERIOD_OVERRIDE=FQ","FILING_STATUS=MR","SCALING_FORMAT=MLN","Sort=A","Dates=H","DateFormat=P","Fill=—","Direction=H","UseDPDF=Y")</f>
        <v>—</v>
      </c>
      <c r="W39" s="13" t="str">
        <f>_xll.BDH("ALNY US Equity","ARD_OTHER_LT_DEBT","FQ4 2023","FQ4 2023","Currency=USD","Period=FQ","BEST_FPERIOD_OVERRIDE=FQ","FILING_STATUS=MR","SCALING_FORMAT=MLN","Sort=A","Dates=H","DateFormat=P","Fill=—","Direction=H","UseDPDF=Y")</f>
        <v>—</v>
      </c>
      <c r="X39" s="13" t="str">
        <f>_xll.BDH("ALNY US Equity","ARD_OTHER_LT_DEBT","FQ1 2024","FQ1 2024","Currency=USD","Period=FQ","BEST_FPERIOD_OVERRIDE=FQ","FILING_STATUS=MR","SCALING_FORMAT=MLN","Sort=A","Dates=H","DateFormat=P","Fill=—","Direction=H","UseDPDF=Y")</f>
        <v>—</v>
      </c>
      <c r="Y39" s="13">
        <f>_xll.BDH("ALNY US Equity","ARD_OTHER_LT_DEBT","FQ2 2024","FQ2 2024","Currency=USD","Period=FQ","BEST_FPERIOD_OVERRIDE=FQ","FILING_STATUS=MR","SCALING_FORMAT=MLN","Sort=A","Dates=H","DateFormat=P","Fill=—","Direction=H","UseDPDF=Y")</f>
        <v>1342.58</v>
      </c>
      <c r="Z39" s="13" t="str">
        <f>_xll.BDH("ALNY US Equity","ARD_OTHER_LT_DEBT","FQ3 2024","FQ3 2024","Currency=USD","Period=FQ","BEST_FPERIOD_OVERRIDE=FQ","FILING_STATUS=MR","SCALING_FORMAT=MLN","Sort=A","Dates=H","DateFormat=P","Fill=—","Direction=H","UseDPDF=Y")</f>
        <v>—</v>
      </c>
      <c r="AA39" s="13" t="str">
        <f>_xll.BDH("ALNY US Equity","ARD_OTHER_LT_DEBT","FQ4 2024","FQ4 2024","Currency=USD","Period=FQ","BEST_FPERIOD_OVERRIDE=FQ","FILING_STATUS=MR","SCALING_FORMAT=MLN","Sort=A","Dates=H","DateFormat=P","Fill=—","Direction=H","UseDPDF=Y")</f>
        <v>—</v>
      </c>
    </row>
    <row r="40" spans="1:27" x14ac:dyDescent="0.25">
      <c r="A40" s="10" t="s">
        <v>883</v>
      </c>
      <c r="B40" s="10" t="s">
        <v>884</v>
      </c>
      <c r="C40" s="13">
        <f>_xll.BDH("ALNY US Equity","ARD_DEFERRED_EXPENSES_LT","FQ4 2018","FQ4 2018","Currency=USD","Period=FQ","BEST_FPERIOD_OVERRIDE=FQ","FILING_STATUS=MR","SCALING_FORMAT=MLN","Sort=A","Dates=H","DateFormat=P","Fill=—","Direction=H","UseDPDF=Y")</f>
        <v>57.92</v>
      </c>
      <c r="D40" s="13">
        <f>_xll.BDH("ALNY US Equity","ARD_DEFERRED_EXPENSES_LT","FQ1 2019","FQ1 2019","Currency=USD","Period=FQ","BEST_FPERIOD_OVERRIDE=FQ","FILING_STATUS=MR","SCALING_FORMAT=MLN","Sort=A","Dates=H","DateFormat=P","Fill=—","Direction=H","UseDPDF=Y")</f>
        <v>0</v>
      </c>
      <c r="E40" s="13">
        <f>_xll.BDH("ALNY US Equity","ARD_DEFERRED_EXPENSES_LT","FQ2 2019","FQ2 2019","Currency=USD","Period=FQ","BEST_FPERIOD_OVERRIDE=FQ","FILING_STATUS=MR","SCALING_FORMAT=MLN","Sort=A","Dates=H","DateFormat=P","Fill=—","Direction=H","UseDPDF=Y")</f>
        <v>0</v>
      </c>
      <c r="F40" s="13">
        <f>_xll.BDH("ALNY US Equity","ARD_DEFERRED_EXPENSES_LT","FQ3 2019","FQ3 2019","Currency=USD","Period=FQ","BEST_FPERIOD_OVERRIDE=FQ","FILING_STATUS=MR","SCALING_FORMAT=MLN","Sort=A","Dates=H","DateFormat=P","Fill=—","Direction=H","UseDPDF=Y")</f>
        <v>0</v>
      </c>
      <c r="G40" s="13">
        <f>_xll.BDH("ALNY US Equity","ARD_DEFERRED_EXPENSES_LT","FQ4 2019","FQ4 2019","Currency=USD","Period=FQ","BEST_FPERIOD_OVERRIDE=FQ","FILING_STATUS=MR","SCALING_FORMAT=MLN","Sort=A","Dates=H","DateFormat=P","Fill=—","Direction=H","UseDPDF=Y")</f>
        <v>0</v>
      </c>
      <c r="H40" s="13" t="str">
        <f>_xll.BDH("ALNY US Equity","ARD_DEFERRED_EXPENSES_LT","FQ1 2020","FQ1 2020","Currency=USD","Period=FQ","BEST_FPERIOD_OVERRIDE=FQ","FILING_STATUS=MR","SCALING_FORMAT=MLN","Sort=A","Dates=H","DateFormat=P","Fill=—","Direction=H","UseDPDF=Y")</f>
        <v>—</v>
      </c>
      <c r="I40" s="13" t="str">
        <f>_xll.BDH("ALNY US Equity","ARD_DEFERRED_EXPENSES_LT","FQ2 2020","FQ2 2020","Currency=USD","Period=FQ","BEST_FPERIOD_OVERRIDE=FQ","FILING_STATUS=MR","SCALING_FORMAT=MLN","Sort=A","Dates=H","DateFormat=P","Fill=—","Direction=H","UseDPDF=Y")</f>
        <v>—</v>
      </c>
      <c r="J40" s="13" t="str">
        <f>_xll.BDH("ALNY US Equity","ARD_DEFERRED_EXPENSES_LT","FQ3 2020","FQ3 2020","Currency=USD","Period=FQ","BEST_FPERIOD_OVERRIDE=FQ","FILING_STATUS=MR","SCALING_FORMAT=MLN","Sort=A","Dates=H","DateFormat=P","Fill=—","Direction=H","UseDPDF=Y")</f>
        <v>—</v>
      </c>
      <c r="K40" s="13" t="str">
        <f>_xll.BDH("ALNY US Equity","ARD_DEFERRED_EXPENSES_LT","FQ4 2020","FQ4 2020","Currency=USD","Period=FQ","BEST_FPERIOD_OVERRIDE=FQ","FILING_STATUS=MR","SCALING_FORMAT=MLN","Sort=A","Dates=H","DateFormat=P","Fill=—","Direction=H","UseDPDF=Y")</f>
        <v>—</v>
      </c>
      <c r="L40" s="13" t="str">
        <f>_xll.BDH("ALNY US Equity","ARD_DEFERRED_EXPENSES_LT","FQ1 2021","FQ1 2021","Currency=USD","Period=FQ","BEST_FPERIOD_OVERRIDE=FQ","FILING_STATUS=MR","SCALING_FORMAT=MLN","Sort=A","Dates=H","DateFormat=P","Fill=—","Direction=H","UseDPDF=Y")</f>
        <v>—</v>
      </c>
      <c r="M40" s="13" t="str">
        <f>_xll.BDH("ALNY US Equity","ARD_DEFERRED_EXPENSES_LT","FQ2 2021","FQ2 2021","Currency=USD","Period=FQ","BEST_FPERIOD_OVERRIDE=FQ","FILING_STATUS=MR","SCALING_FORMAT=MLN","Sort=A","Dates=H","DateFormat=P","Fill=—","Direction=H","UseDPDF=Y")</f>
        <v>—</v>
      </c>
      <c r="N40" s="13" t="str">
        <f>_xll.BDH("ALNY US Equity","ARD_DEFERRED_EXPENSES_LT","FQ3 2021","FQ3 2021","Currency=USD","Period=FQ","BEST_FPERIOD_OVERRIDE=FQ","FILING_STATUS=MR","SCALING_FORMAT=MLN","Sort=A","Dates=H","DateFormat=P","Fill=—","Direction=H","UseDPDF=Y")</f>
        <v>—</v>
      </c>
      <c r="O40" s="13" t="str">
        <f>_xll.BDH("ALNY US Equity","ARD_DEFERRED_EXPENSES_LT","FQ4 2021","FQ4 2021","Currency=USD","Period=FQ","BEST_FPERIOD_OVERRIDE=FQ","FILING_STATUS=MR","SCALING_FORMAT=MLN","Sort=A","Dates=H","DateFormat=P","Fill=—","Direction=H","UseDPDF=Y")</f>
        <v>—</v>
      </c>
      <c r="P40" s="13" t="str">
        <f>_xll.BDH("ALNY US Equity","ARD_DEFERRED_EXPENSES_LT","FQ1 2022","FQ1 2022","Currency=USD","Period=FQ","BEST_FPERIOD_OVERRIDE=FQ","FILING_STATUS=MR","SCALING_FORMAT=MLN","Sort=A","Dates=H","DateFormat=P","Fill=—","Direction=H","UseDPDF=Y")</f>
        <v>—</v>
      </c>
      <c r="Q40" s="13" t="str">
        <f>_xll.BDH("ALNY US Equity","ARD_DEFERRED_EXPENSES_LT","FQ2 2022","FQ2 2022","Currency=USD","Period=FQ","BEST_FPERIOD_OVERRIDE=FQ","FILING_STATUS=MR","SCALING_FORMAT=MLN","Sort=A","Dates=H","DateFormat=P","Fill=—","Direction=H","UseDPDF=Y")</f>
        <v>—</v>
      </c>
      <c r="R40" s="13" t="str">
        <f>_xll.BDH("ALNY US Equity","ARD_DEFERRED_EXPENSES_LT","FQ3 2022","FQ3 2022","Currency=USD","Period=FQ","BEST_FPERIOD_OVERRIDE=FQ","FILING_STATUS=MR","SCALING_FORMAT=MLN","Sort=A","Dates=H","DateFormat=P","Fill=—","Direction=H","UseDPDF=Y")</f>
        <v>—</v>
      </c>
      <c r="S40" s="13" t="str">
        <f>_xll.BDH("ALNY US Equity","ARD_DEFERRED_EXPENSES_LT","FQ4 2022","FQ4 2022","Currency=USD","Period=FQ","BEST_FPERIOD_OVERRIDE=FQ","FILING_STATUS=MR","SCALING_FORMAT=MLN","Sort=A","Dates=H","DateFormat=P","Fill=—","Direction=H","UseDPDF=Y")</f>
        <v>—</v>
      </c>
      <c r="T40" s="13" t="str">
        <f>_xll.BDH("ALNY US Equity","ARD_DEFERRED_EXPENSES_LT","FQ1 2023","FQ1 2023","Currency=USD","Period=FQ","BEST_FPERIOD_OVERRIDE=FQ","FILING_STATUS=MR","SCALING_FORMAT=MLN","Sort=A","Dates=H","DateFormat=P","Fill=—","Direction=H","UseDPDF=Y")</f>
        <v>—</v>
      </c>
      <c r="U40" s="13" t="str">
        <f>_xll.BDH("ALNY US Equity","ARD_DEFERRED_EXPENSES_LT","FQ2 2023","FQ2 2023","Currency=USD","Period=FQ","BEST_FPERIOD_OVERRIDE=FQ","FILING_STATUS=MR","SCALING_FORMAT=MLN","Sort=A","Dates=H","DateFormat=P","Fill=—","Direction=H","UseDPDF=Y")</f>
        <v>—</v>
      </c>
      <c r="V40" s="13" t="str">
        <f>_xll.BDH("ALNY US Equity","ARD_DEFERRED_EXPENSES_LT","FQ3 2023","FQ3 2023","Currency=USD","Period=FQ","BEST_FPERIOD_OVERRIDE=FQ","FILING_STATUS=MR","SCALING_FORMAT=MLN","Sort=A","Dates=H","DateFormat=P","Fill=—","Direction=H","UseDPDF=Y")</f>
        <v>—</v>
      </c>
      <c r="W40" s="13" t="str">
        <f>_xll.BDH("ALNY US Equity","ARD_DEFERRED_EXPENSES_LT","FQ4 2023","FQ4 2023","Currency=USD","Period=FQ","BEST_FPERIOD_OVERRIDE=FQ","FILING_STATUS=MR","SCALING_FORMAT=MLN","Sort=A","Dates=H","DateFormat=P","Fill=—","Direction=H","UseDPDF=Y")</f>
        <v>—</v>
      </c>
      <c r="X40" s="13" t="str">
        <f>_xll.BDH("ALNY US Equity","ARD_DEFERRED_EXPENSES_LT","FQ1 2024","FQ1 2024","Currency=USD","Period=FQ","BEST_FPERIOD_OVERRIDE=FQ","FILING_STATUS=MR","SCALING_FORMAT=MLN","Sort=A","Dates=H","DateFormat=P","Fill=—","Direction=H","UseDPDF=Y")</f>
        <v>—</v>
      </c>
      <c r="Y40" s="13" t="str">
        <f>_xll.BDH("ALNY US Equity","ARD_DEFERRED_EXPENSES_LT","FQ2 2024","FQ2 2024","Currency=USD","Period=FQ","BEST_FPERIOD_OVERRIDE=FQ","FILING_STATUS=MR","SCALING_FORMAT=MLN","Sort=A","Dates=H","DateFormat=P","Fill=—","Direction=H","UseDPDF=Y")</f>
        <v>—</v>
      </c>
      <c r="Z40" s="13" t="str">
        <f>_xll.BDH("ALNY US Equity","ARD_DEFERRED_EXPENSES_LT","FQ3 2024","FQ3 2024","Currency=USD","Period=FQ","BEST_FPERIOD_OVERRIDE=FQ","FILING_STATUS=MR","SCALING_FORMAT=MLN","Sort=A","Dates=H","DateFormat=P","Fill=—","Direction=H","UseDPDF=Y")</f>
        <v>—</v>
      </c>
      <c r="AA40" s="13" t="str">
        <f>_xll.BDH("ALNY US Equity","ARD_DEFERRED_EXPENSES_LT","FQ4 2024","FQ4 2024","Currency=USD","Period=FQ","BEST_FPERIOD_OVERRIDE=FQ","FILING_STATUS=MR","SCALING_FORMAT=MLN","Sort=A","Dates=H","DateFormat=P","Fill=—","Direction=H","UseDPDF=Y")</f>
        <v>—</v>
      </c>
    </row>
    <row r="41" spans="1:27" x14ac:dyDescent="0.25">
      <c r="A41" s="6" t="s">
        <v>116</v>
      </c>
      <c r="B41" s="6" t="s">
        <v>885</v>
      </c>
      <c r="C41" s="19">
        <f>_xll.BDH("ALNY US Equity","ARD_TOT_LIABILITIES","FQ4 2018","FQ4 2018","Currency=USD","Period=FQ","BEST_FPERIOD_OVERRIDE=FQ","FILING_STATUS=MR","SCALING_FORMAT=MLN","Sort=A","Dates=H","DateFormat=P","Fill=—","Direction=H","UseDPDF=Y")</f>
        <v>272.83699999999999</v>
      </c>
      <c r="D41" s="19">
        <f>_xll.BDH("ALNY US Equity","ARD_TOT_LIABILITIES","FQ1 2019","FQ1 2019","Currency=USD","Period=FQ","BEST_FPERIOD_OVERRIDE=FQ","FILING_STATUS=MR","SCALING_FORMAT=MLN","Sort=A","Dates=H","DateFormat=P","Fill=—","Direction=H","UseDPDF=Y")</f>
        <v>467.01299999999998</v>
      </c>
      <c r="E41" s="19">
        <f>_xll.BDH("ALNY US Equity","ARD_TOT_LIABILITIES","FQ2 2019","FQ2 2019","Currency=USD","Period=FQ","BEST_FPERIOD_OVERRIDE=FQ","FILING_STATUS=MR","SCALING_FORMAT=MLN","Sort=A","Dates=H","DateFormat=P","Fill=—","Direction=H","UseDPDF=Y")</f>
        <v>959.21600000000001</v>
      </c>
      <c r="F41" s="19">
        <f>_xll.BDH("ALNY US Equity","ARD_TOT_LIABILITIES","FQ3 2019","FQ3 2019","Currency=USD","Period=FQ","BEST_FPERIOD_OVERRIDE=FQ","FILING_STATUS=MR","SCALING_FORMAT=MLN","Sort=A","Dates=H","DateFormat=P","Fill=—","Direction=H","UseDPDF=Y")</f>
        <v>934.53499999999997</v>
      </c>
      <c r="G41" s="19">
        <f>_xll.BDH("ALNY US Equity","ARD_TOT_LIABILITIES","FQ4 2019","FQ4 2019","Currency=USD","Period=FQ","BEST_FPERIOD_OVERRIDE=FQ","FILING_STATUS=MR","SCALING_FORMAT=MLN","Sort=A","Dates=H","DateFormat=P","Fill=—","Direction=H","UseDPDF=Y")</f>
        <v>956.44200000000001</v>
      </c>
      <c r="H41" s="19">
        <f>_xll.BDH("ALNY US Equity","ARD_TOT_LIABILITIES","FQ1 2020","FQ1 2020","Currency=USD","Period=FQ","BEST_FPERIOD_OVERRIDE=FQ","FILING_STATUS=MR","SCALING_FORMAT=MLN","Sort=A","Dates=H","DateFormat=P","Fill=—","Direction=H","UseDPDF=Y")</f>
        <v>929.89499999999998</v>
      </c>
      <c r="I41" s="19">
        <f>_xll.BDH("ALNY US Equity","ARD_TOT_LIABILITIES","FQ2 2020","FQ2 2020","Currency=USD","Period=FQ","BEST_FPERIOD_OVERRIDE=FQ","FILING_STATUS=MR","SCALING_FORMAT=MLN","Sort=A","Dates=H","DateFormat=P","Fill=—","Direction=H","UseDPDF=Y")</f>
        <v>1974.6410000000001</v>
      </c>
      <c r="J41" s="19">
        <f>_xll.BDH("ALNY US Equity","ARD_TOT_LIABILITIES","FQ3 2020","FQ3 2020","Currency=USD","Period=FQ","BEST_FPERIOD_OVERRIDE=FQ","FILING_STATUS=MR","SCALING_FORMAT=MLN","Sort=A","Dates=H","DateFormat=P","Fill=—","Direction=H","UseDPDF=Y")</f>
        <v>2092.2600000000002</v>
      </c>
      <c r="K41" s="19">
        <f>_xll.BDH("ALNY US Equity","ARD_TOT_LIABILITIES","FQ4 2020","FQ4 2020","Currency=USD","Period=FQ","BEST_FPERIOD_OVERRIDE=FQ","FILING_STATUS=MR","SCALING_FORMAT=MLN","Sort=A","Dates=H","DateFormat=P","Fill=—","Direction=H","UseDPDF=Y")</f>
        <v>2390.8139999999999</v>
      </c>
      <c r="L41" s="19">
        <f>_xll.BDH("ALNY US Equity","ARD_TOT_LIABILITIES","FQ1 2021","FQ1 2021","Currency=USD","Period=FQ","BEST_FPERIOD_OVERRIDE=FQ","FILING_STATUS=MR","SCALING_FORMAT=MLN","Sort=A","Dates=H","DateFormat=P","Fill=—","Direction=H","UseDPDF=Y")</f>
        <v>2329.0790000000002</v>
      </c>
      <c r="M41" s="19">
        <f>_xll.BDH("ALNY US Equity","ARD_TOT_LIABILITIES","FQ2 2021","FQ2 2021","Currency=USD","Period=FQ","BEST_FPERIOD_OVERRIDE=FQ","FILING_STATUS=MR","SCALING_FORMAT=MLN","Sort=A","Dates=H","DateFormat=P","Fill=—","Direction=H","UseDPDF=Y")</f>
        <v>2656.067</v>
      </c>
      <c r="N41" s="19">
        <f>_xll.BDH("ALNY US Equity","ARD_TOT_LIABILITIES","FQ3 2021","FQ3 2021","Currency=USD","Period=FQ","BEST_FPERIOD_OVERRIDE=FQ","FILING_STATUS=MR","SCALING_FORMAT=MLN","Sort=A","Dates=H","DateFormat=P","Fill=—","Direction=H","UseDPDF=Y")</f>
        <v>2716.42</v>
      </c>
      <c r="O41" s="19">
        <f>_xll.BDH("ALNY US Equity","ARD_TOT_LIABILITIES","FQ4 2021","FQ4 2021","Currency=USD","Period=FQ","BEST_FPERIOD_OVERRIDE=FQ","FILING_STATUS=MR","SCALING_FORMAT=MLN","Sort=A","Dates=H","DateFormat=P","Fill=—","Direction=H","UseDPDF=Y")</f>
        <v>3055.1010000000001</v>
      </c>
      <c r="P41" s="19">
        <f>_xll.BDH("ALNY US Equity","ARD_TOT_LIABILITIES","FQ1 2022","FQ1 2022","Currency=USD","Period=FQ","BEST_FPERIOD_OVERRIDE=FQ","FILING_STATUS=MR","SCALING_FORMAT=MLN","Sort=A","Dates=H","DateFormat=P","Fill=—","Direction=H","UseDPDF=Y")</f>
        <v>3032.3789999999999</v>
      </c>
      <c r="Q41" s="19">
        <f>_xll.BDH("ALNY US Equity","ARD_TOT_LIABILITIES","FQ2 2022","FQ2 2022","Currency=USD","Period=FQ","BEST_FPERIOD_OVERRIDE=FQ","FILING_STATUS=MR","SCALING_FORMAT=MLN","Sort=A","Dates=H","DateFormat=P","Fill=—","Direction=H","UseDPDF=Y")</f>
        <v>3154.377</v>
      </c>
      <c r="R41" s="19">
        <f>_xll.BDH("ALNY US Equity","ARD_TOT_LIABILITIES","FQ3 2022","FQ3 2022","Currency=USD","Period=FQ","BEST_FPERIOD_OVERRIDE=FQ","FILING_STATUS=MR","SCALING_FORMAT=MLN","Sort=A","Dates=H","DateFormat=P","Fill=—","Direction=H","UseDPDF=Y")</f>
        <v>3602.893</v>
      </c>
      <c r="S41" s="19">
        <f>_xll.BDH("ALNY US Equity","ARD_TOT_LIABILITIES","FQ4 2022","FQ4 2022","Currency=USD","Period=FQ","BEST_FPERIOD_OVERRIDE=FQ","FILING_STATUS=MR","SCALING_FORMAT=MLN","Sort=A","Dates=H","DateFormat=P","Fill=—","Direction=H","UseDPDF=Y")</f>
        <v>3704.5819999999999</v>
      </c>
      <c r="T41" s="19">
        <f>_xll.BDH("ALNY US Equity","ARD_TOT_LIABILITIES","FQ1 2023","FQ1 2023","Currency=USD","Period=FQ","BEST_FPERIOD_OVERRIDE=FQ","FILING_STATUS=MR","SCALING_FORMAT=MLN","Sort=A","Dates=H","DateFormat=P","Fill=—","Direction=H","UseDPDF=Y")</f>
        <v>3651.18</v>
      </c>
      <c r="U41" s="19">
        <f>_xll.BDH("ALNY US Equity","ARD_TOT_LIABILITIES","FQ2 2023","FQ2 2023","Currency=USD","Period=FQ","BEST_FPERIOD_OVERRIDE=FQ","FILING_STATUS=MR","SCALING_FORMAT=MLN","Sort=A","Dates=H","DateFormat=P","Fill=—","Direction=H","UseDPDF=Y")</f>
        <v>3810.527</v>
      </c>
      <c r="V41" s="19">
        <f>_xll.BDH("ALNY US Equity","ARD_TOT_LIABILITIES","FQ3 2023","FQ3 2023","Currency=USD","Period=FQ","BEST_FPERIOD_OVERRIDE=FQ","FILING_STATUS=MR","SCALING_FORMAT=MLN","Sort=A","Dates=H","DateFormat=P","Fill=—","Direction=H","UseDPDF=Y")</f>
        <v>4004.9389999999999</v>
      </c>
      <c r="W41" s="19">
        <f>_xll.BDH("ALNY US Equity","ARD_TOT_LIABILITIES","FQ4 2023","FQ4 2023","Currency=USD","Period=FQ","BEST_FPERIOD_OVERRIDE=FQ","FILING_STATUS=MR","SCALING_FORMAT=MLN","Sort=A","Dates=H","DateFormat=P","Fill=—","Direction=H","UseDPDF=Y")</f>
        <v>4050.5239999999999</v>
      </c>
      <c r="X41" s="19">
        <f>_xll.BDH("ALNY US Equity","ARD_TOT_LIABILITIES","FQ1 2024","FQ1 2024","Currency=USD","Period=FQ","BEST_FPERIOD_OVERRIDE=FQ","FILING_STATUS=MR","SCALING_FORMAT=MLN","Sort=A","Dates=H","DateFormat=P","Fill=—","Direction=H","UseDPDF=Y")</f>
        <v>4043.6579999999999</v>
      </c>
      <c r="Y41" s="19">
        <f>_xll.BDH("ALNY US Equity","ARD_TOT_LIABILITIES","FQ2 2024","FQ2 2024","Currency=USD","Period=FQ","BEST_FPERIOD_OVERRIDE=FQ","FILING_STATUS=MR","SCALING_FORMAT=MLN","Sort=A","Dates=H","DateFormat=P","Fill=—","Direction=H","UseDPDF=Y")</f>
        <v>4012.701</v>
      </c>
      <c r="Z41" s="19">
        <f>_xll.BDH("ALNY US Equity","ARD_TOT_LIABILITIES","FQ3 2024","FQ3 2024","Currency=USD","Period=FQ","BEST_FPERIOD_OVERRIDE=FQ","FILING_STATUS=MR","SCALING_FORMAT=MLN","Sort=A","Dates=H","DateFormat=P","Fill=—","Direction=H","UseDPDF=Y")</f>
        <v>4172.6850000000004</v>
      </c>
      <c r="AA41" s="19">
        <f>_xll.BDH("ALNY US Equity","ARD_TOT_LIABILITIES","FQ4 2024","FQ4 2024","Currency=USD","Period=FQ","BEST_FPERIOD_OVERRIDE=FQ","FILING_STATUS=MR","SCALING_FORMAT=MLN","Sort=A","Dates=H","DateFormat=P","Fill=—","Direction=H","UseDPDF=Y")</f>
        <v>4172.8950000000004</v>
      </c>
    </row>
    <row r="42" spans="1:27" x14ac:dyDescent="0.25">
      <c r="A42" s="10" t="s">
        <v>886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10" t="s">
        <v>887</v>
      </c>
      <c r="B43" s="10" t="s">
        <v>888</v>
      </c>
      <c r="C43" s="13">
        <f>_xll.BDH("ALNY US Equity","ARD_PREFERRED_STOCK","FQ4 2018","FQ4 2018","Currency=USD","Period=FQ","BEST_FPERIOD_OVERRIDE=FQ","FILING_STATUS=MR","SCALING_FORMAT=MLN","Sort=A","Dates=H","DateFormat=P","Fill=—","Direction=H","UseDPDF=Y")</f>
        <v>0</v>
      </c>
      <c r="D43" s="13">
        <f>_xll.BDH("ALNY US Equity","ARD_PREFERRED_STOCK","FQ1 2019","FQ1 2019","Currency=USD","Period=FQ","BEST_FPERIOD_OVERRIDE=FQ","FILING_STATUS=MR","SCALING_FORMAT=MLN","Sort=A","Dates=H","DateFormat=P","Fill=—","Direction=H","UseDPDF=Y")</f>
        <v>0</v>
      </c>
      <c r="E43" s="13">
        <f>_xll.BDH("ALNY US Equity","ARD_PREFERRED_STOCK","FQ2 2019","FQ2 2019","Currency=USD","Period=FQ","BEST_FPERIOD_OVERRIDE=FQ","FILING_STATUS=MR","SCALING_FORMAT=MLN","Sort=A","Dates=H","DateFormat=P","Fill=—","Direction=H","UseDPDF=Y")</f>
        <v>0</v>
      </c>
      <c r="F43" s="13">
        <f>_xll.BDH("ALNY US Equity","ARD_PREFERRED_STOCK","FQ3 2019","FQ3 2019","Currency=USD","Period=FQ","BEST_FPERIOD_OVERRIDE=FQ","FILING_STATUS=MR","SCALING_FORMAT=MLN","Sort=A","Dates=H","DateFormat=P","Fill=—","Direction=H","UseDPDF=Y")</f>
        <v>0</v>
      </c>
      <c r="G43" s="13">
        <f>_xll.BDH("ALNY US Equity","ARD_PREFERRED_STOCK","FQ4 2019","FQ4 2019","Currency=USD","Period=FQ","BEST_FPERIOD_OVERRIDE=FQ","FILING_STATUS=MR","SCALING_FORMAT=MLN","Sort=A","Dates=H","DateFormat=P","Fill=—","Direction=H","UseDPDF=Y")</f>
        <v>0</v>
      </c>
      <c r="H43" s="13">
        <f>_xll.BDH("ALNY US Equity","ARD_PREFERRED_STOCK","FQ1 2020","FQ1 2020","Currency=USD","Period=FQ","BEST_FPERIOD_OVERRIDE=FQ","FILING_STATUS=MR","SCALING_FORMAT=MLN","Sort=A","Dates=H","DateFormat=P","Fill=—","Direction=H","UseDPDF=Y")</f>
        <v>0</v>
      </c>
      <c r="I43" s="13">
        <f>_xll.BDH("ALNY US Equity","ARD_PREFERRED_STOCK","FQ2 2020","FQ2 2020","Currency=USD","Period=FQ","BEST_FPERIOD_OVERRIDE=FQ","FILING_STATUS=MR","SCALING_FORMAT=MLN","Sort=A","Dates=H","DateFormat=P","Fill=—","Direction=H","UseDPDF=Y")</f>
        <v>0</v>
      </c>
      <c r="J43" s="13">
        <f>_xll.BDH("ALNY US Equity","ARD_PREFERRED_STOCK","FQ3 2020","FQ3 2020","Currency=USD","Period=FQ","BEST_FPERIOD_OVERRIDE=FQ","FILING_STATUS=MR","SCALING_FORMAT=MLN","Sort=A","Dates=H","DateFormat=P","Fill=—","Direction=H","UseDPDF=Y")</f>
        <v>0</v>
      </c>
      <c r="K43" s="13">
        <f>_xll.BDH("ALNY US Equity","ARD_PREFERRED_STOCK","FQ4 2020","FQ4 2020","Currency=USD","Period=FQ","BEST_FPERIOD_OVERRIDE=FQ","FILING_STATUS=MR","SCALING_FORMAT=MLN","Sort=A","Dates=H","DateFormat=P","Fill=—","Direction=H","UseDPDF=Y")</f>
        <v>0</v>
      </c>
      <c r="L43" s="13">
        <f>_xll.BDH("ALNY US Equity","ARD_PREFERRED_STOCK","FQ1 2021","FQ1 2021","Currency=USD","Period=FQ","BEST_FPERIOD_OVERRIDE=FQ","FILING_STATUS=MR","SCALING_FORMAT=MLN","Sort=A","Dates=H","DateFormat=P","Fill=—","Direction=H","UseDPDF=Y")</f>
        <v>0</v>
      </c>
      <c r="M43" s="13">
        <f>_xll.BDH("ALNY US Equity","ARD_PREFERRED_STOCK","FQ2 2021","FQ2 2021","Currency=USD","Period=FQ","BEST_FPERIOD_OVERRIDE=FQ","FILING_STATUS=MR","SCALING_FORMAT=MLN","Sort=A","Dates=H","DateFormat=P","Fill=—","Direction=H","UseDPDF=Y")</f>
        <v>0</v>
      </c>
      <c r="N43" s="13" t="str">
        <f>_xll.BDH("ALNY US Equity","ARD_PREFERRED_STOCK","FQ3 2021","FQ3 2021","Currency=USD","Period=FQ","BEST_FPERIOD_OVERRIDE=FQ","FILING_STATUS=MR","SCALING_FORMAT=MLN","Sort=A","Dates=H","DateFormat=P","Fill=—","Direction=H","UseDPDF=Y")</f>
        <v>—</v>
      </c>
      <c r="O43" s="13">
        <f>_xll.BDH("ALNY US Equity","ARD_PREFERRED_STOCK","FQ4 2021","FQ4 2021","Currency=USD","Period=FQ","BEST_FPERIOD_OVERRIDE=FQ","FILING_STATUS=MR","SCALING_FORMAT=MLN","Sort=A","Dates=H","DateFormat=P","Fill=—","Direction=H","UseDPDF=Y")</f>
        <v>0</v>
      </c>
      <c r="P43" s="13">
        <f>_xll.BDH("ALNY US Equity","ARD_PREFERRED_STOCK","FQ1 2022","FQ1 2022","Currency=USD","Period=FQ","BEST_FPERIOD_OVERRIDE=FQ","FILING_STATUS=MR","SCALING_FORMAT=MLN","Sort=A","Dates=H","DateFormat=P","Fill=—","Direction=H","UseDPDF=Y")</f>
        <v>0</v>
      </c>
      <c r="Q43" s="13">
        <f>_xll.BDH("ALNY US Equity","ARD_PREFERRED_STOCK","FQ2 2022","FQ2 2022","Currency=USD","Period=FQ","BEST_FPERIOD_OVERRIDE=FQ","FILING_STATUS=MR","SCALING_FORMAT=MLN","Sort=A","Dates=H","DateFormat=P","Fill=—","Direction=H","UseDPDF=Y")</f>
        <v>0</v>
      </c>
      <c r="R43" s="13">
        <f>_xll.BDH("ALNY US Equity","ARD_PREFERRED_STOCK","FQ3 2022","FQ3 2022","Currency=USD","Period=FQ","BEST_FPERIOD_OVERRIDE=FQ","FILING_STATUS=MR","SCALING_FORMAT=MLN","Sort=A","Dates=H","DateFormat=P","Fill=—","Direction=H","UseDPDF=Y")</f>
        <v>0</v>
      </c>
      <c r="S43" s="13">
        <f>_xll.BDH("ALNY US Equity","ARD_PREFERRED_STOCK","FQ4 2022","FQ4 2022","Currency=USD","Period=FQ","BEST_FPERIOD_OVERRIDE=FQ","FILING_STATUS=MR","SCALING_FORMAT=MLN","Sort=A","Dates=H","DateFormat=P","Fill=—","Direction=H","UseDPDF=Y")</f>
        <v>0</v>
      </c>
      <c r="T43" s="13">
        <f>_xll.BDH("ALNY US Equity","ARD_PREFERRED_STOCK","FQ1 2023","FQ1 2023","Currency=USD","Period=FQ","BEST_FPERIOD_OVERRIDE=FQ","FILING_STATUS=MR","SCALING_FORMAT=MLN","Sort=A","Dates=H","DateFormat=P","Fill=—","Direction=H","UseDPDF=Y")</f>
        <v>0</v>
      </c>
      <c r="U43" s="13">
        <f>_xll.BDH("ALNY US Equity","ARD_PREFERRED_STOCK","FQ2 2023","FQ2 2023","Currency=USD","Period=FQ","BEST_FPERIOD_OVERRIDE=FQ","FILING_STATUS=MR","SCALING_FORMAT=MLN","Sort=A","Dates=H","DateFormat=P","Fill=—","Direction=H","UseDPDF=Y")</f>
        <v>0</v>
      </c>
      <c r="V43" s="13">
        <f>_xll.BDH("ALNY US Equity","ARD_PREFERRED_STOCK","FQ3 2023","FQ3 2023","Currency=USD","Period=FQ","BEST_FPERIOD_OVERRIDE=FQ","FILING_STATUS=MR","SCALING_FORMAT=MLN","Sort=A","Dates=H","DateFormat=P","Fill=—","Direction=H","UseDPDF=Y")</f>
        <v>0</v>
      </c>
      <c r="W43" s="13">
        <f>_xll.BDH("ALNY US Equity","ARD_PREFERRED_STOCK","FQ4 2023","FQ4 2023","Currency=USD","Period=FQ","BEST_FPERIOD_OVERRIDE=FQ","FILING_STATUS=MR","SCALING_FORMAT=MLN","Sort=A","Dates=H","DateFormat=P","Fill=—","Direction=H","UseDPDF=Y")</f>
        <v>0</v>
      </c>
      <c r="X43" s="13">
        <f>_xll.BDH("ALNY US Equity","ARD_PREFERRED_STOCK","FQ1 2024","FQ1 2024","Currency=USD","Period=FQ","BEST_FPERIOD_OVERRIDE=FQ","FILING_STATUS=MR","SCALING_FORMAT=MLN","Sort=A","Dates=H","DateFormat=P","Fill=—","Direction=H","UseDPDF=Y")</f>
        <v>0</v>
      </c>
      <c r="Y43" s="13">
        <f>_xll.BDH("ALNY US Equity","ARD_PREFERRED_STOCK","FQ2 2024","FQ2 2024","Currency=USD","Period=FQ","BEST_FPERIOD_OVERRIDE=FQ","FILING_STATUS=MR","SCALING_FORMAT=MLN","Sort=A","Dates=H","DateFormat=P","Fill=—","Direction=H","UseDPDF=Y")</f>
        <v>0</v>
      </c>
      <c r="Z43" s="13">
        <f>_xll.BDH("ALNY US Equity","ARD_PREFERRED_STOCK","FQ3 2024","FQ3 2024","Currency=USD","Period=FQ","BEST_FPERIOD_OVERRIDE=FQ","FILING_STATUS=MR","SCALING_FORMAT=MLN","Sort=A","Dates=H","DateFormat=P","Fill=—","Direction=H","UseDPDF=Y")</f>
        <v>0</v>
      </c>
      <c r="AA43" s="13">
        <f>_xll.BDH("ALNY US Equity","ARD_PREFERRED_STOCK","FQ4 2024","FQ4 2024","Currency=USD","Period=FQ","BEST_FPERIOD_OVERRIDE=FQ","FILING_STATUS=MR","SCALING_FORMAT=MLN","Sort=A","Dates=H","DateFormat=P","Fill=—","Direction=H","UseDPDF=Y")</f>
        <v>0</v>
      </c>
    </row>
    <row r="44" spans="1:27" x14ac:dyDescent="0.25">
      <c r="A44" s="10" t="s">
        <v>889</v>
      </c>
      <c r="B44" s="10" t="s">
        <v>890</v>
      </c>
      <c r="C44" s="13">
        <f>_xll.BDH("ALNY US Equity","ARD_COMMON_STOCK","FQ4 2018","FQ4 2018","Currency=USD","Period=FQ","BEST_FPERIOD_OVERRIDE=FQ","FILING_STATUS=MR","SCALING_FORMAT=MLN","Sort=A","Dates=H","DateFormat=P","Fill=—","Direction=H","UseDPDF=Y")</f>
        <v>1.0109999999999999</v>
      </c>
      <c r="D44" s="13">
        <f>_xll.BDH("ALNY US Equity","ARD_COMMON_STOCK","FQ1 2019","FQ1 2019","Currency=USD","Period=FQ","BEST_FPERIOD_OVERRIDE=FQ","FILING_STATUS=MR","SCALING_FORMAT=MLN","Sort=A","Dates=H","DateFormat=P","Fill=—","Direction=H","UseDPDF=Y")</f>
        <v>1.0640000000000001</v>
      </c>
      <c r="E44" s="13">
        <f>_xll.BDH("ALNY US Equity","ARD_COMMON_STOCK","FQ2 2019","FQ2 2019","Currency=USD","Period=FQ","BEST_FPERIOD_OVERRIDE=FQ","FILING_STATUS=MR","SCALING_FORMAT=MLN","Sort=A","Dates=H","DateFormat=P","Fill=—","Direction=H","UseDPDF=Y")</f>
        <v>1.1100000000000001</v>
      </c>
      <c r="F44" s="13">
        <f>_xll.BDH("ALNY US Equity","ARD_COMMON_STOCK","FQ3 2019","FQ3 2019","Currency=USD","Period=FQ","BEST_FPERIOD_OVERRIDE=FQ","FILING_STATUS=MR","SCALING_FORMAT=MLN","Sort=A","Dates=H","DateFormat=P","Fill=—","Direction=H","UseDPDF=Y")</f>
        <v>1.113</v>
      </c>
      <c r="G44" s="13">
        <f>_xll.BDH("ALNY US Equity","ARD_COMMON_STOCK","FQ4 2019","FQ4 2019","Currency=USD","Period=FQ","BEST_FPERIOD_OVERRIDE=FQ","FILING_STATUS=MR","SCALING_FORMAT=MLN","Sort=A","Dates=H","DateFormat=P","Fill=—","Direction=H","UseDPDF=Y")</f>
        <v>1.1220000000000001</v>
      </c>
      <c r="H44" s="13">
        <f>_xll.BDH("ALNY US Equity","ARD_COMMON_STOCK","FQ1 2020","FQ1 2020","Currency=USD","Period=FQ","BEST_FPERIOD_OVERRIDE=FQ","FILING_STATUS=MR","SCALING_FORMAT=MLN","Sort=A","Dates=H","DateFormat=P","Fill=—","Direction=H","UseDPDF=Y")</f>
        <v>1.131</v>
      </c>
      <c r="I44" s="13">
        <f>_xll.BDH("ALNY US Equity","ARD_COMMON_STOCK","FQ2 2020","FQ2 2020","Currency=USD","Period=FQ","BEST_FPERIOD_OVERRIDE=FQ","FILING_STATUS=MR","SCALING_FORMAT=MLN","Sort=A","Dates=H","DateFormat=P","Fill=—","Direction=H","UseDPDF=Y")</f>
        <v>1.1559999999999999</v>
      </c>
      <c r="J44" s="13">
        <f>_xll.BDH("ALNY US Equity","ARD_COMMON_STOCK","FQ3 2020","FQ3 2020","Currency=USD","Period=FQ","BEST_FPERIOD_OVERRIDE=FQ","FILING_STATUS=MR","SCALING_FORMAT=MLN","Sort=A","Dates=H","DateFormat=P","Fill=—","Direction=H","UseDPDF=Y")</f>
        <v>1.161</v>
      </c>
      <c r="K44" s="13">
        <f>_xll.BDH("ALNY US Equity","ARD_COMMON_STOCK","FQ4 2020","FQ4 2020","Currency=USD","Period=FQ","BEST_FPERIOD_OVERRIDE=FQ","FILING_STATUS=MR","SCALING_FORMAT=MLN","Sort=A","Dates=H","DateFormat=P","Fill=—","Direction=H","UseDPDF=Y")</f>
        <v>1.1639999999999999</v>
      </c>
      <c r="L44" s="13">
        <f>_xll.BDH("ALNY US Equity","ARD_COMMON_STOCK","FQ1 2021","FQ1 2021","Currency=USD","Period=FQ","BEST_FPERIOD_OVERRIDE=FQ","FILING_STATUS=MR","SCALING_FORMAT=MLN","Sort=A","Dates=H","DateFormat=P","Fill=—","Direction=H","UseDPDF=Y")</f>
        <v>1.173</v>
      </c>
      <c r="M44" s="13">
        <f>_xll.BDH("ALNY US Equity","ARD_COMMON_STOCK","FQ2 2021","FQ2 2021","Currency=USD","Period=FQ","BEST_FPERIOD_OVERRIDE=FQ","FILING_STATUS=MR","SCALING_FORMAT=MLN","Sort=A","Dates=H","DateFormat=P","Fill=—","Direction=H","UseDPDF=Y")</f>
        <v>1.1859999999999999</v>
      </c>
      <c r="N44" s="13">
        <f>_xll.BDH("ALNY US Equity","ARD_COMMON_STOCK","FQ3 2021","FQ3 2021","Currency=USD","Period=FQ","BEST_FPERIOD_OVERRIDE=FQ","FILING_STATUS=MR","SCALING_FORMAT=MLN","Sort=A","Dates=H","DateFormat=P","Fill=—","Direction=H","UseDPDF=Y")</f>
        <v>1.1950000000000001</v>
      </c>
      <c r="O44" s="13">
        <f>_xll.BDH("ALNY US Equity","ARD_COMMON_STOCK","FQ4 2021","FQ4 2021","Currency=USD","Period=FQ","BEST_FPERIOD_OVERRIDE=FQ","FILING_STATUS=MR","SCALING_FORMAT=MLN","Sort=A","Dates=H","DateFormat=P","Fill=—","Direction=H","UseDPDF=Y")</f>
        <v>1.202</v>
      </c>
      <c r="P44" s="13">
        <f>_xll.BDH("ALNY US Equity","ARD_COMMON_STOCK","FQ1 2022","FQ1 2022","Currency=USD","Period=FQ","BEST_FPERIOD_OVERRIDE=FQ","FILING_STATUS=MR","SCALING_FORMAT=MLN","Sort=A","Dates=H","DateFormat=P","Fill=—","Direction=H","UseDPDF=Y")</f>
        <v>1.2070000000000001</v>
      </c>
      <c r="Q44" s="13">
        <f>_xll.BDH("ALNY US Equity","ARD_COMMON_STOCK","FQ2 2022","FQ2 2022","Currency=USD","Period=FQ","BEST_FPERIOD_OVERRIDE=FQ","FILING_STATUS=MR","SCALING_FORMAT=MLN","Sort=A","Dates=H","DateFormat=P","Fill=—","Direction=H","UseDPDF=Y")</f>
        <v>1.21</v>
      </c>
      <c r="R44" s="13">
        <f>_xll.BDH("ALNY US Equity","ARD_COMMON_STOCK","FQ3 2022","FQ3 2022","Currency=USD","Period=FQ","BEST_FPERIOD_OVERRIDE=FQ","FILING_STATUS=MR","SCALING_FORMAT=MLN","Sort=A","Dates=H","DateFormat=P","Fill=—","Direction=H","UseDPDF=Y")</f>
        <v>1.23</v>
      </c>
      <c r="S44" s="13">
        <f>_xll.BDH("ALNY US Equity","ARD_COMMON_STOCK","FQ4 2022","FQ4 2022","Currency=USD","Period=FQ","BEST_FPERIOD_OVERRIDE=FQ","FILING_STATUS=MR","SCALING_FORMAT=MLN","Sort=A","Dates=H","DateFormat=P","Fill=—","Direction=H","UseDPDF=Y")</f>
        <v>1.24</v>
      </c>
      <c r="T44" s="13">
        <f>_xll.BDH("ALNY US Equity","ARD_COMMON_STOCK","FQ1 2023","FQ1 2023","Currency=USD","Period=FQ","BEST_FPERIOD_OVERRIDE=FQ","FILING_STATUS=MR","SCALING_FORMAT=MLN","Sort=A","Dates=H","DateFormat=P","Fill=—","Direction=H","UseDPDF=Y")</f>
        <v>1.2430000000000001</v>
      </c>
      <c r="U44" s="13">
        <f>_xll.BDH("ALNY US Equity","ARD_COMMON_STOCK","FQ2 2023","FQ2 2023","Currency=USD","Period=FQ","BEST_FPERIOD_OVERRIDE=FQ","FILING_STATUS=MR","SCALING_FORMAT=MLN","Sort=A","Dates=H","DateFormat=P","Fill=—","Direction=H","UseDPDF=Y")</f>
        <v>1.25</v>
      </c>
      <c r="V44" s="13">
        <f>_xll.BDH("ALNY US Equity","ARD_COMMON_STOCK","FQ3 2023","FQ3 2023","Currency=USD","Period=FQ","BEST_FPERIOD_OVERRIDE=FQ","FILING_STATUS=MR","SCALING_FORMAT=MLN","Sort=A","Dates=H","DateFormat=P","Fill=—","Direction=H","UseDPDF=Y")</f>
        <v>1.2549999999999999</v>
      </c>
      <c r="W44" s="13">
        <f>_xll.BDH("ALNY US Equity","ARD_COMMON_STOCK","FQ4 2023","FQ4 2023","Currency=USD","Period=FQ","BEST_FPERIOD_OVERRIDE=FQ","FILING_STATUS=MR","SCALING_FORMAT=MLN","Sort=A","Dates=H","DateFormat=P","Fill=—","Direction=H","UseDPDF=Y")</f>
        <v>1.2589999999999999</v>
      </c>
      <c r="X44" s="13">
        <f>_xll.BDH("ALNY US Equity","ARD_COMMON_STOCK","FQ1 2024","FQ1 2024","Currency=USD","Period=FQ","BEST_FPERIOD_OVERRIDE=FQ","FILING_STATUS=MR","SCALING_FORMAT=MLN","Sort=A","Dates=H","DateFormat=P","Fill=—","Direction=H","UseDPDF=Y")</f>
        <v>1.2649999999999999</v>
      </c>
      <c r="Y44" s="13">
        <f>_xll.BDH("ALNY US Equity","ARD_COMMON_STOCK","FQ2 2024","FQ2 2024","Currency=USD","Period=FQ","BEST_FPERIOD_OVERRIDE=FQ","FILING_STATUS=MR","SCALING_FORMAT=MLN","Sort=A","Dates=H","DateFormat=P","Fill=—","Direction=H","UseDPDF=Y")</f>
        <v>1.2809999999999999</v>
      </c>
      <c r="Z44" s="13">
        <f>_xll.BDH("ALNY US Equity","ARD_COMMON_STOCK","FQ3 2024","FQ3 2024","Currency=USD","Period=FQ","BEST_FPERIOD_OVERRIDE=FQ","FILING_STATUS=MR","SCALING_FORMAT=MLN","Sort=A","Dates=H","DateFormat=P","Fill=—","Direction=H","UseDPDF=Y")</f>
        <v>1.2889999999999999</v>
      </c>
      <c r="AA44" s="13">
        <f>_xll.BDH("ALNY US Equity","ARD_COMMON_STOCK","FQ4 2024","FQ4 2024","Currency=USD","Period=FQ","BEST_FPERIOD_OVERRIDE=FQ","FILING_STATUS=MR","SCALING_FORMAT=MLN","Sort=A","Dates=H","DateFormat=P","Fill=—","Direction=H","UseDPDF=Y")</f>
        <v>1.2929999999999999</v>
      </c>
    </row>
    <row r="45" spans="1:27" x14ac:dyDescent="0.25">
      <c r="A45" s="10" t="s">
        <v>891</v>
      </c>
      <c r="B45" s="10" t="s">
        <v>892</v>
      </c>
      <c r="C45" s="13">
        <f>_xll.BDH("ALNY US Equity","ARD_ADDITIONAL_PAID_IN_CAPITAL","FQ4 2018","FQ4 2018","Currency=USD","Period=FQ","BEST_FPERIOD_OVERRIDE=FQ","FILING_STATUS=MR","SCALING_FORMAT=MLN","Sort=A","Dates=H","DateFormat=P","Fill=—","Direction=H","UseDPDF=Y")</f>
        <v>4175.1390000000001</v>
      </c>
      <c r="D45" s="13">
        <f>_xll.BDH("ALNY US Equity","ARD_ADDITIONAL_PAID_IN_CAPITAL","FQ1 2019","FQ1 2019","Currency=USD","Period=FQ","BEST_FPERIOD_OVERRIDE=FQ","FILING_STATUS=MR","SCALING_FORMAT=MLN","Sort=A","Dates=H","DateFormat=P","Fill=—","Direction=H","UseDPDF=Y")</f>
        <v>4601.6620000000003</v>
      </c>
      <c r="E45" s="13">
        <f>_xll.BDH("ALNY US Equity","ARD_ADDITIONAL_PAID_IN_CAPITAL","FQ2 2019","FQ2 2019","Currency=USD","Period=FQ","BEST_FPERIOD_OVERRIDE=FQ","FILING_STATUS=MR","SCALING_FORMAT=MLN","Sort=A","Dates=H","DateFormat=P","Fill=—","Direction=H","UseDPDF=Y")</f>
        <v>5034.2839999999997</v>
      </c>
      <c r="F45" s="13">
        <f>_xll.BDH("ALNY US Equity","ARD_ADDITIONAL_PAID_IN_CAPITAL","FQ3 2019","FQ3 2019","Currency=USD","Period=FQ","BEST_FPERIOD_OVERRIDE=FQ","FILING_STATUS=MR","SCALING_FORMAT=MLN","Sort=A","Dates=H","DateFormat=P","Fill=—","Direction=H","UseDPDF=Y")</f>
        <v>5091.2479999999996</v>
      </c>
      <c r="G45" s="13">
        <f>_xll.BDH("ALNY US Equity","ARD_ADDITIONAL_PAID_IN_CAPITAL","FQ4 2019","FQ4 2019","Currency=USD","Period=FQ","BEST_FPERIOD_OVERRIDE=FQ","FILING_STATUS=MR","SCALING_FORMAT=MLN","Sort=A","Dates=H","DateFormat=P","Fill=—","Direction=H","UseDPDF=Y")</f>
        <v>5201.1760000000004</v>
      </c>
      <c r="H45" s="13">
        <f>_xll.BDH("ALNY US Equity","ARD_ADDITIONAL_PAID_IN_CAPITAL","FQ1 2020","FQ1 2020","Currency=USD","Period=FQ","BEST_FPERIOD_OVERRIDE=FQ","FILING_STATUS=MR","SCALING_FORMAT=MLN","Sort=A","Dates=H","DateFormat=P","Fill=—","Direction=H","UseDPDF=Y")</f>
        <v>5289.9660000000003</v>
      </c>
      <c r="I45" s="13">
        <f>_xll.BDH("ALNY US Equity","ARD_ADDITIONAL_PAID_IN_CAPITAL","FQ2 2020","FQ2 2020","Currency=USD","Period=FQ","BEST_FPERIOD_OVERRIDE=FQ","FILING_STATUS=MR","SCALING_FORMAT=MLN","Sort=A","Dates=H","DateFormat=P","Fill=—","Direction=H","UseDPDF=Y")</f>
        <v>5520.32</v>
      </c>
      <c r="J45" s="13">
        <f>_xll.BDH("ALNY US Equity","ARD_ADDITIONAL_PAID_IN_CAPITAL","FQ3 2020","FQ3 2020","Currency=USD","Period=FQ","BEST_FPERIOD_OVERRIDE=FQ","FILING_STATUS=MR","SCALING_FORMAT=MLN","Sort=A","Dates=H","DateFormat=P","Fill=—","Direction=H","UseDPDF=Y")</f>
        <v>5592.884</v>
      </c>
      <c r="K45" s="13">
        <f>_xll.BDH("ALNY US Equity","ARD_ADDITIONAL_PAID_IN_CAPITAL","FQ4 2020","FQ4 2020","Currency=USD","Period=FQ","BEST_FPERIOD_OVERRIDE=FQ","FILING_STATUS=MR","SCALING_FORMAT=MLN","Sort=A","Dates=H","DateFormat=P","Fill=—","Direction=H","UseDPDF=Y")</f>
        <v>5644.0739999999996</v>
      </c>
      <c r="L45" s="13">
        <f>_xll.BDH("ALNY US Equity","ARD_ADDITIONAL_PAID_IN_CAPITAL","FQ1 2021","FQ1 2021","Currency=USD","Period=FQ","BEST_FPERIOD_OVERRIDE=FQ","FILING_STATUS=MR","SCALING_FORMAT=MLN","Sort=A","Dates=H","DateFormat=P","Fill=—","Direction=H","UseDPDF=Y")</f>
        <v>5747.3940000000002</v>
      </c>
      <c r="M45" s="13">
        <f>_xll.BDH("ALNY US Equity","ARD_ADDITIONAL_PAID_IN_CAPITAL","FQ2 2021","FQ2 2021","Currency=USD","Period=FQ","BEST_FPERIOD_OVERRIDE=FQ","FILING_STATUS=MR","SCALING_FORMAT=MLN","Sort=A","Dates=H","DateFormat=P","Fill=—","Direction=H","UseDPDF=Y")</f>
        <v>5863.4759999999997</v>
      </c>
      <c r="N45" s="13">
        <f>_xll.BDH("ALNY US Equity","ARD_ADDITIONAL_PAID_IN_CAPITAL","FQ3 2021","FQ3 2021","Currency=USD","Period=FQ","BEST_FPERIOD_OVERRIDE=FQ","FILING_STATUS=MR","SCALING_FORMAT=MLN","Sort=A","Dates=H","DateFormat=P","Fill=—","Direction=H","UseDPDF=Y")</f>
        <v>5968.6610000000001</v>
      </c>
      <c r="O45" s="13">
        <f>_xll.BDH("ALNY US Equity","ARD_ADDITIONAL_PAID_IN_CAPITAL","FQ4 2021","FQ4 2021","Currency=USD","Period=FQ","BEST_FPERIOD_OVERRIDE=FQ","FILING_STATUS=MR","SCALING_FORMAT=MLN","Sort=A","Dates=H","DateFormat=P","Fill=—","Direction=H","UseDPDF=Y")</f>
        <v>6058.4530000000004</v>
      </c>
      <c r="P45" s="13">
        <f>_xll.BDH("ALNY US Equity","ARD_ADDITIONAL_PAID_IN_CAPITAL","FQ1 2022","FQ1 2022","Currency=USD","Period=FQ","BEST_FPERIOD_OVERRIDE=FQ","FILING_STATUS=MR","SCALING_FORMAT=MLN","Sort=A","Dates=H","DateFormat=P","Fill=—","Direction=H","UseDPDF=Y")</f>
        <v>6116.558</v>
      </c>
      <c r="Q45" s="13">
        <f>_xll.BDH("ALNY US Equity","ARD_ADDITIONAL_PAID_IN_CAPITAL","FQ2 2022","FQ2 2022","Currency=USD","Period=FQ","BEST_FPERIOD_OVERRIDE=FQ","FILING_STATUS=MR","SCALING_FORMAT=MLN","Sort=A","Dates=H","DateFormat=P","Fill=—","Direction=H","UseDPDF=Y")</f>
        <v>6172.99</v>
      </c>
      <c r="R45" s="13">
        <f>_xll.BDH("ALNY US Equity","ARD_ADDITIONAL_PAID_IN_CAPITAL","FQ3 2022","FQ3 2022","Currency=USD","Period=FQ","BEST_FPERIOD_OVERRIDE=FQ","FILING_STATUS=MR","SCALING_FORMAT=MLN","Sort=A","Dates=H","DateFormat=P","Fill=—","Direction=H","UseDPDF=Y")</f>
        <v>6336.7709999999997</v>
      </c>
      <c r="S45" s="13">
        <f>_xll.BDH("ALNY US Equity","ARD_ADDITIONAL_PAID_IN_CAPITAL","FQ4 2022","FQ4 2022","Currency=USD","Period=FQ","BEST_FPERIOD_OVERRIDE=FQ","FILING_STATUS=MR","SCALING_FORMAT=MLN","Sort=A","Dates=H","DateFormat=P","Fill=—","Direction=H","UseDPDF=Y")</f>
        <v>6454.54</v>
      </c>
      <c r="T45" s="13">
        <f>_xll.BDH("ALNY US Equity","ARD_ADDITIONAL_PAID_IN_CAPITAL","FQ1 2023","FQ1 2023","Currency=USD","Period=FQ","BEST_FPERIOD_OVERRIDE=FQ","FILING_STATUS=MR","SCALING_FORMAT=MLN","Sort=A","Dates=H","DateFormat=P","Fill=—","Direction=H","UseDPDF=Y")</f>
        <v>6522.0910000000003</v>
      </c>
      <c r="U45" s="13">
        <f>_xll.BDH("ALNY US Equity","ARD_ADDITIONAL_PAID_IN_CAPITAL","FQ2 2023","FQ2 2023","Currency=USD","Period=FQ","BEST_FPERIOD_OVERRIDE=FQ","FILING_STATUS=MR","SCALING_FORMAT=MLN","Sort=A","Dates=H","DateFormat=P","Fill=—","Direction=H","UseDPDF=Y")</f>
        <v>6647.1729999999998</v>
      </c>
      <c r="V45" s="13">
        <f>_xll.BDH("ALNY US Equity","ARD_ADDITIONAL_PAID_IN_CAPITAL","FQ3 2023","FQ3 2023","Currency=USD","Period=FQ","BEST_FPERIOD_OVERRIDE=FQ","FILING_STATUS=MR","SCALING_FORMAT=MLN","Sort=A","Dates=H","DateFormat=P","Fill=—","Direction=H","UseDPDF=Y")</f>
        <v>6736.9390000000003</v>
      </c>
      <c r="W45" s="13">
        <f>_xll.BDH("ALNY US Equity","ARD_ADDITIONAL_PAID_IN_CAPITAL","FQ4 2023","FQ4 2023","Currency=USD","Period=FQ","BEST_FPERIOD_OVERRIDE=FQ","FILING_STATUS=MR","SCALING_FORMAT=MLN","Sort=A","Dates=H","DateFormat=P","Fill=—","Direction=H","UseDPDF=Y")</f>
        <v>6811.0630000000001</v>
      </c>
      <c r="X45" s="13">
        <f>_xll.BDH("ALNY US Equity","ARD_ADDITIONAL_PAID_IN_CAPITAL","FQ1 2024","FQ1 2024","Currency=USD","Period=FQ","BEST_FPERIOD_OVERRIDE=FQ","FILING_STATUS=MR","SCALING_FORMAT=MLN","Sort=A","Dates=H","DateFormat=P","Fill=—","Direction=H","UseDPDF=Y")</f>
        <v>6881.9769999999999</v>
      </c>
      <c r="Y45" s="13">
        <f>_xll.BDH("ALNY US Equity","ARD_ADDITIONAL_PAID_IN_CAPITAL","FQ2 2024","FQ2 2024","Currency=USD","Period=FQ","BEST_FPERIOD_OVERRIDE=FQ","FILING_STATUS=MR","SCALING_FORMAT=MLN","Sort=A","Dates=H","DateFormat=P","Fill=—","Direction=H","UseDPDF=Y")</f>
        <v>7122.7039999999997</v>
      </c>
      <c r="Z45" s="13">
        <f>_xll.BDH("ALNY US Equity","ARD_ADDITIONAL_PAID_IN_CAPITAL","FQ3 2024","FQ3 2024","Currency=USD","Period=FQ","BEST_FPERIOD_OVERRIDE=FQ","FILING_STATUS=MR","SCALING_FORMAT=MLN","Sort=A","Dates=H","DateFormat=P","Fill=—","Direction=H","UseDPDF=Y")</f>
        <v>7259.8760000000002</v>
      </c>
      <c r="AA45" s="13">
        <f>_xll.BDH("ALNY US Equity","ARD_ADDITIONAL_PAID_IN_CAPITAL","FQ4 2024","FQ4 2024","Currency=USD","Period=FQ","BEST_FPERIOD_OVERRIDE=FQ","FILING_STATUS=MR","SCALING_FORMAT=MLN","Sort=A","Dates=H","DateFormat=P","Fill=—","Direction=H","UseDPDF=Y")</f>
        <v>7388.0609999999997</v>
      </c>
    </row>
    <row r="46" spans="1:27" x14ac:dyDescent="0.25">
      <c r="A46" s="10" t="s">
        <v>893</v>
      </c>
      <c r="B46" s="10" t="s">
        <v>894</v>
      </c>
      <c r="C46" s="13">
        <f>_xll.BDH("ALNY US Equity","ARD_ACC_OTH_COMPREHENSIVE_INC","FQ4 2018","FQ4 2018","Currency=USD","Period=FQ","BEST_FPERIOD_OVERRIDE=FQ","FILING_STATUS=MR","SCALING_FORMAT=MLN","Sort=A","Dates=H","DateFormat=P","Fill=—","Direction=H","UseDPDF=Y")</f>
        <v>-33.213000000000001</v>
      </c>
      <c r="D46" s="13">
        <f>_xll.BDH("ALNY US Equity","ARD_ACC_OTH_COMPREHENSIVE_INC","FQ1 2019","FQ1 2019","Currency=USD","Period=FQ","BEST_FPERIOD_OVERRIDE=FQ","FILING_STATUS=MR","SCALING_FORMAT=MLN","Sort=A","Dates=H","DateFormat=P","Fill=—","Direction=H","UseDPDF=Y")</f>
        <v>-32.853000000000002</v>
      </c>
      <c r="E46" s="13">
        <f>_xll.BDH("ALNY US Equity","ARD_ACC_OTH_COMPREHENSIVE_INC","FQ2 2019","FQ2 2019","Currency=USD","Period=FQ","BEST_FPERIOD_OVERRIDE=FQ","FILING_STATUS=MR","SCALING_FORMAT=MLN","Sort=A","Dates=H","DateFormat=P","Fill=—","Direction=H","UseDPDF=Y")</f>
        <v>-35.831000000000003</v>
      </c>
      <c r="F46" s="13">
        <f>_xll.BDH("ALNY US Equity","ARD_ACC_OTH_COMPREHENSIVE_INC","FQ3 2019","FQ3 2019","Currency=USD","Period=FQ","BEST_FPERIOD_OVERRIDE=FQ","FILING_STATUS=MR","SCALING_FORMAT=MLN","Sort=A","Dates=H","DateFormat=P","Fill=—","Direction=H","UseDPDF=Y")</f>
        <v>-34.371000000000002</v>
      </c>
      <c r="G46" s="13">
        <f>_xll.BDH("ALNY US Equity","ARD_ACC_OTH_COMPREHENSIVE_INC","FQ4 2019","FQ4 2019","Currency=USD","Period=FQ","BEST_FPERIOD_OVERRIDE=FQ","FILING_STATUS=MR","SCALING_FORMAT=MLN","Sort=A","Dates=H","DateFormat=P","Fill=—","Direction=H","UseDPDF=Y")</f>
        <v>-36.518000000000001</v>
      </c>
      <c r="H46" s="13">
        <f>_xll.BDH("ALNY US Equity","ARD_ACC_OTH_COMPREHENSIVE_INC","FQ1 2020","FQ1 2020","Currency=USD","Period=FQ","BEST_FPERIOD_OVERRIDE=FQ","FILING_STATUS=MR","SCALING_FORMAT=MLN","Sort=A","Dates=H","DateFormat=P","Fill=—","Direction=H","UseDPDF=Y")</f>
        <v>-32.058999999999997</v>
      </c>
      <c r="I46" s="13">
        <f>_xll.BDH("ALNY US Equity","ARD_ACC_OTH_COMPREHENSIVE_INC","FQ2 2020","FQ2 2020","Currency=USD","Period=FQ","BEST_FPERIOD_OVERRIDE=FQ","FILING_STATUS=MR","SCALING_FORMAT=MLN","Sort=A","Dates=H","DateFormat=P","Fill=—","Direction=H","UseDPDF=Y")</f>
        <v>-33.212000000000003</v>
      </c>
      <c r="J46" s="13">
        <f>_xll.BDH("ALNY US Equity","ARD_ACC_OTH_COMPREHENSIVE_INC","FQ3 2020","FQ3 2020","Currency=USD","Period=FQ","BEST_FPERIOD_OVERRIDE=FQ","FILING_STATUS=MR","SCALING_FORMAT=MLN","Sort=A","Dates=H","DateFormat=P","Fill=—","Direction=H","UseDPDF=Y")</f>
        <v>-37.192999999999998</v>
      </c>
      <c r="K46" s="13">
        <f>_xll.BDH("ALNY US Equity","ARD_ACC_OTH_COMPREHENSIVE_INC","FQ4 2020","FQ4 2020","Currency=USD","Period=FQ","BEST_FPERIOD_OVERRIDE=FQ","FILING_STATUS=MR","SCALING_FORMAT=MLN","Sort=A","Dates=H","DateFormat=P","Fill=—","Direction=H","UseDPDF=Y")</f>
        <v>-43.622</v>
      </c>
      <c r="L46" s="13">
        <f>_xll.BDH("ALNY US Equity","ARD_ACC_OTH_COMPREHENSIVE_INC","FQ1 2021","FQ1 2021","Currency=USD","Period=FQ","BEST_FPERIOD_OVERRIDE=FQ","FILING_STATUS=MR","SCALING_FORMAT=MLN","Sort=A","Dates=H","DateFormat=P","Fill=—","Direction=H","UseDPDF=Y")</f>
        <v>-36.716999999999999</v>
      </c>
      <c r="M46" s="13">
        <f>_xll.BDH("ALNY US Equity","ARD_ACC_OTH_COMPREHENSIVE_INC","FQ2 2021","FQ2 2021","Currency=USD","Period=FQ","BEST_FPERIOD_OVERRIDE=FQ","FILING_STATUS=MR","SCALING_FORMAT=MLN","Sort=A","Dates=H","DateFormat=P","Fill=—","Direction=H","UseDPDF=Y")</f>
        <v>-36.081000000000003</v>
      </c>
      <c r="N46" s="13">
        <f>_xll.BDH("ALNY US Equity","ARD_ACC_OTH_COMPREHENSIVE_INC","FQ3 2021","FQ3 2021","Currency=USD","Period=FQ","BEST_FPERIOD_OVERRIDE=FQ","FILING_STATUS=MR","SCALING_FORMAT=MLN","Sort=A","Dates=H","DateFormat=P","Fill=—","Direction=H","UseDPDF=Y")</f>
        <v>-34.229999999999997</v>
      </c>
      <c r="O46" s="13">
        <f>_xll.BDH("ALNY US Equity","ARD_ACC_OTH_COMPREHENSIVE_INC","FQ4 2021","FQ4 2021","Currency=USD","Period=FQ","BEST_FPERIOD_OVERRIDE=FQ","FILING_STATUS=MR","SCALING_FORMAT=MLN","Sort=A","Dates=H","DateFormat=P","Fill=—","Direction=H","UseDPDF=Y")</f>
        <v>-33.259</v>
      </c>
      <c r="P46" s="13">
        <f>_xll.BDH("ALNY US Equity","ARD_ACC_OTH_COMPREHENSIVE_INC","FQ1 2022","FQ1 2022","Currency=USD","Period=FQ","BEST_FPERIOD_OVERRIDE=FQ","FILING_STATUS=MR","SCALING_FORMAT=MLN","Sort=A","Dates=H","DateFormat=P","Fill=—","Direction=H","UseDPDF=Y")</f>
        <v>-38.064999999999998</v>
      </c>
      <c r="Q46" s="13">
        <f>_xll.BDH("ALNY US Equity","ARD_ACC_OTH_COMPREHENSIVE_INC","FQ2 2022","FQ2 2022","Currency=USD","Period=FQ","BEST_FPERIOD_OVERRIDE=FQ","FILING_STATUS=MR","SCALING_FORMAT=MLN","Sort=A","Dates=H","DateFormat=P","Fill=—","Direction=H","UseDPDF=Y")</f>
        <v>-42.223999999999997</v>
      </c>
      <c r="R46" s="13">
        <f>_xll.BDH("ALNY US Equity","ARD_ACC_OTH_COMPREHENSIVE_INC","FQ3 2022","FQ3 2022","Currency=USD","Period=FQ","BEST_FPERIOD_OVERRIDE=FQ","FILING_STATUS=MR","SCALING_FORMAT=MLN","Sort=A","Dates=H","DateFormat=P","Fill=—","Direction=H","UseDPDF=Y")</f>
        <v>-43.783000000000001</v>
      </c>
      <c r="S46" s="13">
        <f>_xll.BDH("ALNY US Equity","ARD_ACC_OTH_COMPREHENSIVE_INC","FQ4 2022","FQ4 2022","Currency=USD","Period=FQ","BEST_FPERIOD_OVERRIDE=FQ","FILING_STATUS=MR","SCALING_FORMAT=MLN","Sort=A","Dates=H","DateFormat=P","Fill=—","Direction=H","UseDPDF=Y")</f>
        <v>-44.654000000000003</v>
      </c>
      <c r="T46" s="13">
        <f>_xll.BDH("ALNY US Equity","ARD_ACC_OTH_COMPREHENSIVE_INC","FQ1 2023","FQ1 2023","Currency=USD","Period=FQ","BEST_FPERIOD_OVERRIDE=FQ","FILING_STATUS=MR","SCALING_FORMAT=MLN","Sort=A","Dates=H","DateFormat=P","Fill=—","Direction=H","UseDPDF=Y")</f>
        <v>-39.124000000000002</v>
      </c>
      <c r="U46" s="13">
        <f>_xll.BDH("ALNY US Equity","ARD_ACC_OTH_COMPREHENSIVE_INC","FQ2 2023","FQ2 2023","Currency=USD","Period=FQ","BEST_FPERIOD_OVERRIDE=FQ","FILING_STATUS=MR","SCALING_FORMAT=MLN","Sort=A","Dates=H","DateFormat=P","Fill=—","Direction=H","UseDPDF=Y")</f>
        <v>-37.08</v>
      </c>
      <c r="V46" s="13">
        <f>_xll.BDH("ALNY US Equity","ARD_ACC_OTH_COMPREHENSIVE_INC","FQ3 2023","FQ3 2023","Currency=USD","Period=FQ","BEST_FPERIOD_OVERRIDE=FQ","FILING_STATUS=MR","SCALING_FORMAT=MLN","Sort=A","Dates=H","DateFormat=P","Fill=—","Direction=H","UseDPDF=Y")</f>
        <v>-32.338999999999999</v>
      </c>
      <c r="W46" s="13">
        <f>_xll.BDH("ALNY US Equity","ARD_ACC_OTH_COMPREHENSIVE_INC","FQ4 2023","FQ4 2023","Currency=USD","Period=FQ","BEST_FPERIOD_OVERRIDE=FQ","FILING_STATUS=MR","SCALING_FORMAT=MLN","Sort=A","Dates=H","DateFormat=P","Fill=—","Direction=H","UseDPDF=Y")</f>
        <v>-23.375</v>
      </c>
      <c r="X46" s="13">
        <f>_xll.BDH("ALNY US Equity","ARD_ACC_OTH_COMPREHENSIVE_INC","FQ1 2024","FQ1 2024","Currency=USD","Period=FQ","BEST_FPERIOD_OVERRIDE=FQ","FILING_STATUS=MR","SCALING_FORMAT=MLN","Sort=A","Dates=H","DateFormat=P","Fill=—","Direction=H","UseDPDF=Y")</f>
        <v>-26.988</v>
      </c>
      <c r="Y46" s="13">
        <f>_xll.BDH("ALNY US Equity","ARD_ACC_OTH_COMPREHENSIVE_INC","FQ2 2024","FQ2 2024","Currency=USD","Period=FQ","BEST_FPERIOD_OVERRIDE=FQ","FILING_STATUS=MR","SCALING_FORMAT=MLN","Sort=A","Dates=H","DateFormat=P","Fill=—","Direction=H","UseDPDF=Y")</f>
        <v>-34.637</v>
      </c>
      <c r="Z46" s="13">
        <f>_xll.BDH("ALNY US Equity","ARD_ACC_OTH_COMPREHENSIVE_INC","FQ3 2024","FQ3 2024","Currency=USD","Period=FQ","BEST_FPERIOD_OVERRIDE=FQ","FILING_STATUS=MR","SCALING_FORMAT=MLN","Sort=A","Dates=H","DateFormat=P","Fill=—","Direction=H","UseDPDF=Y")</f>
        <v>-24.826000000000001</v>
      </c>
      <c r="AA46" s="13">
        <f>_xll.BDH("ALNY US Equity","ARD_ACC_OTH_COMPREHENSIVE_INC","FQ4 2024","FQ4 2024","Currency=USD","Period=FQ","BEST_FPERIOD_OVERRIDE=FQ","FILING_STATUS=MR","SCALING_FORMAT=MLN","Sort=A","Dates=H","DateFormat=P","Fill=—","Direction=H","UseDPDF=Y")</f>
        <v>-34.518000000000001</v>
      </c>
    </row>
    <row r="47" spans="1:27" x14ac:dyDescent="0.25">
      <c r="A47" s="10" t="s">
        <v>895</v>
      </c>
      <c r="B47" s="10" t="s">
        <v>896</v>
      </c>
      <c r="C47" s="13">
        <f>_xll.BDH("ALNY US Equity","ARD_RETAINED_EARN_ACC_DEFICIT","FQ4 2018","FQ4 2018","Currency=USD","Period=FQ","BEST_FPERIOD_OVERRIDE=FQ","FILING_STATUS=MR","SCALING_FORMAT=MLN","Sort=A","Dates=H","DateFormat=P","Fill=—","Direction=H","UseDPDF=Y")</f>
        <v>-2840.9720000000002</v>
      </c>
      <c r="D47" s="13">
        <f>_xll.BDH("ALNY US Equity","ARD_RETAINED_EARN_ACC_DEFICIT","FQ1 2019","FQ1 2019","Currency=USD","Period=FQ","BEST_FPERIOD_OVERRIDE=FQ","FILING_STATUS=MR","SCALING_FORMAT=MLN","Sort=A","Dates=H","DateFormat=P","Fill=—","Direction=H","UseDPDF=Y")</f>
        <v>-3022.8870000000002</v>
      </c>
      <c r="E47" s="13">
        <f>_xll.BDH("ALNY US Equity","ARD_RETAINED_EARN_ACC_DEFICIT","FQ2 2019","FQ2 2019","Currency=USD","Period=FQ","BEST_FPERIOD_OVERRIDE=FQ","FILING_STATUS=MR","SCALING_FORMAT=MLN","Sort=A","Dates=H","DateFormat=P","Fill=—","Direction=H","UseDPDF=Y")</f>
        <v>-3242.3679999999999</v>
      </c>
      <c r="F47" s="13">
        <f>_xll.BDH("ALNY US Equity","ARD_RETAINED_EARN_ACC_DEFICIT","FQ3 2019","FQ3 2019","Currency=USD","Period=FQ","BEST_FPERIOD_OVERRIDE=FQ","FILING_STATUS=MR","SCALING_FORMAT=MLN","Sort=A","Dates=H","DateFormat=P","Fill=—","Direction=H","UseDPDF=Y")</f>
        <v>-3450.9029999999998</v>
      </c>
      <c r="G47" s="13">
        <f>_xll.BDH("ALNY US Equity","ARD_RETAINED_EARN_ACC_DEFICIT","FQ4 2019","FQ4 2019","Currency=USD","Period=FQ","BEST_FPERIOD_OVERRIDE=FQ","FILING_STATUS=MR","SCALING_FORMAT=MLN","Sort=A","Dates=H","DateFormat=P","Fill=—","Direction=H","UseDPDF=Y")</f>
        <v>-3727.0880000000002</v>
      </c>
      <c r="H47" s="13">
        <f>_xll.BDH("ALNY US Equity","ARD_RETAINED_EARN_ACC_DEFICIT","FQ1 2020","FQ1 2020","Currency=USD","Period=FQ","BEST_FPERIOD_OVERRIDE=FQ","FILING_STATUS=MR","SCALING_FORMAT=MLN","Sort=A","Dates=H","DateFormat=P","Fill=—","Direction=H","UseDPDF=Y")</f>
        <v>-3909.3090000000002</v>
      </c>
      <c r="I47" s="13">
        <f>_xll.BDH("ALNY US Equity","ARD_RETAINED_EARN_ACC_DEFICIT","FQ2 2020","FQ2 2020","Currency=USD","Period=FQ","BEST_FPERIOD_OVERRIDE=FQ","FILING_STATUS=MR","SCALING_FORMAT=MLN","Sort=A","Dates=H","DateFormat=P","Fill=—","Direction=H","UseDPDF=Y")</f>
        <v>-4088.538</v>
      </c>
      <c r="J47" s="13">
        <f>_xll.BDH("ALNY US Equity","ARD_RETAINED_EARN_ACC_DEFICIT","FQ3 2020","FQ3 2020","Currency=USD","Period=FQ","BEST_FPERIOD_OVERRIDE=FQ","FILING_STATUS=MR","SCALING_FORMAT=MLN","Sort=A","Dates=H","DateFormat=P","Fill=—","Direction=H","UseDPDF=Y")</f>
        <v>-4341.8289999999997</v>
      </c>
      <c r="K47" s="13">
        <f>_xll.BDH("ALNY US Equity","ARD_RETAINED_EARN_ACC_DEFICIT","FQ4 2020","FQ4 2020","Currency=USD","Period=FQ","BEST_FPERIOD_OVERRIDE=FQ","FILING_STATUS=MR","SCALING_FORMAT=MLN","Sort=A","Dates=H","DateFormat=P","Fill=—","Direction=H","UseDPDF=Y")</f>
        <v>-4585.3689999999997</v>
      </c>
      <c r="L47" s="13">
        <f>_xll.BDH("ALNY US Equity","ARD_RETAINED_EARN_ACC_DEFICIT","FQ1 2021","FQ1 2021","Currency=USD","Period=FQ","BEST_FPERIOD_OVERRIDE=FQ","FILING_STATUS=MR","SCALING_FORMAT=MLN","Sort=A","Dates=H","DateFormat=P","Fill=—","Direction=H","UseDPDF=Y")</f>
        <v>-4785.66</v>
      </c>
      <c r="M47" s="13">
        <f>_xll.BDH("ALNY US Equity","ARD_RETAINED_EARN_ACC_DEFICIT","FQ2 2021","FQ2 2021","Currency=USD","Period=FQ","BEST_FPERIOD_OVERRIDE=FQ","FILING_STATUS=MR","SCALING_FORMAT=MLN","Sort=A","Dates=H","DateFormat=P","Fill=—","Direction=H","UseDPDF=Y")</f>
        <v>-4975.2190000000001</v>
      </c>
      <c r="N47" s="13">
        <f>_xll.BDH("ALNY US Equity","ARD_RETAINED_EARN_ACC_DEFICIT","FQ3 2021","FQ3 2021","Currency=USD","Period=FQ","BEST_FPERIOD_OVERRIDE=FQ","FILING_STATUS=MR","SCALING_FORMAT=MLN","Sort=A","Dates=H","DateFormat=P","Fill=—","Direction=H","UseDPDF=Y")</f>
        <v>-5179.7330000000002</v>
      </c>
      <c r="O47" s="13">
        <f>_xll.BDH("ALNY US Equity","ARD_RETAINED_EARN_ACC_DEFICIT","FQ4 2021","FQ4 2021","Currency=USD","Period=FQ","BEST_FPERIOD_OVERRIDE=FQ","FILING_STATUS=MR","SCALING_FORMAT=MLN","Sort=A","Dates=H","DateFormat=P","Fill=—","Direction=H","UseDPDF=Y")</f>
        <v>-5438.1930000000002</v>
      </c>
      <c r="P47" s="13">
        <f>_xll.BDH("ALNY US Equity","ARD_RETAINED_EARN_ACC_DEFICIT","FQ1 2022","FQ1 2022","Currency=USD","Period=FQ","BEST_FPERIOD_OVERRIDE=FQ","FILING_STATUS=MR","SCALING_FORMAT=MLN","Sort=A","Dates=H","DateFormat=P","Fill=—","Direction=H","UseDPDF=Y")</f>
        <v>-5678.5339999999997</v>
      </c>
      <c r="Q47" s="13">
        <f>_xll.BDH("ALNY US Equity","ARD_RETAINED_EARN_ACC_DEFICIT","FQ2 2022","FQ2 2022","Currency=USD","Period=FQ","BEST_FPERIOD_OVERRIDE=FQ","FILING_STATUS=MR","SCALING_FORMAT=MLN","Sort=A","Dates=H","DateFormat=P","Fill=—","Direction=H","UseDPDF=Y")</f>
        <v>-5955.9359999999997</v>
      </c>
      <c r="R47" s="13">
        <f>_xll.BDH("ALNY US Equity","ARD_RETAINED_EARN_ACC_DEFICIT","FQ3 2022","FQ3 2022","Currency=USD","Period=FQ","BEST_FPERIOD_OVERRIDE=FQ","FILING_STATUS=MR","SCALING_FORMAT=MLN","Sort=A","Dates=H","DateFormat=P","Fill=—","Direction=H","UseDPDF=Y")</f>
        <v>-6361.8559999999998</v>
      </c>
      <c r="S47" s="13">
        <f>_xll.BDH("ALNY US Equity","ARD_RETAINED_EARN_ACC_DEFICIT","FQ4 2022","FQ4 2022","Currency=USD","Period=FQ","BEST_FPERIOD_OVERRIDE=FQ","FILING_STATUS=MR","SCALING_FORMAT=MLN","Sort=A","Dates=H","DateFormat=P","Fill=—","Direction=H","UseDPDF=Y")</f>
        <v>-6569.3490000000002</v>
      </c>
      <c r="T47" s="13">
        <f>_xll.BDH("ALNY US Equity","ARD_RETAINED_EARN_ACC_DEFICIT","FQ1 2023","FQ1 2023","Currency=USD","Period=FQ","BEST_FPERIOD_OVERRIDE=FQ","FILING_STATUS=MR","SCALING_FORMAT=MLN","Sort=A","Dates=H","DateFormat=P","Fill=—","Direction=H","UseDPDF=Y")</f>
        <v>-6743.45</v>
      </c>
      <c r="U47" s="13">
        <f>_xll.BDH("ALNY US Equity","ARD_RETAINED_EARN_ACC_DEFICIT","FQ2 2023","FQ2 2023","Currency=USD","Period=FQ","BEST_FPERIOD_OVERRIDE=FQ","FILING_STATUS=MR","SCALING_FORMAT=MLN","Sort=A","Dates=H","DateFormat=P","Fill=—","Direction=H","UseDPDF=Y")</f>
        <v>-7019.4740000000002</v>
      </c>
      <c r="V47" s="13">
        <f>_xll.BDH("ALNY US Equity","ARD_RETAINED_EARN_ACC_DEFICIT","FQ3 2023","FQ3 2023","Currency=USD","Period=FQ","BEST_FPERIOD_OVERRIDE=FQ","FILING_STATUS=MR","SCALING_FORMAT=MLN","Sort=A","Dates=H","DateFormat=P","Fill=—","Direction=H","UseDPDF=Y")</f>
        <v>-6871.7209999999995</v>
      </c>
      <c r="W47" s="13">
        <f>_xll.BDH("ALNY US Equity","ARD_RETAINED_EARN_ACC_DEFICIT","FQ4 2023","FQ4 2023","Currency=USD","Period=FQ","BEST_FPERIOD_OVERRIDE=FQ","FILING_STATUS=MR","SCALING_FORMAT=MLN","Sort=A","Dates=H","DateFormat=P","Fill=—","Direction=H","UseDPDF=Y")</f>
        <v>-7009.5910000000003</v>
      </c>
      <c r="X47" s="13">
        <f>_xll.BDH("ALNY US Equity","ARD_RETAINED_EARN_ACC_DEFICIT","FQ1 2024","FQ1 2024","Currency=USD","Period=FQ","BEST_FPERIOD_OVERRIDE=FQ","FILING_STATUS=MR","SCALING_FORMAT=MLN","Sort=A","Dates=H","DateFormat=P","Fill=—","Direction=H","UseDPDF=Y")</f>
        <v>-7075.5259999999998</v>
      </c>
      <c r="Y47" s="13">
        <f>_xll.BDH("ALNY US Equity","ARD_RETAINED_EARN_ACC_DEFICIT","FQ2 2024","FQ2 2024","Currency=USD","Period=FQ","BEST_FPERIOD_OVERRIDE=FQ","FILING_STATUS=MR","SCALING_FORMAT=MLN","Sort=A","Dates=H","DateFormat=P","Fill=—","Direction=H","UseDPDF=Y")</f>
        <v>-7092.415</v>
      </c>
      <c r="Z47" s="13">
        <f>_xll.BDH("ALNY US Equity","ARD_RETAINED_EARN_ACC_DEFICIT","FQ3 2024","FQ3 2024","Currency=USD","Period=FQ","BEST_FPERIOD_OVERRIDE=FQ","FILING_STATUS=MR","SCALING_FORMAT=MLN","Sort=A","Dates=H","DateFormat=P","Fill=—","Direction=H","UseDPDF=Y")</f>
        <v>-7203.9849999999997</v>
      </c>
      <c r="AA47" s="13">
        <f>_xll.BDH("ALNY US Equity","ARD_RETAINED_EARN_ACC_DEFICIT","FQ4 2024","FQ4 2024","Currency=USD","Period=FQ","BEST_FPERIOD_OVERRIDE=FQ","FILING_STATUS=MR","SCALING_FORMAT=MLN","Sort=A","Dates=H","DateFormat=P","Fill=—","Direction=H","UseDPDF=Y")</f>
        <v>-7287.7479999999996</v>
      </c>
    </row>
    <row r="48" spans="1:27" x14ac:dyDescent="0.25">
      <c r="A48" s="10" t="s">
        <v>800</v>
      </c>
      <c r="B48" s="10" t="s">
        <v>897</v>
      </c>
      <c r="C48" s="13">
        <f>_xll.BDH("ALNY US Equity","ARD_SHARES_OUTSTANDING","FQ4 2018","FQ4 2018","Currency=USD","Period=FQ","BEST_FPERIOD_OVERRIDE=FQ","FILING_STATUS=MR","Sort=A","Dates=H","DateFormat=P","Fill=—","Direction=H","UseDPDF=Y")</f>
        <v>101.17700000000001</v>
      </c>
      <c r="D48" s="13">
        <f>_xll.BDH("ALNY US Equity","ARD_SHARES_OUTSTANDING","FQ1 2019","FQ1 2019","Currency=USD","Period=FQ","BEST_FPERIOD_OVERRIDE=FQ","FILING_STATUS=MR","Sort=A","Dates=H","DateFormat=P","Fill=—","Direction=H","UseDPDF=Y")</f>
        <v>106.4</v>
      </c>
      <c r="E48" s="13">
        <f>_xll.BDH("ALNY US Equity","ARD_SHARES_OUTSTANDING","FQ2 2019","FQ2 2019","Currency=USD","Period=FQ","BEST_FPERIOD_OVERRIDE=FQ","FILING_STATUS=MR","Sort=A","Dates=H","DateFormat=P","Fill=—","Direction=H","UseDPDF=Y")</f>
        <v>111.114</v>
      </c>
      <c r="F48" s="13">
        <f>_xll.BDH("ALNY US Equity","ARD_SHARES_OUTSTANDING","FQ3 2019","FQ3 2019","Currency=USD","Period=FQ","BEST_FPERIOD_OVERRIDE=FQ","FILING_STATUS=MR","Sort=A","Dates=H","DateFormat=P","Fill=—","Direction=H","UseDPDF=Y")</f>
        <v>111.325</v>
      </c>
      <c r="G48" s="13">
        <f>_xll.BDH("ALNY US Equity","ARD_SHARES_OUTSTANDING","FQ4 2019","FQ4 2019","Currency=USD","Period=FQ","BEST_FPERIOD_OVERRIDE=FQ","FILING_STATUS=MR","Sort=A","Dates=H","DateFormat=P","Fill=—","Direction=H","UseDPDF=Y")</f>
        <v>112.188</v>
      </c>
      <c r="H48" s="13">
        <f>_xll.BDH("ALNY US Equity","ARD_SHARES_OUTSTANDING","FQ1 2020","FQ1 2020","Currency=USD","Period=FQ","BEST_FPERIOD_OVERRIDE=FQ","FILING_STATUS=MR","Sort=A","Dates=H","DateFormat=P","Fill=—","Direction=H","UseDPDF=Y")</f>
        <v>113.16800000000001</v>
      </c>
      <c r="I48" s="13">
        <f>_xll.BDH("ALNY US Equity","ARD_SHARES_OUTSTANDING","FQ2 2020","FQ2 2020","Currency=USD","Period=FQ","BEST_FPERIOD_OVERRIDE=FQ","FILING_STATUS=MR","Sort=A","Dates=H","DateFormat=P","Fill=—","Direction=H","UseDPDF=Y")</f>
        <v>115.64700000000001</v>
      </c>
      <c r="J48" s="13">
        <f>_xll.BDH("ALNY US Equity","ARD_SHARES_OUTSTANDING","FQ3 2020","FQ3 2020","Currency=USD","Period=FQ","BEST_FPERIOD_OVERRIDE=FQ","FILING_STATUS=MR","Sort=A","Dates=H","DateFormat=P","Fill=—","Direction=H","UseDPDF=Y")</f>
        <v>116.143</v>
      </c>
      <c r="K48" s="13">
        <f>_xll.BDH("ALNY US Equity","ARD_SHARES_OUTSTANDING","FQ4 2020","FQ4 2020","Currency=USD","Period=FQ","BEST_FPERIOD_OVERRIDE=FQ","FILING_STATUS=MR","Sort=A","Dates=H","DateFormat=P","Fill=—","Direction=H","UseDPDF=Y")</f>
        <v>116.42700000000001</v>
      </c>
      <c r="L48" s="13">
        <f>_xll.BDH("ALNY US Equity","ARD_SHARES_OUTSTANDING","FQ1 2021","FQ1 2021","Currency=USD","Period=FQ","BEST_FPERIOD_OVERRIDE=FQ","FILING_STATUS=MR","Sort=A","Dates=H","DateFormat=P","Fill=—","Direction=H","UseDPDF=Y")</f>
        <v>117.321</v>
      </c>
      <c r="M48" s="13">
        <f>_xll.BDH("ALNY US Equity","ARD_SHARES_OUTSTANDING","FQ2 2021","FQ2 2021","Currency=USD","Period=FQ","BEST_FPERIOD_OVERRIDE=FQ","FILING_STATUS=MR","Sort=A","Dates=H","DateFormat=P","Fill=—","Direction=H","UseDPDF=Y")</f>
        <v>118.596</v>
      </c>
      <c r="N48" s="13">
        <f>_xll.BDH("ALNY US Equity","ARD_SHARES_OUTSTANDING","FQ3 2021","FQ3 2021","Currency=USD","Period=FQ","BEST_FPERIOD_OVERRIDE=FQ","FILING_STATUS=MR","Sort=A","Dates=H","DateFormat=P","Fill=—","Direction=H","UseDPDF=Y")</f>
        <v>119.48</v>
      </c>
      <c r="O48" s="13">
        <f>_xll.BDH("ALNY US Equity","ARD_SHARES_OUTSTANDING","FQ4 2021","FQ4 2021","Currency=USD","Period=FQ","BEST_FPERIOD_OVERRIDE=FQ","FILING_STATUS=MR","Sort=A","Dates=H","DateFormat=P","Fill=—","Direction=H","UseDPDF=Y")</f>
        <v>120.182</v>
      </c>
      <c r="P48" s="13">
        <f>_xll.BDH("ALNY US Equity","ARD_SHARES_OUTSTANDING","FQ1 2022","FQ1 2022","Currency=USD","Period=FQ","BEST_FPERIOD_OVERRIDE=FQ","FILING_STATUS=MR","Sort=A","Dates=H","DateFormat=P","Fill=—","Direction=H","UseDPDF=Y")</f>
        <v>120.729</v>
      </c>
      <c r="Q48" s="13">
        <f>_xll.BDH("ALNY US Equity","ARD_SHARES_OUTSTANDING","FQ2 2022","FQ2 2022","Currency=USD","Period=FQ","BEST_FPERIOD_OVERRIDE=FQ","FILING_STATUS=MR","Sort=A","Dates=H","DateFormat=P","Fill=—","Direction=H","UseDPDF=Y")</f>
        <v>120.992</v>
      </c>
      <c r="R48" s="13">
        <f>_xll.BDH("ALNY US Equity","ARD_SHARES_OUTSTANDING","FQ3 2022","FQ3 2022","Currency=USD","Period=FQ","BEST_FPERIOD_OVERRIDE=FQ","FILING_STATUS=MR","Sort=A","Dates=H","DateFormat=P","Fill=—","Direction=H","UseDPDF=Y")</f>
        <v>122.991</v>
      </c>
      <c r="S48" s="13">
        <f>_xll.BDH("ALNY US Equity","ARD_SHARES_OUTSTANDING","FQ4 2022","FQ4 2022","Currency=USD","Period=FQ","BEST_FPERIOD_OVERRIDE=FQ","FILING_STATUS=MR","Sort=A","Dates=H","DateFormat=P","Fill=—","Direction=H","UseDPDF=Y")</f>
        <v>123.925</v>
      </c>
      <c r="T48" s="13">
        <f>_xll.BDH("ALNY US Equity","ARD_SHARES_OUTSTANDING","FQ1 2023","FQ1 2023","Currency=USD","Period=FQ","BEST_FPERIOD_OVERRIDE=FQ","FILING_STATUS=MR","Sort=A","Dates=H","DateFormat=P","Fill=—","Direction=H","UseDPDF=Y")</f>
        <v>124.241</v>
      </c>
      <c r="U48" s="13">
        <f>_xll.BDH("ALNY US Equity","ARD_SHARES_OUTSTANDING","FQ2 2023","FQ2 2023","Currency=USD","Period=FQ","BEST_FPERIOD_OVERRIDE=FQ","FILING_STATUS=MR","Sort=A","Dates=H","DateFormat=P","Fill=—","Direction=H","UseDPDF=Y")</f>
        <v>124.241</v>
      </c>
      <c r="V48" s="13">
        <f>_xll.BDH("ALNY US Equity","ARD_SHARES_OUTSTANDING","FQ3 2023","FQ3 2023","Currency=USD","Period=FQ","BEST_FPERIOD_OVERRIDE=FQ","FILING_STATUS=MR","Sort=A","Dates=H","DateFormat=P","Fill=—","Direction=H","UseDPDF=Y")</f>
        <v>125.45399999999999</v>
      </c>
      <c r="W48" s="13">
        <f>_xll.BDH("ALNY US Equity","ARD_SHARES_OUTSTANDING","FQ4 2023","FQ4 2023","Currency=USD","Period=FQ","BEST_FPERIOD_OVERRIDE=FQ","FILING_STATUS=MR","Sort=A","Dates=H","DateFormat=P","Fill=—","Direction=H","UseDPDF=Y")</f>
        <v>125.794</v>
      </c>
      <c r="X48" s="13">
        <f>_xll.BDH("ALNY US Equity","ARD_SHARES_OUTSTANDING","FQ1 2024","FQ1 2024","Currency=USD","Period=FQ","BEST_FPERIOD_OVERRIDE=FQ","FILING_STATUS=MR","Sort=A","Dates=H","DateFormat=P","Fill=—","Direction=H","UseDPDF=Y")</f>
        <v>126.46299999999999</v>
      </c>
      <c r="Y48" s="13">
        <f>_xll.BDH("ALNY US Equity","ARD_SHARES_OUTSTANDING","FQ2 2024","FQ2 2024","Currency=USD","Period=FQ","BEST_FPERIOD_OVERRIDE=FQ","FILING_STATUS=MR","Sort=A","Dates=H","DateFormat=P","Fill=—","Direction=H","UseDPDF=Y")</f>
        <v>128.02099999999999</v>
      </c>
      <c r="Z48" s="13">
        <f>_xll.BDH("ALNY US Equity","ARD_SHARES_OUTSTANDING","FQ3 2024","FQ3 2024","Currency=USD","Period=FQ","BEST_FPERIOD_OVERRIDE=FQ","FILING_STATUS=MR","Sort=A","Dates=H","DateFormat=P","Fill=—","Direction=H","UseDPDF=Y")</f>
        <v>128.84100000000001</v>
      </c>
      <c r="AA48" s="13">
        <f>_xll.BDH("ALNY US Equity","ARD_SHARES_OUTSTANDING","FQ4 2024","FQ4 2024","Currency=USD","Period=FQ","BEST_FPERIOD_OVERRIDE=FQ","FILING_STATUS=MR","Sort=A","Dates=H","DateFormat=P","Fill=—","Direction=H","UseDPDF=Y")</f>
        <v>129.29400000000001</v>
      </c>
    </row>
    <row r="49" spans="1:27" x14ac:dyDescent="0.25">
      <c r="A49" s="10" t="s">
        <v>898</v>
      </c>
      <c r="B49" s="10" t="s">
        <v>899</v>
      </c>
      <c r="C49" s="14">
        <f>_xll.BDH("ALNY US Equity","ARD_PAR_VALUE","FQ4 2018","FQ4 2018","Currency=USD","Period=FQ","BEST_FPERIOD_OVERRIDE=FQ","FILING_STATUS=MR","Sort=A","Dates=H","DateFormat=P","Fill=—","Direction=H","UseDPDF=Y")</f>
        <v>0.01</v>
      </c>
      <c r="D49" s="14">
        <f>_xll.BDH("ALNY US Equity","ARD_PAR_VALUE","FQ1 2019","FQ1 2019","Currency=USD","Period=FQ","BEST_FPERIOD_OVERRIDE=FQ","FILING_STATUS=MR","Sort=A","Dates=H","DateFormat=P","Fill=—","Direction=H","UseDPDF=Y")</f>
        <v>0.01</v>
      </c>
      <c r="E49" s="14">
        <f>_xll.BDH("ALNY US Equity","ARD_PAR_VALUE","FQ2 2019","FQ2 2019","Currency=USD","Period=FQ","BEST_FPERIOD_OVERRIDE=FQ","FILING_STATUS=MR","Sort=A","Dates=H","DateFormat=P","Fill=—","Direction=H","UseDPDF=Y")</f>
        <v>0.01</v>
      </c>
      <c r="F49" s="14">
        <f>_xll.BDH("ALNY US Equity","ARD_PAR_VALUE","FQ3 2019","FQ3 2019","Currency=USD","Period=FQ","BEST_FPERIOD_OVERRIDE=FQ","FILING_STATUS=MR","Sort=A","Dates=H","DateFormat=P","Fill=—","Direction=H","UseDPDF=Y")</f>
        <v>0.01</v>
      </c>
      <c r="G49" s="14">
        <f>_xll.BDH("ALNY US Equity","ARD_PAR_VALUE","FQ4 2019","FQ4 2019","Currency=USD","Period=FQ","BEST_FPERIOD_OVERRIDE=FQ","FILING_STATUS=MR","Sort=A","Dates=H","DateFormat=P","Fill=—","Direction=H","UseDPDF=Y")</f>
        <v>0.01</v>
      </c>
      <c r="H49" s="14">
        <f>_xll.BDH("ALNY US Equity","ARD_PAR_VALUE","FQ1 2020","FQ1 2020","Currency=USD","Period=FQ","BEST_FPERIOD_OVERRIDE=FQ","FILING_STATUS=MR","Sort=A","Dates=H","DateFormat=P","Fill=—","Direction=H","UseDPDF=Y")</f>
        <v>0.01</v>
      </c>
      <c r="I49" s="14">
        <f>_xll.BDH("ALNY US Equity","ARD_PAR_VALUE","FQ2 2020","FQ2 2020","Currency=USD","Period=FQ","BEST_FPERIOD_OVERRIDE=FQ","FILING_STATUS=MR","Sort=A","Dates=H","DateFormat=P","Fill=—","Direction=H","UseDPDF=Y")</f>
        <v>0.01</v>
      </c>
      <c r="J49" s="14">
        <f>_xll.BDH("ALNY US Equity","ARD_PAR_VALUE","FQ3 2020","FQ3 2020","Currency=USD","Period=FQ","BEST_FPERIOD_OVERRIDE=FQ","FILING_STATUS=MR","Sort=A","Dates=H","DateFormat=P","Fill=—","Direction=H","UseDPDF=Y")</f>
        <v>0.01</v>
      </c>
      <c r="K49" s="14">
        <f>_xll.BDH("ALNY US Equity","ARD_PAR_VALUE","FQ4 2020","FQ4 2020","Currency=USD","Period=FQ","BEST_FPERIOD_OVERRIDE=FQ","FILING_STATUS=MR","Sort=A","Dates=H","DateFormat=P","Fill=—","Direction=H","UseDPDF=Y")</f>
        <v>0.01</v>
      </c>
      <c r="L49" s="14">
        <f>_xll.BDH("ALNY US Equity","ARD_PAR_VALUE","FQ1 2021","FQ1 2021","Currency=USD","Period=FQ","BEST_FPERIOD_OVERRIDE=FQ","FILING_STATUS=MR","Sort=A","Dates=H","DateFormat=P","Fill=—","Direction=H","UseDPDF=Y")</f>
        <v>0.01</v>
      </c>
      <c r="M49" s="14">
        <f>_xll.BDH("ALNY US Equity","ARD_PAR_VALUE","FQ2 2021","FQ2 2021","Currency=USD","Period=FQ","BEST_FPERIOD_OVERRIDE=FQ","FILING_STATUS=MR","Sort=A","Dates=H","DateFormat=P","Fill=—","Direction=H","UseDPDF=Y")</f>
        <v>0.01</v>
      </c>
      <c r="N49" s="14">
        <f>_xll.BDH("ALNY US Equity","ARD_PAR_VALUE","FQ3 2021","FQ3 2021","Currency=USD","Period=FQ","BEST_FPERIOD_OVERRIDE=FQ","FILING_STATUS=MR","Sort=A","Dates=H","DateFormat=P","Fill=—","Direction=H","UseDPDF=Y")</f>
        <v>0.01</v>
      </c>
      <c r="O49" s="14">
        <f>_xll.BDH("ALNY US Equity","ARD_PAR_VALUE","FQ4 2021","FQ4 2021","Currency=USD","Period=FQ","BEST_FPERIOD_OVERRIDE=FQ","FILING_STATUS=MR","Sort=A","Dates=H","DateFormat=P","Fill=—","Direction=H","UseDPDF=Y")</f>
        <v>0.01</v>
      </c>
      <c r="P49" s="14">
        <f>_xll.BDH("ALNY US Equity","ARD_PAR_VALUE","FQ1 2022","FQ1 2022","Currency=USD","Period=FQ","BEST_FPERIOD_OVERRIDE=FQ","FILING_STATUS=MR","Sort=A","Dates=H","DateFormat=P","Fill=—","Direction=H","UseDPDF=Y")</f>
        <v>0.01</v>
      </c>
      <c r="Q49" s="14">
        <f>_xll.BDH("ALNY US Equity","ARD_PAR_VALUE","FQ2 2022","FQ2 2022","Currency=USD","Period=FQ","BEST_FPERIOD_OVERRIDE=FQ","FILING_STATUS=MR","Sort=A","Dates=H","DateFormat=P","Fill=—","Direction=H","UseDPDF=Y")</f>
        <v>0.01</v>
      </c>
      <c r="R49" s="14">
        <f>_xll.BDH("ALNY US Equity","ARD_PAR_VALUE","FQ3 2022","FQ3 2022","Currency=USD","Period=FQ","BEST_FPERIOD_OVERRIDE=FQ","FILING_STATUS=MR","Sort=A","Dates=H","DateFormat=P","Fill=—","Direction=H","UseDPDF=Y")</f>
        <v>0.01</v>
      </c>
      <c r="S49" s="14">
        <f>_xll.BDH("ALNY US Equity","ARD_PAR_VALUE","FQ4 2022","FQ4 2022","Currency=USD","Period=FQ","BEST_FPERIOD_OVERRIDE=FQ","FILING_STATUS=MR","Sort=A","Dates=H","DateFormat=P","Fill=—","Direction=H","UseDPDF=Y")</f>
        <v>0.01</v>
      </c>
      <c r="T49" s="14">
        <f>_xll.BDH("ALNY US Equity","ARD_PAR_VALUE","FQ1 2023","FQ1 2023","Currency=USD","Period=FQ","BEST_FPERIOD_OVERRIDE=FQ","FILING_STATUS=MR","Sort=A","Dates=H","DateFormat=P","Fill=—","Direction=H","UseDPDF=Y")</f>
        <v>0.01</v>
      </c>
      <c r="U49" s="14">
        <f>_xll.BDH("ALNY US Equity","ARD_PAR_VALUE","FQ2 2023","FQ2 2023","Currency=USD","Period=FQ","BEST_FPERIOD_OVERRIDE=FQ","FILING_STATUS=MR","Sort=A","Dates=H","DateFormat=P","Fill=—","Direction=H","UseDPDF=Y")</f>
        <v>0.01</v>
      </c>
      <c r="V49" s="14">
        <f>_xll.BDH("ALNY US Equity","ARD_PAR_VALUE","FQ3 2023","FQ3 2023","Currency=USD","Period=FQ","BEST_FPERIOD_OVERRIDE=FQ","FILING_STATUS=MR","Sort=A","Dates=H","DateFormat=P","Fill=—","Direction=H","UseDPDF=Y")</f>
        <v>0.01</v>
      </c>
      <c r="W49" s="14">
        <f>_xll.BDH("ALNY US Equity","ARD_PAR_VALUE","FQ4 2023","FQ4 2023","Currency=USD","Period=FQ","BEST_FPERIOD_OVERRIDE=FQ","FILING_STATUS=MR","Sort=A","Dates=H","DateFormat=P","Fill=—","Direction=H","UseDPDF=Y")</f>
        <v>0.01</v>
      </c>
      <c r="X49" s="14">
        <f>_xll.BDH("ALNY US Equity","ARD_PAR_VALUE","FQ1 2024","FQ1 2024","Currency=USD","Period=FQ","BEST_FPERIOD_OVERRIDE=FQ","FILING_STATUS=MR","Sort=A","Dates=H","DateFormat=P","Fill=—","Direction=H","UseDPDF=Y")</f>
        <v>0.01</v>
      </c>
      <c r="Y49" s="14">
        <f>_xll.BDH("ALNY US Equity","ARD_PAR_VALUE","FQ2 2024","FQ2 2024","Currency=USD","Period=FQ","BEST_FPERIOD_OVERRIDE=FQ","FILING_STATUS=MR","Sort=A","Dates=H","DateFormat=P","Fill=—","Direction=H","UseDPDF=Y")</f>
        <v>0.01</v>
      </c>
      <c r="Z49" s="14">
        <f>_xll.BDH("ALNY US Equity","ARD_PAR_VALUE","FQ3 2024","FQ3 2024","Currency=USD","Period=FQ","BEST_FPERIOD_OVERRIDE=FQ","FILING_STATUS=MR","Sort=A","Dates=H","DateFormat=P","Fill=—","Direction=H","UseDPDF=Y")</f>
        <v>0.01</v>
      </c>
      <c r="AA49" s="14">
        <f>_xll.BDH("ALNY US Equity","ARD_PAR_VALUE","FQ4 2024","FQ4 2024","Currency=USD","Period=FQ","BEST_FPERIOD_OVERRIDE=FQ","FILING_STATUS=MR","Sort=A","Dates=H","DateFormat=P","Fill=—","Direction=H","UseDPDF=Y")</f>
        <v>0.01</v>
      </c>
    </row>
    <row r="50" spans="1:27" x14ac:dyDescent="0.25">
      <c r="A50" s="10" t="s">
        <v>900</v>
      </c>
      <c r="B50" s="10" t="s">
        <v>901</v>
      </c>
      <c r="C50" s="13" t="str">
        <f>_xll.BDH("ALNY US Equity","ARD_SHARES_ISSUED","FQ4 2018","FQ4 2018","Currency=USD","Period=FQ","BEST_FPERIOD_OVERRIDE=FQ","FILING_STATUS=MR","Sort=A","Dates=H","DateFormat=P","Fill=—","Direction=H","UseDPDF=Y")</f>
        <v>—</v>
      </c>
      <c r="D50" s="13" t="str">
        <f>_xll.BDH("ALNY US Equity","ARD_SHARES_ISSUED","FQ1 2019","FQ1 2019","Currency=USD","Period=FQ","BEST_FPERIOD_OVERRIDE=FQ","FILING_STATUS=MR","Sort=A","Dates=H","DateFormat=P","Fill=—","Direction=H","UseDPDF=Y")</f>
        <v>—</v>
      </c>
      <c r="E50" s="13" t="str">
        <f>_xll.BDH("ALNY US Equity","ARD_SHARES_ISSUED","FQ2 2019","FQ2 2019","Currency=USD","Period=FQ","BEST_FPERIOD_OVERRIDE=FQ","FILING_STATUS=MR","Sort=A","Dates=H","DateFormat=P","Fill=—","Direction=H","UseDPDF=Y")</f>
        <v>—</v>
      </c>
      <c r="F50" s="13" t="str">
        <f>_xll.BDH("ALNY US Equity","ARD_SHARES_ISSUED","FQ3 2019","FQ3 2019","Currency=USD","Period=FQ","BEST_FPERIOD_OVERRIDE=FQ","FILING_STATUS=MR","Sort=A","Dates=H","DateFormat=P","Fill=—","Direction=H","UseDPDF=Y")</f>
        <v>—</v>
      </c>
      <c r="G50" s="13">
        <f>_xll.BDH("ALNY US Equity","ARD_SHARES_ISSUED","FQ4 2019","FQ4 2019","Currency=USD","Period=FQ","BEST_FPERIOD_OVERRIDE=FQ","FILING_STATUS=MR","Sort=A","Dates=H","DateFormat=P","Fill=—","Direction=H","UseDPDF=Y")</f>
        <v>112.188</v>
      </c>
      <c r="H50" s="13">
        <f>_xll.BDH("ALNY US Equity","ARD_SHARES_ISSUED","FQ1 2020","FQ1 2020","Currency=USD","Period=FQ","BEST_FPERIOD_OVERRIDE=FQ","FILING_STATUS=MR","Sort=A","Dates=H","DateFormat=P","Fill=—","Direction=H","UseDPDF=Y")</f>
        <v>113.16800000000001</v>
      </c>
      <c r="I50" s="13">
        <f>_xll.BDH("ALNY US Equity","ARD_SHARES_ISSUED","FQ2 2020","FQ2 2020","Currency=USD","Period=FQ","BEST_FPERIOD_OVERRIDE=FQ","FILING_STATUS=MR","Sort=A","Dates=H","DateFormat=P","Fill=—","Direction=H","UseDPDF=Y")</f>
        <v>115.64700000000001</v>
      </c>
      <c r="J50" s="13">
        <f>_xll.BDH("ALNY US Equity","ARD_SHARES_ISSUED","FQ3 2020","FQ3 2020","Currency=USD","Period=FQ","BEST_FPERIOD_OVERRIDE=FQ","FILING_STATUS=MR","Sort=A","Dates=H","DateFormat=P","Fill=—","Direction=H","UseDPDF=Y")</f>
        <v>116.143</v>
      </c>
      <c r="K50" s="13">
        <f>_xll.BDH("ALNY US Equity","ARD_SHARES_ISSUED","FQ4 2020","FQ4 2020","Currency=USD","Period=FQ","BEST_FPERIOD_OVERRIDE=FQ","FILING_STATUS=MR","Sort=A","Dates=H","DateFormat=P","Fill=—","Direction=H","UseDPDF=Y")</f>
        <v>116.42700000000001</v>
      </c>
      <c r="L50" s="13">
        <f>_xll.BDH("ALNY US Equity","ARD_SHARES_ISSUED","FQ1 2021","FQ1 2021","Currency=USD","Period=FQ","BEST_FPERIOD_OVERRIDE=FQ","FILING_STATUS=MR","Sort=A","Dates=H","DateFormat=P","Fill=—","Direction=H","UseDPDF=Y")</f>
        <v>117.321</v>
      </c>
      <c r="M50" s="13">
        <f>_xll.BDH("ALNY US Equity","ARD_SHARES_ISSUED","FQ2 2021","FQ2 2021","Currency=USD","Period=FQ","BEST_FPERIOD_OVERRIDE=FQ","FILING_STATUS=MR","Sort=A","Dates=H","DateFormat=P","Fill=—","Direction=H","UseDPDF=Y")</f>
        <v>118.596</v>
      </c>
      <c r="N50" s="13">
        <f>_xll.BDH("ALNY US Equity","ARD_SHARES_ISSUED","FQ3 2021","FQ3 2021","Currency=USD","Period=FQ","BEST_FPERIOD_OVERRIDE=FQ","FILING_STATUS=MR","Sort=A","Dates=H","DateFormat=P","Fill=—","Direction=H","UseDPDF=Y")</f>
        <v>119.48</v>
      </c>
      <c r="O50" s="13">
        <f>_xll.BDH("ALNY US Equity","ARD_SHARES_ISSUED","FQ4 2021","FQ4 2021","Currency=USD","Period=FQ","BEST_FPERIOD_OVERRIDE=FQ","FILING_STATUS=MR","Sort=A","Dates=H","DateFormat=P","Fill=—","Direction=H","UseDPDF=Y")</f>
        <v>120.182</v>
      </c>
      <c r="P50" s="13">
        <f>_xll.BDH("ALNY US Equity","ARD_SHARES_ISSUED","FQ1 2022","FQ1 2022","Currency=USD","Period=FQ","BEST_FPERIOD_OVERRIDE=FQ","FILING_STATUS=MR","Sort=A","Dates=H","DateFormat=P","Fill=—","Direction=H","UseDPDF=Y")</f>
        <v>120.729</v>
      </c>
      <c r="Q50" s="13">
        <f>_xll.BDH("ALNY US Equity","ARD_SHARES_ISSUED","FQ2 2022","FQ2 2022","Currency=USD","Period=FQ","BEST_FPERIOD_OVERRIDE=FQ","FILING_STATUS=MR","Sort=A","Dates=H","DateFormat=P","Fill=—","Direction=H","UseDPDF=Y")</f>
        <v>120.992</v>
      </c>
      <c r="R50" s="13">
        <f>_xll.BDH("ALNY US Equity","ARD_SHARES_ISSUED","FQ3 2022","FQ3 2022","Currency=USD","Period=FQ","BEST_FPERIOD_OVERRIDE=FQ","FILING_STATUS=MR","Sort=A","Dates=H","DateFormat=P","Fill=—","Direction=H","UseDPDF=Y")</f>
        <v>122.991</v>
      </c>
      <c r="S50" s="13">
        <f>_xll.BDH("ALNY US Equity","ARD_SHARES_ISSUED","FQ4 2022","FQ4 2022","Currency=USD","Period=FQ","BEST_FPERIOD_OVERRIDE=FQ","FILING_STATUS=MR","Sort=A","Dates=H","DateFormat=P","Fill=—","Direction=H","UseDPDF=Y")</f>
        <v>123.925</v>
      </c>
      <c r="T50" s="13">
        <f>_xll.BDH("ALNY US Equity","ARD_SHARES_ISSUED","FQ1 2023","FQ1 2023","Currency=USD","Period=FQ","BEST_FPERIOD_OVERRIDE=FQ","FILING_STATUS=MR","Sort=A","Dates=H","DateFormat=P","Fill=—","Direction=H","UseDPDF=Y")</f>
        <v>124.241</v>
      </c>
      <c r="U50" s="13">
        <f>_xll.BDH("ALNY US Equity","ARD_SHARES_ISSUED","FQ2 2023","FQ2 2023","Currency=USD","Period=FQ","BEST_FPERIOD_OVERRIDE=FQ","FILING_STATUS=MR","Sort=A","Dates=H","DateFormat=P","Fill=—","Direction=H","UseDPDF=Y")</f>
        <v>124.241</v>
      </c>
      <c r="V50" s="13">
        <f>_xll.BDH("ALNY US Equity","ARD_SHARES_ISSUED","FQ3 2023","FQ3 2023","Currency=USD","Period=FQ","BEST_FPERIOD_OVERRIDE=FQ","FILING_STATUS=MR","Sort=A","Dates=H","DateFormat=P","Fill=—","Direction=H","UseDPDF=Y")</f>
        <v>125.45399999999999</v>
      </c>
      <c r="W50" s="13">
        <f>_xll.BDH("ALNY US Equity","ARD_SHARES_ISSUED","FQ4 2023","FQ4 2023","Currency=USD","Period=FQ","BEST_FPERIOD_OVERRIDE=FQ","FILING_STATUS=MR","Sort=A","Dates=H","DateFormat=P","Fill=—","Direction=H","UseDPDF=Y")</f>
        <v>125.794</v>
      </c>
      <c r="X50" s="13">
        <f>_xll.BDH("ALNY US Equity","ARD_SHARES_ISSUED","FQ1 2024","FQ1 2024","Currency=USD","Period=FQ","BEST_FPERIOD_OVERRIDE=FQ","FILING_STATUS=MR","Sort=A","Dates=H","DateFormat=P","Fill=—","Direction=H","UseDPDF=Y")</f>
        <v>126.46299999999999</v>
      </c>
      <c r="Y50" s="13">
        <f>_xll.BDH("ALNY US Equity","ARD_SHARES_ISSUED","FQ2 2024","FQ2 2024","Currency=USD","Period=FQ","BEST_FPERIOD_OVERRIDE=FQ","FILING_STATUS=MR","Sort=A","Dates=H","DateFormat=P","Fill=—","Direction=H","UseDPDF=Y")</f>
        <v>128.02099999999999</v>
      </c>
      <c r="Z50" s="13">
        <f>_xll.BDH("ALNY US Equity","ARD_SHARES_ISSUED","FQ3 2024","FQ3 2024","Currency=USD","Period=FQ","BEST_FPERIOD_OVERRIDE=FQ","FILING_STATUS=MR","Sort=A","Dates=H","DateFormat=P","Fill=—","Direction=H","UseDPDF=Y")</f>
        <v>128.84100000000001</v>
      </c>
      <c r="AA50" s="13">
        <f>_xll.BDH("ALNY US Equity","ARD_SHARES_ISSUED","FQ4 2024","FQ4 2024","Currency=USD","Period=FQ","BEST_FPERIOD_OVERRIDE=FQ","FILING_STATUS=MR","Sort=A","Dates=H","DateFormat=P","Fill=—","Direction=H","UseDPDF=Y")</f>
        <v>129.29400000000001</v>
      </c>
    </row>
    <row r="51" spans="1:27" x14ac:dyDescent="0.25">
      <c r="A51" s="10" t="s">
        <v>902</v>
      </c>
      <c r="B51" s="10" t="s">
        <v>903</v>
      </c>
      <c r="C51" s="13">
        <f>_xll.BDH("ALNY US Equity","ARD_TOTAL_SHAREHOLDERS_EQUITY","FQ4 2018","FQ4 2018","Currency=USD","Period=FQ","BEST_FPERIOD_OVERRIDE=FQ","FILING_STATUS=MR","SCALING_FORMAT=MLN","Sort=A","Dates=H","DateFormat=P","Fill=—","Direction=H","UseDPDF=Y")</f>
        <v>1301.9649999999999</v>
      </c>
      <c r="D51" s="13">
        <f>_xll.BDH("ALNY US Equity","ARD_TOTAL_SHAREHOLDERS_EQUITY","FQ1 2019","FQ1 2019","Currency=USD","Period=FQ","BEST_FPERIOD_OVERRIDE=FQ","FILING_STATUS=MR","SCALING_FORMAT=MLN","Sort=A","Dates=H","DateFormat=P","Fill=—","Direction=H","UseDPDF=Y")</f>
        <v>1546.9860000000001</v>
      </c>
      <c r="E51" s="13">
        <f>_xll.BDH("ALNY US Equity","ARD_TOTAL_SHAREHOLDERS_EQUITY","FQ2 2019","FQ2 2019","Currency=USD","Period=FQ","BEST_FPERIOD_OVERRIDE=FQ","FILING_STATUS=MR","SCALING_FORMAT=MLN","Sort=A","Dates=H","DateFormat=P","Fill=—","Direction=H","UseDPDF=Y")</f>
        <v>1757.1949999999999</v>
      </c>
      <c r="F51" s="13">
        <f>_xll.BDH("ALNY US Equity","ARD_TOTAL_SHAREHOLDERS_EQUITY","FQ3 2019","FQ3 2019","Currency=USD","Period=FQ","BEST_FPERIOD_OVERRIDE=FQ","FILING_STATUS=MR","SCALING_FORMAT=MLN","Sort=A","Dates=H","DateFormat=P","Fill=—","Direction=H","UseDPDF=Y")</f>
        <v>1607.087</v>
      </c>
      <c r="G51" s="13">
        <f>_xll.BDH("ALNY US Equity","ARD_TOTAL_SHAREHOLDERS_EQUITY","FQ4 2019","FQ4 2019","Currency=USD","Period=FQ","BEST_FPERIOD_OVERRIDE=FQ","FILING_STATUS=MR","SCALING_FORMAT=MLN","Sort=A","Dates=H","DateFormat=P","Fill=—","Direction=H","UseDPDF=Y")</f>
        <v>1438.692</v>
      </c>
      <c r="H51" s="13">
        <f>_xll.BDH("ALNY US Equity","ARD_TOTAL_SHAREHOLDERS_EQUITY","FQ1 2020","FQ1 2020","Currency=USD","Period=FQ","BEST_FPERIOD_OVERRIDE=FQ","FILING_STATUS=MR","SCALING_FORMAT=MLN","Sort=A","Dates=H","DateFormat=P","Fill=—","Direction=H","UseDPDF=Y")</f>
        <v>1349.729</v>
      </c>
      <c r="I51" s="13">
        <f>_xll.BDH("ALNY US Equity","ARD_TOTAL_SHAREHOLDERS_EQUITY","FQ2 2020","FQ2 2020","Currency=USD","Period=FQ","BEST_FPERIOD_OVERRIDE=FQ","FILING_STATUS=MR","SCALING_FORMAT=MLN","Sort=A","Dates=H","DateFormat=P","Fill=—","Direction=H","UseDPDF=Y")</f>
        <v>1399.7260000000001</v>
      </c>
      <c r="J51" s="13">
        <f>_xll.BDH("ALNY US Equity","ARD_TOTAL_SHAREHOLDERS_EQUITY","FQ3 2020","FQ3 2020","Currency=USD","Period=FQ","BEST_FPERIOD_OVERRIDE=FQ","FILING_STATUS=MR","SCALING_FORMAT=MLN","Sort=A","Dates=H","DateFormat=P","Fill=—","Direction=H","UseDPDF=Y")</f>
        <v>1215.0229999999999</v>
      </c>
      <c r="K51" s="13">
        <f>_xll.BDH("ALNY US Equity","ARD_TOTAL_SHAREHOLDERS_EQUITY","FQ4 2020","FQ4 2020","Currency=USD","Period=FQ","BEST_FPERIOD_OVERRIDE=FQ","FILING_STATUS=MR","SCALING_FORMAT=MLN","Sort=A","Dates=H","DateFormat=P","Fill=—","Direction=H","UseDPDF=Y")</f>
        <v>1016.247</v>
      </c>
      <c r="L51" s="13">
        <f>_xll.BDH("ALNY US Equity","ARD_TOTAL_SHAREHOLDERS_EQUITY","FQ1 2021","FQ1 2021","Currency=USD","Period=FQ","BEST_FPERIOD_OVERRIDE=FQ","FILING_STATUS=MR","SCALING_FORMAT=MLN","Sort=A","Dates=H","DateFormat=P","Fill=—","Direction=H","UseDPDF=Y")</f>
        <v>926.19</v>
      </c>
      <c r="M51" s="13">
        <f>_xll.BDH("ALNY US Equity","ARD_TOTAL_SHAREHOLDERS_EQUITY","FQ2 2021","FQ2 2021","Currency=USD","Period=FQ","BEST_FPERIOD_OVERRIDE=FQ","FILING_STATUS=MR","SCALING_FORMAT=MLN","Sort=A","Dates=H","DateFormat=P","Fill=—","Direction=H","UseDPDF=Y")</f>
        <v>853.36199999999997</v>
      </c>
      <c r="N51" s="13">
        <f>_xll.BDH("ALNY US Equity","ARD_TOTAL_SHAREHOLDERS_EQUITY","FQ3 2021","FQ3 2021","Currency=USD","Period=FQ","BEST_FPERIOD_OVERRIDE=FQ","FILING_STATUS=MR","SCALING_FORMAT=MLN","Sort=A","Dates=H","DateFormat=P","Fill=—","Direction=H","UseDPDF=Y")</f>
        <v>755.89300000000003</v>
      </c>
      <c r="O51" s="13">
        <f>_xll.BDH("ALNY US Equity","ARD_TOTAL_SHAREHOLDERS_EQUITY","FQ4 2021","FQ4 2021","Currency=USD","Period=FQ","BEST_FPERIOD_OVERRIDE=FQ","FILING_STATUS=MR","SCALING_FORMAT=MLN","Sort=A","Dates=H","DateFormat=P","Fill=—","Direction=H","UseDPDF=Y")</f>
        <v>588.20299999999997</v>
      </c>
      <c r="P51" s="13">
        <f>_xll.BDH("ALNY US Equity","ARD_TOTAL_SHAREHOLDERS_EQUITY","FQ1 2022","FQ1 2022","Currency=USD","Period=FQ","BEST_FPERIOD_OVERRIDE=FQ","FILING_STATUS=MR","SCALING_FORMAT=MLN","Sort=A","Dates=H","DateFormat=P","Fill=—","Direction=H","UseDPDF=Y")</f>
        <v>401.166</v>
      </c>
      <c r="Q51" s="13">
        <f>_xll.BDH("ALNY US Equity","ARD_TOTAL_SHAREHOLDERS_EQUITY","FQ2 2022","FQ2 2022","Currency=USD","Period=FQ","BEST_FPERIOD_OVERRIDE=FQ","FILING_STATUS=MR","SCALING_FORMAT=MLN","Sort=A","Dates=H","DateFormat=P","Fill=—","Direction=H","UseDPDF=Y")</f>
        <v>176.04</v>
      </c>
      <c r="R51" s="13">
        <f>_xll.BDH("ALNY US Equity","ARD_TOTAL_SHAREHOLDERS_EQUITY","FQ3 2022","FQ3 2022","Currency=USD","Period=FQ","BEST_FPERIOD_OVERRIDE=FQ","FILING_STATUS=MR","SCALING_FORMAT=MLN","Sort=A","Dates=H","DateFormat=P","Fill=—","Direction=H","UseDPDF=Y")</f>
        <v>-67.638000000000005</v>
      </c>
      <c r="S51" s="13">
        <f>_xll.BDH("ALNY US Equity","ARD_TOTAL_SHAREHOLDERS_EQUITY","FQ4 2022","FQ4 2022","Currency=USD","Period=FQ","BEST_FPERIOD_OVERRIDE=FQ","FILING_STATUS=MR","SCALING_FORMAT=MLN","Sort=A","Dates=H","DateFormat=P","Fill=—","Direction=H","UseDPDF=Y")</f>
        <v>-158.22300000000001</v>
      </c>
      <c r="T51" s="13">
        <f>_xll.BDH("ALNY US Equity","ARD_TOTAL_SHAREHOLDERS_EQUITY","FQ1 2023","FQ1 2023","Currency=USD","Period=FQ","BEST_FPERIOD_OVERRIDE=FQ","FILING_STATUS=MR","SCALING_FORMAT=MLN","Sort=A","Dates=H","DateFormat=P","Fill=—","Direction=H","UseDPDF=Y")</f>
        <v>-259.24</v>
      </c>
      <c r="U51" s="13">
        <f>_xll.BDH("ALNY US Equity","ARD_TOTAL_SHAREHOLDERS_EQUITY","FQ2 2023","FQ2 2023","Currency=USD","Period=FQ","BEST_FPERIOD_OVERRIDE=FQ","FILING_STATUS=MR","SCALING_FORMAT=MLN","Sort=A","Dates=H","DateFormat=P","Fill=—","Direction=H","UseDPDF=Y")</f>
        <v>-408.13099999999997</v>
      </c>
      <c r="V51" s="13">
        <f>_xll.BDH("ALNY US Equity","ARD_TOTAL_SHAREHOLDERS_EQUITY","FQ3 2023","FQ3 2023","Currency=USD","Period=FQ","BEST_FPERIOD_OVERRIDE=FQ","FILING_STATUS=MR","SCALING_FORMAT=MLN","Sort=A","Dates=H","DateFormat=P","Fill=—","Direction=H","UseDPDF=Y")</f>
        <v>-165.86600000000001</v>
      </c>
      <c r="W51" s="13">
        <f>_xll.BDH("ALNY US Equity","ARD_TOTAL_SHAREHOLDERS_EQUITY","FQ4 2023","FQ4 2023","Currency=USD","Period=FQ","BEST_FPERIOD_OVERRIDE=FQ","FILING_STATUS=MR","SCALING_FORMAT=MLN","Sort=A","Dates=H","DateFormat=P","Fill=—","Direction=H","UseDPDF=Y")</f>
        <v>-220.64400000000001</v>
      </c>
      <c r="X51" s="13">
        <f>_xll.BDH("ALNY US Equity","ARD_TOTAL_SHAREHOLDERS_EQUITY","FQ1 2024","FQ1 2024","Currency=USD","Period=FQ","BEST_FPERIOD_OVERRIDE=FQ","FILING_STATUS=MR","SCALING_FORMAT=MLN","Sort=A","Dates=H","DateFormat=P","Fill=—","Direction=H","UseDPDF=Y")</f>
        <v>-219.27199999999999</v>
      </c>
      <c r="Y51" s="13">
        <f>_xll.BDH("ALNY US Equity","ARD_TOTAL_SHAREHOLDERS_EQUITY","FQ2 2024","FQ2 2024","Currency=USD","Period=FQ","BEST_FPERIOD_OVERRIDE=FQ","FILING_STATUS=MR","SCALING_FORMAT=MLN","Sort=A","Dates=H","DateFormat=P","Fill=—","Direction=H","UseDPDF=Y")</f>
        <v>-3.0670000000000002</v>
      </c>
      <c r="Z51" s="13">
        <f>_xll.BDH("ALNY US Equity","ARD_TOTAL_SHAREHOLDERS_EQUITY","FQ3 2024","FQ3 2024","Currency=USD","Period=FQ","BEST_FPERIOD_OVERRIDE=FQ","FILING_STATUS=MR","SCALING_FORMAT=MLN","Sort=A","Dates=H","DateFormat=P","Fill=—","Direction=H","UseDPDF=Y")</f>
        <v>32.353999999999999</v>
      </c>
      <c r="AA51" s="13">
        <f>_xll.BDH("ALNY US Equity","ARD_TOTAL_SHAREHOLDERS_EQUITY","FQ4 2024","FQ4 2024","Currency=USD","Period=FQ","BEST_FPERIOD_OVERRIDE=FQ","FILING_STATUS=MR","SCALING_FORMAT=MLN","Sort=A","Dates=H","DateFormat=P","Fill=—","Direction=H","UseDPDF=Y")</f>
        <v>67.087999999999994</v>
      </c>
    </row>
    <row r="52" spans="1:27" x14ac:dyDescent="0.25">
      <c r="A52" s="10" t="s">
        <v>904</v>
      </c>
      <c r="B52" s="10" t="s">
        <v>905</v>
      </c>
      <c r="C52" s="13">
        <f>_xll.BDH("ALNY US Equity","ARD_SHARES_AUTHORIZED","FQ4 2018","FQ4 2018","Currency=USD","Period=FQ","BEST_FPERIOD_OVERRIDE=FQ","FILING_STATUS=MR","SCALING_FORMAT=MLN","Sort=A","Dates=H","DateFormat=P","Fill=—","Direction=H","UseDPDF=Y")</f>
        <v>125</v>
      </c>
      <c r="D52" s="13">
        <f>_xll.BDH("ALNY US Equity","ARD_SHARES_AUTHORIZED","FQ1 2019","FQ1 2019","Currency=USD","Period=FQ","BEST_FPERIOD_OVERRIDE=FQ","FILING_STATUS=MR","SCALING_FORMAT=MLN","Sort=A","Dates=H","DateFormat=P","Fill=—","Direction=H","UseDPDF=Y")</f>
        <v>125</v>
      </c>
      <c r="E52" s="13">
        <f>_xll.BDH("ALNY US Equity","ARD_SHARES_AUTHORIZED","FQ2 2019","FQ2 2019","Currency=USD","Period=FQ","BEST_FPERIOD_OVERRIDE=FQ","FILING_STATUS=MR","SCALING_FORMAT=MLN","Sort=A","Dates=H","DateFormat=P","Fill=—","Direction=H","UseDPDF=Y")</f>
        <v>250</v>
      </c>
      <c r="F52" s="13">
        <f>_xll.BDH("ALNY US Equity","ARD_SHARES_AUTHORIZED","FQ3 2019","FQ3 2019","Currency=USD","Period=FQ","BEST_FPERIOD_OVERRIDE=FQ","FILING_STATUS=MR","SCALING_FORMAT=MLN","Sort=A","Dates=H","DateFormat=P","Fill=—","Direction=H","UseDPDF=Y")</f>
        <v>250</v>
      </c>
      <c r="G52" s="13">
        <f>_xll.BDH("ALNY US Equity","ARD_SHARES_AUTHORIZED","FQ4 2019","FQ4 2019","Currency=USD","Period=FQ","BEST_FPERIOD_OVERRIDE=FQ","FILING_STATUS=MR","SCALING_FORMAT=MLN","Sort=A","Dates=H","DateFormat=P","Fill=—","Direction=H","UseDPDF=Y")</f>
        <v>250</v>
      </c>
      <c r="H52" s="13">
        <f>_xll.BDH("ALNY US Equity","ARD_SHARES_AUTHORIZED","FQ1 2020","FQ1 2020","Currency=USD","Period=FQ","BEST_FPERIOD_OVERRIDE=FQ","FILING_STATUS=MR","SCALING_FORMAT=MLN","Sort=A","Dates=H","DateFormat=P","Fill=—","Direction=H","UseDPDF=Y")</f>
        <v>250</v>
      </c>
      <c r="I52" s="13">
        <f>_xll.BDH("ALNY US Equity","ARD_SHARES_AUTHORIZED","FQ2 2020","FQ2 2020","Currency=USD","Period=FQ","BEST_FPERIOD_OVERRIDE=FQ","FILING_STATUS=MR","SCALING_FORMAT=MLN","Sort=A","Dates=H","DateFormat=P","Fill=—","Direction=H","UseDPDF=Y")</f>
        <v>250</v>
      </c>
      <c r="J52" s="13">
        <f>_xll.BDH("ALNY US Equity","ARD_SHARES_AUTHORIZED","FQ3 2020","FQ3 2020","Currency=USD","Period=FQ","BEST_FPERIOD_OVERRIDE=FQ","FILING_STATUS=MR","SCALING_FORMAT=MLN","Sort=A","Dates=H","DateFormat=P","Fill=—","Direction=H","UseDPDF=Y")</f>
        <v>250</v>
      </c>
      <c r="K52" s="13">
        <f>_xll.BDH("ALNY US Equity","ARD_SHARES_AUTHORIZED","FQ4 2020","FQ4 2020","Currency=USD","Period=FQ","BEST_FPERIOD_OVERRIDE=FQ","FILING_STATUS=MR","SCALING_FORMAT=MLN","Sort=A","Dates=H","DateFormat=P","Fill=—","Direction=H","UseDPDF=Y")</f>
        <v>250</v>
      </c>
      <c r="L52" s="13">
        <f>_xll.BDH("ALNY US Equity","ARD_SHARES_AUTHORIZED","FQ1 2021","FQ1 2021","Currency=USD","Period=FQ","BEST_FPERIOD_OVERRIDE=FQ","FILING_STATUS=MR","SCALING_FORMAT=MLN","Sort=A","Dates=H","DateFormat=P","Fill=—","Direction=H","UseDPDF=Y")</f>
        <v>250</v>
      </c>
      <c r="M52" s="13">
        <f>_xll.BDH("ALNY US Equity","ARD_SHARES_AUTHORIZED","FQ2 2021","FQ2 2021","Currency=USD","Period=FQ","BEST_FPERIOD_OVERRIDE=FQ","FILING_STATUS=MR","SCALING_FORMAT=MLN","Sort=A","Dates=H","DateFormat=P","Fill=—","Direction=H","UseDPDF=Y")</f>
        <v>250</v>
      </c>
      <c r="N52" s="13">
        <f>_xll.BDH("ALNY US Equity","ARD_SHARES_AUTHORIZED","FQ3 2021","FQ3 2021","Currency=USD","Period=FQ","BEST_FPERIOD_OVERRIDE=FQ","FILING_STATUS=MR","SCALING_FORMAT=MLN","Sort=A","Dates=H","DateFormat=P","Fill=—","Direction=H","UseDPDF=Y")</f>
        <v>250</v>
      </c>
      <c r="O52" s="13">
        <f>_xll.BDH("ALNY US Equity","ARD_SHARES_AUTHORIZED","FQ4 2021","FQ4 2021","Currency=USD","Period=FQ","BEST_FPERIOD_OVERRIDE=FQ","FILING_STATUS=MR","SCALING_FORMAT=MLN","Sort=A","Dates=H","DateFormat=P","Fill=—","Direction=H","UseDPDF=Y")</f>
        <v>250</v>
      </c>
      <c r="P52" s="13">
        <f>_xll.BDH("ALNY US Equity","ARD_SHARES_AUTHORIZED","FQ1 2022","FQ1 2022","Currency=USD","Period=FQ","BEST_FPERIOD_OVERRIDE=FQ","FILING_STATUS=MR","SCALING_FORMAT=MLN","Sort=A","Dates=H","DateFormat=P","Fill=—","Direction=H","UseDPDF=Y")</f>
        <v>250</v>
      </c>
      <c r="Q52" s="13">
        <f>_xll.BDH("ALNY US Equity","ARD_SHARES_AUTHORIZED","FQ2 2022","FQ2 2022","Currency=USD","Period=FQ","BEST_FPERIOD_OVERRIDE=FQ","FILING_STATUS=MR","SCALING_FORMAT=MLN","Sort=A","Dates=H","DateFormat=P","Fill=—","Direction=H","UseDPDF=Y")</f>
        <v>250</v>
      </c>
      <c r="R52" s="13">
        <f>_xll.BDH("ALNY US Equity","ARD_SHARES_AUTHORIZED","FQ3 2022","FQ3 2022","Currency=USD","Period=FQ","BEST_FPERIOD_OVERRIDE=FQ","FILING_STATUS=MR","SCALING_FORMAT=MLN","Sort=A","Dates=H","DateFormat=P","Fill=—","Direction=H","UseDPDF=Y")</f>
        <v>250</v>
      </c>
      <c r="S52" s="13">
        <f>_xll.BDH("ALNY US Equity","ARD_SHARES_AUTHORIZED","FQ4 2022","FQ4 2022","Currency=USD","Period=FQ","BEST_FPERIOD_OVERRIDE=FQ","FILING_STATUS=MR","SCALING_FORMAT=MLN","Sort=A","Dates=H","DateFormat=P","Fill=—","Direction=H","UseDPDF=Y")</f>
        <v>250</v>
      </c>
      <c r="T52" s="13">
        <f>_xll.BDH("ALNY US Equity","ARD_SHARES_AUTHORIZED","FQ1 2023","FQ1 2023","Currency=USD","Period=FQ","BEST_FPERIOD_OVERRIDE=FQ","FILING_STATUS=MR","SCALING_FORMAT=MLN","Sort=A","Dates=H","DateFormat=P","Fill=—","Direction=H","UseDPDF=Y")</f>
        <v>250</v>
      </c>
      <c r="U52" s="13">
        <f>_xll.BDH("ALNY US Equity","ARD_SHARES_AUTHORIZED","FQ2 2023","FQ2 2023","Currency=USD","Period=FQ","BEST_FPERIOD_OVERRIDE=FQ","FILING_STATUS=MR","SCALING_FORMAT=MLN","Sort=A","Dates=H","DateFormat=P","Fill=—","Direction=H","UseDPDF=Y")</f>
        <v>250</v>
      </c>
      <c r="V52" s="13">
        <f>_xll.BDH("ALNY US Equity","ARD_SHARES_AUTHORIZED","FQ3 2023","FQ3 2023","Currency=USD","Period=FQ","BEST_FPERIOD_OVERRIDE=FQ","FILING_STATUS=MR","SCALING_FORMAT=MLN","Sort=A","Dates=H","DateFormat=P","Fill=—","Direction=H","UseDPDF=Y")</f>
        <v>250</v>
      </c>
      <c r="W52" s="13">
        <f>_xll.BDH("ALNY US Equity","ARD_SHARES_AUTHORIZED","FQ4 2023","FQ4 2023","Currency=USD","Period=FQ","BEST_FPERIOD_OVERRIDE=FQ","FILING_STATUS=MR","SCALING_FORMAT=MLN","Sort=A","Dates=H","DateFormat=P","Fill=—","Direction=H","UseDPDF=Y")</f>
        <v>250</v>
      </c>
      <c r="X52" s="13">
        <f>_xll.BDH("ALNY US Equity","ARD_SHARES_AUTHORIZED","FQ1 2024","FQ1 2024","Currency=USD","Period=FQ","BEST_FPERIOD_OVERRIDE=FQ","FILING_STATUS=MR","SCALING_FORMAT=MLN","Sort=A","Dates=H","DateFormat=P","Fill=—","Direction=H","UseDPDF=Y")</f>
        <v>250</v>
      </c>
      <c r="Y52" s="13">
        <f>_xll.BDH("ALNY US Equity","ARD_SHARES_AUTHORIZED","FQ2 2024","FQ2 2024","Currency=USD","Period=FQ","BEST_FPERIOD_OVERRIDE=FQ","FILING_STATUS=MR","SCALING_FORMAT=MLN","Sort=A","Dates=H","DateFormat=P","Fill=—","Direction=H","UseDPDF=Y")</f>
        <v>250</v>
      </c>
      <c r="Z52" s="13">
        <f>_xll.BDH("ALNY US Equity","ARD_SHARES_AUTHORIZED","FQ3 2024","FQ3 2024","Currency=USD","Period=FQ","BEST_FPERIOD_OVERRIDE=FQ","FILING_STATUS=MR","SCALING_FORMAT=MLN","Sort=A","Dates=H","DateFormat=P","Fill=—","Direction=H","UseDPDF=Y")</f>
        <v>250</v>
      </c>
      <c r="AA52" s="13">
        <f>_xll.BDH("ALNY US Equity","ARD_SHARES_AUTHORIZED","FQ4 2024","FQ4 2024","Currency=USD","Period=FQ","BEST_FPERIOD_OVERRIDE=FQ","FILING_STATUS=MR","SCALING_FORMAT=MLN","Sort=A","Dates=H","DateFormat=P","Fill=—","Direction=H","UseDPDF=Y")</f>
        <v>250</v>
      </c>
    </row>
    <row r="53" spans="1:27" x14ac:dyDescent="0.25">
      <c r="A53" s="10" t="s">
        <v>906</v>
      </c>
      <c r="B53" s="10" t="s">
        <v>907</v>
      </c>
      <c r="C53" s="13" t="str">
        <f>_xll.BDH("ALNY US Equity","ARD_PREFERRED_STOCK_SHARES_OUT","FQ4 2018","FQ4 2018","Currency=USD","Period=FQ","BEST_FPERIOD_OVERRIDE=FQ","FILING_STATUS=MR","Sort=A","Dates=H","DateFormat=P","Fill=—","Direction=H","UseDPDF=Y")</f>
        <v>—</v>
      </c>
      <c r="D53" s="13" t="str">
        <f>_xll.BDH("ALNY US Equity","ARD_PREFERRED_STOCK_SHARES_OUT","FQ1 2019","FQ1 2019","Currency=USD","Period=FQ","BEST_FPERIOD_OVERRIDE=FQ","FILING_STATUS=MR","Sort=A","Dates=H","DateFormat=P","Fill=—","Direction=H","UseDPDF=Y")</f>
        <v>—</v>
      </c>
      <c r="E53" s="13" t="str">
        <f>_xll.BDH("ALNY US Equity","ARD_PREFERRED_STOCK_SHARES_OUT","FQ2 2019","FQ2 2019","Currency=USD","Period=FQ","BEST_FPERIOD_OVERRIDE=FQ","FILING_STATUS=MR","Sort=A","Dates=H","DateFormat=P","Fill=—","Direction=H","UseDPDF=Y")</f>
        <v>—</v>
      </c>
      <c r="F53" s="13" t="str">
        <f>_xll.BDH("ALNY US Equity","ARD_PREFERRED_STOCK_SHARES_OUT","FQ3 2019","FQ3 2019","Currency=USD","Period=FQ","BEST_FPERIOD_OVERRIDE=FQ","FILING_STATUS=MR","Sort=A","Dates=H","DateFormat=P","Fill=—","Direction=H","UseDPDF=Y")</f>
        <v>—</v>
      </c>
      <c r="G53" s="13" t="str">
        <f>_xll.BDH("ALNY US Equity","ARD_PREFERRED_STOCK_SHARES_OUT","FQ4 2019","FQ4 2019","Currency=USD","Period=FQ","BEST_FPERIOD_OVERRIDE=FQ","FILING_STATUS=MR","Sort=A","Dates=H","DateFormat=P","Fill=—","Direction=H","UseDPDF=Y")</f>
        <v>—</v>
      </c>
      <c r="H53" s="13" t="str">
        <f>_xll.BDH("ALNY US Equity","ARD_PREFERRED_STOCK_SHARES_OUT","FQ1 2020","FQ1 2020","Currency=USD","Period=FQ","BEST_FPERIOD_OVERRIDE=FQ","FILING_STATUS=MR","Sort=A","Dates=H","DateFormat=P","Fill=—","Direction=H","UseDPDF=Y")</f>
        <v>—</v>
      </c>
      <c r="I53" s="13" t="str">
        <f>_xll.BDH("ALNY US Equity","ARD_PREFERRED_STOCK_SHARES_OUT","FQ2 2020","FQ2 2020","Currency=USD","Period=FQ","BEST_FPERIOD_OVERRIDE=FQ","FILING_STATUS=MR","Sort=A","Dates=H","DateFormat=P","Fill=—","Direction=H","UseDPDF=Y")</f>
        <v>—</v>
      </c>
      <c r="J53" s="13" t="str">
        <f>_xll.BDH("ALNY US Equity","ARD_PREFERRED_STOCK_SHARES_OUT","FQ3 2020","FQ3 2020","Currency=USD","Period=FQ","BEST_FPERIOD_OVERRIDE=FQ","FILING_STATUS=MR","Sort=A","Dates=H","DateFormat=P","Fill=—","Direction=H","UseDPDF=Y")</f>
        <v>—</v>
      </c>
      <c r="K53" s="13" t="str">
        <f>_xll.BDH("ALNY US Equity","ARD_PREFERRED_STOCK_SHARES_OUT","FQ4 2020","FQ4 2020","Currency=USD","Period=FQ","BEST_FPERIOD_OVERRIDE=FQ","FILING_STATUS=MR","Sort=A","Dates=H","DateFormat=P","Fill=—","Direction=H","UseDPDF=Y")</f>
        <v>—</v>
      </c>
      <c r="L53" s="13" t="str">
        <f>_xll.BDH("ALNY US Equity","ARD_PREFERRED_STOCK_SHARES_OUT","FQ1 2021","FQ1 2021","Currency=USD","Period=FQ","BEST_FPERIOD_OVERRIDE=FQ","FILING_STATUS=MR","Sort=A","Dates=H","DateFormat=P","Fill=—","Direction=H","UseDPDF=Y")</f>
        <v>—</v>
      </c>
      <c r="M53" s="13" t="str">
        <f>_xll.BDH("ALNY US Equity","ARD_PREFERRED_STOCK_SHARES_OUT","FQ2 2021","FQ2 2021","Currency=USD","Period=FQ","BEST_FPERIOD_OVERRIDE=FQ","FILING_STATUS=MR","Sort=A","Dates=H","DateFormat=P","Fill=—","Direction=H","UseDPDF=Y")</f>
        <v>—</v>
      </c>
      <c r="N53" s="13" t="str">
        <f>_xll.BDH("ALNY US Equity","ARD_PREFERRED_STOCK_SHARES_OUT","FQ3 2021","FQ3 2021","Currency=USD","Period=FQ","BEST_FPERIOD_OVERRIDE=FQ","FILING_STATUS=MR","Sort=A","Dates=H","DateFormat=P","Fill=—","Direction=H","UseDPDF=Y")</f>
        <v>—</v>
      </c>
      <c r="O53" s="13" t="str">
        <f>_xll.BDH("ALNY US Equity","ARD_PREFERRED_STOCK_SHARES_OUT","FQ4 2021","FQ4 2021","Currency=USD","Period=FQ","BEST_FPERIOD_OVERRIDE=FQ","FILING_STATUS=MR","Sort=A","Dates=H","DateFormat=P","Fill=—","Direction=H","UseDPDF=Y")</f>
        <v>—</v>
      </c>
      <c r="P53" s="13" t="str">
        <f>_xll.BDH("ALNY US Equity","ARD_PREFERRED_STOCK_SHARES_OUT","FQ1 2022","FQ1 2022","Currency=USD","Period=FQ","BEST_FPERIOD_OVERRIDE=FQ","FILING_STATUS=MR","Sort=A","Dates=H","DateFormat=P","Fill=—","Direction=H","UseDPDF=Y")</f>
        <v>—</v>
      </c>
      <c r="Q53" s="13" t="str">
        <f>_xll.BDH("ALNY US Equity","ARD_PREFERRED_STOCK_SHARES_OUT","FQ2 2022","FQ2 2022","Currency=USD","Period=FQ","BEST_FPERIOD_OVERRIDE=FQ","FILING_STATUS=MR","Sort=A","Dates=H","DateFormat=P","Fill=—","Direction=H","UseDPDF=Y")</f>
        <v>—</v>
      </c>
      <c r="R53" s="13" t="str">
        <f>_xll.BDH("ALNY US Equity","ARD_PREFERRED_STOCK_SHARES_OUT","FQ3 2022","FQ3 2022","Currency=USD","Period=FQ","BEST_FPERIOD_OVERRIDE=FQ","FILING_STATUS=MR","Sort=A","Dates=H","DateFormat=P","Fill=—","Direction=H","UseDPDF=Y")</f>
        <v>—</v>
      </c>
      <c r="S53" s="13">
        <f>_xll.BDH("ALNY US Equity","ARD_PREFERRED_STOCK_SHARES_OUT","FQ4 2022","FQ4 2022","Currency=USD","Period=FQ","BEST_FPERIOD_OVERRIDE=FQ","FILING_STATUS=MR","Sort=A","Dates=H","DateFormat=P","Fill=—","Direction=H","UseDPDF=Y")</f>
        <v>0</v>
      </c>
      <c r="T53" s="13">
        <f>_xll.BDH("ALNY US Equity","ARD_PREFERRED_STOCK_SHARES_OUT","FQ1 2023","FQ1 2023","Currency=USD","Period=FQ","BEST_FPERIOD_OVERRIDE=FQ","FILING_STATUS=MR","Sort=A","Dates=H","DateFormat=P","Fill=—","Direction=H","UseDPDF=Y")</f>
        <v>0</v>
      </c>
      <c r="U53" s="13" t="str">
        <f>_xll.BDH("ALNY US Equity","ARD_PREFERRED_STOCK_SHARES_OUT","FQ2 2023","FQ2 2023","Currency=USD","Period=FQ","BEST_FPERIOD_OVERRIDE=FQ","FILING_STATUS=MR","Sort=A","Dates=H","DateFormat=P","Fill=—","Direction=H","UseDPDF=Y")</f>
        <v>—</v>
      </c>
      <c r="V53" s="13">
        <f>_xll.BDH("ALNY US Equity","ARD_PREFERRED_STOCK_SHARES_OUT","FQ3 2023","FQ3 2023","Currency=USD","Period=FQ","BEST_FPERIOD_OVERRIDE=FQ","FILING_STATUS=MR","Sort=A","Dates=H","DateFormat=P","Fill=—","Direction=H","UseDPDF=Y")</f>
        <v>0</v>
      </c>
      <c r="W53" s="13">
        <f>_xll.BDH("ALNY US Equity","ARD_PREFERRED_STOCK_SHARES_OUT","FQ4 2023","FQ4 2023","Currency=USD","Period=FQ","BEST_FPERIOD_OVERRIDE=FQ","FILING_STATUS=MR","Sort=A","Dates=H","DateFormat=P","Fill=—","Direction=H","UseDPDF=Y")</f>
        <v>0</v>
      </c>
      <c r="X53" s="13">
        <f>_xll.BDH("ALNY US Equity","ARD_PREFERRED_STOCK_SHARES_OUT","FQ1 2024","FQ1 2024","Currency=USD","Period=FQ","BEST_FPERIOD_OVERRIDE=FQ","FILING_STATUS=MR","Sort=A","Dates=H","DateFormat=P","Fill=—","Direction=H","UseDPDF=Y")</f>
        <v>0</v>
      </c>
      <c r="Y53" s="13">
        <f>_xll.BDH("ALNY US Equity","ARD_PREFERRED_STOCK_SHARES_OUT","FQ2 2024","FQ2 2024","Currency=USD","Period=FQ","BEST_FPERIOD_OVERRIDE=FQ","FILING_STATUS=MR","Sort=A","Dates=H","DateFormat=P","Fill=—","Direction=H","UseDPDF=Y")</f>
        <v>0</v>
      </c>
      <c r="Z53" s="13">
        <f>_xll.BDH("ALNY US Equity","ARD_PREFERRED_STOCK_SHARES_OUT","FQ3 2024","FQ3 2024","Currency=USD","Period=FQ","BEST_FPERIOD_OVERRIDE=FQ","FILING_STATUS=MR","Sort=A","Dates=H","DateFormat=P","Fill=—","Direction=H","UseDPDF=Y")</f>
        <v>0</v>
      </c>
      <c r="AA53" s="13">
        <f>_xll.BDH("ALNY US Equity","ARD_PREFERRED_STOCK_SHARES_OUT","FQ4 2024","FQ4 2024","Currency=USD","Period=FQ","BEST_FPERIOD_OVERRIDE=FQ","FILING_STATUS=MR","Sort=A","Dates=H","DateFormat=P","Fill=—","Direction=H","UseDPDF=Y")</f>
        <v>0</v>
      </c>
    </row>
    <row r="54" spans="1:27" x14ac:dyDescent="0.25">
      <c r="A54" s="10" t="s">
        <v>908</v>
      </c>
      <c r="B54" s="10" t="s">
        <v>909</v>
      </c>
      <c r="C54" s="13" t="str">
        <f>_xll.BDH("ALNY US Equity","ARD_TOT_SHARE_EQY_EXCL_MINORITY","FQ4 2018","FQ4 2018","Currency=USD","Period=FQ","BEST_FPERIOD_OVERRIDE=FQ","FILING_STATUS=MR","SCALING_FORMAT=MLN","Sort=A","Dates=H","DateFormat=P","Fill=—","Direction=H","UseDPDF=Y")</f>
        <v>—</v>
      </c>
      <c r="D54" s="13" t="str">
        <f>_xll.BDH("ALNY US Equity","ARD_TOT_SHARE_EQY_EXCL_MINORITY","FQ1 2019","FQ1 2019","Currency=USD","Period=FQ","BEST_FPERIOD_OVERRIDE=FQ","FILING_STATUS=MR","SCALING_FORMAT=MLN","Sort=A","Dates=H","DateFormat=P","Fill=—","Direction=H","UseDPDF=Y")</f>
        <v>—</v>
      </c>
      <c r="E54" s="13" t="str">
        <f>_xll.BDH("ALNY US Equity","ARD_TOT_SHARE_EQY_EXCL_MINORITY","FQ2 2019","FQ2 2019","Currency=USD","Period=FQ","BEST_FPERIOD_OVERRIDE=FQ","FILING_STATUS=MR","SCALING_FORMAT=MLN","Sort=A","Dates=H","DateFormat=P","Fill=—","Direction=H","UseDPDF=Y")</f>
        <v>—</v>
      </c>
      <c r="F54" s="13" t="str">
        <f>_xll.BDH("ALNY US Equity","ARD_TOT_SHARE_EQY_EXCL_MINORITY","FQ3 2019","FQ3 2019","Currency=USD","Period=FQ","BEST_FPERIOD_OVERRIDE=FQ","FILING_STATUS=MR","SCALING_FORMAT=MLN","Sort=A","Dates=H","DateFormat=P","Fill=—","Direction=H","UseDPDF=Y")</f>
        <v>—</v>
      </c>
      <c r="G54" s="13" t="str">
        <f>_xll.BDH("ALNY US Equity","ARD_TOT_SHARE_EQY_EXCL_MINORITY","FQ4 2019","FQ4 2019","Currency=USD","Period=FQ","BEST_FPERIOD_OVERRIDE=FQ","FILING_STATUS=MR","SCALING_FORMAT=MLN","Sort=A","Dates=H","DateFormat=P","Fill=—","Direction=H","UseDPDF=Y")</f>
        <v>—</v>
      </c>
      <c r="H54" s="13" t="str">
        <f>_xll.BDH("ALNY US Equity","ARD_TOT_SHARE_EQY_EXCL_MINORITY","FQ1 2020","FQ1 2020","Currency=USD","Period=FQ","BEST_FPERIOD_OVERRIDE=FQ","FILING_STATUS=MR","SCALING_FORMAT=MLN","Sort=A","Dates=H","DateFormat=P","Fill=—","Direction=H","UseDPDF=Y")</f>
        <v>—</v>
      </c>
      <c r="I54" s="13" t="str">
        <f>_xll.BDH("ALNY US Equity","ARD_TOT_SHARE_EQY_EXCL_MINORITY","FQ2 2020","FQ2 2020","Currency=USD","Period=FQ","BEST_FPERIOD_OVERRIDE=FQ","FILING_STATUS=MR","SCALING_FORMAT=MLN","Sort=A","Dates=H","DateFormat=P","Fill=—","Direction=H","UseDPDF=Y")</f>
        <v>—</v>
      </c>
      <c r="J54" s="13" t="str">
        <f>_xll.BDH("ALNY US Equity","ARD_TOT_SHARE_EQY_EXCL_MINORITY","FQ3 2020","FQ3 2020","Currency=USD","Period=FQ","BEST_FPERIOD_OVERRIDE=FQ","FILING_STATUS=MR","SCALING_FORMAT=MLN","Sort=A","Dates=H","DateFormat=P","Fill=—","Direction=H","UseDPDF=Y")</f>
        <v>—</v>
      </c>
      <c r="K54" s="13" t="str">
        <f>_xll.BDH("ALNY US Equity","ARD_TOT_SHARE_EQY_EXCL_MINORITY","FQ4 2020","FQ4 2020","Currency=USD","Period=FQ","BEST_FPERIOD_OVERRIDE=FQ","FILING_STATUS=MR","SCALING_FORMAT=MLN","Sort=A","Dates=H","DateFormat=P","Fill=—","Direction=H","UseDPDF=Y")</f>
        <v>—</v>
      </c>
      <c r="L54" s="13" t="str">
        <f>_xll.BDH("ALNY US Equity","ARD_TOT_SHARE_EQY_EXCL_MINORITY","FQ1 2021","FQ1 2021","Currency=USD","Period=FQ","BEST_FPERIOD_OVERRIDE=FQ","FILING_STATUS=MR","SCALING_FORMAT=MLN","Sort=A","Dates=H","DateFormat=P","Fill=—","Direction=H","UseDPDF=Y")</f>
        <v>—</v>
      </c>
      <c r="M54" s="13" t="str">
        <f>_xll.BDH("ALNY US Equity","ARD_TOT_SHARE_EQY_EXCL_MINORITY","FQ2 2021","FQ2 2021","Currency=USD","Period=FQ","BEST_FPERIOD_OVERRIDE=FQ","FILING_STATUS=MR","SCALING_FORMAT=MLN","Sort=A","Dates=H","DateFormat=P","Fill=—","Direction=H","UseDPDF=Y")</f>
        <v>—</v>
      </c>
      <c r="N54" s="13" t="str">
        <f>_xll.BDH("ALNY US Equity","ARD_TOT_SHARE_EQY_EXCL_MINORITY","FQ3 2021","FQ3 2021","Currency=USD","Period=FQ","BEST_FPERIOD_OVERRIDE=FQ","FILING_STATUS=MR","SCALING_FORMAT=MLN","Sort=A","Dates=H","DateFormat=P","Fill=—","Direction=H","UseDPDF=Y")</f>
        <v>—</v>
      </c>
      <c r="O54" s="13" t="str">
        <f>_xll.BDH("ALNY US Equity","ARD_TOT_SHARE_EQY_EXCL_MINORITY","FQ4 2021","FQ4 2021","Currency=USD","Period=FQ","BEST_FPERIOD_OVERRIDE=FQ","FILING_STATUS=MR","SCALING_FORMAT=MLN","Sort=A","Dates=H","DateFormat=P","Fill=—","Direction=H","UseDPDF=Y")</f>
        <v>—</v>
      </c>
      <c r="P54" s="13" t="str">
        <f>_xll.BDH("ALNY US Equity","ARD_TOT_SHARE_EQY_EXCL_MINORITY","FQ1 2022","FQ1 2022","Currency=USD","Period=FQ","BEST_FPERIOD_OVERRIDE=FQ","FILING_STATUS=MR","SCALING_FORMAT=MLN","Sort=A","Dates=H","DateFormat=P","Fill=—","Direction=H","UseDPDF=Y")</f>
        <v>—</v>
      </c>
      <c r="Q54" s="13" t="str">
        <f>_xll.BDH("ALNY US Equity","ARD_TOT_SHARE_EQY_EXCL_MINORITY","FQ2 2022","FQ2 2022","Currency=USD","Period=FQ","BEST_FPERIOD_OVERRIDE=FQ","FILING_STATUS=MR","SCALING_FORMAT=MLN","Sort=A","Dates=H","DateFormat=P","Fill=—","Direction=H","UseDPDF=Y")</f>
        <v>—</v>
      </c>
      <c r="R54" s="13" t="str">
        <f>_xll.BDH("ALNY US Equity","ARD_TOT_SHARE_EQY_EXCL_MINORITY","FQ3 2022","FQ3 2022","Currency=USD","Period=FQ","BEST_FPERIOD_OVERRIDE=FQ","FILING_STATUS=MR","SCALING_FORMAT=MLN","Sort=A","Dates=H","DateFormat=P","Fill=—","Direction=H","UseDPDF=Y")</f>
        <v>—</v>
      </c>
      <c r="S54" s="13" t="str">
        <f>_xll.BDH("ALNY US Equity","ARD_TOT_SHARE_EQY_EXCL_MINORITY","FQ4 2022","FQ4 2022","Currency=USD","Period=FQ","BEST_FPERIOD_OVERRIDE=FQ","FILING_STATUS=MR","SCALING_FORMAT=MLN","Sort=A","Dates=H","DateFormat=P","Fill=—","Direction=H","UseDPDF=Y")</f>
        <v>—</v>
      </c>
      <c r="T54" s="13">
        <f>_xll.BDH("ALNY US Equity","ARD_TOT_SHARE_EQY_EXCL_MINORITY","FQ1 2023","FQ1 2023","Currency=USD","Period=FQ","BEST_FPERIOD_OVERRIDE=FQ","FILING_STATUS=MR","SCALING_FORMAT=MLN","Sort=A","Dates=H","DateFormat=P","Fill=—","Direction=H","UseDPDF=Y")</f>
        <v>-259.24</v>
      </c>
      <c r="U54" s="13">
        <f>_xll.BDH("ALNY US Equity","ARD_TOT_SHARE_EQY_EXCL_MINORITY","FQ2 2023","FQ2 2023","Currency=USD","Period=FQ","BEST_FPERIOD_OVERRIDE=FQ","FILING_STATUS=MR","SCALING_FORMAT=MLN","Sort=A","Dates=H","DateFormat=P","Fill=—","Direction=H","UseDPDF=Y")</f>
        <v>-408.13099999999997</v>
      </c>
      <c r="V54" s="13">
        <f>_xll.BDH("ALNY US Equity","ARD_TOT_SHARE_EQY_EXCL_MINORITY","FQ3 2023","FQ3 2023","Currency=USD","Period=FQ","BEST_FPERIOD_OVERRIDE=FQ","FILING_STATUS=MR","SCALING_FORMAT=MLN","Sort=A","Dates=H","DateFormat=P","Fill=—","Direction=H","UseDPDF=Y")</f>
        <v>-165.86600000000001</v>
      </c>
      <c r="W54" s="13">
        <f>_xll.BDH("ALNY US Equity","ARD_TOT_SHARE_EQY_EXCL_MINORITY","FQ4 2023","FQ4 2023","Currency=USD","Period=FQ","BEST_FPERIOD_OVERRIDE=FQ","FILING_STATUS=MR","SCALING_FORMAT=MLN","Sort=A","Dates=H","DateFormat=P","Fill=—","Direction=H","UseDPDF=Y")</f>
        <v>-220.64400000000001</v>
      </c>
      <c r="X54" s="13">
        <f>_xll.BDH("ALNY US Equity","ARD_TOT_SHARE_EQY_EXCL_MINORITY","FQ1 2024","FQ1 2024","Currency=USD","Period=FQ","BEST_FPERIOD_OVERRIDE=FQ","FILING_STATUS=MR","SCALING_FORMAT=MLN","Sort=A","Dates=H","DateFormat=P","Fill=—","Direction=H","UseDPDF=Y")</f>
        <v>-219.27199999999999</v>
      </c>
      <c r="Y54" s="13">
        <f>_xll.BDH("ALNY US Equity","ARD_TOT_SHARE_EQY_EXCL_MINORITY","FQ2 2024","FQ2 2024","Currency=USD","Period=FQ","BEST_FPERIOD_OVERRIDE=FQ","FILING_STATUS=MR","SCALING_FORMAT=MLN","Sort=A","Dates=H","DateFormat=P","Fill=—","Direction=H","UseDPDF=Y")</f>
        <v>-3.0670000000000002</v>
      </c>
      <c r="Z54" s="13">
        <f>_xll.BDH("ALNY US Equity","ARD_TOT_SHARE_EQY_EXCL_MINORITY","FQ3 2024","FQ3 2024","Currency=USD","Period=FQ","BEST_FPERIOD_OVERRIDE=FQ","FILING_STATUS=MR","SCALING_FORMAT=MLN","Sort=A","Dates=H","DateFormat=P","Fill=—","Direction=H","UseDPDF=Y")</f>
        <v>32.353999999999999</v>
      </c>
      <c r="AA54" s="13">
        <f>_xll.BDH("ALNY US Equity","ARD_TOT_SHARE_EQY_EXCL_MINORITY","FQ4 2024","FQ4 2024","Currency=USD","Period=FQ","BEST_FPERIOD_OVERRIDE=FQ","FILING_STATUS=MR","SCALING_FORMAT=MLN","Sort=A","Dates=H","DateFormat=P","Fill=—","Direction=H","UseDPDF=Y")</f>
        <v>67.087999999999994</v>
      </c>
    </row>
    <row r="55" spans="1:27" x14ac:dyDescent="0.25">
      <c r="A55" s="6" t="s">
        <v>910</v>
      </c>
      <c r="B55" s="6" t="s">
        <v>911</v>
      </c>
      <c r="C55" s="19">
        <f>_xll.BDH("ALNY US Equity","ARD_TOT_LIAB_AND_SHAREHOLDER_EQY","FQ4 2018","FQ4 2018","Currency=USD","Period=FQ","BEST_FPERIOD_OVERRIDE=FQ","FILING_STATUS=MR","SCALING_FORMAT=MLN","Sort=A","Dates=H","DateFormat=P","Fill=—","Direction=H","UseDPDF=Y")</f>
        <v>1574.8019999999999</v>
      </c>
      <c r="D55" s="19">
        <f>_xll.BDH("ALNY US Equity","ARD_TOT_LIAB_AND_SHAREHOLDER_EQY","FQ1 2019","FQ1 2019","Currency=USD","Period=FQ","BEST_FPERIOD_OVERRIDE=FQ","FILING_STATUS=MR","SCALING_FORMAT=MLN","Sort=A","Dates=H","DateFormat=P","Fill=—","Direction=H","UseDPDF=Y")</f>
        <v>2013.999</v>
      </c>
      <c r="E55" s="19">
        <f>_xll.BDH("ALNY US Equity","ARD_TOT_LIAB_AND_SHAREHOLDER_EQY","FQ2 2019","FQ2 2019","Currency=USD","Period=FQ","BEST_FPERIOD_OVERRIDE=FQ","FILING_STATUS=MR","SCALING_FORMAT=MLN","Sort=A","Dates=H","DateFormat=P","Fill=—","Direction=H","UseDPDF=Y")</f>
        <v>2716.4110000000001</v>
      </c>
      <c r="F55" s="19">
        <f>_xll.BDH("ALNY US Equity","ARD_TOT_LIAB_AND_SHAREHOLDER_EQY","FQ3 2019","FQ3 2019","Currency=USD","Period=FQ","BEST_FPERIOD_OVERRIDE=FQ","FILING_STATUS=MR","SCALING_FORMAT=MLN","Sort=A","Dates=H","DateFormat=P","Fill=—","Direction=H","UseDPDF=Y")</f>
        <v>2541.6219999999998</v>
      </c>
      <c r="G55" s="19">
        <f>_xll.BDH("ALNY US Equity","ARD_TOT_LIAB_AND_SHAREHOLDER_EQY","FQ4 2019","FQ4 2019","Currency=USD","Period=FQ","BEST_FPERIOD_OVERRIDE=FQ","FILING_STATUS=MR","SCALING_FORMAT=MLN","Sort=A","Dates=H","DateFormat=P","Fill=—","Direction=H","UseDPDF=Y")</f>
        <v>2395.134</v>
      </c>
      <c r="H55" s="19">
        <f>_xll.BDH("ALNY US Equity","ARD_TOT_LIAB_AND_SHAREHOLDER_EQY","FQ1 2020","FQ1 2020","Currency=USD","Period=FQ","BEST_FPERIOD_OVERRIDE=FQ","FILING_STATUS=MR","SCALING_FORMAT=MLN","Sort=A","Dates=H","DateFormat=P","Fill=—","Direction=H","UseDPDF=Y")</f>
        <v>2279.6239999999998</v>
      </c>
      <c r="I55" s="19">
        <f>_xll.BDH("ALNY US Equity","ARD_TOT_LIAB_AND_SHAREHOLDER_EQY","FQ2 2020","FQ2 2020","Currency=USD","Period=FQ","BEST_FPERIOD_OVERRIDE=FQ","FILING_STATUS=MR","SCALING_FORMAT=MLN","Sort=A","Dates=H","DateFormat=P","Fill=—","Direction=H","UseDPDF=Y")</f>
        <v>3374.3670000000002</v>
      </c>
      <c r="J55" s="19">
        <f>_xll.BDH("ALNY US Equity","ARD_TOT_LIAB_AND_SHAREHOLDER_EQY","FQ3 2020","FQ3 2020","Currency=USD","Period=FQ","BEST_FPERIOD_OVERRIDE=FQ","FILING_STATUS=MR","SCALING_FORMAT=MLN","Sort=A","Dates=H","DateFormat=P","Fill=—","Direction=H","UseDPDF=Y")</f>
        <v>3307.2829999999999</v>
      </c>
      <c r="K55" s="19">
        <f>_xll.BDH("ALNY US Equity","ARD_TOT_LIAB_AND_SHAREHOLDER_EQY","FQ4 2020","FQ4 2020","Currency=USD","Period=FQ","BEST_FPERIOD_OVERRIDE=FQ","FILING_STATUS=MR","SCALING_FORMAT=MLN","Sort=A","Dates=H","DateFormat=P","Fill=—","Direction=H","UseDPDF=Y")</f>
        <v>3407.0610000000001</v>
      </c>
      <c r="L55" s="19">
        <f>_xll.BDH("ALNY US Equity","ARD_TOT_LIAB_AND_SHAREHOLDER_EQY","FQ1 2021","FQ1 2021","Currency=USD","Period=FQ","BEST_FPERIOD_OVERRIDE=FQ","FILING_STATUS=MR","SCALING_FORMAT=MLN","Sort=A","Dates=H","DateFormat=P","Fill=—","Direction=H","UseDPDF=Y")</f>
        <v>3255.2689999999998</v>
      </c>
      <c r="M55" s="19">
        <f>_xll.BDH("ALNY US Equity","ARD_TOT_LIAB_AND_SHAREHOLDER_EQY","FQ2 2021","FQ2 2021","Currency=USD","Period=FQ","BEST_FPERIOD_OVERRIDE=FQ","FILING_STATUS=MR","SCALING_FORMAT=MLN","Sort=A","Dates=H","DateFormat=P","Fill=—","Direction=H","UseDPDF=Y")</f>
        <v>3509.4290000000001</v>
      </c>
      <c r="N55" s="19">
        <f>_xll.BDH("ALNY US Equity","ARD_TOT_LIAB_AND_SHAREHOLDER_EQY","FQ3 2021","FQ3 2021","Currency=USD","Period=FQ","BEST_FPERIOD_OVERRIDE=FQ","FILING_STATUS=MR","SCALING_FORMAT=MLN","Sort=A","Dates=H","DateFormat=P","Fill=—","Direction=H","UseDPDF=Y")</f>
        <v>3472.3130000000001</v>
      </c>
      <c r="O55" s="19">
        <f>_xll.BDH("ALNY US Equity","ARD_TOT_LIAB_AND_SHAREHOLDER_EQY","FQ4 2021","FQ4 2021","Currency=USD","Period=FQ","BEST_FPERIOD_OVERRIDE=FQ","FILING_STATUS=MR","SCALING_FORMAT=MLN","Sort=A","Dates=H","DateFormat=P","Fill=—","Direction=H","UseDPDF=Y")</f>
        <v>3643.3040000000001</v>
      </c>
      <c r="P55" s="19">
        <f>_xll.BDH("ALNY US Equity","ARD_TOT_LIAB_AND_SHAREHOLDER_EQY","FQ1 2022","FQ1 2022","Currency=USD","Period=FQ","BEST_FPERIOD_OVERRIDE=FQ","FILING_STATUS=MR","SCALING_FORMAT=MLN","Sort=A","Dates=H","DateFormat=P","Fill=—","Direction=H","UseDPDF=Y")</f>
        <v>3433.5450000000001</v>
      </c>
      <c r="Q55" s="19">
        <f>_xll.BDH("ALNY US Equity","ARD_TOT_LIAB_AND_SHAREHOLDER_EQY","FQ2 2022","FQ2 2022","Currency=USD","Period=FQ","BEST_FPERIOD_OVERRIDE=FQ","FILING_STATUS=MR","SCALING_FORMAT=MLN","Sort=A","Dates=H","DateFormat=P","Fill=—","Direction=H","UseDPDF=Y")</f>
        <v>3330.4169999999999</v>
      </c>
      <c r="R55" s="19">
        <f>_xll.BDH("ALNY US Equity","ARD_TOT_LIAB_AND_SHAREHOLDER_EQY","FQ3 2022","FQ3 2022","Currency=USD","Period=FQ","BEST_FPERIOD_OVERRIDE=FQ","FILING_STATUS=MR","SCALING_FORMAT=MLN","Sort=A","Dates=H","DateFormat=P","Fill=—","Direction=H","UseDPDF=Y")</f>
        <v>3535.2550000000001</v>
      </c>
      <c r="S55" s="19">
        <f>_xll.BDH("ALNY US Equity","ARD_TOT_LIAB_AND_SHAREHOLDER_EQY","FQ4 2022","FQ4 2022","Currency=USD","Period=FQ","BEST_FPERIOD_OVERRIDE=FQ","FILING_STATUS=MR","SCALING_FORMAT=MLN","Sort=A","Dates=H","DateFormat=P","Fill=—","Direction=H","UseDPDF=Y")</f>
        <v>3546.3589999999999</v>
      </c>
      <c r="T55" s="19">
        <f>_xll.BDH("ALNY US Equity","ARD_TOT_LIAB_AND_SHAREHOLDER_EQY","FQ1 2023","FQ1 2023","Currency=USD","Period=FQ","BEST_FPERIOD_OVERRIDE=FQ","FILING_STATUS=MR","SCALING_FORMAT=MLN","Sort=A","Dates=H","DateFormat=P","Fill=—","Direction=H","UseDPDF=Y")</f>
        <v>3391.94</v>
      </c>
      <c r="U55" s="19">
        <f>_xll.BDH("ALNY US Equity","ARD_TOT_LIAB_AND_SHAREHOLDER_EQY","FQ2 2023","FQ2 2023","Currency=USD","Period=FQ","BEST_FPERIOD_OVERRIDE=FQ","FILING_STATUS=MR","SCALING_FORMAT=MLN","Sort=A","Dates=H","DateFormat=P","Fill=—","Direction=H","UseDPDF=Y")</f>
        <v>3402.3960000000002</v>
      </c>
      <c r="V55" s="19">
        <f>_xll.BDH("ALNY US Equity","ARD_TOT_LIAB_AND_SHAREHOLDER_EQY","FQ3 2023","FQ3 2023","Currency=USD","Period=FQ","BEST_FPERIOD_OVERRIDE=FQ","FILING_STATUS=MR","SCALING_FORMAT=MLN","Sort=A","Dates=H","DateFormat=P","Fill=—","Direction=H","UseDPDF=Y")</f>
        <v>3839.0729999999999</v>
      </c>
      <c r="W55" s="19">
        <f>_xll.BDH("ALNY US Equity","ARD_TOT_LIAB_AND_SHAREHOLDER_EQY","FQ4 2023","FQ4 2023","Currency=USD","Period=FQ","BEST_FPERIOD_OVERRIDE=FQ","FILING_STATUS=MR","SCALING_FORMAT=MLN","Sort=A","Dates=H","DateFormat=P","Fill=—","Direction=H","UseDPDF=Y")</f>
        <v>3829.88</v>
      </c>
      <c r="X55" s="19">
        <f>_xll.BDH("ALNY US Equity","ARD_TOT_LIAB_AND_SHAREHOLDER_EQY","FQ1 2024","FQ1 2024","Currency=USD","Period=FQ","BEST_FPERIOD_OVERRIDE=FQ","FILING_STATUS=MR","SCALING_FORMAT=MLN","Sort=A","Dates=H","DateFormat=P","Fill=—","Direction=H","UseDPDF=Y")</f>
        <v>3824.386</v>
      </c>
      <c r="Y55" s="19">
        <f>_xll.BDH("ALNY US Equity","ARD_TOT_LIAB_AND_SHAREHOLDER_EQY","FQ2 2024","FQ2 2024","Currency=USD","Period=FQ","BEST_FPERIOD_OVERRIDE=FQ","FILING_STATUS=MR","SCALING_FORMAT=MLN","Sort=A","Dates=H","DateFormat=P","Fill=—","Direction=H","UseDPDF=Y")</f>
        <v>4009.634</v>
      </c>
      <c r="Z55" s="19">
        <f>_xll.BDH("ALNY US Equity","ARD_TOT_LIAB_AND_SHAREHOLDER_EQY","FQ3 2024","FQ3 2024","Currency=USD","Period=FQ","BEST_FPERIOD_OVERRIDE=FQ","FILING_STATUS=MR","SCALING_FORMAT=MLN","Sort=A","Dates=H","DateFormat=P","Fill=—","Direction=H","UseDPDF=Y")</f>
        <v>4205.0389999999998</v>
      </c>
      <c r="AA55" s="19">
        <f>_xll.BDH("ALNY US Equity","ARD_TOT_LIAB_AND_SHAREHOLDER_EQY","FQ4 2024","FQ4 2024","Currency=USD","Period=FQ","BEST_FPERIOD_OVERRIDE=FQ","FILING_STATUS=MR","SCALING_FORMAT=MLN","Sort=A","Dates=H","DateFormat=P","Fill=—","Direction=H","UseDPDF=Y")</f>
        <v>4239.9830000000002</v>
      </c>
    </row>
    <row r="56" spans="1:27" x14ac:dyDescent="0.25">
      <c r="A56" s="10" t="s">
        <v>489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10" t="s">
        <v>830</v>
      </c>
      <c r="B57" s="10" t="s">
        <v>912</v>
      </c>
      <c r="C57" s="13" t="str">
        <f>_xll.BDH("ALNY US Equity","ARDR_ACCTS_RECEIVABLE_TRADE","FQ4 2018","FQ4 2018","Currency=USD","Period=FQ","BEST_FPERIOD_OVERRIDE=FQ","FILING_STATUS=MR","SCALING_FORMAT=MLN","Sort=A","Dates=H","DateFormat=P","Fill=—","Direction=H","UseDPDF=Y")</f>
        <v>—</v>
      </c>
      <c r="D57" s="13" t="str">
        <f>_xll.BDH("ALNY US Equity","ARDR_ACCTS_RECEIVABLE_TRADE","FQ1 2019","FQ1 2019","Currency=USD","Period=FQ","BEST_FPERIOD_OVERRIDE=FQ","FILING_STATUS=MR","SCALING_FORMAT=MLN","Sort=A","Dates=H","DateFormat=P","Fill=—","Direction=H","UseDPDF=Y")</f>
        <v>—</v>
      </c>
      <c r="E57" s="13" t="str">
        <f>_xll.BDH("ALNY US Equity","ARDR_ACCTS_RECEIVABLE_TRADE","FQ2 2019","FQ2 2019","Currency=USD","Period=FQ","BEST_FPERIOD_OVERRIDE=FQ","FILING_STATUS=MR","SCALING_FORMAT=MLN","Sort=A","Dates=H","DateFormat=P","Fill=—","Direction=H","UseDPDF=Y")</f>
        <v>—</v>
      </c>
      <c r="F57" s="13" t="str">
        <f>_xll.BDH("ALNY US Equity","ARDR_ACCTS_RECEIVABLE_TRADE","FQ3 2019","FQ3 2019","Currency=USD","Period=FQ","BEST_FPERIOD_OVERRIDE=FQ","FILING_STATUS=MR","SCALING_FORMAT=MLN","Sort=A","Dates=H","DateFormat=P","Fill=—","Direction=H","UseDPDF=Y")</f>
        <v>—</v>
      </c>
      <c r="G57" s="13" t="str">
        <f>_xll.BDH("ALNY US Equity","ARDR_ACCTS_RECEIVABLE_TRADE","FQ4 2019","FQ4 2019","Currency=USD","Period=FQ","BEST_FPERIOD_OVERRIDE=FQ","FILING_STATUS=MR","SCALING_FORMAT=MLN","Sort=A","Dates=H","DateFormat=P","Fill=—","Direction=H","UseDPDF=Y")</f>
        <v>—</v>
      </c>
      <c r="H57" s="13" t="str">
        <f>_xll.BDH("ALNY US Equity","ARDR_ACCTS_RECEIVABLE_TRADE","FQ1 2020","FQ1 2020","Currency=USD","Period=FQ","BEST_FPERIOD_OVERRIDE=FQ","FILING_STATUS=MR","SCALING_FORMAT=MLN","Sort=A","Dates=H","DateFormat=P","Fill=—","Direction=H","UseDPDF=Y")</f>
        <v>—</v>
      </c>
      <c r="I57" s="13" t="str">
        <f>_xll.BDH("ALNY US Equity","ARDR_ACCTS_RECEIVABLE_TRADE","FQ2 2020","FQ2 2020","Currency=USD","Period=FQ","BEST_FPERIOD_OVERRIDE=FQ","FILING_STATUS=MR","SCALING_FORMAT=MLN","Sort=A","Dates=H","DateFormat=P","Fill=—","Direction=H","UseDPDF=Y")</f>
        <v>—</v>
      </c>
      <c r="J57" s="13" t="str">
        <f>_xll.BDH("ALNY US Equity","ARDR_ACCTS_RECEIVABLE_TRADE","FQ3 2020","FQ3 2020","Currency=USD","Period=FQ","BEST_FPERIOD_OVERRIDE=FQ","FILING_STATUS=MR","SCALING_FORMAT=MLN","Sort=A","Dates=H","DateFormat=P","Fill=—","Direction=H","UseDPDF=Y")</f>
        <v>—</v>
      </c>
      <c r="K57" s="13" t="str">
        <f>_xll.BDH("ALNY US Equity","ARDR_ACCTS_RECEIVABLE_TRADE","FQ4 2020","FQ4 2020","Currency=USD","Period=FQ","BEST_FPERIOD_OVERRIDE=FQ","FILING_STATUS=MR","SCALING_FORMAT=MLN","Sort=A","Dates=H","DateFormat=P","Fill=—","Direction=H","UseDPDF=Y")</f>
        <v>—</v>
      </c>
      <c r="L57" s="13" t="str">
        <f>_xll.BDH("ALNY US Equity","ARDR_ACCTS_RECEIVABLE_TRADE","FQ1 2021","FQ1 2021","Currency=USD","Period=FQ","BEST_FPERIOD_OVERRIDE=FQ","FILING_STATUS=MR","SCALING_FORMAT=MLN","Sort=A","Dates=H","DateFormat=P","Fill=—","Direction=H","UseDPDF=Y")</f>
        <v>—</v>
      </c>
      <c r="M57" s="13" t="str">
        <f>_xll.BDH("ALNY US Equity","ARDR_ACCTS_RECEIVABLE_TRADE","FQ2 2021","FQ2 2021","Currency=USD","Period=FQ","BEST_FPERIOD_OVERRIDE=FQ","FILING_STATUS=MR","SCALING_FORMAT=MLN","Sort=A","Dates=H","DateFormat=P","Fill=—","Direction=H","UseDPDF=Y")</f>
        <v>—</v>
      </c>
      <c r="N57" s="13" t="str">
        <f>_xll.BDH("ALNY US Equity","ARDR_ACCTS_RECEIVABLE_TRADE","FQ3 2021","FQ3 2021","Currency=USD","Period=FQ","BEST_FPERIOD_OVERRIDE=FQ","FILING_STATUS=MR","SCALING_FORMAT=MLN","Sort=A","Dates=H","DateFormat=P","Fill=—","Direction=H","UseDPDF=Y")</f>
        <v>—</v>
      </c>
      <c r="O57" s="13" t="str">
        <f>_xll.BDH("ALNY US Equity","ARDR_ACCTS_RECEIVABLE_TRADE","FQ4 2021","FQ4 2021","Currency=USD","Period=FQ","BEST_FPERIOD_OVERRIDE=FQ","FILING_STATUS=MR","SCALING_FORMAT=MLN","Sort=A","Dates=H","DateFormat=P","Fill=—","Direction=H","UseDPDF=Y")</f>
        <v>—</v>
      </c>
      <c r="P57" s="13" t="str">
        <f>_xll.BDH("ALNY US Equity","ARDR_ACCTS_RECEIVABLE_TRADE","FQ1 2022","FQ1 2022","Currency=USD","Period=FQ","BEST_FPERIOD_OVERRIDE=FQ","FILING_STATUS=MR","SCALING_FORMAT=MLN","Sort=A","Dates=H","DateFormat=P","Fill=—","Direction=H","UseDPDF=Y")</f>
        <v>—</v>
      </c>
      <c r="Q57" s="13" t="str">
        <f>_xll.BDH("ALNY US Equity","ARDR_ACCTS_RECEIVABLE_TRADE","FQ2 2022","FQ2 2022","Currency=USD","Period=FQ","BEST_FPERIOD_OVERRIDE=FQ","FILING_STATUS=MR","SCALING_FORMAT=MLN","Sort=A","Dates=H","DateFormat=P","Fill=—","Direction=H","UseDPDF=Y")</f>
        <v>—</v>
      </c>
      <c r="R57" s="13" t="str">
        <f>_xll.BDH("ALNY US Equity","ARDR_ACCTS_RECEIVABLE_TRADE","FQ3 2022","FQ3 2022","Currency=USD","Period=FQ","BEST_FPERIOD_OVERRIDE=FQ","FILING_STATUS=MR","SCALING_FORMAT=MLN","Sort=A","Dates=H","DateFormat=P","Fill=—","Direction=H","UseDPDF=Y")</f>
        <v>—</v>
      </c>
      <c r="S57" s="13" t="str">
        <f>_xll.BDH("ALNY US Equity","ARDR_ACCTS_RECEIVABLE_TRADE","FQ4 2022","FQ4 2022","Currency=USD","Period=FQ","BEST_FPERIOD_OVERRIDE=FQ","FILING_STATUS=MR","SCALING_FORMAT=MLN","Sort=A","Dates=H","DateFormat=P","Fill=—","Direction=H","UseDPDF=Y")</f>
        <v>—</v>
      </c>
      <c r="T57" s="13">
        <f>_xll.BDH("ALNY US Equity","ARDR_ACCTS_RECEIVABLE_TRADE","FQ1 2023","FQ1 2023","Currency=USD","Period=FQ","BEST_FPERIOD_OVERRIDE=FQ","FILING_STATUS=MR","SCALING_FORMAT=MLN","Sort=A","Dates=H","DateFormat=P","Fill=—","Direction=H","UseDPDF=Y")</f>
        <v>219.434</v>
      </c>
      <c r="U57" s="13">
        <f>_xll.BDH("ALNY US Equity","ARDR_ACCTS_RECEIVABLE_TRADE","FQ2 2023","FQ2 2023","Currency=USD","Period=FQ","BEST_FPERIOD_OVERRIDE=FQ","FILING_STATUS=MR","SCALING_FORMAT=MLN","Sort=A","Dates=H","DateFormat=P","Fill=—","Direction=H","UseDPDF=Y")</f>
        <v>220.63499999999999</v>
      </c>
      <c r="V57" s="13">
        <f>_xll.BDH("ALNY US Equity","ARDR_ACCTS_RECEIVABLE_TRADE","FQ3 2023","FQ3 2023","Currency=USD","Period=FQ","BEST_FPERIOD_OVERRIDE=FQ","FILING_STATUS=MR","SCALING_FORMAT=MLN","Sort=A","Dates=H","DateFormat=P","Fill=—","Direction=H","UseDPDF=Y")</f>
        <v>325.44499999999999</v>
      </c>
      <c r="W57" s="13">
        <f>_xll.BDH("ALNY US Equity","ARDR_ACCTS_RECEIVABLE_TRADE","FQ4 2023","FQ4 2023","Currency=USD","Period=FQ","BEST_FPERIOD_OVERRIDE=FQ","FILING_STATUS=MR","SCALING_FORMAT=MLN","Sort=A","Dates=H","DateFormat=P","Fill=—","Direction=H","UseDPDF=Y")</f>
        <v>327.78699999999998</v>
      </c>
      <c r="X57" s="13">
        <f>_xll.BDH("ALNY US Equity","ARDR_ACCTS_RECEIVABLE_TRADE","FQ1 2024","FQ1 2024","Currency=USD","Period=FQ","BEST_FPERIOD_OVERRIDE=FQ","FILING_STATUS=MR","SCALING_FORMAT=MLN","Sort=A","Dates=H","DateFormat=P","Fill=—","Direction=H","UseDPDF=Y")</f>
        <v>321.37700000000001</v>
      </c>
      <c r="Y57" s="13">
        <f>_xll.BDH("ALNY US Equity","ARDR_ACCTS_RECEIVABLE_TRADE","FQ2 2024","FQ2 2024","Currency=USD","Period=FQ","BEST_FPERIOD_OVERRIDE=FQ","FILING_STATUS=MR","SCALING_FORMAT=MLN","Sort=A","Dates=H","DateFormat=P","Fill=—","Direction=H","UseDPDF=Y")</f>
        <v>309.48099999999999</v>
      </c>
      <c r="Z57" s="13">
        <f>_xll.BDH("ALNY US Equity","ARDR_ACCTS_RECEIVABLE_TRADE","FQ3 2024","FQ3 2024","Currency=USD","Period=FQ","BEST_FPERIOD_OVERRIDE=FQ","FILING_STATUS=MR","SCALING_FORMAT=MLN","Sort=A","Dates=H","DateFormat=P","Fill=—","Direction=H","UseDPDF=Y")</f>
        <v>353.85199999999998</v>
      </c>
      <c r="AA57" s="13">
        <f>_xll.BDH("ALNY US Equity","ARDR_ACCTS_RECEIVABLE_TRADE","FQ4 2024","FQ4 2024","Currency=USD","Period=FQ","BEST_FPERIOD_OVERRIDE=FQ","FILING_STATUS=MR","SCALING_FORMAT=MLN","Sort=A","Dates=H","DateFormat=P","Fill=—","Direction=H","UseDPDF=Y")</f>
        <v>405.30799999999999</v>
      </c>
    </row>
    <row r="58" spans="1:27" x14ac:dyDescent="0.25">
      <c r="A58" s="10" t="s">
        <v>832</v>
      </c>
      <c r="B58" s="10" t="s">
        <v>913</v>
      </c>
      <c r="C58" s="13">
        <f>_xll.BDH("ALNY US Equity","ARDR_INVENTORY","FQ4 2018","FQ4 2018","Currency=USD","Period=FQ","BEST_FPERIOD_OVERRIDE=FQ","FILING_STATUS=MR","SCALING_FORMAT=MLN","Sort=A","Dates=H","DateFormat=P","Fill=—","Direction=H","UseDPDF=Y")</f>
        <v>24.068000000000001</v>
      </c>
      <c r="D58" s="13">
        <f>_xll.BDH("ALNY US Equity","ARDR_INVENTORY","FQ1 2019","FQ1 2019","Currency=USD","Period=FQ","BEST_FPERIOD_OVERRIDE=FQ","FILING_STATUS=MR","SCALING_FORMAT=MLN","Sort=A","Dates=H","DateFormat=P","Fill=—","Direction=H","UseDPDF=Y")</f>
        <v>32.000999999999998</v>
      </c>
      <c r="E58" s="13">
        <f>_xll.BDH("ALNY US Equity","ARDR_INVENTORY","FQ2 2019","FQ2 2019","Currency=USD","Period=FQ","BEST_FPERIOD_OVERRIDE=FQ","FILING_STATUS=MR","SCALING_FORMAT=MLN","Sort=A","Dates=H","DateFormat=P","Fill=—","Direction=H","UseDPDF=Y")</f>
        <v>40.587000000000003</v>
      </c>
      <c r="F58" s="13">
        <f>_xll.BDH("ALNY US Equity","ARDR_INVENTORY","FQ3 2019","FQ3 2019","Currency=USD","Period=FQ","BEST_FPERIOD_OVERRIDE=FQ","FILING_STATUS=MR","SCALING_FORMAT=MLN","Sort=A","Dates=H","DateFormat=P","Fill=—","Direction=H","UseDPDF=Y")</f>
        <v>54.561999999999998</v>
      </c>
      <c r="G58" s="13">
        <f>_xll.BDH("ALNY US Equity","ARDR_INVENTORY","FQ4 2019","FQ4 2019","Currency=USD","Period=FQ","BEST_FPERIOD_OVERRIDE=FQ","FILING_STATUS=MR","SCALING_FORMAT=MLN","Sort=A","Dates=H","DateFormat=P","Fill=—","Direction=H","UseDPDF=Y")</f>
        <v>56.347999999999999</v>
      </c>
      <c r="H58" s="13">
        <f>_xll.BDH("ALNY US Equity","ARDR_INVENTORY","FQ1 2020","FQ1 2020","Currency=USD","Period=FQ","BEST_FPERIOD_OVERRIDE=FQ","FILING_STATUS=MR","SCALING_FORMAT=MLN","Sort=A","Dates=H","DateFormat=P","Fill=—","Direction=H","UseDPDF=Y")</f>
        <v>68.3</v>
      </c>
      <c r="I58" s="13">
        <f>_xll.BDH("ALNY US Equity","ARDR_INVENTORY","FQ2 2020","FQ2 2020","Currency=USD","Period=FQ","BEST_FPERIOD_OVERRIDE=FQ","FILING_STATUS=MR","SCALING_FORMAT=MLN","Sort=A","Dates=H","DateFormat=P","Fill=—","Direction=H","UseDPDF=Y")</f>
        <v>77.418000000000006</v>
      </c>
      <c r="J58" s="13" t="str">
        <f>_xll.BDH("ALNY US Equity","ARDR_INVENTORY","FQ3 2020","FQ3 2020","Currency=USD","Period=FQ","BEST_FPERIOD_OVERRIDE=FQ","FILING_STATUS=MR","SCALING_FORMAT=MLN","Sort=A","Dates=H","DateFormat=P","Fill=—","Direction=H","UseDPDF=Y")</f>
        <v>—</v>
      </c>
      <c r="K58" s="13" t="str">
        <f>_xll.BDH("ALNY US Equity","ARDR_INVENTORY","FQ4 2020","FQ4 2020","Currency=USD","Period=FQ","BEST_FPERIOD_OVERRIDE=FQ","FILING_STATUS=MR","SCALING_FORMAT=MLN","Sort=A","Dates=H","DateFormat=P","Fill=—","Direction=H","UseDPDF=Y")</f>
        <v>—</v>
      </c>
      <c r="L58" s="13">
        <f>_xll.BDH("ALNY US Equity","ARDR_INVENTORY","FQ1 2021","FQ1 2021","Currency=USD","Period=FQ","BEST_FPERIOD_OVERRIDE=FQ","FILING_STATUS=MR","SCALING_FORMAT=MLN","Sort=A","Dates=H","DateFormat=P","Fill=—","Direction=H","UseDPDF=Y")</f>
        <v>91.04</v>
      </c>
      <c r="M58" s="13">
        <f>_xll.BDH("ALNY US Equity","ARDR_INVENTORY","FQ2 2021","FQ2 2021","Currency=USD","Period=FQ","BEST_FPERIOD_OVERRIDE=FQ","FILING_STATUS=MR","SCALING_FORMAT=MLN","Sort=A","Dates=H","DateFormat=P","Fill=—","Direction=H","UseDPDF=Y")</f>
        <v>96.108000000000004</v>
      </c>
      <c r="N58" s="13">
        <f>_xll.BDH("ALNY US Equity","ARDR_INVENTORY","FQ3 2021","FQ3 2021","Currency=USD","Period=FQ","BEST_FPERIOD_OVERRIDE=FQ","FILING_STATUS=MR","SCALING_FORMAT=MLN","Sort=A","Dates=H","DateFormat=P","Fill=—","Direction=H","UseDPDF=Y")</f>
        <v>110.949</v>
      </c>
      <c r="O58" s="13">
        <f>_xll.BDH("ALNY US Equity","ARDR_INVENTORY","FQ4 2021","FQ4 2021","Currency=USD","Period=FQ","BEST_FPERIOD_OVERRIDE=FQ","FILING_STATUS=MR","SCALING_FORMAT=MLN","Sort=A","Dates=H","DateFormat=P","Fill=—","Direction=H","UseDPDF=Y")</f>
        <v>122.70099999999999</v>
      </c>
      <c r="P58" s="13">
        <f>_xll.BDH("ALNY US Equity","ARDR_INVENTORY","FQ1 2022","FQ1 2022","Currency=USD","Period=FQ","BEST_FPERIOD_OVERRIDE=FQ","FILING_STATUS=MR","SCALING_FORMAT=MLN","Sort=A","Dates=H","DateFormat=P","Fill=—","Direction=H","UseDPDF=Y")</f>
        <v>122.062</v>
      </c>
      <c r="Q58" s="13">
        <f>_xll.BDH("ALNY US Equity","ARDR_INVENTORY","FQ2 2022","FQ2 2022","Currency=USD","Period=FQ","BEST_FPERIOD_OVERRIDE=FQ","FILING_STATUS=MR","SCALING_FORMAT=MLN","Sort=A","Dates=H","DateFormat=P","Fill=—","Direction=H","UseDPDF=Y")</f>
        <v>132.523</v>
      </c>
      <c r="R58" s="13">
        <f>_xll.BDH("ALNY US Equity","ARDR_INVENTORY","FQ3 2022","FQ3 2022","Currency=USD","Period=FQ","BEST_FPERIOD_OVERRIDE=FQ","FILING_STATUS=MR","SCALING_FORMAT=MLN","Sort=A","Dates=H","DateFormat=P","Fill=—","Direction=H","UseDPDF=Y")</f>
        <v>141.648</v>
      </c>
      <c r="S58" s="13">
        <f>_xll.BDH("ALNY US Equity","ARDR_INVENTORY","FQ4 2022","FQ4 2022","Currency=USD","Period=FQ","BEST_FPERIOD_OVERRIDE=FQ","FILING_STATUS=MR","SCALING_FORMAT=MLN","Sort=A","Dates=H","DateFormat=P","Fill=—","Direction=H","UseDPDF=Y")</f>
        <v>128.96199999999999</v>
      </c>
      <c r="T58" s="13">
        <f>_xll.BDH("ALNY US Equity","ARDR_INVENTORY","FQ1 2023","FQ1 2023","Currency=USD","Period=FQ","BEST_FPERIOD_OVERRIDE=FQ","FILING_STATUS=MR","SCALING_FORMAT=MLN","Sort=A","Dates=H","DateFormat=P","Fill=—","Direction=H","UseDPDF=Y")</f>
        <v>163.38499999999999</v>
      </c>
      <c r="U58" s="13" t="str">
        <f>_xll.BDH("ALNY US Equity","ARDR_INVENTORY","FQ2 2023","FQ2 2023","Currency=USD","Period=FQ","BEST_FPERIOD_OVERRIDE=FQ","FILING_STATUS=MR","SCALING_FORMAT=MLN","Sort=A","Dates=H","DateFormat=P","Fill=—","Direction=H","UseDPDF=Y")</f>
        <v>—</v>
      </c>
      <c r="V58" s="13">
        <f>_xll.BDH("ALNY US Equity","ARDR_INVENTORY","FQ3 2023","FQ3 2023","Currency=USD","Period=FQ","BEST_FPERIOD_OVERRIDE=FQ","FILING_STATUS=MR","SCALING_FORMAT=MLN","Sort=A","Dates=H","DateFormat=P","Fill=—","Direction=H","UseDPDF=Y")</f>
        <v>95.771000000000001</v>
      </c>
      <c r="W58" s="13">
        <f>_xll.BDH("ALNY US Equity","ARDR_INVENTORY","FQ4 2023","FQ4 2023","Currency=USD","Period=FQ","BEST_FPERIOD_OVERRIDE=FQ","FILING_STATUS=MR","SCALING_FORMAT=MLN","Sort=A","Dates=H","DateFormat=P","Fill=—","Direction=H","UseDPDF=Y")</f>
        <v>89.146000000000001</v>
      </c>
      <c r="X58" s="13">
        <f>_xll.BDH("ALNY US Equity","ARDR_INVENTORY","FQ1 2024","FQ1 2024","Currency=USD","Period=FQ","BEST_FPERIOD_OVERRIDE=FQ","FILING_STATUS=MR","SCALING_FORMAT=MLN","Sort=A","Dates=H","DateFormat=P","Fill=—","Direction=H","UseDPDF=Y")</f>
        <v>93.988</v>
      </c>
      <c r="Y58" s="13" t="str">
        <f>_xll.BDH("ALNY US Equity","ARDR_INVENTORY","FQ2 2024","FQ2 2024","Currency=USD","Period=FQ","BEST_FPERIOD_OVERRIDE=FQ","FILING_STATUS=MR","SCALING_FORMAT=MLN","Sort=A","Dates=H","DateFormat=P","Fill=—","Direction=H","UseDPDF=Y")</f>
        <v>—</v>
      </c>
      <c r="Z58" s="13">
        <f>_xll.BDH("ALNY US Equity","ARDR_INVENTORY","FQ3 2024","FQ3 2024","Currency=USD","Period=FQ","BEST_FPERIOD_OVERRIDE=FQ","FILING_STATUS=MR","SCALING_FORMAT=MLN","Sort=A","Dates=H","DateFormat=P","Fill=—","Direction=H","UseDPDF=Y")</f>
        <v>75.986999999999995</v>
      </c>
      <c r="AA58" s="13">
        <f>_xll.BDH("ALNY US Equity","ARDR_INVENTORY","FQ4 2024","FQ4 2024","Currency=USD","Period=FQ","BEST_FPERIOD_OVERRIDE=FQ","FILING_STATUS=MR","SCALING_FORMAT=MLN","Sort=A","Dates=H","DateFormat=P","Fill=—","Direction=H","UseDPDF=Y")</f>
        <v>78.509</v>
      </c>
    </row>
    <row r="59" spans="1:27" x14ac:dyDescent="0.25">
      <c r="A59" s="10" t="s">
        <v>914</v>
      </c>
      <c r="B59" s="10" t="s">
        <v>915</v>
      </c>
      <c r="C59" s="13" t="str">
        <f>_xll.BDH("ALNY US Equity","ARDR_RESTRICTED_CASH_ST","FQ4 2018","FQ4 2018","Currency=USD","Period=FQ","BEST_FPERIOD_OVERRIDE=FQ","FILING_STATUS=MR","SCALING_FORMAT=MLN","Sort=A","Dates=H","DateFormat=P","Fill=—","Direction=H","UseDPDF=Y")</f>
        <v>—</v>
      </c>
      <c r="D59" s="13" t="str">
        <f>_xll.BDH("ALNY US Equity","ARDR_RESTRICTED_CASH_ST","FQ1 2019","FQ1 2019","Currency=USD","Period=FQ","BEST_FPERIOD_OVERRIDE=FQ","FILING_STATUS=MR","SCALING_FORMAT=MLN","Sort=A","Dates=H","DateFormat=P","Fill=—","Direction=H","UseDPDF=Y")</f>
        <v>—</v>
      </c>
      <c r="E59" s="13" t="str">
        <f>_xll.BDH("ALNY US Equity","ARDR_RESTRICTED_CASH_ST","FQ2 2019","FQ2 2019","Currency=USD","Period=FQ","BEST_FPERIOD_OVERRIDE=FQ","FILING_STATUS=MR","SCALING_FORMAT=MLN","Sort=A","Dates=H","DateFormat=P","Fill=—","Direction=H","UseDPDF=Y")</f>
        <v>—</v>
      </c>
      <c r="F59" s="13" t="str">
        <f>_xll.BDH("ALNY US Equity","ARDR_RESTRICTED_CASH_ST","FQ3 2019","FQ3 2019","Currency=USD","Period=FQ","BEST_FPERIOD_OVERRIDE=FQ","FILING_STATUS=MR","SCALING_FORMAT=MLN","Sort=A","Dates=H","DateFormat=P","Fill=—","Direction=H","UseDPDF=Y")</f>
        <v>—</v>
      </c>
      <c r="G59" s="13" t="str">
        <f>_xll.BDH("ALNY US Equity","ARDR_RESTRICTED_CASH_ST","FQ4 2019","FQ4 2019","Currency=USD","Period=FQ","BEST_FPERIOD_OVERRIDE=FQ","FILING_STATUS=MR","SCALING_FORMAT=MLN","Sort=A","Dates=H","DateFormat=P","Fill=—","Direction=H","UseDPDF=Y")</f>
        <v>—</v>
      </c>
      <c r="H59" s="13" t="str">
        <f>_xll.BDH("ALNY US Equity","ARDR_RESTRICTED_CASH_ST","FQ1 2020","FQ1 2020","Currency=USD","Period=FQ","BEST_FPERIOD_OVERRIDE=FQ","FILING_STATUS=MR","SCALING_FORMAT=MLN","Sort=A","Dates=H","DateFormat=P","Fill=—","Direction=H","UseDPDF=Y")</f>
        <v>—</v>
      </c>
      <c r="I59" s="13" t="str">
        <f>_xll.BDH("ALNY US Equity","ARDR_RESTRICTED_CASH_ST","FQ2 2020","FQ2 2020","Currency=USD","Period=FQ","BEST_FPERIOD_OVERRIDE=FQ","FILING_STATUS=MR","SCALING_FORMAT=MLN","Sort=A","Dates=H","DateFormat=P","Fill=—","Direction=H","UseDPDF=Y")</f>
        <v>—</v>
      </c>
      <c r="J59" s="13" t="str">
        <f>_xll.BDH("ALNY US Equity","ARDR_RESTRICTED_CASH_ST","FQ3 2020","FQ3 2020","Currency=USD","Period=FQ","BEST_FPERIOD_OVERRIDE=FQ","FILING_STATUS=MR","SCALING_FORMAT=MLN","Sort=A","Dates=H","DateFormat=P","Fill=—","Direction=H","UseDPDF=Y")</f>
        <v>—</v>
      </c>
      <c r="K59" s="13" t="str">
        <f>_xll.BDH("ALNY US Equity","ARDR_RESTRICTED_CASH_ST","FQ4 2020","FQ4 2020","Currency=USD","Period=FQ","BEST_FPERIOD_OVERRIDE=FQ","FILING_STATUS=MR","SCALING_FORMAT=MLN","Sort=A","Dates=H","DateFormat=P","Fill=—","Direction=H","UseDPDF=Y")</f>
        <v>—</v>
      </c>
      <c r="L59" s="13" t="str">
        <f>_xll.BDH("ALNY US Equity","ARDR_RESTRICTED_CASH_ST","FQ1 2021","FQ1 2021","Currency=USD","Period=FQ","BEST_FPERIOD_OVERRIDE=FQ","FILING_STATUS=MR","SCALING_FORMAT=MLN","Sort=A","Dates=H","DateFormat=P","Fill=—","Direction=H","UseDPDF=Y")</f>
        <v>—</v>
      </c>
      <c r="M59" s="13" t="str">
        <f>_xll.BDH("ALNY US Equity","ARDR_RESTRICTED_CASH_ST","FQ2 2021","FQ2 2021","Currency=USD","Period=FQ","BEST_FPERIOD_OVERRIDE=FQ","FILING_STATUS=MR","SCALING_FORMAT=MLN","Sort=A","Dates=H","DateFormat=P","Fill=—","Direction=H","UseDPDF=Y")</f>
        <v>—</v>
      </c>
      <c r="N59" s="13" t="str">
        <f>_xll.BDH("ALNY US Equity","ARDR_RESTRICTED_CASH_ST","FQ3 2021","FQ3 2021","Currency=USD","Period=FQ","BEST_FPERIOD_OVERRIDE=FQ","FILING_STATUS=MR","SCALING_FORMAT=MLN","Sort=A","Dates=H","DateFormat=P","Fill=—","Direction=H","UseDPDF=Y")</f>
        <v>—</v>
      </c>
      <c r="O59" s="13" t="str">
        <f>_xll.BDH("ALNY US Equity","ARDR_RESTRICTED_CASH_ST","FQ4 2021","FQ4 2021","Currency=USD","Period=FQ","BEST_FPERIOD_OVERRIDE=FQ","FILING_STATUS=MR","SCALING_FORMAT=MLN","Sort=A","Dates=H","DateFormat=P","Fill=—","Direction=H","UseDPDF=Y")</f>
        <v>—</v>
      </c>
      <c r="P59" s="13" t="str">
        <f>_xll.BDH("ALNY US Equity","ARDR_RESTRICTED_CASH_ST","FQ1 2022","FQ1 2022","Currency=USD","Period=FQ","BEST_FPERIOD_OVERRIDE=FQ","FILING_STATUS=MR","SCALING_FORMAT=MLN","Sort=A","Dates=H","DateFormat=P","Fill=—","Direction=H","UseDPDF=Y")</f>
        <v>—</v>
      </c>
      <c r="Q59" s="13" t="str">
        <f>_xll.BDH("ALNY US Equity","ARDR_RESTRICTED_CASH_ST","FQ2 2022","FQ2 2022","Currency=USD","Period=FQ","BEST_FPERIOD_OVERRIDE=FQ","FILING_STATUS=MR","SCALING_FORMAT=MLN","Sort=A","Dates=H","DateFormat=P","Fill=—","Direction=H","UseDPDF=Y")</f>
        <v>—</v>
      </c>
      <c r="R59" s="13" t="str">
        <f>_xll.BDH("ALNY US Equity","ARDR_RESTRICTED_CASH_ST","FQ3 2022","FQ3 2022","Currency=USD","Period=FQ","BEST_FPERIOD_OVERRIDE=FQ","FILING_STATUS=MR","SCALING_FORMAT=MLN","Sort=A","Dates=H","DateFormat=P","Fill=—","Direction=H","UseDPDF=Y")</f>
        <v>—</v>
      </c>
      <c r="S59" s="13">
        <f>_xll.BDH("ALNY US Equity","ARDR_RESTRICTED_CASH_ST","FQ4 2022","FQ4 2022","Currency=USD","Period=FQ","BEST_FPERIOD_OVERRIDE=FQ","FILING_STATUS=MR","SCALING_FORMAT=MLN","Sort=A","Dates=H","DateFormat=P","Fill=—","Direction=H","UseDPDF=Y")</f>
        <v>2.1619999999999999</v>
      </c>
      <c r="T59" s="13" t="str">
        <f>_xll.BDH("ALNY US Equity","ARDR_RESTRICTED_CASH_ST","FQ1 2023","FQ1 2023","Currency=USD","Period=FQ","BEST_FPERIOD_OVERRIDE=FQ","FILING_STATUS=MR","SCALING_FORMAT=MLN","Sort=A","Dates=H","DateFormat=P","Fill=—","Direction=H","UseDPDF=Y")</f>
        <v>—</v>
      </c>
      <c r="U59" s="13" t="str">
        <f>_xll.BDH("ALNY US Equity","ARDR_RESTRICTED_CASH_ST","FQ2 2023","FQ2 2023","Currency=USD","Period=FQ","BEST_FPERIOD_OVERRIDE=FQ","FILING_STATUS=MR","SCALING_FORMAT=MLN","Sort=A","Dates=H","DateFormat=P","Fill=—","Direction=H","UseDPDF=Y")</f>
        <v>—</v>
      </c>
      <c r="V59" s="13" t="str">
        <f>_xll.BDH("ALNY US Equity","ARDR_RESTRICTED_CASH_ST","FQ3 2023","FQ3 2023","Currency=USD","Period=FQ","BEST_FPERIOD_OVERRIDE=FQ","FILING_STATUS=MR","SCALING_FORMAT=MLN","Sort=A","Dates=H","DateFormat=P","Fill=—","Direction=H","UseDPDF=Y")</f>
        <v>—</v>
      </c>
      <c r="W59" s="13">
        <f>_xll.BDH("ALNY US Equity","ARDR_RESTRICTED_CASH_ST","FQ4 2023","FQ4 2023","Currency=USD","Period=FQ","BEST_FPERIOD_OVERRIDE=FQ","FILING_STATUS=MR","SCALING_FORMAT=MLN","Sort=A","Dates=H","DateFormat=P","Fill=—","Direction=H","UseDPDF=Y")</f>
        <v>2.1960000000000002</v>
      </c>
      <c r="X59" s="13" t="str">
        <f>_xll.BDH("ALNY US Equity","ARDR_RESTRICTED_CASH_ST","FQ1 2024","FQ1 2024","Currency=USD","Period=FQ","BEST_FPERIOD_OVERRIDE=FQ","FILING_STATUS=MR","SCALING_FORMAT=MLN","Sort=A","Dates=H","DateFormat=P","Fill=—","Direction=H","UseDPDF=Y")</f>
        <v>—</v>
      </c>
      <c r="Y59" s="13" t="str">
        <f>_xll.BDH("ALNY US Equity","ARDR_RESTRICTED_CASH_ST","FQ2 2024","FQ2 2024","Currency=USD","Period=FQ","BEST_FPERIOD_OVERRIDE=FQ","FILING_STATUS=MR","SCALING_FORMAT=MLN","Sort=A","Dates=H","DateFormat=P","Fill=—","Direction=H","UseDPDF=Y")</f>
        <v>—</v>
      </c>
      <c r="Z59" s="13">
        <f>_xll.BDH("ALNY US Equity","ARDR_RESTRICTED_CASH_ST","FQ3 2024","FQ3 2024","Currency=USD","Period=FQ","BEST_FPERIOD_OVERRIDE=FQ","FILING_STATUS=MR","SCALING_FORMAT=MLN","Sort=A","Dates=H","DateFormat=P","Fill=—","Direction=H","UseDPDF=Y")</f>
        <v>2.5779999999999998</v>
      </c>
      <c r="AA59" s="13">
        <f>_xll.BDH("ALNY US Equity","ARDR_RESTRICTED_CASH_ST","FQ4 2024","FQ4 2024","Currency=USD","Period=FQ","BEST_FPERIOD_OVERRIDE=FQ","FILING_STATUS=MR","SCALING_FORMAT=MLN","Sort=A","Dates=H","DateFormat=P","Fill=—","Direction=H","UseDPDF=Y")</f>
        <v>2.2240000000000002</v>
      </c>
    </row>
    <row r="60" spans="1:27" x14ac:dyDescent="0.25">
      <c r="A60" s="10" t="s">
        <v>916</v>
      </c>
      <c r="B60" s="10" t="s">
        <v>917</v>
      </c>
      <c r="C60" s="13">
        <f>_xll.BDH("ALNY US Equity","ARDR_LAND","FQ4 2018","FQ4 2018","Currency=USD","Period=FQ","BEST_FPERIOD_OVERRIDE=FQ","FILING_STATUS=MR","SCALING_FORMAT=MLN","Sort=A","Dates=H","DateFormat=P","Fill=—","Direction=H","UseDPDF=Y")</f>
        <v>9.08</v>
      </c>
      <c r="D60" s="13" t="str">
        <f>_xll.BDH("ALNY US Equity","ARDR_LAND","FQ1 2019","FQ1 2019","Currency=USD","Period=FQ","BEST_FPERIOD_OVERRIDE=FQ","FILING_STATUS=MR","SCALING_FORMAT=MLN","Sort=A","Dates=H","DateFormat=P","Fill=—","Direction=H","UseDPDF=Y")</f>
        <v>—</v>
      </c>
      <c r="E60" s="13" t="str">
        <f>_xll.BDH("ALNY US Equity","ARDR_LAND","FQ2 2019","FQ2 2019","Currency=USD","Period=FQ","BEST_FPERIOD_OVERRIDE=FQ","FILING_STATUS=MR","SCALING_FORMAT=MLN","Sort=A","Dates=H","DateFormat=P","Fill=—","Direction=H","UseDPDF=Y")</f>
        <v>—</v>
      </c>
      <c r="F60" s="13" t="str">
        <f>_xll.BDH("ALNY US Equity","ARDR_LAND","FQ3 2019","FQ3 2019","Currency=USD","Period=FQ","BEST_FPERIOD_OVERRIDE=FQ","FILING_STATUS=MR","SCALING_FORMAT=MLN","Sort=A","Dates=H","DateFormat=P","Fill=—","Direction=H","UseDPDF=Y")</f>
        <v>—</v>
      </c>
      <c r="G60" s="13">
        <f>_xll.BDH("ALNY US Equity","ARDR_LAND","FQ4 2019","FQ4 2019","Currency=USD","Period=FQ","BEST_FPERIOD_OVERRIDE=FQ","FILING_STATUS=MR","SCALING_FORMAT=MLN","Sort=A","Dates=H","DateFormat=P","Fill=—","Direction=H","UseDPDF=Y")</f>
        <v>9.08</v>
      </c>
      <c r="H60" s="13" t="str">
        <f>_xll.BDH("ALNY US Equity","ARDR_LAND","FQ1 2020","FQ1 2020","Currency=USD","Period=FQ","BEST_FPERIOD_OVERRIDE=FQ","FILING_STATUS=MR","SCALING_FORMAT=MLN","Sort=A","Dates=H","DateFormat=P","Fill=—","Direction=H","UseDPDF=Y")</f>
        <v>—</v>
      </c>
      <c r="I60" s="13" t="str">
        <f>_xll.BDH("ALNY US Equity","ARDR_LAND","FQ2 2020","FQ2 2020","Currency=USD","Period=FQ","BEST_FPERIOD_OVERRIDE=FQ","FILING_STATUS=MR","SCALING_FORMAT=MLN","Sort=A","Dates=H","DateFormat=P","Fill=—","Direction=H","UseDPDF=Y")</f>
        <v>—</v>
      </c>
      <c r="J60" s="13" t="str">
        <f>_xll.BDH("ALNY US Equity","ARDR_LAND","FQ3 2020","FQ3 2020","Currency=USD","Period=FQ","BEST_FPERIOD_OVERRIDE=FQ","FILING_STATUS=MR","SCALING_FORMAT=MLN","Sort=A","Dates=H","DateFormat=P","Fill=—","Direction=H","UseDPDF=Y")</f>
        <v>—</v>
      </c>
      <c r="K60" s="13">
        <f>_xll.BDH("ALNY US Equity","ARDR_LAND","FQ4 2020","FQ4 2020","Currency=USD","Period=FQ","BEST_FPERIOD_OVERRIDE=FQ","FILING_STATUS=MR","SCALING_FORMAT=MLN","Sort=A","Dates=H","DateFormat=P","Fill=—","Direction=H","UseDPDF=Y")</f>
        <v>9.08</v>
      </c>
      <c r="L60" s="13" t="str">
        <f>_xll.BDH("ALNY US Equity","ARDR_LAND","FQ1 2021","FQ1 2021","Currency=USD","Period=FQ","BEST_FPERIOD_OVERRIDE=FQ","FILING_STATUS=MR","SCALING_FORMAT=MLN","Sort=A","Dates=H","DateFormat=P","Fill=—","Direction=H","UseDPDF=Y")</f>
        <v>—</v>
      </c>
      <c r="M60" s="13" t="str">
        <f>_xll.BDH("ALNY US Equity","ARDR_LAND","FQ2 2021","FQ2 2021","Currency=USD","Period=FQ","BEST_FPERIOD_OVERRIDE=FQ","FILING_STATUS=MR","SCALING_FORMAT=MLN","Sort=A","Dates=H","DateFormat=P","Fill=—","Direction=H","UseDPDF=Y")</f>
        <v>—</v>
      </c>
      <c r="N60" s="13" t="str">
        <f>_xll.BDH("ALNY US Equity","ARDR_LAND","FQ3 2021","FQ3 2021","Currency=USD","Period=FQ","BEST_FPERIOD_OVERRIDE=FQ","FILING_STATUS=MR","SCALING_FORMAT=MLN","Sort=A","Dates=H","DateFormat=P","Fill=—","Direction=H","UseDPDF=Y")</f>
        <v>—</v>
      </c>
      <c r="O60" s="13">
        <f>_xll.BDH("ALNY US Equity","ARDR_LAND","FQ4 2021","FQ4 2021","Currency=USD","Period=FQ","BEST_FPERIOD_OVERRIDE=FQ","FILING_STATUS=MR","SCALING_FORMAT=MLN","Sort=A","Dates=H","DateFormat=P","Fill=—","Direction=H","UseDPDF=Y")</f>
        <v>9.08</v>
      </c>
      <c r="P60" s="13" t="str">
        <f>_xll.BDH("ALNY US Equity","ARDR_LAND","FQ1 2022","FQ1 2022","Currency=USD","Period=FQ","BEST_FPERIOD_OVERRIDE=FQ","FILING_STATUS=MR","SCALING_FORMAT=MLN","Sort=A","Dates=H","DateFormat=P","Fill=—","Direction=H","UseDPDF=Y")</f>
        <v>—</v>
      </c>
      <c r="Q60" s="13" t="str">
        <f>_xll.BDH("ALNY US Equity","ARDR_LAND","FQ2 2022","FQ2 2022","Currency=USD","Period=FQ","BEST_FPERIOD_OVERRIDE=FQ","FILING_STATUS=MR","SCALING_FORMAT=MLN","Sort=A","Dates=H","DateFormat=P","Fill=—","Direction=H","UseDPDF=Y")</f>
        <v>—</v>
      </c>
      <c r="R60" s="13" t="str">
        <f>_xll.BDH("ALNY US Equity","ARDR_LAND","FQ3 2022","FQ3 2022","Currency=USD","Period=FQ","BEST_FPERIOD_OVERRIDE=FQ","FILING_STATUS=MR","SCALING_FORMAT=MLN","Sort=A","Dates=H","DateFormat=P","Fill=—","Direction=H","UseDPDF=Y")</f>
        <v>—</v>
      </c>
      <c r="S60" s="13">
        <f>_xll.BDH("ALNY US Equity","ARDR_LAND","FQ4 2022","FQ4 2022","Currency=USD","Period=FQ","BEST_FPERIOD_OVERRIDE=FQ","FILING_STATUS=MR","SCALING_FORMAT=MLN","Sort=A","Dates=H","DateFormat=P","Fill=—","Direction=H","UseDPDF=Y")</f>
        <v>9.08</v>
      </c>
      <c r="T60" s="13" t="str">
        <f>_xll.BDH("ALNY US Equity","ARDR_LAND","FQ1 2023","FQ1 2023","Currency=USD","Period=FQ","BEST_FPERIOD_OVERRIDE=FQ","FILING_STATUS=MR","SCALING_FORMAT=MLN","Sort=A","Dates=H","DateFormat=P","Fill=—","Direction=H","UseDPDF=Y")</f>
        <v>—</v>
      </c>
      <c r="U60" s="13" t="str">
        <f>_xll.BDH("ALNY US Equity","ARDR_LAND","FQ2 2023","FQ2 2023","Currency=USD","Period=FQ","BEST_FPERIOD_OVERRIDE=FQ","FILING_STATUS=MR","SCALING_FORMAT=MLN","Sort=A","Dates=H","DateFormat=P","Fill=—","Direction=H","UseDPDF=Y")</f>
        <v>—</v>
      </c>
      <c r="V60" s="13" t="str">
        <f>_xll.BDH("ALNY US Equity","ARDR_LAND","FQ3 2023","FQ3 2023","Currency=USD","Period=FQ","BEST_FPERIOD_OVERRIDE=FQ","FILING_STATUS=MR","SCALING_FORMAT=MLN","Sort=A","Dates=H","DateFormat=P","Fill=—","Direction=H","UseDPDF=Y")</f>
        <v>—</v>
      </c>
      <c r="W60" s="13">
        <f>_xll.BDH("ALNY US Equity","ARDR_LAND","FQ4 2023","FQ4 2023","Currency=USD","Period=FQ","BEST_FPERIOD_OVERRIDE=FQ","FILING_STATUS=MR","SCALING_FORMAT=MLN","Sort=A","Dates=H","DateFormat=P","Fill=—","Direction=H","UseDPDF=Y")</f>
        <v>9.08</v>
      </c>
      <c r="X60" s="13" t="str">
        <f>_xll.BDH("ALNY US Equity","ARDR_LAND","FQ1 2024","FQ1 2024","Currency=USD","Period=FQ","BEST_FPERIOD_OVERRIDE=FQ","FILING_STATUS=MR","SCALING_FORMAT=MLN","Sort=A","Dates=H","DateFormat=P","Fill=—","Direction=H","UseDPDF=Y")</f>
        <v>—</v>
      </c>
      <c r="Y60" s="13" t="str">
        <f>_xll.BDH("ALNY US Equity","ARDR_LAND","FQ2 2024","FQ2 2024","Currency=USD","Period=FQ","BEST_FPERIOD_OVERRIDE=FQ","FILING_STATUS=MR","SCALING_FORMAT=MLN","Sort=A","Dates=H","DateFormat=P","Fill=—","Direction=H","UseDPDF=Y")</f>
        <v>—</v>
      </c>
      <c r="Z60" s="13" t="str">
        <f>_xll.BDH("ALNY US Equity","ARDR_LAND","FQ3 2024","FQ3 2024","Currency=USD","Period=FQ","BEST_FPERIOD_OVERRIDE=FQ","FILING_STATUS=MR","SCALING_FORMAT=MLN","Sort=A","Dates=H","DateFormat=P","Fill=—","Direction=H","UseDPDF=Y")</f>
        <v>—</v>
      </c>
      <c r="AA60" s="13">
        <f>_xll.BDH("ALNY US Equity","ARDR_LAND","FQ4 2024","FQ4 2024","Currency=USD","Period=FQ","BEST_FPERIOD_OVERRIDE=FQ","FILING_STATUS=MR","SCALING_FORMAT=MLN","Sort=A","Dates=H","DateFormat=P","Fill=—","Direction=H","UseDPDF=Y")</f>
        <v>9.08</v>
      </c>
    </row>
    <row r="61" spans="1:27" x14ac:dyDescent="0.25">
      <c r="A61" s="10" t="s">
        <v>918</v>
      </c>
      <c r="B61" s="10" t="s">
        <v>919</v>
      </c>
      <c r="C61" s="13" t="str">
        <f>_xll.BDH("ALNY US Equity","ARDR_BUILDING","FQ4 2018","FQ4 2018","Currency=USD","Period=FQ","BEST_FPERIOD_OVERRIDE=FQ","FILING_STATUS=MR","SCALING_FORMAT=MLN","Sort=A","Dates=H","DateFormat=P","Fill=—","Direction=H","UseDPDF=Y")</f>
        <v>—</v>
      </c>
      <c r="D61" s="13" t="str">
        <f>_xll.BDH("ALNY US Equity","ARDR_BUILDING","FQ1 2019","FQ1 2019","Currency=USD","Period=FQ","BEST_FPERIOD_OVERRIDE=FQ","FILING_STATUS=MR","SCALING_FORMAT=MLN","Sort=A","Dates=H","DateFormat=P","Fill=—","Direction=H","UseDPDF=Y")</f>
        <v>—</v>
      </c>
      <c r="E61" s="13" t="str">
        <f>_xll.BDH("ALNY US Equity","ARDR_BUILDING","FQ2 2019","FQ2 2019","Currency=USD","Period=FQ","BEST_FPERIOD_OVERRIDE=FQ","FILING_STATUS=MR","SCALING_FORMAT=MLN","Sort=A","Dates=H","DateFormat=P","Fill=—","Direction=H","UseDPDF=Y")</f>
        <v>—</v>
      </c>
      <c r="F61" s="13" t="str">
        <f>_xll.BDH("ALNY US Equity","ARDR_BUILDING","FQ3 2019","FQ3 2019","Currency=USD","Period=FQ","BEST_FPERIOD_OVERRIDE=FQ","FILING_STATUS=MR","SCALING_FORMAT=MLN","Sort=A","Dates=H","DateFormat=P","Fill=—","Direction=H","UseDPDF=Y")</f>
        <v>—</v>
      </c>
      <c r="G61" s="13">
        <f>_xll.BDH("ALNY US Equity","ARDR_BUILDING","FQ4 2019","FQ4 2019","Currency=USD","Period=FQ","BEST_FPERIOD_OVERRIDE=FQ","FILING_STATUS=MR","SCALING_FORMAT=MLN","Sort=A","Dates=H","DateFormat=P","Fill=—","Direction=H","UseDPDF=Y")</f>
        <v>250.38</v>
      </c>
      <c r="H61" s="13" t="str">
        <f>_xll.BDH("ALNY US Equity","ARDR_BUILDING","FQ1 2020","FQ1 2020","Currency=USD","Period=FQ","BEST_FPERIOD_OVERRIDE=FQ","FILING_STATUS=MR","SCALING_FORMAT=MLN","Sort=A","Dates=H","DateFormat=P","Fill=—","Direction=H","UseDPDF=Y")</f>
        <v>—</v>
      </c>
      <c r="I61" s="13" t="str">
        <f>_xll.BDH("ALNY US Equity","ARDR_BUILDING","FQ2 2020","FQ2 2020","Currency=USD","Period=FQ","BEST_FPERIOD_OVERRIDE=FQ","FILING_STATUS=MR","SCALING_FORMAT=MLN","Sort=A","Dates=H","DateFormat=P","Fill=—","Direction=H","UseDPDF=Y")</f>
        <v>—</v>
      </c>
      <c r="J61" s="13" t="str">
        <f>_xll.BDH("ALNY US Equity","ARDR_BUILDING","FQ3 2020","FQ3 2020","Currency=USD","Period=FQ","BEST_FPERIOD_OVERRIDE=FQ","FILING_STATUS=MR","SCALING_FORMAT=MLN","Sort=A","Dates=H","DateFormat=P","Fill=—","Direction=H","UseDPDF=Y")</f>
        <v>—</v>
      </c>
      <c r="K61" s="13">
        <f>_xll.BDH("ALNY US Equity","ARDR_BUILDING","FQ4 2020","FQ4 2020","Currency=USD","Period=FQ","BEST_FPERIOD_OVERRIDE=FQ","FILING_STATUS=MR","SCALING_FORMAT=MLN","Sort=A","Dates=H","DateFormat=P","Fill=—","Direction=H","UseDPDF=Y")</f>
        <v>262.637</v>
      </c>
      <c r="L61" s="13" t="str">
        <f>_xll.BDH("ALNY US Equity","ARDR_BUILDING","FQ1 2021","FQ1 2021","Currency=USD","Period=FQ","BEST_FPERIOD_OVERRIDE=FQ","FILING_STATUS=MR","SCALING_FORMAT=MLN","Sort=A","Dates=H","DateFormat=P","Fill=—","Direction=H","UseDPDF=Y")</f>
        <v>—</v>
      </c>
      <c r="M61" s="13" t="str">
        <f>_xll.BDH("ALNY US Equity","ARDR_BUILDING","FQ2 2021","FQ2 2021","Currency=USD","Period=FQ","BEST_FPERIOD_OVERRIDE=FQ","FILING_STATUS=MR","SCALING_FORMAT=MLN","Sort=A","Dates=H","DateFormat=P","Fill=—","Direction=H","UseDPDF=Y")</f>
        <v>—</v>
      </c>
      <c r="N61" s="13" t="str">
        <f>_xll.BDH("ALNY US Equity","ARDR_BUILDING","FQ3 2021","FQ3 2021","Currency=USD","Period=FQ","BEST_FPERIOD_OVERRIDE=FQ","FILING_STATUS=MR","SCALING_FORMAT=MLN","Sort=A","Dates=H","DateFormat=P","Fill=—","Direction=H","UseDPDF=Y")</f>
        <v>—</v>
      </c>
      <c r="O61" s="13">
        <f>_xll.BDH("ALNY US Equity","ARDR_BUILDING","FQ4 2021","FQ4 2021","Currency=USD","Period=FQ","BEST_FPERIOD_OVERRIDE=FQ","FILING_STATUS=MR","SCALING_FORMAT=MLN","Sort=A","Dates=H","DateFormat=P","Fill=—","Direction=H","UseDPDF=Y")</f>
        <v>262.637</v>
      </c>
      <c r="P61" s="13" t="str">
        <f>_xll.BDH("ALNY US Equity","ARDR_BUILDING","FQ1 2022","FQ1 2022","Currency=USD","Period=FQ","BEST_FPERIOD_OVERRIDE=FQ","FILING_STATUS=MR","SCALING_FORMAT=MLN","Sort=A","Dates=H","DateFormat=P","Fill=—","Direction=H","UseDPDF=Y")</f>
        <v>—</v>
      </c>
      <c r="Q61" s="13" t="str">
        <f>_xll.BDH("ALNY US Equity","ARDR_BUILDING","FQ2 2022","FQ2 2022","Currency=USD","Period=FQ","BEST_FPERIOD_OVERRIDE=FQ","FILING_STATUS=MR","SCALING_FORMAT=MLN","Sort=A","Dates=H","DateFormat=P","Fill=—","Direction=H","UseDPDF=Y")</f>
        <v>—</v>
      </c>
      <c r="R61" s="13" t="str">
        <f>_xll.BDH("ALNY US Equity","ARDR_BUILDING","FQ3 2022","FQ3 2022","Currency=USD","Period=FQ","BEST_FPERIOD_OVERRIDE=FQ","FILING_STATUS=MR","SCALING_FORMAT=MLN","Sort=A","Dates=H","DateFormat=P","Fill=—","Direction=H","UseDPDF=Y")</f>
        <v>—</v>
      </c>
      <c r="S61" s="13">
        <f>_xll.BDH("ALNY US Equity","ARDR_BUILDING","FQ4 2022","FQ4 2022","Currency=USD","Period=FQ","BEST_FPERIOD_OVERRIDE=FQ","FILING_STATUS=MR","SCALING_FORMAT=MLN","Sort=A","Dates=H","DateFormat=P","Fill=—","Direction=H","UseDPDF=Y")</f>
        <v>269.322</v>
      </c>
      <c r="T61" s="13" t="str">
        <f>_xll.BDH("ALNY US Equity","ARDR_BUILDING","FQ1 2023","FQ1 2023","Currency=USD","Period=FQ","BEST_FPERIOD_OVERRIDE=FQ","FILING_STATUS=MR","SCALING_FORMAT=MLN","Sort=A","Dates=H","DateFormat=P","Fill=—","Direction=H","UseDPDF=Y")</f>
        <v>—</v>
      </c>
      <c r="U61" s="13" t="str">
        <f>_xll.BDH("ALNY US Equity","ARDR_BUILDING","FQ2 2023","FQ2 2023","Currency=USD","Period=FQ","BEST_FPERIOD_OVERRIDE=FQ","FILING_STATUS=MR","SCALING_FORMAT=MLN","Sort=A","Dates=H","DateFormat=P","Fill=—","Direction=H","UseDPDF=Y")</f>
        <v>—</v>
      </c>
      <c r="V61" s="13" t="str">
        <f>_xll.BDH("ALNY US Equity","ARDR_BUILDING","FQ3 2023","FQ3 2023","Currency=USD","Period=FQ","BEST_FPERIOD_OVERRIDE=FQ","FILING_STATUS=MR","SCALING_FORMAT=MLN","Sort=A","Dates=H","DateFormat=P","Fill=—","Direction=H","UseDPDF=Y")</f>
        <v>—</v>
      </c>
      <c r="W61" s="13">
        <f>_xll.BDH("ALNY US Equity","ARDR_BUILDING","FQ4 2023","FQ4 2023","Currency=USD","Period=FQ","BEST_FPERIOD_OVERRIDE=FQ","FILING_STATUS=MR","SCALING_FORMAT=MLN","Sort=A","Dates=H","DateFormat=P","Fill=—","Direction=H","UseDPDF=Y")</f>
        <v>271.65100000000001</v>
      </c>
      <c r="X61" s="13" t="str">
        <f>_xll.BDH("ALNY US Equity","ARDR_BUILDING","FQ1 2024","FQ1 2024","Currency=USD","Period=FQ","BEST_FPERIOD_OVERRIDE=FQ","FILING_STATUS=MR","SCALING_FORMAT=MLN","Sort=A","Dates=H","DateFormat=P","Fill=—","Direction=H","UseDPDF=Y")</f>
        <v>—</v>
      </c>
      <c r="Y61" s="13" t="str">
        <f>_xll.BDH("ALNY US Equity","ARDR_BUILDING","FQ2 2024","FQ2 2024","Currency=USD","Period=FQ","BEST_FPERIOD_OVERRIDE=FQ","FILING_STATUS=MR","SCALING_FORMAT=MLN","Sort=A","Dates=H","DateFormat=P","Fill=—","Direction=H","UseDPDF=Y")</f>
        <v>—</v>
      </c>
      <c r="Z61" s="13" t="str">
        <f>_xll.BDH("ALNY US Equity","ARDR_BUILDING","FQ3 2024","FQ3 2024","Currency=USD","Period=FQ","BEST_FPERIOD_OVERRIDE=FQ","FILING_STATUS=MR","SCALING_FORMAT=MLN","Sort=A","Dates=H","DateFormat=P","Fill=—","Direction=H","UseDPDF=Y")</f>
        <v>—</v>
      </c>
      <c r="AA61" s="13">
        <f>_xll.BDH("ALNY US Equity","ARDR_BUILDING","FQ4 2024","FQ4 2024","Currency=USD","Period=FQ","BEST_FPERIOD_OVERRIDE=FQ","FILING_STATUS=MR","SCALING_FORMAT=MLN","Sort=A","Dates=H","DateFormat=P","Fill=—","Direction=H","UseDPDF=Y")</f>
        <v>294.50799999999998</v>
      </c>
    </row>
    <row r="62" spans="1:27" x14ac:dyDescent="0.25">
      <c r="A62" s="10" t="s">
        <v>920</v>
      </c>
      <c r="B62" s="10" t="s">
        <v>921</v>
      </c>
      <c r="C62" s="13">
        <f>_xll.BDH("ALNY US Equity","ARDR_LEASEHOLD_IMPROVEMENTS","FQ4 2018","FQ4 2018","Currency=USD","Period=FQ","BEST_FPERIOD_OVERRIDE=FQ","FILING_STATUS=MR","SCALING_FORMAT=MLN","Sort=A","Dates=H","DateFormat=P","Fill=—","Direction=H","UseDPDF=Y")</f>
        <v>65.927999999999997</v>
      </c>
      <c r="D62" s="13" t="str">
        <f>_xll.BDH("ALNY US Equity","ARDR_LEASEHOLD_IMPROVEMENTS","FQ1 2019","FQ1 2019","Currency=USD","Period=FQ","BEST_FPERIOD_OVERRIDE=FQ","FILING_STATUS=MR","SCALING_FORMAT=MLN","Sort=A","Dates=H","DateFormat=P","Fill=—","Direction=H","UseDPDF=Y")</f>
        <v>—</v>
      </c>
      <c r="E62" s="13" t="str">
        <f>_xll.BDH("ALNY US Equity","ARDR_LEASEHOLD_IMPROVEMENTS","FQ2 2019","FQ2 2019","Currency=USD","Period=FQ","BEST_FPERIOD_OVERRIDE=FQ","FILING_STATUS=MR","SCALING_FORMAT=MLN","Sort=A","Dates=H","DateFormat=P","Fill=—","Direction=H","UseDPDF=Y")</f>
        <v>—</v>
      </c>
      <c r="F62" s="13" t="str">
        <f>_xll.BDH("ALNY US Equity","ARDR_LEASEHOLD_IMPROVEMENTS","FQ3 2019","FQ3 2019","Currency=USD","Period=FQ","BEST_FPERIOD_OVERRIDE=FQ","FILING_STATUS=MR","SCALING_FORMAT=MLN","Sort=A","Dates=H","DateFormat=P","Fill=—","Direction=H","UseDPDF=Y")</f>
        <v>—</v>
      </c>
      <c r="G62" s="13">
        <f>_xll.BDH("ALNY US Equity","ARDR_LEASEHOLD_IMPROVEMENTS","FQ4 2019","FQ4 2019","Currency=USD","Period=FQ","BEST_FPERIOD_OVERRIDE=FQ","FILING_STATUS=MR","SCALING_FORMAT=MLN","Sort=A","Dates=H","DateFormat=P","Fill=—","Direction=H","UseDPDF=Y")</f>
        <v>132.63200000000001</v>
      </c>
      <c r="H62" s="13" t="str">
        <f>_xll.BDH("ALNY US Equity","ARDR_LEASEHOLD_IMPROVEMENTS","FQ1 2020","FQ1 2020","Currency=USD","Period=FQ","BEST_FPERIOD_OVERRIDE=FQ","FILING_STATUS=MR","SCALING_FORMAT=MLN","Sort=A","Dates=H","DateFormat=P","Fill=—","Direction=H","UseDPDF=Y")</f>
        <v>—</v>
      </c>
      <c r="I62" s="13" t="str">
        <f>_xll.BDH("ALNY US Equity","ARDR_LEASEHOLD_IMPROVEMENTS","FQ2 2020","FQ2 2020","Currency=USD","Period=FQ","BEST_FPERIOD_OVERRIDE=FQ","FILING_STATUS=MR","SCALING_FORMAT=MLN","Sort=A","Dates=H","DateFormat=P","Fill=—","Direction=H","UseDPDF=Y")</f>
        <v>—</v>
      </c>
      <c r="J62" s="13" t="str">
        <f>_xll.BDH("ALNY US Equity","ARDR_LEASEHOLD_IMPROVEMENTS","FQ3 2020","FQ3 2020","Currency=USD","Period=FQ","BEST_FPERIOD_OVERRIDE=FQ","FILING_STATUS=MR","SCALING_FORMAT=MLN","Sort=A","Dates=H","DateFormat=P","Fill=—","Direction=H","UseDPDF=Y")</f>
        <v>—</v>
      </c>
      <c r="K62" s="13">
        <f>_xll.BDH("ALNY US Equity","ARDR_LEASEHOLD_IMPROVEMENTS","FQ4 2020","FQ4 2020","Currency=USD","Period=FQ","BEST_FPERIOD_OVERRIDE=FQ","FILING_STATUS=MR","SCALING_FORMAT=MLN","Sort=A","Dates=H","DateFormat=P","Fill=—","Direction=H","UseDPDF=Y")</f>
        <v>149.505</v>
      </c>
      <c r="L62" s="13" t="str">
        <f>_xll.BDH("ALNY US Equity","ARDR_LEASEHOLD_IMPROVEMENTS","FQ1 2021","FQ1 2021","Currency=USD","Period=FQ","BEST_FPERIOD_OVERRIDE=FQ","FILING_STATUS=MR","SCALING_FORMAT=MLN","Sort=A","Dates=H","DateFormat=P","Fill=—","Direction=H","UseDPDF=Y")</f>
        <v>—</v>
      </c>
      <c r="M62" s="13" t="str">
        <f>_xll.BDH("ALNY US Equity","ARDR_LEASEHOLD_IMPROVEMENTS","FQ2 2021","FQ2 2021","Currency=USD","Period=FQ","BEST_FPERIOD_OVERRIDE=FQ","FILING_STATUS=MR","SCALING_FORMAT=MLN","Sort=A","Dates=H","DateFormat=P","Fill=—","Direction=H","UseDPDF=Y")</f>
        <v>—</v>
      </c>
      <c r="N62" s="13" t="str">
        <f>_xll.BDH("ALNY US Equity","ARDR_LEASEHOLD_IMPROVEMENTS","FQ3 2021","FQ3 2021","Currency=USD","Period=FQ","BEST_FPERIOD_OVERRIDE=FQ","FILING_STATUS=MR","SCALING_FORMAT=MLN","Sort=A","Dates=H","DateFormat=P","Fill=—","Direction=H","UseDPDF=Y")</f>
        <v>—</v>
      </c>
      <c r="O62" s="13">
        <f>_xll.BDH("ALNY US Equity","ARDR_LEASEHOLD_IMPROVEMENTS","FQ4 2021","FQ4 2021","Currency=USD","Period=FQ","BEST_FPERIOD_OVERRIDE=FQ","FILING_STATUS=MR","SCALING_FORMAT=MLN","Sort=A","Dates=H","DateFormat=P","Fill=—","Direction=H","UseDPDF=Y")</f>
        <v>152.04499999999999</v>
      </c>
      <c r="P62" s="13" t="str">
        <f>_xll.BDH("ALNY US Equity","ARDR_LEASEHOLD_IMPROVEMENTS","FQ1 2022","FQ1 2022","Currency=USD","Period=FQ","BEST_FPERIOD_OVERRIDE=FQ","FILING_STATUS=MR","SCALING_FORMAT=MLN","Sort=A","Dates=H","DateFormat=P","Fill=—","Direction=H","UseDPDF=Y")</f>
        <v>—</v>
      </c>
      <c r="Q62" s="13" t="str">
        <f>_xll.BDH("ALNY US Equity","ARDR_LEASEHOLD_IMPROVEMENTS","FQ2 2022","FQ2 2022","Currency=USD","Period=FQ","BEST_FPERIOD_OVERRIDE=FQ","FILING_STATUS=MR","SCALING_FORMAT=MLN","Sort=A","Dates=H","DateFormat=P","Fill=—","Direction=H","UseDPDF=Y")</f>
        <v>—</v>
      </c>
      <c r="R62" s="13" t="str">
        <f>_xll.BDH("ALNY US Equity","ARDR_LEASEHOLD_IMPROVEMENTS","FQ3 2022","FQ3 2022","Currency=USD","Period=FQ","BEST_FPERIOD_OVERRIDE=FQ","FILING_STATUS=MR","SCALING_FORMAT=MLN","Sort=A","Dates=H","DateFormat=P","Fill=—","Direction=H","UseDPDF=Y")</f>
        <v>—</v>
      </c>
      <c r="S62" s="13">
        <f>_xll.BDH("ALNY US Equity","ARDR_LEASEHOLD_IMPROVEMENTS","FQ4 2022","FQ4 2022","Currency=USD","Period=FQ","BEST_FPERIOD_OVERRIDE=FQ","FILING_STATUS=MR","SCALING_FORMAT=MLN","Sort=A","Dates=H","DateFormat=P","Fill=—","Direction=H","UseDPDF=Y")</f>
        <v>230.84800000000001</v>
      </c>
      <c r="T62" s="13" t="str">
        <f>_xll.BDH("ALNY US Equity","ARDR_LEASEHOLD_IMPROVEMENTS","FQ1 2023","FQ1 2023","Currency=USD","Period=FQ","BEST_FPERIOD_OVERRIDE=FQ","FILING_STATUS=MR","SCALING_FORMAT=MLN","Sort=A","Dates=H","DateFormat=P","Fill=—","Direction=H","UseDPDF=Y")</f>
        <v>—</v>
      </c>
      <c r="U62" s="13" t="str">
        <f>_xll.BDH("ALNY US Equity","ARDR_LEASEHOLD_IMPROVEMENTS","FQ2 2023","FQ2 2023","Currency=USD","Period=FQ","BEST_FPERIOD_OVERRIDE=FQ","FILING_STATUS=MR","SCALING_FORMAT=MLN","Sort=A","Dates=H","DateFormat=P","Fill=—","Direction=H","UseDPDF=Y")</f>
        <v>—</v>
      </c>
      <c r="V62" s="13" t="str">
        <f>_xll.BDH("ALNY US Equity","ARDR_LEASEHOLD_IMPROVEMENTS","FQ3 2023","FQ3 2023","Currency=USD","Period=FQ","BEST_FPERIOD_OVERRIDE=FQ","FILING_STATUS=MR","SCALING_FORMAT=MLN","Sort=A","Dates=H","DateFormat=P","Fill=—","Direction=H","UseDPDF=Y")</f>
        <v>—</v>
      </c>
      <c r="W62" s="13">
        <f>_xll.BDH("ALNY US Equity","ARDR_LEASEHOLD_IMPROVEMENTS","FQ4 2023","FQ4 2023","Currency=USD","Period=FQ","BEST_FPERIOD_OVERRIDE=FQ","FILING_STATUS=MR","SCALING_FORMAT=MLN","Sort=A","Dates=H","DateFormat=P","Fill=—","Direction=H","UseDPDF=Y")</f>
        <v>235.411</v>
      </c>
      <c r="X62" s="13" t="str">
        <f>_xll.BDH("ALNY US Equity","ARDR_LEASEHOLD_IMPROVEMENTS","FQ1 2024","FQ1 2024","Currency=USD","Period=FQ","BEST_FPERIOD_OVERRIDE=FQ","FILING_STATUS=MR","SCALING_FORMAT=MLN","Sort=A","Dates=H","DateFormat=P","Fill=—","Direction=H","UseDPDF=Y")</f>
        <v>—</v>
      </c>
      <c r="Y62" s="13" t="str">
        <f>_xll.BDH("ALNY US Equity","ARDR_LEASEHOLD_IMPROVEMENTS","FQ2 2024","FQ2 2024","Currency=USD","Period=FQ","BEST_FPERIOD_OVERRIDE=FQ","FILING_STATUS=MR","SCALING_FORMAT=MLN","Sort=A","Dates=H","DateFormat=P","Fill=—","Direction=H","UseDPDF=Y")</f>
        <v>—</v>
      </c>
      <c r="Z62" s="13" t="str">
        <f>_xll.BDH("ALNY US Equity","ARDR_LEASEHOLD_IMPROVEMENTS","FQ3 2024","FQ3 2024","Currency=USD","Period=FQ","BEST_FPERIOD_OVERRIDE=FQ","FILING_STATUS=MR","SCALING_FORMAT=MLN","Sort=A","Dates=H","DateFormat=P","Fill=—","Direction=H","UseDPDF=Y")</f>
        <v>—</v>
      </c>
      <c r="AA62" s="13">
        <f>_xll.BDH("ALNY US Equity","ARDR_LEASEHOLD_IMPROVEMENTS","FQ4 2024","FQ4 2024","Currency=USD","Period=FQ","BEST_FPERIOD_OVERRIDE=FQ","FILING_STATUS=MR","SCALING_FORMAT=MLN","Sort=A","Dates=H","DateFormat=P","Fill=—","Direction=H","UseDPDF=Y")</f>
        <v>236.68600000000001</v>
      </c>
    </row>
    <row r="63" spans="1:27" x14ac:dyDescent="0.25">
      <c r="A63" s="10" t="s">
        <v>922</v>
      </c>
      <c r="B63" s="10" t="s">
        <v>923</v>
      </c>
      <c r="C63" s="13">
        <f>_xll.BDH("ALNY US Equity","ARDR_CONSTRUCTION_IN_PROGRESS","FQ4 2018","FQ4 2018","Currency=USD","Period=FQ","BEST_FPERIOD_OVERRIDE=FQ","FILING_STATUS=MR","SCALING_FORMAT=MLN","Sort=A","Dates=H","DateFormat=P","Fill=—","Direction=H","UseDPDF=Y")</f>
        <v>260.97500000000002</v>
      </c>
      <c r="D63" s="13" t="str">
        <f>_xll.BDH("ALNY US Equity","ARDR_CONSTRUCTION_IN_PROGRESS","FQ1 2019","FQ1 2019","Currency=USD","Period=FQ","BEST_FPERIOD_OVERRIDE=FQ","FILING_STATUS=MR","SCALING_FORMAT=MLN","Sort=A","Dates=H","DateFormat=P","Fill=—","Direction=H","UseDPDF=Y")</f>
        <v>—</v>
      </c>
      <c r="E63" s="13" t="str">
        <f>_xll.BDH("ALNY US Equity","ARDR_CONSTRUCTION_IN_PROGRESS","FQ2 2019","FQ2 2019","Currency=USD","Period=FQ","BEST_FPERIOD_OVERRIDE=FQ","FILING_STATUS=MR","SCALING_FORMAT=MLN","Sort=A","Dates=H","DateFormat=P","Fill=—","Direction=H","UseDPDF=Y")</f>
        <v>—</v>
      </c>
      <c r="F63" s="13" t="str">
        <f>_xll.BDH("ALNY US Equity","ARDR_CONSTRUCTION_IN_PROGRESS","FQ3 2019","FQ3 2019","Currency=USD","Period=FQ","BEST_FPERIOD_OVERRIDE=FQ","FILING_STATUS=MR","SCALING_FORMAT=MLN","Sort=A","Dates=H","DateFormat=P","Fill=—","Direction=H","UseDPDF=Y")</f>
        <v>—</v>
      </c>
      <c r="G63" s="13">
        <f>_xll.BDH("ALNY US Equity","ARDR_CONSTRUCTION_IN_PROGRESS","FQ4 2019","FQ4 2019","Currency=USD","Period=FQ","BEST_FPERIOD_OVERRIDE=FQ","FILING_STATUS=MR","SCALING_FORMAT=MLN","Sort=A","Dates=H","DateFormat=P","Fill=—","Direction=H","UseDPDF=Y")</f>
        <v>54.195</v>
      </c>
      <c r="H63" s="13" t="str">
        <f>_xll.BDH("ALNY US Equity","ARDR_CONSTRUCTION_IN_PROGRESS","FQ1 2020","FQ1 2020","Currency=USD","Period=FQ","BEST_FPERIOD_OVERRIDE=FQ","FILING_STATUS=MR","SCALING_FORMAT=MLN","Sort=A","Dates=H","DateFormat=P","Fill=—","Direction=H","UseDPDF=Y")</f>
        <v>—</v>
      </c>
      <c r="I63" s="13" t="str">
        <f>_xll.BDH("ALNY US Equity","ARDR_CONSTRUCTION_IN_PROGRESS","FQ2 2020","FQ2 2020","Currency=USD","Period=FQ","BEST_FPERIOD_OVERRIDE=FQ","FILING_STATUS=MR","SCALING_FORMAT=MLN","Sort=A","Dates=H","DateFormat=P","Fill=—","Direction=H","UseDPDF=Y")</f>
        <v>—</v>
      </c>
      <c r="J63" s="13" t="str">
        <f>_xll.BDH("ALNY US Equity","ARDR_CONSTRUCTION_IN_PROGRESS","FQ3 2020","FQ3 2020","Currency=USD","Period=FQ","BEST_FPERIOD_OVERRIDE=FQ","FILING_STATUS=MR","SCALING_FORMAT=MLN","Sort=A","Dates=H","DateFormat=P","Fill=—","Direction=H","UseDPDF=Y")</f>
        <v>—</v>
      </c>
      <c r="K63" s="13">
        <f>_xll.BDH("ALNY US Equity","ARDR_CONSTRUCTION_IN_PROGRESS","FQ4 2020","FQ4 2020","Currency=USD","Period=FQ","BEST_FPERIOD_OVERRIDE=FQ","FILING_STATUS=MR","SCALING_FORMAT=MLN","Sort=A","Dates=H","DateFormat=P","Fill=—","Direction=H","UseDPDF=Y")</f>
        <v>28.004999999999999</v>
      </c>
      <c r="L63" s="13" t="str">
        <f>_xll.BDH("ALNY US Equity","ARDR_CONSTRUCTION_IN_PROGRESS","FQ1 2021","FQ1 2021","Currency=USD","Period=FQ","BEST_FPERIOD_OVERRIDE=FQ","FILING_STATUS=MR","SCALING_FORMAT=MLN","Sort=A","Dates=H","DateFormat=P","Fill=—","Direction=H","UseDPDF=Y")</f>
        <v>—</v>
      </c>
      <c r="M63" s="13" t="str">
        <f>_xll.BDH("ALNY US Equity","ARDR_CONSTRUCTION_IN_PROGRESS","FQ2 2021","FQ2 2021","Currency=USD","Period=FQ","BEST_FPERIOD_OVERRIDE=FQ","FILING_STATUS=MR","SCALING_FORMAT=MLN","Sort=A","Dates=H","DateFormat=P","Fill=—","Direction=H","UseDPDF=Y")</f>
        <v>—</v>
      </c>
      <c r="N63" s="13" t="str">
        <f>_xll.BDH("ALNY US Equity","ARDR_CONSTRUCTION_IN_PROGRESS","FQ3 2021","FQ3 2021","Currency=USD","Period=FQ","BEST_FPERIOD_OVERRIDE=FQ","FILING_STATUS=MR","SCALING_FORMAT=MLN","Sort=A","Dates=H","DateFormat=P","Fill=—","Direction=H","UseDPDF=Y")</f>
        <v>—</v>
      </c>
      <c r="O63" s="13">
        <f>_xll.BDH("ALNY US Equity","ARDR_CONSTRUCTION_IN_PROGRESS","FQ4 2021","FQ4 2021","Currency=USD","Period=FQ","BEST_FPERIOD_OVERRIDE=FQ","FILING_STATUS=MR","SCALING_FORMAT=MLN","Sort=A","Dates=H","DateFormat=P","Fill=—","Direction=H","UseDPDF=Y")</f>
        <v>80.753</v>
      </c>
      <c r="P63" s="13" t="str">
        <f>_xll.BDH("ALNY US Equity","ARDR_CONSTRUCTION_IN_PROGRESS","FQ1 2022","FQ1 2022","Currency=USD","Period=FQ","BEST_FPERIOD_OVERRIDE=FQ","FILING_STATUS=MR","SCALING_FORMAT=MLN","Sort=A","Dates=H","DateFormat=P","Fill=—","Direction=H","UseDPDF=Y")</f>
        <v>—</v>
      </c>
      <c r="Q63" s="13" t="str">
        <f>_xll.BDH("ALNY US Equity","ARDR_CONSTRUCTION_IN_PROGRESS","FQ2 2022","FQ2 2022","Currency=USD","Period=FQ","BEST_FPERIOD_OVERRIDE=FQ","FILING_STATUS=MR","SCALING_FORMAT=MLN","Sort=A","Dates=H","DateFormat=P","Fill=—","Direction=H","UseDPDF=Y")</f>
        <v>—</v>
      </c>
      <c r="R63" s="13" t="str">
        <f>_xll.BDH("ALNY US Equity","ARDR_CONSTRUCTION_IN_PROGRESS","FQ3 2022","FQ3 2022","Currency=USD","Period=FQ","BEST_FPERIOD_OVERRIDE=FQ","FILING_STATUS=MR","SCALING_FORMAT=MLN","Sort=A","Dates=H","DateFormat=P","Fill=—","Direction=H","UseDPDF=Y")</f>
        <v>—</v>
      </c>
      <c r="S63" s="13">
        <f>_xll.BDH("ALNY US Equity","ARDR_CONSTRUCTION_IN_PROGRESS","FQ4 2022","FQ4 2022","Currency=USD","Period=FQ","BEST_FPERIOD_OVERRIDE=FQ","FILING_STATUS=MR","SCALING_FORMAT=MLN","Sort=A","Dates=H","DateFormat=P","Fill=—","Direction=H","UseDPDF=Y")</f>
        <v>14.595000000000001</v>
      </c>
      <c r="T63" s="13" t="str">
        <f>_xll.BDH("ALNY US Equity","ARDR_CONSTRUCTION_IN_PROGRESS","FQ1 2023","FQ1 2023","Currency=USD","Period=FQ","BEST_FPERIOD_OVERRIDE=FQ","FILING_STATUS=MR","SCALING_FORMAT=MLN","Sort=A","Dates=H","DateFormat=P","Fill=—","Direction=H","UseDPDF=Y")</f>
        <v>—</v>
      </c>
      <c r="U63" s="13" t="str">
        <f>_xll.BDH("ALNY US Equity","ARDR_CONSTRUCTION_IN_PROGRESS","FQ2 2023","FQ2 2023","Currency=USD","Period=FQ","BEST_FPERIOD_OVERRIDE=FQ","FILING_STATUS=MR","SCALING_FORMAT=MLN","Sort=A","Dates=H","DateFormat=P","Fill=—","Direction=H","UseDPDF=Y")</f>
        <v>—</v>
      </c>
      <c r="V63" s="13" t="str">
        <f>_xll.BDH("ALNY US Equity","ARDR_CONSTRUCTION_IN_PROGRESS","FQ3 2023","FQ3 2023","Currency=USD","Period=FQ","BEST_FPERIOD_OVERRIDE=FQ","FILING_STATUS=MR","SCALING_FORMAT=MLN","Sort=A","Dates=H","DateFormat=P","Fill=—","Direction=H","UseDPDF=Y")</f>
        <v>—</v>
      </c>
      <c r="W63" s="13">
        <f>_xll.BDH("ALNY US Equity","ARDR_CONSTRUCTION_IN_PROGRESS","FQ4 2023","FQ4 2023","Currency=USD","Period=FQ","BEST_FPERIOD_OVERRIDE=FQ","FILING_STATUS=MR","SCALING_FORMAT=MLN","Sort=A","Dates=H","DateFormat=P","Fill=—","Direction=H","UseDPDF=Y")</f>
        <v>30.099</v>
      </c>
      <c r="X63" s="13" t="str">
        <f>_xll.BDH("ALNY US Equity","ARDR_CONSTRUCTION_IN_PROGRESS","FQ1 2024","FQ1 2024","Currency=USD","Period=FQ","BEST_FPERIOD_OVERRIDE=FQ","FILING_STATUS=MR","SCALING_FORMAT=MLN","Sort=A","Dates=H","DateFormat=P","Fill=—","Direction=H","UseDPDF=Y")</f>
        <v>—</v>
      </c>
      <c r="Y63" s="13" t="str">
        <f>_xll.BDH("ALNY US Equity","ARDR_CONSTRUCTION_IN_PROGRESS","FQ2 2024","FQ2 2024","Currency=USD","Period=FQ","BEST_FPERIOD_OVERRIDE=FQ","FILING_STATUS=MR","SCALING_FORMAT=MLN","Sort=A","Dates=H","DateFormat=P","Fill=—","Direction=H","UseDPDF=Y")</f>
        <v>—</v>
      </c>
      <c r="Z63" s="13" t="str">
        <f>_xll.BDH("ALNY US Equity","ARDR_CONSTRUCTION_IN_PROGRESS","FQ3 2024","FQ3 2024","Currency=USD","Period=FQ","BEST_FPERIOD_OVERRIDE=FQ","FILING_STATUS=MR","SCALING_FORMAT=MLN","Sort=A","Dates=H","DateFormat=P","Fill=—","Direction=H","UseDPDF=Y")</f>
        <v>—</v>
      </c>
      <c r="AA63" s="13">
        <f>_xll.BDH("ALNY US Equity","ARDR_CONSTRUCTION_IN_PROGRESS","FQ4 2024","FQ4 2024","Currency=USD","Period=FQ","BEST_FPERIOD_OVERRIDE=FQ","FILING_STATUS=MR","SCALING_FORMAT=MLN","Sort=A","Dates=H","DateFormat=P","Fill=—","Direction=H","UseDPDF=Y")</f>
        <v>7.6740000000000004</v>
      </c>
    </row>
    <row r="64" spans="1:27" x14ac:dyDescent="0.25">
      <c r="A64" s="10" t="s">
        <v>924</v>
      </c>
      <c r="B64" s="10" t="s">
        <v>925</v>
      </c>
      <c r="C64" s="13">
        <f>_xll.BDH("ALNY US Equity","ARDR_FURNITURE_MACHINERY_EQUIP","FQ4 2018","FQ4 2018","Currency=USD","Period=FQ","BEST_FPERIOD_OVERRIDE=FQ","FILING_STATUS=MR","SCALING_FORMAT=MLN","Sort=A","Dates=H","DateFormat=P","Fill=—","Direction=H","UseDPDF=Y")</f>
        <v>50.664999999999999</v>
      </c>
      <c r="D64" s="13" t="str">
        <f>_xll.BDH("ALNY US Equity","ARDR_FURNITURE_MACHINERY_EQUIP","FQ1 2019","FQ1 2019","Currency=USD","Period=FQ","BEST_FPERIOD_OVERRIDE=FQ","FILING_STATUS=MR","SCALING_FORMAT=MLN","Sort=A","Dates=H","DateFormat=P","Fill=—","Direction=H","UseDPDF=Y")</f>
        <v>—</v>
      </c>
      <c r="E64" s="13" t="str">
        <f>_xll.BDH("ALNY US Equity","ARDR_FURNITURE_MACHINERY_EQUIP","FQ2 2019","FQ2 2019","Currency=USD","Period=FQ","BEST_FPERIOD_OVERRIDE=FQ","FILING_STATUS=MR","SCALING_FORMAT=MLN","Sort=A","Dates=H","DateFormat=P","Fill=—","Direction=H","UseDPDF=Y")</f>
        <v>—</v>
      </c>
      <c r="F64" s="13" t="str">
        <f>_xll.BDH("ALNY US Equity","ARDR_FURNITURE_MACHINERY_EQUIP","FQ3 2019","FQ3 2019","Currency=USD","Period=FQ","BEST_FPERIOD_OVERRIDE=FQ","FILING_STATUS=MR","SCALING_FORMAT=MLN","Sort=A","Dates=H","DateFormat=P","Fill=—","Direction=H","UseDPDF=Y")</f>
        <v>—</v>
      </c>
      <c r="G64" s="13">
        <f>_xll.BDH("ALNY US Equity","ARDR_FURNITURE_MACHINERY_EQUIP","FQ4 2019","FQ4 2019","Currency=USD","Period=FQ","BEST_FPERIOD_OVERRIDE=FQ","FILING_STATUS=MR","SCALING_FORMAT=MLN","Sort=A","Dates=H","DateFormat=P","Fill=—","Direction=H","UseDPDF=Y")</f>
        <v>40.094000000000001</v>
      </c>
      <c r="H64" s="13" t="str">
        <f>_xll.BDH("ALNY US Equity","ARDR_FURNITURE_MACHINERY_EQUIP","FQ1 2020","FQ1 2020","Currency=USD","Period=FQ","BEST_FPERIOD_OVERRIDE=FQ","FILING_STATUS=MR","SCALING_FORMAT=MLN","Sort=A","Dates=H","DateFormat=P","Fill=—","Direction=H","UseDPDF=Y")</f>
        <v>—</v>
      </c>
      <c r="I64" s="13" t="str">
        <f>_xll.BDH("ALNY US Equity","ARDR_FURNITURE_MACHINERY_EQUIP","FQ2 2020","FQ2 2020","Currency=USD","Period=FQ","BEST_FPERIOD_OVERRIDE=FQ","FILING_STATUS=MR","SCALING_FORMAT=MLN","Sort=A","Dates=H","DateFormat=P","Fill=—","Direction=H","UseDPDF=Y")</f>
        <v>—</v>
      </c>
      <c r="J64" s="13" t="str">
        <f>_xll.BDH("ALNY US Equity","ARDR_FURNITURE_MACHINERY_EQUIP","FQ3 2020","FQ3 2020","Currency=USD","Period=FQ","BEST_FPERIOD_OVERRIDE=FQ","FILING_STATUS=MR","SCALING_FORMAT=MLN","Sort=A","Dates=H","DateFormat=P","Fill=—","Direction=H","UseDPDF=Y")</f>
        <v>—</v>
      </c>
      <c r="K64" s="13">
        <f>_xll.BDH("ALNY US Equity","ARDR_FURNITURE_MACHINERY_EQUIP","FQ4 2020","FQ4 2020","Currency=USD","Period=FQ","BEST_FPERIOD_OVERRIDE=FQ","FILING_STATUS=MR","SCALING_FORMAT=MLN","Sort=A","Dates=H","DateFormat=P","Fill=—","Direction=H","UseDPDF=Y")</f>
        <v>101.08499999999999</v>
      </c>
      <c r="L64" s="13" t="str">
        <f>_xll.BDH("ALNY US Equity","ARDR_FURNITURE_MACHINERY_EQUIP","FQ1 2021","FQ1 2021","Currency=USD","Period=FQ","BEST_FPERIOD_OVERRIDE=FQ","FILING_STATUS=MR","SCALING_FORMAT=MLN","Sort=A","Dates=H","DateFormat=P","Fill=—","Direction=H","UseDPDF=Y")</f>
        <v>—</v>
      </c>
      <c r="M64" s="13" t="str">
        <f>_xll.BDH("ALNY US Equity","ARDR_FURNITURE_MACHINERY_EQUIP","FQ2 2021","FQ2 2021","Currency=USD","Period=FQ","BEST_FPERIOD_OVERRIDE=FQ","FILING_STATUS=MR","SCALING_FORMAT=MLN","Sort=A","Dates=H","DateFormat=P","Fill=—","Direction=H","UseDPDF=Y")</f>
        <v>—</v>
      </c>
      <c r="N64" s="13" t="str">
        <f>_xll.BDH("ALNY US Equity","ARDR_FURNITURE_MACHINERY_EQUIP","FQ3 2021","FQ3 2021","Currency=USD","Period=FQ","BEST_FPERIOD_OVERRIDE=FQ","FILING_STATUS=MR","SCALING_FORMAT=MLN","Sort=A","Dates=H","DateFormat=P","Fill=—","Direction=H","UseDPDF=Y")</f>
        <v>—</v>
      </c>
      <c r="O64" s="13">
        <f>_xll.BDH("ALNY US Equity","ARDR_FURNITURE_MACHINERY_EQUIP","FQ4 2021","FQ4 2021","Currency=USD","Period=FQ","BEST_FPERIOD_OVERRIDE=FQ","FILING_STATUS=MR","SCALING_FORMAT=MLN","Sort=A","Dates=H","DateFormat=P","Fill=—","Direction=H","UseDPDF=Y")</f>
        <v>115.973</v>
      </c>
      <c r="P64" s="13" t="str">
        <f>_xll.BDH("ALNY US Equity","ARDR_FURNITURE_MACHINERY_EQUIP","FQ1 2022","FQ1 2022","Currency=USD","Period=FQ","BEST_FPERIOD_OVERRIDE=FQ","FILING_STATUS=MR","SCALING_FORMAT=MLN","Sort=A","Dates=H","DateFormat=P","Fill=—","Direction=H","UseDPDF=Y")</f>
        <v>—</v>
      </c>
      <c r="Q64" s="13" t="str">
        <f>_xll.BDH("ALNY US Equity","ARDR_FURNITURE_MACHINERY_EQUIP","FQ2 2022","FQ2 2022","Currency=USD","Period=FQ","BEST_FPERIOD_OVERRIDE=FQ","FILING_STATUS=MR","SCALING_FORMAT=MLN","Sort=A","Dates=H","DateFormat=P","Fill=—","Direction=H","UseDPDF=Y")</f>
        <v>—</v>
      </c>
      <c r="R64" s="13" t="str">
        <f>_xll.BDH("ALNY US Equity","ARDR_FURNITURE_MACHINERY_EQUIP","FQ3 2022","FQ3 2022","Currency=USD","Period=FQ","BEST_FPERIOD_OVERRIDE=FQ","FILING_STATUS=MR","SCALING_FORMAT=MLN","Sort=A","Dates=H","DateFormat=P","Fill=—","Direction=H","UseDPDF=Y")</f>
        <v>—</v>
      </c>
      <c r="S64" s="13">
        <f>_xll.BDH("ALNY US Equity","ARDR_FURNITURE_MACHINERY_EQUIP","FQ4 2022","FQ4 2022","Currency=USD","Period=FQ","BEST_FPERIOD_OVERRIDE=FQ","FILING_STATUS=MR","SCALING_FORMAT=MLN","Sort=A","Dates=H","DateFormat=P","Fill=—","Direction=H","UseDPDF=Y")</f>
        <v>139.72900000000001</v>
      </c>
      <c r="T64" s="13" t="str">
        <f>_xll.BDH("ALNY US Equity","ARDR_FURNITURE_MACHINERY_EQUIP","FQ1 2023","FQ1 2023","Currency=USD","Period=FQ","BEST_FPERIOD_OVERRIDE=FQ","FILING_STATUS=MR","SCALING_FORMAT=MLN","Sort=A","Dates=H","DateFormat=P","Fill=—","Direction=H","UseDPDF=Y")</f>
        <v>—</v>
      </c>
      <c r="U64" s="13" t="str">
        <f>_xll.BDH("ALNY US Equity","ARDR_FURNITURE_MACHINERY_EQUIP","FQ2 2023","FQ2 2023","Currency=USD","Period=FQ","BEST_FPERIOD_OVERRIDE=FQ","FILING_STATUS=MR","SCALING_FORMAT=MLN","Sort=A","Dates=H","DateFormat=P","Fill=—","Direction=H","UseDPDF=Y")</f>
        <v>—</v>
      </c>
      <c r="V64" s="13" t="str">
        <f>_xll.BDH("ALNY US Equity","ARDR_FURNITURE_MACHINERY_EQUIP","FQ3 2023","FQ3 2023","Currency=USD","Period=FQ","BEST_FPERIOD_OVERRIDE=FQ","FILING_STATUS=MR","SCALING_FORMAT=MLN","Sort=A","Dates=H","DateFormat=P","Fill=—","Direction=H","UseDPDF=Y")</f>
        <v>—</v>
      </c>
      <c r="W64" s="13">
        <f>_xll.BDH("ALNY US Equity","ARDR_FURNITURE_MACHINERY_EQUIP","FQ4 2023","FQ4 2023","Currency=USD","Period=FQ","BEST_FPERIOD_OVERRIDE=FQ","FILING_STATUS=MR","SCALING_FORMAT=MLN","Sort=A","Dates=H","DateFormat=P","Fill=—","Direction=H","UseDPDF=Y")</f>
        <v>167.27600000000001</v>
      </c>
      <c r="X64" s="13" t="str">
        <f>_xll.BDH("ALNY US Equity","ARDR_FURNITURE_MACHINERY_EQUIP","FQ1 2024","FQ1 2024","Currency=USD","Period=FQ","BEST_FPERIOD_OVERRIDE=FQ","FILING_STATUS=MR","SCALING_FORMAT=MLN","Sort=A","Dates=H","DateFormat=P","Fill=—","Direction=H","UseDPDF=Y")</f>
        <v>—</v>
      </c>
      <c r="Y64" s="13" t="str">
        <f>_xll.BDH("ALNY US Equity","ARDR_FURNITURE_MACHINERY_EQUIP","FQ2 2024","FQ2 2024","Currency=USD","Period=FQ","BEST_FPERIOD_OVERRIDE=FQ","FILING_STATUS=MR","SCALING_FORMAT=MLN","Sort=A","Dates=H","DateFormat=P","Fill=—","Direction=H","UseDPDF=Y")</f>
        <v>—</v>
      </c>
      <c r="Z64" s="13" t="str">
        <f>_xll.BDH("ALNY US Equity","ARDR_FURNITURE_MACHINERY_EQUIP","FQ3 2024","FQ3 2024","Currency=USD","Period=FQ","BEST_FPERIOD_OVERRIDE=FQ","FILING_STATUS=MR","SCALING_FORMAT=MLN","Sort=A","Dates=H","DateFormat=P","Fill=—","Direction=H","UseDPDF=Y")</f>
        <v>—</v>
      </c>
      <c r="AA64" s="13">
        <f>_xll.BDH("ALNY US Equity","ARDR_FURNITURE_MACHINERY_EQUIP","FQ4 2024","FQ4 2024","Currency=USD","Period=FQ","BEST_FPERIOD_OVERRIDE=FQ","FILING_STATUS=MR","SCALING_FORMAT=MLN","Sort=A","Dates=H","DateFormat=P","Fill=—","Direction=H","UseDPDF=Y")</f>
        <v>182.666</v>
      </c>
    </row>
    <row r="65" spans="1:27" x14ac:dyDescent="0.25">
      <c r="A65" s="10" t="s">
        <v>926</v>
      </c>
      <c r="B65" s="10" t="s">
        <v>927</v>
      </c>
      <c r="C65" s="13">
        <f>_xll.BDH("ALNY US Equity","ARDR_PROPERTY_PLANT_EQUIP_GROSS","FQ4 2018","FQ4 2018","Currency=USD","Period=FQ","BEST_FPERIOD_OVERRIDE=FQ","FILING_STATUS=MR","SCALING_FORMAT=MLN","Sort=A","Dates=H","DateFormat=P","Fill=—","Direction=H","UseDPDF=Y")</f>
        <v>400.14299999999997</v>
      </c>
      <c r="D65" s="13" t="str">
        <f>_xll.BDH("ALNY US Equity","ARDR_PROPERTY_PLANT_EQUIP_GROSS","FQ1 2019","FQ1 2019","Currency=USD","Period=FQ","BEST_FPERIOD_OVERRIDE=FQ","FILING_STATUS=MR","SCALING_FORMAT=MLN","Sort=A","Dates=H","DateFormat=P","Fill=—","Direction=H","UseDPDF=Y")</f>
        <v>—</v>
      </c>
      <c r="E65" s="13" t="str">
        <f>_xll.BDH("ALNY US Equity","ARDR_PROPERTY_PLANT_EQUIP_GROSS","FQ2 2019","FQ2 2019","Currency=USD","Period=FQ","BEST_FPERIOD_OVERRIDE=FQ","FILING_STATUS=MR","SCALING_FORMAT=MLN","Sort=A","Dates=H","DateFormat=P","Fill=—","Direction=H","UseDPDF=Y")</f>
        <v>—</v>
      </c>
      <c r="F65" s="13" t="str">
        <f>_xll.BDH("ALNY US Equity","ARDR_PROPERTY_PLANT_EQUIP_GROSS","FQ3 2019","FQ3 2019","Currency=USD","Period=FQ","BEST_FPERIOD_OVERRIDE=FQ","FILING_STATUS=MR","SCALING_FORMAT=MLN","Sort=A","Dates=H","DateFormat=P","Fill=—","Direction=H","UseDPDF=Y")</f>
        <v>—</v>
      </c>
      <c r="G65" s="13">
        <f>_xll.BDH("ALNY US Equity","ARDR_PROPERTY_PLANT_EQUIP_GROSS","FQ4 2019","FQ4 2019","Currency=USD","Period=FQ","BEST_FPERIOD_OVERRIDE=FQ","FILING_STATUS=MR","SCALING_FORMAT=MLN","Sort=A","Dates=H","DateFormat=P","Fill=—","Direction=H","UseDPDF=Y")</f>
        <v>501.33699999999999</v>
      </c>
      <c r="H65" s="13" t="str">
        <f>_xll.BDH("ALNY US Equity","ARDR_PROPERTY_PLANT_EQUIP_GROSS","FQ1 2020","FQ1 2020","Currency=USD","Period=FQ","BEST_FPERIOD_OVERRIDE=FQ","FILING_STATUS=MR","SCALING_FORMAT=MLN","Sort=A","Dates=H","DateFormat=P","Fill=—","Direction=H","UseDPDF=Y")</f>
        <v>—</v>
      </c>
      <c r="I65" s="13" t="str">
        <f>_xll.BDH("ALNY US Equity","ARDR_PROPERTY_PLANT_EQUIP_GROSS","FQ2 2020","FQ2 2020","Currency=USD","Period=FQ","BEST_FPERIOD_OVERRIDE=FQ","FILING_STATUS=MR","SCALING_FORMAT=MLN","Sort=A","Dates=H","DateFormat=P","Fill=—","Direction=H","UseDPDF=Y")</f>
        <v>—</v>
      </c>
      <c r="J65" s="13" t="str">
        <f>_xll.BDH("ALNY US Equity","ARDR_PROPERTY_PLANT_EQUIP_GROSS","FQ3 2020","FQ3 2020","Currency=USD","Period=FQ","BEST_FPERIOD_OVERRIDE=FQ","FILING_STATUS=MR","SCALING_FORMAT=MLN","Sort=A","Dates=H","DateFormat=P","Fill=—","Direction=H","UseDPDF=Y")</f>
        <v>—</v>
      </c>
      <c r="K65" s="13">
        <f>_xll.BDH("ALNY US Equity","ARDR_PROPERTY_PLANT_EQUIP_GROSS","FQ4 2020","FQ4 2020","Currency=USD","Period=FQ","BEST_FPERIOD_OVERRIDE=FQ","FILING_STATUS=MR","SCALING_FORMAT=MLN","Sort=A","Dates=H","DateFormat=P","Fill=—","Direction=H","UseDPDF=Y")</f>
        <v>569.37599999999998</v>
      </c>
      <c r="L65" s="13" t="str">
        <f>_xll.BDH("ALNY US Equity","ARDR_PROPERTY_PLANT_EQUIP_GROSS","FQ1 2021","FQ1 2021","Currency=USD","Period=FQ","BEST_FPERIOD_OVERRIDE=FQ","FILING_STATUS=MR","SCALING_FORMAT=MLN","Sort=A","Dates=H","DateFormat=P","Fill=—","Direction=H","UseDPDF=Y")</f>
        <v>—</v>
      </c>
      <c r="M65" s="13" t="str">
        <f>_xll.BDH("ALNY US Equity","ARDR_PROPERTY_PLANT_EQUIP_GROSS","FQ2 2021","FQ2 2021","Currency=USD","Period=FQ","BEST_FPERIOD_OVERRIDE=FQ","FILING_STATUS=MR","SCALING_FORMAT=MLN","Sort=A","Dates=H","DateFormat=P","Fill=—","Direction=H","UseDPDF=Y")</f>
        <v>—</v>
      </c>
      <c r="N65" s="13" t="str">
        <f>_xll.BDH("ALNY US Equity","ARDR_PROPERTY_PLANT_EQUIP_GROSS","FQ3 2021","FQ3 2021","Currency=USD","Period=FQ","BEST_FPERIOD_OVERRIDE=FQ","FILING_STATUS=MR","SCALING_FORMAT=MLN","Sort=A","Dates=H","DateFormat=P","Fill=—","Direction=H","UseDPDF=Y")</f>
        <v>—</v>
      </c>
      <c r="O65" s="13">
        <f>_xll.BDH("ALNY US Equity","ARDR_PROPERTY_PLANT_EQUIP_GROSS","FQ4 2021","FQ4 2021","Currency=USD","Period=FQ","BEST_FPERIOD_OVERRIDE=FQ","FILING_STATUS=MR","SCALING_FORMAT=MLN","Sort=A","Dates=H","DateFormat=P","Fill=—","Direction=H","UseDPDF=Y")</f>
        <v>642.37300000000005</v>
      </c>
      <c r="P65" s="13" t="str">
        <f>_xll.BDH("ALNY US Equity","ARDR_PROPERTY_PLANT_EQUIP_GROSS","FQ1 2022","FQ1 2022","Currency=USD","Period=FQ","BEST_FPERIOD_OVERRIDE=FQ","FILING_STATUS=MR","SCALING_FORMAT=MLN","Sort=A","Dates=H","DateFormat=P","Fill=—","Direction=H","UseDPDF=Y")</f>
        <v>—</v>
      </c>
      <c r="Q65" s="13" t="str">
        <f>_xll.BDH("ALNY US Equity","ARDR_PROPERTY_PLANT_EQUIP_GROSS","FQ2 2022","FQ2 2022","Currency=USD","Period=FQ","BEST_FPERIOD_OVERRIDE=FQ","FILING_STATUS=MR","SCALING_FORMAT=MLN","Sort=A","Dates=H","DateFormat=P","Fill=—","Direction=H","UseDPDF=Y")</f>
        <v>—</v>
      </c>
      <c r="R65" s="13" t="str">
        <f>_xll.BDH("ALNY US Equity","ARDR_PROPERTY_PLANT_EQUIP_GROSS","FQ3 2022","FQ3 2022","Currency=USD","Period=FQ","BEST_FPERIOD_OVERRIDE=FQ","FILING_STATUS=MR","SCALING_FORMAT=MLN","Sort=A","Dates=H","DateFormat=P","Fill=—","Direction=H","UseDPDF=Y")</f>
        <v>—</v>
      </c>
      <c r="S65" s="13">
        <f>_xll.BDH("ALNY US Equity","ARDR_PROPERTY_PLANT_EQUIP_GROSS","FQ4 2022","FQ4 2022","Currency=USD","Period=FQ","BEST_FPERIOD_OVERRIDE=FQ","FILING_STATUS=MR","SCALING_FORMAT=MLN","Sort=A","Dates=H","DateFormat=P","Fill=—","Direction=H","UseDPDF=Y")</f>
        <v>696.94399999999996</v>
      </c>
      <c r="T65" s="13" t="str">
        <f>_xll.BDH("ALNY US Equity","ARDR_PROPERTY_PLANT_EQUIP_GROSS","FQ1 2023","FQ1 2023","Currency=USD","Period=FQ","BEST_FPERIOD_OVERRIDE=FQ","FILING_STATUS=MR","SCALING_FORMAT=MLN","Sort=A","Dates=H","DateFormat=P","Fill=—","Direction=H","UseDPDF=Y")</f>
        <v>—</v>
      </c>
      <c r="U65" s="13" t="str">
        <f>_xll.BDH("ALNY US Equity","ARDR_PROPERTY_PLANT_EQUIP_GROSS","FQ2 2023","FQ2 2023","Currency=USD","Period=FQ","BEST_FPERIOD_OVERRIDE=FQ","FILING_STATUS=MR","SCALING_FORMAT=MLN","Sort=A","Dates=H","DateFormat=P","Fill=—","Direction=H","UseDPDF=Y")</f>
        <v>—</v>
      </c>
      <c r="V65" s="13" t="str">
        <f>_xll.BDH("ALNY US Equity","ARDR_PROPERTY_PLANT_EQUIP_GROSS","FQ3 2023","FQ3 2023","Currency=USD","Period=FQ","BEST_FPERIOD_OVERRIDE=FQ","FILING_STATUS=MR","SCALING_FORMAT=MLN","Sort=A","Dates=H","DateFormat=P","Fill=—","Direction=H","UseDPDF=Y")</f>
        <v>—</v>
      </c>
      <c r="W65" s="13">
        <f>_xll.BDH("ALNY US Equity","ARDR_PROPERTY_PLANT_EQUIP_GROSS","FQ4 2023","FQ4 2023","Currency=USD","Period=FQ","BEST_FPERIOD_OVERRIDE=FQ","FILING_STATUS=MR","SCALING_FORMAT=MLN","Sort=A","Dates=H","DateFormat=P","Fill=—","Direction=H","UseDPDF=Y")</f>
        <v>749.13300000000004</v>
      </c>
      <c r="X65" s="13" t="str">
        <f>_xll.BDH("ALNY US Equity","ARDR_PROPERTY_PLANT_EQUIP_GROSS","FQ1 2024","FQ1 2024","Currency=USD","Period=FQ","BEST_FPERIOD_OVERRIDE=FQ","FILING_STATUS=MR","SCALING_FORMAT=MLN","Sort=A","Dates=H","DateFormat=P","Fill=—","Direction=H","UseDPDF=Y")</f>
        <v>—</v>
      </c>
      <c r="Y65" s="13" t="str">
        <f>_xll.BDH("ALNY US Equity","ARDR_PROPERTY_PLANT_EQUIP_GROSS","FQ2 2024","FQ2 2024","Currency=USD","Period=FQ","BEST_FPERIOD_OVERRIDE=FQ","FILING_STATUS=MR","SCALING_FORMAT=MLN","Sort=A","Dates=H","DateFormat=P","Fill=—","Direction=H","UseDPDF=Y")</f>
        <v>—</v>
      </c>
      <c r="Z65" s="13" t="str">
        <f>_xll.BDH("ALNY US Equity","ARDR_PROPERTY_PLANT_EQUIP_GROSS","FQ3 2024","FQ3 2024","Currency=USD","Period=FQ","BEST_FPERIOD_OVERRIDE=FQ","FILING_STATUS=MR","SCALING_FORMAT=MLN","Sort=A","Dates=H","DateFormat=P","Fill=—","Direction=H","UseDPDF=Y")</f>
        <v>—</v>
      </c>
      <c r="AA65" s="13">
        <f>_xll.BDH("ALNY US Equity","ARDR_PROPERTY_PLANT_EQUIP_GROSS","FQ4 2024","FQ4 2024","Currency=USD","Period=FQ","BEST_FPERIOD_OVERRIDE=FQ","FILING_STATUS=MR","SCALING_FORMAT=MLN","Sort=A","Dates=H","DateFormat=P","Fill=—","Direction=H","UseDPDF=Y")</f>
        <v>773.14800000000002</v>
      </c>
    </row>
    <row r="66" spans="1:27" x14ac:dyDescent="0.25">
      <c r="A66" s="10" t="s">
        <v>928</v>
      </c>
      <c r="B66" s="10" t="s">
        <v>929</v>
      </c>
      <c r="C66" s="13">
        <f>_xll.BDH("ALNY US Equity","ARDR_ACCUMULATED_DEPREC","FQ4 2018","FQ4 2018","Currency=USD","Period=FQ","BEST_FPERIOD_OVERRIDE=FQ","FILING_STATUS=MR","SCALING_FORMAT=MLN","Sort=A","Dates=H","DateFormat=P","Fill=—","Direction=H","UseDPDF=Y")</f>
        <v>79.484999999999999</v>
      </c>
      <c r="D66" s="13" t="str">
        <f>_xll.BDH("ALNY US Equity","ARDR_ACCUMULATED_DEPREC","FQ1 2019","FQ1 2019","Currency=USD","Period=FQ","BEST_FPERIOD_OVERRIDE=FQ","FILING_STATUS=MR","SCALING_FORMAT=MLN","Sort=A","Dates=H","DateFormat=P","Fill=—","Direction=H","UseDPDF=Y")</f>
        <v>—</v>
      </c>
      <c r="E66" s="13" t="str">
        <f>_xll.BDH("ALNY US Equity","ARDR_ACCUMULATED_DEPREC","FQ2 2019","FQ2 2019","Currency=USD","Period=FQ","BEST_FPERIOD_OVERRIDE=FQ","FILING_STATUS=MR","SCALING_FORMAT=MLN","Sort=A","Dates=H","DateFormat=P","Fill=—","Direction=H","UseDPDF=Y")</f>
        <v>—</v>
      </c>
      <c r="F66" s="13" t="str">
        <f>_xll.BDH("ALNY US Equity","ARDR_ACCUMULATED_DEPREC","FQ3 2019","FQ3 2019","Currency=USD","Period=FQ","BEST_FPERIOD_OVERRIDE=FQ","FILING_STATUS=MR","SCALING_FORMAT=MLN","Sort=A","Dates=H","DateFormat=P","Fill=—","Direction=H","UseDPDF=Y")</f>
        <v>—</v>
      </c>
      <c r="G66" s="13">
        <f>_xll.BDH("ALNY US Equity","ARDR_ACCUMULATED_DEPREC","FQ4 2019","FQ4 2019","Currency=USD","Period=FQ","BEST_FPERIOD_OVERRIDE=FQ","FILING_STATUS=MR","SCALING_FORMAT=MLN","Sort=A","Dates=H","DateFormat=P","Fill=—","Direction=H","UseDPDF=Y")</f>
        <v>76.158000000000001</v>
      </c>
      <c r="H66" s="13" t="str">
        <f>_xll.BDH("ALNY US Equity","ARDR_ACCUMULATED_DEPREC","FQ1 2020","FQ1 2020","Currency=USD","Period=FQ","BEST_FPERIOD_OVERRIDE=FQ","FILING_STATUS=MR","SCALING_FORMAT=MLN","Sort=A","Dates=H","DateFormat=P","Fill=—","Direction=H","UseDPDF=Y")</f>
        <v>—</v>
      </c>
      <c r="I66" s="13" t="str">
        <f>_xll.BDH("ALNY US Equity","ARDR_ACCUMULATED_DEPREC","FQ2 2020","FQ2 2020","Currency=USD","Period=FQ","BEST_FPERIOD_OVERRIDE=FQ","FILING_STATUS=MR","SCALING_FORMAT=MLN","Sort=A","Dates=H","DateFormat=P","Fill=—","Direction=H","UseDPDF=Y")</f>
        <v>—</v>
      </c>
      <c r="J66" s="13" t="str">
        <f>_xll.BDH("ALNY US Equity","ARDR_ACCUMULATED_DEPREC","FQ3 2020","FQ3 2020","Currency=USD","Period=FQ","BEST_FPERIOD_OVERRIDE=FQ","FILING_STATUS=MR","SCALING_FORMAT=MLN","Sort=A","Dates=H","DateFormat=P","Fill=—","Direction=H","UseDPDF=Y")</f>
        <v>—</v>
      </c>
      <c r="K66" s="13">
        <f>_xll.BDH("ALNY US Equity","ARDR_ACCUMULATED_DEPREC","FQ4 2020","FQ4 2020","Currency=USD","Period=FQ","BEST_FPERIOD_OVERRIDE=FQ","FILING_STATUS=MR","SCALING_FORMAT=MLN","Sort=A","Dates=H","DateFormat=P","Fill=—","Direction=H","UseDPDF=Y")</f>
        <v>104.34699999999999</v>
      </c>
      <c r="L66" s="13" t="str">
        <f>_xll.BDH("ALNY US Equity","ARDR_ACCUMULATED_DEPREC","FQ1 2021","FQ1 2021","Currency=USD","Period=FQ","BEST_FPERIOD_OVERRIDE=FQ","FILING_STATUS=MR","SCALING_FORMAT=MLN","Sort=A","Dates=H","DateFormat=P","Fill=—","Direction=H","UseDPDF=Y")</f>
        <v>—</v>
      </c>
      <c r="M66" s="13" t="str">
        <f>_xll.BDH("ALNY US Equity","ARDR_ACCUMULATED_DEPREC","FQ2 2021","FQ2 2021","Currency=USD","Period=FQ","BEST_FPERIOD_OVERRIDE=FQ","FILING_STATUS=MR","SCALING_FORMAT=MLN","Sort=A","Dates=H","DateFormat=P","Fill=—","Direction=H","UseDPDF=Y")</f>
        <v>—</v>
      </c>
      <c r="N66" s="13" t="str">
        <f>_xll.BDH("ALNY US Equity","ARDR_ACCUMULATED_DEPREC","FQ3 2021","FQ3 2021","Currency=USD","Period=FQ","BEST_FPERIOD_OVERRIDE=FQ","FILING_STATUS=MR","SCALING_FORMAT=MLN","Sort=A","Dates=H","DateFormat=P","Fill=—","Direction=H","UseDPDF=Y")</f>
        <v>—</v>
      </c>
      <c r="O66" s="13">
        <f>_xll.BDH("ALNY US Equity","ARDR_ACCUMULATED_DEPREC","FQ4 2021","FQ4 2021","Currency=USD","Period=FQ","BEST_FPERIOD_OVERRIDE=FQ","FILING_STATUS=MR","SCALING_FORMAT=MLN","Sort=A","Dates=H","DateFormat=P","Fill=—","Direction=H","UseDPDF=Y")</f>
        <v>140.41499999999999</v>
      </c>
      <c r="P66" s="13" t="str">
        <f>_xll.BDH("ALNY US Equity","ARDR_ACCUMULATED_DEPREC","FQ1 2022","FQ1 2022","Currency=USD","Period=FQ","BEST_FPERIOD_OVERRIDE=FQ","FILING_STATUS=MR","SCALING_FORMAT=MLN","Sort=A","Dates=H","DateFormat=P","Fill=—","Direction=H","UseDPDF=Y")</f>
        <v>—</v>
      </c>
      <c r="Q66" s="13" t="str">
        <f>_xll.BDH("ALNY US Equity","ARDR_ACCUMULATED_DEPREC","FQ2 2022","FQ2 2022","Currency=USD","Period=FQ","BEST_FPERIOD_OVERRIDE=FQ","FILING_STATUS=MR","SCALING_FORMAT=MLN","Sort=A","Dates=H","DateFormat=P","Fill=—","Direction=H","UseDPDF=Y")</f>
        <v>—</v>
      </c>
      <c r="R66" s="13" t="str">
        <f>_xll.BDH("ALNY US Equity","ARDR_ACCUMULATED_DEPREC","FQ3 2022","FQ3 2022","Currency=USD","Period=FQ","BEST_FPERIOD_OVERRIDE=FQ","FILING_STATUS=MR","SCALING_FORMAT=MLN","Sort=A","Dates=H","DateFormat=P","Fill=—","Direction=H","UseDPDF=Y")</f>
        <v>—</v>
      </c>
      <c r="S66" s="13">
        <f>_xll.BDH("ALNY US Equity","ARDR_ACCUMULATED_DEPREC","FQ4 2022","FQ4 2022","Currency=USD","Period=FQ","BEST_FPERIOD_OVERRIDE=FQ","FILING_STATUS=MR","SCALING_FORMAT=MLN","Sort=A","Dates=H","DateFormat=P","Fill=—","Direction=H","UseDPDF=Y")</f>
        <v>173.45</v>
      </c>
      <c r="T66" s="13" t="str">
        <f>_xll.BDH("ALNY US Equity","ARDR_ACCUMULATED_DEPREC","FQ1 2023","FQ1 2023","Currency=USD","Period=FQ","BEST_FPERIOD_OVERRIDE=FQ","FILING_STATUS=MR","SCALING_FORMAT=MLN","Sort=A","Dates=H","DateFormat=P","Fill=—","Direction=H","UseDPDF=Y")</f>
        <v>—</v>
      </c>
      <c r="U66" s="13" t="str">
        <f>_xll.BDH("ALNY US Equity","ARDR_ACCUMULATED_DEPREC","FQ2 2023","FQ2 2023","Currency=USD","Period=FQ","BEST_FPERIOD_OVERRIDE=FQ","FILING_STATUS=MR","SCALING_FORMAT=MLN","Sort=A","Dates=H","DateFormat=P","Fill=—","Direction=H","UseDPDF=Y")</f>
        <v>—</v>
      </c>
      <c r="V66" s="13" t="str">
        <f>_xll.BDH("ALNY US Equity","ARDR_ACCUMULATED_DEPREC","FQ3 2023","FQ3 2023","Currency=USD","Period=FQ","BEST_FPERIOD_OVERRIDE=FQ","FILING_STATUS=MR","SCALING_FORMAT=MLN","Sort=A","Dates=H","DateFormat=P","Fill=—","Direction=H","UseDPDF=Y")</f>
        <v>—</v>
      </c>
      <c r="W66" s="13">
        <f>_xll.BDH("ALNY US Equity","ARDR_ACCUMULATED_DEPREC","FQ4 2023","FQ4 2023","Currency=USD","Period=FQ","BEST_FPERIOD_OVERRIDE=FQ","FILING_STATUS=MR","SCALING_FORMAT=MLN","Sort=A","Dates=H","DateFormat=P","Fill=—","Direction=H","UseDPDF=Y")</f>
        <v>223.07599999999999</v>
      </c>
      <c r="X66" s="13" t="str">
        <f>_xll.BDH("ALNY US Equity","ARDR_ACCUMULATED_DEPREC","FQ1 2024","FQ1 2024","Currency=USD","Period=FQ","BEST_FPERIOD_OVERRIDE=FQ","FILING_STATUS=MR","SCALING_FORMAT=MLN","Sort=A","Dates=H","DateFormat=P","Fill=—","Direction=H","UseDPDF=Y")</f>
        <v>—</v>
      </c>
      <c r="Y66" s="13" t="str">
        <f>_xll.BDH("ALNY US Equity","ARDR_ACCUMULATED_DEPREC","FQ2 2024","FQ2 2024","Currency=USD","Period=FQ","BEST_FPERIOD_OVERRIDE=FQ","FILING_STATUS=MR","SCALING_FORMAT=MLN","Sort=A","Dates=H","DateFormat=P","Fill=—","Direction=H","UseDPDF=Y")</f>
        <v>—</v>
      </c>
      <c r="Z66" s="13" t="str">
        <f>_xll.BDH("ALNY US Equity","ARDR_ACCUMULATED_DEPREC","FQ3 2024","FQ3 2024","Currency=USD","Period=FQ","BEST_FPERIOD_OVERRIDE=FQ","FILING_STATUS=MR","SCALING_FORMAT=MLN","Sort=A","Dates=H","DateFormat=P","Fill=—","Direction=H","UseDPDF=Y")</f>
        <v>—</v>
      </c>
      <c r="AA66" s="13">
        <f>_xll.BDH("ALNY US Equity","ARDR_ACCUMULATED_DEPREC","FQ4 2024","FQ4 2024","Currency=USD","Period=FQ","BEST_FPERIOD_OVERRIDE=FQ","FILING_STATUS=MR","SCALING_FORMAT=MLN","Sort=A","Dates=H","DateFormat=P","Fill=—","Direction=H","UseDPDF=Y")</f>
        <v>270.36399999999998</v>
      </c>
    </row>
    <row r="67" spans="1:27" x14ac:dyDescent="0.25">
      <c r="A67" s="10" t="s">
        <v>842</v>
      </c>
      <c r="B67" s="10" t="s">
        <v>930</v>
      </c>
      <c r="C67" s="13">
        <f>_xll.BDH("ALNY US Equity","ARDR_PROPERTY_PLANT_EQUIP_NET","FQ4 2018","FQ4 2018","Currency=USD","Period=FQ","BEST_FPERIOD_OVERRIDE=FQ","FILING_STATUS=MR","SCALING_FORMAT=MLN","Sort=A","Dates=H","DateFormat=P","Fill=—","Direction=H","UseDPDF=Y")</f>
        <v>320.65800000000002</v>
      </c>
      <c r="D67" s="13" t="str">
        <f>_xll.BDH("ALNY US Equity","ARDR_PROPERTY_PLANT_EQUIP_NET","FQ1 2019","FQ1 2019","Currency=USD","Period=FQ","BEST_FPERIOD_OVERRIDE=FQ","FILING_STATUS=MR","SCALING_FORMAT=MLN","Sort=A","Dates=H","DateFormat=P","Fill=—","Direction=H","UseDPDF=Y")</f>
        <v>—</v>
      </c>
      <c r="E67" s="13" t="str">
        <f>_xll.BDH("ALNY US Equity","ARDR_PROPERTY_PLANT_EQUIP_NET","FQ2 2019","FQ2 2019","Currency=USD","Period=FQ","BEST_FPERIOD_OVERRIDE=FQ","FILING_STATUS=MR","SCALING_FORMAT=MLN","Sort=A","Dates=H","DateFormat=P","Fill=—","Direction=H","UseDPDF=Y")</f>
        <v>—</v>
      </c>
      <c r="F67" s="13">
        <f>_xll.BDH("ALNY US Equity","ARDR_PROPERTY_PLANT_EQUIP_NET","FQ3 2019","FQ3 2019","Currency=USD","Period=FQ","BEST_FPERIOD_OVERRIDE=FQ","FILING_STATUS=MR","SCALING_FORMAT=MLN","Sort=A","Dates=H","DateFormat=P","Fill=—","Direction=H","UseDPDF=Y")</f>
        <v>396.45600000000002</v>
      </c>
      <c r="G67" s="13">
        <f>_xll.BDH("ALNY US Equity","ARDR_PROPERTY_PLANT_EQUIP_NET","FQ4 2019","FQ4 2019","Currency=USD","Period=FQ","BEST_FPERIOD_OVERRIDE=FQ","FILING_STATUS=MR","SCALING_FORMAT=MLN","Sort=A","Dates=H","DateFormat=P","Fill=—","Direction=H","UseDPDF=Y")</f>
        <v>425.17899999999997</v>
      </c>
      <c r="H67" s="13" t="str">
        <f>_xll.BDH("ALNY US Equity","ARDR_PROPERTY_PLANT_EQUIP_NET","FQ1 2020","FQ1 2020","Currency=USD","Period=FQ","BEST_FPERIOD_OVERRIDE=FQ","FILING_STATUS=MR","SCALING_FORMAT=MLN","Sort=A","Dates=H","DateFormat=P","Fill=—","Direction=H","UseDPDF=Y")</f>
        <v>—</v>
      </c>
      <c r="I67" s="13" t="str">
        <f>_xll.BDH("ALNY US Equity","ARDR_PROPERTY_PLANT_EQUIP_NET","FQ2 2020","FQ2 2020","Currency=USD","Period=FQ","BEST_FPERIOD_OVERRIDE=FQ","FILING_STATUS=MR","SCALING_FORMAT=MLN","Sort=A","Dates=H","DateFormat=P","Fill=—","Direction=H","UseDPDF=Y")</f>
        <v>—</v>
      </c>
      <c r="J67" s="13" t="str">
        <f>_xll.BDH("ALNY US Equity","ARDR_PROPERTY_PLANT_EQUIP_NET","FQ3 2020","FQ3 2020","Currency=USD","Period=FQ","BEST_FPERIOD_OVERRIDE=FQ","FILING_STATUS=MR","SCALING_FORMAT=MLN","Sort=A","Dates=H","DateFormat=P","Fill=—","Direction=H","UseDPDF=Y")</f>
        <v>—</v>
      </c>
      <c r="K67" s="13">
        <f>_xll.BDH("ALNY US Equity","ARDR_PROPERTY_PLANT_EQUIP_NET","FQ4 2020","FQ4 2020","Currency=USD","Period=FQ","BEST_FPERIOD_OVERRIDE=FQ","FILING_STATUS=MR","SCALING_FORMAT=MLN","Sort=A","Dates=H","DateFormat=P","Fill=—","Direction=H","UseDPDF=Y")</f>
        <v>465.029</v>
      </c>
      <c r="L67" s="13" t="str">
        <f>_xll.BDH("ALNY US Equity","ARDR_PROPERTY_PLANT_EQUIP_NET","FQ1 2021","FQ1 2021","Currency=USD","Period=FQ","BEST_FPERIOD_OVERRIDE=FQ","FILING_STATUS=MR","SCALING_FORMAT=MLN","Sort=A","Dates=H","DateFormat=P","Fill=—","Direction=H","UseDPDF=Y")</f>
        <v>—</v>
      </c>
      <c r="M67" s="13" t="str">
        <f>_xll.BDH("ALNY US Equity","ARDR_PROPERTY_PLANT_EQUIP_NET","FQ2 2021","FQ2 2021","Currency=USD","Period=FQ","BEST_FPERIOD_OVERRIDE=FQ","FILING_STATUS=MR","SCALING_FORMAT=MLN","Sort=A","Dates=H","DateFormat=P","Fill=—","Direction=H","UseDPDF=Y")</f>
        <v>—</v>
      </c>
      <c r="N67" s="13" t="str">
        <f>_xll.BDH("ALNY US Equity","ARDR_PROPERTY_PLANT_EQUIP_NET","FQ3 2021","FQ3 2021","Currency=USD","Period=FQ","BEST_FPERIOD_OVERRIDE=FQ","FILING_STATUS=MR","SCALING_FORMAT=MLN","Sort=A","Dates=H","DateFormat=P","Fill=—","Direction=H","UseDPDF=Y")</f>
        <v>—</v>
      </c>
      <c r="O67" s="13">
        <f>_xll.BDH("ALNY US Equity","ARDR_PROPERTY_PLANT_EQUIP_NET","FQ4 2021","FQ4 2021","Currency=USD","Period=FQ","BEST_FPERIOD_OVERRIDE=FQ","FILING_STATUS=MR","SCALING_FORMAT=MLN","Sort=A","Dates=H","DateFormat=P","Fill=—","Direction=H","UseDPDF=Y")</f>
        <v>501.95800000000003</v>
      </c>
      <c r="P67" s="13" t="str">
        <f>_xll.BDH("ALNY US Equity","ARDR_PROPERTY_PLANT_EQUIP_NET","FQ1 2022","FQ1 2022","Currency=USD","Period=FQ","BEST_FPERIOD_OVERRIDE=FQ","FILING_STATUS=MR","SCALING_FORMAT=MLN","Sort=A","Dates=H","DateFormat=P","Fill=—","Direction=H","UseDPDF=Y")</f>
        <v>—</v>
      </c>
      <c r="Q67" s="13" t="str">
        <f>_xll.BDH("ALNY US Equity","ARDR_PROPERTY_PLANT_EQUIP_NET","FQ2 2022","FQ2 2022","Currency=USD","Period=FQ","BEST_FPERIOD_OVERRIDE=FQ","FILING_STATUS=MR","SCALING_FORMAT=MLN","Sort=A","Dates=H","DateFormat=P","Fill=—","Direction=H","UseDPDF=Y")</f>
        <v>—</v>
      </c>
      <c r="R67" s="13" t="str">
        <f>_xll.BDH("ALNY US Equity","ARDR_PROPERTY_PLANT_EQUIP_NET","FQ3 2022","FQ3 2022","Currency=USD","Period=FQ","BEST_FPERIOD_OVERRIDE=FQ","FILING_STATUS=MR","SCALING_FORMAT=MLN","Sort=A","Dates=H","DateFormat=P","Fill=—","Direction=H","UseDPDF=Y")</f>
        <v>—</v>
      </c>
      <c r="S67" s="13">
        <f>_xll.BDH("ALNY US Equity","ARDR_PROPERTY_PLANT_EQUIP_NET","FQ4 2022","FQ4 2022","Currency=USD","Period=FQ","BEST_FPERIOD_OVERRIDE=FQ","FILING_STATUS=MR","SCALING_FORMAT=MLN","Sort=A","Dates=H","DateFormat=P","Fill=—","Direction=H","UseDPDF=Y")</f>
        <v>523.49400000000003</v>
      </c>
      <c r="T67" s="13">
        <f>_xll.BDH("ALNY US Equity","ARDR_PROPERTY_PLANT_EQUIP_NET","FQ1 2023","FQ1 2023","Currency=USD","Period=FQ","BEST_FPERIOD_OVERRIDE=FQ","FILING_STATUS=MR","SCALING_FORMAT=MLN","Sort=A","Dates=H","DateFormat=P","Fill=—","Direction=H","UseDPDF=Y")</f>
        <v>523.03200000000004</v>
      </c>
      <c r="U67" s="13">
        <f>_xll.BDH("ALNY US Equity","ARDR_PROPERTY_PLANT_EQUIP_NET","FQ2 2023","FQ2 2023","Currency=USD","Period=FQ","BEST_FPERIOD_OVERRIDE=FQ","FILING_STATUS=MR","SCALING_FORMAT=MLN","Sort=A","Dates=H","DateFormat=P","Fill=—","Direction=H","UseDPDF=Y")</f>
        <v>527.47400000000005</v>
      </c>
      <c r="V67" s="13">
        <f>_xll.BDH("ALNY US Equity","ARDR_PROPERTY_PLANT_EQUIP_NET","FQ3 2023","FQ3 2023","Currency=USD","Period=FQ","BEST_FPERIOD_OVERRIDE=FQ","FILING_STATUS=MR","SCALING_FORMAT=MLN","Sort=A","Dates=H","DateFormat=P","Fill=—","Direction=H","UseDPDF=Y")</f>
        <v>525.59100000000001</v>
      </c>
      <c r="W67" s="13">
        <f>_xll.BDH("ALNY US Equity","ARDR_PROPERTY_PLANT_EQUIP_NET","FQ4 2023","FQ4 2023","Currency=USD","Period=FQ","BEST_FPERIOD_OVERRIDE=FQ","FILING_STATUS=MR","SCALING_FORMAT=MLN","Sort=A","Dates=H","DateFormat=P","Fill=—","Direction=H","UseDPDF=Y")</f>
        <v>526.05700000000002</v>
      </c>
      <c r="X67" s="13">
        <f>_xll.BDH("ALNY US Equity","ARDR_PROPERTY_PLANT_EQUIP_NET","FQ1 2024","FQ1 2024","Currency=USD","Period=FQ","BEST_FPERIOD_OVERRIDE=FQ","FILING_STATUS=MR","SCALING_FORMAT=MLN","Sort=A","Dates=H","DateFormat=P","Fill=—","Direction=H","UseDPDF=Y")</f>
        <v>523.46</v>
      </c>
      <c r="Y67" s="13">
        <f>_xll.BDH("ALNY US Equity","ARDR_PROPERTY_PLANT_EQUIP_NET","FQ2 2024","FQ2 2024","Currency=USD","Period=FQ","BEST_FPERIOD_OVERRIDE=FQ","FILING_STATUS=MR","SCALING_FORMAT=MLN","Sort=A","Dates=H","DateFormat=P","Fill=—","Direction=H","UseDPDF=Y")</f>
        <v>517.15899999999999</v>
      </c>
      <c r="Z67" s="13">
        <f>_xll.BDH("ALNY US Equity","ARDR_PROPERTY_PLANT_EQUIP_NET","FQ3 2024","FQ3 2024","Currency=USD","Period=FQ","BEST_FPERIOD_OVERRIDE=FQ","FILING_STATUS=MR","SCALING_FORMAT=MLN","Sort=A","Dates=H","DateFormat=P","Fill=—","Direction=H","UseDPDF=Y")</f>
        <v>506.99700000000001</v>
      </c>
      <c r="AA67" s="13">
        <f>_xll.BDH("ALNY US Equity","ARDR_PROPERTY_PLANT_EQUIP_NET","FQ4 2024","FQ4 2024","Currency=USD","Period=FQ","BEST_FPERIOD_OVERRIDE=FQ","FILING_STATUS=MR","SCALING_FORMAT=MLN","Sort=A","Dates=H","DateFormat=P","Fill=—","Direction=H","UseDPDF=Y")</f>
        <v>502.78399999999999</v>
      </c>
    </row>
    <row r="68" spans="1:27" x14ac:dyDescent="0.25">
      <c r="A68" s="10" t="s">
        <v>931</v>
      </c>
      <c r="B68" s="10" t="s">
        <v>932</v>
      </c>
      <c r="C68" s="13">
        <f>_xll.BDH("ALNY US Equity","ARDR_DEFERRED_INC_TAX_ASSET_LT","FQ4 2018","FQ4 2018","Currency=USD","Period=FQ","BEST_FPERIOD_OVERRIDE=FQ","FILING_STATUS=MR","SCALING_FORMAT=MLN","Sort=A","Dates=H","DateFormat=P","Fill=—","Direction=H","UseDPDF=Y")</f>
        <v>868.32600000000002</v>
      </c>
      <c r="D68" s="13" t="str">
        <f>_xll.BDH("ALNY US Equity","ARDR_DEFERRED_INC_TAX_ASSET_LT","FQ1 2019","FQ1 2019","Currency=USD","Period=FQ","BEST_FPERIOD_OVERRIDE=FQ","FILING_STATUS=MR","SCALING_FORMAT=MLN","Sort=A","Dates=H","DateFormat=P","Fill=—","Direction=H","UseDPDF=Y")</f>
        <v>—</v>
      </c>
      <c r="E68" s="13" t="str">
        <f>_xll.BDH("ALNY US Equity","ARDR_DEFERRED_INC_TAX_ASSET_LT","FQ2 2019","FQ2 2019","Currency=USD","Period=FQ","BEST_FPERIOD_OVERRIDE=FQ","FILING_STATUS=MR","SCALING_FORMAT=MLN","Sort=A","Dates=H","DateFormat=P","Fill=—","Direction=H","UseDPDF=Y")</f>
        <v>—</v>
      </c>
      <c r="F68" s="13" t="str">
        <f>_xll.BDH("ALNY US Equity","ARDR_DEFERRED_INC_TAX_ASSET_LT","FQ3 2019","FQ3 2019","Currency=USD","Period=FQ","BEST_FPERIOD_OVERRIDE=FQ","FILING_STATUS=MR","SCALING_FORMAT=MLN","Sort=A","Dates=H","DateFormat=P","Fill=—","Direction=H","UseDPDF=Y")</f>
        <v>—</v>
      </c>
      <c r="G68" s="13">
        <f>_xll.BDH("ALNY US Equity","ARDR_DEFERRED_INC_TAX_ASSET_LT","FQ4 2019","FQ4 2019","Currency=USD","Period=FQ","BEST_FPERIOD_OVERRIDE=FQ","FILING_STATUS=MR","SCALING_FORMAT=MLN","Sort=A","Dates=H","DateFormat=P","Fill=—","Direction=H","UseDPDF=Y")</f>
        <v>1113.749</v>
      </c>
      <c r="H68" s="13" t="str">
        <f>_xll.BDH("ALNY US Equity","ARDR_DEFERRED_INC_TAX_ASSET_LT","FQ1 2020","FQ1 2020","Currency=USD","Period=FQ","BEST_FPERIOD_OVERRIDE=FQ","FILING_STATUS=MR","SCALING_FORMAT=MLN","Sort=A","Dates=H","DateFormat=P","Fill=—","Direction=H","UseDPDF=Y")</f>
        <v>—</v>
      </c>
      <c r="I68" s="13" t="str">
        <f>_xll.BDH("ALNY US Equity","ARDR_DEFERRED_INC_TAX_ASSET_LT","FQ2 2020","FQ2 2020","Currency=USD","Period=FQ","BEST_FPERIOD_OVERRIDE=FQ","FILING_STATUS=MR","SCALING_FORMAT=MLN","Sort=A","Dates=H","DateFormat=P","Fill=—","Direction=H","UseDPDF=Y")</f>
        <v>—</v>
      </c>
      <c r="J68" s="13" t="str">
        <f>_xll.BDH("ALNY US Equity","ARDR_DEFERRED_INC_TAX_ASSET_LT","FQ3 2020","FQ3 2020","Currency=USD","Period=FQ","BEST_FPERIOD_OVERRIDE=FQ","FILING_STATUS=MR","SCALING_FORMAT=MLN","Sort=A","Dates=H","DateFormat=P","Fill=—","Direction=H","UseDPDF=Y")</f>
        <v>—</v>
      </c>
      <c r="K68" s="13">
        <f>_xll.BDH("ALNY US Equity","ARDR_DEFERRED_INC_TAX_ASSET_LT","FQ4 2020","FQ4 2020","Currency=USD","Period=FQ","BEST_FPERIOD_OVERRIDE=FQ","FILING_STATUS=MR","SCALING_FORMAT=MLN","Sort=A","Dates=H","DateFormat=P","Fill=—","Direction=H","UseDPDF=Y")</f>
        <v>1501.9590000000001</v>
      </c>
      <c r="L68" s="13" t="str">
        <f>_xll.BDH("ALNY US Equity","ARDR_DEFERRED_INC_TAX_ASSET_LT","FQ1 2021","FQ1 2021","Currency=USD","Period=FQ","BEST_FPERIOD_OVERRIDE=FQ","FILING_STATUS=MR","SCALING_FORMAT=MLN","Sort=A","Dates=H","DateFormat=P","Fill=—","Direction=H","UseDPDF=Y")</f>
        <v>—</v>
      </c>
      <c r="M68" s="13" t="str">
        <f>_xll.BDH("ALNY US Equity","ARDR_DEFERRED_INC_TAX_ASSET_LT","FQ2 2021","FQ2 2021","Currency=USD","Period=FQ","BEST_FPERIOD_OVERRIDE=FQ","FILING_STATUS=MR","SCALING_FORMAT=MLN","Sort=A","Dates=H","DateFormat=P","Fill=—","Direction=H","UseDPDF=Y")</f>
        <v>—</v>
      </c>
      <c r="N68" s="13" t="str">
        <f>_xll.BDH("ALNY US Equity","ARDR_DEFERRED_INC_TAX_ASSET_LT","FQ3 2021","FQ3 2021","Currency=USD","Period=FQ","BEST_FPERIOD_OVERRIDE=FQ","FILING_STATUS=MR","SCALING_FORMAT=MLN","Sort=A","Dates=H","DateFormat=P","Fill=—","Direction=H","UseDPDF=Y")</f>
        <v>—</v>
      </c>
      <c r="O68" s="13">
        <f>_xll.BDH("ALNY US Equity","ARDR_DEFERRED_INC_TAX_ASSET_LT","FQ4 2021","FQ4 2021","Currency=USD","Period=FQ","BEST_FPERIOD_OVERRIDE=FQ","FILING_STATUS=MR","SCALING_FORMAT=MLN","Sort=A","Dates=H","DateFormat=P","Fill=—","Direction=H","UseDPDF=Y")</f>
        <v>1948.816</v>
      </c>
      <c r="P68" s="13" t="str">
        <f>_xll.BDH("ALNY US Equity","ARDR_DEFERRED_INC_TAX_ASSET_LT","FQ1 2022","FQ1 2022","Currency=USD","Period=FQ","BEST_FPERIOD_OVERRIDE=FQ","FILING_STATUS=MR","SCALING_FORMAT=MLN","Sort=A","Dates=H","DateFormat=P","Fill=—","Direction=H","UseDPDF=Y")</f>
        <v>—</v>
      </c>
      <c r="Q68" s="13" t="str">
        <f>_xll.BDH("ALNY US Equity","ARDR_DEFERRED_INC_TAX_ASSET_LT","FQ2 2022","FQ2 2022","Currency=USD","Period=FQ","BEST_FPERIOD_OVERRIDE=FQ","FILING_STATUS=MR","SCALING_FORMAT=MLN","Sort=A","Dates=H","DateFormat=P","Fill=—","Direction=H","UseDPDF=Y")</f>
        <v>—</v>
      </c>
      <c r="R68" s="13" t="str">
        <f>_xll.BDH("ALNY US Equity","ARDR_DEFERRED_INC_TAX_ASSET_LT","FQ3 2022","FQ3 2022","Currency=USD","Period=FQ","BEST_FPERIOD_OVERRIDE=FQ","FILING_STATUS=MR","SCALING_FORMAT=MLN","Sort=A","Dates=H","DateFormat=P","Fill=—","Direction=H","UseDPDF=Y")</f>
        <v>—</v>
      </c>
      <c r="S68" s="13">
        <f>_xll.BDH("ALNY US Equity","ARDR_DEFERRED_INC_TAX_ASSET_LT","FQ4 2022","FQ4 2022","Currency=USD","Period=FQ","BEST_FPERIOD_OVERRIDE=FQ","FILING_STATUS=MR","SCALING_FORMAT=MLN","Sort=A","Dates=H","DateFormat=P","Fill=—","Direction=H","UseDPDF=Y")</f>
        <v>2294.8009999999999</v>
      </c>
      <c r="T68" s="13" t="str">
        <f>_xll.BDH("ALNY US Equity","ARDR_DEFERRED_INC_TAX_ASSET_LT","FQ1 2023","FQ1 2023","Currency=USD","Period=FQ","BEST_FPERIOD_OVERRIDE=FQ","FILING_STATUS=MR","SCALING_FORMAT=MLN","Sort=A","Dates=H","DateFormat=P","Fill=—","Direction=H","UseDPDF=Y")</f>
        <v>—</v>
      </c>
      <c r="U68" s="13" t="str">
        <f>_xll.BDH("ALNY US Equity","ARDR_DEFERRED_INC_TAX_ASSET_LT","FQ2 2023","FQ2 2023","Currency=USD","Period=FQ","BEST_FPERIOD_OVERRIDE=FQ","FILING_STATUS=MR","SCALING_FORMAT=MLN","Sort=A","Dates=H","DateFormat=P","Fill=—","Direction=H","UseDPDF=Y")</f>
        <v>—</v>
      </c>
      <c r="V68" s="13" t="str">
        <f>_xll.BDH("ALNY US Equity","ARDR_DEFERRED_INC_TAX_ASSET_LT","FQ3 2023","FQ3 2023","Currency=USD","Period=FQ","BEST_FPERIOD_OVERRIDE=FQ","FILING_STATUS=MR","SCALING_FORMAT=MLN","Sort=A","Dates=H","DateFormat=P","Fill=—","Direction=H","UseDPDF=Y")</f>
        <v>—</v>
      </c>
      <c r="W68" s="13">
        <f>_xll.BDH("ALNY US Equity","ARDR_DEFERRED_INC_TAX_ASSET_LT","FQ4 2023","FQ4 2023","Currency=USD","Period=FQ","BEST_FPERIOD_OVERRIDE=FQ","FILING_STATUS=MR","SCALING_FORMAT=MLN","Sort=A","Dates=H","DateFormat=P","Fill=—","Direction=H","UseDPDF=Y")</f>
        <v>2898.777</v>
      </c>
      <c r="X68" s="13" t="str">
        <f>_xll.BDH("ALNY US Equity","ARDR_DEFERRED_INC_TAX_ASSET_LT","FQ1 2024","FQ1 2024","Currency=USD","Period=FQ","BEST_FPERIOD_OVERRIDE=FQ","FILING_STATUS=MR","SCALING_FORMAT=MLN","Sort=A","Dates=H","DateFormat=P","Fill=—","Direction=H","UseDPDF=Y")</f>
        <v>—</v>
      </c>
      <c r="Y68" s="13" t="str">
        <f>_xll.BDH("ALNY US Equity","ARDR_DEFERRED_INC_TAX_ASSET_LT","FQ2 2024","FQ2 2024","Currency=USD","Period=FQ","BEST_FPERIOD_OVERRIDE=FQ","FILING_STATUS=MR","SCALING_FORMAT=MLN","Sort=A","Dates=H","DateFormat=P","Fill=—","Direction=H","UseDPDF=Y")</f>
        <v>—</v>
      </c>
      <c r="Z68" s="13" t="str">
        <f>_xll.BDH("ALNY US Equity","ARDR_DEFERRED_INC_TAX_ASSET_LT","FQ3 2024","FQ3 2024","Currency=USD","Period=FQ","BEST_FPERIOD_OVERRIDE=FQ","FILING_STATUS=MR","SCALING_FORMAT=MLN","Sort=A","Dates=H","DateFormat=P","Fill=—","Direction=H","UseDPDF=Y")</f>
        <v>—</v>
      </c>
      <c r="AA68" s="13">
        <f>_xll.BDH("ALNY US Equity","ARDR_DEFERRED_INC_TAX_ASSET_LT","FQ4 2024","FQ4 2024","Currency=USD","Period=FQ","BEST_FPERIOD_OVERRIDE=FQ","FILING_STATUS=MR","SCALING_FORMAT=MLN","Sort=A","Dates=H","DateFormat=P","Fill=—","Direction=H","UseDPDF=Y")</f>
        <v>2967.63</v>
      </c>
    </row>
    <row r="69" spans="1:27" x14ac:dyDescent="0.25">
      <c r="A69" s="10" t="s">
        <v>933</v>
      </c>
      <c r="B69" s="10" t="s">
        <v>934</v>
      </c>
      <c r="C69" s="13">
        <f>_xll.BDH("ALNY US Equity","ARDR_DEFERRED_INCOME_TAXES_LIAB","FQ4 2018","FQ4 2018","Currency=USD","Period=FQ","BEST_FPERIOD_OVERRIDE=FQ","FILING_STATUS=MR","SCALING_FORMAT=MLN","Sort=A","Dates=H","DateFormat=P","Fill=—","Direction=H","UseDPDF=Y")</f>
        <v>7.4530000000000003</v>
      </c>
      <c r="D69" s="13" t="str">
        <f>_xll.BDH("ALNY US Equity","ARDR_DEFERRED_INCOME_TAXES_LIAB","FQ1 2019","FQ1 2019","Currency=USD","Period=FQ","BEST_FPERIOD_OVERRIDE=FQ","FILING_STATUS=MR","SCALING_FORMAT=MLN","Sort=A","Dates=H","DateFormat=P","Fill=—","Direction=H","UseDPDF=Y")</f>
        <v>—</v>
      </c>
      <c r="E69" s="13" t="str">
        <f>_xll.BDH("ALNY US Equity","ARDR_DEFERRED_INCOME_TAXES_LIAB","FQ2 2019","FQ2 2019","Currency=USD","Period=FQ","BEST_FPERIOD_OVERRIDE=FQ","FILING_STATUS=MR","SCALING_FORMAT=MLN","Sort=A","Dates=H","DateFormat=P","Fill=—","Direction=H","UseDPDF=Y")</f>
        <v>—</v>
      </c>
      <c r="F69" s="13" t="str">
        <f>_xll.BDH("ALNY US Equity","ARDR_DEFERRED_INCOME_TAXES_LIAB","FQ3 2019","FQ3 2019","Currency=USD","Period=FQ","BEST_FPERIOD_OVERRIDE=FQ","FILING_STATUS=MR","SCALING_FORMAT=MLN","Sort=A","Dates=H","DateFormat=P","Fill=—","Direction=H","UseDPDF=Y")</f>
        <v>—</v>
      </c>
      <c r="G69" s="13">
        <f>_xll.BDH("ALNY US Equity","ARDR_DEFERRED_INCOME_TAXES_LIAB","FQ4 2019","FQ4 2019","Currency=USD","Period=FQ","BEST_FPERIOD_OVERRIDE=FQ","FILING_STATUS=MR","SCALING_FORMAT=MLN","Sort=A","Dates=H","DateFormat=P","Fill=—","Direction=H","UseDPDF=Y")</f>
        <v>64.302999999999997</v>
      </c>
      <c r="H69" s="13" t="str">
        <f>_xll.BDH("ALNY US Equity","ARDR_DEFERRED_INCOME_TAXES_LIAB","FQ1 2020","FQ1 2020","Currency=USD","Period=FQ","BEST_FPERIOD_OVERRIDE=FQ","FILING_STATUS=MR","SCALING_FORMAT=MLN","Sort=A","Dates=H","DateFormat=P","Fill=—","Direction=H","UseDPDF=Y")</f>
        <v>—</v>
      </c>
      <c r="I69" s="13" t="str">
        <f>_xll.BDH("ALNY US Equity","ARDR_DEFERRED_INCOME_TAXES_LIAB","FQ2 2020","FQ2 2020","Currency=USD","Period=FQ","BEST_FPERIOD_OVERRIDE=FQ","FILING_STATUS=MR","SCALING_FORMAT=MLN","Sort=A","Dates=H","DateFormat=P","Fill=—","Direction=H","UseDPDF=Y")</f>
        <v>—</v>
      </c>
      <c r="J69" s="13" t="str">
        <f>_xll.BDH("ALNY US Equity","ARDR_DEFERRED_INCOME_TAXES_LIAB","FQ3 2020","FQ3 2020","Currency=USD","Period=FQ","BEST_FPERIOD_OVERRIDE=FQ","FILING_STATUS=MR","SCALING_FORMAT=MLN","Sort=A","Dates=H","DateFormat=P","Fill=—","Direction=H","UseDPDF=Y")</f>
        <v>—</v>
      </c>
      <c r="K69" s="13">
        <f>_xll.BDH("ALNY US Equity","ARDR_DEFERRED_INCOME_TAXES_LIAB","FQ4 2020","FQ4 2020","Currency=USD","Period=FQ","BEST_FPERIOD_OVERRIDE=FQ","FILING_STATUS=MR","SCALING_FORMAT=MLN","Sort=A","Dates=H","DateFormat=P","Fill=—","Direction=H","UseDPDF=Y")</f>
        <v>145.71299999999999</v>
      </c>
      <c r="L69" s="13" t="str">
        <f>_xll.BDH("ALNY US Equity","ARDR_DEFERRED_INCOME_TAXES_LIAB","FQ1 2021","FQ1 2021","Currency=USD","Period=FQ","BEST_FPERIOD_OVERRIDE=FQ","FILING_STATUS=MR","SCALING_FORMAT=MLN","Sort=A","Dates=H","DateFormat=P","Fill=—","Direction=H","UseDPDF=Y")</f>
        <v>—</v>
      </c>
      <c r="M69" s="13" t="str">
        <f>_xll.BDH("ALNY US Equity","ARDR_DEFERRED_INCOME_TAXES_LIAB","FQ2 2021","FQ2 2021","Currency=USD","Period=FQ","BEST_FPERIOD_OVERRIDE=FQ","FILING_STATUS=MR","SCALING_FORMAT=MLN","Sort=A","Dates=H","DateFormat=P","Fill=—","Direction=H","UseDPDF=Y")</f>
        <v>—</v>
      </c>
      <c r="N69" s="13" t="str">
        <f>_xll.BDH("ALNY US Equity","ARDR_DEFERRED_INCOME_TAXES_LIAB","FQ3 2021","FQ3 2021","Currency=USD","Period=FQ","BEST_FPERIOD_OVERRIDE=FQ","FILING_STATUS=MR","SCALING_FORMAT=MLN","Sort=A","Dates=H","DateFormat=P","Fill=—","Direction=H","UseDPDF=Y")</f>
        <v>—</v>
      </c>
      <c r="O69" s="13">
        <f>_xll.BDH("ALNY US Equity","ARDR_DEFERRED_INCOME_TAXES_LIAB","FQ4 2021","FQ4 2021","Currency=USD","Period=FQ","BEST_FPERIOD_OVERRIDE=FQ","FILING_STATUS=MR","SCALING_FORMAT=MLN","Sort=A","Dates=H","DateFormat=P","Fill=—","Direction=H","UseDPDF=Y")</f>
        <v>130.80500000000001</v>
      </c>
      <c r="P69" s="13" t="str">
        <f>_xll.BDH("ALNY US Equity","ARDR_DEFERRED_INCOME_TAXES_LIAB","FQ1 2022","FQ1 2022","Currency=USD","Period=FQ","BEST_FPERIOD_OVERRIDE=FQ","FILING_STATUS=MR","SCALING_FORMAT=MLN","Sort=A","Dates=H","DateFormat=P","Fill=—","Direction=H","UseDPDF=Y")</f>
        <v>—</v>
      </c>
      <c r="Q69" s="13" t="str">
        <f>_xll.BDH("ALNY US Equity","ARDR_DEFERRED_INCOME_TAXES_LIAB","FQ2 2022","FQ2 2022","Currency=USD","Period=FQ","BEST_FPERIOD_OVERRIDE=FQ","FILING_STATUS=MR","SCALING_FORMAT=MLN","Sort=A","Dates=H","DateFormat=P","Fill=—","Direction=H","UseDPDF=Y")</f>
        <v>—</v>
      </c>
      <c r="R69" s="13" t="str">
        <f>_xll.BDH("ALNY US Equity","ARDR_DEFERRED_INCOME_TAXES_LIAB","FQ3 2022","FQ3 2022","Currency=USD","Period=FQ","BEST_FPERIOD_OVERRIDE=FQ","FILING_STATUS=MR","SCALING_FORMAT=MLN","Sort=A","Dates=H","DateFormat=P","Fill=—","Direction=H","UseDPDF=Y")</f>
        <v>—</v>
      </c>
      <c r="S69" s="13">
        <f>_xll.BDH("ALNY US Equity","ARDR_DEFERRED_INCOME_TAXES_LIAB","FQ4 2022","FQ4 2022","Currency=USD","Period=FQ","BEST_FPERIOD_OVERRIDE=FQ","FILING_STATUS=MR","SCALING_FORMAT=MLN","Sort=A","Dates=H","DateFormat=P","Fill=—","Direction=H","UseDPDF=Y")</f>
        <v>90.328000000000003</v>
      </c>
      <c r="T69" s="13" t="str">
        <f>_xll.BDH("ALNY US Equity","ARDR_DEFERRED_INCOME_TAXES_LIAB","FQ1 2023","FQ1 2023","Currency=USD","Period=FQ","BEST_FPERIOD_OVERRIDE=FQ","FILING_STATUS=MR","SCALING_FORMAT=MLN","Sort=A","Dates=H","DateFormat=P","Fill=—","Direction=H","UseDPDF=Y")</f>
        <v>—</v>
      </c>
      <c r="U69" s="13" t="str">
        <f>_xll.BDH("ALNY US Equity","ARDR_DEFERRED_INCOME_TAXES_LIAB","FQ2 2023","FQ2 2023","Currency=USD","Period=FQ","BEST_FPERIOD_OVERRIDE=FQ","FILING_STATUS=MR","SCALING_FORMAT=MLN","Sort=A","Dates=H","DateFormat=P","Fill=—","Direction=H","UseDPDF=Y")</f>
        <v>—</v>
      </c>
      <c r="V69" s="13" t="str">
        <f>_xll.BDH("ALNY US Equity","ARDR_DEFERRED_INCOME_TAXES_LIAB","FQ3 2023","FQ3 2023","Currency=USD","Period=FQ","BEST_FPERIOD_OVERRIDE=FQ","FILING_STATUS=MR","SCALING_FORMAT=MLN","Sort=A","Dates=H","DateFormat=P","Fill=—","Direction=H","UseDPDF=Y")</f>
        <v>—</v>
      </c>
      <c r="W69" s="13">
        <f>_xll.BDH("ALNY US Equity","ARDR_DEFERRED_INCOME_TAXES_LIAB","FQ4 2023","FQ4 2023","Currency=USD","Period=FQ","BEST_FPERIOD_OVERRIDE=FQ","FILING_STATUS=MR","SCALING_FORMAT=MLN","Sort=A","Dates=H","DateFormat=P","Fill=—","Direction=H","UseDPDF=Y")</f>
        <v>69.801000000000002</v>
      </c>
      <c r="X69" s="13" t="str">
        <f>_xll.BDH("ALNY US Equity","ARDR_DEFERRED_INCOME_TAXES_LIAB","FQ1 2024","FQ1 2024","Currency=USD","Period=FQ","BEST_FPERIOD_OVERRIDE=FQ","FILING_STATUS=MR","SCALING_FORMAT=MLN","Sort=A","Dates=H","DateFormat=P","Fill=—","Direction=H","UseDPDF=Y")</f>
        <v>—</v>
      </c>
      <c r="Y69" s="13" t="str">
        <f>_xll.BDH("ALNY US Equity","ARDR_DEFERRED_INCOME_TAXES_LIAB","FQ2 2024","FQ2 2024","Currency=USD","Period=FQ","BEST_FPERIOD_OVERRIDE=FQ","FILING_STATUS=MR","SCALING_FORMAT=MLN","Sort=A","Dates=H","DateFormat=P","Fill=—","Direction=H","UseDPDF=Y")</f>
        <v>—</v>
      </c>
      <c r="Z69" s="13" t="str">
        <f>_xll.BDH("ALNY US Equity","ARDR_DEFERRED_INCOME_TAXES_LIAB","FQ3 2024","FQ3 2024","Currency=USD","Period=FQ","BEST_FPERIOD_OVERRIDE=FQ","FILING_STATUS=MR","SCALING_FORMAT=MLN","Sort=A","Dates=H","DateFormat=P","Fill=—","Direction=H","UseDPDF=Y")</f>
        <v>—</v>
      </c>
      <c r="AA69" s="13">
        <f>_xll.BDH("ALNY US Equity","ARDR_DEFERRED_INCOME_TAXES_LIAB","FQ4 2024","FQ4 2024","Currency=USD","Period=FQ","BEST_FPERIOD_OVERRIDE=FQ","FILING_STATUS=MR","SCALING_FORMAT=MLN","Sort=A","Dates=H","DateFormat=P","Fill=—","Direction=H","UseDPDF=Y")</f>
        <v>61.834000000000003</v>
      </c>
    </row>
    <row r="70" spans="1:27" x14ac:dyDescent="0.25">
      <c r="A70" s="10" t="s">
        <v>887</v>
      </c>
      <c r="B70" s="10" t="s">
        <v>935</v>
      </c>
      <c r="C70" s="13" t="str">
        <f>_xll.BDH("ALNY US Equity","ARDR_PREFERRED_STOCK","FQ4 2018","FQ4 2018","Currency=USD","Period=FQ","BEST_FPERIOD_OVERRIDE=FQ","FILING_STATUS=MR","SCALING_FORMAT=MLN","Sort=A","Dates=H","DateFormat=P","Fill=—","Direction=H","UseDPDF=Y")</f>
        <v>—</v>
      </c>
      <c r="D70" s="13" t="str">
        <f>_xll.BDH("ALNY US Equity","ARDR_PREFERRED_STOCK","FQ1 2019","FQ1 2019","Currency=USD","Period=FQ","BEST_FPERIOD_OVERRIDE=FQ","FILING_STATUS=MR","SCALING_FORMAT=MLN","Sort=A","Dates=H","DateFormat=P","Fill=—","Direction=H","UseDPDF=Y")</f>
        <v>—</v>
      </c>
      <c r="E70" s="13" t="str">
        <f>_xll.BDH("ALNY US Equity","ARDR_PREFERRED_STOCK","FQ2 2019","FQ2 2019","Currency=USD","Period=FQ","BEST_FPERIOD_OVERRIDE=FQ","FILING_STATUS=MR","SCALING_FORMAT=MLN","Sort=A","Dates=H","DateFormat=P","Fill=—","Direction=H","UseDPDF=Y")</f>
        <v>—</v>
      </c>
      <c r="F70" s="13" t="str">
        <f>_xll.BDH("ALNY US Equity","ARDR_PREFERRED_STOCK","FQ3 2019","FQ3 2019","Currency=USD","Period=FQ","BEST_FPERIOD_OVERRIDE=FQ","FILING_STATUS=MR","SCALING_FORMAT=MLN","Sort=A","Dates=H","DateFormat=P","Fill=—","Direction=H","UseDPDF=Y")</f>
        <v>—</v>
      </c>
      <c r="G70" s="13" t="str">
        <f>_xll.BDH("ALNY US Equity","ARDR_PREFERRED_STOCK","FQ4 2019","FQ4 2019","Currency=USD","Period=FQ","BEST_FPERIOD_OVERRIDE=FQ","FILING_STATUS=MR","SCALING_FORMAT=MLN","Sort=A","Dates=H","DateFormat=P","Fill=—","Direction=H","UseDPDF=Y")</f>
        <v>—</v>
      </c>
      <c r="H70" s="13" t="str">
        <f>_xll.BDH("ALNY US Equity","ARDR_PREFERRED_STOCK","FQ1 2020","FQ1 2020","Currency=USD","Period=FQ","BEST_FPERIOD_OVERRIDE=FQ","FILING_STATUS=MR","SCALING_FORMAT=MLN","Sort=A","Dates=H","DateFormat=P","Fill=—","Direction=H","UseDPDF=Y")</f>
        <v>—</v>
      </c>
      <c r="I70" s="13" t="str">
        <f>_xll.BDH("ALNY US Equity","ARDR_PREFERRED_STOCK","FQ2 2020","FQ2 2020","Currency=USD","Period=FQ","BEST_FPERIOD_OVERRIDE=FQ","FILING_STATUS=MR","SCALING_FORMAT=MLN","Sort=A","Dates=H","DateFormat=P","Fill=—","Direction=H","UseDPDF=Y")</f>
        <v>—</v>
      </c>
      <c r="J70" s="13" t="str">
        <f>_xll.BDH("ALNY US Equity","ARDR_PREFERRED_STOCK","FQ3 2020","FQ3 2020","Currency=USD","Period=FQ","BEST_FPERIOD_OVERRIDE=FQ","FILING_STATUS=MR","SCALING_FORMAT=MLN","Sort=A","Dates=H","DateFormat=P","Fill=—","Direction=H","UseDPDF=Y")</f>
        <v>—</v>
      </c>
      <c r="K70" s="13" t="str">
        <f>_xll.BDH("ALNY US Equity","ARDR_PREFERRED_STOCK","FQ4 2020","FQ4 2020","Currency=USD","Period=FQ","BEST_FPERIOD_OVERRIDE=FQ","FILING_STATUS=MR","SCALING_FORMAT=MLN","Sort=A","Dates=H","DateFormat=P","Fill=—","Direction=H","UseDPDF=Y")</f>
        <v>—</v>
      </c>
      <c r="L70" s="13" t="str">
        <f>_xll.BDH("ALNY US Equity","ARDR_PREFERRED_STOCK","FQ1 2021","FQ1 2021","Currency=USD","Period=FQ","BEST_FPERIOD_OVERRIDE=FQ","FILING_STATUS=MR","SCALING_FORMAT=MLN","Sort=A","Dates=H","DateFormat=P","Fill=—","Direction=H","UseDPDF=Y")</f>
        <v>—</v>
      </c>
      <c r="M70" s="13" t="str">
        <f>_xll.BDH("ALNY US Equity","ARDR_PREFERRED_STOCK","FQ2 2021","FQ2 2021","Currency=USD","Period=FQ","BEST_FPERIOD_OVERRIDE=FQ","FILING_STATUS=MR","SCALING_FORMAT=MLN","Sort=A","Dates=H","DateFormat=P","Fill=—","Direction=H","UseDPDF=Y")</f>
        <v>—</v>
      </c>
      <c r="N70" s="13" t="str">
        <f>_xll.BDH("ALNY US Equity","ARDR_PREFERRED_STOCK","FQ3 2021","FQ3 2021","Currency=USD","Period=FQ","BEST_FPERIOD_OVERRIDE=FQ","FILING_STATUS=MR","SCALING_FORMAT=MLN","Sort=A","Dates=H","DateFormat=P","Fill=—","Direction=H","UseDPDF=Y")</f>
        <v>—</v>
      </c>
      <c r="O70" s="13" t="str">
        <f>_xll.BDH("ALNY US Equity","ARDR_PREFERRED_STOCK","FQ4 2021","FQ4 2021","Currency=USD","Period=FQ","BEST_FPERIOD_OVERRIDE=FQ","FILING_STATUS=MR","SCALING_FORMAT=MLN","Sort=A","Dates=H","DateFormat=P","Fill=—","Direction=H","UseDPDF=Y")</f>
        <v>—</v>
      </c>
      <c r="P70" s="13" t="str">
        <f>_xll.BDH("ALNY US Equity","ARDR_PREFERRED_STOCK","FQ1 2022","FQ1 2022","Currency=USD","Period=FQ","BEST_FPERIOD_OVERRIDE=FQ","FILING_STATUS=MR","SCALING_FORMAT=MLN","Sort=A","Dates=H","DateFormat=P","Fill=—","Direction=H","UseDPDF=Y")</f>
        <v>—</v>
      </c>
      <c r="Q70" s="13" t="str">
        <f>_xll.BDH("ALNY US Equity","ARDR_PREFERRED_STOCK","FQ2 2022","FQ2 2022","Currency=USD","Period=FQ","BEST_FPERIOD_OVERRIDE=FQ","FILING_STATUS=MR","SCALING_FORMAT=MLN","Sort=A","Dates=H","DateFormat=P","Fill=—","Direction=H","UseDPDF=Y")</f>
        <v>—</v>
      </c>
      <c r="R70" s="13" t="str">
        <f>_xll.BDH("ALNY US Equity","ARDR_PREFERRED_STOCK","FQ3 2022","FQ3 2022","Currency=USD","Period=FQ","BEST_FPERIOD_OVERRIDE=FQ","FILING_STATUS=MR","SCALING_FORMAT=MLN","Sort=A","Dates=H","DateFormat=P","Fill=—","Direction=H","UseDPDF=Y")</f>
        <v>—</v>
      </c>
      <c r="S70" s="13">
        <f>_xll.BDH("ALNY US Equity","ARDR_PREFERRED_STOCK","FQ4 2022","FQ4 2022","Currency=USD","Period=FQ","BEST_FPERIOD_OVERRIDE=FQ","FILING_STATUS=MR","SCALING_FORMAT=MLN","Sort=A","Dates=H","DateFormat=P","Fill=—","Direction=H","UseDPDF=Y")</f>
        <v>0</v>
      </c>
      <c r="T70" s="13" t="str">
        <f>_xll.BDH("ALNY US Equity","ARDR_PREFERRED_STOCK","FQ1 2023","FQ1 2023","Currency=USD","Period=FQ","BEST_FPERIOD_OVERRIDE=FQ","FILING_STATUS=MR","SCALING_FORMAT=MLN","Sort=A","Dates=H","DateFormat=P","Fill=—","Direction=H","UseDPDF=Y")</f>
        <v>—</v>
      </c>
      <c r="U70" s="13" t="str">
        <f>_xll.BDH("ALNY US Equity","ARDR_PREFERRED_STOCK","FQ2 2023","FQ2 2023","Currency=USD","Period=FQ","BEST_FPERIOD_OVERRIDE=FQ","FILING_STATUS=MR","SCALING_FORMAT=MLN","Sort=A","Dates=H","DateFormat=P","Fill=—","Direction=H","UseDPDF=Y")</f>
        <v>—</v>
      </c>
      <c r="V70" s="13" t="str">
        <f>_xll.BDH("ALNY US Equity","ARDR_PREFERRED_STOCK","FQ3 2023","FQ3 2023","Currency=USD","Period=FQ","BEST_FPERIOD_OVERRIDE=FQ","FILING_STATUS=MR","SCALING_FORMAT=MLN","Sort=A","Dates=H","DateFormat=P","Fill=—","Direction=H","UseDPDF=Y")</f>
        <v>—</v>
      </c>
      <c r="W70" s="13">
        <f>_xll.BDH("ALNY US Equity","ARDR_PREFERRED_STOCK","FQ4 2023","FQ4 2023","Currency=USD","Period=FQ","BEST_FPERIOD_OVERRIDE=FQ","FILING_STATUS=MR","SCALING_FORMAT=MLN","Sort=A","Dates=H","DateFormat=P","Fill=—","Direction=H","UseDPDF=Y")</f>
        <v>0</v>
      </c>
      <c r="X70" s="13">
        <f>_xll.BDH("ALNY US Equity","ARDR_PREFERRED_STOCK","FQ1 2024","FQ1 2024","Currency=USD","Period=FQ","BEST_FPERIOD_OVERRIDE=FQ","FILING_STATUS=MR","SCALING_FORMAT=MLN","Sort=A","Dates=H","DateFormat=P","Fill=—","Direction=H","UseDPDF=Y")</f>
        <v>0</v>
      </c>
      <c r="Y70" s="13">
        <f>_xll.BDH("ALNY US Equity","ARDR_PREFERRED_STOCK","FQ2 2024","FQ2 2024","Currency=USD","Period=FQ","BEST_FPERIOD_OVERRIDE=FQ","FILING_STATUS=MR","SCALING_FORMAT=MLN","Sort=A","Dates=H","DateFormat=P","Fill=—","Direction=H","UseDPDF=Y")</f>
        <v>0</v>
      </c>
      <c r="Z70" s="13">
        <f>_xll.BDH("ALNY US Equity","ARDR_PREFERRED_STOCK","FQ3 2024","FQ3 2024","Currency=USD","Period=FQ","BEST_FPERIOD_OVERRIDE=FQ","FILING_STATUS=MR","SCALING_FORMAT=MLN","Sort=A","Dates=H","DateFormat=P","Fill=—","Direction=H","UseDPDF=Y")</f>
        <v>0</v>
      </c>
      <c r="AA70" s="13">
        <f>_xll.BDH("ALNY US Equity","ARDR_PREFERRED_STOCK","FQ4 2024","FQ4 2024","Currency=USD","Period=FQ","BEST_FPERIOD_OVERRIDE=FQ","FILING_STATUS=MR","SCALING_FORMAT=MLN","Sort=A","Dates=H","DateFormat=P","Fill=—","Direction=H","UseDPDF=Y")</f>
        <v>0</v>
      </c>
    </row>
    <row r="71" spans="1:27" x14ac:dyDescent="0.25">
      <c r="A71" s="10" t="s">
        <v>889</v>
      </c>
      <c r="B71" s="10" t="s">
        <v>936</v>
      </c>
      <c r="C71" s="13">
        <f>_xll.BDH("ALNY US Equity","ARDR_COMMON_STOCK","FQ4 2018","FQ4 2018","Currency=USD","Period=FQ","BEST_FPERIOD_OVERRIDE=FQ","FILING_STATUS=MR","SCALING_FORMAT=MLN","Sort=A","Dates=H","DateFormat=P","Fill=—","Direction=H","UseDPDF=Y")</f>
        <v>1.0109999999999999</v>
      </c>
      <c r="D71" s="13">
        <f>_xll.BDH("ALNY US Equity","ARDR_COMMON_STOCK","FQ1 2019","FQ1 2019","Currency=USD","Period=FQ","BEST_FPERIOD_OVERRIDE=FQ","FILING_STATUS=MR","SCALING_FORMAT=MLN","Sort=A","Dates=H","DateFormat=P","Fill=—","Direction=H","UseDPDF=Y")</f>
        <v>1.0640000000000001</v>
      </c>
      <c r="E71" s="13">
        <f>_xll.BDH("ALNY US Equity","ARDR_COMMON_STOCK","FQ2 2019","FQ2 2019","Currency=USD","Period=FQ","BEST_FPERIOD_OVERRIDE=FQ","FILING_STATUS=MR","SCALING_FORMAT=MLN","Sort=A","Dates=H","DateFormat=P","Fill=—","Direction=H","UseDPDF=Y")</f>
        <v>1.1100000000000001</v>
      </c>
      <c r="F71" s="13">
        <f>_xll.BDH("ALNY US Equity","ARDR_COMMON_STOCK","FQ3 2019","FQ3 2019","Currency=USD","Period=FQ","BEST_FPERIOD_OVERRIDE=FQ","FILING_STATUS=MR","SCALING_FORMAT=MLN","Sort=A","Dates=H","DateFormat=P","Fill=—","Direction=H","UseDPDF=Y")</f>
        <v>1.113</v>
      </c>
      <c r="G71" s="13">
        <f>_xll.BDH("ALNY US Equity","ARDR_COMMON_STOCK","FQ4 2019","FQ4 2019","Currency=USD","Period=FQ","BEST_FPERIOD_OVERRIDE=FQ","FILING_STATUS=MR","SCALING_FORMAT=MLN","Sort=A","Dates=H","DateFormat=P","Fill=—","Direction=H","UseDPDF=Y")</f>
        <v>1.1220000000000001</v>
      </c>
      <c r="H71" s="13">
        <f>_xll.BDH("ALNY US Equity","ARDR_COMMON_STOCK","FQ1 2020","FQ1 2020","Currency=USD","Period=FQ","BEST_FPERIOD_OVERRIDE=FQ","FILING_STATUS=MR","SCALING_FORMAT=MLN","Sort=A","Dates=H","DateFormat=P","Fill=—","Direction=H","UseDPDF=Y")</f>
        <v>1.131</v>
      </c>
      <c r="I71" s="13">
        <f>_xll.BDH("ALNY US Equity","ARDR_COMMON_STOCK","FQ2 2020","FQ2 2020","Currency=USD","Period=FQ","BEST_FPERIOD_OVERRIDE=FQ","FILING_STATUS=MR","SCALING_FORMAT=MLN","Sort=A","Dates=H","DateFormat=P","Fill=—","Direction=H","UseDPDF=Y")</f>
        <v>1.1559999999999999</v>
      </c>
      <c r="J71" s="13">
        <f>_xll.BDH("ALNY US Equity","ARDR_COMMON_STOCK","FQ3 2020","FQ3 2020","Currency=USD","Period=FQ","BEST_FPERIOD_OVERRIDE=FQ","FILING_STATUS=MR","SCALING_FORMAT=MLN","Sort=A","Dates=H","DateFormat=P","Fill=—","Direction=H","UseDPDF=Y")</f>
        <v>1.161</v>
      </c>
      <c r="K71" s="13">
        <f>_xll.BDH("ALNY US Equity","ARDR_COMMON_STOCK","FQ4 2020","FQ4 2020","Currency=USD","Period=FQ","BEST_FPERIOD_OVERRIDE=FQ","FILING_STATUS=MR","SCALING_FORMAT=MLN","Sort=A","Dates=H","DateFormat=P","Fill=—","Direction=H","UseDPDF=Y")</f>
        <v>1.1639999999999999</v>
      </c>
      <c r="L71" s="13">
        <f>_xll.BDH("ALNY US Equity","ARDR_COMMON_STOCK","FQ1 2021","FQ1 2021","Currency=USD","Period=FQ","BEST_FPERIOD_OVERRIDE=FQ","FILING_STATUS=MR","SCALING_FORMAT=MLN","Sort=A","Dates=H","DateFormat=P","Fill=—","Direction=H","UseDPDF=Y")</f>
        <v>1.173</v>
      </c>
      <c r="M71" s="13">
        <f>_xll.BDH("ALNY US Equity","ARDR_COMMON_STOCK","FQ2 2021","FQ2 2021","Currency=USD","Period=FQ","BEST_FPERIOD_OVERRIDE=FQ","FILING_STATUS=MR","SCALING_FORMAT=MLN","Sort=A","Dates=H","DateFormat=P","Fill=—","Direction=H","UseDPDF=Y")</f>
        <v>1.1859999999999999</v>
      </c>
      <c r="N71" s="13">
        <f>_xll.BDH("ALNY US Equity","ARDR_COMMON_STOCK","FQ3 2021","FQ3 2021","Currency=USD","Period=FQ","BEST_FPERIOD_OVERRIDE=FQ","FILING_STATUS=MR","SCALING_FORMAT=MLN","Sort=A","Dates=H","DateFormat=P","Fill=—","Direction=H","UseDPDF=Y")</f>
        <v>1.1950000000000001</v>
      </c>
      <c r="O71" s="13">
        <f>_xll.BDH("ALNY US Equity","ARDR_COMMON_STOCK","FQ4 2021","FQ4 2021","Currency=USD","Period=FQ","BEST_FPERIOD_OVERRIDE=FQ","FILING_STATUS=MR","SCALING_FORMAT=MLN","Sort=A","Dates=H","DateFormat=P","Fill=—","Direction=H","UseDPDF=Y")</f>
        <v>1.202</v>
      </c>
      <c r="P71" s="13">
        <f>_xll.BDH("ALNY US Equity","ARDR_COMMON_STOCK","FQ1 2022","FQ1 2022","Currency=USD","Period=FQ","BEST_FPERIOD_OVERRIDE=FQ","FILING_STATUS=MR","SCALING_FORMAT=MLN","Sort=A","Dates=H","DateFormat=P","Fill=—","Direction=H","UseDPDF=Y")</f>
        <v>1.2070000000000001</v>
      </c>
      <c r="Q71" s="13">
        <f>_xll.BDH("ALNY US Equity","ARDR_COMMON_STOCK","FQ2 2022","FQ2 2022","Currency=USD","Period=FQ","BEST_FPERIOD_OVERRIDE=FQ","FILING_STATUS=MR","SCALING_FORMAT=MLN","Sort=A","Dates=H","DateFormat=P","Fill=—","Direction=H","UseDPDF=Y")</f>
        <v>1.21</v>
      </c>
      <c r="R71" s="13">
        <f>_xll.BDH("ALNY US Equity","ARDR_COMMON_STOCK","FQ3 2022","FQ3 2022","Currency=USD","Period=FQ","BEST_FPERIOD_OVERRIDE=FQ","FILING_STATUS=MR","SCALING_FORMAT=MLN","Sort=A","Dates=H","DateFormat=P","Fill=—","Direction=H","UseDPDF=Y")</f>
        <v>1.23</v>
      </c>
      <c r="S71" s="13">
        <f>_xll.BDH("ALNY US Equity","ARDR_COMMON_STOCK","FQ4 2022","FQ4 2022","Currency=USD","Period=FQ","BEST_FPERIOD_OVERRIDE=FQ","FILING_STATUS=MR","SCALING_FORMAT=MLN","Sort=A","Dates=H","DateFormat=P","Fill=—","Direction=H","UseDPDF=Y")</f>
        <v>1.24</v>
      </c>
      <c r="T71" s="13">
        <f>_xll.BDH("ALNY US Equity","ARDR_COMMON_STOCK","FQ1 2023","FQ1 2023","Currency=USD","Period=FQ","BEST_FPERIOD_OVERRIDE=FQ","FILING_STATUS=MR","SCALING_FORMAT=MLN","Sort=A","Dates=H","DateFormat=P","Fill=—","Direction=H","UseDPDF=Y")</f>
        <v>1.2430000000000001</v>
      </c>
      <c r="U71" s="13">
        <f>_xll.BDH("ALNY US Equity","ARDR_COMMON_STOCK","FQ2 2023","FQ2 2023","Currency=USD","Period=FQ","BEST_FPERIOD_OVERRIDE=FQ","FILING_STATUS=MR","SCALING_FORMAT=MLN","Sort=A","Dates=H","DateFormat=P","Fill=—","Direction=H","UseDPDF=Y")</f>
        <v>1.25</v>
      </c>
      <c r="V71" s="13">
        <f>_xll.BDH("ALNY US Equity","ARDR_COMMON_STOCK","FQ3 2023","FQ3 2023","Currency=USD","Period=FQ","BEST_FPERIOD_OVERRIDE=FQ","FILING_STATUS=MR","SCALING_FORMAT=MLN","Sort=A","Dates=H","DateFormat=P","Fill=—","Direction=H","UseDPDF=Y")</f>
        <v>1.2549999999999999</v>
      </c>
      <c r="W71" s="13">
        <f>_xll.BDH("ALNY US Equity","ARDR_COMMON_STOCK","FQ4 2023","FQ4 2023","Currency=USD","Period=FQ","BEST_FPERIOD_OVERRIDE=FQ","FILING_STATUS=MR","SCALING_FORMAT=MLN","Sort=A","Dates=H","DateFormat=P","Fill=—","Direction=H","UseDPDF=Y")</f>
        <v>1.2589999999999999</v>
      </c>
      <c r="X71" s="13">
        <f>_xll.BDH("ALNY US Equity","ARDR_COMMON_STOCK","FQ1 2024","FQ1 2024","Currency=USD","Period=FQ","BEST_FPERIOD_OVERRIDE=FQ","FILING_STATUS=MR","SCALING_FORMAT=MLN","Sort=A","Dates=H","DateFormat=P","Fill=—","Direction=H","UseDPDF=Y")</f>
        <v>1.2649999999999999</v>
      </c>
      <c r="Y71" s="13">
        <f>_xll.BDH("ALNY US Equity","ARDR_COMMON_STOCK","FQ2 2024","FQ2 2024","Currency=USD","Period=FQ","BEST_FPERIOD_OVERRIDE=FQ","FILING_STATUS=MR","SCALING_FORMAT=MLN","Sort=A","Dates=H","DateFormat=P","Fill=—","Direction=H","UseDPDF=Y")</f>
        <v>1.2809999999999999</v>
      </c>
      <c r="Z71" s="13">
        <f>_xll.BDH("ALNY US Equity","ARDR_COMMON_STOCK","FQ3 2024","FQ3 2024","Currency=USD","Period=FQ","BEST_FPERIOD_OVERRIDE=FQ","FILING_STATUS=MR","SCALING_FORMAT=MLN","Sort=A","Dates=H","DateFormat=P","Fill=—","Direction=H","UseDPDF=Y")</f>
        <v>1.2889999999999999</v>
      </c>
      <c r="AA71" s="13">
        <f>_xll.BDH("ALNY US Equity","ARDR_COMMON_STOCK","FQ4 2024","FQ4 2024","Currency=USD","Period=FQ","BEST_FPERIOD_OVERRIDE=FQ","FILING_STATUS=MR","SCALING_FORMAT=MLN","Sort=A","Dates=H","DateFormat=P","Fill=—","Direction=H","UseDPDF=Y")</f>
        <v>1.2929999999999999</v>
      </c>
    </row>
    <row r="72" spans="1:27" x14ac:dyDescent="0.25">
      <c r="A72" s="10" t="s">
        <v>891</v>
      </c>
      <c r="B72" s="10" t="s">
        <v>937</v>
      </c>
      <c r="C72" s="13">
        <f>_xll.BDH("ALNY US Equity","ARDR_ADDITIONAL_PAID_IN_CAPITAL","FQ4 2018","FQ4 2018","Currency=USD","Period=FQ","BEST_FPERIOD_OVERRIDE=FQ","FILING_STATUS=MR","SCALING_FORMAT=MLN","Sort=A","Dates=H","DateFormat=P","Fill=—","Direction=H","UseDPDF=Y")</f>
        <v>4175.1390000000001</v>
      </c>
      <c r="D72" s="13">
        <f>_xll.BDH("ALNY US Equity","ARDR_ADDITIONAL_PAID_IN_CAPITAL","FQ1 2019","FQ1 2019","Currency=USD","Period=FQ","BEST_FPERIOD_OVERRIDE=FQ","FILING_STATUS=MR","SCALING_FORMAT=MLN","Sort=A","Dates=H","DateFormat=P","Fill=—","Direction=H","UseDPDF=Y")</f>
        <v>4601.6620000000003</v>
      </c>
      <c r="E72" s="13">
        <f>_xll.BDH("ALNY US Equity","ARDR_ADDITIONAL_PAID_IN_CAPITAL","FQ2 2019","FQ2 2019","Currency=USD","Period=FQ","BEST_FPERIOD_OVERRIDE=FQ","FILING_STATUS=MR","SCALING_FORMAT=MLN","Sort=A","Dates=H","DateFormat=P","Fill=—","Direction=H","UseDPDF=Y")</f>
        <v>5034.2839999999997</v>
      </c>
      <c r="F72" s="13">
        <f>_xll.BDH("ALNY US Equity","ARDR_ADDITIONAL_PAID_IN_CAPITAL","FQ3 2019","FQ3 2019","Currency=USD","Period=FQ","BEST_FPERIOD_OVERRIDE=FQ","FILING_STATUS=MR","SCALING_FORMAT=MLN","Sort=A","Dates=H","DateFormat=P","Fill=—","Direction=H","UseDPDF=Y")</f>
        <v>5091.2479999999996</v>
      </c>
      <c r="G72" s="13">
        <f>_xll.BDH("ALNY US Equity","ARDR_ADDITIONAL_PAID_IN_CAPITAL","FQ4 2019","FQ4 2019","Currency=USD","Period=FQ","BEST_FPERIOD_OVERRIDE=FQ","FILING_STATUS=MR","SCALING_FORMAT=MLN","Sort=A","Dates=H","DateFormat=P","Fill=—","Direction=H","UseDPDF=Y")</f>
        <v>5201.1760000000004</v>
      </c>
      <c r="H72" s="13">
        <f>_xll.BDH("ALNY US Equity","ARDR_ADDITIONAL_PAID_IN_CAPITAL","FQ1 2020","FQ1 2020","Currency=USD","Period=FQ","BEST_FPERIOD_OVERRIDE=FQ","FILING_STATUS=MR","SCALING_FORMAT=MLN","Sort=A","Dates=H","DateFormat=P","Fill=—","Direction=H","UseDPDF=Y")</f>
        <v>5289.9660000000003</v>
      </c>
      <c r="I72" s="13">
        <f>_xll.BDH("ALNY US Equity","ARDR_ADDITIONAL_PAID_IN_CAPITAL","FQ2 2020","FQ2 2020","Currency=USD","Period=FQ","BEST_FPERIOD_OVERRIDE=FQ","FILING_STATUS=MR","SCALING_FORMAT=MLN","Sort=A","Dates=H","DateFormat=P","Fill=—","Direction=H","UseDPDF=Y")</f>
        <v>5520.32</v>
      </c>
      <c r="J72" s="13">
        <f>_xll.BDH("ALNY US Equity","ARDR_ADDITIONAL_PAID_IN_CAPITAL","FQ3 2020","FQ3 2020","Currency=USD","Period=FQ","BEST_FPERIOD_OVERRIDE=FQ","FILING_STATUS=MR","SCALING_FORMAT=MLN","Sort=A","Dates=H","DateFormat=P","Fill=—","Direction=H","UseDPDF=Y")</f>
        <v>5592.884</v>
      </c>
      <c r="K72" s="13">
        <f>_xll.BDH("ALNY US Equity","ARDR_ADDITIONAL_PAID_IN_CAPITAL","FQ4 2020","FQ4 2020","Currency=USD","Period=FQ","BEST_FPERIOD_OVERRIDE=FQ","FILING_STATUS=MR","SCALING_FORMAT=MLN","Sort=A","Dates=H","DateFormat=P","Fill=—","Direction=H","UseDPDF=Y")</f>
        <v>5644.0739999999996</v>
      </c>
      <c r="L72" s="13">
        <f>_xll.BDH("ALNY US Equity","ARDR_ADDITIONAL_PAID_IN_CAPITAL","FQ1 2021","FQ1 2021","Currency=USD","Period=FQ","BEST_FPERIOD_OVERRIDE=FQ","FILING_STATUS=MR","SCALING_FORMAT=MLN","Sort=A","Dates=H","DateFormat=P","Fill=—","Direction=H","UseDPDF=Y")</f>
        <v>5747.3940000000002</v>
      </c>
      <c r="M72" s="13">
        <f>_xll.BDH("ALNY US Equity","ARDR_ADDITIONAL_PAID_IN_CAPITAL","FQ2 2021","FQ2 2021","Currency=USD","Period=FQ","BEST_FPERIOD_OVERRIDE=FQ","FILING_STATUS=MR","SCALING_FORMAT=MLN","Sort=A","Dates=H","DateFormat=P","Fill=—","Direction=H","UseDPDF=Y")</f>
        <v>5863.4759999999997</v>
      </c>
      <c r="N72" s="13">
        <f>_xll.BDH("ALNY US Equity","ARDR_ADDITIONAL_PAID_IN_CAPITAL","FQ3 2021","FQ3 2021","Currency=USD","Period=FQ","BEST_FPERIOD_OVERRIDE=FQ","FILING_STATUS=MR","SCALING_FORMAT=MLN","Sort=A","Dates=H","DateFormat=P","Fill=—","Direction=H","UseDPDF=Y")</f>
        <v>5968.6610000000001</v>
      </c>
      <c r="O72" s="13">
        <f>_xll.BDH("ALNY US Equity","ARDR_ADDITIONAL_PAID_IN_CAPITAL","FQ4 2021","FQ4 2021","Currency=USD","Period=FQ","BEST_FPERIOD_OVERRIDE=FQ","FILING_STATUS=MR","SCALING_FORMAT=MLN","Sort=A","Dates=H","DateFormat=P","Fill=—","Direction=H","UseDPDF=Y")</f>
        <v>6058.4530000000004</v>
      </c>
      <c r="P72" s="13">
        <f>_xll.BDH("ALNY US Equity","ARDR_ADDITIONAL_PAID_IN_CAPITAL","FQ1 2022","FQ1 2022","Currency=USD","Period=FQ","BEST_FPERIOD_OVERRIDE=FQ","FILING_STATUS=MR","SCALING_FORMAT=MLN","Sort=A","Dates=H","DateFormat=P","Fill=—","Direction=H","UseDPDF=Y")</f>
        <v>6116.558</v>
      </c>
      <c r="Q72" s="13">
        <f>_xll.BDH("ALNY US Equity","ARDR_ADDITIONAL_PAID_IN_CAPITAL","FQ2 2022","FQ2 2022","Currency=USD","Period=FQ","BEST_FPERIOD_OVERRIDE=FQ","FILING_STATUS=MR","SCALING_FORMAT=MLN","Sort=A","Dates=H","DateFormat=P","Fill=—","Direction=H","UseDPDF=Y")</f>
        <v>6172.99</v>
      </c>
      <c r="R72" s="13">
        <f>_xll.BDH("ALNY US Equity","ARDR_ADDITIONAL_PAID_IN_CAPITAL","FQ3 2022","FQ3 2022","Currency=USD","Period=FQ","BEST_FPERIOD_OVERRIDE=FQ","FILING_STATUS=MR","SCALING_FORMAT=MLN","Sort=A","Dates=H","DateFormat=P","Fill=—","Direction=H","UseDPDF=Y")</f>
        <v>6336.7709999999997</v>
      </c>
      <c r="S72" s="13">
        <f>_xll.BDH("ALNY US Equity","ARDR_ADDITIONAL_PAID_IN_CAPITAL","FQ4 2022","FQ4 2022","Currency=USD","Period=FQ","BEST_FPERIOD_OVERRIDE=FQ","FILING_STATUS=MR","SCALING_FORMAT=MLN","Sort=A","Dates=H","DateFormat=P","Fill=—","Direction=H","UseDPDF=Y")</f>
        <v>6454.54</v>
      </c>
      <c r="T72" s="13">
        <f>_xll.BDH("ALNY US Equity","ARDR_ADDITIONAL_PAID_IN_CAPITAL","FQ1 2023","FQ1 2023","Currency=USD","Period=FQ","BEST_FPERIOD_OVERRIDE=FQ","FILING_STATUS=MR","SCALING_FORMAT=MLN","Sort=A","Dates=H","DateFormat=P","Fill=—","Direction=H","UseDPDF=Y")</f>
        <v>6522.0910000000003</v>
      </c>
      <c r="U72" s="13">
        <f>_xll.BDH("ALNY US Equity","ARDR_ADDITIONAL_PAID_IN_CAPITAL","FQ2 2023","FQ2 2023","Currency=USD","Period=FQ","BEST_FPERIOD_OVERRIDE=FQ","FILING_STATUS=MR","SCALING_FORMAT=MLN","Sort=A","Dates=H","DateFormat=P","Fill=—","Direction=H","UseDPDF=Y")</f>
        <v>6647.1729999999998</v>
      </c>
      <c r="V72" s="13">
        <f>_xll.BDH("ALNY US Equity","ARDR_ADDITIONAL_PAID_IN_CAPITAL","FQ3 2023","FQ3 2023","Currency=USD","Period=FQ","BEST_FPERIOD_OVERRIDE=FQ","FILING_STATUS=MR","SCALING_FORMAT=MLN","Sort=A","Dates=H","DateFormat=P","Fill=—","Direction=H","UseDPDF=Y")</f>
        <v>6736.9390000000003</v>
      </c>
      <c r="W72" s="13">
        <f>_xll.BDH("ALNY US Equity","ARDR_ADDITIONAL_PAID_IN_CAPITAL","FQ4 2023","FQ4 2023","Currency=USD","Period=FQ","BEST_FPERIOD_OVERRIDE=FQ","FILING_STATUS=MR","SCALING_FORMAT=MLN","Sort=A","Dates=H","DateFormat=P","Fill=—","Direction=H","UseDPDF=Y")</f>
        <v>6811.0630000000001</v>
      </c>
      <c r="X72" s="13">
        <f>_xll.BDH("ALNY US Equity","ARDR_ADDITIONAL_PAID_IN_CAPITAL","FQ1 2024","FQ1 2024","Currency=USD","Period=FQ","BEST_FPERIOD_OVERRIDE=FQ","FILING_STATUS=MR","SCALING_FORMAT=MLN","Sort=A","Dates=H","DateFormat=P","Fill=—","Direction=H","UseDPDF=Y")</f>
        <v>6881.9769999999999</v>
      </c>
      <c r="Y72" s="13">
        <f>_xll.BDH("ALNY US Equity","ARDR_ADDITIONAL_PAID_IN_CAPITAL","FQ2 2024","FQ2 2024","Currency=USD","Period=FQ","BEST_FPERIOD_OVERRIDE=FQ","FILING_STATUS=MR","SCALING_FORMAT=MLN","Sort=A","Dates=H","DateFormat=P","Fill=—","Direction=H","UseDPDF=Y")</f>
        <v>7122.7039999999997</v>
      </c>
      <c r="Z72" s="13">
        <f>_xll.BDH("ALNY US Equity","ARDR_ADDITIONAL_PAID_IN_CAPITAL","FQ3 2024","FQ3 2024","Currency=USD","Period=FQ","BEST_FPERIOD_OVERRIDE=FQ","FILING_STATUS=MR","SCALING_FORMAT=MLN","Sort=A","Dates=H","DateFormat=P","Fill=—","Direction=H","UseDPDF=Y")</f>
        <v>7259.8760000000002</v>
      </c>
      <c r="AA72" s="13">
        <f>_xll.BDH("ALNY US Equity","ARDR_ADDITIONAL_PAID_IN_CAPITAL","FQ4 2024","FQ4 2024","Currency=USD","Period=FQ","BEST_FPERIOD_OVERRIDE=FQ","FILING_STATUS=MR","SCALING_FORMAT=MLN","Sort=A","Dates=H","DateFormat=P","Fill=—","Direction=H","UseDPDF=Y")</f>
        <v>7388.0609999999997</v>
      </c>
    </row>
    <row r="73" spans="1:27" x14ac:dyDescent="0.25">
      <c r="A73" s="10" t="s">
        <v>893</v>
      </c>
      <c r="B73" s="10" t="s">
        <v>938</v>
      </c>
      <c r="C73" s="13">
        <f>_xll.BDH("ALNY US Equity","ARDR_ACC_OTH_COMPREHENSIVE_INC","FQ4 2018","FQ4 2018","Currency=USD","Period=FQ","BEST_FPERIOD_OVERRIDE=FQ","FILING_STATUS=MR","SCALING_FORMAT=MLN","Sort=A","Dates=H","DateFormat=P","Fill=—","Direction=H","UseDPDF=Y")</f>
        <v>-33.213000000000001</v>
      </c>
      <c r="D73" s="13">
        <f>_xll.BDH("ALNY US Equity","ARDR_ACC_OTH_COMPREHENSIVE_INC","FQ1 2019","FQ1 2019","Currency=USD","Period=FQ","BEST_FPERIOD_OVERRIDE=FQ","FILING_STATUS=MR","SCALING_FORMAT=MLN","Sort=A","Dates=H","DateFormat=P","Fill=—","Direction=H","UseDPDF=Y")</f>
        <v>-32.853000000000002</v>
      </c>
      <c r="E73" s="13">
        <f>_xll.BDH("ALNY US Equity","ARDR_ACC_OTH_COMPREHENSIVE_INC","FQ2 2019","FQ2 2019","Currency=USD","Period=FQ","BEST_FPERIOD_OVERRIDE=FQ","FILING_STATUS=MR","SCALING_FORMAT=MLN","Sort=A","Dates=H","DateFormat=P","Fill=—","Direction=H","UseDPDF=Y")</f>
        <v>-35.831000000000003</v>
      </c>
      <c r="F73" s="13">
        <f>_xll.BDH("ALNY US Equity","ARDR_ACC_OTH_COMPREHENSIVE_INC","FQ3 2019","FQ3 2019","Currency=USD","Period=FQ","BEST_FPERIOD_OVERRIDE=FQ","FILING_STATUS=MR","SCALING_FORMAT=MLN","Sort=A","Dates=H","DateFormat=P","Fill=—","Direction=H","UseDPDF=Y")</f>
        <v>-34.371000000000002</v>
      </c>
      <c r="G73" s="13">
        <f>_xll.BDH("ALNY US Equity","ARDR_ACC_OTH_COMPREHENSIVE_INC","FQ4 2019","FQ4 2019","Currency=USD","Period=FQ","BEST_FPERIOD_OVERRIDE=FQ","FILING_STATUS=MR","SCALING_FORMAT=MLN","Sort=A","Dates=H","DateFormat=P","Fill=—","Direction=H","UseDPDF=Y")</f>
        <v>-36.518000000000001</v>
      </c>
      <c r="H73" s="13">
        <f>_xll.BDH("ALNY US Equity","ARDR_ACC_OTH_COMPREHENSIVE_INC","FQ1 2020","FQ1 2020","Currency=USD","Period=FQ","BEST_FPERIOD_OVERRIDE=FQ","FILING_STATUS=MR","SCALING_FORMAT=MLN","Sort=A","Dates=H","DateFormat=P","Fill=—","Direction=H","UseDPDF=Y")</f>
        <v>-32.058999999999997</v>
      </c>
      <c r="I73" s="13">
        <f>_xll.BDH("ALNY US Equity","ARDR_ACC_OTH_COMPREHENSIVE_INC","FQ2 2020","FQ2 2020","Currency=USD","Period=FQ","BEST_FPERIOD_OVERRIDE=FQ","FILING_STATUS=MR","SCALING_FORMAT=MLN","Sort=A","Dates=H","DateFormat=P","Fill=—","Direction=H","UseDPDF=Y")</f>
        <v>-33.212000000000003</v>
      </c>
      <c r="J73" s="13">
        <f>_xll.BDH("ALNY US Equity","ARDR_ACC_OTH_COMPREHENSIVE_INC","FQ3 2020","FQ3 2020","Currency=USD","Period=FQ","BEST_FPERIOD_OVERRIDE=FQ","FILING_STATUS=MR","SCALING_FORMAT=MLN","Sort=A","Dates=H","DateFormat=P","Fill=—","Direction=H","UseDPDF=Y")</f>
        <v>-37.192999999999998</v>
      </c>
      <c r="K73" s="13">
        <f>_xll.BDH("ALNY US Equity","ARDR_ACC_OTH_COMPREHENSIVE_INC","FQ4 2020","FQ4 2020","Currency=USD","Period=FQ","BEST_FPERIOD_OVERRIDE=FQ","FILING_STATUS=MR","SCALING_FORMAT=MLN","Sort=A","Dates=H","DateFormat=P","Fill=—","Direction=H","UseDPDF=Y")</f>
        <v>-43.622</v>
      </c>
      <c r="L73" s="13">
        <f>_xll.BDH("ALNY US Equity","ARDR_ACC_OTH_COMPREHENSIVE_INC","FQ1 2021","FQ1 2021","Currency=USD","Period=FQ","BEST_FPERIOD_OVERRIDE=FQ","FILING_STATUS=MR","SCALING_FORMAT=MLN","Sort=A","Dates=H","DateFormat=P","Fill=—","Direction=H","UseDPDF=Y")</f>
        <v>-36.716999999999999</v>
      </c>
      <c r="M73" s="13">
        <f>_xll.BDH("ALNY US Equity","ARDR_ACC_OTH_COMPREHENSIVE_INC","FQ2 2021","FQ2 2021","Currency=USD","Period=FQ","BEST_FPERIOD_OVERRIDE=FQ","FILING_STATUS=MR","SCALING_FORMAT=MLN","Sort=A","Dates=H","DateFormat=P","Fill=—","Direction=H","UseDPDF=Y")</f>
        <v>-36.081000000000003</v>
      </c>
      <c r="N73" s="13" t="str">
        <f>_xll.BDH("ALNY US Equity","ARDR_ACC_OTH_COMPREHENSIVE_INC","FQ3 2021","FQ3 2021","Currency=USD","Period=FQ","BEST_FPERIOD_OVERRIDE=FQ","FILING_STATUS=MR","SCALING_FORMAT=MLN","Sort=A","Dates=H","DateFormat=P","Fill=—","Direction=H","UseDPDF=Y")</f>
        <v>—</v>
      </c>
      <c r="O73" s="13">
        <f>_xll.BDH("ALNY US Equity","ARDR_ACC_OTH_COMPREHENSIVE_INC","FQ4 2021","FQ4 2021","Currency=USD","Period=FQ","BEST_FPERIOD_OVERRIDE=FQ","FILING_STATUS=MR","SCALING_FORMAT=MLN","Sort=A","Dates=H","DateFormat=P","Fill=—","Direction=H","UseDPDF=Y")</f>
        <v>-33.259</v>
      </c>
      <c r="P73" s="13">
        <f>_xll.BDH("ALNY US Equity","ARDR_ACC_OTH_COMPREHENSIVE_INC","FQ1 2022","FQ1 2022","Currency=USD","Period=FQ","BEST_FPERIOD_OVERRIDE=FQ","FILING_STATUS=MR","SCALING_FORMAT=MLN","Sort=A","Dates=H","DateFormat=P","Fill=—","Direction=H","UseDPDF=Y")</f>
        <v>-38.064999999999998</v>
      </c>
      <c r="Q73" s="13">
        <f>_xll.BDH("ALNY US Equity","ARDR_ACC_OTH_COMPREHENSIVE_INC","FQ2 2022","FQ2 2022","Currency=USD","Period=FQ","BEST_FPERIOD_OVERRIDE=FQ","FILING_STATUS=MR","SCALING_FORMAT=MLN","Sort=A","Dates=H","DateFormat=P","Fill=—","Direction=H","UseDPDF=Y")</f>
        <v>-42.223999999999997</v>
      </c>
      <c r="R73" s="13">
        <f>_xll.BDH("ALNY US Equity","ARDR_ACC_OTH_COMPREHENSIVE_INC","FQ3 2022","FQ3 2022","Currency=USD","Period=FQ","BEST_FPERIOD_OVERRIDE=FQ","FILING_STATUS=MR","SCALING_FORMAT=MLN","Sort=A","Dates=H","DateFormat=P","Fill=—","Direction=H","UseDPDF=Y")</f>
        <v>-43.783000000000001</v>
      </c>
      <c r="S73" s="13">
        <f>_xll.BDH("ALNY US Equity","ARDR_ACC_OTH_COMPREHENSIVE_INC","FQ4 2022","FQ4 2022","Currency=USD","Period=FQ","BEST_FPERIOD_OVERRIDE=FQ","FILING_STATUS=MR","SCALING_FORMAT=MLN","Sort=A","Dates=H","DateFormat=P","Fill=—","Direction=H","UseDPDF=Y")</f>
        <v>-44.654000000000003</v>
      </c>
      <c r="T73" s="13">
        <f>_xll.BDH("ALNY US Equity","ARDR_ACC_OTH_COMPREHENSIVE_INC","FQ1 2023","FQ1 2023","Currency=USD","Period=FQ","BEST_FPERIOD_OVERRIDE=FQ","FILING_STATUS=MR","SCALING_FORMAT=MLN","Sort=A","Dates=H","DateFormat=P","Fill=—","Direction=H","UseDPDF=Y")</f>
        <v>-39.124000000000002</v>
      </c>
      <c r="U73" s="13">
        <f>_xll.BDH("ALNY US Equity","ARDR_ACC_OTH_COMPREHENSIVE_INC","FQ2 2023","FQ2 2023","Currency=USD","Period=FQ","BEST_FPERIOD_OVERRIDE=FQ","FILING_STATUS=MR","SCALING_FORMAT=MLN","Sort=A","Dates=H","DateFormat=P","Fill=—","Direction=H","UseDPDF=Y")</f>
        <v>-37.08</v>
      </c>
      <c r="V73" s="13">
        <f>_xll.BDH("ALNY US Equity","ARDR_ACC_OTH_COMPREHENSIVE_INC","FQ3 2023","FQ3 2023","Currency=USD","Period=FQ","BEST_FPERIOD_OVERRIDE=FQ","FILING_STATUS=MR","SCALING_FORMAT=MLN","Sort=A","Dates=H","DateFormat=P","Fill=—","Direction=H","UseDPDF=Y")</f>
        <v>-32.338999999999999</v>
      </c>
      <c r="W73" s="13">
        <f>_xll.BDH("ALNY US Equity","ARDR_ACC_OTH_COMPREHENSIVE_INC","FQ4 2023","FQ4 2023","Currency=USD","Period=FQ","BEST_FPERIOD_OVERRIDE=FQ","FILING_STATUS=MR","SCALING_FORMAT=MLN","Sort=A","Dates=H","DateFormat=P","Fill=—","Direction=H","UseDPDF=Y")</f>
        <v>-23.375</v>
      </c>
      <c r="X73" s="13">
        <f>_xll.BDH("ALNY US Equity","ARDR_ACC_OTH_COMPREHENSIVE_INC","FQ1 2024","FQ1 2024","Currency=USD","Period=FQ","BEST_FPERIOD_OVERRIDE=FQ","FILING_STATUS=MR","SCALING_FORMAT=MLN","Sort=A","Dates=H","DateFormat=P","Fill=—","Direction=H","UseDPDF=Y")</f>
        <v>-26.988</v>
      </c>
      <c r="Y73" s="13">
        <f>_xll.BDH("ALNY US Equity","ARDR_ACC_OTH_COMPREHENSIVE_INC","FQ2 2024","FQ2 2024","Currency=USD","Period=FQ","BEST_FPERIOD_OVERRIDE=FQ","FILING_STATUS=MR","SCALING_FORMAT=MLN","Sort=A","Dates=H","DateFormat=P","Fill=—","Direction=H","UseDPDF=Y")</f>
        <v>-34.637</v>
      </c>
      <c r="Z73" s="13">
        <f>_xll.BDH("ALNY US Equity","ARDR_ACC_OTH_COMPREHENSIVE_INC","FQ3 2024","FQ3 2024","Currency=USD","Period=FQ","BEST_FPERIOD_OVERRIDE=FQ","FILING_STATUS=MR","SCALING_FORMAT=MLN","Sort=A","Dates=H","DateFormat=P","Fill=—","Direction=H","UseDPDF=Y")</f>
        <v>-24.826000000000001</v>
      </c>
      <c r="AA73" s="13">
        <f>_xll.BDH("ALNY US Equity","ARDR_ACC_OTH_COMPREHENSIVE_INC","FQ4 2024","FQ4 2024","Currency=USD","Period=FQ","BEST_FPERIOD_OVERRIDE=FQ","FILING_STATUS=MR","SCALING_FORMAT=MLN","Sort=A","Dates=H","DateFormat=P","Fill=—","Direction=H","UseDPDF=Y")</f>
        <v>-34.518000000000001</v>
      </c>
    </row>
    <row r="74" spans="1:27" x14ac:dyDescent="0.25">
      <c r="A74" s="10" t="s">
        <v>895</v>
      </c>
      <c r="B74" s="10" t="s">
        <v>939</v>
      </c>
      <c r="C74" s="13">
        <f>_xll.BDH("ALNY US Equity","ARDR_RETAINED_EARN_ACC_DEFICIT","FQ4 2018","FQ4 2018","Currency=USD","Period=FQ","BEST_FPERIOD_OVERRIDE=FQ","FILING_STATUS=MR","SCALING_FORMAT=MLN","Sort=A","Dates=H","DateFormat=P","Fill=—","Direction=H","UseDPDF=Y")</f>
        <v>-2840.9720000000002</v>
      </c>
      <c r="D74" s="13">
        <f>_xll.BDH("ALNY US Equity","ARDR_RETAINED_EARN_ACC_DEFICIT","FQ1 2019","FQ1 2019","Currency=USD","Period=FQ","BEST_FPERIOD_OVERRIDE=FQ","FILING_STATUS=MR","SCALING_FORMAT=MLN","Sort=A","Dates=H","DateFormat=P","Fill=—","Direction=H","UseDPDF=Y")</f>
        <v>-3022.8870000000002</v>
      </c>
      <c r="E74" s="13">
        <f>_xll.BDH("ALNY US Equity","ARDR_RETAINED_EARN_ACC_DEFICIT","FQ2 2019","FQ2 2019","Currency=USD","Period=FQ","BEST_FPERIOD_OVERRIDE=FQ","FILING_STATUS=MR","SCALING_FORMAT=MLN","Sort=A","Dates=H","DateFormat=P","Fill=—","Direction=H","UseDPDF=Y")</f>
        <v>-3242.3679999999999</v>
      </c>
      <c r="F74" s="13">
        <f>_xll.BDH("ALNY US Equity","ARDR_RETAINED_EARN_ACC_DEFICIT","FQ3 2019","FQ3 2019","Currency=USD","Period=FQ","BEST_FPERIOD_OVERRIDE=FQ","FILING_STATUS=MR","SCALING_FORMAT=MLN","Sort=A","Dates=H","DateFormat=P","Fill=—","Direction=H","UseDPDF=Y")</f>
        <v>-3450.9029999999998</v>
      </c>
      <c r="G74" s="13">
        <f>_xll.BDH("ALNY US Equity","ARDR_RETAINED_EARN_ACC_DEFICIT","FQ4 2019","FQ4 2019","Currency=USD","Period=FQ","BEST_FPERIOD_OVERRIDE=FQ","FILING_STATUS=MR","SCALING_FORMAT=MLN","Sort=A","Dates=H","DateFormat=P","Fill=—","Direction=H","UseDPDF=Y")</f>
        <v>-3727.0880000000002</v>
      </c>
      <c r="H74" s="13">
        <f>_xll.BDH("ALNY US Equity","ARDR_RETAINED_EARN_ACC_DEFICIT","FQ1 2020","FQ1 2020","Currency=USD","Period=FQ","BEST_FPERIOD_OVERRIDE=FQ","FILING_STATUS=MR","SCALING_FORMAT=MLN","Sort=A","Dates=H","DateFormat=P","Fill=—","Direction=H","UseDPDF=Y")</f>
        <v>3909.3090000000002</v>
      </c>
      <c r="I74" s="13">
        <f>_xll.BDH("ALNY US Equity","ARDR_RETAINED_EARN_ACC_DEFICIT","FQ2 2020","FQ2 2020","Currency=USD","Period=FQ","BEST_FPERIOD_OVERRIDE=FQ","FILING_STATUS=MR","SCALING_FORMAT=MLN","Sort=A","Dates=H","DateFormat=P","Fill=—","Direction=H","UseDPDF=Y")</f>
        <v>-4088.538</v>
      </c>
      <c r="J74" s="13">
        <f>_xll.BDH("ALNY US Equity","ARDR_RETAINED_EARN_ACC_DEFICIT","FQ3 2020","FQ3 2020","Currency=USD","Period=FQ","BEST_FPERIOD_OVERRIDE=FQ","FILING_STATUS=MR","SCALING_FORMAT=MLN","Sort=A","Dates=H","DateFormat=P","Fill=—","Direction=H","UseDPDF=Y")</f>
        <v>-4341.8289999999997</v>
      </c>
      <c r="K74" s="13">
        <f>_xll.BDH("ALNY US Equity","ARDR_RETAINED_EARN_ACC_DEFICIT","FQ4 2020","FQ4 2020","Currency=USD","Period=FQ","BEST_FPERIOD_OVERRIDE=FQ","FILING_STATUS=MR","SCALING_FORMAT=MLN","Sort=A","Dates=H","DateFormat=P","Fill=—","Direction=H","UseDPDF=Y")</f>
        <v>-4585.3689999999997</v>
      </c>
      <c r="L74" s="13">
        <f>_xll.BDH("ALNY US Equity","ARDR_RETAINED_EARN_ACC_DEFICIT","FQ1 2021","FQ1 2021","Currency=USD","Period=FQ","BEST_FPERIOD_OVERRIDE=FQ","FILING_STATUS=MR","SCALING_FORMAT=MLN","Sort=A","Dates=H","DateFormat=P","Fill=—","Direction=H","UseDPDF=Y")</f>
        <v>-4785.66</v>
      </c>
      <c r="M74" s="13">
        <f>_xll.BDH("ALNY US Equity","ARDR_RETAINED_EARN_ACC_DEFICIT","FQ2 2021","FQ2 2021","Currency=USD","Period=FQ","BEST_FPERIOD_OVERRIDE=FQ","FILING_STATUS=MR","SCALING_FORMAT=MLN","Sort=A","Dates=H","DateFormat=P","Fill=—","Direction=H","UseDPDF=Y")</f>
        <v>-4975.2190000000001</v>
      </c>
      <c r="N74" s="13">
        <f>_xll.BDH("ALNY US Equity","ARDR_RETAINED_EARN_ACC_DEFICIT","FQ3 2021","FQ3 2021","Currency=USD","Period=FQ","BEST_FPERIOD_OVERRIDE=FQ","FILING_STATUS=MR","SCALING_FORMAT=MLN","Sort=A","Dates=H","DateFormat=P","Fill=—","Direction=H","UseDPDF=Y")</f>
        <v>-5179.7330000000002</v>
      </c>
      <c r="O74" s="13">
        <f>_xll.BDH("ALNY US Equity","ARDR_RETAINED_EARN_ACC_DEFICIT","FQ4 2021","FQ4 2021","Currency=USD","Period=FQ","BEST_FPERIOD_OVERRIDE=FQ","FILING_STATUS=MR","SCALING_FORMAT=MLN","Sort=A","Dates=H","DateFormat=P","Fill=—","Direction=H","UseDPDF=Y")</f>
        <v>-5438.1930000000002</v>
      </c>
      <c r="P74" s="13">
        <f>_xll.BDH("ALNY US Equity","ARDR_RETAINED_EARN_ACC_DEFICIT","FQ1 2022","FQ1 2022","Currency=USD","Period=FQ","BEST_FPERIOD_OVERRIDE=FQ","FILING_STATUS=MR","SCALING_FORMAT=MLN","Sort=A","Dates=H","DateFormat=P","Fill=—","Direction=H","UseDPDF=Y")</f>
        <v>-5678.5339999999997</v>
      </c>
      <c r="Q74" s="13">
        <f>_xll.BDH("ALNY US Equity","ARDR_RETAINED_EARN_ACC_DEFICIT","FQ2 2022","FQ2 2022","Currency=USD","Period=FQ","BEST_FPERIOD_OVERRIDE=FQ","FILING_STATUS=MR","SCALING_FORMAT=MLN","Sort=A","Dates=H","DateFormat=P","Fill=—","Direction=H","UseDPDF=Y")</f>
        <v>-5955.9359999999997</v>
      </c>
      <c r="R74" s="13">
        <f>_xll.BDH("ALNY US Equity","ARDR_RETAINED_EARN_ACC_DEFICIT","FQ3 2022","FQ3 2022","Currency=USD","Period=FQ","BEST_FPERIOD_OVERRIDE=FQ","FILING_STATUS=MR","SCALING_FORMAT=MLN","Sort=A","Dates=H","DateFormat=P","Fill=—","Direction=H","UseDPDF=Y")</f>
        <v>-6361.8559999999998</v>
      </c>
      <c r="S74" s="13">
        <f>_xll.BDH("ALNY US Equity","ARDR_RETAINED_EARN_ACC_DEFICIT","FQ4 2022","FQ4 2022","Currency=USD","Period=FQ","BEST_FPERIOD_OVERRIDE=FQ","FILING_STATUS=MR","SCALING_FORMAT=MLN","Sort=A","Dates=H","DateFormat=P","Fill=—","Direction=H","UseDPDF=Y")</f>
        <v>-6569.3490000000002</v>
      </c>
      <c r="T74" s="13">
        <f>_xll.BDH("ALNY US Equity","ARDR_RETAINED_EARN_ACC_DEFICIT","FQ1 2023","FQ1 2023","Currency=USD","Period=FQ","BEST_FPERIOD_OVERRIDE=FQ","FILING_STATUS=MR","SCALING_FORMAT=MLN","Sort=A","Dates=H","DateFormat=P","Fill=—","Direction=H","UseDPDF=Y")</f>
        <v>-6743.45</v>
      </c>
      <c r="U74" s="13">
        <f>_xll.BDH("ALNY US Equity","ARDR_RETAINED_EARN_ACC_DEFICIT","FQ2 2023","FQ2 2023","Currency=USD","Period=FQ","BEST_FPERIOD_OVERRIDE=FQ","FILING_STATUS=MR","SCALING_FORMAT=MLN","Sort=A","Dates=H","DateFormat=P","Fill=—","Direction=H","UseDPDF=Y")</f>
        <v>-7019.4740000000002</v>
      </c>
      <c r="V74" s="13">
        <f>_xll.BDH("ALNY US Equity","ARDR_RETAINED_EARN_ACC_DEFICIT","FQ3 2023","FQ3 2023","Currency=USD","Period=FQ","BEST_FPERIOD_OVERRIDE=FQ","FILING_STATUS=MR","SCALING_FORMAT=MLN","Sort=A","Dates=H","DateFormat=P","Fill=—","Direction=H","UseDPDF=Y")</f>
        <v>-6871.7209999999995</v>
      </c>
      <c r="W74" s="13">
        <f>_xll.BDH("ALNY US Equity","ARDR_RETAINED_EARN_ACC_DEFICIT","FQ4 2023","FQ4 2023","Currency=USD","Period=FQ","BEST_FPERIOD_OVERRIDE=FQ","FILING_STATUS=MR","SCALING_FORMAT=MLN","Sort=A","Dates=H","DateFormat=P","Fill=—","Direction=H","UseDPDF=Y")</f>
        <v>-7009.5910000000003</v>
      </c>
      <c r="X74" s="13">
        <f>_xll.BDH("ALNY US Equity","ARDR_RETAINED_EARN_ACC_DEFICIT","FQ1 2024","FQ1 2024","Currency=USD","Period=FQ","BEST_FPERIOD_OVERRIDE=FQ","FILING_STATUS=MR","SCALING_FORMAT=MLN","Sort=A","Dates=H","DateFormat=P","Fill=—","Direction=H","UseDPDF=Y")</f>
        <v>-7075.5259999999998</v>
      </c>
      <c r="Y74" s="13">
        <f>_xll.BDH("ALNY US Equity","ARDR_RETAINED_EARN_ACC_DEFICIT","FQ2 2024","FQ2 2024","Currency=USD","Period=FQ","BEST_FPERIOD_OVERRIDE=FQ","FILING_STATUS=MR","SCALING_FORMAT=MLN","Sort=A","Dates=H","DateFormat=P","Fill=—","Direction=H","UseDPDF=Y")</f>
        <v>-7092.415</v>
      </c>
      <c r="Z74" s="13">
        <f>_xll.BDH("ALNY US Equity","ARDR_RETAINED_EARN_ACC_DEFICIT","FQ3 2024","FQ3 2024","Currency=USD","Period=FQ","BEST_FPERIOD_OVERRIDE=FQ","FILING_STATUS=MR","SCALING_FORMAT=MLN","Sort=A","Dates=H","DateFormat=P","Fill=—","Direction=H","UseDPDF=Y")</f>
        <v>-7203.9849999999997</v>
      </c>
      <c r="AA74" s="13">
        <f>_xll.BDH("ALNY US Equity","ARDR_RETAINED_EARN_ACC_DEFICIT","FQ4 2024","FQ4 2024","Currency=USD","Period=FQ","BEST_FPERIOD_OVERRIDE=FQ","FILING_STATUS=MR","SCALING_FORMAT=MLN","Sort=A","Dates=H","DateFormat=P","Fill=—","Direction=H","UseDPDF=Y")</f>
        <v>-7287.7479999999996</v>
      </c>
    </row>
    <row r="75" spans="1:27" x14ac:dyDescent="0.25">
      <c r="A75" s="10" t="s">
        <v>800</v>
      </c>
      <c r="B75" s="10" t="s">
        <v>940</v>
      </c>
      <c r="C75" s="13">
        <f>_xll.BDH("ALNY US Equity","ARDR_SHARES_OUTSTANDING","FQ4 2018","FQ4 2018","Currency=USD","Period=FQ","BEST_FPERIOD_OVERRIDE=FQ","FILING_STATUS=MR","Sort=A","Dates=H","DateFormat=P","Fill=—","Direction=H","UseDPDF=Y")</f>
        <v>101.17700000000001</v>
      </c>
      <c r="D75" s="13" t="str">
        <f>_xll.BDH("ALNY US Equity","ARDR_SHARES_OUTSTANDING","FQ1 2019","FQ1 2019","Currency=USD","Period=FQ","BEST_FPERIOD_OVERRIDE=FQ","FILING_STATUS=MR","Sort=A","Dates=H","DateFormat=P","Fill=—","Direction=H","UseDPDF=Y")</f>
        <v>—</v>
      </c>
      <c r="E75" s="13">
        <f>_xll.BDH("ALNY US Equity","ARDR_SHARES_OUTSTANDING","FQ2 2019","FQ2 2019","Currency=USD","Period=FQ","BEST_FPERIOD_OVERRIDE=FQ","FILING_STATUS=MR","Sort=A","Dates=H","DateFormat=P","Fill=—","Direction=H","UseDPDF=Y")</f>
        <v>111.114</v>
      </c>
      <c r="F75" s="13">
        <f>_xll.BDH("ALNY US Equity","ARDR_SHARES_OUTSTANDING","FQ3 2019","FQ3 2019","Currency=USD","Period=FQ","BEST_FPERIOD_OVERRIDE=FQ","FILING_STATUS=MR","Sort=A","Dates=H","DateFormat=P","Fill=—","Direction=H","UseDPDF=Y")</f>
        <v>111.325</v>
      </c>
      <c r="G75" s="13">
        <f>_xll.BDH("ALNY US Equity","ARDR_SHARES_OUTSTANDING","FQ4 2019","FQ4 2019","Currency=USD","Period=FQ","BEST_FPERIOD_OVERRIDE=FQ","FILING_STATUS=MR","Sort=A","Dates=H","DateFormat=P","Fill=—","Direction=H","UseDPDF=Y")</f>
        <v>112.188</v>
      </c>
      <c r="H75" s="13">
        <f>_xll.BDH("ALNY US Equity","ARDR_SHARES_OUTSTANDING","FQ1 2020","FQ1 2020","Currency=USD","Period=FQ","BEST_FPERIOD_OVERRIDE=FQ","FILING_STATUS=MR","Sort=A","Dates=H","DateFormat=P","Fill=—","Direction=H","UseDPDF=Y")</f>
        <v>113.16800000000001</v>
      </c>
      <c r="I75" s="13">
        <f>_xll.BDH("ALNY US Equity","ARDR_SHARES_OUTSTANDING","FQ2 2020","FQ2 2020","Currency=USD","Period=FQ","BEST_FPERIOD_OVERRIDE=FQ","FILING_STATUS=MR","Sort=A","Dates=H","DateFormat=P","Fill=—","Direction=H","UseDPDF=Y")</f>
        <v>115.64700000000001</v>
      </c>
      <c r="J75" s="13">
        <f>_xll.BDH("ALNY US Equity","ARDR_SHARES_OUTSTANDING","FQ3 2020","FQ3 2020","Currency=USD","Period=FQ","BEST_FPERIOD_OVERRIDE=FQ","FILING_STATUS=MR","Sort=A","Dates=H","DateFormat=P","Fill=—","Direction=H","UseDPDF=Y")</f>
        <v>116.143</v>
      </c>
      <c r="K75" s="13">
        <f>_xll.BDH("ALNY US Equity","ARDR_SHARES_OUTSTANDING","FQ4 2020","FQ4 2020","Currency=USD","Period=FQ","BEST_FPERIOD_OVERRIDE=FQ","FILING_STATUS=MR","Sort=A","Dates=H","DateFormat=P","Fill=—","Direction=H","UseDPDF=Y")</f>
        <v>116.42700000000001</v>
      </c>
      <c r="L75" s="13">
        <f>_xll.BDH("ALNY US Equity","ARDR_SHARES_OUTSTANDING","FQ1 2021","FQ1 2021","Currency=USD","Period=FQ","BEST_FPERIOD_OVERRIDE=FQ","FILING_STATUS=MR","Sort=A","Dates=H","DateFormat=P","Fill=—","Direction=H","UseDPDF=Y")</f>
        <v>117.321</v>
      </c>
      <c r="M75" s="13">
        <f>_xll.BDH("ALNY US Equity","ARDR_SHARES_OUTSTANDING","FQ2 2021","FQ2 2021","Currency=USD","Period=FQ","BEST_FPERIOD_OVERRIDE=FQ","FILING_STATUS=MR","Sort=A","Dates=H","DateFormat=P","Fill=—","Direction=H","UseDPDF=Y")</f>
        <v>118.596</v>
      </c>
      <c r="N75" s="13">
        <f>_xll.BDH("ALNY US Equity","ARDR_SHARES_OUTSTANDING","FQ3 2021","FQ3 2021","Currency=USD","Period=FQ","BEST_FPERIOD_OVERRIDE=FQ","FILING_STATUS=MR","Sort=A","Dates=H","DateFormat=P","Fill=—","Direction=H","UseDPDF=Y")</f>
        <v>119.48</v>
      </c>
      <c r="O75" s="13">
        <f>_xll.BDH("ALNY US Equity","ARDR_SHARES_OUTSTANDING","FQ4 2021","FQ4 2021","Currency=USD","Period=FQ","BEST_FPERIOD_OVERRIDE=FQ","FILING_STATUS=MR","Sort=A","Dates=H","DateFormat=P","Fill=—","Direction=H","UseDPDF=Y")</f>
        <v>120.182</v>
      </c>
      <c r="P75" s="13">
        <f>_xll.BDH("ALNY US Equity","ARDR_SHARES_OUTSTANDING","FQ1 2022","FQ1 2022","Currency=USD","Period=FQ","BEST_FPERIOD_OVERRIDE=FQ","FILING_STATUS=MR","Sort=A","Dates=H","DateFormat=P","Fill=—","Direction=H","UseDPDF=Y")</f>
        <v>120.729</v>
      </c>
      <c r="Q75" s="13">
        <f>_xll.BDH("ALNY US Equity","ARDR_SHARES_OUTSTANDING","FQ2 2022","FQ2 2022","Currency=USD","Period=FQ","BEST_FPERIOD_OVERRIDE=FQ","FILING_STATUS=MR","Sort=A","Dates=H","DateFormat=P","Fill=—","Direction=H","UseDPDF=Y")</f>
        <v>120.992</v>
      </c>
      <c r="R75" s="13">
        <f>_xll.BDH("ALNY US Equity","ARDR_SHARES_OUTSTANDING","FQ3 2022","FQ3 2022","Currency=USD","Period=FQ","BEST_FPERIOD_OVERRIDE=FQ","FILING_STATUS=MR","Sort=A","Dates=H","DateFormat=P","Fill=—","Direction=H","UseDPDF=Y")</f>
        <v>122.991</v>
      </c>
      <c r="S75" s="13">
        <f>_xll.BDH("ALNY US Equity","ARDR_SHARES_OUTSTANDING","FQ4 2022","FQ4 2022","Currency=USD","Period=FQ","BEST_FPERIOD_OVERRIDE=FQ","FILING_STATUS=MR","Sort=A","Dates=H","DateFormat=P","Fill=—","Direction=H","UseDPDF=Y")</f>
        <v>123.925</v>
      </c>
      <c r="T75" s="13">
        <f>_xll.BDH("ALNY US Equity","ARDR_SHARES_OUTSTANDING","FQ1 2023","FQ1 2023","Currency=USD","Period=FQ","BEST_FPERIOD_OVERRIDE=FQ","FILING_STATUS=MR","Sort=A","Dates=H","DateFormat=P","Fill=—","Direction=H","UseDPDF=Y")</f>
        <v>124.241</v>
      </c>
      <c r="U75" s="13">
        <f>_xll.BDH("ALNY US Equity","ARDR_SHARES_OUTSTANDING","FQ2 2023","FQ2 2023","Currency=USD","Period=FQ","BEST_FPERIOD_OVERRIDE=FQ","FILING_STATUS=MR","Sort=A","Dates=H","DateFormat=P","Fill=—","Direction=H","UseDPDF=Y")</f>
        <v>124.901</v>
      </c>
      <c r="V75" s="13">
        <f>_xll.BDH("ALNY US Equity","ARDR_SHARES_OUTSTANDING","FQ3 2023","FQ3 2023","Currency=USD","Period=FQ","BEST_FPERIOD_OVERRIDE=FQ","FILING_STATUS=MR","Sort=A","Dates=H","DateFormat=P","Fill=—","Direction=H","UseDPDF=Y")</f>
        <v>125.45399999999999</v>
      </c>
      <c r="W75" s="13">
        <f>_xll.BDH("ALNY US Equity","ARDR_SHARES_OUTSTANDING","FQ4 2023","FQ4 2023","Currency=USD","Period=FQ","BEST_FPERIOD_OVERRIDE=FQ","FILING_STATUS=MR","Sort=A","Dates=H","DateFormat=P","Fill=—","Direction=H","UseDPDF=Y")</f>
        <v>125.794</v>
      </c>
      <c r="X75" s="13">
        <f>_xll.BDH("ALNY US Equity","ARDR_SHARES_OUTSTANDING","FQ1 2024","FQ1 2024","Currency=USD","Period=FQ","BEST_FPERIOD_OVERRIDE=FQ","FILING_STATUS=MR","Sort=A","Dates=H","DateFormat=P","Fill=—","Direction=H","UseDPDF=Y")</f>
        <v>126.46299999999999</v>
      </c>
      <c r="Y75" s="13">
        <f>_xll.BDH("ALNY US Equity","ARDR_SHARES_OUTSTANDING","FQ2 2024","FQ2 2024","Currency=USD","Period=FQ","BEST_FPERIOD_OVERRIDE=FQ","FILING_STATUS=MR","Sort=A","Dates=H","DateFormat=P","Fill=—","Direction=H","UseDPDF=Y")</f>
        <v>128.02099999999999</v>
      </c>
      <c r="Z75" s="13">
        <f>_xll.BDH("ALNY US Equity","ARDR_SHARES_OUTSTANDING","FQ3 2024","FQ3 2024","Currency=USD","Period=FQ","BEST_FPERIOD_OVERRIDE=FQ","FILING_STATUS=MR","Sort=A","Dates=H","DateFormat=P","Fill=—","Direction=H","UseDPDF=Y")</f>
        <v>128.84100000000001</v>
      </c>
      <c r="AA75" s="13">
        <f>_xll.BDH("ALNY US Equity","ARDR_SHARES_OUTSTANDING","FQ4 2024","FQ4 2024","Currency=USD","Period=FQ","BEST_FPERIOD_OVERRIDE=FQ","FILING_STATUS=MR","Sort=A","Dates=H","DateFormat=P","Fill=—","Direction=H","UseDPDF=Y")</f>
        <v>129.29400000000001</v>
      </c>
    </row>
    <row r="76" spans="1:27" x14ac:dyDescent="0.25">
      <c r="A76" s="10" t="s">
        <v>898</v>
      </c>
      <c r="B76" s="10" t="s">
        <v>941</v>
      </c>
      <c r="C76" s="14">
        <f>_xll.BDH("ALNY US Equity","ARDR_PAR_VALUE","FQ4 2018","FQ4 2018","Currency=USD","Period=FQ","BEST_FPERIOD_OVERRIDE=FQ","FILING_STATUS=MR","Sort=A","Dates=H","DateFormat=P","Fill=—","Direction=H","UseDPDF=Y")</f>
        <v>0.01</v>
      </c>
      <c r="D76" s="14">
        <f>_xll.BDH("ALNY US Equity","ARDR_PAR_VALUE","FQ1 2019","FQ1 2019","Currency=USD","Period=FQ","BEST_FPERIOD_OVERRIDE=FQ","FILING_STATUS=MR","Sort=A","Dates=H","DateFormat=P","Fill=—","Direction=H","UseDPDF=Y")</f>
        <v>0.01</v>
      </c>
      <c r="E76" s="14">
        <f>_xll.BDH("ALNY US Equity","ARDR_PAR_VALUE","FQ2 2019","FQ2 2019","Currency=USD","Period=FQ","BEST_FPERIOD_OVERRIDE=FQ","FILING_STATUS=MR","Sort=A","Dates=H","DateFormat=P","Fill=—","Direction=H","UseDPDF=Y")</f>
        <v>0.01</v>
      </c>
      <c r="F76" s="14">
        <f>_xll.BDH("ALNY US Equity","ARDR_PAR_VALUE","FQ3 2019","FQ3 2019","Currency=USD","Period=FQ","BEST_FPERIOD_OVERRIDE=FQ","FILING_STATUS=MR","Sort=A","Dates=H","DateFormat=P","Fill=—","Direction=H","UseDPDF=Y")</f>
        <v>0.01</v>
      </c>
      <c r="G76" s="14">
        <f>_xll.BDH("ALNY US Equity","ARDR_PAR_VALUE","FQ4 2019","FQ4 2019","Currency=USD","Period=FQ","BEST_FPERIOD_OVERRIDE=FQ","FILING_STATUS=MR","Sort=A","Dates=H","DateFormat=P","Fill=—","Direction=H","UseDPDF=Y")</f>
        <v>0.01</v>
      </c>
      <c r="H76" s="14">
        <f>_xll.BDH("ALNY US Equity","ARDR_PAR_VALUE","FQ1 2020","FQ1 2020","Currency=USD","Period=FQ","BEST_FPERIOD_OVERRIDE=FQ","FILING_STATUS=MR","Sort=A","Dates=H","DateFormat=P","Fill=—","Direction=H","UseDPDF=Y")</f>
        <v>0.01</v>
      </c>
      <c r="I76" s="14">
        <f>_xll.BDH("ALNY US Equity","ARDR_PAR_VALUE","FQ2 2020","FQ2 2020","Currency=USD","Period=FQ","BEST_FPERIOD_OVERRIDE=FQ","FILING_STATUS=MR","Sort=A","Dates=H","DateFormat=P","Fill=—","Direction=H","UseDPDF=Y")</f>
        <v>0.01</v>
      </c>
      <c r="J76" s="14">
        <f>_xll.BDH("ALNY US Equity","ARDR_PAR_VALUE","FQ3 2020","FQ3 2020","Currency=USD","Period=FQ","BEST_FPERIOD_OVERRIDE=FQ","FILING_STATUS=MR","Sort=A","Dates=H","DateFormat=P","Fill=—","Direction=H","UseDPDF=Y")</f>
        <v>0.01</v>
      </c>
      <c r="K76" s="14">
        <f>_xll.BDH("ALNY US Equity","ARDR_PAR_VALUE","FQ4 2020","FQ4 2020","Currency=USD","Period=FQ","BEST_FPERIOD_OVERRIDE=FQ","FILING_STATUS=MR","Sort=A","Dates=H","DateFormat=P","Fill=—","Direction=H","UseDPDF=Y")</f>
        <v>0.01</v>
      </c>
      <c r="L76" s="14">
        <f>_xll.BDH("ALNY US Equity","ARDR_PAR_VALUE","FQ1 2021","FQ1 2021","Currency=USD","Period=FQ","BEST_FPERIOD_OVERRIDE=FQ","FILING_STATUS=MR","Sort=A","Dates=H","DateFormat=P","Fill=—","Direction=H","UseDPDF=Y")</f>
        <v>0.01</v>
      </c>
      <c r="M76" s="14">
        <f>_xll.BDH("ALNY US Equity","ARDR_PAR_VALUE","FQ2 2021","FQ2 2021","Currency=USD","Period=FQ","BEST_FPERIOD_OVERRIDE=FQ","FILING_STATUS=MR","Sort=A","Dates=H","DateFormat=P","Fill=—","Direction=H","UseDPDF=Y")</f>
        <v>0.01</v>
      </c>
      <c r="N76" s="14">
        <f>_xll.BDH("ALNY US Equity","ARDR_PAR_VALUE","FQ3 2021","FQ3 2021","Currency=USD","Period=FQ","BEST_FPERIOD_OVERRIDE=FQ","FILING_STATUS=MR","Sort=A","Dates=H","DateFormat=P","Fill=—","Direction=H","UseDPDF=Y")</f>
        <v>0.01</v>
      </c>
      <c r="O76" s="14">
        <f>_xll.BDH("ALNY US Equity","ARDR_PAR_VALUE","FQ4 2021","FQ4 2021","Currency=USD","Period=FQ","BEST_FPERIOD_OVERRIDE=FQ","FILING_STATUS=MR","Sort=A","Dates=H","DateFormat=P","Fill=—","Direction=H","UseDPDF=Y")</f>
        <v>0.01</v>
      </c>
      <c r="P76" s="14">
        <f>_xll.BDH("ALNY US Equity","ARDR_PAR_VALUE","FQ1 2022","FQ1 2022","Currency=USD","Period=FQ","BEST_FPERIOD_OVERRIDE=FQ","FILING_STATUS=MR","Sort=A","Dates=H","DateFormat=P","Fill=—","Direction=H","UseDPDF=Y")</f>
        <v>0.01</v>
      </c>
      <c r="Q76" s="14">
        <f>_xll.BDH("ALNY US Equity","ARDR_PAR_VALUE","FQ2 2022","FQ2 2022","Currency=USD","Period=FQ","BEST_FPERIOD_OVERRIDE=FQ","FILING_STATUS=MR","Sort=A","Dates=H","DateFormat=P","Fill=—","Direction=H","UseDPDF=Y")</f>
        <v>0.01</v>
      </c>
      <c r="R76" s="14">
        <f>_xll.BDH("ALNY US Equity","ARDR_PAR_VALUE","FQ3 2022","FQ3 2022","Currency=USD","Period=FQ","BEST_FPERIOD_OVERRIDE=FQ","FILING_STATUS=MR","Sort=A","Dates=H","DateFormat=P","Fill=—","Direction=H","UseDPDF=Y")</f>
        <v>0.01</v>
      </c>
      <c r="S76" s="14">
        <f>_xll.BDH("ALNY US Equity","ARDR_PAR_VALUE","FQ4 2022","FQ4 2022","Currency=USD","Period=FQ","BEST_FPERIOD_OVERRIDE=FQ","FILING_STATUS=MR","Sort=A","Dates=H","DateFormat=P","Fill=—","Direction=H","UseDPDF=Y")</f>
        <v>0.01</v>
      </c>
      <c r="T76" s="14">
        <f>_xll.BDH("ALNY US Equity","ARDR_PAR_VALUE","FQ1 2023","FQ1 2023","Currency=USD","Period=FQ","BEST_FPERIOD_OVERRIDE=FQ","FILING_STATUS=MR","Sort=A","Dates=H","DateFormat=P","Fill=—","Direction=H","UseDPDF=Y")</f>
        <v>0.01</v>
      </c>
      <c r="U76" s="14" t="str">
        <f>_xll.BDH("ALNY US Equity","ARDR_PAR_VALUE","FQ2 2023","FQ2 2023","Currency=USD","Period=FQ","BEST_FPERIOD_OVERRIDE=FQ","FILING_STATUS=MR","Sort=A","Dates=H","DateFormat=P","Fill=—","Direction=H","UseDPDF=Y")</f>
        <v>—</v>
      </c>
      <c r="V76" s="14">
        <f>_xll.BDH("ALNY US Equity","ARDR_PAR_VALUE","FQ3 2023","FQ3 2023","Currency=USD","Period=FQ","BEST_FPERIOD_OVERRIDE=FQ","FILING_STATUS=MR","Sort=A","Dates=H","DateFormat=P","Fill=—","Direction=H","UseDPDF=Y")</f>
        <v>0.01</v>
      </c>
      <c r="W76" s="14">
        <f>_xll.BDH("ALNY US Equity","ARDR_PAR_VALUE","FQ4 2023","FQ4 2023","Currency=USD","Period=FQ","BEST_FPERIOD_OVERRIDE=FQ","FILING_STATUS=MR","Sort=A","Dates=H","DateFormat=P","Fill=—","Direction=H","UseDPDF=Y")</f>
        <v>0.01</v>
      </c>
      <c r="X76" s="14">
        <f>_xll.BDH("ALNY US Equity","ARDR_PAR_VALUE","FQ1 2024","FQ1 2024","Currency=USD","Period=FQ","BEST_FPERIOD_OVERRIDE=FQ","FILING_STATUS=MR","Sort=A","Dates=H","DateFormat=P","Fill=—","Direction=H","UseDPDF=Y")</f>
        <v>0.01</v>
      </c>
      <c r="Y76" s="14">
        <f>_xll.BDH("ALNY US Equity","ARDR_PAR_VALUE","FQ2 2024","FQ2 2024","Currency=USD","Period=FQ","BEST_FPERIOD_OVERRIDE=FQ","FILING_STATUS=MR","Sort=A","Dates=H","DateFormat=P","Fill=—","Direction=H","UseDPDF=Y")</f>
        <v>0.01</v>
      </c>
      <c r="Z76" s="14">
        <f>_xll.BDH("ALNY US Equity","ARDR_PAR_VALUE","FQ3 2024","FQ3 2024","Currency=USD","Period=FQ","BEST_FPERIOD_OVERRIDE=FQ","FILING_STATUS=MR","Sort=A","Dates=H","DateFormat=P","Fill=—","Direction=H","UseDPDF=Y")</f>
        <v>0.01</v>
      </c>
      <c r="AA76" s="14">
        <f>_xll.BDH("ALNY US Equity","ARDR_PAR_VALUE","FQ4 2024","FQ4 2024","Currency=USD","Period=FQ","BEST_FPERIOD_OVERRIDE=FQ","FILING_STATUS=MR","Sort=A","Dates=H","DateFormat=P","Fill=—","Direction=H","UseDPDF=Y")</f>
        <v>0.01</v>
      </c>
    </row>
    <row r="77" spans="1:27" x14ac:dyDescent="0.25">
      <c r="A77" s="10" t="s">
        <v>942</v>
      </c>
      <c r="B77" s="10" t="s">
        <v>943</v>
      </c>
      <c r="C77" s="13">
        <f>_xll.BDH("ALNY US Equity","ARDR_RAW_MATERIAL","FQ4 2018","FQ4 2018","Currency=USD","Period=FQ","BEST_FPERIOD_OVERRIDE=FQ","FILING_STATUS=MR","SCALING_FORMAT=MLN","Sort=A","Dates=H","DateFormat=P","Fill=—","Direction=H","UseDPDF=Y")</f>
        <v>8.7089999999999996</v>
      </c>
      <c r="D77" s="13">
        <f>_xll.BDH("ALNY US Equity","ARDR_RAW_MATERIAL","FQ1 2019","FQ1 2019","Currency=USD","Period=FQ","BEST_FPERIOD_OVERRIDE=FQ","FILING_STATUS=MR","SCALING_FORMAT=MLN","Sort=A","Dates=H","DateFormat=P","Fill=—","Direction=H","UseDPDF=Y")</f>
        <v>9.1790000000000003</v>
      </c>
      <c r="E77" s="13">
        <f>_xll.BDH("ALNY US Equity","ARDR_RAW_MATERIAL","FQ2 2019","FQ2 2019","Currency=USD","Period=FQ","BEST_FPERIOD_OVERRIDE=FQ","FILING_STATUS=MR","SCALING_FORMAT=MLN","Sort=A","Dates=H","DateFormat=P","Fill=—","Direction=H","UseDPDF=Y")</f>
        <v>8.4459999999999997</v>
      </c>
      <c r="F77" s="13">
        <f>_xll.BDH("ALNY US Equity","ARDR_RAW_MATERIAL","FQ3 2019","FQ3 2019","Currency=USD","Period=FQ","BEST_FPERIOD_OVERRIDE=FQ","FILING_STATUS=MR","SCALING_FORMAT=MLN","Sort=A","Dates=H","DateFormat=P","Fill=—","Direction=H","UseDPDF=Y")</f>
        <v>11.6</v>
      </c>
      <c r="G77" s="13">
        <f>_xll.BDH("ALNY US Equity","ARDR_RAW_MATERIAL","FQ4 2019","FQ4 2019","Currency=USD","Period=FQ","BEST_FPERIOD_OVERRIDE=FQ","FILING_STATUS=MR","SCALING_FORMAT=MLN","Sort=A","Dates=H","DateFormat=P","Fill=—","Direction=H","UseDPDF=Y")</f>
        <v>15.417999999999999</v>
      </c>
      <c r="H77" s="13">
        <f>_xll.BDH("ALNY US Equity","ARDR_RAW_MATERIAL","FQ1 2020","FQ1 2020","Currency=USD","Period=FQ","BEST_FPERIOD_OVERRIDE=FQ","FILING_STATUS=MR","SCALING_FORMAT=MLN","Sort=A","Dates=H","DateFormat=P","Fill=—","Direction=H","UseDPDF=Y")</f>
        <v>30.661999999999999</v>
      </c>
      <c r="I77" s="13">
        <f>_xll.BDH("ALNY US Equity","ARDR_RAW_MATERIAL","FQ2 2020","FQ2 2020","Currency=USD","Period=FQ","BEST_FPERIOD_OVERRIDE=FQ","FILING_STATUS=MR","SCALING_FORMAT=MLN","Sort=A","Dates=H","DateFormat=P","Fill=—","Direction=H","UseDPDF=Y")</f>
        <v>43.515000000000001</v>
      </c>
      <c r="J77" s="13" t="str">
        <f>_xll.BDH("ALNY US Equity","ARDR_RAW_MATERIAL","FQ3 2020","FQ3 2020","Currency=USD","Period=FQ","BEST_FPERIOD_OVERRIDE=FQ","FILING_STATUS=MR","SCALING_FORMAT=MLN","Sort=A","Dates=H","DateFormat=P","Fill=—","Direction=H","UseDPDF=Y")</f>
        <v>—</v>
      </c>
      <c r="K77" s="13">
        <f>_xll.BDH("ALNY US Equity","ARDR_RAW_MATERIAL","FQ4 2020","FQ4 2020","Currency=USD","Period=FQ","BEST_FPERIOD_OVERRIDE=FQ","FILING_STATUS=MR","SCALING_FORMAT=MLN","Sort=A","Dates=H","DateFormat=P","Fill=—","Direction=H","UseDPDF=Y")</f>
        <v>46.36</v>
      </c>
      <c r="L77" s="13">
        <f>_xll.BDH("ALNY US Equity","ARDR_RAW_MATERIAL","FQ1 2021","FQ1 2021","Currency=USD","Period=FQ","BEST_FPERIOD_OVERRIDE=FQ","FILING_STATUS=MR","SCALING_FORMAT=MLN","Sort=A","Dates=H","DateFormat=P","Fill=—","Direction=H","UseDPDF=Y")</f>
        <v>53.694000000000003</v>
      </c>
      <c r="M77" s="13">
        <f>_xll.BDH("ALNY US Equity","ARDR_RAW_MATERIAL","FQ2 2021","FQ2 2021","Currency=USD","Period=FQ","BEST_FPERIOD_OVERRIDE=FQ","FILING_STATUS=MR","SCALING_FORMAT=MLN","Sort=A","Dates=H","DateFormat=P","Fill=—","Direction=H","UseDPDF=Y")</f>
        <v>54.344000000000001</v>
      </c>
      <c r="N77" s="13">
        <f>_xll.BDH("ALNY US Equity","ARDR_RAW_MATERIAL","FQ3 2021","FQ3 2021","Currency=USD","Period=FQ","BEST_FPERIOD_OVERRIDE=FQ","FILING_STATUS=MR","SCALING_FORMAT=MLN","Sort=A","Dates=H","DateFormat=P","Fill=—","Direction=H","UseDPDF=Y")</f>
        <v>65.158000000000001</v>
      </c>
      <c r="O77" s="13">
        <f>_xll.BDH("ALNY US Equity","ARDR_RAW_MATERIAL","FQ4 2021","FQ4 2021","Currency=USD","Period=FQ","BEST_FPERIOD_OVERRIDE=FQ","FILING_STATUS=MR","SCALING_FORMAT=MLN","Sort=A","Dates=H","DateFormat=P","Fill=—","Direction=H","UseDPDF=Y")</f>
        <v>14.754</v>
      </c>
      <c r="P77" s="13">
        <f>_xll.BDH("ALNY US Equity","ARDR_RAW_MATERIAL","FQ1 2022","FQ1 2022","Currency=USD","Period=FQ","BEST_FPERIOD_OVERRIDE=FQ","FILING_STATUS=MR","SCALING_FORMAT=MLN","Sort=A","Dates=H","DateFormat=P","Fill=—","Direction=H","UseDPDF=Y")</f>
        <v>20.372</v>
      </c>
      <c r="Q77" s="13">
        <f>_xll.BDH("ALNY US Equity","ARDR_RAW_MATERIAL","FQ2 2022","FQ2 2022","Currency=USD","Period=FQ","BEST_FPERIOD_OVERRIDE=FQ","FILING_STATUS=MR","SCALING_FORMAT=MLN","Sort=A","Dates=H","DateFormat=P","Fill=—","Direction=H","UseDPDF=Y")</f>
        <v>19.14</v>
      </c>
      <c r="R77" s="13">
        <f>_xll.BDH("ALNY US Equity","ARDR_RAW_MATERIAL","FQ3 2022","FQ3 2022","Currency=USD","Period=FQ","BEST_FPERIOD_OVERRIDE=FQ","FILING_STATUS=MR","SCALING_FORMAT=MLN","Sort=A","Dates=H","DateFormat=P","Fill=—","Direction=H","UseDPDF=Y")</f>
        <v>17.718</v>
      </c>
      <c r="S77" s="13">
        <f>_xll.BDH("ALNY US Equity","ARDR_RAW_MATERIAL","FQ4 2022","FQ4 2022","Currency=USD","Period=FQ","BEST_FPERIOD_OVERRIDE=FQ","FILING_STATUS=MR","SCALING_FORMAT=MLN","Sort=A","Dates=H","DateFormat=P","Fill=—","Direction=H","UseDPDF=Y")</f>
        <v>22.315000000000001</v>
      </c>
      <c r="T77" s="13">
        <f>_xll.BDH("ALNY US Equity","ARDR_RAW_MATERIAL","FQ1 2023","FQ1 2023","Currency=USD","Period=FQ","BEST_FPERIOD_OVERRIDE=FQ","FILING_STATUS=MR","SCALING_FORMAT=MLN","Sort=A","Dates=H","DateFormat=P","Fill=—","Direction=H","UseDPDF=Y")</f>
        <v>22.875</v>
      </c>
      <c r="U77" s="13">
        <f>_xll.BDH("ALNY US Equity","ARDR_RAW_MATERIAL","FQ2 2023","FQ2 2023","Currency=USD","Period=FQ","BEST_FPERIOD_OVERRIDE=FQ","FILING_STATUS=MR","SCALING_FORMAT=MLN","Sort=A","Dates=H","DateFormat=P","Fill=—","Direction=H","UseDPDF=Y")</f>
        <v>17.449000000000002</v>
      </c>
      <c r="V77" s="13">
        <f>_xll.BDH("ALNY US Equity","ARDR_RAW_MATERIAL","FQ3 2023","FQ3 2023","Currency=USD","Period=FQ","BEST_FPERIOD_OVERRIDE=FQ","FILING_STATUS=MR","SCALING_FORMAT=MLN","Sort=A","Dates=H","DateFormat=P","Fill=—","Direction=H","UseDPDF=Y")</f>
        <v>20.120999999999999</v>
      </c>
      <c r="W77" s="13">
        <f>_xll.BDH("ALNY US Equity","ARDR_RAW_MATERIAL","FQ4 2023","FQ4 2023","Currency=USD","Period=FQ","BEST_FPERIOD_OVERRIDE=FQ","FILING_STATUS=MR","SCALING_FORMAT=MLN","Sort=A","Dates=H","DateFormat=P","Fill=—","Direction=H","UseDPDF=Y")</f>
        <v>23.346</v>
      </c>
      <c r="X77" s="13">
        <f>_xll.BDH("ALNY US Equity","ARDR_RAW_MATERIAL","FQ1 2024","FQ1 2024","Currency=USD","Period=FQ","BEST_FPERIOD_OVERRIDE=FQ","FILING_STATUS=MR","SCALING_FORMAT=MLN","Sort=A","Dates=H","DateFormat=P","Fill=—","Direction=H","UseDPDF=Y")</f>
        <v>25.401</v>
      </c>
      <c r="Y77" s="13">
        <f>_xll.BDH("ALNY US Equity","ARDR_RAW_MATERIAL","FQ2 2024","FQ2 2024","Currency=USD","Period=FQ","BEST_FPERIOD_OVERRIDE=FQ","FILING_STATUS=MR","SCALING_FORMAT=MLN","Sort=A","Dates=H","DateFormat=P","Fill=—","Direction=H","UseDPDF=Y")</f>
        <v>26.021000000000001</v>
      </c>
      <c r="Z77" s="13">
        <f>_xll.BDH("ALNY US Equity","ARDR_RAW_MATERIAL","FQ3 2024","FQ3 2024","Currency=USD","Period=FQ","BEST_FPERIOD_OVERRIDE=FQ","FILING_STATUS=MR","SCALING_FORMAT=MLN","Sort=A","Dates=H","DateFormat=P","Fill=—","Direction=H","UseDPDF=Y")</f>
        <v>22.364999999999998</v>
      </c>
      <c r="AA77" s="13">
        <f>_xll.BDH("ALNY US Equity","ARDR_RAW_MATERIAL","FQ4 2024","FQ4 2024","Currency=USD","Period=FQ","BEST_FPERIOD_OVERRIDE=FQ","FILING_STATUS=MR","SCALING_FORMAT=MLN","Sort=A","Dates=H","DateFormat=P","Fill=—","Direction=H","UseDPDF=Y")</f>
        <v>23.965</v>
      </c>
    </row>
    <row r="78" spans="1:27" x14ac:dyDescent="0.25">
      <c r="A78" s="10" t="s">
        <v>944</v>
      </c>
      <c r="B78" s="10" t="s">
        <v>945</v>
      </c>
      <c r="C78" s="13">
        <f>_xll.BDH("ALNY US Equity","ARDR_WORK_IN_PROGRESS","FQ4 2018","FQ4 2018","Currency=USD","Period=FQ","BEST_FPERIOD_OVERRIDE=FQ","FILING_STATUS=MR","SCALING_FORMAT=MLN","Sort=A","Dates=H","DateFormat=P","Fill=—","Direction=H","UseDPDF=Y")</f>
        <v>15.262</v>
      </c>
      <c r="D78" s="13">
        <f>_xll.BDH("ALNY US Equity","ARDR_WORK_IN_PROGRESS","FQ1 2019","FQ1 2019","Currency=USD","Period=FQ","BEST_FPERIOD_OVERRIDE=FQ","FILING_STATUS=MR","SCALING_FORMAT=MLN","Sort=A","Dates=H","DateFormat=P","Fill=—","Direction=H","UseDPDF=Y")</f>
        <v>22.687000000000001</v>
      </c>
      <c r="E78" s="13">
        <f>_xll.BDH("ALNY US Equity","ARDR_WORK_IN_PROGRESS","FQ2 2019","FQ2 2019","Currency=USD","Period=FQ","BEST_FPERIOD_OVERRIDE=FQ","FILING_STATUS=MR","SCALING_FORMAT=MLN","Sort=A","Dates=H","DateFormat=P","Fill=—","Direction=H","UseDPDF=Y")</f>
        <v>31.696000000000002</v>
      </c>
      <c r="F78" s="13">
        <f>_xll.BDH("ALNY US Equity","ARDR_WORK_IN_PROGRESS","FQ3 2019","FQ3 2019","Currency=USD","Period=FQ","BEST_FPERIOD_OVERRIDE=FQ","FILING_STATUS=MR","SCALING_FORMAT=MLN","Sort=A","Dates=H","DateFormat=P","Fill=—","Direction=H","UseDPDF=Y")</f>
        <v>42.383000000000003</v>
      </c>
      <c r="G78" s="13">
        <f>_xll.BDH("ALNY US Equity","ARDR_WORK_IN_PROGRESS","FQ4 2019","FQ4 2019","Currency=USD","Period=FQ","BEST_FPERIOD_OVERRIDE=FQ","FILING_STATUS=MR","SCALING_FORMAT=MLN","Sort=A","Dates=H","DateFormat=P","Fill=—","Direction=H","UseDPDF=Y")</f>
        <v>38.274999999999999</v>
      </c>
      <c r="H78" s="13">
        <f>_xll.BDH("ALNY US Equity","ARDR_WORK_IN_PROGRESS","FQ1 2020","FQ1 2020","Currency=USD","Period=FQ","BEST_FPERIOD_OVERRIDE=FQ","FILING_STATUS=MR","SCALING_FORMAT=MLN","Sort=A","Dates=H","DateFormat=P","Fill=—","Direction=H","UseDPDF=Y")</f>
        <v>33.411999999999999</v>
      </c>
      <c r="I78" s="13">
        <f>_xll.BDH("ALNY US Equity","ARDR_WORK_IN_PROGRESS","FQ2 2020","FQ2 2020","Currency=USD","Period=FQ","BEST_FPERIOD_OVERRIDE=FQ","FILING_STATUS=MR","SCALING_FORMAT=MLN","Sort=A","Dates=H","DateFormat=P","Fill=—","Direction=H","UseDPDF=Y")</f>
        <v>20.686</v>
      </c>
      <c r="J78" s="13" t="str">
        <f>_xll.BDH("ALNY US Equity","ARDR_WORK_IN_PROGRESS","FQ3 2020","FQ3 2020","Currency=USD","Period=FQ","BEST_FPERIOD_OVERRIDE=FQ","FILING_STATUS=MR","SCALING_FORMAT=MLN","Sort=A","Dates=H","DateFormat=P","Fill=—","Direction=H","UseDPDF=Y")</f>
        <v>—</v>
      </c>
      <c r="K78" s="13">
        <f>_xll.BDH("ALNY US Equity","ARDR_WORK_IN_PROGRESS","FQ4 2020","FQ4 2020","Currency=USD","Period=FQ","BEST_FPERIOD_OVERRIDE=FQ","FILING_STATUS=MR","SCALING_FORMAT=MLN","Sort=A","Dates=H","DateFormat=P","Fill=—","Direction=H","UseDPDF=Y")</f>
        <v>16.149000000000001</v>
      </c>
      <c r="L78" s="13">
        <f>_xll.BDH("ALNY US Equity","ARDR_WORK_IN_PROGRESS","FQ1 2021","FQ1 2021","Currency=USD","Period=FQ","BEST_FPERIOD_OVERRIDE=FQ","FILING_STATUS=MR","SCALING_FORMAT=MLN","Sort=A","Dates=H","DateFormat=P","Fill=—","Direction=H","UseDPDF=Y")</f>
        <v>23.593</v>
      </c>
      <c r="M78" s="13">
        <f>_xll.BDH("ALNY US Equity","ARDR_WORK_IN_PROGRESS","FQ2 2021","FQ2 2021","Currency=USD","Period=FQ","BEST_FPERIOD_OVERRIDE=FQ","FILING_STATUS=MR","SCALING_FORMAT=MLN","Sort=A","Dates=H","DateFormat=P","Fill=—","Direction=H","UseDPDF=Y")</f>
        <v>25.311</v>
      </c>
      <c r="N78" s="13">
        <f>_xll.BDH("ALNY US Equity","ARDR_WORK_IN_PROGRESS","FQ3 2021","FQ3 2021","Currency=USD","Period=FQ","BEST_FPERIOD_OVERRIDE=FQ","FILING_STATUS=MR","SCALING_FORMAT=MLN","Sort=A","Dates=H","DateFormat=P","Fill=—","Direction=H","UseDPDF=Y")</f>
        <v>33.124000000000002</v>
      </c>
      <c r="O78" s="13">
        <f>_xll.BDH("ALNY US Equity","ARDR_WORK_IN_PROGRESS","FQ4 2021","FQ4 2021","Currency=USD","Period=FQ","BEST_FPERIOD_OVERRIDE=FQ","FILING_STATUS=MR","SCALING_FORMAT=MLN","Sort=A","Dates=H","DateFormat=P","Fill=—","Direction=H","UseDPDF=Y")</f>
        <v>64.603999999999999</v>
      </c>
      <c r="P78" s="13">
        <f>_xll.BDH("ALNY US Equity","ARDR_WORK_IN_PROGRESS","FQ1 2022","FQ1 2022","Currency=USD","Period=FQ","BEST_FPERIOD_OVERRIDE=FQ","FILING_STATUS=MR","SCALING_FORMAT=MLN","Sort=A","Dates=H","DateFormat=P","Fill=—","Direction=H","UseDPDF=Y")</f>
        <v>91.262</v>
      </c>
      <c r="Q78" s="13">
        <f>_xll.BDH("ALNY US Equity","ARDR_WORK_IN_PROGRESS","FQ2 2022","FQ2 2022","Currency=USD","Period=FQ","BEST_FPERIOD_OVERRIDE=FQ","FILING_STATUS=MR","SCALING_FORMAT=MLN","Sort=A","Dates=H","DateFormat=P","Fill=—","Direction=H","UseDPDF=Y")</f>
        <v>100.191</v>
      </c>
      <c r="R78" s="13">
        <f>_xll.BDH("ALNY US Equity","ARDR_WORK_IN_PROGRESS","FQ3 2022","FQ3 2022","Currency=USD","Period=FQ","BEST_FPERIOD_OVERRIDE=FQ","FILING_STATUS=MR","SCALING_FORMAT=MLN","Sort=A","Dates=H","DateFormat=P","Fill=—","Direction=H","UseDPDF=Y")</f>
        <v>102.447</v>
      </c>
      <c r="S78" s="13">
        <f>_xll.BDH("ALNY US Equity","ARDR_WORK_IN_PROGRESS","FQ4 2022","FQ4 2022","Currency=USD","Period=FQ","BEST_FPERIOD_OVERRIDE=FQ","FILING_STATUS=MR","SCALING_FORMAT=MLN","Sort=A","Dates=H","DateFormat=P","Fill=—","Direction=H","UseDPDF=Y")</f>
        <v>113.783</v>
      </c>
      <c r="T78" s="13">
        <f>_xll.BDH("ALNY US Equity","ARDR_WORK_IN_PROGRESS","FQ1 2023","FQ1 2023","Currency=USD","Period=FQ","BEST_FPERIOD_OVERRIDE=FQ","FILING_STATUS=MR","SCALING_FORMAT=MLN","Sort=A","Dates=H","DateFormat=P","Fill=—","Direction=H","UseDPDF=Y")</f>
        <v>110.976</v>
      </c>
      <c r="U78" s="13">
        <f>_xll.BDH("ALNY US Equity","ARDR_WORK_IN_PROGRESS","FQ2 2023","FQ2 2023","Currency=USD","Period=FQ","BEST_FPERIOD_OVERRIDE=FQ","FILING_STATUS=MR","SCALING_FORMAT=MLN","Sort=A","Dates=H","DateFormat=P","Fill=—","Direction=H","UseDPDF=Y")</f>
        <v>116.661</v>
      </c>
      <c r="V78" s="13">
        <f>_xll.BDH("ALNY US Equity","ARDR_WORK_IN_PROGRESS","FQ3 2023","FQ3 2023","Currency=USD","Period=FQ","BEST_FPERIOD_OVERRIDE=FQ","FILING_STATUS=MR","SCALING_FORMAT=MLN","Sort=A","Dates=H","DateFormat=P","Fill=—","Direction=H","UseDPDF=Y")</f>
        <v>88.691000000000003</v>
      </c>
      <c r="W78" s="13">
        <f>_xll.BDH("ALNY US Equity","ARDR_WORK_IN_PROGRESS","FQ4 2023","FQ4 2023","Currency=USD","Period=FQ","BEST_FPERIOD_OVERRIDE=FQ","FILING_STATUS=MR","SCALING_FORMAT=MLN","Sort=A","Dates=H","DateFormat=P","Fill=—","Direction=H","UseDPDF=Y")</f>
        <v>76.962999999999994</v>
      </c>
      <c r="X78" s="13">
        <f>_xll.BDH("ALNY US Equity","ARDR_WORK_IN_PROGRESS","FQ1 2024","FQ1 2024","Currency=USD","Period=FQ","BEST_FPERIOD_OVERRIDE=FQ","FILING_STATUS=MR","SCALING_FORMAT=MLN","Sort=A","Dates=H","DateFormat=P","Fill=—","Direction=H","UseDPDF=Y")</f>
        <v>76.070999999999998</v>
      </c>
      <c r="Y78" s="13">
        <f>_xll.BDH("ALNY US Equity","ARDR_WORK_IN_PROGRESS","FQ2 2024","FQ2 2024","Currency=USD","Period=FQ","BEST_FPERIOD_OVERRIDE=FQ","FILING_STATUS=MR","SCALING_FORMAT=MLN","Sort=A","Dates=H","DateFormat=P","Fill=—","Direction=H","UseDPDF=Y")</f>
        <v>66.534999999999997</v>
      </c>
      <c r="Z78" s="13">
        <f>_xll.BDH("ALNY US Equity","ARDR_WORK_IN_PROGRESS","FQ3 2024","FQ3 2024","Currency=USD","Period=FQ","BEST_FPERIOD_OVERRIDE=FQ","FILING_STATUS=MR","SCALING_FORMAT=MLN","Sort=A","Dates=H","DateFormat=P","Fill=—","Direction=H","UseDPDF=Y")</f>
        <v>69.864999999999995</v>
      </c>
      <c r="AA78" s="13">
        <f>_xll.BDH("ALNY US Equity","ARDR_WORK_IN_PROGRESS","FQ4 2024","FQ4 2024","Currency=USD","Period=FQ","BEST_FPERIOD_OVERRIDE=FQ","FILING_STATUS=MR","SCALING_FORMAT=MLN","Sort=A","Dates=H","DateFormat=P","Fill=—","Direction=H","UseDPDF=Y")</f>
        <v>64.977999999999994</v>
      </c>
    </row>
    <row r="79" spans="1:27" x14ac:dyDescent="0.25">
      <c r="A79" s="10" t="s">
        <v>946</v>
      </c>
      <c r="B79" s="10" t="s">
        <v>947</v>
      </c>
      <c r="C79" s="13">
        <f>_xll.BDH("ALNY US Equity","ARDR_FINISHED_GOOD","FQ4 2018","FQ4 2018","Currency=USD","Period=FQ","BEST_FPERIOD_OVERRIDE=FQ","FILING_STATUS=MR","SCALING_FORMAT=MLN","Sort=A","Dates=H","DateFormat=P","Fill=—","Direction=H","UseDPDF=Y")</f>
        <v>9.7000000000000003E-2</v>
      </c>
      <c r="D79" s="13">
        <f>_xll.BDH("ALNY US Equity","ARDR_FINISHED_GOOD","FQ1 2019","FQ1 2019","Currency=USD","Period=FQ","BEST_FPERIOD_OVERRIDE=FQ","FILING_STATUS=MR","SCALING_FORMAT=MLN","Sort=A","Dates=H","DateFormat=P","Fill=—","Direction=H","UseDPDF=Y")</f>
        <v>0.13500000000000001</v>
      </c>
      <c r="E79" s="13">
        <f>_xll.BDH("ALNY US Equity","ARDR_FINISHED_GOOD","FQ2 2019","FQ2 2019","Currency=USD","Period=FQ","BEST_FPERIOD_OVERRIDE=FQ","FILING_STATUS=MR","SCALING_FORMAT=MLN","Sort=A","Dates=H","DateFormat=P","Fill=—","Direction=H","UseDPDF=Y")</f>
        <v>0.44500000000000001</v>
      </c>
      <c r="F79" s="13">
        <f>_xll.BDH("ALNY US Equity","ARDR_FINISHED_GOOD","FQ3 2019","FQ3 2019","Currency=USD","Period=FQ","BEST_FPERIOD_OVERRIDE=FQ","FILING_STATUS=MR","SCALING_FORMAT=MLN","Sort=A","Dates=H","DateFormat=P","Fill=—","Direction=H","UseDPDF=Y")</f>
        <v>0.57899999999999996</v>
      </c>
      <c r="G79" s="13">
        <f>_xll.BDH("ALNY US Equity","ARDR_FINISHED_GOOD","FQ4 2019","FQ4 2019","Currency=USD","Period=FQ","BEST_FPERIOD_OVERRIDE=FQ","FILING_STATUS=MR","SCALING_FORMAT=MLN","Sort=A","Dates=H","DateFormat=P","Fill=—","Direction=H","UseDPDF=Y")</f>
        <v>2.6549999999999998</v>
      </c>
      <c r="H79" s="13">
        <f>_xll.BDH("ALNY US Equity","ARDR_FINISHED_GOOD","FQ1 2020","FQ1 2020","Currency=USD","Period=FQ","BEST_FPERIOD_OVERRIDE=FQ","FILING_STATUS=MR","SCALING_FORMAT=MLN","Sort=A","Dates=H","DateFormat=P","Fill=—","Direction=H","UseDPDF=Y")</f>
        <v>4.226</v>
      </c>
      <c r="I79" s="13">
        <f>_xll.BDH("ALNY US Equity","ARDR_FINISHED_GOOD","FQ2 2020","FQ2 2020","Currency=USD","Period=FQ","BEST_FPERIOD_OVERRIDE=FQ","FILING_STATUS=MR","SCALING_FORMAT=MLN","Sort=A","Dates=H","DateFormat=P","Fill=—","Direction=H","UseDPDF=Y")</f>
        <v>13.217000000000001</v>
      </c>
      <c r="J79" s="13" t="str">
        <f>_xll.BDH("ALNY US Equity","ARDR_FINISHED_GOOD","FQ3 2020","FQ3 2020","Currency=USD","Period=FQ","BEST_FPERIOD_OVERRIDE=FQ","FILING_STATUS=MR","SCALING_FORMAT=MLN","Sort=A","Dates=H","DateFormat=P","Fill=—","Direction=H","UseDPDF=Y")</f>
        <v>—</v>
      </c>
      <c r="K79" s="13">
        <f>_xll.BDH("ALNY US Equity","ARDR_FINISHED_GOOD","FQ4 2020","FQ4 2020","Currency=USD","Period=FQ","BEST_FPERIOD_OVERRIDE=FQ","FILING_STATUS=MR","SCALING_FORMAT=MLN","Sort=A","Dates=H","DateFormat=P","Fill=—","Direction=H","UseDPDF=Y")</f>
        <v>12.693</v>
      </c>
      <c r="L79" s="13">
        <f>_xll.BDH("ALNY US Equity","ARDR_FINISHED_GOOD","FQ1 2021","FQ1 2021","Currency=USD","Period=FQ","BEST_FPERIOD_OVERRIDE=FQ","FILING_STATUS=MR","SCALING_FORMAT=MLN","Sort=A","Dates=H","DateFormat=P","Fill=—","Direction=H","UseDPDF=Y")</f>
        <v>13.753</v>
      </c>
      <c r="M79" s="13">
        <f>_xll.BDH("ALNY US Equity","ARDR_FINISHED_GOOD","FQ2 2021","FQ2 2021","Currency=USD","Period=FQ","BEST_FPERIOD_OVERRIDE=FQ","FILING_STATUS=MR","SCALING_FORMAT=MLN","Sort=A","Dates=H","DateFormat=P","Fill=—","Direction=H","UseDPDF=Y")</f>
        <v>16.452999999999999</v>
      </c>
      <c r="N79" s="13">
        <f>_xll.BDH("ALNY US Equity","ARDR_FINISHED_GOOD","FQ3 2021","FQ3 2021","Currency=USD","Period=FQ","BEST_FPERIOD_OVERRIDE=FQ","FILING_STATUS=MR","SCALING_FORMAT=MLN","Sort=A","Dates=H","DateFormat=P","Fill=—","Direction=H","UseDPDF=Y")</f>
        <v>12.667</v>
      </c>
      <c r="O79" s="13">
        <f>_xll.BDH("ALNY US Equity","ARDR_FINISHED_GOOD","FQ4 2021","FQ4 2021","Currency=USD","Period=FQ","BEST_FPERIOD_OVERRIDE=FQ","FILING_STATUS=MR","SCALING_FORMAT=MLN","Sort=A","Dates=H","DateFormat=P","Fill=—","Direction=H","UseDPDF=Y")</f>
        <v>7.0049999999999999</v>
      </c>
      <c r="P79" s="13">
        <f>_xll.BDH("ALNY US Equity","ARDR_FINISHED_GOOD","FQ1 2022","FQ1 2022","Currency=USD","Period=FQ","BEST_FPERIOD_OVERRIDE=FQ","FILING_STATUS=MR","SCALING_FORMAT=MLN","Sort=A","Dates=H","DateFormat=P","Fill=—","Direction=H","UseDPDF=Y")</f>
        <v>10.428000000000001</v>
      </c>
      <c r="Q79" s="13">
        <f>_xll.BDH("ALNY US Equity","ARDR_FINISHED_GOOD","FQ2 2022","FQ2 2022","Currency=USD","Period=FQ","BEST_FPERIOD_OVERRIDE=FQ","FILING_STATUS=MR","SCALING_FORMAT=MLN","Sort=A","Dates=H","DateFormat=P","Fill=—","Direction=H","UseDPDF=Y")</f>
        <v>13.192</v>
      </c>
      <c r="R79" s="13">
        <f>_xll.BDH("ALNY US Equity","ARDR_FINISHED_GOOD","FQ3 2022","FQ3 2022","Currency=USD","Period=FQ","BEST_FPERIOD_OVERRIDE=FQ","FILING_STATUS=MR","SCALING_FORMAT=MLN","Sort=A","Dates=H","DateFormat=P","Fill=—","Direction=H","UseDPDF=Y")</f>
        <v>21.483000000000001</v>
      </c>
      <c r="S79" s="13">
        <f>_xll.BDH("ALNY US Equity","ARDR_FINISHED_GOOD","FQ4 2022","FQ4 2022","Currency=USD","Period=FQ","BEST_FPERIOD_OVERRIDE=FQ","FILING_STATUS=MR","SCALING_FORMAT=MLN","Sort=A","Dates=H","DateFormat=P","Fill=—","Direction=H","UseDPDF=Y")</f>
        <v>25.606000000000002</v>
      </c>
      <c r="T79" s="13">
        <f>_xll.BDH("ALNY US Equity","ARDR_FINISHED_GOOD","FQ1 2023","FQ1 2023","Currency=USD","Period=FQ","BEST_FPERIOD_OVERRIDE=FQ","FILING_STATUS=MR","SCALING_FORMAT=MLN","Sort=A","Dates=H","DateFormat=P","Fill=—","Direction=H","UseDPDF=Y")</f>
        <v>29.533999999999999</v>
      </c>
      <c r="U79" s="13">
        <f>_xll.BDH("ALNY US Equity","ARDR_FINISHED_GOOD","FQ2 2023","FQ2 2023","Currency=USD","Period=FQ","BEST_FPERIOD_OVERRIDE=FQ","FILING_STATUS=MR","SCALING_FORMAT=MLN","Sort=A","Dates=H","DateFormat=P","Fill=—","Direction=H","UseDPDF=Y")</f>
        <v>28.504999999999999</v>
      </c>
      <c r="V79" s="13">
        <f>_xll.BDH("ALNY US Equity","ARDR_FINISHED_GOOD","FQ3 2023","FQ3 2023","Currency=USD","Period=FQ","BEST_FPERIOD_OVERRIDE=FQ","FILING_STATUS=MR","SCALING_FORMAT=MLN","Sort=A","Dates=H","DateFormat=P","Fill=—","Direction=H","UseDPDF=Y")</f>
        <v>27.658000000000001</v>
      </c>
      <c r="W79" s="13">
        <f>_xll.BDH("ALNY US Equity","ARDR_FINISHED_GOOD","FQ4 2023","FQ4 2023","Currency=USD","Period=FQ","BEST_FPERIOD_OVERRIDE=FQ","FILING_STATUS=MR","SCALING_FORMAT=MLN","Sort=A","Dates=H","DateFormat=P","Fill=—","Direction=H","UseDPDF=Y")</f>
        <v>25.123000000000001</v>
      </c>
      <c r="X79" s="13">
        <f>_xll.BDH("ALNY US Equity","ARDR_FINISHED_GOOD","FQ1 2024","FQ1 2024","Currency=USD","Period=FQ","BEST_FPERIOD_OVERRIDE=FQ","FILING_STATUS=MR","SCALING_FORMAT=MLN","Sort=A","Dates=H","DateFormat=P","Fill=—","Direction=H","UseDPDF=Y")</f>
        <v>24.818999999999999</v>
      </c>
      <c r="Y79" s="13">
        <f>_xll.BDH("ALNY US Equity","ARDR_FINISHED_GOOD","FQ2 2024","FQ2 2024","Currency=USD","Period=FQ","BEST_FPERIOD_OVERRIDE=FQ","FILING_STATUS=MR","SCALING_FORMAT=MLN","Sort=A","Dates=H","DateFormat=P","Fill=—","Direction=H","UseDPDF=Y")</f>
        <v>27.855</v>
      </c>
      <c r="Z79" s="13">
        <f>_xll.BDH("ALNY US Equity","ARDR_FINISHED_GOOD","FQ3 2024","FQ3 2024","Currency=USD","Period=FQ","BEST_FPERIOD_OVERRIDE=FQ","FILING_STATUS=MR","SCALING_FORMAT=MLN","Sort=A","Dates=H","DateFormat=P","Fill=—","Direction=H","UseDPDF=Y")</f>
        <v>23.126000000000001</v>
      </c>
      <c r="AA79" s="13">
        <f>_xll.BDH("ALNY US Equity","ARDR_FINISHED_GOOD","FQ4 2024","FQ4 2024","Currency=USD","Period=FQ","BEST_FPERIOD_OVERRIDE=FQ","FILING_STATUS=MR","SCALING_FORMAT=MLN","Sort=A","Dates=H","DateFormat=P","Fill=—","Direction=H","UseDPDF=Y")</f>
        <v>26.433</v>
      </c>
    </row>
    <row r="80" spans="1:27" x14ac:dyDescent="0.25">
      <c r="A80" s="10" t="s">
        <v>900</v>
      </c>
      <c r="B80" s="10" t="s">
        <v>948</v>
      </c>
      <c r="C80" s="13" t="str">
        <f>_xll.BDH("ALNY US Equity","ARDR_SHARES_ISSUED","FQ4 2018","FQ4 2018","Currency=USD","Period=FQ","BEST_FPERIOD_OVERRIDE=FQ","FILING_STATUS=MR","Sort=A","Dates=H","DateFormat=P","Fill=—","Direction=H","UseDPDF=Y")</f>
        <v>—</v>
      </c>
      <c r="D80" s="13" t="str">
        <f>_xll.BDH("ALNY US Equity","ARDR_SHARES_ISSUED","FQ1 2019","FQ1 2019","Currency=USD","Period=FQ","BEST_FPERIOD_OVERRIDE=FQ","FILING_STATUS=MR","Sort=A","Dates=H","DateFormat=P","Fill=—","Direction=H","UseDPDF=Y")</f>
        <v>—</v>
      </c>
      <c r="E80" s="13" t="str">
        <f>_xll.BDH("ALNY US Equity","ARDR_SHARES_ISSUED","FQ2 2019","FQ2 2019","Currency=USD","Period=FQ","BEST_FPERIOD_OVERRIDE=FQ","FILING_STATUS=MR","Sort=A","Dates=H","DateFormat=P","Fill=—","Direction=H","UseDPDF=Y")</f>
        <v>—</v>
      </c>
      <c r="F80" s="13" t="str">
        <f>_xll.BDH("ALNY US Equity","ARDR_SHARES_ISSUED","FQ3 2019","FQ3 2019","Currency=USD","Period=FQ","BEST_FPERIOD_OVERRIDE=FQ","FILING_STATUS=MR","Sort=A","Dates=H","DateFormat=P","Fill=—","Direction=H","UseDPDF=Y")</f>
        <v>—</v>
      </c>
      <c r="G80" s="13" t="str">
        <f>_xll.BDH("ALNY US Equity","ARDR_SHARES_ISSUED","FQ4 2019","FQ4 2019","Currency=USD","Period=FQ","BEST_FPERIOD_OVERRIDE=FQ","FILING_STATUS=MR","Sort=A","Dates=H","DateFormat=P","Fill=—","Direction=H","UseDPDF=Y")</f>
        <v>—</v>
      </c>
      <c r="H80" s="13" t="str">
        <f>_xll.BDH("ALNY US Equity","ARDR_SHARES_ISSUED","FQ1 2020","FQ1 2020","Currency=USD","Period=FQ","BEST_FPERIOD_OVERRIDE=FQ","FILING_STATUS=MR","Sort=A","Dates=H","DateFormat=P","Fill=—","Direction=H","UseDPDF=Y")</f>
        <v>—</v>
      </c>
      <c r="I80" s="13" t="str">
        <f>_xll.BDH("ALNY US Equity","ARDR_SHARES_ISSUED","FQ2 2020","FQ2 2020","Currency=USD","Period=FQ","BEST_FPERIOD_OVERRIDE=FQ","FILING_STATUS=MR","Sort=A","Dates=H","DateFormat=P","Fill=—","Direction=H","UseDPDF=Y")</f>
        <v>—</v>
      </c>
      <c r="J80" s="13" t="str">
        <f>_xll.BDH("ALNY US Equity","ARDR_SHARES_ISSUED","FQ3 2020","FQ3 2020","Currency=USD","Period=FQ","BEST_FPERIOD_OVERRIDE=FQ","FILING_STATUS=MR","Sort=A","Dates=H","DateFormat=P","Fill=—","Direction=H","UseDPDF=Y")</f>
        <v>—</v>
      </c>
      <c r="K80" s="13" t="str">
        <f>_xll.BDH("ALNY US Equity","ARDR_SHARES_ISSUED","FQ4 2020","FQ4 2020","Currency=USD","Period=FQ","BEST_FPERIOD_OVERRIDE=FQ","FILING_STATUS=MR","Sort=A","Dates=H","DateFormat=P","Fill=—","Direction=H","UseDPDF=Y")</f>
        <v>—</v>
      </c>
      <c r="L80" s="13" t="str">
        <f>_xll.BDH("ALNY US Equity","ARDR_SHARES_ISSUED","FQ1 2021","FQ1 2021","Currency=USD","Period=FQ","BEST_FPERIOD_OVERRIDE=FQ","FILING_STATUS=MR","Sort=A","Dates=H","DateFormat=P","Fill=—","Direction=H","UseDPDF=Y")</f>
        <v>—</v>
      </c>
      <c r="M80" s="13" t="str">
        <f>_xll.BDH("ALNY US Equity","ARDR_SHARES_ISSUED","FQ2 2021","FQ2 2021","Currency=USD","Period=FQ","BEST_FPERIOD_OVERRIDE=FQ","FILING_STATUS=MR","Sort=A","Dates=H","DateFormat=P","Fill=—","Direction=H","UseDPDF=Y")</f>
        <v>—</v>
      </c>
      <c r="N80" s="13" t="str">
        <f>_xll.BDH("ALNY US Equity","ARDR_SHARES_ISSUED","FQ3 2021","FQ3 2021","Currency=USD","Period=FQ","BEST_FPERIOD_OVERRIDE=FQ","FILING_STATUS=MR","Sort=A","Dates=H","DateFormat=P","Fill=—","Direction=H","UseDPDF=Y")</f>
        <v>—</v>
      </c>
      <c r="O80" s="13" t="str">
        <f>_xll.BDH("ALNY US Equity","ARDR_SHARES_ISSUED","FQ4 2021","FQ4 2021","Currency=USD","Period=FQ","BEST_FPERIOD_OVERRIDE=FQ","FILING_STATUS=MR","Sort=A","Dates=H","DateFormat=P","Fill=—","Direction=H","UseDPDF=Y")</f>
        <v>—</v>
      </c>
      <c r="P80" s="13" t="str">
        <f>_xll.BDH("ALNY US Equity","ARDR_SHARES_ISSUED","FQ1 2022","FQ1 2022","Currency=USD","Period=FQ","BEST_FPERIOD_OVERRIDE=FQ","FILING_STATUS=MR","Sort=A","Dates=H","DateFormat=P","Fill=—","Direction=H","UseDPDF=Y")</f>
        <v>—</v>
      </c>
      <c r="Q80" s="13" t="str">
        <f>_xll.BDH("ALNY US Equity","ARDR_SHARES_ISSUED","FQ2 2022","FQ2 2022","Currency=USD","Period=FQ","BEST_FPERIOD_OVERRIDE=FQ","FILING_STATUS=MR","Sort=A","Dates=H","DateFormat=P","Fill=—","Direction=H","UseDPDF=Y")</f>
        <v>—</v>
      </c>
      <c r="R80" s="13" t="str">
        <f>_xll.BDH("ALNY US Equity","ARDR_SHARES_ISSUED","FQ3 2022","FQ3 2022","Currency=USD","Period=FQ","BEST_FPERIOD_OVERRIDE=FQ","FILING_STATUS=MR","Sort=A","Dates=H","DateFormat=P","Fill=—","Direction=H","UseDPDF=Y")</f>
        <v>—</v>
      </c>
      <c r="S80" s="13">
        <f>_xll.BDH("ALNY US Equity","ARDR_SHARES_ISSUED","FQ4 2022","FQ4 2022","Currency=USD","Period=FQ","BEST_FPERIOD_OVERRIDE=FQ","FILING_STATUS=MR","Sort=A","Dates=H","DateFormat=P","Fill=—","Direction=H","UseDPDF=Y")</f>
        <v>123.925</v>
      </c>
      <c r="T80" s="13">
        <f>_xll.BDH("ALNY US Equity","ARDR_SHARES_ISSUED","FQ1 2023","FQ1 2023","Currency=USD","Period=FQ","BEST_FPERIOD_OVERRIDE=FQ","FILING_STATUS=MR","Sort=A","Dates=H","DateFormat=P","Fill=—","Direction=H","UseDPDF=Y")</f>
        <v>0.1242</v>
      </c>
      <c r="U80" s="13">
        <f>_xll.BDH("ALNY US Equity","ARDR_SHARES_ISSUED","FQ2 2023","FQ2 2023","Currency=USD","Period=FQ","BEST_FPERIOD_OVERRIDE=FQ","FILING_STATUS=MR","Sort=A","Dates=H","DateFormat=P","Fill=—","Direction=H","UseDPDF=Y")</f>
        <v>124.901</v>
      </c>
      <c r="V80" s="13">
        <f>_xll.BDH("ALNY US Equity","ARDR_SHARES_ISSUED","FQ3 2023","FQ3 2023","Currency=USD","Period=FQ","BEST_FPERIOD_OVERRIDE=FQ","FILING_STATUS=MR","Sort=A","Dates=H","DateFormat=P","Fill=—","Direction=H","UseDPDF=Y")</f>
        <v>125.45399999999999</v>
      </c>
      <c r="W80" s="13">
        <f>_xll.BDH("ALNY US Equity","ARDR_SHARES_ISSUED","FQ4 2023","FQ4 2023","Currency=USD","Period=FQ","BEST_FPERIOD_OVERRIDE=FQ","FILING_STATUS=MR","Sort=A","Dates=H","DateFormat=P","Fill=—","Direction=H","UseDPDF=Y")</f>
        <v>125.794</v>
      </c>
      <c r="X80" s="13">
        <f>_xll.BDH("ALNY US Equity","ARDR_SHARES_ISSUED","FQ1 2024","FQ1 2024","Currency=USD","Period=FQ","BEST_FPERIOD_OVERRIDE=FQ","FILING_STATUS=MR","Sort=A","Dates=H","DateFormat=P","Fill=—","Direction=H","UseDPDF=Y")</f>
        <v>126.46299999999999</v>
      </c>
      <c r="Y80" s="13">
        <f>_xll.BDH("ALNY US Equity","ARDR_SHARES_ISSUED","FQ2 2024","FQ2 2024","Currency=USD","Period=FQ","BEST_FPERIOD_OVERRIDE=FQ","FILING_STATUS=MR","Sort=A","Dates=H","DateFormat=P","Fill=—","Direction=H","UseDPDF=Y")</f>
        <v>128.02099999999999</v>
      </c>
      <c r="Z80" s="13">
        <f>_xll.BDH("ALNY US Equity","ARDR_SHARES_ISSUED","FQ3 2024","FQ3 2024","Currency=USD","Period=FQ","BEST_FPERIOD_OVERRIDE=FQ","FILING_STATUS=MR","Sort=A","Dates=H","DateFormat=P","Fill=—","Direction=H","UseDPDF=Y")</f>
        <v>128.84100000000001</v>
      </c>
      <c r="AA80" s="13">
        <f>_xll.BDH("ALNY US Equity","ARDR_SHARES_ISSUED","FQ4 2024","FQ4 2024","Currency=USD","Period=FQ","BEST_FPERIOD_OVERRIDE=FQ","FILING_STATUS=MR","Sort=A","Dates=H","DateFormat=P","Fill=—","Direction=H","UseDPDF=Y")</f>
        <v>129.29400000000001</v>
      </c>
    </row>
    <row r="81" spans="1:27" x14ac:dyDescent="0.25">
      <c r="A81" s="10" t="s">
        <v>949</v>
      </c>
      <c r="B81" s="10" t="s">
        <v>950</v>
      </c>
      <c r="C81" s="13" t="str">
        <f>_xll.BDH("ALNY US Equity","ARDR_OTHER_INVENTORY","FQ4 2018","FQ4 2018","Currency=USD","Period=FQ","BEST_FPERIOD_OVERRIDE=FQ","FILING_STATUS=MR","SCALING_FORMAT=MLN","Sort=A","Dates=H","DateFormat=P","Fill=—","Direction=H","UseDPDF=Y")</f>
        <v>—</v>
      </c>
      <c r="D81" s="13" t="str">
        <f>_xll.BDH("ALNY US Equity","ARDR_OTHER_INVENTORY","FQ1 2019","FQ1 2019","Currency=USD","Period=FQ","BEST_FPERIOD_OVERRIDE=FQ","FILING_STATUS=MR","SCALING_FORMAT=MLN","Sort=A","Dates=H","DateFormat=P","Fill=—","Direction=H","UseDPDF=Y")</f>
        <v>—</v>
      </c>
      <c r="E81" s="13" t="str">
        <f>_xll.BDH("ALNY US Equity","ARDR_OTHER_INVENTORY","FQ2 2019","FQ2 2019","Currency=USD","Period=FQ","BEST_FPERIOD_OVERRIDE=FQ","FILING_STATUS=MR","SCALING_FORMAT=MLN","Sort=A","Dates=H","DateFormat=P","Fill=—","Direction=H","UseDPDF=Y")</f>
        <v>—</v>
      </c>
      <c r="F81" s="13" t="str">
        <f>_xll.BDH("ALNY US Equity","ARDR_OTHER_INVENTORY","FQ3 2019","FQ3 2019","Currency=USD","Period=FQ","BEST_FPERIOD_OVERRIDE=FQ","FILING_STATUS=MR","SCALING_FORMAT=MLN","Sort=A","Dates=H","DateFormat=P","Fill=—","Direction=H","UseDPDF=Y")</f>
        <v>—</v>
      </c>
      <c r="G81" s="13" t="str">
        <f>_xll.BDH("ALNY US Equity","ARDR_OTHER_INVENTORY","FQ4 2019","FQ4 2019","Currency=USD","Period=FQ","BEST_FPERIOD_OVERRIDE=FQ","FILING_STATUS=MR","SCALING_FORMAT=MLN","Sort=A","Dates=H","DateFormat=P","Fill=—","Direction=H","UseDPDF=Y")</f>
        <v>—</v>
      </c>
      <c r="H81" s="13" t="str">
        <f>_xll.BDH("ALNY US Equity","ARDR_OTHER_INVENTORY","FQ1 2020","FQ1 2020","Currency=USD","Period=FQ","BEST_FPERIOD_OVERRIDE=FQ","FILING_STATUS=MR","SCALING_FORMAT=MLN","Sort=A","Dates=H","DateFormat=P","Fill=—","Direction=H","UseDPDF=Y")</f>
        <v>—</v>
      </c>
      <c r="I81" s="13" t="str">
        <f>_xll.BDH("ALNY US Equity","ARDR_OTHER_INVENTORY","FQ2 2020","FQ2 2020","Currency=USD","Period=FQ","BEST_FPERIOD_OVERRIDE=FQ","FILING_STATUS=MR","SCALING_FORMAT=MLN","Sort=A","Dates=H","DateFormat=P","Fill=—","Direction=H","UseDPDF=Y")</f>
        <v>—</v>
      </c>
      <c r="J81" s="13" t="str">
        <f>_xll.BDH("ALNY US Equity","ARDR_OTHER_INVENTORY","FQ3 2020","FQ3 2020","Currency=USD","Period=FQ","BEST_FPERIOD_OVERRIDE=FQ","FILING_STATUS=MR","SCALING_FORMAT=MLN","Sort=A","Dates=H","DateFormat=P","Fill=—","Direction=H","UseDPDF=Y")</f>
        <v>—</v>
      </c>
      <c r="K81" s="13" t="str">
        <f>_xll.BDH("ALNY US Equity","ARDR_OTHER_INVENTORY","FQ4 2020","FQ4 2020","Currency=USD","Period=FQ","BEST_FPERIOD_OVERRIDE=FQ","FILING_STATUS=MR","SCALING_FORMAT=MLN","Sort=A","Dates=H","DateFormat=P","Fill=—","Direction=H","UseDPDF=Y")</f>
        <v>—</v>
      </c>
      <c r="L81" s="13">
        <f>_xll.BDH("ALNY US Equity","ARDR_OTHER_INVENTORY","FQ1 2021","FQ1 2021","Currency=USD","Period=FQ","BEST_FPERIOD_OVERRIDE=FQ","FILING_STATUS=MR","SCALING_FORMAT=MLN","Sort=A","Dates=H","DateFormat=P","Fill=—","Direction=H","UseDPDF=Y")</f>
        <v>-17.100000000000001</v>
      </c>
      <c r="M81" s="13">
        <f>_xll.BDH("ALNY US Equity","ARDR_OTHER_INVENTORY","FQ2 2021","FQ2 2021","Currency=USD","Period=FQ","BEST_FPERIOD_OVERRIDE=FQ","FILING_STATUS=MR","SCALING_FORMAT=MLN","Sort=A","Dates=H","DateFormat=P","Fill=—","Direction=H","UseDPDF=Y")</f>
        <v>-11.75</v>
      </c>
      <c r="N81" s="13">
        <f>_xll.BDH("ALNY US Equity","ARDR_OTHER_INVENTORY","FQ3 2021","FQ3 2021","Currency=USD","Period=FQ","BEST_FPERIOD_OVERRIDE=FQ","FILING_STATUS=MR","SCALING_FORMAT=MLN","Sort=A","Dates=H","DateFormat=P","Fill=—","Direction=H","UseDPDF=Y")</f>
        <v>-13.05</v>
      </c>
      <c r="O81" s="13" t="str">
        <f>_xll.BDH("ALNY US Equity","ARDR_OTHER_INVENTORY","FQ4 2021","FQ4 2021","Currency=USD","Period=FQ","BEST_FPERIOD_OVERRIDE=FQ","FILING_STATUS=MR","SCALING_FORMAT=MLN","Sort=A","Dates=H","DateFormat=P","Fill=—","Direction=H","UseDPDF=Y")</f>
        <v>—</v>
      </c>
      <c r="P81" s="13">
        <f>_xll.BDH("ALNY US Equity","ARDR_OTHER_INVENTORY","FQ1 2022","FQ1 2022","Currency=USD","Period=FQ","BEST_FPERIOD_OVERRIDE=FQ","FILING_STATUS=MR","SCALING_FORMAT=MLN","Sort=A","Dates=H","DateFormat=P","Fill=—","Direction=H","UseDPDF=Y")</f>
        <v>-43.545999999999999</v>
      </c>
      <c r="Q81" s="13">
        <f>_xll.BDH("ALNY US Equity","ARDR_OTHER_INVENTORY","FQ2 2022","FQ2 2022","Currency=USD","Period=FQ","BEST_FPERIOD_OVERRIDE=FQ","FILING_STATUS=MR","SCALING_FORMAT=MLN","Sort=A","Dates=H","DateFormat=P","Fill=—","Direction=H","UseDPDF=Y")</f>
        <v>-43.546999999999997</v>
      </c>
      <c r="R81" s="13">
        <f>_xll.BDH("ALNY US Equity","ARDR_OTHER_INVENTORY","FQ3 2022","FQ3 2022","Currency=USD","Period=FQ","BEST_FPERIOD_OVERRIDE=FQ","FILING_STATUS=MR","SCALING_FORMAT=MLN","Sort=A","Dates=H","DateFormat=P","Fill=—","Direction=H","UseDPDF=Y")</f>
        <v>-26.158999999999999</v>
      </c>
      <c r="S81" s="13">
        <f>_xll.BDH("ALNY US Equity","ARDR_OTHER_INVENTORY","FQ4 2022","FQ4 2022","Currency=USD","Period=FQ","BEST_FPERIOD_OVERRIDE=FQ","FILING_STATUS=MR","SCALING_FORMAT=MLN","Sort=A","Dates=H","DateFormat=P","Fill=—","Direction=H","UseDPDF=Y")</f>
        <v>-32.741999999999997</v>
      </c>
      <c r="T81" s="13">
        <f>_xll.BDH("ALNY US Equity","ARDR_OTHER_INVENTORY","FQ1 2023","FQ1 2023","Currency=USD","Period=FQ","BEST_FPERIOD_OVERRIDE=FQ","FILING_STATUS=MR","SCALING_FORMAT=MLN","Sort=A","Dates=H","DateFormat=P","Fill=—","Direction=H","UseDPDF=Y")</f>
        <v>-31.506</v>
      </c>
      <c r="U81" s="13">
        <f>_xll.BDH("ALNY US Equity","ARDR_OTHER_INVENTORY","FQ2 2023","FQ2 2023","Currency=USD","Period=FQ","BEST_FPERIOD_OVERRIDE=FQ","FILING_STATUS=MR","SCALING_FORMAT=MLN","Sort=A","Dates=H","DateFormat=P","Fill=—","Direction=H","UseDPDF=Y")</f>
        <v>-62.161999999999999</v>
      </c>
      <c r="V81" s="13">
        <f>_xll.BDH("ALNY US Equity","ARDR_OTHER_INVENTORY","FQ3 2023","FQ3 2023","Currency=USD","Period=FQ","BEST_FPERIOD_OVERRIDE=FQ","FILING_STATUS=MR","SCALING_FORMAT=MLN","Sort=A","Dates=H","DateFormat=P","Fill=—","Direction=H","UseDPDF=Y")</f>
        <v>-40.698999999999998</v>
      </c>
      <c r="W81" s="13">
        <f>_xll.BDH("ALNY US Equity","ARDR_OTHER_INVENTORY","FQ4 2023","FQ4 2023","Currency=USD","Period=FQ","BEST_FPERIOD_OVERRIDE=FQ","FILING_STATUS=MR","SCALING_FORMAT=MLN","Sort=A","Dates=H","DateFormat=P","Fill=—","Direction=H","UseDPDF=Y")</f>
        <v>-36.286000000000001</v>
      </c>
      <c r="X81" s="13">
        <f>_xll.BDH("ALNY US Equity","ARDR_OTHER_INVENTORY","FQ1 2024","FQ1 2024","Currency=USD","Period=FQ","BEST_FPERIOD_OVERRIDE=FQ","FILING_STATUS=MR","SCALING_FORMAT=MLN","Sort=A","Dates=H","DateFormat=P","Fill=—","Direction=H","UseDPDF=Y")</f>
        <v>-32.302999999999997</v>
      </c>
      <c r="Y81" s="13">
        <f>_xll.BDH("ALNY US Equity","ARDR_OTHER_INVENTORY","FQ2 2024","FQ2 2024","Currency=USD","Period=FQ","BEST_FPERIOD_OVERRIDE=FQ","FILING_STATUS=MR","SCALING_FORMAT=MLN","Sort=A","Dates=H","DateFormat=P","Fill=—","Direction=H","UseDPDF=Y")</f>
        <v>-36.43</v>
      </c>
      <c r="Z81" s="13">
        <f>_xll.BDH("ALNY US Equity","ARDR_OTHER_INVENTORY","FQ3 2024","FQ3 2024","Currency=USD","Period=FQ","BEST_FPERIOD_OVERRIDE=FQ","FILING_STATUS=MR","SCALING_FORMAT=MLN","Sort=A","Dates=H","DateFormat=P","Fill=—","Direction=H","UseDPDF=Y")</f>
        <v>-39.369</v>
      </c>
      <c r="AA81" s="13">
        <f>_xll.BDH("ALNY US Equity","ARDR_OTHER_INVENTORY","FQ4 2024","FQ4 2024","Currency=USD","Period=FQ","BEST_FPERIOD_OVERRIDE=FQ","FILING_STATUS=MR","SCALING_FORMAT=MLN","Sort=A","Dates=H","DateFormat=P","Fill=—","Direction=H","UseDPDF=Y")</f>
        <v>-36.866999999999997</v>
      </c>
    </row>
    <row r="82" spans="1:27" x14ac:dyDescent="0.25">
      <c r="A82" s="10" t="s">
        <v>805</v>
      </c>
      <c r="B82" s="10" t="s">
        <v>951</v>
      </c>
      <c r="C82" s="13">
        <f>_xll.BDH("ALNY US Equity","ARDR_FUT_MIN_OPER_LEASE_OBLIG","FQ4 2018","FQ4 2018","Currency=USD","Period=FQ","BEST_FPERIOD_OVERRIDE=FQ","FILING_STATUS=MR","SCALING_FORMAT=MLN","Sort=A","Dates=H","DateFormat=P","Fill=—","Direction=H","UseDPDF=Y")</f>
        <v>562.01499999999999</v>
      </c>
      <c r="D82" s="13">
        <f>_xll.BDH("ALNY US Equity","ARDR_FUT_MIN_OPER_LEASE_OBLIG","FQ1 2019","FQ1 2019","Currency=USD","Period=FQ","BEST_FPERIOD_OVERRIDE=FQ","FILING_STATUS=MR","SCALING_FORMAT=MLN","Sort=A","Dates=H","DateFormat=P","Fill=—","Direction=H","UseDPDF=Y")</f>
        <v>543.77099999999996</v>
      </c>
      <c r="E82" s="13">
        <f>_xll.BDH("ALNY US Equity","ARDR_FUT_MIN_OPER_LEASE_OBLIG","FQ2 2019","FQ2 2019","Currency=USD","Period=FQ","BEST_FPERIOD_OVERRIDE=FQ","FILING_STATUS=MR","SCALING_FORMAT=MLN","Sort=A","Dates=H","DateFormat=P","Fill=—","Direction=H","UseDPDF=Y")</f>
        <v>544.45299999999997</v>
      </c>
      <c r="F82" s="13">
        <f>_xll.BDH("ALNY US Equity","ARDR_FUT_MIN_OPER_LEASE_OBLIG","FQ3 2019","FQ3 2019","Currency=USD","Period=FQ","BEST_FPERIOD_OVERRIDE=FQ","FILING_STATUS=MR","SCALING_FORMAT=MLN","Sort=A","Dates=H","DateFormat=P","Fill=—","Direction=H","UseDPDF=Y")</f>
        <v>536.27499999999998</v>
      </c>
      <c r="G82" s="13">
        <f>_xll.BDH("ALNY US Equity","ARDR_FUT_MIN_OPER_LEASE_OBLIG","FQ4 2019","FQ4 2019","Currency=USD","Period=FQ","BEST_FPERIOD_OVERRIDE=FQ","FILING_STATUS=MR","SCALING_FORMAT=MLN","Sort=A","Dates=H","DateFormat=P","Fill=—","Direction=H","UseDPDF=Y")</f>
        <v>532.70600000000002</v>
      </c>
      <c r="H82" s="13" t="str">
        <f>_xll.BDH("ALNY US Equity","ARDR_FUT_MIN_OPER_LEASE_OBLIG","FQ1 2020","FQ1 2020","Currency=USD","Period=FQ","BEST_FPERIOD_OVERRIDE=FQ","FILING_STATUS=MR","SCALING_FORMAT=MLN","Sort=A","Dates=H","DateFormat=P","Fill=—","Direction=H","UseDPDF=Y")</f>
        <v>—</v>
      </c>
      <c r="I82" s="13" t="str">
        <f>_xll.BDH("ALNY US Equity","ARDR_FUT_MIN_OPER_LEASE_OBLIG","FQ2 2020","FQ2 2020","Currency=USD","Period=FQ","BEST_FPERIOD_OVERRIDE=FQ","FILING_STATUS=MR","SCALING_FORMAT=MLN","Sort=A","Dates=H","DateFormat=P","Fill=—","Direction=H","UseDPDF=Y")</f>
        <v>—</v>
      </c>
      <c r="J82" s="13" t="str">
        <f>_xll.BDH("ALNY US Equity","ARDR_FUT_MIN_OPER_LEASE_OBLIG","FQ3 2020","FQ3 2020","Currency=USD","Period=FQ","BEST_FPERIOD_OVERRIDE=FQ","FILING_STATUS=MR","SCALING_FORMAT=MLN","Sort=A","Dates=H","DateFormat=P","Fill=—","Direction=H","UseDPDF=Y")</f>
        <v>—</v>
      </c>
      <c r="K82" s="13">
        <f>_xll.BDH("ALNY US Equity","ARDR_FUT_MIN_OPER_LEASE_OBLIG","FQ4 2020","FQ4 2020","Currency=USD","Period=FQ","BEST_FPERIOD_OVERRIDE=FQ","FILING_STATUS=MR","SCALING_FORMAT=MLN","Sort=A","Dates=H","DateFormat=P","Fill=—","Direction=H","UseDPDF=Y")</f>
        <v>536.33000000000004</v>
      </c>
      <c r="L82" s="13" t="str">
        <f>_xll.BDH("ALNY US Equity","ARDR_FUT_MIN_OPER_LEASE_OBLIG","FQ1 2021","FQ1 2021","Currency=USD","Period=FQ","BEST_FPERIOD_OVERRIDE=FQ","FILING_STATUS=MR","SCALING_FORMAT=MLN","Sort=A","Dates=H","DateFormat=P","Fill=—","Direction=H","UseDPDF=Y")</f>
        <v>—</v>
      </c>
      <c r="M82" s="13" t="str">
        <f>_xll.BDH("ALNY US Equity","ARDR_FUT_MIN_OPER_LEASE_OBLIG","FQ2 2021","FQ2 2021","Currency=USD","Period=FQ","BEST_FPERIOD_OVERRIDE=FQ","FILING_STATUS=MR","SCALING_FORMAT=MLN","Sort=A","Dates=H","DateFormat=P","Fill=—","Direction=H","UseDPDF=Y")</f>
        <v>—</v>
      </c>
      <c r="N82" s="13" t="str">
        <f>_xll.BDH("ALNY US Equity","ARDR_FUT_MIN_OPER_LEASE_OBLIG","FQ3 2021","FQ3 2021","Currency=USD","Period=FQ","BEST_FPERIOD_OVERRIDE=FQ","FILING_STATUS=MR","SCALING_FORMAT=MLN","Sort=A","Dates=H","DateFormat=P","Fill=—","Direction=H","UseDPDF=Y")</f>
        <v>—</v>
      </c>
      <c r="O82" s="13">
        <f>_xll.BDH("ALNY US Equity","ARDR_FUT_MIN_OPER_LEASE_OBLIG","FQ4 2021","FQ4 2021","Currency=USD","Period=FQ","BEST_FPERIOD_OVERRIDE=FQ","FILING_STATUS=MR","SCALING_FORMAT=MLN","Sort=A","Dates=H","DateFormat=P","Fill=—","Direction=H","UseDPDF=Y")</f>
        <v>503.58699999999999</v>
      </c>
      <c r="P82" s="13" t="str">
        <f>_xll.BDH("ALNY US Equity","ARDR_FUT_MIN_OPER_LEASE_OBLIG","FQ1 2022","FQ1 2022","Currency=USD","Period=FQ","BEST_FPERIOD_OVERRIDE=FQ","FILING_STATUS=MR","SCALING_FORMAT=MLN","Sort=A","Dates=H","DateFormat=P","Fill=—","Direction=H","UseDPDF=Y")</f>
        <v>—</v>
      </c>
      <c r="Q82" s="13" t="str">
        <f>_xll.BDH("ALNY US Equity","ARDR_FUT_MIN_OPER_LEASE_OBLIG","FQ2 2022","FQ2 2022","Currency=USD","Period=FQ","BEST_FPERIOD_OVERRIDE=FQ","FILING_STATUS=MR","SCALING_FORMAT=MLN","Sort=A","Dates=H","DateFormat=P","Fill=—","Direction=H","UseDPDF=Y")</f>
        <v>—</v>
      </c>
      <c r="R82" s="13" t="str">
        <f>_xll.BDH("ALNY US Equity","ARDR_FUT_MIN_OPER_LEASE_OBLIG","FQ3 2022","FQ3 2022","Currency=USD","Period=FQ","BEST_FPERIOD_OVERRIDE=FQ","FILING_STATUS=MR","SCALING_FORMAT=MLN","Sort=A","Dates=H","DateFormat=P","Fill=—","Direction=H","UseDPDF=Y")</f>
        <v>—</v>
      </c>
      <c r="S82" s="13">
        <f>_xll.BDH("ALNY US Equity","ARDR_FUT_MIN_OPER_LEASE_OBLIG","FQ4 2022","FQ4 2022","Currency=USD","Period=FQ","BEST_FPERIOD_OVERRIDE=FQ","FILING_STATUS=MR","SCALING_FORMAT=MLN","Sort=A","Dates=H","DateFormat=P","Fill=—","Direction=H","UseDPDF=Y")</f>
        <v>460.13200000000001</v>
      </c>
      <c r="T82" s="13" t="str">
        <f>_xll.BDH("ALNY US Equity","ARDR_FUT_MIN_OPER_LEASE_OBLIG","FQ1 2023","FQ1 2023","Currency=USD","Period=FQ","BEST_FPERIOD_OVERRIDE=FQ","FILING_STATUS=MR","SCALING_FORMAT=MLN","Sort=A","Dates=H","DateFormat=P","Fill=—","Direction=H","UseDPDF=Y")</f>
        <v>—</v>
      </c>
      <c r="U82" s="13" t="str">
        <f>_xll.BDH("ALNY US Equity","ARDR_FUT_MIN_OPER_LEASE_OBLIG","FQ2 2023","FQ2 2023","Currency=USD","Period=FQ","BEST_FPERIOD_OVERRIDE=FQ","FILING_STATUS=MR","SCALING_FORMAT=MLN","Sort=A","Dates=H","DateFormat=P","Fill=—","Direction=H","UseDPDF=Y")</f>
        <v>—</v>
      </c>
      <c r="V82" s="13" t="str">
        <f>_xll.BDH("ALNY US Equity","ARDR_FUT_MIN_OPER_LEASE_OBLIG","FQ3 2023","FQ3 2023","Currency=USD","Period=FQ","BEST_FPERIOD_OVERRIDE=FQ","FILING_STATUS=MR","SCALING_FORMAT=MLN","Sort=A","Dates=H","DateFormat=P","Fill=—","Direction=H","UseDPDF=Y")</f>
        <v>—</v>
      </c>
      <c r="W82" s="13">
        <f>_xll.BDH("ALNY US Equity","ARDR_FUT_MIN_OPER_LEASE_OBLIG","FQ4 2023","FQ4 2023","Currency=USD","Period=FQ","BEST_FPERIOD_OVERRIDE=FQ","FILING_STATUS=MR","SCALING_FORMAT=MLN","Sort=A","Dates=H","DateFormat=P","Fill=—","Direction=H","UseDPDF=Y")</f>
        <v>418.041</v>
      </c>
      <c r="X82" s="13" t="str">
        <f>_xll.BDH("ALNY US Equity","ARDR_FUT_MIN_OPER_LEASE_OBLIG","FQ1 2024","FQ1 2024","Currency=USD","Period=FQ","BEST_FPERIOD_OVERRIDE=FQ","FILING_STATUS=MR","SCALING_FORMAT=MLN","Sort=A","Dates=H","DateFormat=P","Fill=—","Direction=H","UseDPDF=Y")</f>
        <v>—</v>
      </c>
      <c r="Y82" s="13" t="str">
        <f>_xll.BDH("ALNY US Equity","ARDR_FUT_MIN_OPER_LEASE_OBLIG","FQ2 2024","FQ2 2024","Currency=USD","Period=FQ","BEST_FPERIOD_OVERRIDE=FQ","FILING_STATUS=MR","SCALING_FORMAT=MLN","Sort=A","Dates=H","DateFormat=P","Fill=—","Direction=H","UseDPDF=Y")</f>
        <v>—</v>
      </c>
      <c r="Z82" s="13" t="str">
        <f>_xll.BDH("ALNY US Equity","ARDR_FUT_MIN_OPER_LEASE_OBLIG","FQ3 2024","FQ3 2024","Currency=USD","Period=FQ","BEST_FPERIOD_OVERRIDE=FQ","FILING_STATUS=MR","SCALING_FORMAT=MLN","Sort=A","Dates=H","DateFormat=P","Fill=—","Direction=H","UseDPDF=Y")</f>
        <v>—</v>
      </c>
      <c r="AA82" s="13">
        <f>_xll.BDH("ALNY US Equity","ARDR_FUT_MIN_OPER_LEASE_OBLIG","FQ4 2024","FQ4 2024","Currency=USD","Period=FQ","BEST_FPERIOD_OVERRIDE=FQ","FILING_STATUS=MR","SCALING_FORMAT=MLN","Sort=A","Dates=H","DateFormat=P","Fill=—","Direction=H","UseDPDF=Y")</f>
        <v>384.48899999999998</v>
      </c>
    </row>
    <row r="83" spans="1:27" x14ac:dyDescent="0.25">
      <c r="A83" s="10" t="s">
        <v>952</v>
      </c>
      <c r="B83" s="10" t="s">
        <v>953</v>
      </c>
      <c r="C83" s="13">
        <f>_xll.BDH("ALNY US Equity","ARDR_RENTAL_EXP_YR1","FQ4 2018","FQ4 2018","Currency=USD","Period=FQ","BEST_FPERIOD_OVERRIDE=FQ","FILING_STATUS=MR","SCALING_FORMAT=MLN","Sort=A","Dates=H","DateFormat=P","Fill=—","Direction=H","UseDPDF=Y")</f>
        <v>32.228000000000002</v>
      </c>
      <c r="D83" s="13">
        <f>_xll.BDH("ALNY US Equity","ARDR_RENTAL_EXP_YR1","FQ1 2019","FQ1 2019","Currency=USD","Period=FQ","BEST_FPERIOD_OVERRIDE=FQ","FILING_STATUS=MR","SCALING_FORMAT=MLN","Sort=A","Dates=H","DateFormat=P","Fill=—","Direction=H","UseDPDF=Y")</f>
        <v>11.125</v>
      </c>
      <c r="E83" s="13">
        <f>_xll.BDH("ALNY US Equity","ARDR_RENTAL_EXP_YR1","FQ2 2019","FQ2 2019","Currency=USD","Period=FQ","BEST_FPERIOD_OVERRIDE=FQ","FILING_STATUS=MR","SCALING_FORMAT=MLN","Sort=A","Dates=H","DateFormat=P","Fill=—","Direction=H","UseDPDF=Y")</f>
        <v>16.378</v>
      </c>
      <c r="F83" s="13">
        <f>_xll.BDH("ALNY US Equity","ARDR_RENTAL_EXP_YR1","FQ3 2019","FQ3 2019","Currency=USD","Period=FQ","BEST_FPERIOD_OVERRIDE=FQ","FILING_STATUS=MR","SCALING_FORMAT=MLN","Sort=A","Dates=H","DateFormat=P","Fill=—","Direction=H","UseDPDF=Y")</f>
        <v>8.2230000000000008</v>
      </c>
      <c r="G83" s="13">
        <f>_xll.BDH("ALNY US Equity","ARDR_RENTAL_EXP_YR1","FQ4 2019","FQ4 2019","Currency=USD","Period=FQ","BEST_FPERIOD_OVERRIDE=FQ","FILING_STATUS=MR","SCALING_FORMAT=MLN","Sort=A","Dates=H","DateFormat=P","Fill=—","Direction=H","UseDPDF=Y")</f>
        <v>29.157</v>
      </c>
      <c r="H83" s="13" t="str">
        <f>_xll.BDH("ALNY US Equity","ARDR_RENTAL_EXP_YR1","FQ1 2020","FQ1 2020","Currency=USD","Period=FQ","BEST_FPERIOD_OVERRIDE=FQ","FILING_STATUS=MR","SCALING_FORMAT=MLN","Sort=A","Dates=H","DateFormat=P","Fill=—","Direction=H","UseDPDF=Y")</f>
        <v>—</v>
      </c>
      <c r="I83" s="13" t="str">
        <f>_xll.BDH("ALNY US Equity","ARDR_RENTAL_EXP_YR1","FQ2 2020","FQ2 2020","Currency=USD","Period=FQ","BEST_FPERIOD_OVERRIDE=FQ","FILING_STATUS=MR","SCALING_FORMAT=MLN","Sort=A","Dates=H","DateFormat=P","Fill=—","Direction=H","UseDPDF=Y")</f>
        <v>—</v>
      </c>
      <c r="J83" s="13" t="str">
        <f>_xll.BDH("ALNY US Equity","ARDR_RENTAL_EXP_YR1","FQ3 2020","FQ3 2020","Currency=USD","Period=FQ","BEST_FPERIOD_OVERRIDE=FQ","FILING_STATUS=MR","SCALING_FORMAT=MLN","Sort=A","Dates=H","DateFormat=P","Fill=—","Direction=H","UseDPDF=Y")</f>
        <v>—</v>
      </c>
      <c r="K83" s="13">
        <f>_xll.BDH("ALNY US Equity","ARDR_RENTAL_EXP_YR1","FQ4 2020","FQ4 2020","Currency=USD","Period=FQ","BEST_FPERIOD_OVERRIDE=FQ","FILING_STATUS=MR","SCALING_FORMAT=MLN","Sort=A","Dates=H","DateFormat=P","Fill=—","Direction=H","UseDPDF=Y")</f>
        <v>38.593000000000004</v>
      </c>
      <c r="L83" s="13" t="str">
        <f>_xll.BDH("ALNY US Equity","ARDR_RENTAL_EXP_YR1","FQ1 2021","FQ1 2021","Currency=USD","Period=FQ","BEST_FPERIOD_OVERRIDE=FQ","FILING_STATUS=MR","SCALING_FORMAT=MLN","Sort=A","Dates=H","DateFormat=P","Fill=—","Direction=H","UseDPDF=Y")</f>
        <v>—</v>
      </c>
      <c r="M83" s="13" t="str">
        <f>_xll.BDH("ALNY US Equity","ARDR_RENTAL_EXP_YR1","FQ2 2021","FQ2 2021","Currency=USD","Period=FQ","BEST_FPERIOD_OVERRIDE=FQ","FILING_STATUS=MR","SCALING_FORMAT=MLN","Sort=A","Dates=H","DateFormat=P","Fill=—","Direction=H","UseDPDF=Y")</f>
        <v>—</v>
      </c>
      <c r="N83" s="13" t="str">
        <f>_xll.BDH("ALNY US Equity","ARDR_RENTAL_EXP_YR1","FQ3 2021","FQ3 2021","Currency=USD","Period=FQ","BEST_FPERIOD_OVERRIDE=FQ","FILING_STATUS=MR","SCALING_FORMAT=MLN","Sort=A","Dates=H","DateFormat=P","Fill=—","Direction=H","UseDPDF=Y")</f>
        <v>—</v>
      </c>
      <c r="O83" s="13">
        <f>_xll.BDH("ALNY US Equity","ARDR_RENTAL_EXP_YR1","FQ4 2021","FQ4 2021","Currency=USD","Period=FQ","BEST_FPERIOD_OVERRIDE=FQ","FILING_STATUS=MR","SCALING_FORMAT=MLN","Sort=A","Dates=H","DateFormat=P","Fill=—","Direction=H","UseDPDF=Y")</f>
        <v>41.783000000000001</v>
      </c>
      <c r="P83" s="13" t="str">
        <f>_xll.BDH("ALNY US Equity","ARDR_RENTAL_EXP_YR1","FQ1 2022","FQ1 2022","Currency=USD","Period=FQ","BEST_FPERIOD_OVERRIDE=FQ","FILING_STATUS=MR","SCALING_FORMAT=MLN","Sort=A","Dates=H","DateFormat=P","Fill=—","Direction=H","UseDPDF=Y")</f>
        <v>—</v>
      </c>
      <c r="Q83" s="13" t="str">
        <f>_xll.BDH("ALNY US Equity","ARDR_RENTAL_EXP_YR1","FQ2 2022","FQ2 2022","Currency=USD","Period=FQ","BEST_FPERIOD_OVERRIDE=FQ","FILING_STATUS=MR","SCALING_FORMAT=MLN","Sort=A","Dates=H","DateFormat=P","Fill=—","Direction=H","UseDPDF=Y")</f>
        <v>—</v>
      </c>
      <c r="R83" s="13" t="str">
        <f>_xll.BDH("ALNY US Equity","ARDR_RENTAL_EXP_YR1","FQ3 2022","FQ3 2022","Currency=USD","Period=FQ","BEST_FPERIOD_OVERRIDE=FQ","FILING_STATUS=MR","SCALING_FORMAT=MLN","Sort=A","Dates=H","DateFormat=P","Fill=—","Direction=H","UseDPDF=Y")</f>
        <v>—</v>
      </c>
      <c r="S83" s="13">
        <f>_xll.BDH("ALNY US Equity","ARDR_RENTAL_EXP_YR1","FQ4 2022","FQ4 2022","Currency=USD","Period=FQ","BEST_FPERIOD_OVERRIDE=FQ","FILING_STATUS=MR","SCALING_FORMAT=MLN","Sort=A","Dates=H","DateFormat=P","Fill=—","Direction=H","UseDPDF=Y")</f>
        <v>43.027999999999999</v>
      </c>
      <c r="T83" s="13" t="str">
        <f>_xll.BDH("ALNY US Equity","ARDR_RENTAL_EXP_YR1","FQ1 2023","FQ1 2023","Currency=USD","Period=FQ","BEST_FPERIOD_OVERRIDE=FQ","FILING_STATUS=MR","SCALING_FORMAT=MLN","Sort=A","Dates=H","DateFormat=P","Fill=—","Direction=H","UseDPDF=Y")</f>
        <v>—</v>
      </c>
      <c r="U83" s="13" t="str">
        <f>_xll.BDH("ALNY US Equity","ARDR_RENTAL_EXP_YR1","FQ2 2023","FQ2 2023","Currency=USD","Period=FQ","BEST_FPERIOD_OVERRIDE=FQ","FILING_STATUS=MR","SCALING_FORMAT=MLN","Sort=A","Dates=H","DateFormat=P","Fill=—","Direction=H","UseDPDF=Y")</f>
        <v>—</v>
      </c>
      <c r="V83" s="13" t="str">
        <f>_xll.BDH("ALNY US Equity","ARDR_RENTAL_EXP_YR1","FQ3 2023","FQ3 2023","Currency=USD","Period=FQ","BEST_FPERIOD_OVERRIDE=FQ","FILING_STATUS=MR","SCALING_FORMAT=MLN","Sort=A","Dates=H","DateFormat=P","Fill=—","Direction=H","UseDPDF=Y")</f>
        <v>—</v>
      </c>
      <c r="W83" s="13">
        <f>_xll.BDH("ALNY US Equity","ARDR_RENTAL_EXP_YR1","FQ4 2023","FQ4 2023","Currency=USD","Period=FQ","BEST_FPERIOD_OVERRIDE=FQ","FILING_STATUS=MR","SCALING_FORMAT=MLN","Sort=A","Dates=H","DateFormat=P","Fill=—","Direction=H","UseDPDF=Y")</f>
        <v>43.587000000000003</v>
      </c>
      <c r="X83" s="13" t="str">
        <f>_xll.BDH("ALNY US Equity","ARDR_RENTAL_EXP_YR1","FQ1 2024","FQ1 2024","Currency=USD","Period=FQ","BEST_FPERIOD_OVERRIDE=FQ","FILING_STATUS=MR","SCALING_FORMAT=MLN","Sort=A","Dates=H","DateFormat=P","Fill=—","Direction=H","UseDPDF=Y")</f>
        <v>—</v>
      </c>
      <c r="Y83" s="13" t="str">
        <f>_xll.BDH("ALNY US Equity","ARDR_RENTAL_EXP_YR1","FQ2 2024","FQ2 2024","Currency=USD","Period=FQ","BEST_FPERIOD_OVERRIDE=FQ","FILING_STATUS=MR","SCALING_FORMAT=MLN","Sort=A","Dates=H","DateFormat=P","Fill=—","Direction=H","UseDPDF=Y")</f>
        <v>—</v>
      </c>
      <c r="Z83" s="13" t="str">
        <f>_xll.BDH("ALNY US Equity","ARDR_RENTAL_EXP_YR1","FQ3 2024","FQ3 2024","Currency=USD","Period=FQ","BEST_FPERIOD_OVERRIDE=FQ","FILING_STATUS=MR","SCALING_FORMAT=MLN","Sort=A","Dates=H","DateFormat=P","Fill=—","Direction=H","UseDPDF=Y")</f>
        <v>—</v>
      </c>
      <c r="AA83" s="13">
        <f>_xll.BDH("ALNY US Equity","ARDR_RENTAL_EXP_YR1","FQ4 2024","FQ4 2024","Currency=USD","Period=FQ","BEST_FPERIOD_OVERRIDE=FQ","FILING_STATUS=MR","SCALING_FORMAT=MLN","Sort=A","Dates=H","DateFormat=P","Fill=—","Direction=H","UseDPDF=Y")</f>
        <v>43.384</v>
      </c>
    </row>
    <row r="84" spans="1:27" x14ac:dyDescent="0.25">
      <c r="A84" s="10" t="s">
        <v>954</v>
      </c>
      <c r="B84" s="10" t="s">
        <v>955</v>
      </c>
      <c r="C84" s="13">
        <f>_xll.BDH("ALNY US Equity","ARDR_RENTAL_EXP_YR2","FQ4 2018","FQ4 2018","Currency=USD","Period=FQ","BEST_FPERIOD_OVERRIDE=FQ","FILING_STATUS=MR","SCALING_FORMAT=MLN","Sort=A","Dates=H","DateFormat=P","Fill=—","Direction=H","UseDPDF=Y")</f>
        <v>34.826000000000001</v>
      </c>
      <c r="D84" s="13">
        <f>_xll.BDH("ALNY US Equity","ARDR_RENTAL_EXP_YR2","FQ1 2019","FQ1 2019","Currency=USD","Period=FQ","BEST_FPERIOD_OVERRIDE=FQ","FILING_STATUS=MR","SCALING_FORMAT=MLN","Sort=A","Dates=H","DateFormat=P","Fill=—","Direction=H","UseDPDF=Y")</f>
        <v>34.53</v>
      </c>
      <c r="E84" s="13">
        <f>_xll.BDH("ALNY US Equity","ARDR_RENTAL_EXP_YR2","FQ2 2019","FQ2 2019","Currency=USD","Period=FQ","BEST_FPERIOD_OVERRIDE=FQ","FILING_STATUS=MR","SCALING_FORMAT=MLN","Sort=A","Dates=H","DateFormat=P","Fill=—","Direction=H","UseDPDF=Y")</f>
        <v>28.686</v>
      </c>
      <c r="F84" s="13">
        <f>_xll.BDH("ALNY US Equity","ARDR_RENTAL_EXP_YR2","FQ3 2019","FQ3 2019","Currency=USD","Period=FQ","BEST_FPERIOD_OVERRIDE=FQ","FILING_STATUS=MR","SCALING_FORMAT=MLN","Sort=A","Dates=H","DateFormat=P","Fill=—","Direction=H","UseDPDF=Y")</f>
        <v>28.7</v>
      </c>
      <c r="G84" s="13">
        <f>_xll.BDH("ALNY US Equity","ARDR_RENTAL_EXP_YR2","FQ4 2019","FQ4 2019","Currency=USD","Period=FQ","BEST_FPERIOD_OVERRIDE=FQ","FILING_STATUS=MR","SCALING_FORMAT=MLN","Sort=A","Dates=H","DateFormat=P","Fill=—","Direction=H","UseDPDF=Y")</f>
        <v>37.597000000000001</v>
      </c>
      <c r="H84" s="13" t="str">
        <f>_xll.BDH("ALNY US Equity","ARDR_RENTAL_EXP_YR2","FQ1 2020","FQ1 2020","Currency=USD","Period=FQ","BEST_FPERIOD_OVERRIDE=FQ","FILING_STATUS=MR","SCALING_FORMAT=MLN","Sort=A","Dates=H","DateFormat=P","Fill=—","Direction=H","UseDPDF=Y")</f>
        <v>—</v>
      </c>
      <c r="I84" s="13" t="str">
        <f>_xll.BDH("ALNY US Equity","ARDR_RENTAL_EXP_YR2","FQ2 2020","FQ2 2020","Currency=USD","Period=FQ","BEST_FPERIOD_OVERRIDE=FQ","FILING_STATUS=MR","SCALING_FORMAT=MLN","Sort=A","Dates=H","DateFormat=P","Fill=—","Direction=H","UseDPDF=Y")</f>
        <v>—</v>
      </c>
      <c r="J84" s="13" t="str">
        <f>_xll.BDH("ALNY US Equity","ARDR_RENTAL_EXP_YR2","FQ3 2020","FQ3 2020","Currency=USD","Period=FQ","BEST_FPERIOD_OVERRIDE=FQ","FILING_STATUS=MR","SCALING_FORMAT=MLN","Sort=A","Dates=H","DateFormat=P","Fill=—","Direction=H","UseDPDF=Y")</f>
        <v>—</v>
      </c>
      <c r="K84" s="13">
        <f>_xll.BDH("ALNY US Equity","ARDR_RENTAL_EXP_YR2","FQ4 2020","FQ4 2020","Currency=USD","Period=FQ","BEST_FPERIOD_OVERRIDE=FQ","FILING_STATUS=MR","SCALING_FORMAT=MLN","Sort=A","Dates=H","DateFormat=P","Fill=—","Direction=H","UseDPDF=Y")</f>
        <v>46.392000000000003</v>
      </c>
      <c r="L84" s="13" t="str">
        <f>_xll.BDH("ALNY US Equity","ARDR_RENTAL_EXP_YR2","FQ1 2021","FQ1 2021","Currency=USD","Period=FQ","BEST_FPERIOD_OVERRIDE=FQ","FILING_STATUS=MR","SCALING_FORMAT=MLN","Sort=A","Dates=H","DateFormat=P","Fill=—","Direction=H","UseDPDF=Y")</f>
        <v>—</v>
      </c>
      <c r="M84" s="13" t="str">
        <f>_xll.BDH("ALNY US Equity","ARDR_RENTAL_EXP_YR2","FQ2 2021","FQ2 2021","Currency=USD","Period=FQ","BEST_FPERIOD_OVERRIDE=FQ","FILING_STATUS=MR","SCALING_FORMAT=MLN","Sort=A","Dates=H","DateFormat=P","Fill=—","Direction=H","UseDPDF=Y")</f>
        <v>—</v>
      </c>
      <c r="N84" s="13" t="str">
        <f>_xll.BDH("ALNY US Equity","ARDR_RENTAL_EXP_YR2","FQ3 2021","FQ3 2021","Currency=USD","Period=FQ","BEST_FPERIOD_OVERRIDE=FQ","FILING_STATUS=MR","SCALING_FORMAT=MLN","Sort=A","Dates=H","DateFormat=P","Fill=—","Direction=H","UseDPDF=Y")</f>
        <v>—</v>
      </c>
      <c r="O84" s="13">
        <f>_xll.BDH("ALNY US Equity","ARDR_RENTAL_EXP_YR2","FQ4 2021","FQ4 2021","Currency=USD","Period=FQ","BEST_FPERIOD_OVERRIDE=FQ","FILING_STATUS=MR","SCALING_FORMAT=MLN","Sort=A","Dates=H","DateFormat=P","Fill=—","Direction=H","UseDPDF=Y")</f>
        <v>47.188000000000002</v>
      </c>
      <c r="P84" s="13" t="str">
        <f>_xll.BDH("ALNY US Equity","ARDR_RENTAL_EXP_YR2","FQ1 2022","FQ1 2022","Currency=USD","Period=FQ","BEST_FPERIOD_OVERRIDE=FQ","FILING_STATUS=MR","SCALING_FORMAT=MLN","Sort=A","Dates=H","DateFormat=P","Fill=—","Direction=H","UseDPDF=Y")</f>
        <v>—</v>
      </c>
      <c r="Q84" s="13" t="str">
        <f>_xll.BDH("ALNY US Equity","ARDR_RENTAL_EXP_YR2","FQ2 2022","FQ2 2022","Currency=USD","Period=FQ","BEST_FPERIOD_OVERRIDE=FQ","FILING_STATUS=MR","SCALING_FORMAT=MLN","Sort=A","Dates=H","DateFormat=P","Fill=—","Direction=H","UseDPDF=Y")</f>
        <v>—</v>
      </c>
      <c r="R84" s="13" t="str">
        <f>_xll.BDH("ALNY US Equity","ARDR_RENTAL_EXP_YR2","FQ3 2022","FQ3 2022","Currency=USD","Period=FQ","BEST_FPERIOD_OVERRIDE=FQ","FILING_STATUS=MR","SCALING_FORMAT=MLN","Sort=A","Dates=H","DateFormat=P","Fill=—","Direction=H","UseDPDF=Y")</f>
        <v>—</v>
      </c>
      <c r="S84" s="13">
        <f>_xll.BDH("ALNY US Equity","ARDR_RENTAL_EXP_YR2","FQ4 2022","FQ4 2022","Currency=USD","Period=FQ","BEST_FPERIOD_OVERRIDE=FQ","FILING_STATUS=MR","SCALING_FORMAT=MLN","Sort=A","Dates=H","DateFormat=P","Fill=—","Direction=H","UseDPDF=Y")</f>
        <v>46.485999999999997</v>
      </c>
      <c r="T84" s="13" t="str">
        <f>_xll.BDH("ALNY US Equity","ARDR_RENTAL_EXP_YR2","FQ1 2023","FQ1 2023","Currency=USD","Period=FQ","BEST_FPERIOD_OVERRIDE=FQ","FILING_STATUS=MR","SCALING_FORMAT=MLN","Sort=A","Dates=H","DateFormat=P","Fill=—","Direction=H","UseDPDF=Y")</f>
        <v>—</v>
      </c>
      <c r="U84" s="13" t="str">
        <f>_xll.BDH("ALNY US Equity","ARDR_RENTAL_EXP_YR2","FQ2 2023","FQ2 2023","Currency=USD","Period=FQ","BEST_FPERIOD_OVERRIDE=FQ","FILING_STATUS=MR","SCALING_FORMAT=MLN","Sort=A","Dates=H","DateFormat=P","Fill=—","Direction=H","UseDPDF=Y")</f>
        <v>—</v>
      </c>
      <c r="V84" s="13" t="str">
        <f>_xll.BDH("ALNY US Equity","ARDR_RENTAL_EXP_YR2","FQ3 2023","FQ3 2023","Currency=USD","Period=FQ","BEST_FPERIOD_OVERRIDE=FQ","FILING_STATUS=MR","SCALING_FORMAT=MLN","Sort=A","Dates=H","DateFormat=P","Fill=—","Direction=H","UseDPDF=Y")</f>
        <v>—</v>
      </c>
      <c r="W84" s="13">
        <f>_xll.BDH("ALNY US Equity","ARDR_RENTAL_EXP_YR2","FQ4 2023","FQ4 2023","Currency=USD","Period=FQ","BEST_FPERIOD_OVERRIDE=FQ","FILING_STATUS=MR","SCALING_FORMAT=MLN","Sort=A","Dates=H","DateFormat=P","Fill=—","Direction=H","UseDPDF=Y")</f>
        <v>46.369</v>
      </c>
      <c r="X84" s="13" t="str">
        <f>_xll.BDH("ALNY US Equity","ARDR_RENTAL_EXP_YR2","FQ1 2024","FQ1 2024","Currency=USD","Period=FQ","BEST_FPERIOD_OVERRIDE=FQ","FILING_STATUS=MR","SCALING_FORMAT=MLN","Sort=A","Dates=H","DateFormat=P","Fill=—","Direction=H","UseDPDF=Y")</f>
        <v>—</v>
      </c>
      <c r="Y84" s="13" t="str">
        <f>_xll.BDH("ALNY US Equity","ARDR_RENTAL_EXP_YR2","FQ2 2024","FQ2 2024","Currency=USD","Period=FQ","BEST_FPERIOD_OVERRIDE=FQ","FILING_STATUS=MR","SCALING_FORMAT=MLN","Sort=A","Dates=H","DateFormat=P","Fill=—","Direction=H","UseDPDF=Y")</f>
        <v>—</v>
      </c>
      <c r="Z84" s="13" t="str">
        <f>_xll.BDH("ALNY US Equity","ARDR_RENTAL_EXP_YR2","FQ3 2024","FQ3 2024","Currency=USD","Period=FQ","BEST_FPERIOD_OVERRIDE=FQ","FILING_STATUS=MR","SCALING_FORMAT=MLN","Sort=A","Dates=H","DateFormat=P","Fill=—","Direction=H","UseDPDF=Y")</f>
        <v>—</v>
      </c>
      <c r="AA84" s="13">
        <f>_xll.BDH("ALNY US Equity","ARDR_RENTAL_EXP_YR2","FQ4 2024","FQ4 2024","Currency=USD","Period=FQ","BEST_FPERIOD_OVERRIDE=FQ","FILING_STATUS=MR","SCALING_FORMAT=MLN","Sort=A","Dates=H","DateFormat=P","Fill=—","Direction=H","UseDPDF=Y")</f>
        <v>46.18</v>
      </c>
    </row>
    <row r="85" spans="1:27" x14ac:dyDescent="0.25">
      <c r="A85" s="10" t="s">
        <v>956</v>
      </c>
      <c r="B85" s="10" t="s">
        <v>957</v>
      </c>
      <c r="C85" s="13">
        <f>_xll.BDH("ALNY US Equity","ARDR_RENTAL_EXP_YR3","FQ4 2018","FQ4 2018","Currency=USD","Period=FQ","BEST_FPERIOD_OVERRIDE=FQ","FILING_STATUS=MR","SCALING_FORMAT=MLN","Sort=A","Dates=H","DateFormat=P","Fill=—","Direction=H","UseDPDF=Y")</f>
        <v>34.409999999999997</v>
      </c>
      <c r="D85" s="13">
        <f>_xll.BDH("ALNY US Equity","ARDR_RENTAL_EXP_YR3","FQ1 2019","FQ1 2019","Currency=USD","Period=FQ","BEST_FPERIOD_OVERRIDE=FQ","FILING_STATUS=MR","SCALING_FORMAT=MLN","Sort=A","Dates=H","DateFormat=P","Fill=—","Direction=H","UseDPDF=Y")</f>
        <v>35.776000000000003</v>
      </c>
      <c r="E85" s="13">
        <f>_xll.BDH("ALNY US Equity","ARDR_RENTAL_EXP_YR3","FQ2 2019","FQ2 2019","Currency=USD","Period=FQ","BEST_FPERIOD_OVERRIDE=FQ","FILING_STATUS=MR","SCALING_FORMAT=MLN","Sort=A","Dates=H","DateFormat=P","Fill=—","Direction=H","UseDPDF=Y")</f>
        <v>36.356999999999999</v>
      </c>
      <c r="F85" s="13">
        <f>_xll.BDH("ALNY US Equity","ARDR_RENTAL_EXP_YR3","FQ3 2019","FQ3 2019","Currency=USD","Period=FQ","BEST_FPERIOD_OVERRIDE=FQ","FILING_STATUS=MR","SCALING_FORMAT=MLN","Sort=A","Dates=H","DateFormat=P","Fill=—","Direction=H","UseDPDF=Y")</f>
        <v>36.387999999999998</v>
      </c>
      <c r="G85" s="13">
        <f>_xll.BDH("ALNY US Equity","ARDR_RENTAL_EXP_YR3","FQ4 2019","FQ4 2019","Currency=USD","Period=FQ","BEST_FPERIOD_OVERRIDE=FQ","FILING_STATUS=MR","SCALING_FORMAT=MLN","Sort=A","Dates=H","DateFormat=P","Fill=—","Direction=H","UseDPDF=Y")</f>
        <v>37.753999999999998</v>
      </c>
      <c r="H85" s="13" t="str">
        <f>_xll.BDH("ALNY US Equity","ARDR_RENTAL_EXP_YR3","FQ1 2020","FQ1 2020","Currency=USD","Period=FQ","BEST_FPERIOD_OVERRIDE=FQ","FILING_STATUS=MR","SCALING_FORMAT=MLN","Sort=A","Dates=H","DateFormat=P","Fill=—","Direction=H","UseDPDF=Y")</f>
        <v>—</v>
      </c>
      <c r="I85" s="13" t="str">
        <f>_xll.BDH("ALNY US Equity","ARDR_RENTAL_EXP_YR3","FQ2 2020","FQ2 2020","Currency=USD","Period=FQ","BEST_FPERIOD_OVERRIDE=FQ","FILING_STATUS=MR","SCALING_FORMAT=MLN","Sort=A","Dates=H","DateFormat=P","Fill=—","Direction=H","UseDPDF=Y")</f>
        <v>—</v>
      </c>
      <c r="J85" s="13" t="str">
        <f>_xll.BDH("ALNY US Equity","ARDR_RENTAL_EXP_YR3","FQ3 2020","FQ3 2020","Currency=USD","Period=FQ","BEST_FPERIOD_OVERRIDE=FQ","FILING_STATUS=MR","SCALING_FORMAT=MLN","Sort=A","Dates=H","DateFormat=P","Fill=—","Direction=H","UseDPDF=Y")</f>
        <v>—</v>
      </c>
      <c r="K85" s="13">
        <f>_xll.BDH("ALNY US Equity","ARDR_RENTAL_EXP_YR3","FQ4 2020","FQ4 2020","Currency=USD","Period=FQ","BEST_FPERIOD_OVERRIDE=FQ","FILING_STATUS=MR","SCALING_FORMAT=MLN","Sort=A","Dates=H","DateFormat=P","Fill=—","Direction=H","UseDPDF=Y")</f>
        <v>43.764000000000003</v>
      </c>
      <c r="L85" s="13" t="str">
        <f>_xll.BDH("ALNY US Equity","ARDR_RENTAL_EXP_YR3","FQ1 2021","FQ1 2021","Currency=USD","Period=FQ","BEST_FPERIOD_OVERRIDE=FQ","FILING_STATUS=MR","SCALING_FORMAT=MLN","Sort=A","Dates=H","DateFormat=P","Fill=—","Direction=H","UseDPDF=Y")</f>
        <v>—</v>
      </c>
      <c r="M85" s="13" t="str">
        <f>_xll.BDH("ALNY US Equity","ARDR_RENTAL_EXP_YR3","FQ2 2021","FQ2 2021","Currency=USD","Period=FQ","BEST_FPERIOD_OVERRIDE=FQ","FILING_STATUS=MR","SCALING_FORMAT=MLN","Sort=A","Dates=H","DateFormat=P","Fill=—","Direction=H","UseDPDF=Y")</f>
        <v>—</v>
      </c>
      <c r="N85" s="13" t="str">
        <f>_xll.BDH("ALNY US Equity","ARDR_RENTAL_EXP_YR3","FQ3 2021","FQ3 2021","Currency=USD","Period=FQ","BEST_FPERIOD_OVERRIDE=FQ","FILING_STATUS=MR","SCALING_FORMAT=MLN","Sort=A","Dates=H","DateFormat=P","Fill=—","Direction=H","UseDPDF=Y")</f>
        <v>—</v>
      </c>
      <c r="O85" s="13">
        <f>_xll.BDH("ALNY US Equity","ARDR_RENTAL_EXP_YR3","FQ4 2021","FQ4 2021","Currency=USD","Period=FQ","BEST_FPERIOD_OVERRIDE=FQ","FILING_STATUS=MR","SCALING_FORMAT=MLN","Sort=A","Dates=H","DateFormat=P","Fill=—","Direction=H","UseDPDF=Y")</f>
        <v>44.420999999999999</v>
      </c>
      <c r="P85" s="13" t="str">
        <f>_xll.BDH("ALNY US Equity","ARDR_RENTAL_EXP_YR3","FQ1 2022","FQ1 2022","Currency=USD","Period=FQ","BEST_FPERIOD_OVERRIDE=FQ","FILING_STATUS=MR","SCALING_FORMAT=MLN","Sort=A","Dates=H","DateFormat=P","Fill=—","Direction=H","UseDPDF=Y")</f>
        <v>—</v>
      </c>
      <c r="Q85" s="13" t="str">
        <f>_xll.BDH("ALNY US Equity","ARDR_RENTAL_EXP_YR3","FQ2 2022","FQ2 2022","Currency=USD","Period=FQ","BEST_FPERIOD_OVERRIDE=FQ","FILING_STATUS=MR","SCALING_FORMAT=MLN","Sort=A","Dates=H","DateFormat=P","Fill=—","Direction=H","UseDPDF=Y")</f>
        <v>—</v>
      </c>
      <c r="R85" s="13" t="str">
        <f>_xll.BDH("ALNY US Equity","ARDR_RENTAL_EXP_YR3","FQ3 2022","FQ3 2022","Currency=USD","Period=FQ","BEST_FPERIOD_OVERRIDE=FQ","FILING_STATUS=MR","SCALING_FORMAT=MLN","Sort=A","Dates=H","DateFormat=P","Fill=—","Direction=H","UseDPDF=Y")</f>
        <v>—</v>
      </c>
      <c r="S85" s="13">
        <f>_xll.BDH("ALNY US Equity","ARDR_RENTAL_EXP_YR3","FQ4 2022","FQ4 2022","Currency=USD","Period=FQ","BEST_FPERIOD_OVERRIDE=FQ","FILING_STATUS=MR","SCALING_FORMAT=MLN","Sort=A","Dates=H","DateFormat=P","Fill=—","Direction=H","UseDPDF=Y")</f>
        <v>42.866999999999997</v>
      </c>
      <c r="T85" s="13" t="str">
        <f>_xll.BDH("ALNY US Equity","ARDR_RENTAL_EXP_YR3","FQ1 2023","FQ1 2023","Currency=USD","Period=FQ","BEST_FPERIOD_OVERRIDE=FQ","FILING_STATUS=MR","SCALING_FORMAT=MLN","Sort=A","Dates=H","DateFormat=P","Fill=—","Direction=H","UseDPDF=Y")</f>
        <v>—</v>
      </c>
      <c r="U85" s="13" t="str">
        <f>_xll.BDH("ALNY US Equity","ARDR_RENTAL_EXP_YR3","FQ2 2023","FQ2 2023","Currency=USD","Period=FQ","BEST_FPERIOD_OVERRIDE=FQ","FILING_STATUS=MR","SCALING_FORMAT=MLN","Sort=A","Dates=H","DateFormat=P","Fill=—","Direction=H","UseDPDF=Y")</f>
        <v>—</v>
      </c>
      <c r="V85" s="13" t="str">
        <f>_xll.BDH("ALNY US Equity","ARDR_RENTAL_EXP_YR3","FQ3 2023","FQ3 2023","Currency=USD","Period=FQ","BEST_FPERIOD_OVERRIDE=FQ","FILING_STATUS=MR","SCALING_FORMAT=MLN","Sort=A","Dates=H","DateFormat=P","Fill=—","Direction=H","UseDPDF=Y")</f>
        <v>—</v>
      </c>
      <c r="W85" s="13">
        <f>_xll.BDH("ALNY US Equity","ARDR_RENTAL_EXP_YR3","FQ4 2023","FQ4 2023","Currency=USD","Period=FQ","BEST_FPERIOD_OVERRIDE=FQ","FILING_STATUS=MR","SCALING_FORMAT=MLN","Sort=A","Dates=H","DateFormat=P","Fill=—","Direction=H","UseDPDF=Y")</f>
        <v>40.648000000000003</v>
      </c>
      <c r="X85" s="13" t="str">
        <f>_xll.BDH("ALNY US Equity","ARDR_RENTAL_EXP_YR3","FQ1 2024","FQ1 2024","Currency=USD","Period=FQ","BEST_FPERIOD_OVERRIDE=FQ","FILING_STATUS=MR","SCALING_FORMAT=MLN","Sort=A","Dates=H","DateFormat=P","Fill=—","Direction=H","UseDPDF=Y")</f>
        <v>—</v>
      </c>
      <c r="Y85" s="13" t="str">
        <f>_xll.BDH("ALNY US Equity","ARDR_RENTAL_EXP_YR3","FQ2 2024","FQ2 2024","Currency=USD","Period=FQ","BEST_FPERIOD_OVERRIDE=FQ","FILING_STATUS=MR","SCALING_FORMAT=MLN","Sort=A","Dates=H","DateFormat=P","Fill=—","Direction=H","UseDPDF=Y")</f>
        <v>—</v>
      </c>
      <c r="Z85" s="13" t="str">
        <f>_xll.BDH("ALNY US Equity","ARDR_RENTAL_EXP_YR3","FQ3 2024","FQ3 2024","Currency=USD","Period=FQ","BEST_FPERIOD_OVERRIDE=FQ","FILING_STATUS=MR","SCALING_FORMAT=MLN","Sort=A","Dates=H","DateFormat=P","Fill=—","Direction=H","UseDPDF=Y")</f>
        <v>—</v>
      </c>
      <c r="AA85" s="13">
        <f>_xll.BDH("ALNY US Equity","ARDR_RENTAL_EXP_YR3","FQ4 2024","FQ4 2024","Currency=USD","Period=FQ","BEST_FPERIOD_OVERRIDE=FQ","FILING_STATUS=MR","SCALING_FORMAT=MLN","Sort=A","Dates=H","DateFormat=P","Fill=—","Direction=H","UseDPDF=Y")</f>
        <v>41.59</v>
      </c>
    </row>
    <row r="86" spans="1:27" x14ac:dyDescent="0.25">
      <c r="A86" s="10" t="s">
        <v>958</v>
      </c>
      <c r="B86" s="10" t="s">
        <v>959</v>
      </c>
      <c r="C86" s="13">
        <f>_xll.BDH("ALNY US Equity","ARDR_RENTAL_EXP_YR4","FQ4 2018","FQ4 2018","Currency=USD","Period=FQ","BEST_FPERIOD_OVERRIDE=FQ","FILING_STATUS=MR","SCALING_FORMAT=MLN","Sort=A","Dates=H","DateFormat=P","Fill=—","Direction=H","UseDPDF=Y")</f>
        <v>34.826000000000001</v>
      </c>
      <c r="D86" s="13">
        <f>_xll.BDH("ALNY US Equity","ARDR_RENTAL_EXP_YR4","FQ1 2019","FQ1 2019","Currency=USD","Period=FQ","BEST_FPERIOD_OVERRIDE=FQ","FILING_STATUS=MR","SCALING_FORMAT=MLN","Sort=A","Dates=H","DateFormat=P","Fill=—","Direction=H","UseDPDF=Y")</f>
        <v>35.880000000000003</v>
      </c>
      <c r="E86" s="13">
        <f>_xll.BDH("ALNY US Equity","ARDR_RENTAL_EXP_YR4","FQ2 2019","FQ2 2019","Currency=USD","Period=FQ","BEST_FPERIOD_OVERRIDE=FQ","FILING_STATUS=MR","SCALING_FORMAT=MLN","Sort=A","Dates=H","DateFormat=P","Fill=—","Direction=H","UseDPDF=Y")</f>
        <v>36.469000000000001</v>
      </c>
      <c r="F86" s="13">
        <f>_xll.BDH("ALNY US Equity","ARDR_RENTAL_EXP_YR4","FQ3 2019","FQ3 2019","Currency=USD","Period=FQ","BEST_FPERIOD_OVERRIDE=FQ","FILING_STATUS=MR","SCALING_FORMAT=MLN","Sort=A","Dates=H","DateFormat=P","Fill=—","Direction=H","UseDPDF=Y")</f>
        <v>36.51</v>
      </c>
      <c r="G86" s="13">
        <f>_xll.BDH("ALNY US Equity","ARDR_RENTAL_EXP_YR4","FQ4 2019","FQ4 2019","Currency=USD","Period=FQ","BEST_FPERIOD_OVERRIDE=FQ","FILING_STATUS=MR","SCALING_FORMAT=MLN","Sort=A","Dates=H","DateFormat=P","Fill=—","Direction=H","UseDPDF=Y")</f>
        <v>36.25</v>
      </c>
      <c r="H86" s="13" t="str">
        <f>_xll.BDH("ALNY US Equity","ARDR_RENTAL_EXP_YR4","FQ1 2020","FQ1 2020","Currency=USD","Period=FQ","BEST_FPERIOD_OVERRIDE=FQ","FILING_STATUS=MR","SCALING_FORMAT=MLN","Sort=A","Dates=H","DateFormat=P","Fill=—","Direction=H","UseDPDF=Y")</f>
        <v>—</v>
      </c>
      <c r="I86" s="13" t="str">
        <f>_xll.BDH("ALNY US Equity","ARDR_RENTAL_EXP_YR4","FQ2 2020","FQ2 2020","Currency=USD","Period=FQ","BEST_FPERIOD_OVERRIDE=FQ","FILING_STATUS=MR","SCALING_FORMAT=MLN","Sort=A","Dates=H","DateFormat=P","Fill=—","Direction=H","UseDPDF=Y")</f>
        <v>—</v>
      </c>
      <c r="J86" s="13" t="str">
        <f>_xll.BDH("ALNY US Equity","ARDR_RENTAL_EXP_YR4","FQ3 2020","FQ3 2020","Currency=USD","Period=FQ","BEST_FPERIOD_OVERRIDE=FQ","FILING_STATUS=MR","SCALING_FORMAT=MLN","Sort=A","Dates=H","DateFormat=P","Fill=—","Direction=H","UseDPDF=Y")</f>
        <v>—</v>
      </c>
      <c r="K86" s="13">
        <f>_xll.BDH("ALNY US Equity","ARDR_RENTAL_EXP_YR4","FQ4 2020","FQ4 2020","Currency=USD","Period=FQ","BEST_FPERIOD_OVERRIDE=FQ","FILING_STATUS=MR","SCALING_FORMAT=MLN","Sort=A","Dates=H","DateFormat=P","Fill=—","Direction=H","UseDPDF=Y")</f>
        <v>42.917999999999999</v>
      </c>
      <c r="L86" s="13" t="str">
        <f>_xll.BDH("ALNY US Equity","ARDR_RENTAL_EXP_YR4","FQ1 2021","FQ1 2021","Currency=USD","Period=FQ","BEST_FPERIOD_OVERRIDE=FQ","FILING_STATUS=MR","SCALING_FORMAT=MLN","Sort=A","Dates=H","DateFormat=P","Fill=—","Direction=H","UseDPDF=Y")</f>
        <v>—</v>
      </c>
      <c r="M86" s="13" t="str">
        <f>_xll.BDH("ALNY US Equity","ARDR_RENTAL_EXP_YR4","FQ2 2021","FQ2 2021","Currency=USD","Period=FQ","BEST_FPERIOD_OVERRIDE=FQ","FILING_STATUS=MR","SCALING_FORMAT=MLN","Sort=A","Dates=H","DateFormat=P","Fill=—","Direction=H","UseDPDF=Y")</f>
        <v>—</v>
      </c>
      <c r="N86" s="13" t="str">
        <f>_xll.BDH("ALNY US Equity","ARDR_RENTAL_EXP_YR4","FQ3 2021","FQ3 2021","Currency=USD","Period=FQ","BEST_FPERIOD_OVERRIDE=FQ","FILING_STATUS=MR","SCALING_FORMAT=MLN","Sort=A","Dates=H","DateFormat=P","Fill=—","Direction=H","UseDPDF=Y")</f>
        <v>—</v>
      </c>
      <c r="O86" s="13">
        <f>_xll.BDH("ALNY US Equity","ARDR_RENTAL_EXP_YR4","FQ4 2021","FQ4 2021","Currency=USD","Period=FQ","BEST_FPERIOD_OVERRIDE=FQ","FILING_STATUS=MR","SCALING_FORMAT=MLN","Sort=A","Dates=H","DateFormat=P","Fill=—","Direction=H","UseDPDF=Y")</f>
        <v>42.936</v>
      </c>
      <c r="P86" s="13" t="str">
        <f>_xll.BDH("ALNY US Equity","ARDR_RENTAL_EXP_YR4","FQ1 2022","FQ1 2022","Currency=USD","Period=FQ","BEST_FPERIOD_OVERRIDE=FQ","FILING_STATUS=MR","SCALING_FORMAT=MLN","Sort=A","Dates=H","DateFormat=P","Fill=—","Direction=H","UseDPDF=Y")</f>
        <v>—</v>
      </c>
      <c r="Q86" s="13" t="str">
        <f>_xll.BDH("ALNY US Equity","ARDR_RENTAL_EXP_YR4","FQ2 2022","FQ2 2022","Currency=USD","Period=FQ","BEST_FPERIOD_OVERRIDE=FQ","FILING_STATUS=MR","SCALING_FORMAT=MLN","Sort=A","Dates=H","DateFormat=P","Fill=—","Direction=H","UseDPDF=Y")</f>
        <v>—</v>
      </c>
      <c r="R86" s="13" t="str">
        <f>_xll.BDH("ALNY US Equity","ARDR_RENTAL_EXP_YR4","FQ3 2022","FQ3 2022","Currency=USD","Period=FQ","BEST_FPERIOD_OVERRIDE=FQ","FILING_STATUS=MR","SCALING_FORMAT=MLN","Sort=A","Dates=H","DateFormat=P","Fill=—","Direction=H","UseDPDF=Y")</f>
        <v>—</v>
      </c>
      <c r="S86" s="13">
        <f>_xll.BDH("ALNY US Equity","ARDR_RENTAL_EXP_YR4","FQ4 2022","FQ4 2022","Currency=USD","Period=FQ","BEST_FPERIOD_OVERRIDE=FQ","FILING_STATUS=MR","SCALING_FORMAT=MLN","Sort=A","Dates=H","DateFormat=P","Fill=—","Direction=H","UseDPDF=Y")</f>
        <v>40.375999999999998</v>
      </c>
      <c r="T86" s="13" t="str">
        <f>_xll.BDH("ALNY US Equity","ARDR_RENTAL_EXP_YR4","FQ1 2023","FQ1 2023","Currency=USD","Period=FQ","BEST_FPERIOD_OVERRIDE=FQ","FILING_STATUS=MR","SCALING_FORMAT=MLN","Sort=A","Dates=H","DateFormat=P","Fill=—","Direction=H","UseDPDF=Y")</f>
        <v>—</v>
      </c>
      <c r="U86" s="13" t="str">
        <f>_xll.BDH("ALNY US Equity","ARDR_RENTAL_EXP_YR4","FQ2 2023","FQ2 2023","Currency=USD","Period=FQ","BEST_FPERIOD_OVERRIDE=FQ","FILING_STATUS=MR","SCALING_FORMAT=MLN","Sort=A","Dates=H","DateFormat=P","Fill=—","Direction=H","UseDPDF=Y")</f>
        <v>—</v>
      </c>
      <c r="V86" s="13" t="str">
        <f>_xll.BDH("ALNY US Equity","ARDR_RENTAL_EXP_YR4","FQ3 2023","FQ3 2023","Currency=USD","Period=FQ","BEST_FPERIOD_OVERRIDE=FQ","FILING_STATUS=MR","SCALING_FORMAT=MLN","Sort=A","Dates=H","DateFormat=P","Fill=—","Direction=H","UseDPDF=Y")</f>
        <v>—</v>
      </c>
      <c r="W86" s="13">
        <f>_xll.BDH("ALNY US Equity","ARDR_RENTAL_EXP_YR4","FQ4 2023","FQ4 2023","Currency=USD","Period=FQ","BEST_FPERIOD_OVERRIDE=FQ","FILING_STATUS=MR","SCALING_FORMAT=MLN","Sort=A","Dates=H","DateFormat=P","Fill=—","Direction=H","UseDPDF=Y")</f>
        <v>39.006</v>
      </c>
      <c r="X86" s="13" t="str">
        <f>_xll.BDH("ALNY US Equity","ARDR_RENTAL_EXP_YR4","FQ1 2024","FQ1 2024","Currency=USD","Period=FQ","BEST_FPERIOD_OVERRIDE=FQ","FILING_STATUS=MR","SCALING_FORMAT=MLN","Sort=A","Dates=H","DateFormat=P","Fill=—","Direction=H","UseDPDF=Y")</f>
        <v>—</v>
      </c>
      <c r="Y86" s="13" t="str">
        <f>_xll.BDH("ALNY US Equity","ARDR_RENTAL_EXP_YR4","FQ2 2024","FQ2 2024","Currency=USD","Period=FQ","BEST_FPERIOD_OVERRIDE=FQ","FILING_STATUS=MR","SCALING_FORMAT=MLN","Sort=A","Dates=H","DateFormat=P","Fill=—","Direction=H","UseDPDF=Y")</f>
        <v>—</v>
      </c>
      <c r="Z86" s="13" t="str">
        <f>_xll.BDH("ALNY US Equity","ARDR_RENTAL_EXP_YR4","FQ3 2024","FQ3 2024","Currency=USD","Period=FQ","BEST_FPERIOD_OVERRIDE=FQ","FILING_STATUS=MR","SCALING_FORMAT=MLN","Sort=A","Dates=H","DateFormat=P","Fill=—","Direction=H","UseDPDF=Y")</f>
        <v>—</v>
      </c>
      <c r="AA86" s="13">
        <f>_xll.BDH("ALNY US Equity","ARDR_RENTAL_EXP_YR4","FQ4 2024","FQ4 2024","Currency=USD","Period=FQ","BEST_FPERIOD_OVERRIDE=FQ","FILING_STATUS=MR","SCALING_FORMAT=MLN","Sort=A","Dates=H","DateFormat=P","Fill=—","Direction=H","UseDPDF=Y")</f>
        <v>40.524999999999999</v>
      </c>
    </row>
    <row r="87" spans="1:27" x14ac:dyDescent="0.25">
      <c r="A87" s="10" t="s">
        <v>960</v>
      </c>
      <c r="B87" s="10" t="s">
        <v>961</v>
      </c>
      <c r="C87" s="13">
        <f>_xll.BDH("ALNY US Equity","ARDR_RENTAL_EXP_YR5","FQ4 2018","FQ4 2018","Currency=USD","Period=FQ","BEST_FPERIOD_OVERRIDE=FQ","FILING_STATUS=MR","SCALING_FORMAT=MLN","Sort=A","Dates=H","DateFormat=P","Fill=—","Direction=H","UseDPDF=Y")</f>
        <v>35.270000000000003</v>
      </c>
      <c r="D87" s="13">
        <f>_xll.BDH("ALNY US Equity","ARDR_RENTAL_EXP_YR5","FQ1 2019","FQ1 2019","Currency=USD","Period=FQ","BEST_FPERIOD_OVERRIDE=FQ","FILING_STATUS=MR","SCALING_FORMAT=MLN","Sort=A","Dates=H","DateFormat=P","Fill=—","Direction=H","UseDPDF=Y")</f>
        <v>35.575000000000003</v>
      </c>
      <c r="E87" s="13">
        <f>_xll.BDH("ALNY US Equity","ARDR_RENTAL_EXP_YR5","FQ2 2019","FQ2 2019","Currency=USD","Period=FQ","BEST_FPERIOD_OVERRIDE=FQ","FILING_STATUS=MR","SCALING_FORMAT=MLN","Sort=A","Dates=H","DateFormat=P","Fill=—","Direction=H","UseDPDF=Y")</f>
        <v>35.585000000000001</v>
      </c>
      <c r="F87" s="13">
        <f>_xll.BDH("ALNY US Equity","ARDR_RENTAL_EXP_YR5","FQ3 2019","FQ3 2019","Currency=USD","Period=FQ","BEST_FPERIOD_OVERRIDE=FQ","FILING_STATUS=MR","SCALING_FORMAT=MLN","Sort=A","Dates=H","DateFormat=P","Fill=—","Direction=H","UseDPDF=Y")</f>
        <v>35.576000000000001</v>
      </c>
      <c r="G87" s="13">
        <f>_xll.BDH("ALNY US Equity","ARDR_RENTAL_EXP_YR5","FQ4 2019","FQ4 2019","Currency=USD","Period=FQ","BEST_FPERIOD_OVERRIDE=FQ","FILING_STATUS=MR","SCALING_FORMAT=MLN","Sort=A","Dates=H","DateFormat=P","Fill=—","Direction=H","UseDPDF=Y")</f>
        <v>35.381</v>
      </c>
      <c r="H87" s="13" t="str">
        <f>_xll.BDH("ALNY US Equity","ARDR_RENTAL_EXP_YR5","FQ1 2020","FQ1 2020","Currency=USD","Period=FQ","BEST_FPERIOD_OVERRIDE=FQ","FILING_STATUS=MR","SCALING_FORMAT=MLN","Sort=A","Dates=H","DateFormat=P","Fill=—","Direction=H","UseDPDF=Y")</f>
        <v>—</v>
      </c>
      <c r="I87" s="13" t="str">
        <f>_xll.BDH("ALNY US Equity","ARDR_RENTAL_EXP_YR5","FQ2 2020","FQ2 2020","Currency=USD","Period=FQ","BEST_FPERIOD_OVERRIDE=FQ","FILING_STATUS=MR","SCALING_FORMAT=MLN","Sort=A","Dates=H","DateFormat=P","Fill=—","Direction=H","UseDPDF=Y")</f>
        <v>—</v>
      </c>
      <c r="J87" s="13" t="str">
        <f>_xll.BDH("ALNY US Equity","ARDR_RENTAL_EXP_YR5","FQ3 2020","FQ3 2020","Currency=USD","Period=FQ","BEST_FPERIOD_OVERRIDE=FQ","FILING_STATUS=MR","SCALING_FORMAT=MLN","Sort=A","Dates=H","DateFormat=P","Fill=—","Direction=H","UseDPDF=Y")</f>
        <v>—</v>
      </c>
      <c r="K87" s="13">
        <f>_xll.BDH("ALNY US Equity","ARDR_RENTAL_EXP_YR5","FQ4 2020","FQ4 2020","Currency=USD","Period=FQ","BEST_FPERIOD_OVERRIDE=FQ","FILING_STATUS=MR","SCALING_FORMAT=MLN","Sort=A","Dates=H","DateFormat=P","Fill=—","Direction=H","UseDPDF=Y")</f>
        <v>41.19</v>
      </c>
      <c r="L87" s="13" t="str">
        <f>_xll.BDH("ALNY US Equity","ARDR_RENTAL_EXP_YR5","FQ1 2021","FQ1 2021","Currency=USD","Period=FQ","BEST_FPERIOD_OVERRIDE=FQ","FILING_STATUS=MR","SCALING_FORMAT=MLN","Sort=A","Dates=H","DateFormat=P","Fill=—","Direction=H","UseDPDF=Y")</f>
        <v>—</v>
      </c>
      <c r="M87" s="13" t="str">
        <f>_xll.BDH("ALNY US Equity","ARDR_RENTAL_EXP_YR5","FQ2 2021","FQ2 2021","Currency=USD","Period=FQ","BEST_FPERIOD_OVERRIDE=FQ","FILING_STATUS=MR","SCALING_FORMAT=MLN","Sort=A","Dates=H","DateFormat=P","Fill=—","Direction=H","UseDPDF=Y")</f>
        <v>—</v>
      </c>
      <c r="N87" s="13" t="str">
        <f>_xll.BDH("ALNY US Equity","ARDR_RENTAL_EXP_YR5","FQ3 2021","FQ3 2021","Currency=USD","Period=FQ","BEST_FPERIOD_OVERRIDE=FQ","FILING_STATUS=MR","SCALING_FORMAT=MLN","Sort=A","Dates=H","DateFormat=P","Fill=—","Direction=H","UseDPDF=Y")</f>
        <v>—</v>
      </c>
      <c r="O87" s="13">
        <f>_xll.BDH("ALNY US Equity","ARDR_RENTAL_EXP_YR5","FQ4 2021","FQ4 2021","Currency=USD","Period=FQ","BEST_FPERIOD_OVERRIDE=FQ","FILING_STATUS=MR","SCALING_FORMAT=MLN","Sort=A","Dates=H","DateFormat=P","Fill=—","Direction=H","UseDPDF=Y")</f>
        <v>40.246000000000002</v>
      </c>
      <c r="P87" s="13" t="str">
        <f>_xll.BDH("ALNY US Equity","ARDR_RENTAL_EXP_YR5","FQ1 2022","FQ1 2022","Currency=USD","Period=FQ","BEST_FPERIOD_OVERRIDE=FQ","FILING_STATUS=MR","SCALING_FORMAT=MLN","Sort=A","Dates=H","DateFormat=P","Fill=—","Direction=H","UseDPDF=Y")</f>
        <v>—</v>
      </c>
      <c r="Q87" s="13" t="str">
        <f>_xll.BDH("ALNY US Equity","ARDR_RENTAL_EXP_YR5","FQ2 2022","FQ2 2022","Currency=USD","Period=FQ","BEST_FPERIOD_OVERRIDE=FQ","FILING_STATUS=MR","SCALING_FORMAT=MLN","Sort=A","Dates=H","DateFormat=P","Fill=—","Direction=H","UseDPDF=Y")</f>
        <v>—</v>
      </c>
      <c r="R87" s="13" t="str">
        <f>_xll.BDH("ALNY US Equity","ARDR_RENTAL_EXP_YR5","FQ3 2022","FQ3 2022","Currency=USD","Period=FQ","BEST_FPERIOD_OVERRIDE=FQ","FILING_STATUS=MR","SCALING_FORMAT=MLN","Sort=A","Dates=H","DateFormat=P","Fill=—","Direction=H","UseDPDF=Y")</f>
        <v>—</v>
      </c>
      <c r="S87" s="13">
        <f>_xll.BDH("ALNY US Equity","ARDR_RENTAL_EXP_YR5","FQ4 2022","FQ4 2022","Currency=USD","Period=FQ","BEST_FPERIOD_OVERRIDE=FQ","FILING_STATUS=MR","SCALING_FORMAT=MLN","Sort=A","Dates=H","DateFormat=P","Fill=—","Direction=H","UseDPDF=Y")</f>
        <v>38.753</v>
      </c>
      <c r="T87" s="13" t="str">
        <f>_xll.BDH("ALNY US Equity","ARDR_RENTAL_EXP_YR5","FQ1 2023","FQ1 2023","Currency=USD","Period=FQ","BEST_FPERIOD_OVERRIDE=FQ","FILING_STATUS=MR","SCALING_FORMAT=MLN","Sort=A","Dates=H","DateFormat=P","Fill=—","Direction=H","UseDPDF=Y")</f>
        <v>—</v>
      </c>
      <c r="U87" s="13" t="str">
        <f>_xll.BDH("ALNY US Equity","ARDR_RENTAL_EXP_YR5","FQ2 2023","FQ2 2023","Currency=USD","Period=FQ","BEST_FPERIOD_OVERRIDE=FQ","FILING_STATUS=MR","SCALING_FORMAT=MLN","Sort=A","Dates=H","DateFormat=P","Fill=—","Direction=H","UseDPDF=Y")</f>
        <v>—</v>
      </c>
      <c r="V87" s="13" t="str">
        <f>_xll.BDH("ALNY US Equity","ARDR_RENTAL_EXP_YR5","FQ3 2023","FQ3 2023","Currency=USD","Period=FQ","BEST_FPERIOD_OVERRIDE=FQ","FILING_STATUS=MR","SCALING_FORMAT=MLN","Sort=A","Dates=H","DateFormat=P","Fill=—","Direction=H","UseDPDF=Y")</f>
        <v>—</v>
      </c>
      <c r="W87" s="13">
        <f>_xll.BDH("ALNY US Equity","ARDR_RENTAL_EXP_YR5","FQ4 2023","FQ4 2023","Currency=USD","Period=FQ","BEST_FPERIOD_OVERRIDE=FQ","FILING_STATUS=MR","SCALING_FORMAT=MLN","Sort=A","Dates=H","DateFormat=P","Fill=—","Direction=H","UseDPDF=Y")</f>
        <v>38.357999999999997</v>
      </c>
      <c r="X87" s="13" t="str">
        <f>_xll.BDH("ALNY US Equity","ARDR_RENTAL_EXP_YR5","FQ1 2024","FQ1 2024","Currency=USD","Period=FQ","BEST_FPERIOD_OVERRIDE=FQ","FILING_STATUS=MR","SCALING_FORMAT=MLN","Sort=A","Dates=H","DateFormat=P","Fill=—","Direction=H","UseDPDF=Y")</f>
        <v>—</v>
      </c>
      <c r="Y87" s="13" t="str">
        <f>_xll.BDH("ALNY US Equity","ARDR_RENTAL_EXP_YR5","FQ2 2024","FQ2 2024","Currency=USD","Period=FQ","BEST_FPERIOD_OVERRIDE=FQ","FILING_STATUS=MR","SCALING_FORMAT=MLN","Sort=A","Dates=H","DateFormat=P","Fill=—","Direction=H","UseDPDF=Y")</f>
        <v>—</v>
      </c>
      <c r="Z87" s="13" t="str">
        <f>_xll.BDH("ALNY US Equity","ARDR_RENTAL_EXP_YR5","FQ3 2024","FQ3 2024","Currency=USD","Period=FQ","BEST_FPERIOD_OVERRIDE=FQ","FILING_STATUS=MR","SCALING_FORMAT=MLN","Sort=A","Dates=H","DateFormat=P","Fill=—","Direction=H","UseDPDF=Y")</f>
        <v>—</v>
      </c>
      <c r="AA87" s="13">
        <f>_xll.BDH("ALNY US Equity","ARDR_RENTAL_EXP_YR5","FQ4 2024","FQ4 2024","Currency=USD","Period=FQ","BEST_FPERIOD_OVERRIDE=FQ","FILING_STATUS=MR","SCALING_FORMAT=MLN","Sort=A","Dates=H","DateFormat=P","Fill=—","Direction=H","UseDPDF=Y")</f>
        <v>40.365000000000002</v>
      </c>
    </row>
    <row r="88" spans="1:27" x14ac:dyDescent="0.25">
      <c r="A88" s="10" t="s">
        <v>962</v>
      </c>
      <c r="B88" s="10" t="s">
        <v>963</v>
      </c>
      <c r="C88" s="13">
        <f>_xll.BDH("ALNY US Equity","ARDR_RENTAL_EXP_BEYOND_YR5","FQ4 2018","FQ4 2018","Currency=USD","Period=FQ","BEST_FPERIOD_OVERRIDE=FQ","FILING_STATUS=MR","SCALING_FORMAT=MLN","Sort=A","Dates=H","DateFormat=P","Fill=—","Direction=H","UseDPDF=Y")</f>
        <v>390.45499999999998</v>
      </c>
      <c r="D88" s="13">
        <f>_xll.BDH("ALNY US Equity","ARDR_RENTAL_EXP_BEYOND_YR5","FQ1 2019","FQ1 2019","Currency=USD","Period=FQ","BEST_FPERIOD_OVERRIDE=FQ","FILING_STATUS=MR","SCALING_FORMAT=MLN","Sort=A","Dates=H","DateFormat=P","Fill=—","Direction=H","UseDPDF=Y")</f>
        <v>390.88499999999999</v>
      </c>
      <c r="E88" s="13">
        <f>_xll.BDH("ALNY US Equity","ARDR_RENTAL_EXP_BEYOND_YR5","FQ2 2019","FQ2 2019","Currency=USD","Period=FQ","BEST_FPERIOD_OVERRIDE=FQ","FILING_STATUS=MR","SCALING_FORMAT=MLN","Sort=A","Dates=H","DateFormat=P","Fill=—","Direction=H","UseDPDF=Y")</f>
        <v>390.97800000000001</v>
      </c>
      <c r="F88" s="13">
        <f>_xll.BDH("ALNY US Equity","ARDR_RENTAL_EXP_BEYOND_YR5","FQ3 2019","FQ3 2019","Currency=USD","Period=FQ","BEST_FPERIOD_OVERRIDE=FQ","FILING_STATUS=MR","SCALING_FORMAT=MLN","Sort=A","Dates=H","DateFormat=P","Fill=—","Direction=H","UseDPDF=Y")</f>
        <v>390.87799999999999</v>
      </c>
      <c r="G88" s="13">
        <f>_xll.BDH("ALNY US Equity","ARDR_RENTAL_EXP_BEYOND_YR5","FQ4 2019","FQ4 2019","Currency=USD","Period=FQ","BEST_FPERIOD_OVERRIDE=FQ","FILING_STATUS=MR","SCALING_FORMAT=MLN","Sort=A","Dates=H","DateFormat=P","Fill=—","Direction=H","UseDPDF=Y")</f>
        <v>356.56700000000001</v>
      </c>
      <c r="H88" s="13" t="str">
        <f>_xll.BDH("ALNY US Equity","ARDR_RENTAL_EXP_BEYOND_YR5","FQ1 2020","FQ1 2020","Currency=USD","Period=FQ","BEST_FPERIOD_OVERRIDE=FQ","FILING_STATUS=MR","SCALING_FORMAT=MLN","Sort=A","Dates=H","DateFormat=P","Fill=—","Direction=H","UseDPDF=Y")</f>
        <v>—</v>
      </c>
      <c r="I88" s="13" t="str">
        <f>_xll.BDH("ALNY US Equity","ARDR_RENTAL_EXP_BEYOND_YR5","FQ2 2020","FQ2 2020","Currency=USD","Period=FQ","BEST_FPERIOD_OVERRIDE=FQ","FILING_STATUS=MR","SCALING_FORMAT=MLN","Sort=A","Dates=H","DateFormat=P","Fill=—","Direction=H","UseDPDF=Y")</f>
        <v>—</v>
      </c>
      <c r="J88" s="13" t="str">
        <f>_xll.BDH("ALNY US Equity","ARDR_RENTAL_EXP_BEYOND_YR5","FQ3 2020","FQ3 2020","Currency=USD","Period=FQ","BEST_FPERIOD_OVERRIDE=FQ","FILING_STATUS=MR","SCALING_FORMAT=MLN","Sort=A","Dates=H","DateFormat=P","Fill=—","Direction=H","UseDPDF=Y")</f>
        <v>—</v>
      </c>
      <c r="K88" s="13">
        <f>_xll.BDH("ALNY US Equity","ARDR_RENTAL_EXP_BEYOND_YR5","FQ4 2020","FQ4 2020","Currency=USD","Period=FQ","BEST_FPERIOD_OVERRIDE=FQ","FILING_STATUS=MR","SCALING_FORMAT=MLN","Sort=A","Dates=H","DateFormat=P","Fill=—","Direction=H","UseDPDF=Y")</f>
        <v>323.47300000000001</v>
      </c>
      <c r="L88" s="13" t="str">
        <f>_xll.BDH("ALNY US Equity","ARDR_RENTAL_EXP_BEYOND_YR5","FQ1 2021","FQ1 2021","Currency=USD","Period=FQ","BEST_FPERIOD_OVERRIDE=FQ","FILING_STATUS=MR","SCALING_FORMAT=MLN","Sort=A","Dates=H","DateFormat=P","Fill=—","Direction=H","UseDPDF=Y")</f>
        <v>—</v>
      </c>
      <c r="M88" s="13" t="str">
        <f>_xll.BDH("ALNY US Equity","ARDR_RENTAL_EXP_BEYOND_YR5","FQ2 2021","FQ2 2021","Currency=USD","Period=FQ","BEST_FPERIOD_OVERRIDE=FQ","FILING_STATUS=MR","SCALING_FORMAT=MLN","Sort=A","Dates=H","DateFormat=P","Fill=—","Direction=H","UseDPDF=Y")</f>
        <v>—</v>
      </c>
      <c r="N88" s="13" t="str">
        <f>_xll.BDH("ALNY US Equity","ARDR_RENTAL_EXP_BEYOND_YR5","FQ3 2021","FQ3 2021","Currency=USD","Period=FQ","BEST_FPERIOD_OVERRIDE=FQ","FILING_STATUS=MR","SCALING_FORMAT=MLN","Sort=A","Dates=H","DateFormat=P","Fill=—","Direction=H","UseDPDF=Y")</f>
        <v>—</v>
      </c>
      <c r="O88" s="13">
        <f>_xll.BDH("ALNY US Equity","ARDR_RENTAL_EXP_BEYOND_YR5","FQ4 2021","FQ4 2021","Currency=USD","Period=FQ","BEST_FPERIOD_OVERRIDE=FQ","FILING_STATUS=MR","SCALING_FORMAT=MLN","Sort=A","Dates=H","DateFormat=P","Fill=—","Direction=H","UseDPDF=Y")</f>
        <v>287.01299999999998</v>
      </c>
      <c r="P88" s="13" t="str">
        <f>_xll.BDH("ALNY US Equity","ARDR_RENTAL_EXP_BEYOND_YR5","FQ1 2022","FQ1 2022","Currency=USD","Period=FQ","BEST_FPERIOD_OVERRIDE=FQ","FILING_STATUS=MR","SCALING_FORMAT=MLN","Sort=A","Dates=H","DateFormat=P","Fill=—","Direction=H","UseDPDF=Y")</f>
        <v>—</v>
      </c>
      <c r="Q88" s="13" t="str">
        <f>_xll.BDH("ALNY US Equity","ARDR_RENTAL_EXP_BEYOND_YR5","FQ2 2022","FQ2 2022","Currency=USD","Period=FQ","BEST_FPERIOD_OVERRIDE=FQ","FILING_STATUS=MR","SCALING_FORMAT=MLN","Sort=A","Dates=H","DateFormat=P","Fill=—","Direction=H","UseDPDF=Y")</f>
        <v>—</v>
      </c>
      <c r="R88" s="13" t="str">
        <f>_xll.BDH("ALNY US Equity","ARDR_RENTAL_EXP_BEYOND_YR5","FQ3 2022","FQ3 2022","Currency=USD","Period=FQ","BEST_FPERIOD_OVERRIDE=FQ","FILING_STATUS=MR","SCALING_FORMAT=MLN","Sort=A","Dates=H","DateFormat=P","Fill=—","Direction=H","UseDPDF=Y")</f>
        <v>—</v>
      </c>
      <c r="S88" s="13">
        <f>_xll.BDH("ALNY US Equity","ARDR_RENTAL_EXP_BEYOND_YR5","FQ4 2022","FQ4 2022","Currency=USD","Period=FQ","BEST_FPERIOD_OVERRIDE=FQ","FILING_STATUS=MR","SCALING_FORMAT=MLN","Sort=A","Dates=H","DateFormat=P","Fill=—","Direction=H","UseDPDF=Y")</f>
        <v>248.62200000000001</v>
      </c>
      <c r="T88" s="13" t="str">
        <f>_xll.BDH("ALNY US Equity","ARDR_RENTAL_EXP_BEYOND_YR5","FQ1 2023","FQ1 2023","Currency=USD","Period=FQ","BEST_FPERIOD_OVERRIDE=FQ","FILING_STATUS=MR","SCALING_FORMAT=MLN","Sort=A","Dates=H","DateFormat=P","Fill=—","Direction=H","UseDPDF=Y")</f>
        <v>—</v>
      </c>
      <c r="U88" s="13" t="str">
        <f>_xll.BDH("ALNY US Equity","ARDR_RENTAL_EXP_BEYOND_YR5","FQ2 2023","FQ2 2023","Currency=USD","Period=FQ","BEST_FPERIOD_OVERRIDE=FQ","FILING_STATUS=MR","SCALING_FORMAT=MLN","Sort=A","Dates=H","DateFormat=P","Fill=—","Direction=H","UseDPDF=Y")</f>
        <v>—</v>
      </c>
      <c r="V88" s="13" t="str">
        <f>_xll.BDH("ALNY US Equity","ARDR_RENTAL_EXP_BEYOND_YR5","FQ3 2023","FQ3 2023","Currency=USD","Period=FQ","BEST_FPERIOD_OVERRIDE=FQ","FILING_STATUS=MR","SCALING_FORMAT=MLN","Sort=A","Dates=H","DateFormat=P","Fill=—","Direction=H","UseDPDF=Y")</f>
        <v>—</v>
      </c>
      <c r="W88" s="13">
        <f>_xll.BDH("ALNY US Equity","ARDR_RENTAL_EXP_BEYOND_YR5","FQ4 2023","FQ4 2023","Currency=USD","Period=FQ","BEST_FPERIOD_OVERRIDE=FQ","FILING_STATUS=MR","SCALING_FORMAT=MLN","Sort=A","Dates=H","DateFormat=P","Fill=—","Direction=H","UseDPDF=Y")</f>
        <v>210.07300000000001</v>
      </c>
      <c r="X88" s="13" t="str">
        <f>_xll.BDH("ALNY US Equity","ARDR_RENTAL_EXP_BEYOND_YR5","FQ1 2024","FQ1 2024","Currency=USD","Period=FQ","BEST_FPERIOD_OVERRIDE=FQ","FILING_STATUS=MR","SCALING_FORMAT=MLN","Sort=A","Dates=H","DateFormat=P","Fill=—","Direction=H","UseDPDF=Y")</f>
        <v>—</v>
      </c>
      <c r="Y88" s="13" t="str">
        <f>_xll.BDH("ALNY US Equity","ARDR_RENTAL_EXP_BEYOND_YR5","FQ2 2024","FQ2 2024","Currency=USD","Period=FQ","BEST_FPERIOD_OVERRIDE=FQ","FILING_STATUS=MR","SCALING_FORMAT=MLN","Sort=A","Dates=H","DateFormat=P","Fill=—","Direction=H","UseDPDF=Y")</f>
        <v>—</v>
      </c>
      <c r="Z88" s="13" t="str">
        <f>_xll.BDH("ALNY US Equity","ARDR_RENTAL_EXP_BEYOND_YR5","FQ3 2024","FQ3 2024","Currency=USD","Period=FQ","BEST_FPERIOD_OVERRIDE=FQ","FILING_STATUS=MR","SCALING_FORMAT=MLN","Sort=A","Dates=H","DateFormat=P","Fill=—","Direction=H","UseDPDF=Y")</f>
        <v>—</v>
      </c>
      <c r="AA88" s="13">
        <f>_xll.BDH("ALNY US Equity","ARDR_RENTAL_EXP_BEYOND_YR5","FQ4 2024","FQ4 2024","Currency=USD","Period=FQ","BEST_FPERIOD_OVERRIDE=FQ","FILING_STATUS=MR","SCALING_FORMAT=MLN","Sort=A","Dates=H","DateFormat=P","Fill=—","Direction=H","UseDPDF=Y")</f>
        <v>172.44499999999999</v>
      </c>
    </row>
    <row r="89" spans="1:27" x14ac:dyDescent="0.25">
      <c r="A89" s="10" t="s">
        <v>902</v>
      </c>
      <c r="B89" s="10" t="s">
        <v>964</v>
      </c>
      <c r="C89" s="13">
        <f>_xll.BDH("ALNY US Equity","ARDR_TOTAL_SHAREHOLDERS_EQUITY","FQ4 2018","FQ4 2018","Currency=USD","Period=FQ","BEST_FPERIOD_OVERRIDE=FQ","FILING_STATUS=MR","SCALING_FORMAT=MLN","Sort=A","Dates=H","DateFormat=P","Fill=—","Direction=H","UseDPDF=Y")</f>
        <v>1301.9649999999999</v>
      </c>
      <c r="D89" s="13">
        <f>_xll.BDH("ALNY US Equity","ARDR_TOTAL_SHAREHOLDERS_EQUITY","FQ1 2019","FQ1 2019","Currency=USD","Period=FQ","BEST_FPERIOD_OVERRIDE=FQ","FILING_STATUS=MR","SCALING_FORMAT=MLN","Sort=A","Dates=H","DateFormat=P","Fill=—","Direction=H","UseDPDF=Y")</f>
        <v>1546.9860000000001</v>
      </c>
      <c r="E89" s="13">
        <f>_xll.BDH("ALNY US Equity","ARDR_TOTAL_SHAREHOLDERS_EQUITY","FQ2 2019","FQ2 2019","Currency=USD","Period=FQ","BEST_FPERIOD_OVERRIDE=FQ","FILING_STATUS=MR","SCALING_FORMAT=MLN","Sort=A","Dates=H","DateFormat=P","Fill=—","Direction=H","UseDPDF=Y")</f>
        <v>1757.1949999999999</v>
      </c>
      <c r="F89" s="13">
        <f>_xll.BDH("ALNY US Equity","ARDR_TOTAL_SHAREHOLDERS_EQUITY","FQ3 2019","FQ3 2019","Currency=USD","Period=FQ","BEST_FPERIOD_OVERRIDE=FQ","FILING_STATUS=MR","SCALING_FORMAT=MLN","Sort=A","Dates=H","DateFormat=P","Fill=—","Direction=H","UseDPDF=Y")</f>
        <v>1607.087</v>
      </c>
      <c r="G89" s="13">
        <f>_xll.BDH("ALNY US Equity","ARDR_TOTAL_SHAREHOLDERS_EQUITY","FQ4 2019","FQ4 2019","Currency=USD","Period=FQ","BEST_FPERIOD_OVERRIDE=FQ","FILING_STATUS=MR","SCALING_FORMAT=MLN","Sort=A","Dates=H","DateFormat=P","Fill=—","Direction=H","UseDPDF=Y")</f>
        <v>1438.692</v>
      </c>
      <c r="H89" s="13">
        <f>_xll.BDH("ALNY US Equity","ARDR_TOTAL_SHAREHOLDERS_EQUITY","FQ1 2020","FQ1 2020","Currency=USD","Period=FQ","BEST_FPERIOD_OVERRIDE=FQ","FILING_STATUS=MR","SCALING_FORMAT=MLN","Sort=A","Dates=H","DateFormat=P","Fill=—","Direction=H","UseDPDF=Y")</f>
        <v>1349.729</v>
      </c>
      <c r="I89" s="13">
        <f>_xll.BDH("ALNY US Equity","ARDR_TOTAL_SHAREHOLDERS_EQUITY","FQ2 2020","FQ2 2020","Currency=USD","Period=FQ","BEST_FPERIOD_OVERRIDE=FQ","FILING_STATUS=MR","SCALING_FORMAT=MLN","Sort=A","Dates=H","DateFormat=P","Fill=—","Direction=H","UseDPDF=Y")</f>
        <v>1399.7260000000001</v>
      </c>
      <c r="J89" s="13">
        <f>_xll.BDH("ALNY US Equity","ARDR_TOTAL_SHAREHOLDERS_EQUITY","FQ3 2020","FQ3 2020","Currency=USD","Period=FQ","BEST_FPERIOD_OVERRIDE=FQ","FILING_STATUS=MR","SCALING_FORMAT=MLN","Sort=A","Dates=H","DateFormat=P","Fill=—","Direction=H","UseDPDF=Y")</f>
        <v>1215.0229999999999</v>
      </c>
      <c r="K89" s="13">
        <f>_xll.BDH("ALNY US Equity","ARDR_TOTAL_SHAREHOLDERS_EQUITY","FQ4 2020","FQ4 2020","Currency=USD","Period=FQ","BEST_FPERIOD_OVERRIDE=FQ","FILING_STATUS=MR","SCALING_FORMAT=MLN","Sort=A","Dates=H","DateFormat=P","Fill=—","Direction=H","UseDPDF=Y")</f>
        <v>1016.247</v>
      </c>
      <c r="L89" s="13">
        <f>_xll.BDH("ALNY US Equity","ARDR_TOTAL_SHAREHOLDERS_EQUITY","FQ1 2021","FQ1 2021","Currency=USD","Period=FQ","BEST_FPERIOD_OVERRIDE=FQ","FILING_STATUS=MR","SCALING_FORMAT=MLN","Sort=A","Dates=H","DateFormat=P","Fill=—","Direction=H","UseDPDF=Y")</f>
        <v>926.19</v>
      </c>
      <c r="M89" s="13">
        <f>_xll.BDH("ALNY US Equity","ARDR_TOTAL_SHAREHOLDERS_EQUITY","FQ2 2021","FQ2 2021","Currency=USD","Period=FQ","BEST_FPERIOD_OVERRIDE=FQ","FILING_STATUS=MR","SCALING_FORMAT=MLN","Sort=A","Dates=H","DateFormat=P","Fill=—","Direction=H","UseDPDF=Y")</f>
        <v>853.36199999999997</v>
      </c>
      <c r="N89" s="13">
        <f>_xll.BDH("ALNY US Equity","ARDR_TOTAL_SHAREHOLDERS_EQUITY","FQ3 2021","FQ3 2021","Currency=USD","Period=FQ","BEST_FPERIOD_OVERRIDE=FQ","FILING_STATUS=MR","SCALING_FORMAT=MLN","Sort=A","Dates=H","DateFormat=P","Fill=—","Direction=H","UseDPDF=Y")</f>
        <v>755.89300000000003</v>
      </c>
      <c r="O89" s="13">
        <f>_xll.BDH("ALNY US Equity","ARDR_TOTAL_SHAREHOLDERS_EQUITY","FQ4 2021","FQ4 2021","Currency=USD","Period=FQ","BEST_FPERIOD_OVERRIDE=FQ","FILING_STATUS=MR","SCALING_FORMAT=MLN","Sort=A","Dates=H","DateFormat=P","Fill=—","Direction=H","UseDPDF=Y")</f>
        <v>588.20299999999997</v>
      </c>
      <c r="P89" s="13">
        <f>_xll.BDH("ALNY US Equity","ARDR_TOTAL_SHAREHOLDERS_EQUITY","FQ1 2022","FQ1 2022","Currency=USD","Period=FQ","BEST_FPERIOD_OVERRIDE=FQ","FILING_STATUS=MR","SCALING_FORMAT=MLN","Sort=A","Dates=H","DateFormat=P","Fill=—","Direction=H","UseDPDF=Y")</f>
        <v>401.166</v>
      </c>
      <c r="Q89" s="13">
        <f>_xll.BDH("ALNY US Equity","ARDR_TOTAL_SHAREHOLDERS_EQUITY","FQ2 2022","FQ2 2022","Currency=USD","Period=FQ","BEST_FPERIOD_OVERRIDE=FQ","FILING_STATUS=MR","SCALING_FORMAT=MLN","Sort=A","Dates=H","DateFormat=P","Fill=—","Direction=H","UseDPDF=Y")</f>
        <v>176.04</v>
      </c>
      <c r="R89" s="13">
        <f>_xll.BDH("ALNY US Equity","ARDR_TOTAL_SHAREHOLDERS_EQUITY","FQ3 2022","FQ3 2022","Currency=USD","Period=FQ","BEST_FPERIOD_OVERRIDE=FQ","FILING_STATUS=MR","SCALING_FORMAT=MLN","Sort=A","Dates=H","DateFormat=P","Fill=—","Direction=H","UseDPDF=Y")</f>
        <v>-67.638000000000005</v>
      </c>
      <c r="S89" s="13">
        <f>_xll.BDH("ALNY US Equity","ARDR_TOTAL_SHAREHOLDERS_EQUITY","FQ4 2022","FQ4 2022","Currency=USD","Period=FQ","BEST_FPERIOD_OVERRIDE=FQ","FILING_STATUS=MR","SCALING_FORMAT=MLN","Sort=A","Dates=H","DateFormat=P","Fill=—","Direction=H","UseDPDF=Y")</f>
        <v>-158.22300000000001</v>
      </c>
      <c r="T89" s="13">
        <f>_xll.BDH("ALNY US Equity","ARDR_TOTAL_SHAREHOLDERS_EQUITY","FQ1 2023","FQ1 2023","Currency=USD","Period=FQ","BEST_FPERIOD_OVERRIDE=FQ","FILING_STATUS=MR","SCALING_FORMAT=MLN","Sort=A","Dates=H","DateFormat=P","Fill=—","Direction=H","UseDPDF=Y")</f>
        <v>-259.24</v>
      </c>
      <c r="U89" s="13">
        <f>_xll.BDH("ALNY US Equity","ARDR_TOTAL_SHAREHOLDERS_EQUITY","FQ2 2023","FQ2 2023","Currency=USD","Period=FQ","BEST_FPERIOD_OVERRIDE=FQ","FILING_STATUS=MR","SCALING_FORMAT=MLN","Sort=A","Dates=H","DateFormat=P","Fill=—","Direction=H","UseDPDF=Y")</f>
        <v>-408.13099999999997</v>
      </c>
      <c r="V89" s="13">
        <f>_xll.BDH("ALNY US Equity","ARDR_TOTAL_SHAREHOLDERS_EQUITY","FQ3 2023","FQ3 2023","Currency=USD","Period=FQ","BEST_FPERIOD_OVERRIDE=FQ","FILING_STATUS=MR","SCALING_FORMAT=MLN","Sort=A","Dates=H","DateFormat=P","Fill=—","Direction=H","UseDPDF=Y")</f>
        <v>-165.86600000000001</v>
      </c>
      <c r="W89" s="13">
        <f>_xll.BDH("ALNY US Equity","ARDR_TOTAL_SHAREHOLDERS_EQUITY","FQ4 2023","FQ4 2023","Currency=USD","Period=FQ","BEST_FPERIOD_OVERRIDE=FQ","FILING_STATUS=MR","SCALING_FORMAT=MLN","Sort=A","Dates=H","DateFormat=P","Fill=—","Direction=H","UseDPDF=Y")</f>
        <v>-220.64400000000001</v>
      </c>
      <c r="X89" s="13">
        <f>_xll.BDH("ALNY US Equity","ARDR_TOTAL_SHAREHOLDERS_EQUITY","FQ1 2024","FQ1 2024","Currency=USD","Period=FQ","BEST_FPERIOD_OVERRIDE=FQ","FILING_STATUS=MR","SCALING_FORMAT=MLN","Sort=A","Dates=H","DateFormat=P","Fill=—","Direction=H","UseDPDF=Y")</f>
        <v>-219.27199999999999</v>
      </c>
      <c r="Y89" s="13">
        <f>_xll.BDH("ALNY US Equity","ARDR_TOTAL_SHAREHOLDERS_EQUITY","FQ2 2024","FQ2 2024","Currency=USD","Period=FQ","BEST_FPERIOD_OVERRIDE=FQ","FILING_STATUS=MR","SCALING_FORMAT=MLN","Sort=A","Dates=H","DateFormat=P","Fill=—","Direction=H","UseDPDF=Y")</f>
        <v>-3.0670000000000002</v>
      </c>
      <c r="Z89" s="13">
        <f>_xll.BDH("ALNY US Equity","ARDR_TOTAL_SHAREHOLDERS_EQUITY","FQ3 2024","FQ3 2024","Currency=USD","Period=FQ","BEST_FPERIOD_OVERRIDE=FQ","FILING_STATUS=MR","SCALING_FORMAT=MLN","Sort=A","Dates=H","DateFormat=P","Fill=—","Direction=H","UseDPDF=Y")</f>
        <v>32.353999999999999</v>
      </c>
      <c r="AA89" s="13">
        <f>_xll.BDH("ALNY US Equity","ARDR_TOTAL_SHAREHOLDERS_EQUITY","FQ4 2024","FQ4 2024","Currency=USD","Period=FQ","BEST_FPERIOD_OVERRIDE=FQ","FILING_STATUS=MR","SCALING_FORMAT=MLN","Sort=A","Dates=H","DateFormat=P","Fill=—","Direction=H","UseDPDF=Y")</f>
        <v>67.087999999999994</v>
      </c>
    </row>
    <row r="90" spans="1:27" x14ac:dyDescent="0.25">
      <c r="A90" s="10" t="s">
        <v>965</v>
      </c>
      <c r="B90" s="10" t="s">
        <v>966</v>
      </c>
      <c r="C90" s="13">
        <f>_xll.BDH("ALNY US Equity","ARDR_CAPITALIZED_SOFTWARE_GROSS","FQ4 2018","FQ4 2018","Currency=USD","Period=FQ","BEST_FPERIOD_OVERRIDE=FQ","FILING_STATUS=MR","SCALING_FORMAT=MLN","Sort=A","Dates=H","DateFormat=P","Fill=—","Direction=H","UseDPDF=Y")</f>
        <v>13.494999999999999</v>
      </c>
      <c r="D90" s="13" t="str">
        <f>_xll.BDH("ALNY US Equity","ARDR_CAPITALIZED_SOFTWARE_GROSS","FQ1 2019","FQ1 2019","Currency=USD","Period=FQ","BEST_FPERIOD_OVERRIDE=FQ","FILING_STATUS=MR","SCALING_FORMAT=MLN","Sort=A","Dates=H","DateFormat=P","Fill=—","Direction=H","UseDPDF=Y")</f>
        <v>—</v>
      </c>
      <c r="E90" s="13" t="str">
        <f>_xll.BDH("ALNY US Equity","ARDR_CAPITALIZED_SOFTWARE_GROSS","FQ2 2019","FQ2 2019","Currency=USD","Period=FQ","BEST_FPERIOD_OVERRIDE=FQ","FILING_STATUS=MR","SCALING_FORMAT=MLN","Sort=A","Dates=H","DateFormat=P","Fill=—","Direction=H","UseDPDF=Y")</f>
        <v>—</v>
      </c>
      <c r="F90" s="13" t="str">
        <f>_xll.BDH("ALNY US Equity","ARDR_CAPITALIZED_SOFTWARE_GROSS","FQ3 2019","FQ3 2019","Currency=USD","Period=FQ","BEST_FPERIOD_OVERRIDE=FQ","FILING_STATUS=MR","SCALING_FORMAT=MLN","Sort=A","Dates=H","DateFormat=P","Fill=—","Direction=H","UseDPDF=Y")</f>
        <v>—</v>
      </c>
      <c r="G90" s="13">
        <f>_xll.BDH("ALNY US Equity","ARDR_CAPITALIZED_SOFTWARE_GROSS","FQ4 2019","FQ4 2019","Currency=USD","Period=FQ","BEST_FPERIOD_OVERRIDE=FQ","FILING_STATUS=MR","SCALING_FORMAT=MLN","Sort=A","Dates=H","DateFormat=P","Fill=—","Direction=H","UseDPDF=Y")</f>
        <v>14.956</v>
      </c>
      <c r="H90" s="13" t="str">
        <f>_xll.BDH("ALNY US Equity","ARDR_CAPITALIZED_SOFTWARE_GROSS","FQ1 2020","FQ1 2020","Currency=USD","Period=FQ","BEST_FPERIOD_OVERRIDE=FQ","FILING_STATUS=MR","SCALING_FORMAT=MLN","Sort=A","Dates=H","DateFormat=P","Fill=—","Direction=H","UseDPDF=Y")</f>
        <v>—</v>
      </c>
      <c r="I90" s="13" t="str">
        <f>_xll.BDH("ALNY US Equity","ARDR_CAPITALIZED_SOFTWARE_GROSS","FQ2 2020","FQ2 2020","Currency=USD","Period=FQ","BEST_FPERIOD_OVERRIDE=FQ","FILING_STATUS=MR","SCALING_FORMAT=MLN","Sort=A","Dates=H","DateFormat=P","Fill=—","Direction=H","UseDPDF=Y")</f>
        <v>—</v>
      </c>
      <c r="J90" s="13" t="str">
        <f>_xll.BDH("ALNY US Equity","ARDR_CAPITALIZED_SOFTWARE_GROSS","FQ3 2020","FQ3 2020","Currency=USD","Period=FQ","BEST_FPERIOD_OVERRIDE=FQ","FILING_STATUS=MR","SCALING_FORMAT=MLN","Sort=A","Dates=H","DateFormat=P","Fill=—","Direction=H","UseDPDF=Y")</f>
        <v>—</v>
      </c>
      <c r="K90" s="13">
        <f>_xll.BDH("ALNY US Equity","ARDR_CAPITALIZED_SOFTWARE_GROSS","FQ4 2020","FQ4 2020","Currency=USD","Period=FQ","BEST_FPERIOD_OVERRIDE=FQ","FILING_STATUS=MR","SCALING_FORMAT=MLN","Sort=A","Dates=H","DateFormat=P","Fill=—","Direction=H","UseDPDF=Y")</f>
        <v>19.064</v>
      </c>
      <c r="L90" s="13" t="str">
        <f>_xll.BDH("ALNY US Equity","ARDR_CAPITALIZED_SOFTWARE_GROSS","FQ1 2021","FQ1 2021","Currency=USD","Period=FQ","BEST_FPERIOD_OVERRIDE=FQ","FILING_STATUS=MR","SCALING_FORMAT=MLN","Sort=A","Dates=H","DateFormat=P","Fill=—","Direction=H","UseDPDF=Y")</f>
        <v>—</v>
      </c>
      <c r="M90" s="13" t="str">
        <f>_xll.BDH("ALNY US Equity","ARDR_CAPITALIZED_SOFTWARE_GROSS","FQ2 2021","FQ2 2021","Currency=USD","Period=FQ","BEST_FPERIOD_OVERRIDE=FQ","FILING_STATUS=MR","SCALING_FORMAT=MLN","Sort=A","Dates=H","DateFormat=P","Fill=—","Direction=H","UseDPDF=Y")</f>
        <v>—</v>
      </c>
      <c r="N90" s="13" t="str">
        <f>_xll.BDH("ALNY US Equity","ARDR_CAPITALIZED_SOFTWARE_GROSS","FQ3 2021","FQ3 2021","Currency=USD","Period=FQ","BEST_FPERIOD_OVERRIDE=FQ","FILING_STATUS=MR","SCALING_FORMAT=MLN","Sort=A","Dates=H","DateFormat=P","Fill=—","Direction=H","UseDPDF=Y")</f>
        <v>—</v>
      </c>
      <c r="O90" s="13">
        <f>_xll.BDH("ALNY US Equity","ARDR_CAPITALIZED_SOFTWARE_GROSS","FQ4 2021","FQ4 2021","Currency=USD","Period=FQ","BEST_FPERIOD_OVERRIDE=FQ","FILING_STATUS=MR","SCALING_FORMAT=MLN","Sort=A","Dates=H","DateFormat=P","Fill=—","Direction=H","UseDPDF=Y")</f>
        <v>21.885000000000002</v>
      </c>
      <c r="P90" s="13" t="str">
        <f>_xll.BDH("ALNY US Equity","ARDR_CAPITALIZED_SOFTWARE_GROSS","FQ1 2022","FQ1 2022","Currency=USD","Period=FQ","BEST_FPERIOD_OVERRIDE=FQ","FILING_STATUS=MR","SCALING_FORMAT=MLN","Sort=A","Dates=H","DateFormat=P","Fill=—","Direction=H","UseDPDF=Y")</f>
        <v>—</v>
      </c>
      <c r="Q90" s="13" t="str">
        <f>_xll.BDH("ALNY US Equity","ARDR_CAPITALIZED_SOFTWARE_GROSS","FQ2 2022","FQ2 2022","Currency=USD","Period=FQ","BEST_FPERIOD_OVERRIDE=FQ","FILING_STATUS=MR","SCALING_FORMAT=MLN","Sort=A","Dates=H","DateFormat=P","Fill=—","Direction=H","UseDPDF=Y")</f>
        <v>—</v>
      </c>
      <c r="R90" s="13" t="str">
        <f>_xll.BDH("ALNY US Equity","ARDR_CAPITALIZED_SOFTWARE_GROSS","FQ3 2022","FQ3 2022","Currency=USD","Period=FQ","BEST_FPERIOD_OVERRIDE=FQ","FILING_STATUS=MR","SCALING_FORMAT=MLN","Sort=A","Dates=H","DateFormat=P","Fill=—","Direction=H","UseDPDF=Y")</f>
        <v>—</v>
      </c>
      <c r="S90" s="13">
        <f>_xll.BDH("ALNY US Equity","ARDR_CAPITALIZED_SOFTWARE_GROSS","FQ4 2022","FQ4 2022","Currency=USD","Period=FQ","BEST_FPERIOD_OVERRIDE=FQ","FILING_STATUS=MR","SCALING_FORMAT=MLN","Sort=A","Dates=H","DateFormat=P","Fill=—","Direction=H","UseDPDF=Y")</f>
        <v>33.369999999999997</v>
      </c>
      <c r="T90" s="13" t="str">
        <f>_xll.BDH("ALNY US Equity","ARDR_CAPITALIZED_SOFTWARE_GROSS","FQ1 2023","FQ1 2023","Currency=USD","Period=FQ","BEST_FPERIOD_OVERRIDE=FQ","FILING_STATUS=MR","SCALING_FORMAT=MLN","Sort=A","Dates=H","DateFormat=P","Fill=—","Direction=H","UseDPDF=Y")</f>
        <v>—</v>
      </c>
      <c r="U90" s="13" t="str">
        <f>_xll.BDH("ALNY US Equity","ARDR_CAPITALIZED_SOFTWARE_GROSS","FQ2 2023","FQ2 2023","Currency=USD","Period=FQ","BEST_FPERIOD_OVERRIDE=FQ","FILING_STATUS=MR","SCALING_FORMAT=MLN","Sort=A","Dates=H","DateFormat=P","Fill=—","Direction=H","UseDPDF=Y")</f>
        <v>—</v>
      </c>
      <c r="V90" s="13" t="str">
        <f>_xll.BDH("ALNY US Equity","ARDR_CAPITALIZED_SOFTWARE_GROSS","FQ3 2023","FQ3 2023","Currency=USD","Period=FQ","BEST_FPERIOD_OVERRIDE=FQ","FILING_STATUS=MR","SCALING_FORMAT=MLN","Sort=A","Dates=H","DateFormat=P","Fill=—","Direction=H","UseDPDF=Y")</f>
        <v>—</v>
      </c>
      <c r="W90" s="13">
        <f>_xll.BDH("ALNY US Equity","ARDR_CAPITALIZED_SOFTWARE_GROSS","FQ4 2023","FQ4 2023","Currency=USD","Period=FQ","BEST_FPERIOD_OVERRIDE=FQ","FILING_STATUS=MR","SCALING_FORMAT=MLN","Sort=A","Dates=H","DateFormat=P","Fill=—","Direction=H","UseDPDF=Y")</f>
        <v>35.616</v>
      </c>
      <c r="X90" s="13" t="str">
        <f>_xll.BDH("ALNY US Equity","ARDR_CAPITALIZED_SOFTWARE_GROSS","FQ1 2024","FQ1 2024","Currency=USD","Period=FQ","BEST_FPERIOD_OVERRIDE=FQ","FILING_STATUS=MR","SCALING_FORMAT=MLN","Sort=A","Dates=H","DateFormat=P","Fill=—","Direction=H","UseDPDF=Y")</f>
        <v>—</v>
      </c>
      <c r="Y90" s="13" t="str">
        <f>_xll.BDH("ALNY US Equity","ARDR_CAPITALIZED_SOFTWARE_GROSS","FQ2 2024","FQ2 2024","Currency=USD","Period=FQ","BEST_FPERIOD_OVERRIDE=FQ","FILING_STATUS=MR","SCALING_FORMAT=MLN","Sort=A","Dates=H","DateFormat=P","Fill=—","Direction=H","UseDPDF=Y")</f>
        <v>—</v>
      </c>
      <c r="Z90" s="13" t="str">
        <f>_xll.BDH("ALNY US Equity","ARDR_CAPITALIZED_SOFTWARE_GROSS","FQ3 2024","FQ3 2024","Currency=USD","Period=FQ","BEST_FPERIOD_OVERRIDE=FQ","FILING_STATUS=MR","SCALING_FORMAT=MLN","Sort=A","Dates=H","DateFormat=P","Fill=—","Direction=H","UseDPDF=Y")</f>
        <v>—</v>
      </c>
      <c r="AA90" s="13">
        <f>_xll.BDH("ALNY US Equity","ARDR_CAPITALIZED_SOFTWARE_GROSS","FQ4 2024","FQ4 2024","Currency=USD","Period=FQ","BEST_FPERIOD_OVERRIDE=FQ","FILING_STATUS=MR","SCALING_FORMAT=MLN","Sort=A","Dates=H","DateFormat=P","Fill=—","Direction=H","UseDPDF=Y")</f>
        <v>42.533999999999999</v>
      </c>
    </row>
    <row r="91" spans="1:27" x14ac:dyDescent="0.25">
      <c r="A91" s="10" t="s">
        <v>967</v>
      </c>
      <c r="B91" s="10" t="s">
        <v>968</v>
      </c>
      <c r="C91" s="13">
        <f>_xll.BDH("ALNY US Equity","ARDR_COMMERCIAL_PAPER","FQ4 2018","FQ4 2018","Currency=USD","Period=FQ","BEST_FPERIOD_OVERRIDE=FQ","FILING_STATUS=MR","SCALING_FORMAT=MLN","Sort=A","Dates=H","DateFormat=P","Fill=—","Direction=H","UseDPDF=Y")</f>
        <v>57.197000000000003</v>
      </c>
      <c r="D91" s="13">
        <f>_xll.BDH("ALNY US Equity","ARDR_COMMERCIAL_PAPER","FQ1 2019","FQ1 2019","Currency=USD","Period=FQ","BEST_FPERIOD_OVERRIDE=FQ","FILING_STATUS=MR","SCALING_FORMAT=MLN","Sort=A","Dates=H","DateFormat=P","Fill=—","Direction=H","UseDPDF=Y")</f>
        <v>34.393999999999998</v>
      </c>
      <c r="E91" s="13">
        <f>_xll.BDH("ALNY US Equity","ARDR_COMMERCIAL_PAPER","FQ2 2019","FQ2 2019","Currency=USD","Period=FQ","BEST_FPERIOD_OVERRIDE=FQ","FILING_STATUS=MR","SCALING_FORMAT=MLN","Sort=A","Dates=H","DateFormat=P","Fill=—","Direction=H","UseDPDF=Y")</f>
        <v>2.9889999999999999</v>
      </c>
      <c r="F91" s="13">
        <f>_xll.BDH("ALNY US Equity","ARDR_COMMERCIAL_PAPER","FQ3 2019","FQ3 2019","Currency=USD","Period=FQ","BEST_FPERIOD_OVERRIDE=FQ","FILING_STATUS=MR","SCALING_FORMAT=MLN","Sort=A","Dates=H","DateFormat=P","Fill=—","Direction=H","UseDPDF=Y")</f>
        <v>29.486999999999998</v>
      </c>
      <c r="G91" s="13">
        <f>_xll.BDH("ALNY US Equity","ARDR_COMMERCIAL_PAPER","FQ4 2019","FQ4 2019","Currency=USD","Period=FQ","BEST_FPERIOD_OVERRIDE=FQ","FILING_STATUS=MR","SCALING_FORMAT=MLN","Sort=A","Dates=H","DateFormat=P","Fill=—","Direction=H","UseDPDF=Y")</f>
        <v>39.912999999999997</v>
      </c>
      <c r="H91" s="13">
        <f>_xll.BDH("ALNY US Equity","ARDR_COMMERCIAL_PAPER","FQ1 2020","FQ1 2020","Currency=USD","Period=FQ","BEST_FPERIOD_OVERRIDE=FQ","FILING_STATUS=MR","SCALING_FORMAT=MLN","Sort=A","Dates=H","DateFormat=P","Fill=—","Direction=H","UseDPDF=Y")</f>
        <v>21.792000000000002</v>
      </c>
      <c r="I91" s="13">
        <f>_xll.BDH("ALNY US Equity","ARDR_COMMERCIAL_PAPER","FQ2 2020","FQ2 2020","Currency=USD","Period=FQ","BEST_FPERIOD_OVERRIDE=FQ","FILING_STATUS=MR","SCALING_FORMAT=MLN","Sort=A","Dates=H","DateFormat=P","Fill=—","Direction=H","UseDPDF=Y")</f>
        <v>11.613</v>
      </c>
      <c r="J91" s="13">
        <f>_xll.BDH("ALNY US Equity","ARDR_COMMERCIAL_PAPER","FQ3 2020","FQ3 2020","Currency=USD","Period=FQ","BEST_FPERIOD_OVERRIDE=FQ","FILING_STATUS=MR","SCALING_FORMAT=MLN","Sort=A","Dates=H","DateFormat=P","Fill=—","Direction=H","UseDPDF=Y")</f>
        <v>39.912999999999997</v>
      </c>
      <c r="K91" s="13" t="str">
        <f>_xll.BDH("ALNY US Equity","ARDR_COMMERCIAL_PAPER","FQ4 2020","FQ4 2020","Currency=USD","Period=FQ","BEST_FPERIOD_OVERRIDE=FQ","FILING_STATUS=MR","SCALING_FORMAT=MLN","Sort=A","Dates=H","DateFormat=P","Fill=—","Direction=H","UseDPDF=Y")</f>
        <v>—</v>
      </c>
      <c r="L91" s="13" t="str">
        <f>_xll.BDH("ALNY US Equity","ARDR_COMMERCIAL_PAPER","FQ1 2021","FQ1 2021","Currency=USD","Period=FQ","BEST_FPERIOD_OVERRIDE=FQ","FILING_STATUS=MR","SCALING_FORMAT=MLN","Sort=A","Dates=H","DateFormat=P","Fill=—","Direction=H","UseDPDF=Y")</f>
        <v>—</v>
      </c>
      <c r="M91" s="13">
        <f>_xll.BDH("ALNY US Equity","ARDR_COMMERCIAL_PAPER","FQ2 2021","FQ2 2021","Currency=USD","Period=FQ","BEST_FPERIOD_OVERRIDE=FQ","FILING_STATUS=MR","SCALING_FORMAT=MLN","Sort=A","Dates=H","DateFormat=P","Fill=—","Direction=H","UseDPDF=Y")</f>
        <v>36.468000000000004</v>
      </c>
      <c r="N91" s="13">
        <f>_xll.BDH("ALNY US Equity","ARDR_COMMERCIAL_PAPER","FQ3 2021","FQ3 2021","Currency=USD","Period=FQ","BEST_FPERIOD_OVERRIDE=FQ","FILING_STATUS=MR","SCALING_FORMAT=MLN","Sort=A","Dates=H","DateFormat=P","Fill=—","Direction=H","UseDPDF=Y")</f>
        <v>87.522999999999996</v>
      </c>
      <c r="O91" s="13">
        <f>_xll.BDH("ALNY US Equity","ARDR_COMMERCIAL_PAPER","FQ4 2021","FQ4 2021","Currency=USD","Period=FQ","BEST_FPERIOD_OVERRIDE=FQ","FILING_STATUS=MR","SCALING_FORMAT=MLN","Sort=A","Dates=H","DateFormat=P","Fill=—","Direction=H","UseDPDF=Y")</f>
        <v>78.543000000000006</v>
      </c>
      <c r="P91" s="13" t="str">
        <f>_xll.BDH("ALNY US Equity","ARDR_COMMERCIAL_PAPER","FQ1 2022","FQ1 2022","Currency=USD","Period=FQ","BEST_FPERIOD_OVERRIDE=FQ","FILING_STATUS=MR","SCALING_FORMAT=MLN","Sort=A","Dates=H","DateFormat=P","Fill=—","Direction=H","UseDPDF=Y")</f>
        <v>—</v>
      </c>
      <c r="Q91" s="13" t="str">
        <f>_xll.BDH("ALNY US Equity","ARDR_COMMERCIAL_PAPER","FQ2 2022","FQ2 2022","Currency=USD","Period=FQ","BEST_FPERIOD_OVERRIDE=FQ","FILING_STATUS=MR","SCALING_FORMAT=MLN","Sort=A","Dates=H","DateFormat=P","Fill=—","Direction=H","UseDPDF=Y")</f>
        <v>—</v>
      </c>
      <c r="R91" s="13" t="str">
        <f>_xll.BDH("ALNY US Equity","ARDR_COMMERCIAL_PAPER","FQ3 2022","FQ3 2022","Currency=USD","Period=FQ","BEST_FPERIOD_OVERRIDE=FQ","FILING_STATUS=MR","SCALING_FORMAT=MLN","Sort=A","Dates=H","DateFormat=P","Fill=—","Direction=H","UseDPDF=Y")</f>
        <v>—</v>
      </c>
      <c r="S91" s="13">
        <f>_xll.BDH("ALNY US Equity","ARDR_COMMERCIAL_PAPER","FQ4 2022","FQ4 2022","Currency=USD","Period=FQ","BEST_FPERIOD_OVERRIDE=FQ","FILING_STATUS=MR","SCALING_FORMAT=MLN","Sort=A","Dates=H","DateFormat=P","Fill=—","Direction=H","UseDPDF=Y")</f>
        <v>59.143000000000001</v>
      </c>
      <c r="T91" s="13" t="str">
        <f>_xll.BDH("ALNY US Equity","ARDR_COMMERCIAL_PAPER","FQ1 2023","FQ1 2023","Currency=USD","Period=FQ","BEST_FPERIOD_OVERRIDE=FQ","FILING_STATUS=MR","SCALING_FORMAT=MLN","Sort=A","Dates=H","DateFormat=P","Fill=—","Direction=H","UseDPDF=Y")</f>
        <v>—</v>
      </c>
      <c r="U91" s="13">
        <f>_xll.BDH("ALNY US Equity","ARDR_COMMERCIAL_PAPER","FQ2 2023","FQ2 2023","Currency=USD","Period=FQ","BEST_FPERIOD_OVERRIDE=FQ","FILING_STATUS=MR","SCALING_FORMAT=MLN","Sort=A","Dates=H","DateFormat=P","Fill=—","Direction=H","UseDPDF=Y")</f>
        <v>92.576999999999998</v>
      </c>
      <c r="V91" s="13">
        <f>_xll.BDH("ALNY US Equity","ARDR_COMMERCIAL_PAPER","FQ3 2023","FQ3 2023","Currency=USD","Period=FQ","BEST_FPERIOD_OVERRIDE=FQ","FILING_STATUS=MR","SCALING_FORMAT=MLN","Sort=A","Dates=H","DateFormat=P","Fill=—","Direction=H","UseDPDF=Y")</f>
        <v>65.849999999999994</v>
      </c>
      <c r="W91" s="13">
        <f>_xll.BDH("ALNY US Equity","ARDR_COMMERCIAL_PAPER","FQ4 2023","FQ4 2023","Currency=USD","Period=FQ","BEST_FPERIOD_OVERRIDE=FQ","FILING_STATUS=MR","SCALING_FORMAT=MLN","Sort=A","Dates=H","DateFormat=P","Fill=—","Direction=H","UseDPDF=Y")</f>
        <v>58.901000000000003</v>
      </c>
      <c r="X91" s="13" t="str">
        <f>_xll.BDH("ALNY US Equity","ARDR_COMMERCIAL_PAPER","FQ1 2024","FQ1 2024","Currency=USD","Period=FQ","BEST_FPERIOD_OVERRIDE=FQ","FILING_STATUS=MR","SCALING_FORMAT=MLN","Sort=A","Dates=H","DateFormat=P","Fill=—","Direction=H","UseDPDF=Y")</f>
        <v>—</v>
      </c>
      <c r="Y91" s="13">
        <f>_xll.BDH("ALNY US Equity","ARDR_COMMERCIAL_PAPER","FQ2 2024","FQ2 2024","Currency=USD","Period=FQ","BEST_FPERIOD_OVERRIDE=FQ","FILING_STATUS=MR","SCALING_FORMAT=MLN","Sort=A","Dates=H","DateFormat=P","Fill=—","Direction=H","UseDPDF=Y")</f>
        <v>70.078999999999994</v>
      </c>
      <c r="Z91" s="13">
        <f>_xll.BDH("ALNY US Equity","ARDR_COMMERCIAL_PAPER","FQ3 2024","FQ3 2024","Currency=USD","Period=FQ","BEST_FPERIOD_OVERRIDE=FQ","FILING_STATUS=MR","SCALING_FORMAT=MLN","Sort=A","Dates=H","DateFormat=P","Fill=—","Direction=H","UseDPDF=Y")</f>
        <v>50.213999999999999</v>
      </c>
      <c r="AA91" s="13">
        <f>_xll.BDH("ALNY US Equity","ARDR_COMMERCIAL_PAPER","FQ4 2024","FQ4 2024","Currency=USD","Period=FQ","BEST_FPERIOD_OVERRIDE=FQ","FILING_STATUS=MR","SCALING_FORMAT=MLN","Sort=A","Dates=H","DateFormat=P","Fill=—","Direction=H","UseDPDF=Y")</f>
        <v>35.408000000000001</v>
      </c>
    </row>
    <row r="92" spans="1:27" x14ac:dyDescent="0.25">
      <c r="A92" s="10" t="s">
        <v>823</v>
      </c>
      <c r="B92" s="10" t="s">
        <v>969</v>
      </c>
      <c r="C92" s="14">
        <f>_xll.BDH("ALNY US Equity","ARDR_NUMBER_EMPLOYEES","FQ4 2018","FQ4 2018","Currency=USD","Period=FQ","BEST_FPERIOD_OVERRIDE=FQ","FILING_STATUS=MR","Sort=A","Dates=H","DateFormat=P","Fill=—","Direction=H","UseDPDF=Y")</f>
        <v>1065</v>
      </c>
      <c r="D92" s="14" t="str">
        <f>_xll.BDH("ALNY US Equity","ARDR_NUMBER_EMPLOYEES","FQ1 2019","FQ1 2019","Currency=USD","Period=FQ","BEST_FPERIOD_OVERRIDE=FQ","FILING_STATUS=MR","Sort=A","Dates=H","DateFormat=P","Fill=—","Direction=H","UseDPDF=Y")</f>
        <v>—</v>
      </c>
      <c r="E92" s="14" t="str">
        <f>_xll.BDH("ALNY US Equity","ARDR_NUMBER_EMPLOYEES","FQ2 2019","FQ2 2019","Currency=USD","Period=FQ","BEST_FPERIOD_OVERRIDE=FQ","FILING_STATUS=MR","Sort=A","Dates=H","DateFormat=P","Fill=—","Direction=H","UseDPDF=Y")</f>
        <v>—</v>
      </c>
      <c r="F92" s="14" t="str">
        <f>_xll.BDH("ALNY US Equity","ARDR_NUMBER_EMPLOYEES","FQ3 2019","FQ3 2019","Currency=USD","Period=FQ","BEST_FPERIOD_OVERRIDE=FQ","FILING_STATUS=MR","Sort=A","Dates=H","DateFormat=P","Fill=—","Direction=H","UseDPDF=Y")</f>
        <v>—</v>
      </c>
      <c r="G92" s="14">
        <f>_xll.BDH("ALNY US Equity","ARDR_NUMBER_EMPLOYEES","FQ4 2019","FQ4 2019","Currency=USD","Period=FQ","BEST_FPERIOD_OVERRIDE=FQ","FILING_STATUS=MR","Sort=A","Dates=H","DateFormat=P","Fill=—","Direction=H","UseDPDF=Y")</f>
        <v>1323</v>
      </c>
      <c r="H92" s="14" t="str">
        <f>_xll.BDH("ALNY US Equity","ARDR_NUMBER_EMPLOYEES","FQ1 2020","FQ1 2020","Currency=USD","Period=FQ","BEST_FPERIOD_OVERRIDE=FQ","FILING_STATUS=MR","Sort=A","Dates=H","DateFormat=P","Fill=—","Direction=H","UseDPDF=Y")</f>
        <v>—</v>
      </c>
      <c r="I92" s="14" t="str">
        <f>_xll.BDH("ALNY US Equity","ARDR_NUMBER_EMPLOYEES","FQ2 2020","FQ2 2020","Currency=USD","Period=FQ","BEST_FPERIOD_OVERRIDE=FQ","FILING_STATUS=MR","Sort=A","Dates=H","DateFormat=P","Fill=—","Direction=H","UseDPDF=Y")</f>
        <v>—</v>
      </c>
      <c r="J92" s="14" t="str">
        <f>_xll.BDH("ALNY US Equity","ARDR_NUMBER_EMPLOYEES","FQ3 2020","FQ3 2020","Currency=USD","Period=FQ","BEST_FPERIOD_OVERRIDE=FQ","FILING_STATUS=MR","Sort=A","Dates=H","DateFormat=P","Fill=—","Direction=H","UseDPDF=Y")</f>
        <v>—</v>
      </c>
      <c r="K92" s="14">
        <f>_xll.BDH("ALNY US Equity","ARDR_NUMBER_EMPLOYEES","FQ4 2020","FQ4 2020","Currency=USD","Period=FQ","BEST_FPERIOD_OVERRIDE=FQ","FILING_STATUS=MR","Sort=A","Dates=H","DateFormat=P","Fill=—","Direction=H","UseDPDF=Y")</f>
        <v>1453</v>
      </c>
      <c r="L92" s="14" t="str">
        <f>_xll.BDH("ALNY US Equity","ARDR_NUMBER_EMPLOYEES","FQ1 2021","FQ1 2021","Currency=USD","Period=FQ","BEST_FPERIOD_OVERRIDE=FQ","FILING_STATUS=MR","Sort=A","Dates=H","DateFormat=P","Fill=—","Direction=H","UseDPDF=Y")</f>
        <v>—</v>
      </c>
      <c r="M92" s="14" t="str">
        <f>_xll.BDH("ALNY US Equity","ARDR_NUMBER_EMPLOYEES","FQ2 2021","FQ2 2021","Currency=USD","Period=FQ","BEST_FPERIOD_OVERRIDE=FQ","FILING_STATUS=MR","Sort=A","Dates=H","DateFormat=P","Fill=—","Direction=H","UseDPDF=Y")</f>
        <v>—</v>
      </c>
      <c r="N92" s="14" t="str">
        <f>_xll.BDH("ALNY US Equity","ARDR_NUMBER_EMPLOYEES","FQ3 2021","FQ3 2021","Currency=USD","Period=FQ","BEST_FPERIOD_OVERRIDE=FQ","FILING_STATUS=MR","Sort=A","Dates=H","DateFormat=P","Fill=—","Direction=H","UseDPDF=Y")</f>
        <v>—</v>
      </c>
      <c r="O92" s="14">
        <f>_xll.BDH("ALNY US Equity","ARDR_NUMBER_EMPLOYEES","FQ4 2021","FQ4 2021","Currency=USD","Period=FQ","BEST_FPERIOD_OVERRIDE=FQ","FILING_STATUS=MR","Sort=A","Dates=H","DateFormat=P","Fill=—","Direction=H","UseDPDF=Y")</f>
        <v>1665</v>
      </c>
      <c r="P92" s="14" t="str">
        <f>_xll.BDH("ALNY US Equity","ARDR_NUMBER_EMPLOYEES","FQ1 2022","FQ1 2022","Currency=USD","Period=FQ","BEST_FPERIOD_OVERRIDE=FQ","FILING_STATUS=MR","Sort=A","Dates=H","DateFormat=P","Fill=—","Direction=H","UseDPDF=Y")</f>
        <v>—</v>
      </c>
      <c r="Q92" s="14" t="str">
        <f>_xll.BDH("ALNY US Equity","ARDR_NUMBER_EMPLOYEES","FQ2 2022","FQ2 2022","Currency=USD","Period=FQ","BEST_FPERIOD_OVERRIDE=FQ","FILING_STATUS=MR","Sort=A","Dates=H","DateFormat=P","Fill=—","Direction=H","UseDPDF=Y")</f>
        <v>—</v>
      </c>
      <c r="R92" s="14" t="str">
        <f>_xll.BDH("ALNY US Equity","ARDR_NUMBER_EMPLOYEES","FQ3 2022","FQ3 2022","Currency=USD","Period=FQ","BEST_FPERIOD_OVERRIDE=FQ","FILING_STATUS=MR","Sort=A","Dates=H","DateFormat=P","Fill=—","Direction=H","UseDPDF=Y")</f>
        <v>—</v>
      </c>
      <c r="S92" s="14">
        <f>_xll.BDH("ALNY US Equity","ARDR_NUMBER_EMPLOYEES","FQ4 2022","FQ4 2022","Currency=USD","Period=FQ","BEST_FPERIOD_OVERRIDE=FQ","FILING_STATUS=MR","Sort=A","Dates=H","DateFormat=P","Fill=—","Direction=H","UseDPDF=Y")</f>
        <v>2002</v>
      </c>
      <c r="T92" s="14" t="str">
        <f>_xll.BDH("ALNY US Equity","ARDR_NUMBER_EMPLOYEES","FQ1 2023","FQ1 2023","Currency=USD","Period=FQ","BEST_FPERIOD_OVERRIDE=FQ","FILING_STATUS=MR","Sort=A","Dates=H","DateFormat=P","Fill=—","Direction=H","UseDPDF=Y")</f>
        <v>—</v>
      </c>
      <c r="U92" s="14" t="str">
        <f>_xll.BDH("ALNY US Equity","ARDR_NUMBER_EMPLOYEES","FQ2 2023","FQ2 2023","Currency=USD","Period=FQ","BEST_FPERIOD_OVERRIDE=FQ","FILING_STATUS=MR","Sort=A","Dates=H","DateFormat=P","Fill=—","Direction=H","UseDPDF=Y")</f>
        <v>—</v>
      </c>
      <c r="V92" s="14" t="str">
        <f>_xll.BDH("ALNY US Equity","ARDR_NUMBER_EMPLOYEES","FQ3 2023","FQ3 2023","Currency=USD","Period=FQ","BEST_FPERIOD_OVERRIDE=FQ","FILING_STATUS=MR","Sort=A","Dates=H","DateFormat=P","Fill=—","Direction=H","UseDPDF=Y")</f>
        <v>—</v>
      </c>
      <c r="W92" s="14">
        <f>_xll.BDH("ALNY US Equity","ARDR_NUMBER_EMPLOYEES","FQ4 2023","FQ4 2023","Currency=USD","Period=FQ","BEST_FPERIOD_OVERRIDE=FQ","FILING_STATUS=MR","Sort=A","Dates=H","DateFormat=P","Fill=—","Direction=H","UseDPDF=Y")</f>
        <v>2100</v>
      </c>
      <c r="X92" s="14" t="str">
        <f>_xll.BDH("ALNY US Equity","ARDR_NUMBER_EMPLOYEES","FQ1 2024","FQ1 2024","Currency=USD","Period=FQ","BEST_FPERIOD_OVERRIDE=FQ","FILING_STATUS=MR","Sort=A","Dates=H","DateFormat=P","Fill=—","Direction=H","UseDPDF=Y")</f>
        <v>—</v>
      </c>
      <c r="Y92" s="14" t="str">
        <f>_xll.BDH("ALNY US Equity","ARDR_NUMBER_EMPLOYEES","FQ2 2024","FQ2 2024","Currency=USD","Period=FQ","BEST_FPERIOD_OVERRIDE=FQ","FILING_STATUS=MR","Sort=A","Dates=H","DateFormat=P","Fill=—","Direction=H","UseDPDF=Y")</f>
        <v>—</v>
      </c>
      <c r="Z92" s="14" t="str">
        <f>_xll.BDH("ALNY US Equity","ARDR_NUMBER_EMPLOYEES","FQ3 2024","FQ3 2024","Currency=USD","Period=FQ","BEST_FPERIOD_OVERRIDE=FQ","FILING_STATUS=MR","Sort=A","Dates=H","DateFormat=P","Fill=—","Direction=H","UseDPDF=Y")</f>
        <v>—</v>
      </c>
      <c r="AA92" s="14">
        <f>_xll.BDH("ALNY US Equity","ARDR_NUMBER_EMPLOYEES","FQ4 2024","FQ4 2024","Currency=USD","Period=FQ","BEST_FPERIOD_OVERRIDE=FQ","FILING_STATUS=MR","Sort=A","Dates=H","DateFormat=P","Fill=—","Direction=H","UseDPDF=Y")</f>
        <v>2230</v>
      </c>
    </row>
    <row r="93" spans="1:27" x14ac:dyDescent="0.25">
      <c r="A93" s="10" t="s">
        <v>970</v>
      </c>
      <c r="B93" s="10" t="s">
        <v>971</v>
      </c>
      <c r="C93" s="13">
        <f>_xll.BDH("ALNY US Equity","ARDR_SHARE_OUT_FROM_FRONT_COVER","FQ4 2018","FQ4 2018","Currency=USD","Period=FQ","BEST_FPERIOD_OVERRIDE=FQ","FILING_STATUS=MR","Sort=A","Dates=H","DateFormat=P","Fill=—","Direction=H","UseDPDF=Y")</f>
        <v>106.25830000000001</v>
      </c>
      <c r="D93" s="13">
        <f>_xll.BDH("ALNY US Equity","ARDR_SHARE_OUT_FROM_FRONT_COVER","FQ1 2019","FQ1 2019","Currency=USD","Period=FQ","BEST_FPERIOD_OVERRIDE=FQ","FILING_STATUS=MR","Sort=A","Dates=H","DateFormat=P","Fill=—","Direction=H","UseDPDF=Y")</f>
        <v>106.5368</v>
      </c>
      <c r="E93" s="13">
        <f>_xll.BDH("ALNY US Equity","ARDR_SHARE_OUT_FROM_FRONT_COVER","FQ2 2019","FQ2 2019","Currency=USD","Period=FQ","BEST_FPERIOD_OVERRIDE=FQ","FILING_STATUS=MR","Sort=A","Dates=H","DateFormat=P","Fill=—","Direction=H","UseDPDF=Y")</f>
        <v>111.2077</v>
      </c>
      <c r="F93" s="13">
        <f>_xll.BDH("ALNY US Equity","ARDR_SHARE_OUT_FROM_FRONT_COVER","FQ3 2019","FQ3 2019","Currency=USD","Period=FQ","BEST_FPERIOD_OVERRIDE=FQ","FILING_STATUS=MR","Sort=A","Dates=H","DateFormat=P","Fill=—","Direction=H","UseDPDF=Y")</f>
        <v>111.4897</v>
      </c>
      <c r="G93" s="13">
        <f>_xll.BDH("ALNY US Equity","ARDR_SHARE_OUT_FROM_FRONT_COVER","FQ4 2019","FQ4 2019","Currency=USD","Period=FQ","BEST_FPERIOD_OVERRIDE=FQ","FILING_STATUS=MR","Sort=A","Dates=H","DateFormat=P","Fill=—","Direction=H","UseDPDF=Y")</f>
        <v>112.584</v>
      </c>
      <c r="H93" s="13">
        <f>_xll.BDH("ALNY US Equity","ARDR_SHARE_OUT_FROM_FRONT_COVER","FQ1 2020","FQ1 2020","Currency=USD","Period=FQ","BEST_FPERIOD_OVERRIDE=FQ","FILING_STATUS=MR","Sort=A","Dates=H","DateFormat=P","Fill=—","Direction=H","UseDPDF=Y")</f>
        <v>114.8192</v>
      </c>
      <c r="I93" s="13">
        <f>_xll.BDH("ALNY US Equity","ARDR_SHARE_OUT_FROM_FRONT_COVER","FQ2 2020","FQ2 2020","Currency=USD","Period=FQ","BEST_FPERIOD_OVERRIDE=FQ","FILING_STATUS=MR","Sort=A","Dates=H","DateFormat=P","Fill=—","Direction=H","UseDPDF=Y")</f>
        <v>115.96980000000001</v>
      </c>
      <c r="J93" s="13">
        <f>_xll.BDH("ALNY US Equity","ARDR_SHARE_OUT_FROM_FRONT_COVER","FQ3 2020","FQ3 2020","Currency=USD","Period=FQ","BEST_FPERIOD_OVERRIDE=FQ","FILING_STATUS=MR","Sort=A","Dates=H","DateFormat=P","Fill=—","Direction=H","UseDPDF=Y")</f>
        <v>116.1808</v>
      </c>
      <c r="K93" s="13">
        <f>_xll.BDH("ALNY US Equity","ARDR_SHARE_OUT_FROM_FRONT_COVER","FQ4 2020","FQ4 2020","Currency=USD","Period=FQ","BEST_FPERIOD_OVERRIDE=FQ","FILING_STATUS=MR","Sort=A","Dates=H","DateFormat=P","Fill=—","Direction=H","UseDPDF=Y")</f>
        <v>117.002</v>
      </c>
      <c r="L93" s="13">
        <f>_xll.BDH("ALNY US Equity","ARDR_SHARE_OUT_FROM_FRONT_COVER","FQ1 2021","FQ1 2021","Currency=USD","Period=FQ","BEST_FPERIOD_OVERRIDE=FQ","FILING_STATUS=MR","Sort=A","Dates=H","DateFormat=P","Fill=—","Direction=H","UseDPDF=Y")</f>
        <v>117.545</v>
      </c>
      <c r="M93" s="13">
        <f>_xll.BDH("ALNY US Equity","ARDR_SHARE_OUT_FROM_FRONT_COVER","FQ2 2021","FQ2 2021","Currency=USD","Period=FQ","BEST_FPERIOD_OVERRIDE=FQ","FILING_STATUS=MR","Sort=A","Dates=H","DateFormat=P","Fill=—","Direction=H","UseDPDF=Y")</f>
        <v>118.8477</v>
      </c>
      <c r="N93" s="13">
        <f>_xll.BDH("ALNY US Equity","ARDR_SHARE_OUT_FROM_FRONT_COVER","FQ3 2021","FQ3 2021","Currency=USD","Period=FQ","BEST_FPERIOD_OVERRIDE=FQ","FILING_STATUS=MR","Sort=A","Dates=H","DateFormat=P","Fill=—","Direction=H","UseDPDF=Y")</f>
        <v>119.60120000000001</v>
      </c>
      <c r="O93" s="13">
        <f>_xll.BDH("ALNY US Equity","ARDR_SHARE_OUT_FROM_FRONT_COVER","FQ4 2021","FQ4 2021","Currency=USD","Period=FQ","BEST_FPERIOD_OVERRIDE=FQ","FILING_STATUS=MR","Sort=A","Dates=H","DateFormat=P","Fill=—","Direction=H","UseDPDF=Y")</f>
        <v>120.2105</v>
      </c>
      <c r="P93" s="13">
        <f>_xll.BDH("ALNY US Equity","ARDR_SHARE_OUT_FROM_FRONT_COVER","FQ1 2022","FQ1 2022","Currency=USD","Period=FQ","BEST_FPERIOD_OVERRIDE=FQ","FILING_STATUS=MR","Sort=A","Dates=H","DateFormat=P","Fill=—","Direction=H","UseDPDF=Y")</f>
        <v>120.81359999999999</v>
      </c>
      <c r="Q93" s="13">
        <f>_xll.BDH("ALNY US Equity","ARDR_SHARE_OUT_FROM_FRONT_COVER","FQ2 2022","FQ2 2022","Currency=USD","Period=FQ","BEST_FPERIOD_OVERRIDE=FQ","FILING_STATUS=MR","Sort=A","Dates=H","DateFormat=P","Fill=—","Direction=H","UseDPDF=Y")</f>
        <v>120.0266</v>
      </c>
      <c r="R93" s="13">
        <f>_xll.BDH("ALNY US Equity","ARDR_SHARE_OUT_FROM_FRONT_COVER","FQ3 2022","FQ3 2022","Currency=USD","Period=FQ","BEST_FPERIOD_OVERRIDE=FQ","FILING_STATUS=MR","Sort=A","Dates=H","DateFormat=P","Fill=—","Direction=H","UseDPDF=Y")</f>
        <v>123.0282</v>
      </c>
      <c r="S93" s="13">
        <f>_xll.BDH("ALNY US Equity","ARDR_SHARE_OUT_FROM_FRONT_COVER","FQ4 2022","FQ4 2022","Currency=USD","Period=FQ","BEST_FPERIOD_OVERRIDE=FQ","FILING_STATUS=MR","Sort=A","Dates=H","DateFormat=P","Fill=—","Direction=H","UseDPDF=Y")</f>
        <v>124.131</v>
      </c>
      <c r="T93" s="13">
        <f>_xll.BDH("ALNY US Equity","ARDR_SHARE_OUT_FROM_FRONT_COVER","FQ1 2023","FQ1 2023","Currency=USD","Period=FQ","BEST_FPERIOD_OVERRIDE=FQ","FILING_STATUS=MR","Sort=A","Dates=H","DateFormat=P","Fill=—","Direction=H","UseDPDF=Y")</f>
        <v>124.5257</v>
      </c>
      <c r="U93" s="13">
        <f>_xll.BDH("ALNY US Equity","ARDR_SHARE_OUT_FROM_FRONT_COVER","FQ2 2023","FQ2 2023","Currency=USD","Period=FQ","BEST_FPERIOD_OVERRIDE=FQ","FILING_STATUS=MR","Sort=A","Dates=H","DateFormat=P","Fill=—","Direction=H","UseDPDF=Y")</f>
        <v>125.00069999999999</v>
      </c>
      <c r="V93" s="13">
        <f>_xll.BDH("ALNY US Equity","ARDR_SHARE_OUT_FROM_FRONT_COVER","FQ3 2023","FQ3 2023","Currency=USD","Period=FQ","BEST_FPERIOD_OVERRIDE=FQ","FILING_STATUS=MR","Sort=A","Dates=H","DateFormat=P","Fill=—","Direction=H","UseDPDF=Y")</f>
        <v>125.49290000000001</v>
      </c>
      <c r="W93" s="13">
        <f>_xll.BDH("ALNY US Equity","ARDR_SHARE_OUT_FROM_FRONT_COVER","FQ4 2023","FQ4 2023","Currency=USD","Period=FQ","BEST_FPERIOD_OVERRIDE=FQ","FILING_STATUS=MR","Sort=A","Dates=H","DateFormat=P","Fill=—","Direction=H","UseDPDF=Y")</f>
        <v>125.94580000000001</v>
      </c>
      <c r="X93" s="13">
        <f>_xll.BDH("ALNY US Equity","ARDR_SHARE_OUT_FROM_FRONT_COVER","FQ1 2024","FQ1 2024","Currency=USD","Period=FQ","BEST_FPERIOD_OVERRIDE=FQ","FILING_STATUS=MR","Sort=A","Dates=H","DateFormat=P","Fill=—","Direction=H","UseDPDF=Y")</f>
        <v>126.4918</v>
      </c>
      <c r="Y93" s="13">
        <f>_xll.BDH("ALNY US Equity","ARDR_SHARE_OUT_FROM_FRONT_COVER","FQ2 2024","FQ2 2024","Currency=USD","Period=FQ","BEST_FPERIOD_OVERRIDE=FQ","FILING_STATUS=MR","Sort=A","Dates=H","DateFormat=P","Fill=—","Direction=H","UseDPDF=Y")</f>
        <v>128.38050000000001</v>
      </c>
      <c r="Z93" s="13">
        <f>_xll.BDH("ALNY US Equity","ARDR_SHARE_OUT_FROM_FRONT_COVER","FQ3 2024","FQ3 2024","Currency=USD","Period=FQ","BEST_FPERIOD_OVERRIDE=FQ","FILING_STATUS=MR","Sort=A","Dates=H","DateFormat=P","Fill=—","Direction=H","UseDPDF=Y")</f>
        <v>128.98089999999999</v>
      </c>
      <c r="AA93" s="13">
        <f>_xll.BDH("ALNY US Equity","ARDR_SHARE_OUT_FROM_FRONT_COVER","FQ4 2024","FQ4 2024","Currency=USD","Period=FQ","BEST_FPERIOD_OVERRIDE=FQ","FILING_STATUS=MR","Sort=A","Dates=H","DateFormat=P","Fill=—","Direction=H","UseDPDF=Y")</f>
        <v>129.4572</v>
      </c>
    </row>
    <row r="94" spans="1:27" x14ac:dyDescent="0.25">
      <c r="A94" s="10" t="s">
        <v>972</v>
      </c>
      <c r="B94" s="10" t="s">
        <v>973</v>
      </c>
      <c r="C94" s="14">
        <f>_xll.BDH("ALNY US Equity","ARDR_NUM_OF_EMPLOYEES_PERIOD_END","FQ4 2018","FQ4 2018","Currency=USD","Period=FQ","BEST_FPERIOD_OVERRIDE=FQ","FILING_STATUS=MR","Sort=A","Dates=H","DateFormat=P","Fill=—","Direction=H","UseDPDF=Y")</f>
        <v>1065</v>
      </c>
      <c r="D94" s="14" t="str">
        <f>_xll.BDH("ALNY US Equity","ARDR_NUM_OF_EMPLOYEES_PERIOD_END","FQ1 2019","FQ1 2019","Currency=USD","Period=FQ","BEST_FPERIOD_OVERRIDE=FQ","FILING_STATUS=MR","Sort=A","Dates=H","DateFormat=P","Fill=—","Direction=H","UseDPDF=Y")</f>
        <v>—</v>
      </c>
      <c r="E94" s="14" t="str">
        <f>_xll.BDH("ALNY US Equity","ARDR_NUM_OF_EMPLOYEES_PERIOD_END","FQ2 2019","FQ2 2019","Currency=USD","Period=FQ","BEST_FPERIOD_OVERRIDE=FQ","FILING_STATUS=MR","Sort=A","Dates=H","DateFormat=P","Fill=—","Direction=H","UseDPDF=Y")</f>
        <v>—</v>
      </c>
      <c r="F94" s="14" t="str">
        <f>_xll.BDH("ALNY US Equity","ARDR_NUM_OF_EMPLOYEES_PERIOD_END","FQ3 2019","FQ3 2019","Currency=USD","Period=FQ","BEST_FPERIOD_OVERRIDE=FQ","FILING_STATUS=MR","Sort=A","Dates=H","DateFormat=P","Fill=—","Direction=H","UseDPDF=Y")</f>
        <v>—</v>
      </c>
      <c r="G94" s="14">
        <f>_xll.BDH("ALNY US Equity","ARDR_NUM_OF_EMPLOYEES_PERIOD_END","FQ4 2019","FQ4 2019","Currency=USD","Period=FQ","BEST_FPERIOD_OVERRIDE=FQ","FILING_STATUS=MR","Sort=A","Dates=H","DateFormat=P","Fill=—","Direction=H","UseDPDF=Y")</f>
        <v>1323</v>
      </c>
      <c r="H94" s="14" t="str">
        <f>_xll.BDH("ALNY US Equity","ARDR_NUM_OF_EMPLOYEES_PERIOD_END","FQ1 2020","FQ1 2020","Currency=USD","Period=FQ","BEST_FPERIOD_OVERRIDE=FQ","FILING_STATUS=MR","Sort=A","Dates=H","DateFormat=P","Fill=—","Direction=H","UseDPDF=Y")</f>
        <v>—</v>
      </c>
      <c r="I94" s="14" t="str">
        <f>_xll.BDH("ALNY US Equity","ARDR_NUM_OF_EMPLOYEES_PERIOD_END","FQ2 2020","FQ2 2020","Currency=USD","Period=FQ","BEST_FPERIOD_OVERRIDE=FQ","FILING_STATUS=MR","Sort=A","Dates=H","DateFormat=P","Fill=—","Direction=H","UseDPDF=Y")</f>
        <v>—</v>
      </c>
      <c r="J94" s="14" t="str">
        <f>_xll.BDH("ALNY US Equity","ARDR_NUM_OF_EMPLOYEES_PERIOD_END","FQ3 2020","FQ3 2020","Currency=USD","Period=FQ","BEST_FPERIOD_OVERRIDE=FQ","FILING_STATUS=MR","Sort=A","Dates=H","DateFormat=P","Fill=—","Direction=H","UseDPDF=Y")</f>
        <v>—</v>
      </c>
      <c r="K94" s="14">
        <f>_xll.BDH("ALNY US Equity","ARDR_NUM_OF_EMPLOYEES_PERIOD_END","FQ4 2020","FQ4 2020","Currency=USD","Period=FQ","BEST_FPERIOD_OVERRIDE=FQ","FILING_STATUS=MR","Sort=A","Dates=H","DateFormat=P","Fill=—","Direction=H","UseDPDF=Y")</f>
        <v>1453</v>
      </c>
      <c r="L94" s="14" t="str">
        <f>_xll.BDH("ALNY US Equity","ARDR_NUM_OF_EMPLOYEES_PERIOD_END","FQ1 2021","FQ1 2021","Currency=USD","Period=FQ","BEST_FPERIOD_OVERRIDE=FQ","FILING_STATUS=MR","Sort=A","Dates=H","DateFormat=P","Fill=—","Direction=H","UseDPDF=Y")</f>
        <v>—</v>
      </c>
      <c r="M94" s="14" t="str">
        <f>_xll.BDH("ALNY US Equity","ARDR_NUM_OF_EMPLOYEES_PERIOD_END","FQ2 2021","FQ2 2021","Currency=USD","Period=FQ","BEST_FPERIOD_OVERRIDE=FQ","FILING_STATUS=MR","Sort=A","Dates=H","DateFormat=P","Fill=—","Direction=H","UseDPDF=Y")</f>
        <v>—</v>
      </c>
      <c r="N94" s="14" t="str">
        <f>_xll.BDH("ALNY US Equity","ARDR_NUM_OF_EMPLOYEES_PERIOD_END","FQ3 2021","FQ3 2021","Currency=USD","Period=FQ","BEST_FPERIOD_OVERRIDE=FQ","FILING_STATUS=MR","Sort=A","Dates=H","DateFormat=P","Fill=—","Direction=H","UseDPDF=Y")</f>
        <v>—</v>
      </c>
      <c r="O94" s="14">
        <f>_xll.BDH("ALNY US Equity","ARDR_NUM_OF_EMPLOYEES_PERIOD_END","FQ4 2021","FQ4 2021","Currency=USD","Period=FQ","BEST_FPERIOD_OVERRIDE=FQ","FILING_STATUS=MR","Sort=A","Dates=H","DateFormat=P","Fill=—","Direction=H","UseDPDF=Y")</f>
        <v>1665</v>
      </c>
      <c r="P94" s="14" t="str">
        <f>_xll.BDH("ALNY US Equity","ARDR_NUM_OF_EMPLOYEES_PERIOD_END","FQ1 2022","FQ1 2022","Currency=USD","Period=FQ","BEST_FPERIOD_OVERRIDE=FQ","FILING_STATUS=MR","Sort=A","Dates=H","DateFormat=P","Fill=—","Direction=H","UseDPDF=Y")</f>
        <v>—</v>
      </c>
      <c r="Q94" s="14" t="str">
        <f>_xll.BDH("ALNY US Equity","ARDR_NUM_OF_EMPLOYEES_PERIOD_END","FQ2 2022","FQ2 2022","Currency=USD","Period=FQ","BEST_FPERIOD_OVERRIDE=FQ","FILING_STATUS=MR","Sort=A","Dates=H","DateFormat=P","Fill=—","Direction=H","UseDPDF=Y")</f>
        <v>—</v>
      </c>
      <c r="R94" s="14" t="str">
        <f>_xll.BDH("ALNY US Equity","ARDR_NUM_OF_EMPLOYEES_PERIOD_END","FQ3 2022","FQ3 2022","Currency=USD","Period=FQ","BEST_FPERIOD_OVERRIDE=FQ","FILING_STATUS=MR","Sort=A","Dates=H","DateFormat=P","Fill=—","Direction=H","UseDPDF=Y")</f>
        <v>—</v>
      </c>
      <c r="S94" s="14">
        <f>_xll.BDH("ALNY US Equity","ARDR_NUM_OF_EMPLOYEES_PERIOD_END","FQ4 2022","FQ4 2022","Currency=USD","Period=FQ","BEST_FPERIOD_OVERRIDE=FQ","FILING_STATUS=MR","Sort=A","Dates=H","DateFormat=P","Fill=—","Direction=H","UseDPDF=Y")</f>
        <v>2002</v>
      </c>
      <c r="T94" s="14" t="str">
        <f>_xll.BDH("ALNY US Equity","ARDR_NUM_OF_EMPLOYEES_PERIOD_END","FQ1 2023","FQ1 2023","Currency=USD","Period=FQ","BEST_FPERIOD_OVERRIDE=FQ","FILING_STATUS=MR","Sort=A","Dates=H","DateFormat=P","Fill=—","Direction=H","UseDPDF=Y")</f>
        <v>—</v>
      </c>
      <c r="U94" s="14" t="str">
        <f>_xll.BDH("ALNY US Equity","ARDR_NUM_OF_EMPLOYEES_PERIOD_END","FQ2 2023","FQ2 2023","Currency=USD","Period=FQ","BEST_FPERIOD_OVERRIDE=FQ","FILING_STATUS=MR","Sort=A","Dates=H","DateFormat=P","Fill=—","Direction=H","UseDPDF=Y")</f>
        <v>—</v>
      </c>
      <c r="V94" s="14" t="str">
        <f>_xll.BDH("ALNY US Equity","ARDR_NUM_OF_EMPLOYEES_PERIOD_END","FQ3 2023","FQ3 2023","Currency=USD","Period=FQ","BEST_FPERIOD_OVERRIDE=FQ","FILING_STATUS=MR","Sort=A","Dates=H","DateFormat=P","Fill=—","Direction=H","UseDPDF=Y")</f>
        <v>—</v>
      </c>
      <c r="W94" s="14">
        <f>_xll.BDH("ALNY US Equity","ARDR_NUM_OF_EMPLOYEES_PERIOD_END","FQ4 2023","FQ4 2023","Currency=USD","Period=FQ","BEST_FPERIOD_OVERRIDE=FQ","FILING_STATUS=MR","Sort=A","Dates=H","DateFormat=P","Fill=—","Direction=H","UseDPDF=Y")</f>
        <v>2100</v>
      </c>
      <c r="X94" s="14" t="str">
        <f>_xll.BDH("ALNY US Equity","ARDR_NUM_OF_EMPLOYEES_PERIOD_END","FQ1 2024","FQ1 2024","Currency=USD","Period=FQ","BEST_FPERIOD_OVERRIDE=FQ","FILING_STATUS=MR","Sort=A","Dates=H","DateFormat=P","Fill=—","Direction=H","UseDPDF=Y")</f>
        <v>—</v>
      </c>
      <c r="Y94" s="14" t="str">
        <f>_xll.BDH("ALNY US Equity","ARDR_NUM_OF_EMPLOYEES_PERIOD_END","FQ2 2024","FQ2 2024","Currency=USD","Period=FQ","BEST_FPERIOD_OVERRIDE=FQ","FILING_STATUS=MR","Sort=A","Dates=H","DateFormat=P","Fill=—","Direction=H","UseDPDF=Y")</f>
        <v>—</v>
      </c>
      <c r="Z94" s="14" t="str">
        <f>_xll.BDH("ALNY US Equity","ARDR_NUM_OF_EMPLOYEES_PERIOD_END","FQ3 2024","FQ3 2024","Currency=USD","Period=FQ","BEST_FPERIOD_OVERRIDE=FQ","FILING_STATUS=MR","Sort=A","Dates=H","DateFormat=P","Fill=—","Direction=H","UseDPDF=Y")</f>
        <v>—</v>
      </c>
      <c r="AA94" s="14">
        <f>_xll.BDH("ALNY US Equity","ARDR_NUM_OF_EMPLOYEES_PERIOD_END","FQ4 2024","FQ4 2024","Currency=USD","Period=FQ","BEST_FPERIOD_OVERRIDE=FQ","FILING_STATUS=MR","Sort=A","Dates=H","DateFormat=P","Fill=—","Direction=H","UseDPDF=Y")</f>
        <v>2230</v>
      </c>
    </row>
    <row r="95" spans="1:27" x14ac:dyDescent="0.25">
      <c r="A95" s="10" t="s">
        <v>974</v>
      </c>
      <c r="B95" s="10" t="s">
        <v>975</v>
      </c>
      <c r="C95" s="13">
        <f>_xll.BDH("ALNY US Equity","ARDR_CASH_EQUIVALENTS_MKT_SECS","FQ4 2018","FQ4 2018","Currency=USD","Period=FQ","BEST_FPERIOD_OVERRIDE=FQ","FILING_STATUS=MR","SCALING_FORMAT=MLN","Sort=A","Dates=H","DateFormat=P","Fill=—","Direction=H","UseDPDF=Y")</f>
        <v>1084.155</v>
      </c>
      <c r="D95" s="13">
        <f>_xll.BDH("ALNY US Equity","ARDR_CASH_EQUIVALENTS_MKT_SECS","FQ1 2019","FQ1 2019","Currency=USD","Period=FQ","BEST_FPERIOD_OVERRIDE=FQ","FILING_STATUS=MR","SCALING_FORMAT=MLN","Sort=A","Dates=H","DateFormat=P","Fill=—","Direction=H","UseDPDF=Y")</f>
        <v>1300</v>
      </c>
      <c r="E95" s="13">
        <f>_xll.BDH("ALNY US Equity","ARDR_CASH_EQUIVALENTS_MKT_SECS","FQ2 2019","FQ2 2019","Currency=USD","Period=FQ","BEST_FPERIOD_OVERRIDE=FQ","FILING_STATUS=MR","SCALING_FORMAT=MLN","Sort=A","Dates=H","DateFormat=P","Fill=—","Direction=H","UseDPDF=Y")</f>
        <v>1970</v>
      </c>
      <c r="F95" s="13">
        <f>_xll.BDH("ALNY US Equity","ARDR_CASH_EQUIVALENTS_MKT_SECS","FQ3 2019","FQ3 2019","Currency=USD","Period=FQ","BEST_FPERIOD_OVERRIDE=FQ","FILING_STATUS=MR","SCALING_FORMAT=MLN","Sort=A","Dates=H","DateFormat=P","Fill=—","Direction=H","UseDPDF=Y")</f>
        <v>1740</v>
      </c>
      <c r="G95" s="13">
        <f>_xll.BDH("ALNY US Equity","ARDR_CASH_EQUIVALENTS_MKT_SECS","FQ4 2019","FQ4 2019","Currency=USD","Period=FQ","BEST_FPERIOD_OVERRIDE=FQ","FILING_STATUS=MR","SCALING_FORMAT=MLN","Sort=A","Dates=H","DateFormat=P","Fill=—","Direction=H","UseDPDF=Y")</f>
        <v>1536.162</v>
      </c>
      <c r="H95" s="13" t="str">
        <f>_xll.BDH("ALNY US Equity","ARDR_CASH_EQUIVALENTS_MKT_SECS","FQ1 2020","FQ1 2020","Currency=USD","Period=FQ","BEST_FPERIOD_OVERRIDE=FQ","FILING_STATUS=MR","SCALING_FORMAT=MLN","Sort=A","Dates=H","DateFormat=P","Fill=—","Direction=H","UseDPDF=Y")</f>
        <v>—</v>
      </c>
      <c r="I95" s="13" t="str">
        <f>_xll.BDH("ALNY US Equity","ARDR_CASH_EQUIVALENTS_MKT_SECS","FQ2 2020","FQ2 2020","Currency=USD","Period=FQ","BEST_FPERIOD_OVERRIDE=FQ","FILING_STATUS=MR","SCALING_FORMAT=MLN","Sort=A","Dates=H","DateFormat=P","Fill=—","Direction=H","UseDPDF=Y")</f>
        <v>—</v>
      </c>
      <c r="J95" s="13">
        <f>_xll.BDH("ALNY US Equity","ARDR_CASH_EQUIVALENTS_MKT_SECS","FQ3 2020","FQ3 2020","Currency=USD","Period=FQ","BEST_FPERIOD_OVERRIDE=FQ","FILING_STATUS=MR","SCALING_FORMAT=MLN","Sort=A","Dates=H","DateFormat=P","Fill=—","Direction=H","UseDPDF=Y")</f>
        <v>1830</v>
      </c>
      <c r="K95" s="13">
        <f>_xll.BDH("ALNY US Equity","ARDR_CASH_EQUIVALENTS_MKT_SECS","FQ4 2020","FQ4 2020","Currency=USD","Period=FQ","BEST_FPERIOD_OVERRIDE=FQ","FILING_STATUS=MR","SCALING_FORMAT=MLN","Sort=A","Dates=H","DateFormat=P","Fill=—","Direction=H","UseDPDF=Y")</f>
        <v>1870</v>
      </c>
      <c r="L95" s="13" t="str">
        <f>_xll.BDH("ALNY US Equity","ARDR_CASH_EQUIVALENTS_MKT_SECS","FQ1 2021","FQ1 2021","Currency=USD","Period=FQ","BEST_FPERIOD_OVERRIDE=FQ","FILING_STATUS=MR","SCALING_FORMAT=MLN","Sort=A","Dates=H","DateFormat=P","Fill=—","Direction=H","UseDPDF=Y")</f>
        <v>—</v>
      </c>
      <c r="M95" s="13" t="str">
        <f>_xll.BDH("ALNY US Equity","ARDR_CASH_EQUIVALENTS_MKT_SECS","FQ2 2021","FQ2 2021","Currency=USD","Period=FQ","BEST_FPERIOD_OVERRIDE=FQ","FILING_STATUS=MR","SCALING_FORMAT=MLN","Sort=A","Dates=H","DateFormat=P","Fill=—","Direction=H","UseDPDF=Y")</f>
        <v>—</v>
      </c>
      <c r="N95" s="13" t="str">
        <f>_xll.BDH("ALNY US Equity","ARDR_CASH_EQUIVALENTS_MKT_SECS","FQ3 2021","FQ3 2021","Currency=USD","Period=FQ","BEST_FPERIOD_OVERRIDE=FQ","FILING_STATUS=MR","SCALING_FORMAT=MLN","Sort=A","Dates=H","DateFormat=P","Fill=—","Direction=H","UseDPDF=Y")</f>
        <v>—</v>
      </c>
      <c r="O95" s="13">
        <f>_xll.BDH("ALNY US Equity","ARDR_CASH_EQUIVALENTS_MKT_SECS","FQ4 2021","FQ4 2021","Currency=USD","Period=FQ","BEST_FPERIOD_OVERRIDE=FQ","FILING_STATUS=MR","SCALING_FORMAT=MLN","Sort=A","Dates=H","DateFormat=P","Fill=—","Direction=H","UseDPDF=Y")</f>
        <v>819.97500000000002</v>
      </c>
      <c r="P95" s="13" t="str">
        <f>_xll.BDH("ALNY US Equity","ARDR_CASH_EQUIVALENTS_MKT_SECS","FQ1 2022","FQ1 2022","Currency=USD","Period=FQ","BEST_FPERIOD_OVERRIDE=FQ","FILING_STATUS=MR","SCALING_FORMAT=MLN","Sort=A","Dates=H","DateFormat=P","Fill=—","Direction=H","UseDPDF=Y")</f>
        <v>—</v>
      </c>
      <c r="Q95" s="13">
        <f>_xll.BDH("ALNY US Equity","ARDR_CASH_EQUIVALENTS_MKT_SECS","FQ2 2022","FQ2 2022","Currency=USD","Period=FQ","BEST_FPERIOD_OVERRIDE=FQ","FILING_STATUS=MR","SCALING_FORMAT=MLN","Sort=A","Dates=H","DateFormat=P","Fill=—","Direction=H","UseDPDF=Y")</f>
        <v>575.55799999999999</v>
      </c>
      <c r="R95" s="13">
        <f>_xll.BDH("ALNY US Equity","ARDR_CASH_EQUIVALENTS_MKT_SECS","FQ3 2022","FQ3 2022","Currency=USD","Period=FQ","BEST_FPERIOD_OVERRIDE=FQ","FILING_STATUS=MR","SCALING_FORMAT=MLN","Sort=A","Dates=H","DateFormat=P","Fill=—","Direction=H","UseDPDF=Y")</f>
        <v>1073.2280000000001</v>
      </c>
      <c r="S95" s="13">
        <f>_xll.BDH("ALNY US Equity","ARDR_CASH_EQUIVALENTS_MKT_SECS","FQ4 2022","FQ4 2022","Currency=USD","Period=FQ","BEST_FPERIOD_OVERRIDE=FQ","FILING_STATUS=MR","SCALING_FORMAT=MLN","Sort=A","Dates=H","DateFormat=P","Fill=—","Direction=H","UseDPDF=Y")</f>
        <v>2192.4059999999999</v>
      </c>
      <c r="T95" s="13">
        <f>_xll.BDH("ALNY US Equity","ARDR_CASH_EQUIVALENTS_MKT_SECS","FQ1 2023","FQ1 2023","Currency=USD","Period=FQ","BEST_FPERIOD_OVERRIDE=FQ","FILING_STATUS=MR","SCALING_FORMAT=MLN","Sort=A","Dates=H","DateFormat=P","Fill=—","Direction=H","UseDPDF=Y")</f>
        <v>2070.6750000000002</v>
      </c>
      <c r="U95" s="13">
        <f>_xll.BDH("ALNY US Equity","ARDR_CASH_EQUIVALENTS_MKT_SECS","FQ2 2023","FQ2 2023","Currency=USD","Period=FQ","BEST_FPERIOD_OVERRIDE=FQ","FILING_STATUS=MR","SCALING_FORMAT=MLN","Sort=A","Dates=H","DateFormat=P","Fill=—","Direction=H","UseDPDF=Y")</f>
        <v>2057.5070000000001</v>
      </c>
      <c r="V95" s="13">
        <f>_xll.BDH("ALNY US Equity","ARDR_CASH_EQUIVALENTS_MKT_SECS","FQ3 2023","FQ3 2023","Currency=USD","Period=FQ","BEST_FPERIOD_OVERRIDE=FQ","FILING_STATUS=MR","SCALING_FORMAT=MLN","Sort=A","Dates=H","DateFormat=P","Fill=—","Direction=H","UseDPDF=Y")</f>
        <v>2406.2779999999998</v>
      </c>
      <c r="W95" s="13">
        <f>_xll.BDH("ALNY US Equity","ARDR_CASH_EQUIVALENTS_MKT_SECS","FQ4 2023","FQ4 2023","Currency=USD","Period=FQ","BEST_FPERIOD_OVERRIDE=FQ","FILING_STATUS=MR","SCALING_FORMAT=MLN","Sort=A","Dates=H","DateFormat=P","Fill=—","Direction=H","UseDPDF=Y")</f>
        <v>2456.326</v>
      </c>
      <c r="X95" s="13">
        <f>_xll.BDH("ALNY US Equity","ARDR_CASH_EQUIVALENTS_MKT_SECS","FQ1 2024","FQ1 2024","Currency=USD","Period=FQ","BEST_FPERIOD_OVERRIDE=FQ","FILING_STATUS=MR","SCALING_FORMAT=MLN","Sort=A","Dates=H","DateFormat=P","Fill=—","Direction=H","UseDPDF=Y")</f>
        <v>2371.2820000000002</v>
      </c>
      <c r="Y95" s="13">
        <f>_xll.BDH("ALNY US Equity","ARDR_CASH_EQUIVALENTS_MKT_SECS","FQ2 2024","FQ2 2024","Currency=USD","Period=FQ","BEST_FPERIOD_OVERRIDE=FQ","FILING_STATUS=MR","SCALING_FORMAT=MLN","Sort=A","Dates=H","DateFormat=P","Fill=—","Direction=H","UseDPDF=Y")</f>
        <v>2624.6489999999999</v>
      </c>
      <c r="Z95" s="13">
        <f>_xll.BDH("ALNY US Equity","ARDR_CASH_EQUIVALENTS_MKT_SECS","FQ3 2024","FQ3 2024","Currency=USD","Period=FQ","BEST_FPERIOD_OVERRIDE=FQ","FILING_STATUS=MR","SCALING_FORMAT=MLN","Sort=A","Dates=H","DateFormat=P","Fill=—","Direction=H","UseDPDF=Y")</f>
        <v>2780.2350000000001</v>
      </c>
      <c r="AA95" s="13">
        <f>_xll.BDH("ALNY US Equity","ARDR_CASH_EQUIVALENTS_MKT_SECS","FQ4 2024","FQ4 2024","Currency=USD","Period=FQ","BEST_FPERIOD_OVERRIDE=FQ","FILING_STATUS=MR","SCALING_FORMAT=MLN","Sort=A","Dates=H","DateFormat=P","Fill=—","Direction=H","UseDPDF=Y")</f>
        <v>2694.5039999999999</v>
      </c>
    </row>
    <row r="96" spans="1:27" x14ac:dyDescent="0.25">
      <c r="A96" s="10" t="s">
        <v>809</v>
      </c>
      <c r="B96" s="10" t="s">
        <v>976</v>
      </c>
      <c r="C96" s="13" t="str">
        <f>_xll.BDH("ALNY US Equity","ARDR_OPTIONS_GRANTED_DURING_PER","FQ4 2018","FQ4 2018","Currency=USD","Period=FQ","BEST_FPERIOD_OVERRIDE=FQ","FILING_STATUS=MR","SCALING_FORMAT=MLN","Sort=A","Dates=H","DateFormat=P","Fill=—","Direction=H","UseDPDF=Y")</f>
        <v>—</v>
      </c>
      <c r="D96" s="13" t="str">
        <f>_xll.BDH("ALNY US Equity","ARDR_OPTIONS_GRANTED_DURING_PER","FQ1 2019","FQ1 2019","Currency=USD","Period=FQ","BEST_FPERIOD_OVERRIDE=FQ","FILING_STATUS=MR","SCALING_FORMAT=MLN","Sort=A","Dates=H","DateFormat=P","Fill=—","Direction=H","UseDPDF=Y")</f>
        <v>—</v>
      </c>
      <c r="E96" s="13" t="str">
        <f>_xll.BDH("ALNY US Equity","ARDR_OPTIONS_GRANTED_DURING_PER","FQ2 2019","FQ2 2019","Currency=USD","Period=FQ","BEST_FPERIOD_OVERRIDE=FQ","FILING_STATUS=MR","SCALING_FORMAT=MLN","Sort=A","Dates=H","DateFormat=P","Fill=—","Direction=H","UseDPDF=Y")</f>
        <v>—</v>
      </c>
      <c r="F96" s="13" t="str">
        <f>_xll.BDH("ALNY US Equity","ARDR_OPTIONS_GRANTED_DURING_PER","FQ3 2019","FQ3 2019","Currency=USD","Period=FQ","BEST_FPERIOD_OVERRIDE=FQ","FILING_STATUS=MR","SCALING_FORMAT=MLN","Sort=A","Dates=H","DateFormat=P","Fill=—","Direction=H","UseDPDF=Y")</f>
        <v>—</v>
      </c>
      <c r="G96" s="13" t="str">
        <f>_xll.BDH("ALNY US Equity","ARDR_OPTIONS_GRANTED_DURING_PER","FQ4 2019","FQ4 2019","Currency=USD","Period=FQ","BEST_FPERIOD_OVERRIDE=FQ","FILING_STATUS=MR","SCALING_FORMAT=MLN","Sort=A","Dates=H","DateFormat=P","Fill=—","Direction=H","UseDPDF=Y")</f>
        <v>—</v>
      </c>
      <c r="H96" s="13" t="str">
        <f>_xll.BDH("ALNY US Equity","ARDR_OPTIONS_GRANTED_DURING_PER","FQ1 2020","FQ1 2020","Currency=USD","Period=FQ","BEST_FPERIOD_OVERRIDE=FQ","FILING_STATUS=MR","SCALING_FORMAT=MLN","Sort=A","Dates=H","DateFormat=P","Fill=—","Direction=H","UseDPDF=Y")</f>
        <v>—</v>
      </c>
      <c r="I96" s="13" t="str">
        <f>_xll.BDH("ALNY US Equity","ARDR_OPTIONS_GRANTED_DURING_PER","FQ2 2020","FQ2 2020","Currency=USD","Period=FQ","BEST_FPERIOD_OVERRIDE=FQ","FILING_STATUS=MR","SCALING_FORMAT=MLN","Sort=A","Dates=H","DateFormat=P","Fill=—","Direction=H","UseDPDF=Y")</f>
        <v>—</v>
      </c>
      <c r="J96" s="13" t="str">
        <f>_xll.BDH("ALNY US Equity","ARDR_OPTIONS_GRANTED_DURING_PER","FQ3 2020","FQ3 2020","Currency=USD","Period=FQ","BEST_FPERIOD_OVERRIDE=FQ","FILING_STATUS=MR","SCALING_FORMAT=MLN","Sort=A","Dates=H","DateFormat=P","Fill=—","Direction=H","UseDPDF=Y")</f>
        <v>—</v>
      </c>
      <c r="K96" s="13" t="str">
        <f>_xll.BDH("ALNY US Equity","ARDR_OPTIONS_GRANTED_DURING_PER","FQ4 2020","FQ4 2020","Currency=USD","Period=FQ","BEST_FPERIOD_OVERRIDE=FQ","FILING_STATUS=MR","SCALING_FORMAT=MLN","Sort=A","Dates=H","DateFormat=P","Fill=—","Direction=H","UseDPDF=Y")</f>
        <v>—</v>
      </c>
      <c r="L96" s="13" t="str">
        <f>_xll.BDH("ALNY US Equity","ARDR_OPTIONS_GRANTED_DURING_PER","FQ1 2021","FQ1 2021","Currency=USD","Period=FQ","BEST_FPERIOD_OVERRIDE=FQ","FILING_STATUS=MR","SCALING_FORMAT=MLN","Sort=A","Dates=H","DateFormat=P","Fill=—","Direction=H","UseDPDF=Y")</f>
        <v>—</v>
      </c>
      <c r="M96" s="13" t="str">
        <f>_xll.BDH("ALNY US Equity","ARDR_OPTIONS_GRANTED_DURING_PER","FQ2 2021","FQ2 2021","Currency=USD","Period=FQ","BEST_FPERIOD_OVERRIDE=FQ","FILING_STATUS=MR","SCALING_FORMAT=MLN","Sort=A","Dates=H","DateFormat=P","Fill=—","Direction=H","UseDPDF=Y")</f>
        <v>—</v>
      </c>
      <c r="N96" s="13" t="str">
        <f>_xll.BDH("ALNY US Equity","ARDR_OPTIONS_GRANTED_DURING_PER","FQ3 2021","FQ3 2021","Currency=USD","Period=FQ","BEST_FPERIOD_OVERRIDE=FQ","FILING_STATUS=MR","SCALING_FORMAT=MLN","Sort=A","Dates=H","DateFormat=P","Fill=—","Direction=H","UseDPDF=Y")</f>
        <v>—</v>
      </c>
      <c r="O96" s="13">
        <f>_xll.BDH("ALNY US Equity","ARDR_OPTIONS_GRANTED_DURING_PER","FQ4 2021","FQ4 2021","Currency=USD","Period=FQ","BEST_FPERIOD_OVERRIDE=FQ","FILING_STATUS=MR","SCALING_FORMAT=MLN","Sort=A","Dates=H","DateFormat=P","Fill=—","Direction=H","UseDPDF=Y")</f>
        <v>1.893</v>
      </c>
      <c r="P96" s="13" t="str">
        <f>_xll.BDH("ALNY US Equity","ARDR_OPTIONS_GRANTED_DURING_PER","FQ1 2022","FQ1 2022","Currency=USD","Period=FQ","BEST_FPERIOD_OVERRIDE=FQ","FILING_STATUS=MR","SCALING_FORMAT=MLN","Sort=A","Dates=H","DateFormat=P","Fill=—","Direction=H","UseDPDF=Y")</f>
        <v>—</v>
      </c>
      <c r="Q96" s="13" t="str">
        <f>_xll.BDH("ALNY US Equity","ARDR_OPTIONS_GRANTED_DURING_PER","FQ2 2022","FQ2 2022","Currency=USD","Period=FQ","BEST_FPERIOD_OVERRIDE=FQ","FILING_STATUS=MR","SCALING_FORMAT=MLN","Sort=A","Dates=H","DateFormat=P","Fill=—","Direction=H","UseDPDF=Y")</f>
        <v>—</v>
      </c>
      <c r="R96" s="13" t="str">
        <f>_xll.BDH("ALNY US Equity","ARDR_OPTIONS_GRANTED_DURING_PER","FQ3 2022","FQ3 2022","Currency=USD","Period=FQ","BEST_FPERIOD_OVERRIDE=FQ","FILING_STATUS=MR","SCALING_FORMAT=MLN","Sort=A","Dates=H","DateFormat=P","Fill=—","Direction=H","UseDPDF=Y")</f>
        <v>—</v>
      </c>
      <c r="S96" s="13" t="str">
        <f>_xll.BDH("ALNY US Equity","ARDR_OPTIONS_GRANTED_DURING_PER","FQ4 2022","FQ4 2022","Currency=USD","Period=FQ","BEST_FPERIOD_OVERRIDE=FQ","FILING_STATUS=MR","SCALING_FORMAT=MLN","Sort=A","Dates=H","DateFormat=P","Fill=—","Direction=H","UseDPDF=Y")</f>
        <v>—</v>
      </c>
      <c r="T96" s="13" t="str">
        <f>_xll.BDH("ALNY US Equity","ARDR_OPTIONS_GRANTED_DURING_PER","FQ1 2023","FQ1 2023","Currency=USD","Period=FQ","BEST_FPERIOD_OVERRIDE=FQ","FILING_STATUS=MR","SCALING_FORMAT=MLN","Sort=A","Dates=H","DateFormat=P","Fill=—","Direction=H","UseDPDF=Y")</f>
        <v>—</v>
      </c>
      <c r="U96" s="13" t="str">
        <f>_xll.BDH("ALNY US Equity","ARDR_OPTIONS_GRANTED_DURING_PER","FQ2 2023","FQ2 2023","Currency=USD","Period=FQ","BEST_FPERIOD_OVERRIDE=FQ","FILING_STATUS=MR","SCALING_FORMAT=MLN","Sort=A","Dates=H","DateFormat=P","Fill=—","Direction=H","UseDPDF=Y")</f>
        <v>—</v>
      </c>
      <c r="V96" s="13" t="str">
        <f>_xll.BDH("ALNY US Equity","ARDR_OPTIONS_GRANTED_DURING_PER","FQ3 2023","FQ3 2023","Currency=USD","Period=FQ","BEST_FPERIOD_OVERRIDE=FQ","FILING_STATUS=MR","SCALING_FORMAT=MLN","Sort=A","Dates=H","DateFormat=P","Fill=—","Direction=H","UseDPDF=Y")</f>
        <v>—</v>
      </c>
      <c r="W96" s="13" t="str">
        <f>_xll.BDH("ALNY US Equity","ARDR_OPTIONS_GRANTED_DURING_PER","FQ4 2023","FQ4 2023","Currency=USD","Period=FQ","BEST_FPERIOD_OVERRIDE=FQ","FILING_STATUS=MR","SCALING_FORMAT=MLN","Sort=A","Dates=H","DateFormat=P","Fill=—","Direction=H","UseDPDF=Y")</f>
        <v>—</v>
      </c>
      <c r="X96" s="13" t="str">
        <f>_xll.BDH("ALNY US Equity","ARDR_OPTIONS_GRANTED_DURING_PER","FQ1 2024","FQ1 2024","Currency=USD","Period=FQ","BEST_FPERIOD_OVERRIDE=FQ","FILING_STATUS=MR","SCALING_FORMAT=MLN","Sort=A","Dates=H","DateFormat=P","Fill=—","Direction=H","UseDPDF=Y")</f>
        <v>—</v>
      </c>
      <c r="Y96" s="13" t="str">
        <f>_xll.BDH("ALNY US Equity","ARDR_OPTIONS_GRANTED_DURING_PER","FQ2 2024","FQ2 2024","Currency=USD","Period=FQ","BEST_FPERIOD_OVERRIDE=FQ","FILING_STATUS=MR","SCALING_FORMAT=MLN","Sort=A","Dates=H","DateFormat=P","Fill=—","Direction=H","UseDPDF=Y")</f>
        <v>—</v>
      </c>
      <c r="Z96" s="13" t="str">
        <f>_xll.BDH("ALNY US Equity","ARDR_OPTIONS_GRANTED_DURING_PER","FQ3 2024","FQ3 2024","Currency=USD","Period=FQ","BEST_FPERIOD_OVERRIDE=FQ","FILING_STATUS=MR","SCALING_FORMAT=MLN","Sort=A","Dates=H","DateFormat=P","Fill=—","Direction=H","UseDPDF=Y")</f>
        <v>—</v>
      </c>
      <c r="AA96" s="13" t="str">
        <f>_xll.BDH("ALNY US Equity","ARDR_OPTIONS_GRANTED_DURING_PER","FQ4 2024","FQ4 2024","Currency=USD","Period=FQ","BEST_FPERIOD_OVERRIDE=FQ","FILING_STATUS=MR","SCALING_FORMAT=MLN","Sort=A","Dates=H","DateFormat=P","Fill=—","Direction=H","UseDPDF=Y")</f>
        <v>—</v>
      </c>
    </row>
    <row r="97" spans="1:27" x14ac:dyDescent="0.25">
      <c r="A97" s="10" t="s">
        <v>977</v>
      </c>
      <c r="B97" s="10" t="s">
        <v>978</v>
      </c>
      <c r="C97" s="13">
        <f>_xll.BDH("ALNY US Equity","ARDR_OPTIONS_OUTSTANDING_END_PER","FQ4 2018","FQ4 2018","Currency=USD","Period=FQ","BEST_FPERIOD_OVERRIDE=FQ","FILING_STATUS=MR","Sort=A","Dates=H","DateFormat=P","Fill=—","Direction=H","UseDPDF=Y")</f>
        <v>9.8290000000000006</v>
      </c>
      <c r="D97" s="13" t="str">
        <f>_xll.BDH("ALNY US Equity","ARDR_OPTIONS_OUTSTANDING_END_PER","FQ1 2019","FQ1 2019","Currency=USD","Period=FQ","BEST_FPERIOD_OVERRIDE=FQ","FILING_STATUS=MR","Sort=A","Dates=H","DateFormat=P","Fill=—","Direction=H","UseDPDF=Y")</f>
        <v>—</v>
      </c>
      <c r="E97" s="13" t="str">
        <f>_xll.BDH("ALNY US Equity","ARDR_OPTIONS_OUTSTANDING_END_PER","FQ2 2019","FQ2 2019","Currency=USD","Period=FQ","BEST_FPERIOD_OVERRIDE=FQ","FILING_STATUS=MR","Sort=A","Dates=H","DateFormat=P","Fill=—","Direction=H","UseDPDF=Y")</f>
        <v>—</v>
      </c>
      <c r="F97" s="13" t="str">
        <f>_xll.BDH("ALNY US Equity","ARDR_OPTIONS_OUTSTANDING_END_PER","FQ3 2019","FQ3 2019","Currency=USD","Period=FQ","BEST_FPERIOD_OVERRIDE=FQ","FILING_STATUS=MR","Sort=A","Dates=H","DateFormat=P","Fill=—","Direction=H","UseDPDF=Y")</f>
        <v>—</v>
      </c>
      <c r="G97" s="13">
        <f>_xll.BDH("ALNY US Equity","ARDR_OPTIONS_OUTSTANDING_END_PER","FQ4 2019","FQ4 2019","Currency=USD","Period=FQ","BEST_FPERIOD_OVERRIDE=FQ","FILING_STATUS=MR","Sort=A","Dates=H","DateFormat=P","Fill=—","Direction=H","UseDPDF=Y")</f>
        <v>10.878</v>
      </c>
      <c r="H97" s="13" t="str">
        <f>_xll.BDH("ALNY US Equity","ARDR_OPTIONS_OUTSTANDING_END_PER","FQ1 2020","FQ1 2020","Currency=USD","Period=FQ","BEST_FPERIOD_OVERRIDE=FQ","FILING_STATUS=MR","Sort=A","Dates=H","DateFormat=P","Fill=—","Direction=H","UseDPDF=Y")</f>
        <v>—</v>
      </c>
      <c r="I97" s="13" t="str">
        <f>_xll.BDH("ALNY US Equity","ARDR_OPTIONS_OUTSTANDING_END_PER","FQ2 2020","FQ2 2020","Currency=USD","Period=FQ","BEST_FPERIOD_OVERRIDE=FQ","FILING_STATUS=MR","Sort=A","Dates=H","DateFormat=P","Fill=—","Direction=H","UseDPDF=Y")</f>
        <v>—</v>
      </c>
      <c r="J97" s="13" t="str">
        <f>_xll.BDH("ALNY US Equity","ARDR_OPTIONS_OUTSTANDING_END_PER","FQ3 2020","FQ3 2020","Currency=USD","Period=FQ","BEST_FPERIOD_OVERRIDE=FQ","FILING_STATUS=MR","Sort=A","Dates=H","DateFormat=P","Fill=—","Direction=H","UseDPDF=Y")</f>
        <v>—</v>
      </c>
      <c r="K97" s="13">
        <f>_xll.BDH("ALNY US Equity","ARDR_OPTIONS_OUTSTANDING_END_PER","FQ4 2020","FQ4 2020","Currency=USD","Period=FQ","BEST_FPERIOD_OVERRIDE=FQ","FILING_STATUS=MR","Sort=A","Dates=H","DateFormat=P","Fill=—","Direction=H","UseDPDF=Y")</f>
        <v>10.068</v>
      </c>
      <c r="L97" s="13" t="str">
        <f>_xll.BDH("ALNY US Equity","ARDR_OPTIONS_OUTSTANDING_END_PER","FQ1 2021","FQ1 2021","Currency=USD","Period=FQ","BEST_FPERIOD_OVERRIDE=FQ","FILING_STATUS=MR","Sort=A","Dates=H","DateFormat=P","Fill=—","Direction=H","UseDPDF=Y")</f>
        <v>—</v>
      </c>
      <c r="M97" s="13" t="str">
        <f>_xll.BDH("ALNY US Equity","ARDR_OPTIONS_OUTSTANDING_END_PER","FQ2 2021","FQ2 2021","Currency=USD","Period=FQ","BEST_FPERIOD_OVERRIDE=FQ","FILING_STATUS=MR","Sort=A","Dates=H","DateFormat=P","Fill=—","Direction=H","UseDPDF=Y")</f>
        <v>—</v>
      </c>
      <c r="N97" s="13" t="str">
        <f>_xll.BDH("ALNY US Equity","ARDR_OPTIONS_OUTSTANDING_END_PER","FQ3 2021","FQ3 2021","Currency=USD","Period=FQ","BEST_FPERIOD_OVERRIDE=FQ","FILING_STATUS=MR","Sort=A","Dates=H","DateFormat=P","Fill=—","Direction=H","UseDPDF=Y")</f>
        <v>—</v>
      </c>
      <c r="O97" s="13">
        <f>_xll.BDH("ALNY US Equity","ARDR_OPTIONS_OUTSTANDING_END_PER","FQ4 2021","FQ4 2021","Currency=USD","Period=FQ","BEST_FPERIOD_OVERRIDE=FQ","FILING_STATUS=MR","Sort=A","Dates=H","DateFormat=P","Fill=—","Direction=H","UseDPDF=Y")</f>
        <v>8.84</v>
      </c>
      <c r="P97" s="13" t="str">
        <f>_xll.BDH("ALNY US Equity","ARDR_OPTIONS_OUTSTANDING_END_PER","FQ1 2022","FQ1 2022","Currency=USD","Period=FQ","BEST_FPERIOD_OVERRIDE=FQ","FILING_STATUS=MR","Sort=A","Dates=H","DateFormat=P","Fill=—","Direction=H","UseDPDF=Y")</f>
        <v>—</v>
      </c>
      <c r="Q97" s="13" t="str">
        <f>_xll.BDH("ALNY US Equity","ARDR_OPTIONS_OUTSTANDING_END_PER","FQ2 2022","FQ2 2022","Currency=USD","Period=FQ","BEST_FPERIOD_OVERRIDE=FQ","FILING_STATUS=MR","Sort=A","Dates=H","DateFormat=P","Fill=—","Direction=H","UseDPDF=Y")</f>
        <v>—</v>
      </c>
      <c r="R97" s="13" t="str">
        <f>_xll.BDH("ALNY US Equity","ARDR_OPTIONS_OUTSTANDING_END_PER","FQ3 2022","FQ3 2022","Currency=USD","Period=FQ","BEST_FPERIOD_OVERRIDE=FQ","FILING_STATUS=MR","Sort=A","Dates=H","DateFormat=P","Fill=—","Direction=H","UseDPDF=Y")</f>
        <v>—</v>
      </c>
      <c r="S97" s="13">
        <f>_xll.BDH("ALNY US Equity","ARDR_OPTIONS_OUTSTANDING_END_PER","FQ4 2022","FQ4 2022","Currency=USD","Period=FQ","BEST_FPERIOD_OVERRIDE=FQ","FILING_STATUS=MR","Sort=A","Dates=H","DateFormat=P","Fill=—","Direction=H","UseDPDF=Y")</f>
        <v>7.8680000000000003</v>
      </c>
      <c r="T97" s="13" t="str">
        <f>_xll.BDH("ALNY US Equity","ARDR_OPTIONS_OUTSTANDING_END_PER","FQ1 2023","FQ1 2023","Currency=USD","Period=FQ","BEST_FPERIOD_OVERRIDE=FQ","FILING_STATUS=MR","Sort=A","Dates=H","DateFormat=P","Fill=—","Direction=H","UseDPDF=Y")</f>
        <v>—</v>
      </c>
      <c r="U97" s="13" t="str">
        <f>_xll.BDH("ALNY US Equity","ARDR_OPTIONS_OUTSTANDING_END_PER","FQ2 2023","FQ2 2023","Currency=USD","Period=FQ","BEST_FPERIOD_OVERRIDE=FQ","FILING_STATUS=MR","Sort=A","Dates=H","DateFormat=P","Fill=—","Direction=H","UseDPDF=Y")</f>
        <v>—</v>
      </c>
      <c r="V97" s="13" t="str">
        <f>_xll.BDH("ALNY US Equity","ARDR_OPTIONS_OUTSTANDING_END_PER","FQ3 2023","FQ3 2023","Currency=USD","Period=FQ","BEST_FPERIOD_OVERRIDE=FQ","FILING_STATUS=MR","Sort=A","Dates=H","DateFormat=P","Fill=—","Direction=H","UseDPDF=Y")</f>
        <v>—</v>
      </c>
      <c r="W97" s="13">
        <f>_xll.BDH("ALNY US Equity","ARDR_OPTIONS_OUTSTANDING_END_PER","FQ4 2023","FQ4 2023","Currency=USD","Period=FQ","BEST_FPERIOD_OVERRIDE=FQ","FILING_STATUS=MR","Sort=A","Dates=H","DateFormat=P","Fill=—","Direction=H","UseDPDF=Y")</f>
        <v>6.96</v>
      </c>
      <c r="X97" s="13" t="str">
        <f>_xll.BDH("ALNY US Equity","ARDR_OPTIONS_OUTSTANDING_END_PER","FQ1 2024","FQ1 2024","Currency=USD","Period=FQ","BEST_FPERIOD_OVERRIDE=FQ","FILING_STATUS=MR","Sort=A","Dates=H","DateFormat=P","Fill=—","Direction=H","UseDPDF=Y")</f>
        <v>—</v>
      </c>
      <c r="Y97" s="13" t="str">
        <f>_xll.BDH("ALNY US Equity","ARDR_OPTIONS_OUTSTANDING_END_PER","FQ2 2024","FQ2 2024","Currency=USD","Period=FQ","BEST_FPERIOD_OVERRIDE=FQ","FILING_STATUS=MR","Sort=A","Dates=H","DateFormat=P","Fill=—","Direction=H","UseDPDF=Y")</f>
        <v>—</v>
      </c>
      <c r="Z97" s="13" t="str">
        <f>_xll.BDH("ALNY US Equity","ARDR_OPTIONS_OUTSTANDING_END_PER","FQ3 2024","FQ3 2024","Currency=USD","Period=FQ","BEST_FPERIOD_OVERRIDE=FQ","FILING_STATUS=MR","Sort=A","Dates=H","DateFormat=P","Fill=—","Direction=H","UseDPDF=Y")</f>
        <v>—</v>
      </c>
      <c r="AA97" s="13">
        <f>_xll.BDH("ALNY US Equity","ARDR_OPTIONS_OUTSTANDING_END_PER","FQ4 2024","FQ4 2024","Currency=USD","Period=FQ","BEST_FPERIOD_OVERRIDE=FQ","FILING_STATUS=MR","Sort=A","Dates=H","DateFormat=P","Fill=—","Direction=H","UseDPDF=Y")</f>
        <v>4.8630000000000004</v>
      </c>
    </row>
    <row r="98" spans="1:27" x14ac:dyDescent="0.25">
      <c r="A98" s="10" t="s">
        <v>904</v>
      </c>
      <c r="B98" s="10" t="s">
        <v>979</v>
      </c>
      <c r="C98" s="13" t="str">
        <f>_xll.BDH("ALNY US Equity","ARDR_SHARES_AUTHORIZED","FQ4 2018","FQ4 2018","Currency=USD","Period=FQ","BEST_FPERIOD_OVERRIDE=FQ","FILING_STATUS=MR","SCALING_FORMAT=MLN","Sort=A","Dates=H","DateFormat=P","Fill=—","Direction=H","UseDPDF=Y")</f>
        <v>—</v>
      </c>
      <c r="D98" s="13" t="str">
        <f>_xll.BDH("ALNY US Equity","ARDR_SHARES_AUTHORIZED","FQ1 2019","FQ1 2019","Currency=USD","Period=FQ","BEST_FPERIOD_OVERRIDE=FQ","FILING_STATUS=MR","SCALING_FORMAT=MLN","Sort=A","Dates=H","DateFormat=P","Fill=—","Direction=H","UseDPDF=Y")</f>
        <v>—</v>
      </c>
      <c r="E98" s="13" t="str">
        <f>_xll.BDH("ALNY US Equity","ARDR_SHARES_AUTHORIZED","FQ2 2019","FQ2 2019","Currency=USD","Period=FQ","BEST_FPERIOD_OVERRIDE=FQ","FILING_STATUS=MR","SCALING_FORMAT=MLN","Sort=A","Dates=H","DateFormat=P","Fill=—","Direction=H","UseDPDF=Y")</f>
        <v>—</v>
      </c>
      <c r="F98" s="13" t="str">
        <f>_xll.BDH("ALNY US Equity","ARDR_SHARES_AUTHORIZED","FQ3 2019","FQ3 2019","Currency=USD","Period=FQ","BEST_FPERIOD_OVERRIDE=FQ","FILING_STATUS=MR","SCALING_FORMAT=MLN","Sort=A","Dates=H","DateFormat=P","Fill=—","Direction=H","UseDPDF=Y")</f>
        <v>—</v>
      </c>
      <c r="G98" s="13" t="str">
        <f>_xll.BDH("ALNY US Equity","ARDR_SHARES_AUTHORIZED","FQ4 2019","FQ4 2019","Currency=USD","Period=FQ","BEST_FPERIOD_OVERRIDE=FQ","FILING_STATUS=MR","SCALING_FORMAT=MLN","Sort=A","Dates=H","DateFormat=P","Fill=—","Direction=H","UseDPDF=Y")</f>
        <v>—</v>
      </c>
      <c r="H98" s="13" t="str">
        <f>_xll.BDH("ALNY US Equity","ARDR_SHARES_AUTHORIZED","FQ1 2020","FQ1 2020","Currency=USD","Period=FQ","BEST_FPERIOD_OVERRIDE=FQ","FILING_STATUS=MR","SCALING_FORMAT=MLN","Sort=A","Dates=H","DateFormat=P","Fill=—","Direction=H","UseDPDF=Y")</f>
        <v>—</v>
      </c>
      <c r="I98" s="13" t="str">
        <f>_xll.BDH("ALNY US Equity","ARDR_SHARES_AUTHORIZED","FQ2 2020","FQ2 2020","Currency=USD","Period=FQ","BEST_FPERIOD_OVERRIDE=FQ","FILING_STATUS=MR","SCALING_FORMAT=MLN","Sort=A","Dates=H","DateFormat=P","Fill=—","Direction=H","UseDPDF=Y")</f>
        <v>—</v>
      </c>
      <c r="J98" s="13" t="str">
        <f>_xll.BDH("ALNY US Equity","ARDR_SHARES_AUTHORIZED","FQ3 2020","FQ3 2020","Currency=USD","Period=FQ","BEST_FPERIOD_OVERRIDE=FQ","FILING_STATUS=MR","SCALING_FORMAT=MLN","Sort=A","Dates=H","DateFormat=P","Fill=—","Direction=H","UseDPDF=Y")</f>
        <v>—</v>
      </c>
      <c r="K98" s="13" t="str">
        <f>_xll.BDH("ALNY US Equity","ARDR_SHARES_AUTHORIZED","FQ4 2020","FQ4 2020","Currency=USD","Period=FQ","BEST_FPERIOD_OVERRIDE=FQ","FILING_STATUS=MR","SCALING_FORMAT=MLN","Sort=A","Dates=H","DateFormat=P","Fill=—","Direction=H","UseDPDF=Y")</f>
        <v>—</v>
      </c>
      <c r="L98" s="13" t="str">
        <f>_xll.BDH("ALNY US Equity","ARDR_SHARES_AUTHORIZED","FQ1 2021","FQ1 2021","Currency=USD","Period=FQ","BEST_FPERIOD_OVERRIDE=FQ","FILING_STATUS=MR","SCALING_FORMAT=MLN","Sort=A","Dates=H","DateFormat=P","Fill=—","Direction=H","UseDPDF=Y")</f>
        <v>—</v>
      </c>
      <c r="M98" s="13" t="str">
        <f>_xll.BDH("ALNY US Equity","ARDR_SHARES_AUTHORIZED","FQ2 2021","FQ2 2021","Currency=USD","Period=FQ","BEST_FPERIOD_OVERRIDE=FQ","FILING_STATUS=MR","SCALING_FORMAT=MLN","Sort=A","Dates=H","DateFormat=P","Fill=—","Direction=H","UseDPDF=Y")</f>
        <v>—</v>
      </c>
      <c r="N98" s="13" t="str">
        <f>_xll.BDH("ALNY US Equity","ARDR_SHARES_AUTHORIZED","FQ3 2021","FQ3 2021","Currency=USD","Period=FQ","BEST_FPERIOD_OVERRIDE=FQ","FILING_STATUS=MR","SCALING_FORMAT=MLN","Sort=A","Dates=H","DateFormat=P","Fill=—","Direction=H","UseDPDF=Y")</f>
        <v>—</v>
      </c>
      <c r="O98" s="13" t="str">
        <f>_xll.BDH("ALNY US Equity","ARDR_SHARES_AUTHORIZED","FQ4 2021","FQ4 2021","Currency=USD","Period=FQ","BEST_FPERIOD_OVERRIDE=FQ","FILING_STATUS=MR","SCALING_FORMAT=MLN","Sort=A","Dates=H","DateFormat=P","Fill=—","Direction=H","UseDPDF=Y")</f>
        <v>—</v>
      </c>
      <c r="P98" s="13" t="str">
        <f>_xll.BDH("ALNY US Equity","ARDR_SHARES_AUTHORIZED","FQ1 2022","FQ1 2022","Currency=USD","Period=FQ","BEST_FPERIOD_OVERRIDE=FQ","FILING_STATUS=MR","SCALING_FORMAT=MLN","Sort=A","Dates=H","DateFormat=P","Fill=—","Direction=H","UseDPDF=Y")</f>
        <v>—</v>
      </c>
      <c r="Q98" s="13" t="str">
        <f>_xll.BDH("ALNY US Equity","ARDR_SHARES_AUTHORIZED","FQ2 2022","FQ2 2022","Currency=USD","Period=FQ","BEST_FPERIOD_OVERRIDE=FQ","FILING_STATUS=MR","SCALING_FORMAT=MLN","Sort=A","Dates=H","DateFormat=P","Fill=—","Direction=H","UseDPDF=Y")</f>
        <v>—</v>
      </c>
      <c r="R98" s="13" t="str">
        <f>_xll.BDH("ALNY US Equity","ARDR_SHARES_AUTHORIZED","FQ3 2022","FQ3 2022","Currency=USD","Period=FQ","BEST_FPERIOD_OVERRIDE=FQ","FILING_STATUS=MR","SCALING_FORMAT=MLN","Sort=A","Dates=H","DateFormat=P","Fill=—","Direction=H","UseDPDF=Y")</f>
        <v>—</v>
      </c>
      <c r="S98" s="13">
        <f>_xll.BDH("ALNY US Equity","ARDR_SHARES_AUTHORIZED","FQ4 2022","FQ4 2022","Currency=USD","Period=FQ","BEST_FPERIOD_OVERRIDE=FQ","FILING_STATUS=MR","SCALING_FORMAT=MLN","Sort=A","Dates=H","DateFormat=P","Fill=—","Direction=H","UseDPDF=Y")</f>
        <v>250</v>
      </c>
      <c r="T98" s="13">
        <f>_xll.BDH("ALNY US Equity","ARDR_SHARES_AUTHORIZED","FQ1 2023","FQ1 2023","Currency=USD","Period=FQ","BEST_FPERIOD_OVERRIDE=FQ","FILING_STATUS=MR","SCALING_FORMAT=MLN","Sort=A","Dates=H","DateFormat=P","Fill=—","Direction=H","UseDPDF=Y")</f>
        <v>0.25</v>
      </c>
      <c r="U98" s="13" t="str">
        <f>_xll.BDH("ALNY US Equity","ARDR_SHARES_AUTHORIZED","FQ2 2023","FQ2 2023","Currency=USD","Period=FQ","BEST_FPERIOD_OVERRIDE=FQ","FILING_STATUS=MR","SCALING_FORMAT=MLN","Sort=A","Dates=H","DateFormat=P","Fill=—","Direction=H","UseDPDF=Y")</f>
        <v>—</v>
      </c>
      <c r="V98" s="13" t="str">
        <f>_xll.BDH("ALNY US Equity","ARDR_SHARES_AUTHORIZED","FQ3 2023","FQ3 2023","Currency=USD","Period=FQ","BEST_FPERIOD_OVERRIDE=FQ","FILING_STATUS=MR","SCALING_FORMAT=MLN","Sort=A","Dates=H","DateFormat=P","Fill=—","Direction=H","UseDPDF=Y")</f>
        <v>—</v>
      </c>
      <c r="W98" s="13">
        <f>_xll.BDH("ALNY US Equity","ARDR_SHARES_AUTHORIZED","FQ4 2023","FQ4 2023","Currency=USD","Period=FQ","BEST_FPERIOD_OVERRIDE=FQ","FILING_STATUS=MR","SCALING_FORMAT=MLN","Sort=A","Dates=H","DateFormat=P","Fill=—","Direction=H","UseDPDF=Y")</f>
        <v>250</v>
      </c>
      <c r="X98" s="13">
        <f>_xll.BDH("ALNY US Equity","ARDR_SHARES_AUTHORIZED","FQ1 2024","FQ1 2024","Currency=USD","Period=FQ","BEST_FPERIOD_OVERRIDE=FQ","FILING_STATUS=MR","SCALING_FORMAT=MLN","Sort=A","Dates=H","DateFormat=P","Fill=—","Direction=H","UseDPDF=Y")</f>
        <v>250</v>
      </c>
      <c r="Y98" s="13">
        <f>_xll.BDH("ALNY US Equity","ARDR_SHARES_AUTHORIZED","FQ2 2024","FQ2 2024","Currency=USD","Period=FQ","BEST_FPERIOD_OVERRIDE=FQ","FILING_STATUS=MR","SCALING_FORMAT=MLN","Sort=A","Dates=H","DateFormat=P","Fill=—","Direction=H","UseDPDF=Y")</f>
        <v>250</v>
      </c>
      <c r="Z98" s="13">
        <f>_xll.BDH("ALNY US Equity","ARDR_SHARES_AUTHORIZED","FQ3 2024","FQ3 2024","Currency=USD","Period=FQ","BEST_FPERIOD_OVERRIDE=FQ","FILING_STATUS=MR","SCALING_FORMAT=MLN","Sort=A","Dates=H","DateFormat=P","Fill=—","Direction=H","UseDPDF=Y")</f>
        <v>250</v>
      </c>
      <c r="AA98" s="13">
        <f>_xll.BDH("ALNY US Equity","ARDR_SHARES_AUTHORIZED","FQ4 2024","FQ4 2024","Currency=USD","Period=FQ","BEST_FPERIOD_OVERRIDE=FQ","FILING_STATUS=MR","SCALING_FORMAT=MLN","Sort=A","Dates=H","DateFormat=P","Fill=—","Direction=H","UseDPDF=Y")</f>
        <v>250</v>
      </c>
    </row>
    <row r="99" spans="1:27" x14ac:dyDescent="0.25">
      <c r="A99" s="10" t="s">
        <v>906</v>
      </c>
      <c r="B99" s="10" t="s">
        <v>980</v>
      </c>
      <c r="C99" s="13" t="str">
        <f>_xll.BDH("ALNY US Equity","ARDR_PREFERRED_STOCK_SHARES_OUT","FQ4 2018","FQ4 2018","Currency=USD","Period=FQ","BEST_FPERIOD_OVERRIDE=FQ","FILING_STATUS=MR","Sort=A","Dates=H","DateFormat=P","Fill=—","Direction=H","UseDPDF=Y")</f>
        <v>—</v>
      </c>
      <c r="D99" s="13" t="str">
        <f>_xll.BDH("ALNY US Equity","ARDR_PREFERRED_STOCK_SHARES_OUT","FQ1 2019","FQ1 2019","Currency=USD","Period=FQ","BEST_FPERIOD_OVERRIDE=FQ","FILING_STATUS=MR","Sort=A","Dates=H","DateFormat=P","Fill=—","Direction=H","UseDPDF=Y")</f>
        <v>—</v>
      </c>
      <c r="E99" s="13" t="str">
        <f>_xll.BDH("ALNY US Equity","ARDR_PREFERRED_STOCK_SHARES_OUT","FQ2 2019","FQ2 2019","Currency=USD","Period=FQ","BEST_FPERIOD_OVERRIDE=FQ","FILING_STATUS=MR","Sort=A","Dates=H","DateFormat=P","Fill=—","Direction=H","UseDPDF=Y")</f>
        <v>—</v>
      </c>
      <c r="F99" s="13" t="str">
        <f>_xll.BDH("ALNY US Equity","ARDR_PREFERRED_STOCK_SHARES_OUT","FQ3 2019","FQ3 2019","Currency=USD","Period=FQ","BEST_FPERIOD_OVERRIDE=FQ","FILING_STATUS=MR","Sort=A","Dates=H","DateFormat=P","Fill=—","Direction=H","UseDPDF=Y")</f>
        <v>—</v>
      </c>
      <c r="G99" s="13" t="str">
        <f>_xll.BDH("ALNY US Equity","ARDR_PREFERRED_STOCK_SHARES_OUT","FQ4 2019","FQ4 2019","Currency=USD","Period=FQ","BEST_FPERIOD_OVERRIDE=FQ","FILING_STATUS=MR","Sort=A","Dates=H","DateFormat=P","Fill=—","Direction=H","UseDPDF=Y")</f>
        <v>—</v>
      </c>
      <c r="H99" s="13" t="str">
        <f>_xll.BDH("ALNY US Equity","ARDR_PREFERRED_STOCK_SHARES_OUT","FQ1 2020","FQ1 2020","Currency=USD","Period=FQ","BEST_FPERIOD_OVERRIDE=FQ","FILING_STATUS=MR","Sort=A","Dates=H","DateFormat=P","Fill=—","Direction=H","UseDPDF=Y")</f>
        <v>—</v>
      </c>
      <c r="I99" s="13" t="str">
        <f>_xll.BDH("ALNY US Equity","ARDR_PREFERRED_STOCK_SHARES_OUT","FQ2 2020","FQ2 2020","Currency=USD","Period=FQ","BEST_FPERIOD_OVERRIDE=FQ","FILING_STATUS=MR","Sort=A","Dates=H","DateFormat=P","Fill=—","Direction=H","UseDPDF=Y")</f>
        <v>—</v>
      </c>
      <c r="J99" s="13" t="str">
        <f>_xll.BDH("ALNY US Equity","ARDR_PREFERRED_STOCK_SHARES_OUT","FQ3 2020","FQ3 2020","Currency=USD","Period=FQ","BEST_FPERIOD_OVERRIDE=FQ","FILING_STATUS=MR","Sort=A","Dates=H","DateFormat=P","Fill=—","Direction=H","UseDPDF=Y")</f>
        <v>—</v>
      </c>
      <c r="K99" s="13" t="str">
        <f>_xll.BDH("ALNY US Equity","ARDR_PREFERRED_STOCK_SHARES_OUT","FQ4 2020","FQ4 2020","Currency=USD","Period=FQ","BEST_FPERIOD_OVERRIDE=FQ","FILING_STATUS=MR","Sort=A","Dates=H","DateFormat=P","Fill=—","Direction=H","UseDPDF=Y")</f>
        <v>—</v>
      </c>
      <c r="L99" s="13" t="str">
        <f>_xll.BDH("ALNY US Equity","ARDR_PREFERRED_STOCK_SHARES_OUT","FQ1 2021","FQ1 2021","Currency=USD","Period=FQ","BEST_FPERIOD_OVERRIDE=FQ","FILING_STATUS=MR","Sort=A","Dates=H","DateFormat=P","Fill=—","Direction=H","UseDPDF=Y")</f>
        <v>—</v>
      </c>
      <c r="M99" s="13" t="str">
        <f>_xll.BDH("ALNY US Equity","ARDR_PREFERRED_STOCK_SHARES_OUT","FQ2 2021","FQ2 2021","Currency=USD","Period=FQ","BEST_FPERIOD_OVERRIDE=FQ","FILING_STATUS=MR","Sort=A","Dates=H","DateFormat=P","Fill=—","Direction=H","UseDPDF=Y")</f>
        <v>—</v>
      </c>
      <c r="N99" s="13" t="str">
        <f>_xll.BDH("ALNY US Equity","ARDR_PREFERRED_STOCK_SHARES_OUT","FQ3 2021","FQ3 2021","Currency=USD","Period=FQ","BEST_FPERIOD_OVERRIDE=FQ","FILING_STATUS=MR","Sort=A","Dates=H","DateFormat=P","Fill=—","Direction=H","UseDPDF=Y")</f>
        <v>—</v>
      </c>
      <c r="O99" s="13" t="str">
        <f>_xll.BDH("ALNY US Equity","ARDR_PREFERRED_STOCK_SHARES_OUT","FQ4 2021","FQ4 2021","Currency=USD","Period=FQ","BEST_FPERIOD_OVERRIDE=FQ","FILING_STATUS=MR","Sort=A","Dates=H","DateFormat=P","Fill=—","Direction=H","UseDPDF=Y")</f>
        <v>—</v>
      </c>
      <c r="P99" s="13" t="str">
        <f>_xll.BDH("ALNY US Equity","ARDR_PREFERRED_STOCK_SHARES_OUT","FQ1 2022","FQ1 2022","Currency=USD","Period=FQ","BEST_FPERIOD_OVERRIDE=FQ","FILING_STATUS=MR","Sort=A","Dates=H","DateFormat=P","Fill=—","Direction=H","UseDPDF=Y")</f>
        <v>—</v>
      </c>
      <c r="Q99" s="13" t="str">
        <f>_xll.BDH("ALNY US Equity","ARDR_PREFERRED_STOCK_SHARES_OUT","FQ2 2022","FQ2 2022","Currency=USD","Period=FQ","BEST_FPERIOD_OVERRIDE=FQ","FILING_STATUS=MR","Sort=A","Dates=H","DateFormat=P","Fill=—","Direction=H","UseDPDF=Y")</f>
        <v>—</v>
      </c>
      <c r="R99" s="13" t="str">
        <f>_xll.BDH("ALNY US Equity","ARDR_PREFERRED_STOCK_SHARES_OUT","FQ3 2022","FQ3 2022","Currency=USD","Period=FQ","BEST_FPERIOD_OVERRIDE=FQ","FILING_STATUS=MR","Sort=A","Dates=H","DateFormat=P","Fill=—","Direction=H","UseDPDF=Y")</f>
        <v>—</v>
      </c>
      <c r="S99" s="13">
        <f>_xll.BDH("ALNY US Equity","ARDR_PREFERRED_STOCK_SHARES_OUT","FQ4 2022","FQ4 2022","Currency=USD","Period=FQ","BEST_FPERIOD_OVERRIDE=FQ","FILING_STATUS=MR","Sort=A","Dates=H","DateFormat=P","Fill=—","Direction=H","UseDPDF=Y")</f>
        <v>0</v>
      </c>
      <c r="T99" s="13">
        <f>_xll.BDH("ALNY US Equity","ARDR_PREFERRED_STOCK_SHARES_OUT","FQ1 2023","FQ1 2023","Currency=USD","Period=FQ","BEST_FPERIOD_OVERRIDE=FQ","FILING_STATUS=MR","Sort=A","Dates=H","DateFormat=P","Fill=—","Direction=H","UseDPDF=Y")</f>
        <v>0</v>
      </c>
      <c r="U99" s="13" t="str">
        <f>_xll.BDH("ALNY US Equity","ARDR_PREFERRED_STOCK_SHARES_OUT","FQ2 2023","FQ2 2023","Currency=USD","Period=FQ","BEST_FPERIOD_OVERRIDE=FQ","FILING_STATUS=MR","Sort=A","Dates=H","DateFormat=P","Fill=—","Direction=H","UseDPDF=Y")</f>
        <v>—</v>
      </c>
      <c r="V99" s="13" t="str">
        <f>_xll.BDH("ALNY US Equity","ARDR_PREFERRED_STOCK_SHARES_OUT","FQ3 2023","FQ3 2023","Currency=USD","Period=FQ","BEST_FPERIOD_OVERRIDE=FQ","FILING_STATUS=MR","Sort=A","Dates=H","DateFormat=P","Fill=—","Direction=H","UseDPDF=Y")</f>
        <v>—</v>
      </c>
      <c r="W99" s="13" t="str">
        <f>_xll.BDH("ALNY US Equity","ARDR_PREFERRED_STOCK_SHARES_OUT","FQ4 2023","FQ4 2023","Currency=USD","Period=FQ","BEST_FPERIOD_OVERRIDE=FQ","FILING_STATUS=MR","Sort=A","Dates=H","DateFormat=P","Fill=—","Direction=H","UseDPDF=Y")</f>
        <v>—</v>
      </c>
      <c r="X99" s="13">
        <f>_xll.BDH("ALNY US Equity","ARDR_PREFERRED_STOCK_SHARES_OUT","FQ1 2024","FQ1 2024","Currency=USD","Period=FQ","BEST_FPERIOD_OVERRIDE=FQ","FILING_STATUS=MR","Sort=A","Dates=H","DateFormat=P","Fill=—","Direction=H","UseDPDF=Y")</f>
        <v>0</v>
      </c>
      <c r="Y99" s="13">
        <f>_xll.BDH("ALNY US Equity","ARDR_PREFERRED_STOCK_SHARES_OUT","FQ2 2024","FQ2 2024","Currency=USD","Period=FQ","BEST_FPERIOD_OVERRIDE=FQ","FILING_STATUS=MR","Sort=A","Dates=H","DateFormat=P","Fill=—","Direction=H","UseDPDF=Y")</f>
        <v>0</v>
      </c>
      <c r="Z99" s="13">
        <f>_xll.BDH("ALNY US Equity","ARDR_PREFERRED_STOCK_SHARES_OUT","FQ3 2024","FQ3 2024","Currency=USD","Period=FQ","BEST_FPERIOD_OVERRIDE=FQ","FILING_STATUS=MR","Sort=A","Dates=H","DateFormat=P","Fill=—","Direction=H","UseDPDF=Y")</f>
        <v>0</v>
      </c>
      <c r="AA99" s="13">
        <f>_xll.BDH("ALNY US Equity","ARDR_PREFERRED_STOCK_SHARES_OUT","FQ4 2024","FQ4 2024","Currency=USD","Period=FQ","BEST_FPERIOD_OVERRIDE=FQ","FILING_STATUS=MR","Sort=A","Dates=H","DateFormat=P","Fill=—","Direction=H","UseDPDF=Y")</f>
        <v>0</v>
      </c>
    </row>
    <row r="100" spans="1:27" x14ac:dyDescent="0.25">
      <c r="A100" s="10" t="s">
        <v>981</v>
      </c>
      <c r="B100" s="10" t="s">
        <v>982</v>
      </c>
      <c r="C100" s="13" t="str">
        <f>_xll.BDH("ALNY US Equity","ARDR_TOT_SHARE_EQY_EXCL_MINORITY","FQ4 2018","FQ4 2018","Currency=USD","Period=FQ","BEST_FPERIOD_OVERRIDE=FQ","FILING_STATUS=MR","SCALING_FORMAT=MLN","Sort=A","Dates=H","DateFormat=P","Fill=—","Direction=H","UseDPDF=Y")</f>
        <v>—</v>
      </c>
      <c r="D100" s="13" t="str">
        <f>_xll.BDH("ALNY US Equity","ARDR_TOT_SHARE_EQY_EXCL_MINORITY","FQ1 2019","FQ1 2019","Currency=USD","Period=FQ","BEST_FPERIOD_OVERRIDE=FQ","FILING_STATUS=MR","SCALING_FORMAT=MLN","Sort=A","Dates=H","DateFormat=P","Fill=—","Direction=H","UseDPDF=Y")</f>
        <v>—</v>
      </c>
      <c r="E100" s="13" t="str">
        <f>_xll.BDH("ALNY US Equity","ARDR_TOT_SHARE_EQY_EXCL_MINORITY","FQ2 2019","FQ2 2019","Currency=USD","Period=FQ","BEST_FPERIOD_OVERRIDE=FQ","FILING_STATUS=MR","SCALING_FORMAT=MLN","Sort=A","Dates=H","DateFormat=P","Fill=—","Direction=H","UseDPDF=Y")</f>
        <v>—</v>
      </c>
      <c r="F100" s="13" t="str">
        <f>_xll.BDH("ALNY US Equity","ARDR_TOT_SHARE_EQY_EXCL_MINORITY","FQ3 2019","FQ3 2019","Currency=USD","Period=FQ","BEST_FPERIOD_OVERRIDE=FQ","FILING_STATUS=MR","SCALING_FORMAT=MLN","Sort=A","Dates=H","DateFormat=P","Fill=—","Direction=H","UseDPDF=Y")</f>
        <v>—</v>
      </c>
      <c r="G100" s="13" t="str">
        <f>_xll.BDH("ALNY US Equity","ARDR_TOT_SHARE_EQY_EXCL_MINORITY","FQ4 2019","FQ4 2019","Currency=USD","Period=FQ","BEST_FPERIOD_OVERRIDE=FQ","FILING_STATUS=MR","SCALING_FORMAT=MLN","Sort=A","Dates=H","DateFormat=P","Fill=—","Direction=H","UseDPDF=Y")</f>
        <v>—</v>
      </c>
      <c r="H100" s="13" t="str">
        <f>_xll.BDH("ALNY US Equity","ARDR_TOT_SHARE_EQY_EXCL_MINORITY","FQ1 2020","FQ1 2020","Currency=USD","Period=FQ","BEST_FPERIOD_OVERRIDE=FQ","FILING_STATUS=MR","SCALING_FORMAT=MLN","Sort=A","Dates=H","DateFormat=P","Fill=—","Direction=H","UseDPDF=Y")</f>
        <v>—</v>
      </c>
      <c r="I100" s="13" t="str">
        <f>_xll.BDH("ALNY US Equity","ARDR_TOT_SHARE_EQY_EXCL_MINORITY","FQ2 2020","FQ2 2020","Currency=USD","Period=FQ","BEST_FPERIOD_OVERRIDE=FQ","FILING_STATUS=MR","SCALING_FORMAT=MLN","Sort=A","Dates=H","DateFormat=P","Fill=—","Direction=H","UseDPDF=Y")</f>
        <v>—</v>
      </c>
      <c r="J100" s="13" t="str">
        <f>_xll.BDH("ALNY US Equity","ARDR_TOT_SHARE_EQY_EXCL_MINORITY","FQ3 2020","FQ3 2020","Currency=USD","Period=FQ","BEST_FPERIOD_OVERRIDE=FQ","FILING_STATUS=MR","SCALING_FORMAT=MLN","Sort=A","Dates=H","DateFormat=P","Fill=—","Direction=H","UseDPDF=Y")</f>
        <v>—</v>
      </c>
      <c r="K100" s="13" t="str">
        <f>_xll.BDH("ALNY US Equity","ARDR_TOT_SHARE_EQY_EXCL_MINORITY","FQ4 2020","FQ4 2020","Currency=USD","Period=FQ","BEST_FPERIOD_OVERRIDE=FQ","FILING_STATUS=MR","SCALING_FORMAT=MLN","Sort=A","Dates=H","DateFormat=P","Fill=—","Direction=H","UseDPDF=Y")</f>
        <v>—</v>
      </c>
      <c r="L100" s="13" t="str">
        <f>_xll.BDH("ALNY US Equity","ARDR_TOT_SHARE_EQY_EXCL_MINORITY","FQ1 2021","FQ1 2021","Currency=USD","Period=FQ","BEST_FPERIOD_OVERRIDE=FQ","FILING_STATUS=MR","SCALING_FORMAT=MLN","Sort=A","Dates=H","DateFormat=P","Fill=—","Direction=H","UseDPDF=Y")</f>
        <v>—</v>
      </c>
      <c r="M100" s="13" t="str">
        <f>_xll.BDH("ALNY US Equity","ARDR_TOT_SHARE_EQY_EXCL_MINORITY","FQ2 2021","FQ2 2021","Currency=USD","Period=FQ","BEST_FPERIOD_OVERRIDE=FQ","FILING_STATUS=MR","SCALING_FORMAT=MLN","Sort=A","Dates=H","DateFormat=P","Fill=—","Direction=H","UseDPDF=Y")</f>
        <v>—</v>
      </c>
      <c r="N100" s="13" t="str">
        <f>_xll.BDH("ALNY US Equity","ARDR_TOT_SHARE_EQY_EXCL_MINORITY","FQ3 2021","FQ3 2021","Currency=USD","Period=FQ","BEST_FPERIOD_OVERRIDE=FQ","FILING_STATUS=MR","SCALING_FORMAT=MLN","Sort=A","Dates=H","DateFormat=P","Fill=—","Direction=H","UseDPDF=Y")</f>
        <v>—</v>
      </c>
      <c r="O100" s="13" t="str">
        <f>_xll.BDH("ALNY US Equity","ARDR_TOT_SHARE_EQY_EXCL_MINORITY","FQ4 2021","FQ4 2021","Currency=USD","Period=FQ","BEST_FPERIOD_OVERRIDE=FQ","FILING_STATUS=MR","SCALING_FORMAT=MLN","Sort=A","Dates=H","DateFormat=P","Fill=—","Direction=H","UseDPDF=Y")</f>
        <v>—</v>
      </c>
      <c r="P100" s="13" t="str">
        <f>_xll.BDH("ALNY US Equity","ARDR_TOT_SHARE_EQY_EXCL_MINORITY","FQ1 2022","FQ1 2022","Currency=USD","Period=FQ","BEST_FPERIOD_OVERRIDE=FQ","FILING_STATUS=MR","SCALING_FORMAT=MLN","Sort=A","Dates=H","DateFormat=P","Fill=—","Direction=H","UseDPDF=Y")</f>
        <v>—</v>
      </c>
      <c r="Q100" s="13" t="str">
        <f>_xll.BDH("ALNY US Equity","ARDR_TOT_SHARE_EQY_EXCL_MINORITY","FQ2 2022","FQ2 2022","Currency=USD","Period=FQ","BEST_FPERIOD_OVERRIDE=FQ","FILING_STATUS=MR","SCALING_FORMAT=MLN","Sort=A","Dates=H","DateFormat=P","Fill=—","Direction=H","UseDPDF=Y")</f>
        <v>—</v>
      </c>
      <c r="R100" s="13" t="str">
        <f>_xll.BDH("ALNY US Equity","ARDR_TOT_SHARE_EQY_EXCL_MINORITY","FQ3 2022","FQ3 2022","Currency=USD","Period=FQ","BEST_FPERIOD_OVERRIDE=FQ","FILING_STATUS=MR","SCALING_FORMAT=MLN","Sort=A","Dates=H","DateFormat=P","Fill=—","Direction=H","UseDPDF=Y")</f>
        <v>—</v>
      </c>
      <c r="S100" s="13">
        <f>_xll.BDH("ALNY US Equity","ARDR_TOT_SHARE_EQY_EXCL_MINORITY","FQ4 2022","FQ4 2022","Currency=USD","Period=FQ","BEST_FPERIOD_OVERRIDE=FQ","FILING_STATUS=MR","SCALING_FORMAT=MLN","Sort=A","Dates=H","DateFormat=P","Fill=—","Direction=H","UseDPDF=Y")</f>
        <v>-158.22300000000001</v>
      </c>
      <c r="T100" s="13">
        <f>_xll.BDH("ALNY US Equity","ARDR_TOT_SHARE_EQY_EXCL_MINORITY","FQ1 2023","FQ1 2023","Currency=USD","Period=FQ","BEST_FPERIOD_OVERRIDE=FQ","FILING_STATUS=MR","SCALING_FORMAT=MLN","Sort=A","Dates=H","DateFormat=P","Fill=—","Direction=H","UseDPDF=Y")</f>
        <v>-259.24</v>
      </c>
      <c r="U100" s="13">
        <f>_xll.BDH("ALNY US Equity","ARDR_TOT_SHARE_EQY_EXCL_MINORITY","FQ2 2023","FQ2 2023","Currency=USD","Period=FQ","BEST_FPERIOD_OVERRIDE=FQ","FILING_STATUS=MR","SCALING_FORMAT=MLN","Sort=A","Dates=H","DateFormat=P","Fill=—","Direction=H","UseDPDF=Y")</f>
        <v>-408.13099999999997</v>
      </c>
      <c r="V100" s="13">
        <f>_xll.BDH("ALNY US Equity","ARDR_TOT_SHARE_EQY_EXCL_MINORITY","FQ3 2023","FQ3 2023","Currency=USD","Period=FQ","BEST_FPERIOD_OVERRIDE=FQ","FILING_STATUS=MR","SCALING_FORMAT=MLN","Sort=A","Dates=H","DateFormat=P","Fill=—","Direction=H","UseDPDF=Y")</f>
        <v>-165.86600000000001</v>
      </c>
      <c r="W100" s="13">
        <f>_xll.BDH("ALNY US Equity","ARDR_TOT_SHARE_EQY_EXCL_MINORITY","FQ4 2023","FQ4 2023","Currency=USD","Period=FQ","BEST_FPERIOD_OVERRIDE=FQ","FILING_STATUS=MR","SCALING_FORMAT=MLN","Sort=A","Dates=H","DateFormat=P","Fill=—","Direction=H","UseDPDF=Y")</f>
        <v>-220.64400000000001</v>
      </c>
      <c r="X100" s="13">
        <f>_xll.BDH("ALNY US Equity","ARDR_TOT_SHARE_EQY_EXCL_MINORITY","FQ1 2024","FQ1 2024","Currency=USD","Period=FQ","BEST_FPERIOD_OVERRIDE=FQ","FILING_STATUS=MR","SCALING_FORMAT=MLN","Sort=A","Dates=H","DateFormat=P","Fill=—","Direction=H","UseDPDF=Y")</f>
        <v>-219.27199999999999</v>
      </c>
      <c r="Y100" s="13">
        <f>_xll.BDH("ALNY US Equity","ARDR_TOT_SHARE_EQY_EXCL_MINORITY","FQ2 2024","FQ2 2024","Currency=USD","Period=FQ","BEST_FPERIOD_OVERRIDE=FQ","FILING_STATUS=MR","SCALING_FORMAT=MLN","Sort=A","Dates=H","DateFormat=P","Fill=—","Direction=H","UseDPDF=Y")</f>
        <v>-3.0670000000000002</v>
      </c>
      <c r="Z100" s="13">
        <f>_xll.BDH("ALNY US Equity","ARDR_TOT_SHARE_EQY_EXCL_MINORITY","FQ3 2024","FQ3 2024","Currency=USD","Period=FQ","BEST_FPERIOD_OVERRIDE=FQ","FILING_STATUS=MR","SCALING_FORMAT=MLN","Sort=A","Dates=H","DateFormat=P","Fill=—","Direction=H","UseDPDF=Y")</f>
        <v>32.353999999999999</v>
      </c>
      <c r="AA100" s="13">
        <f>_xll.BDH("ALNY US Equity","ARDR_TOT_SHARE_EQY_EXCL_MINORITY","FQ4 2024","FQ4 2024","Currency=USD","Period=FQ","BEST_FPERIOD_OVERRIDE=FQ","FILING_STATUS=MR","SCALING_FORMAT=MLN","Sort=A","Dates=H","DateFormat=P","Fill=—","Direction=H","UseDPDF=Y")</f>
        <v>67.087999999999994</v>
      </c>
    </row>
    <row r="101" spans="1:27" x14ac:dyDescent="0.25">
      <c r="A101" s="10" t="s">
        <v>983</v>
      </c>
      <c r="B101" s="10" t="s">
        <v>984</v>
      </c>
      <c r="C101" s="13" t="str">
        <f>_xll.BDH("ALNY US Equity","ARDR_OPTIONS_EXERCISED_DUR_PER","FQ4 2018","FQ4 2018","Currency=USD","Period=FQ","BEST_FPERIOD_OVERRIDE=FQ","FILING_STATUS=MR","SCALING_FORMAT=MLN","Sort=A","Dates=H","DateFormat=P","Fill=—","Direction=H","UseDPDF=Y")</f>
        <v>—</v>
      </c>
      <c r="D101" s="13" t="str">
        <f>_xll.BDH("ALNY US Equity","ARDR_OPTIONS_EXERCISED_DUR_PER","FQ1 2019","FQ1 2019","Currency=USD","Period=FQ","BEST_FPERIOD_OVERRIDE=FQ","FILING_STATUS=MR","SCALING_FORMAT=MLN","Sort=A","Dates=H","DateFormat=P","Fill=—","Direction=H","UseDPDF=Y")</f>
        <v>—</v>
      </c>
      <c r="E101" s="13" t="str">
        <f>_xll.BDH("ALNY US Equity","ARDR_OPTIONS_EXERCISED_DUR_PER","FQ2 2019","FQ2 2019","Currency=USD","Period=FQ","BEST_FPERIOD_OVERRIDE=FQ","FILING_STATUS=MR","SCALING_FORMAT=MLN","Sort=A","Dates=H","DateFormat=P","Fill=—","Direction=H","UseDPDF=Y")</f>
        <v>—</v>
      </c>
      <c r="F101" s="13" t="str">
        <f>_xll.BDH("ALNY US Equity","ARDR_OPTIONS_EXERCISED_DUR_PER","FQ3 2019","FQ3 2019","Currency=USD","Period=FQ","BEST_FPERIOD_OVERRIDE=FQ","FILING_STATUS=MR","SCALING_FORMAT=MLN","Sort=A","Dates=H","DateFormat=P","Fill=—","Direction=H","UseDPDF=Y")</f>
        <v>—</v>
      </c>
      <c r="G101" s="13" t="str">
        <f>_xll.BDH("ALNY US Equity","ARDR_OPTIONS_EXERCISED_DUR_PER","FQ4 2019","FQ4 2019","Currency=USD","Period=FQ","BEST_FPERIOD_OVERRIDE=FQ","FILING_STATUS=MR","SCALING_FORMAT=MLN","Sort=A","Dates=H","DateFormat=P","Fill=—","Direction=H","UseDPDF=Y")</f>
        <v>—</v>
      </c>
      <c r="H101" s="13" t="str">
        <f>_xll.BDH("ALNY US Equity","ARDR_OPTIONS_EXERCISED_DUR_PER","FQ1 2020","FQ1 2020","Currency=USD","Period=FQ","BEST_FPERIOD_OVERRIDE=FQ","FILING_STATUS=MR","SCALING_FORMAT=MLN","Sort=A","Dates=H","DateFormat=P","Fill=—","Direction=H","UseDPDF=Y")</f>
        <v>—</v>
      </c>
      <c r="I101" s="13" t="str">
        <f>_xll.BDH("ALNY US Equity","ARDR_OPTIONS_EXERCISED_DUR_PER","FQ2 2020","FQ2 2020","Currency=USD","Period=FQ","BEST_FPERIOD_OVERRIDE=FQ","FILING_STATUS=MR","SCALING_FORMAT=MLN","Sort=A","Dates=H","DateFormat=P","Fill=—","Direction=H","UseDPDF=Y")</f>
        <v>—</v>
      </c>
      <c r="J101" s="13" t="str">
        <f>_xll.BDH("ALNY US Equity","ARDR_OPTIONS_EXERCISED_DUR_PER","FQ3 2020","FQ3 2020","Currency=USD","Period=FQ","BEST_FPERIOD_OVERRIDE=FQ","FILING_STATUS=MR","SCALING_FORMAT=MLN","Sort=A","Dates=H","DateFormat=P","Fill=—","Direction=H","UseDPDF=Y")</f>
        <v>—</v>
      </c>
      <c r="K101" s="13" t="str">
        <f>_xll.BDH("ALNY US Equity","ARDR_OPTIONS_EXERCISED_DUR_PER","FQ4 2020","FQ4 2020","Currency=USD","Period=FQ","BEST_FPERIOD_OVERRIDE=FQ","FILING_STATUS=MR","SCALING_FORMAT=MLN","Sort=A","Dates=H","DateFormat=P","Fill=—","Direction=H","UseDPDF=Y")</f>
        <v>—</v>
      </c>
      <c r="L101" s="13" t="str">
        <f>_xll.BDH("ALNY US Equity","ARDR_OPTIONS_EXERCISED_DUR_PER","FQ1 2021","FQ1 2021","Currency=USD","Period=FQ","BEST_FPERIOD_OVERRIDE=FQ","FILING_STATUS=MR","SCALING_FORMAT=MLN","Sort=A","Dates=H","DateFormat=P","Fill=—","Direction=H","UseDPDF=Y")</f>
        <v>—</v>
      </c>
      <c r="M101" s="13" t="str">
        <f>_xll.BDH("ALNY US Equity","ARDR_OPTIONS_EXERCISED_DUR_PER","FQ2 2021","FQ2 2021","Currency=USD","Period=FQ","BEST_FPERIOD_OVERRIDE=FQ","FILING_STATUS=MR","SCALING_FORMAT=MLN","Sort=A","Dates=H","DateFormat=P","Fill=—","Direction=H","UseDPDF=Y")</f>
        <v>—</v>
      </c>
      <c r="N101" s="13" t="str">
        <f>_xll.BDH("ALNY US Equity","ARDR_OPTIONS_EXERCISED_DUR_PER","FQ3 2021","FQ3 2021","Currency=USD","Period=FQ","BEST_FPERIOD_OVERRIDE=FQ","FILING_STATUS=MR","SCALING_FORMAT=MLN","Sort=A","Dates=H","DateFormat=P","Fill=—","Direction=H","UseDPDF=Y")</f>
        <v>—</v>
      </c>
      <c r="O101" s="13">
        <f>_xll.BDH("ALNY US Equity","ARDR_OPTIONS_EXERCISED_DUR_PER","FQ4 2021","FQ4 2021","Currency=USD","Period=FQ","BEST_FPERIOD_OVERRIDE=FQ","FILING_STATUS=MR","SCALING_FORMAT=MLN","Sort=A","Dates=H","DateFormat=P","Fill=—","Direction=H","UseDPDF=Y")</f>
        <v>2.5339999999999998</v>
      </c>
      <c r="P101" s="13" t="str">
        <f>_xll.BDH("ALNY US Equity","ARDR_OPTIONS_EXERCISED_DUR_PER","FQ1 2022","FQ1 2022","Currency=USD","Period=FQ","BEST_FPERIOD_OVERRIDE=FQ","FILING_STATUS=MR","SCALING_FORMAT=MLN","Sort=A","Dates=H","DateFormat=P","Fill=—","Direction=H","UseDPDF=Y")</f>
        <v>—</v>
      </c>
      <c r="Q101" s="13" t="str">
        <f>_xll.BDH("ALNY US Equity","ARDR_OPTIONS_EXERCISED_DUR_PER","FQ2 2022","FQ2 2022","Currency=USD","Period=FQ","BEST_FPERIOD_OVERRIDE=FQ","FILING_STATUS=MR","SCALING_FORMAT=MLN","Sort=A","Dates=H","DateFormat=P","Fill=—","Direction=H","UseDPDF=Y")</f>
        <v>—</v>
      </c>
      <c r="R101" s="13" t="str">
        <f>_xll.BDH("ALNY US Equity","ARDR_OPTIONS_EXERCISED_DUR_PER","FQ3 2022","FQ3 2022","Currency=USD","Period=FQ","BEST_FPERIOD_OVERRIDE=FQ","FILING_STATUS=MR","SCALING_FORMAT=MLN","Sort=A","Dates=H","DateFormat=P","Fill=—","Direction=H","UseDPDF=Y")</f>
        <v>—</v>
      </c>
      <c r="S101" s="13" t="str">
        <f>_xll.BDH("ALNY US Equity","ARDR_OPTIONS_EXERCISED_DUR_PER","FQ4 2022","FQ4 2022","Currency=USD","Period=FQ","BEST_FPERIOD_OVERRIDE=FQ","FILING_STATUS=MR","SCALING_FORMAT=MLN","Sort=A","Dates=H","DateFormat=P","Fill=—","Direction=H","UseDPDF=Y")</f>
        <v>—</v>
      </c>
      <c r="T101" s="13" t="str">
        <f>_xll.BDH("ALNY US Equity","ARDR_OPTIONS_EXERCISED_DUR_PER","FQ1 2023","FQ1 2023","Currency=USD","Period=FQ","BEST_FPERIOD_OVERRIDE=FQ","FILING_STATUS=MR","SCALING_FORMAT=MLN","Sort=A","Dates=H","DateFormat=P","Fill=—","Direction=H","UseDPDF=Y")</f>
        <v>—</v>
      </c>
      <c r="U101" s="13" t="str">
        <f>_xll.BDH("ALNY US Equity","ARDR_OPTIONS_EXERCISED_DUR_PER","FQ2 2023","FQ2 2023","Currency=USD","Period=FQ","BEST_FPERIOD_OVERRIDE=FQ","FILING_STATUS=MR","SCALING_FORMAT=MLN","Sort=A","Dates=H","DateFormat=P","Fill=—","Direction=H","UseDPDF=Y")</f>
        <v>—</v>
      </c>
      <c r="V101" s="13" t="str">
        <f>_xll.BDH("ALNY US Equity","ARDR_OPTIONS_EXERCISED_DUR_PER","FQ3 2023","FQ3 2023","Currency=USD","Period=FQ","BEST_FPERIOD_OVERRIDE=FQ","FILING_STATUS=MR","SCALING_FORMAT=MLN","Sort=A","Dates=H","DateFormat=P","Fill=—","Direction=H","UseDPDF=Y")</f>
        <v>—</v>
      </c>
      <c r="W101" s="13" t="str">
        <f>_xll.BDH("ALNY US Equity","ARDR_OPTIONS_EXERCISED_DUR_PER","FQ4 2023","FQ4 2023","Currency=USD","Period=FQ","BEST_FPERIOD_OVERRIDE=FQ","FILING_STATUS=MR","SCALING_FORMAT=MLN","Sort=A","Dates=H","DateFormat=P","Fill=—","Direction=H","UseDPDF=Y")</f>
        <v>—</v>
      </c>
      <c r="X101" s="13" t="str">
        <f>_xll.BDH("ALNY US Equity","ARDR_OPTIONS_EXERCISED_DUR_PER","FQ1 2024","FQ1 2024","Currency=USD","Period=FQ","BEST_FPERIOD_OVERRIDE=FQ","FILING_STATUS=MR","SCALING_FORMAT=MLN","Sort=A","Dates=H","DateFormat=P","Fill=—","Direction=H","UseDPDF=Y")</f>
        <v>—</v>
      </c>
      <c r="Y101" s="13" t="str">
        <f>_xll.BDH("ALNY US Equity","ARDR_OPTIONS_EXERCISED_DUR_PER","FQ2 2024","FQ2 2024","Currency=USD","Period=FQ","BEST_FPERIOD_OVERRIDE=FQ","FILING_STATUS=MR","SCALING_FORMAT=MLN","Sort=A","Dates=H","DateFormat=P","Fill=—","Direction=H","UseDPDF=Y")</f>
        <v>—</v>
      </c>
      <c r="Z101" s="13" t="str">
        <f>_xll.BDH("ALNY US Equity","ARDR_OPTIONS_EXERCISED_DUR_PER","FQ3 2024","FQ3 2024","Currency=USD","Period=FQ","BEST_FPERIOD_OVERRIDE=FQ","FILING_STATUS=MR","SCALING_FORMAT=MLN","Sort=A","Dates=H","DateFormat=P","Fill=—","Direction=H","UseDPDF=Y")</f>
        <v>—</v>
      </c>
      <c r="AA101" s="13" t="str">
        <f>_xll.BDH("ALNY US Equity","ARDR_OPTIONS_EXERCISED_DUR_PER","FQ4 2024","FQ4 2024","Currency=USD","Period=FQ","BEST_FPERIOD_OVERRIDE=FQ","FILING_STATUS=MR","SCALING_FORMAT=MLN","Sort=A","Dates=H","DateFormat=P","Fill=—","Direction=H","UseDPDF=Y")</f>
        <v>—</v>
      </c>
    </row>
    <row r="102" spans="1:27" x14ac:dyDescent="0.25">
      <c r="A102" s="10" t="s">
        <v>985</v>
      </c>
      <c r="B102" s="10" t="s">
        <v>986</v>
      </c>
      <c r="C102" s="13" t="str">
        <f>_xll.BDH("ALNY US Equity","ARDR_CASH_EQUIVS","FQ4 2018","FQ4 2018","Currency=USD","Period=FQ","BEST_FPERIOD_OVERRIDE=FQ","FILING_STATUS=MR","SCALING_FORMAT=MLN","Sort=A","Dates=H","DateFormat=P","Fill=—","Direction=H","UseDPDF=Y")</f>
        <v>—</v>
      </c>
      <c r="D102" s="13" t="str">
        <f>_xll.BDH("ALNY US Equity","ARDR_CASH_EQUIVS","FQ1 2019","FQ1 2019","Currency=USD","Period=FQ","BEST_FPERIOD_OVERRIDE=FQ","FILING_STATUS=MR","SCALING_FORMAT=MLN","Sort=A","Dates=H","DateFormat=P","Fill=—","Direction=H","UseDPDF=Y")</f>
        <v>—</v>
      </c>
      <c r="E102" s="13" t="str">
        <f>_xll.BDH("ALNY US Equity","ARDR_CASH_EQUIVS","FQ2 2019","FQ2 2019","Currency=USD","Period=FQ","BEST_FPERIOD_OVERRIDE=FQ","FILING_STATUS=MR","SCALING_FORMAT=MLN","Sort=A","Dates=H","DateFormat=P","Fill=—","Direction=H","UseDPDF=Y")</f>
        <v>—</v>
      </c>
      <c r="F102" s="13" t="str">
        <f>_xll.BDH("ALNY US Equity","ARDR_CASH_EQUIVS","FQ3 2019","FQ3 2019","Currency=USD","Period=FQ","BEST_FPERIOD_OVERRIDE=FQ","FILING_STATUS=MR","SCALING_FORMAT=MLN","Sort=A","Dates=H","DateFormat=P","Fill=—","Direction=H","UseDPDF=Y")</f>
        <v>—</v>
      </c>
      <c r="G102" s="13" t="str">
        <f>_xll.BDH("ALNY US Equity","ARDR_CASH_EQUIVS","FQ4 2019","FQ4 2019","Currency=USD","Period=FQ","BEST_FPERIOD_OVERRIDE=FQ","FILING_STATUS=MR","SCALING_FORMAT=MLN","Sort=A","Dates=H","DateFormat=P","Fill=—","Direction=H","UseDPDF=Y")</f>
        <v>—</v>
      </c>
      <c r="H102" s="13" t="str">
        <f>_xll.BDH("ALNY US Equity","ARDR_CASH_EQUIVS","FQ1 2020","FQ1 2020","Currency=USD","Period=FQ","BEST_FPERIOD_OVERRIDE=FQ","FILING_STATUS=MR","SCALING_FORMAT=MLN","Sort=A","Dates=H","DateFormat=P","Fill=—","Direction=H","UseDPDF=Y")</f>
        <v>—</v>
      </c>
      <c r="I102" s="13" t="str">
        <f>_xll.BDH("ALNY US Equity","ARDR_CASH_EQUIVS","FQ2 2020","FQ2 2020","Currency=USD","Period=FQ","BEST_FPERIOD_OVERRIDE=FQ","FILING_STATUS=MR","SCALING_FORMAT=MLN","Sort=A","Dates=H","DateFormat=P","Fill=—","Direction=H","UseDPDF=Y")</f>
        <v>—</v>
      </c>
      <c r="J102" s="13" t="str">
        <f>_xll.BDH("ALNY US Equity","ARDR_CASH_EQUIVS","FQ3 2020","FQ3 2020","Currency=USD","Period=FQ","BEST_FPERIOD_OVERRIDE=FQ","FILING_STATUS=MR","SCALING_FORMAT=MLN","Sort=A","Dates=H","DateFormat=P","Fill=—","Direction=H","UseDPDF=Y")</f>
        <v>—</v>
      </c>
      <c r="K102" s="13" t="str">
        <f>_xll.BDH("ALNY US Equity","ARDR_CASH_EQUIVS","FQ4 2020","FQ4 2020","Currency=USD","Period=FQ","BEST_FPERIOD_OVERRIDE=FQ","FILING_STATUS=MR","SCALING_FORMAT=MLN","Sort=A","Dates=H","DateFormat=P","Fill=—","Direction=H","UseDPDF=Y")</f>
        <v>—</v>
      </c>
      <c r="L102" s="13" t="str">
        <f>_xll.BDH("ALNY US Equity","ARDR_CASH_EQUIVS","FQ1 2021","FQ1 2021","Currency=USD","Period=FQ","BEST_FPERIOD_OVERRIDE=FQ","FILING_STATUS=MR","SCALING_FORMAT=MLN","Sort=A","Dates=H","DateFormat=P","Fill=—","Direction=H","UseDPDF=Y")</f>
        <v>—</v>
      </c>
      <c r="M102" s="13" t="str">
        <f>_xll.BDH("ALNY US Equity","ARDR_CASH_EQUIVS","FQ2 2021","FQ2 2021","Currency=USD","Period=FQ","BEST_FPERIOD_OVERRIDE=FQ","FILING_STATUS=MR","SCALING_FORMAT=MLN","Sort=A","Dates=H","DateFormat=P","Fill=—","Direction=H","UseDPDF=Y")</f>
        <v>—</v>
      </c>
      <c r="N102" s="13">
        <f>_xll.BDH("ALNY US Equity","ARDR_CASH_EQUIVS","FQ3 2021","FQ3 2021","Currency=USD","Period=FQ","BEST_FPERIOD_OVERRIDE=FQ","FILING_STATUS=MR","SCALING_FORMAT=MLN","Sort=A","Dates=H","DateFormat=P","Fill=—","Direction=H","UseDPDF=Y")</f>
        <v>1093.991</v>
      </c>
      <c r="O102" s="13" t="str">
        <f>_xll.BDH("ALNY US Equity","ARDR_CASH_EQUIVS","FQ4 2021","FQ4 2021","Currency=USD","Period=FQ","BEST_FPERIOD_OVERRIDE=FQ","FILING_STATUS=MR","SCALING_FORMAT=MLN","Sort=A","Dates=H","DateFormat=P","Fill=—","Direction=H","UseDPDF=Y")</f>
        <v>—</v>
      </c>
      <c r="P102" s="13" t="str">
        <f>_xll.BDH("ALNY US Equity","ARDR_CASH_EQUIVS","FQ1 2022","FQ1 2022","Currency=USD","Period=FQ","BEST_FPERIOD_OVERRIDE=FQ","FILING_STATUS=MR","SCALING_FORMAT=MLN","Sort=A","Dates=H","DateFormat=P","Fill=—","Direction=H","UseDPDF=Y")</f>
        <v>—</v>
      </c>
      <c r="Q102" s="13" t="str">
        <f>_xll.BDH("ALNY US Equity","ARDR_CASH_EQUIVS","FQ2 2022","FQ2 2022","Currency=USD","Period=FQ","BEST_FPERIOD_OVERRIDE=FQ","FILING_STATUS=MR","SCALING_FORMAT=MLN","Sort=A","Dates=H","DateFormat=P","Fill=—","Direction=H","UseDPDF=Y")</f>
        <v>—</v>
      </c>
      <c r="R102" s="13" t="str">
        <f>_xll.BDH("ALNY US Equity","ARDR_CASH_EQUIVS","FQ3 2022","FQ3 2022","Currency=USD","Period=FQ","BEST_FPERIOD_OVERRIDE=FQ","FILING_STATUS=MR","SCALING_FORMAT=MLN","Sort=A","Dates=H","DateFormat=P","Fill=—","Direction=H","UseDPDF=Y")</f>
        <v>—</v>
      </c>
      <c r="S102" s="13">
        <f>_xll.BDH("ALNY US Equity","ARDR_CASH_EQUIVS","FQ4 2022","FQ4 2022","Currency=USD","Period=FQ","BEST_FPERIOD_OVERRIDE=FQ","FILING_STATUS=MR","SCALING_FORMAT=MLN","Sort=A","Dates=H","DateFormat=P","Fill=—","Direction=H","UseDPDF=Y")</f>
        <v>866.39400000000001</v>
      </c>
      <c r="T102" s="13">
        <f>_xll.BDH("ALNY US Equity","ARDR_CASH_EQUIVS","FQ1 2023","FQ1 2023","Currency=USD","Period=FQ","BEST_FPERIOD_OVERRIDE=FQ","FILING_STATUS=MR","SCALING_FORMAT=MLN","Sort=A","Dates=H","DateFormat=P","Fill=—","Direction=H","UseDPDF=Y")</f>
        <v>672.245</v>
      </c>
      <c r="U102" s="13">
        <f>_xll.BDH("ALNY US Equity","ARDR_CASH_EQUIVS","FQ2 2023","FQ2 2023","Currency=USD","Period=FQ","BEST_FPERIOD_OVERRIDE=FQ","FILING_STATUS=MR","SCALING_FORMAT=MLN","Sort=A","Dates=H","DateFormat=P","Fill=—","Direction=H","UseDPDF=Y")</f>
        <v>657.8</v>
      </c>
      <c r="V102" s="13">
        <f>_xll.BDH("ALNY US Equity","ARDR_CASH_EQUIVS","FQ3 2023","FQ3 2023","Currency=USD","Period=FQ","BEST_FPERIOD_OVERRIDE=FQ","FILING_STATUS=MR","SCALING_FORMAT=MLN","Sort=A","Dates=H","DateFormat=P","Fill=—","Direction=H","UseDPDF=Y")</f>
        <v>1033.0239999999999</v>
      </c>
      <c r="W102" s="13">
        <f>_xll.BDH("ALNY US Equity","ARDR_CASH_EQUIVS","FQ4 2023","FQ4 2023","Currency=USD","Period=FQ","BEST_FPERIOD_OVERRIDE=FQ","FILING_STATUS=MR","SCALING_FORMAT=MLN","Sort=A","Dates=H","DateFormat=P","Fill=—","Direction=H","UseDPDF=Y")</f>
        <v>812.68799999999999</v>
      </c>
      <c r="X102" s="13">
        <f>_xll.BDH("ALNY US Equity","ARDR_CASH_EQUIVS","FQ1 2024","FQ1 2024","Currency=USD","Period=FQ","BEST_FPERIOD_OVERRIDE=FQ","FILING_STATUS=MR","SCALING_FORMAT=MLN","Sort=A","Dates=H","DateFormat=P","Fill=—","Direction=H","UseDPDF=Y")</f>
        <v>681.87900000000002</v>
      </c>
      <c r="Y102" s="13">
        <f>_xll.BDH("ALNY US Equity","ARDR_CASH_EQUIVS","FQ2 2024","FQ2 2024","Currency=USD","Period=FQ","BEST_FPERIOD_OVERRIDE=FQ","FILING_STATUS=MR","SCALING_FORMAT=MLN","Sort=A","Dates=H","DateFormat=P","Fill=—","Direction=H","UseDPDF=Y")</f>
        <v>968.49199999999996</v>
      </c>
      <c r="Z102" s="13">
        <f>_xll.BDH("ALNY US Equity","ARDR_CASH_EQUIVS","FQ3 2024","FQ3 2024","Currency=USD","Period=FQ","BEST_FPERIOD_OVERRIDE=FQ","FILING_STATUS=MR","SCALING_FORMAT=MLN","Sort=A","Dates=H","DateFormat=P","Fill=—","Direction=H","UseDPDF=Y")</f>
        <v>1099.92</v>
      </c>
      <c r="AA102" s="13">
        <f>_xll.BDH("ALNY US Equity","ARDR_CASH_EQUIVS","FQ4 2024","FQ4 2024","Currency=USD","Period=FQ","BEST_FPERIOD_OVERRIDE=FQ","FILING_STATUS=MR","SCALING_FORMAT=MLN","Sort=A","Dates=H","DateFormat=P","Fill=—","Direction=H","UseDPDF=Y")</f>
        <v>966.428</v>
      </c>
    </row>
    <row r="103" spans="1:27" x14ac:dyDescent="0.25">
      <c r="A103" s="10" t="s">
        <v>987</v>
      </c>
      <c r="B103" s="10" t="s">
        <v>988</v>
      </c>
      <c r="C103" s="13">
        <f>_xll.BDH("ALNY US Equity","ARDR_DEBT_SCHEDULE_IN_YR1","FQ4 2018","FQ4 2018","Currency=USD","Period=FQ","BEST_FPERIOD_OVERRIDE=FQ","FILING_STATUS=MR","SCALING_FORMAT=MLN","Sort=A","Dates=H","DateFormat=P","Fill=—","Direction=H","UseDPDF=Y")</f>
        <v>0.90300000000000002</v>
      </c>
      <c r="D103" s="13" t="str">
        <f>_xll.BDH("ALNY US Equity","ARDR_DEBT_SCHEDULE_IN_YR1","FQ1 2019","FQ1 2019","Currency=USD","Period=FQ","BEST_FPERIOD_OVERRIDE=FQ","FILING_STATUS=MR","SCALING_FORMAT=MLN","Sort=A","Dates=H","DateFormat=P","Fill=—","Direction=H","UseDPDF=Y")</f>
        <v>—</v>
      </c>
      <c r="E103" s="13" t="str">
        <f>_xll.BDH("ALNY US Equity","ARDR_DEBT_SCHEDULE_IN_YR1","FQ2 2019","FQ2 2019","Currency=USD","Period=FQ","BEST_FPERIOD_OVERRIDE=FQ","FILING_STATUS=MR","SCALING_FORMAT=MLN","Sort=A","Dates=H","DateFormat=P","Fill=—","Direction=H","UseDPDF=Y")</f>
        <v>—</v>
      </c>
      <c r="F103" s="13" t="str">
        <f>_xll.BDH("ALNY US Equity","ARDR_DEBT_SCHEDULE_IN_YR1","FQ3 2019","FQ3 2019","Currency=USD","Period=FQ","BEST_FPERIOD_OVERRIDE=FQ","FILING_STATUS=MR","SCALING_FORMAT=MLN","Sort=A","Dates=H","DateFormat=P","Fill=—","Direction=H","UseDPDF=Y")</f>
        <v>—</v>
      </c>
      <c r="G103" s="13" t="str">
        <f>_xll.BDH("ALNY US Equity","ARDR_DEBT_SCHEDULE_IN_YR1","FQ4 2019","FQ4 2019","Currency=USD","Period=FQ","BEST_FPERIOD_OVERRIDE=FQ","FILING_STATUS=MR","SCALING_FORMAT=MLN","Sort=A","Dates=H","DateFormat=P","Fill=—","Direction=H","UseDPDF=Y")</f>
        <v>—</v>
      </c>
      <c r="H103" s="13" t="str">
        <f>_xll.BDH("ALNY US Equity","ARDR_DEBT_SCHEDULE_IN_YR1","FQ1 2020","FQ1 2020","Currency=USD","Period=FQ","BEST_FPERIOD_OVERRIDE=FQ","FILING_STATUS=MR","SCALING_FORMAT=MLN","Sort=A","Dates=H","DateFormat=P","Fill=—","Direction=H","UseDPDF=Y")</f>
        <v>—</v>
      </c>
      <c r="I103" s="13" t="str">
        <f>_xll.BDH("ALNY US Equity","ARDR_DEBT_SCHEDULE_IN_YR1","FQ2 2020","FQ2 2020","Currency=USD","Period=FQ","BEST_FPERIOD_OVERRIDE=FQ","FILING_STATUS=MR","SCALING_FORMAT=MLN","Sort=A","Dates=H","DateFormat=P","Fill=—","Direction=H","UseDPDF=Y")</f>
        <v>—</v>
      </c>
      <c r="J103" s="13" t="str">
        <f>_xll.BDH("ALNY US Equity","ARDR_DEBT_SCHEDULE_IN_YR1","FQ3 2020","FQ3 2020","Currency=USD","Period=FQ","BEST_FPERIOD_OVERRIDE=FQ","FILING_STATUS=MR","SCALING_FORMAT=MLN","Sort=A","Dates=H","DateFormat=P","Fill=—","Direction=H","UseDPDF=Y")</f>
        <v>—</v>
      </c>
      <c r="K103" s="13" t="str">
        <f>_xll.BDH("ALNY US Equity","ARDR_DEBT_SCHEDULE_IN_YR1","FQ4 2020","FQ4 2020","Currency=USD","Period=FQ","BEST_FPERIOD_OVERRIDE=FQ","FILING_STATUS=MR","SCALING_FORMAT=MLN","Sort=A","Dates=H","DateFormat=P","Fill=—","Direction=H","UseDPDF=Y")</f>
        <v>—</v>
      </c>
      <c r="L103" s="13" t="str">
        <f>_xll.BDH("ALNY US Equity","ARDR_DEBT_SCHEDULE_IN_YR1","FQ1 2021","FQ1 2021","Currency=USD","Period=FQ","BEST_FPERIOD_OVERRIDE=FQ","FILING_STATUS=MR","SCALING_FORMAT=MLN","Sort=A","Dates=H","DateFormat=P","Fill=—","Direction=H","UseDPDF=Y")</f>
        <v>—</v>
      </c>
      <c r="M103" s="13" t="str">
        <f>_xll.BDH("ALNY US Equity","ARDR_DEBT_SCHEDULE_IN_YR1","FQ2 2021","FQ2 2021","Currency=USD","Period=FQ","BEST_FPERIOD_OVERRIDE=FQ","FILING_STATUS=MR","SCALING_FORMAT=MLN","Sort=A","Dates=H","DateFormat=P","Fill=—","Direction=H","UseDPDF=Y")</f>
        <v>—</v>
      </c>
      <c r="N103" s="13" t="str">
        <f>_xll.BDH("ALNY US Equity","ARDR_DEBT_SCHEDULE_IN_YR1","FQ3 2021","FQ3 2021","Currency=USD","Period=FQ","BEST_FPERIOD_OVERRIDE=FQ","FILING_STATUS=MR","SCALING_FORMAT=MLN","Sort=A","Dates=H","DateFormat=P","Fill=—","Direction=H","UseDPDF=Y")</f>
        <v>—</v>
      </c>
      <c r="O103" s="13" t="str">
        <f>_xll.BDH("ALNY US Equity","ARDR_DEBT_SCHEDULE_IN_YR1","FQ4 2021","FQ4 2021","Currency=USD","Period=FQ","BEST_FPERIOD_OVERRIDE=FQ","FILING_STATUS=MR","SCALING_FORMAT=MLN","Sort=A","Dates=H","DateFormat=P","Fill=—","Direction=H","UseDPDF=Y")</f>
        <v>—</v>
      </c>
      <c r="P103" s="13" t="str">
        <f>_xll.BDH("ALNY US Equity","ARDR_DEBT_SCHEDULE_IN_YR1","FQ1 2022","FQ1 2022","Currency=USD","Period=FQ","BEST_FPERIOD_OVERRIDE=FQ","FILING_STATUS=MR","SCALING_FORMAT=MLN","Sort=A","Dates=H","DateFormat=P","Fill=—","Direction=H","UseDPDF=Y")</f>
        <v>—</v>
      </c>
      <c r="Q103" s="13" t="str">
        <f>_xll.BDH("ALNY US Equity","ARDR_DEBT_SCHEDULE_IN_YR1","FQ2 2022","FQ2 2022","Currency=USD","Period=FQ","BEST_FPERIOD_OVERRIDE=FQ","FILING_STATUS=MR","SCALING_FORMAT=MLN","Sort=A","Dates=H","DateFormat=P","Fill=—","Direction=H","UseDPDF=Y")</f>
        <v>—</v>
      </c>
      <c r="R103" s="13" t="str">
        <f>_xll.BDH("ALNY US Equity","ARDR_DEBT_SCHEDULE_IN_YR1","FQ3 2022","FQ3 2022","Currency=USD","Period=FQ","BEST_FPERIOD_OVERRIDE=FQ","FILING_STATUS=MR","SCALING_FORMAT=MLN","Sort=A","Dates=H","DateFormat=P","Fill=—","Direction=H","UseDPDF=Y")</f>
        <v>—</v>
      </c>
      <c r="S103" s="13" t="str">
        <f>_xll.BDH("ALNY US Equity","ARDR_DEBT_SCHEDULE_IN_YR1","FQ4 2022","FQ4 2022","Currency=USD","Period=FQ","BEST_FPERIOD_OVERRIDE=FQ","FILING_STATUS=MR","SCALING_FORMAT=MLN","Sort=A","Dates=H","DateFormat=P","Fill=—","Direction=H","UseDPDF=Y")</f>
        <v>—</v>
      </c>
      <c r="T103" s="13" t="str">
        <f>_xll.BDH("ALNY US Equity","ARDR_DEBT_SCHEDULE_IN_YR1","FQ1 2023","FQ1 2023","Currency=USD","Period=FQ","BEST_FPERIOD_OVERRIDE=FQ","FILING_STATUS=MR","SCALING_FORMAT=MLN","Sort=A","Dates=H","DateFormat=P","Fill=—","Direction=H","UseDPDF=Y")</f>
        <v>—</v>
      </c>
      <c r="U103" s="13" t="str">
        <f>_xll.BDH("ALNY US Equity","ARDR_DEBT_SCHEDULE_IN_YR1","FQ2 2023","FQ2 2023","Currency=USD","Period=FQ","BEST_FPERIOD_OVERRIDE=FQ","FILING_STATUS=MR","SCALING_FORMAT=MLN","Sort=A","Dates=H","DateFormat=P","Fill=—","Direction=H","UseDPDF=Y")</f>
        <v>—</v>
      </c>
      <c r="V103" s="13" t="str">
        <f>_xll.BDH("ALNY US Equity","ARDR_DEBT_SCHEDULE_IN_YR1","FQ3 2023","FQ3 2023","Currency=USD","Period=FQ","BEST_FPERIOD_OVERRIDE=FQ","FILING_STATUS=MR","SCALING_FORMAT=MLN","Sort=A","Dates=H","DateFormat=P","Fill=—","Direction=H","UseDPDF=Y")</f>
        <v>—</v>
      </c>
      <c r="W103" s="13" t="str">
        <f>_xll.BDH("ALNY US Equity","ARDR_DEBT_SCHEDULE_IN_YR1","FQ4 2023","FQ4 2023","Currency=USD","Period=FQ","BEST_FPERIOD_OVERRIDE=FQ","FILING_STATUS=MR","SCALING_FORMAT=MLN","Sort=A","Dates=H","DateFormat=P","Fill=—","Direction=H","UseDPDF=Y")</f>
        <v>—</v>
      </c>
      <c r="X103" s="13" t="str">
        <f>_xll.BDH("ALNY US Equity","ARDR_DEBT_SCHEDULE_IN_YR1","FQ1 2024","FQ1 2024","Currency=USD","Period=FQ","BEST_FPERIOD_OVERRIDE=FQ","FILING_STATUS=MR","SCALING_FORMAT=MLN","Sort=A","Dates=H","DateFormat=P","Fill=—","Direction=H","UseDPDF=Y")</f>
        <v>—</v>
      </c>
      <c r="Y103" s="13" t="str">
        <f>_xll.BDH("ALNY US Equity","ARDR_DEBT_SCHEDULE_IN_YR1","FQ2 2024","FQ2 2024","Currency=USD","Period=FQ","BEST_FPERIOD_OVERRIDE=FQ","FILING_STATUS=MR","SCALING_FORMAT=MLN","Sort=A","Dates=H","DateFormat=P","Fill=—","Direction=H","UseDPDF=Y")</f>
        <v>—</v>
      </c>
      <c r="Z103" s="13" t="str">
        <f>_xll.BDH("ALNY US Equity","ARDR_DEBT_SCHEDULE_IN_YR1","FQ3 2024","FQ3 2024","Currency=USD","Period=FQ","BEST_FPERIOD_OVERRIDE=FQ","FILING_STATUS=MR","SCALING_FORMAT=MLN","Sort=A","Dates=H","DateFormat=P","Fill=—","Direction=H","UseDPDF=Y")</f>
        <v>—</v>
      </c>
      <c r="AA103" s="13" t="str">
        <f>_xll.BDH("ALNY US Equity","ARDR_DEBT_SCHEDULE_IN_YR1","FQ4 2024","FQ4 2024","Currency=USD","Period=FQ","BEST_FPERIOD_OVERRIDE=FQ","FILING_STATUS=MR","SCALING_FORMAT=MLN","Sort=A","Dates=H","DateFormat=P","Fill=—","Direction=H","UseDPDF=Y")</f>
        <v>—</v>
      </c>
    </row>
    <row r="104" spans="1:27" x14ac:dyDescent="0.25">
      <c r="A104" s="10" t="s">
        <v>989</v>
      </c>
      <c r="B104" s="10" t="s">
        <v>990</v>
      </c>
      <c r="C104" s="13">
        <f>_xll.BDH("ALNY US Equity","ARDR_DEBT_SCHEDULE_THEREAFTER","FQ4 2018","FQ4 2018","Currency=USD","Period=FQ","BEST_FPERIOD_OVERRIDE=FQ","FILING_STATUS=MR","SCALING_FORMAT=MLN","Sort=A","Dates=H","DateFormat=P","Fill=—","Direction=H","UseDPDF=Y")</f>
        <v>0</v>
      </c>
      <c r="D104" s="13" t="str">
        <f>_xll.BDH("ALNY US Equity","ARDR_DEBT_SCHEDULE_THEREAFTER","FQ1 2019","FQ1 2019","Currency=USD","Period=FQ","BEST_FPERIOD_OVERRIDE=FQ","FILING_STATUS=MR","SCALING_FORMAT=MLN","Sort=A","Dates=H","DateFormat=P","Fill=—","Direction=H","UseDPDF=Y")</f>
        <v>—</v>
      </c>
      <c r="E104" s="13" t="str">
        <f>_xll.BDH("ALNY US Equity","ARDR_DEBT_SCHEDULE_THEREAFTER","FQ2 2019","FQ2 2019","Currency=USD","Period=FQ","BEST_FPERIOD_OVERRIDE=FQ","FILING_STATUS=MR","SCALING_FORMAT=MLN","Sort=A","Dates=H","DateFormat=P","Fill=—","Direction=H","UseDPDF=Y")</f>
        <v>—</v>
      </c>
      <c r="F104" s="13" t="str">
        <f>_xll.BDH("ALNY US Equity","ARDR_DEBT_SCHEDULE_THEREAFTER","FQ3 2019","FQ3 2019","Currency=USD","Period=FQ","BEST_FPERIOD_OVERRIDE=FQ","FILING_STATUS=MR","SCALING_FORMAT=MLN","Sort=A","Dates=H","DateFormat=P","Fill=—","Direction=H","UseDPDF=Y")</f>
        <v>—</v>
      </c>
      <c r="G104" s="13" t="str">
        <f>_xll.BDH("ALNY US Equity","ARDR_DEBT_SCHEDULE_THEREAFTER","FQ4 2019","FQ4 2019","Currency=USD","Period=FQ","BEST_FPERIOD_OVERRIDE=FQ","FILING_STATUS=MR","SCALING_FORMAT=MLN","Sort=A","Dates=H","DateFormat=P","Fill=—","Direction=H","UseDPDF=Y")</f>
        <v>—</v>
      </c>
      <c r="H104" s="13" t="str">
        <f>_xll.BDH("ALNY US Equity","ARDR_DEBT_SCHEDULE_THEREAFTER","FQ1 2020","FQ1 2020","Currency=USD","Period=FQ","BEST_FPERIOD_OVERRIDE=FQ","FILING_STATUS=MR","SCALING_FORMAT=MLN","Sort=A","Dates=H","DateFormat=P","Fill=—","Direction=H","UseDPDF=Y")</f>
        <v>—</v>
      </c>
      <c r="I104" s="13" t="str">
        <f>_xll.BDH("ALNY US Equity","ARDR_DEBT_SCHEDULE_THEREAFTER","FQ2 2020","FQ2 2020","Currency=USD","Period=FQ","BEST_FPERIOD_OVERRIDE=FQ","FILING_STATUS=MR","SCALING_FORMAT=MLN","Sort=A","Dates=H","DateFormat=P","Fill=—","Direction=H","UseDPDF=Y")</f>
        <v>—</v>
      </c>
      <c r="J104" s="13" t="str">
        <f>_xll.BDH("ALNY US Equity","ARDR_DEBT_SCHEDULE_THEREAFTER","FQ3 2020","FQ3 2020","Currency=USD","Period=FQ","BEST_FPERIOD_OVERRIDE=FQ","FILING_STATUS=MR","SCALING_FORMAT=MLN","Sort=A","Dates=H","DateFormat=P","Fill=—","Direction=H","UseDPDF=Y")</f>
        <v>—</v>
      </c>
      <c r="K104" s="13" t="str">
        <f>_xll.BDH("ALNY US Equity","ARDR_DEBT_SCHEDULE_THEREAFTER","FQ4 2020","FQ4 2020","Currency=USD","Period=FQ","BEST_FPERIOD_OVERRIDE=FQ","FILING_STATUS=MR","SCALING_FORMAT=MLN","Sort=A","Dates=H","DateFormat=P","Fill=—","Direction=H","UseDPDF=Y")</f>
        <v>—</v>
      </c>
      <c r="L104" s="13" t="str">
        <f>_xll.BDH("ALNY US Equity","ARDR_DEBT_SCHEDULE_THEREAFTER","FQ1 2021","FQ1 2021","Currency=USD","Period=FQ","BEST_FPERIOD_OVERRIDE=FQ","FILING_STATUS=MR","SCALING_FORMAT=MLN","Sort=A","Dates=H","DateFormat=P","Fill=—","Direction=H","UseDPDF=Y")</f>
        <v>—</v>
      </c>
      <c r="M104" s="13" t="str">
        <f>_xll.BDH("ALNY US Equity","ARDR_DEBT_SCHEDULE_THEREAFTER","FQ2 2021","FQ2 2021","Currency=USD","Period=FQ","BEST_FPERIOD_OVERRIDE=FQ","FILING_STATUS=MR","SCALING_FORMAT=MLN","Sort=A","Dates=H","DateFormat=P","Fill=—","Direction=H","UseDPDF=Y")</f>
        <v>—</v>
      </c>
      <c r="N104" s="13" t="str">
        <f>_xll.BDH("ALNY US Equity","ARDR_DEBT_SCHEDULE_THEREAFTER","FQ3 2021","FQ3 2021","Currency=USD","Period=FQ","BEST_FPERIOD_OVERRIDE=FQ","FILING_STATUS=MR","SCALING_FORMAT=MLN","Sort=A","Dates=H","DateFormat=P","Fill=—","Direction=H","UseDPDF=Y")</f>
        <v>—</v>
      </c>
      <c r="O104" s="13" t="str">
        <f>_xll.BDH("ALNY US Equity","ARDR_DEBT_SCHEDULE_THEREAFTER","FQ4 2021","FQ4 2021","Currency=USD","Period=FQ","BEST_FPERIOD_OVERRIDE=FQ","FILING_STATUS=MR","SCALING_FORMAT=MLN","Sort=A","Dates=H","DateFormat=P","Fill=—","Direction=H","UseDPDF=Y")</f>
        <v>—</v>
      </c>
      <c r="P104" s="13" t="str">
        <f>_xll.BDH("ALNY US Equity","ARDR_DEBT_SCHEDULE_THEREAFTER","FQ1 2022","FQ1 2022","Currency=USD","Period=FQ","BEST_FPERIOD_OVERRIDE=FQ","FILING_STATUS=MR","SCALING_FORMAT=MLN","Sort=A","Dates=H","DateFormat=P","Fill=—","Direction=H","UseDPDF=Y")</f>
        <v>—</v>
      </c>
      <c r="Q104" s="13" t="str">
        <f>_xll.BDH("ALNY US Equity","ARDR_DEBT_SCHEDULE_THEREAFTER","FQ2 2022","FQ2 2022","Currency=USD","Period=FQ","BEST_FPERIOD_OVERRIDE=FQ","FILING_STATUS=MR","SCALING_FORMAT=MLN","Sort=A","Dates=H","DateFormat=P","Fill=—","Direction=H","UseDPDF=Y")</f>
        <v>—</v>
      </c>
      <c r="R104" s="13" t="str">
        <f>_xll.BDH("ALNY US Equity","ARDR_DEBT_SCHEDULE_THEREAFTER","FQ3 2022","FQ3 2022","Currency=USD","Period=FQ","BEST_FPERIOD_OVERRIDE=FQ","FILING_STATUS=MR","SCALING_FORMAT=MLN","Sort=A","Dates=H","DateFormat=P","Fill=—","Direction=H","UseDPDF=Y")</f>
        <v>—</v>
      </c>
      <c r="S104" s="13" t="str">
        <f>_xll.BDH("ALNY US Equity","ARDR_DEBT_SCHEDULE_THEREAFTER","FQ4 2022","FQ4 2022","Currency=USD","Period=FQ","BEST_FPERIOD_OVERRIDE=FQ","FILING_STATUS=MR","SCALING_FORMAT=MLN","Sort=A","Dates=H","DateFormat=P","Fill=—","Direction=H","UseDPDF=Y")</f>
        <v>—</v>
      </c>
      <c r="T104" s="13" t="str">
        <f>_xll.BDH("ALNY US Equity","ARDR_DEBT_SCHEDULE_THEREAFTER","FQ1 2023","FQ1 2023","Currency=USD","Period=FQ","BEST_FPERIOD_OVERRIDE=FQ","FILING_STATUS=MR","SCALING_FORMAT=MLN","Sort=A","Dates=H","DateFormat=P","Fill=—","Direction=H","UseDPDF=Y")</f>
        <v>—</v>
      </c>
      <c r="U104" s="13" t="str">
        <f>_xll.BDH("ALNY US Equity","ARDR_DEBT_SCHEDULE_THEREAFTER","FQ2 2023","FQ2 2023","Currency=USD","Period=FQ","BEST_FPERIOD_OVERRIDE=FQ","FILING_STATUS=MR","SCALING_FORMAT=MLN","Sort=A","Dates=H","DateFormat=P","Fill=—","Direction=H","UseDPDF=Y")</f>
        <v>—</v>
      </c>
      <c r="V104" s="13" t="str">
        <f>_xll.BDH("ALNY US Equity","ARDR_DEBT_SCHEDULE_THEREAFTER","FQ3 2023","FQ3 2023","Currency=USD","Period=FQ","BEST_FPERIOD_OVERRIDE=FQ","FILING_STATUS=MR","SCALING_FORMAT=MLN","Sort=A","Dates=H","DateFormat=P","Fill=—","Direction=H","UseDPDF=Y")</f>
        <v>—</v>
      </c>
      <c r="W104" s="13" t="str">
        <f>_xll.BDH("ALNY US Equity","ARDR_DEBT_SCHEDULE_THEREAFTER","FQ4 2023","FQ4 2023","Currency=USD","Period=FQ","BEST_FPERIOD_OVERRIDE=FQ","FILING_STATUS=MR","SCALING_FORMAT=MLN","Sort=A","Dates=H","DateFormat=P","Fill=—","Direction=H","UseDPDF=Y")</f>
        <v>—</v>
      </c>
      <c r="X104" s="13" t="str">
        <f>_xll.BDH("ALNY US Equity","ARDR_DEBT_SCHEDULE_THEREAFTER","FQ1 2024","FQ1 2024","Currency=USD","Period=FQ","BEST_FPERIOD_OVERRIDE=FQ","FILING_STATUS=MR","SCALING_FORMAT=MLN","Sort=A","Dates=H","DateFormat=P","Fill=—","Direction=H","UseDPDF=Y")</f>
        <v>—</v>
      </c>
      <c r="Y104" s="13" t="str">
        <f>_xll.BDH("ALNY US Equity","ARDR_DEBT_SCHEDULE_THEREAFTER","FQ2 2024","FQ2 2024","Currency=USD","Period=FQ","BEST_FPERIOD_OVERRIDE=FQ","FILING_STATUS=MR","SCALING_FORMAT=MLN","Sort=A","Dates=H","DateFormat=P","Fill=—","Direction=H","UseDPDF=Y")</f>
        <v>—</v>
      </c>
      <c r="Z104" s="13" t="str">
        <f>_xll.BDH("ALNY US Equity","ARDR_DEBT_SCHEDULE_THEREAFTER","FQ3 2024","FQ3 2024","Currency=USD","Period=FQ","BEST_FPERIOD_OVERRIDE=FQ","FILING_STATUS=MR","SCALING_FORMAT=MLN","Sort=A","Dates=H","DateFormat=P","Fill=—","Direction=H","UseDPDF=Y")</f>
        <v>—</v>
      </c>
      <c r="AA104" s="13" t="str">
        <f>_xll.BDH("ALNY US Equity","ARDR_DEBT_SCHEDULE_THEREAFTER","FQ4 2024","FQ4 2024","Currency=USD","Period=FQ","BEST_FPERIOD_OVERRIDE=FQ","FILING_STATUS=MR","SCALING_FORMAT=MLN","Sort=A","Dates=H","DateFormat=P","Fill=—","Direction=H","UseDPDF=Y")</f>
        <v>—</v>
      </c>
    </row>
    <row r="105" spans="1:27" x14ac:dyDescent="0.25">
      <c r="A105" s="10" t="s">
        <v>991</v>
      </c>
      <c r="B105" s="10" t="s">
        <v>992</v>
      </c>
      <c r="C105" s="13">
        <f>_xll.BDH("ALNY US Equity","ARDR_DEBT_SCHEDULE_TOTAL_DEBT","FQ4 2018","FQ4 2018","Currency=USD","Period=FQ","BEST_FPERIOD_OVERRIDE=FQ","FILING_STATUS=MR","SCALING_FORMAT=MLN","Sort=A","Dates=H","DateFormat=P","Fill=—","Direction=H","UseDPDF=Y")</f>
        <v>32.18</v>
      </c>
      <c r="D105" s="13" t="str">
        <f>_xll.BDH("ALNY US Equity","ARDR_DEBT_SCHEDULE_TOTAL_DEBT","FQ1 2019","FQ1 2019","Currency=USD","Period=FQ","BEST_FPERIOD_OVERRIDE=FQ","FILING_STATUS=MR","SCALING_FORMAT=MLN","Sort=A","Dates=H","DateFormat=P","Fill=—","Direction=H","UseDPDF=Y")</f>
        <v>—</v>
      </c>
      <c r="E105" s="13" t="str">
        <f>_xll.BDH("ALNY US Equity","ARDR_DEBT_SCHEDULE_TOTAL_DEBT","FQ2 2019","FQ2 2019","Currency=USD","Period=FQ","BEST_FPERIOD_OVERRIDE=FQ","FILING_STATUS=MR","SCALING_FORMAT=MLN","Sort=A","Dates=H","DateFormat=P","Fill=—","Direction=H","UseDPDF=Y")</f>
        <v>—</v>
      </c>
      <c r="F105" s="13" t="str">
        <f>_xll.BDH("ALNY US Equity","ARDR_DEBT_SCHEDULE_TOTAL_DEBT","FQ3 2019","FQ3 2019","Currency=USD","Period=FQ","BEST_FPERIOD_OVERRIDE=FQ","FILING_STATUS=MR","SCALING_FORMAT=MLN","Sort=A","Dates=H","DateFormat=P","Fill=—","Direction=H","UseDPDF=Y")</f>
        <v>—</v>
      </c>
      <c r="G105" s="13" t="str">
        <f>_xll.BDH("ALNY US Equity","ARDR_DEBT_SCHEDULE_TOTAL_DEBT","FQ4 2019","FQ4 2019","Currency=USD","Period=FQ","BEST_FPERIOD_OVERRIDE=FQ","FILING_STATUS=MR","SCALING_FORMAT=MLN","Sort=A","Dates=H","DateFormat=P","Fill=—","Direction=H","UseDPDF=Y")</f>
        <v>—</v>
      </c>
      <c r="H105" s="13" t="str">
        <f>_xll.BDH("ALNY US Equity","ARDR_DEBT_SCHEDULE_TOTAL_DEBT","FQ1 2020","FQ1 2020","Currency=USD","Period=FQ","BEST_FPERIOD_OVERRIDE=FQ","FILING_STATUS=MR","SCALING_FORMAT=MLN","Sort=A","Dates=H","DateFormat=P","Fill=—","Direction=H","UseDPDF=Y")</f>
        <v>—</v>
      </c>
      <c r="I105" s="13" t="str">
        <f>_xll.BDH("ALNY US Equity","ARDR_DEBT_SCHEDULE_TOTAL_DEBT","FQ2 2020","FQ2 2020","Currency=USD","Period=FQ","BEST_FPERIOD_OVERRIDE=FQ","FILING_STATUS=MR","SCALING_FORMAT=MLN","Sort=A","Dates=H","DateFormat=P","Fill=—","Direction=H","UseDPDF=Y")</f>
        <v>—</v>
      </c>
      <c r="J105" s="13" t="str">
        <f>_xll.BDH("ALNY US Equity","ARDR_DEBT_SCHEDULE_TOTAL_DEBT","FQ3 2020","FQ3 2020","Currency=USD","Period=FQ","BEST_FPERIOD_OVERRIDE=FQ","FILING_STATUS=MR","SCALING_FORMAT=MLN","Sort=A","Dates=H","DateFormat=P","Fill=—","Direction=H","UseDPDF=Y")</f>
        <v>—</v>
      </c>
      <c r="K105" s="13" t="str">
        <f>_xll.BDH("ALNY US Equity","ARDR_DEBT_SCHEDULE_TOTAL_DEBT","FQ4 2020","FQ4 2020","Currency=USD","Period=FQ","BEST_FPERIOD_OVERRIDE=FQ","FILING_STATUS=MR","SCALING_FORMAT=MLN","Sort=A","Dates=H","DateFormat=P","Fill=—","Direction=H","UseDPDF=Y")</f>
        <v>—</v>
      </c>
      <c r="L105" s="13" t="str">
        <f>_xll.BDH("ALNY US Equity","ARDR_DEBT_SCHEDULE_TOTAL_DEBT","FQ1 2021","FQ1 2021","Currency=USD","Period=FQ","BEST_FPERIOD_OVERRIDE=FQ","FILING_STATUS=MR","SCALING_FORMAT=MLN","Sort=A","Dates=H","DateFormat=P","Fill=—","Direction=H","UseDPDF=Y")</f>
        <v>—</v>
      </c>
      <c r="M105" s="13" t="str">
        <f>_xll.BDH("ALNY US Equity","ARDR_DEBT_SCHEDULE_TOTAL_DEBT","FQ2 2021","FQ2 2021","Currency=USD","Period=FQ","BEST_FPERIOD_OVERRIDE=FQ","FILING_STATUS=MR","SCALING_FORMAT=MLN","Sort=A","Dates=H","DateFormat=P","Fill=—","Direction=H","UseDPDF=Y")</f>
        <v>—</v>
      </c>
      <c r="N105" s="13" t="str">
        <f>_xll.BDH("ALNY US Equity","ARDR_DEBT_SCHEDULE_TOTAL_DEBT","FQ3 2021","FQ3 2021","Currency=USD","Period=FQ","BEST_FPERIOD_OVERRIDE=FQ","FILING_STATUS=MR","SCALING_FORMAT=MLN","Sort=A","Dates=H","DateFormat=P","Fill=—","Direction=H","UseDPDF=Y")</f>
        <v>—</v>
      </c>
      <c r="O105" s="13" t="str">
        <f>_xll.BDH("ALNY US Equity","ARDR_DEBT_SCHEDULE_TOTAL_DEBT","FQ4 2021","FQ4 2021","Currency=USD","Period=FQ","BEST_FPERIOD_OVERRIDE=FQ","FILING_STATUS=MR","SCALING_FORMAT=MLN","Sort=A","Dates=H","DateFormat=P","Fill=—","Direction=H","UseDPDF=Y")</f>
        <v>—</v>
      </c>
      <c r="P105" s="13" t="str">
        <f>_xll.BDH("ALNY US Equity","ARDR_DEBT_SCHEDULE_TOTAL_DEBT","FQ1 2022","FQ1 2022","Currency=USD","Period=FQ","BEST_FPERIOD_OVERRIDE=FQ","FILING_STATUS=MR","SCALING_FORMAT=MLN","Sort=A","Dates=H","DateFormat=P","Fill=—","Direction=H","UseDPDF=Y")</f>
        <v>—</v>
      </c>
      <c r="Q105" s="13" t="str">
        <f>_xll.BDH("ALNY US Equity","ARDR_DEBT_SCHEDULE_TOTAL_DEBT","FQ2 2022","FQ2 2022","Currency=USD","Period=FQ","BEST_FPERIOD_OVERRIDE=FQ","FILING_STATUS=MR","SCALING_FORMAT=MLN","Sort=A","Dates=H","DateFormat=P","Fill=—","Direction=H","UseDPDF=Y")</f>
        <v>—</v>
      </c>
      <c r="R105" s="13" t="str">
        <f>_xll.BDH("ALNY US Equity","ARDR_DEBT_SCHEDULE_TOTAL_DEBT","FQ3 2022","FQ3 2022","Currency=USD","Period=FQ","BEST_FPERIOD_OVERRIDE=FQ","FILING_STATUS=MR","SCALING_FORMAT=MLN","Sort=A","Dates=H","DateFormat=P","Fill=—","Direction=H","UseDPDF=Y")</f>
        <v>—</v>
      </c>
      <c r="S105" s="13" t="str">
        <f>_xll.BDH("ALNY US Equity","ARDR_DEBT_SCHEDULE_TOTAL_DEBT","FQ4 2022","FQ4 2022","Currency=USD","Period=FQ","BEST_FPERIOD_OVERRIDE=FQ","FILING_STATUS=MR","SCALING_FORMAT=MLN","Sort=A","Dates=H","DateFormat=P","Fill=—","Direction=H","UseDPDF=Y")</f>
        <v>—</v>
      </c>
      <c r="T105" s="13" t="str">
        <f>_xll.BDH("ALNY US Equity","ARDR_DEBT_SCHEDULE_TOTAL_DEBT","FQ1 2023","FQ1 2023","Currency=USD","Period=FQ","BEST_FPERIOD_OVERRIDE=FQ","FILING_STATUS=MR","SCALING_FORMAT=MLN","Sort=A","Dates=H","DateFormat=P","Fill=—","Direction=H","UseDPDF=Y")</f>
        <v>—</v>
      </c>
      <c r="U105" s="13" t="str">
        <f>_xll.BDH("ALNY US Equity","ARDR_DEBT_SCHEDULE_TOTAL_DEBT","FQ2 2023","FQ2 2023","Currency=USD","Period=FQ","BEST_FPERIOD_OVERRIDE=FQ","FILING_STATUS=MR","SCALING_FORMAT=MLN","Sort=A","Dates=H","DateFormat=P","Fill=—","Direction=H","UseDPDF=Y")</f>
        <v>—</v>
      </c>
      <c r="V105" s="13" t="str">
        <f>_xll.BDH("ALNY US Equity","ARDR_DEBT_SCHEDULE_TOTAL_DEBT","FQ3 2023","FQ3 2023","Currency=USD","Period=FQ","BEST_FPERIOD_OVERRIDE=FQ","FILING_STATUS=MR","SCALING_FORMAT=MLN","Sort=A","Dates=H","DateFormat=P","Fill=—","Direction=H","UseDPDF=Y")</f>
        <v>—</v>
      </c>
      <c r="W105" s="13" t="str">
        <f>_xll.BDH("ALNY US Equity","ARDR_DEBT_SCHEDULE_TOTAL_DEBT","FQ4 2023","FQ4 2023","Currency=USD","Period=FQ","BEST_FPERIOD_OVERRIDE=FQ","FILING_STATUS=MR","SCALING_FORMAT=MLN","Sort=A","Dates=H","DateFormat=P","Fill=—","Direction=H","UseDPDF=Y")</f>
        <v>—</v>
      </c>
      <c r="X105" s="13" t="str">
        <f>_xll.BDH("ALNY US Equity","ARDR_DEBT_SCHEDULE_TOTAL_DEBT","FQ1 2024","FQ1 2024","Currency=USD","Period=FQ","BEST_FPERIOD_OVERRIDE=FQ","FILING_STATUS=MR","SCALING_FORMAT=MLN","Sort=A","Dates=H","DateFormat=P","Fill=—","Direction=H","UseDPDF=Y")</f>
        <v>—</v>
      </c>
      <c r="Y105" s="13" t="str">
        <f>_xll.BDH("ALNY US Equity","ARDR_DEBT_SCHEDULE_TOTAL_DEBT","FQ2 2024","FQ2 2024","Currency=USD","Period=FQ","BEST_FPERIOD_OVERRIDE=FQ","FILING_STATUS=MR","SCALING_FORMAT=MLN","Sort=A","Dates=H","DateFormat=P","Fill=—","Direction=H","UseDPDF=Y")</f>
        <v>—</v>
      </c>
      <c r="Z105" s="13" t="str">
        <f>_xll.BDH("ALNY US Equity","ARDR_DEBT_SCHEDULE_TOTAL_DEBT","FQ3 2024","FQ3 2024","Currency=USD","Period=FQ","BEST_FPERIOD_OVERRIDE=FQ","FILING_STATUS=MR","SCALING_FORMAT=MLN","Sort=A","Dates=H","DateFormat=P","Fill=—","Direction=H","UseDPDF=Y")</f>
        <v>—</v>
      </c>
      <c r="AA105" s="13" t="str">
        <f>_xll.BDH("ALNY US Equity","ARDR_DEBT_SCHEDULE_TOTAL_DEBT","FQ4 2024","FQ4 2024","Currency=USD","Period=FQ","BEST_FPERIOD_OVERRIDE=FQ","FILING_STATUS=MR","SCALING_FORMAT=MLN","Sort=A","Dates=H","DateFormat=P","Fill=—","Direction=H","UseDPDF=Y")</f>
        <v>—</v>
      </c>
    </row>
    <row r="106" spans="1:27" x14ac:dyDescent="0.25">
      <c r="A106" s="10" t="s">
        <v>993</v>
      </c>
      <c r="B106" s="10" t="s">
        <v>994</v>
      </c>
      <c r="C106" s="13" t="str">
        <f>_xll.BDH("ALNY US Equity","ARDR_COMMON_SHARES_REPURCHASED","FQ4 2018","FQ4 2018","Currency=USD","Period=FQ","BEST_FPERIOD_OVERRIDE=FQ","FILING_STATUS=MR","Sort=A","Dates=H","DateFormat=P","Fill=—","Direction=H","UseDPDF=Y")</f>
        <v>—</v>
      </c>
      <c r="D106" s="13" t="str">
        <f>_xll.BDH("ALNY US Equity","ARDR_COMMON_SHARES_REPURCHASED","FQ1 2019","FQ1 2019","Currency=USD","Period=FQ","BEST_FPERIOD_OVERRIDE=FQ","FILING_STATUS=MR","Sort=A","Dates=H","DateFormat=P","Fill=—","Direction=H","UseDPDF=Y")</f>
        <v>—</v>
      </c>
      <c r="E106" s="13" t="str">
        <f>_xll.BDH("ALNY US Equity","ARDR_COMMON_SHARES_REPURCHASED","FQ2 2019","FQ2 2019","Currency=USD","Period=FQ","BEST_FPERIOD_OVERRIDE=FQ","FILING_STATUS=MR","Sort=A","Dates=H","DateFormat=P","Fill=—","Direction=H","UseDPDF=Y")</f>
        <v>—</v>
      </c>
      <c r="F106" s="13" t="str">
        <f>_xll.BDH("ALNY US Equity","ARDR_COMMON_SHARES_REPURCHASED","FQ3 2019","FQ3 2019","Currency=USD","Period=FQ","BEST_FPERIOD_OVERRIDE=FQ","FILING_STATUS=MR","Sort=A","Dates=H","DateFormat=P","Fill=—","Direction=H","UseDPDF=Y")</f>
        <v>—</v>
      </c>
      <c r="G106" s="13" t="str">
        <f>_xll.BDH("ALNY US Equity","ARDR_COMMON_SHARES_REPURCHASED","FQ4 2019","FQ4 2019","Currency=USD","Period=FQ","BEST_FPERIOD_OVERRIDE=FQ","FILING_STATUS=MR","Sort=A","Dates=H","DateFormat=P","Fill=—","Direction=H","UseDPDF=Y")</f>
        <v>—</v>
      </c>
      <c r="H106" s="13" t="str">
        <f>_xll.BDH("ALNY US Equity","ARDR_COMMON_SHARES_REPURCHASED","FQ1 2020","FQ1 2020","Currency=USD","Period=FQ","BEST_FPERIOD_OVERRIDE=FQ","FILING_STATUS=MR","Sort=A","Dates=H","DateFormat=P","Fill=—","Direction=H","UseDPDF=Y")</f>
        <v>—</v>
      </c>
      <c r="I106" s="13" t="str">
        <f>_xll.BDH("ALNY US Equity","ARDR_COMMON_SHARES_REPURCHASED","FQ2 2020","FQ2 2020","Currency=USD","Period=FQ","BEST_FPERIOD_OVERRIDE=FQ","FILING_STATUS=MR","Sort=A","Dates=H","DateFormat=P","Fill=—","Direction=H","UseDPDF=Y")</f>
        <v>—</v>
      </c>
      <c r="J106" s="13" t="str">
        <f>_xll.BDH("ALNY US Equity","ARDR_COMMON_SHARES_REPURCHASED","FQ3 2020","FQ3 2020","Currency=USD","Period=FQ","BEST_FPERIOD_OVERRIDE=FQ","FILING_STATUS=MR","Sort=A","Dates=H","DateFormat=P","Fill=—","Direction=H","UseDPDF=Y")</f>
        <v>—</v>
      </c>
      <c r="K106" s="13" t="str">
        <f>_xll.BDH("ALNY US Equity","ARDR_COMMON_SHARES_REPURCHASED","FQ4 2020","FQ4 2020","Currency=USD","Period=FQ","BEST_FPERIOD_OVERRIDE=FQ","FILING_STATUS=MR","Sort=A","Dates=H","DateFormat=P","Fill=—","Direction=H","UseDPDF=Y")</f>
        <v>—</v>
      </c>
      <c r="L106" s="13" t="str">
        <f>_xll.BDH("ALNY US Equity","ARDR_COMMON_SHARES_REPURCHASED","FQ1 2021","FQ1 2021","Currency=USD","Period=FQ","BEST_FPERIOD_OVERRIDE=FQ","FILING_STATUS=MR","Sort=A","Dates=H","DateFormat=P","Fill=—","Direction=H","UseDPDF=Y")</f>
        <v>—</v>
      </c>
      <c r="M106" s="13" t="str">
        <f>_xll.BDH("ALNY US Equity","ARDR_COMMON_SHARES_REPURCHASED","FQ2 2021","FQ2 2021","Currency=USD","Period=FQ","BEST_FPERIOD_OVERRIDE=FQ","FILING_STATUS=MR","Sort=A","Dates=H","DateFormat=P","Fill=—","Direction=H","UseDPDF=Y")</f>
        <v>—</v>
      </c>
      <c r="N106" s="13" t="str">
        <f>_xll.BDH("ALNY US Equity","ARDR_COMMON_SHARES_REPURCHASED","FQ3 2021","FQ3 2021","Currency=USD","Period=FQ","BEST_FPERIOD_OVERRIDE=FQ","FILING_STATUS=MR","Sort=A","Dates=H","DateFormat=P","Fill=—","Direction=H","UseDPDF=Y")</f>
        <v>—</v>
      </c>
      <c r="O106" s="13" t="str">
        <f>_xll.BDH("ALNY US Equity","ARDR_COMMON_SHARES_REPURCHASED","FQ4 2021","FQ4 2021","Currency=USD","Period=FQ","BEST_FPERIOD_OVERRIDE=FQ","FILING_STATUS=MR","Sort=A","Dates=H","DateFormat=P","Fill=—","Direction=H","UseDPDF=Y")</f>
        <v>—</v>
      </c>
      <c r="P106" s="13" t="str">
        <f>_xll.BDH("ALNY US Equity","ARDR_COMMON_SHARES_REPURCHASED","FQ1 2022","FQ1 2022","Currency=USD","Period=FQ","BEST_FPERIOD_OVERRIDE=FQ","FILING_STATUS=MR","Sort=A","Dates=H","DateFormat=P","Fill=—","Direction=H","UseDPDF=Y")</f>
        <v>—</v>
      </c>
      <c r="Q106" s="13" t="str">
        <f>_xll.BDH("ALNY US Equity","ARDR_COMMON_SHARES_REPURCHASED","FQ2 2022","FQ2 2022","Currency=USD","Period=FQ","BEST_FPERIOD_OVERRIDE=FQ","FILING_STATUS=MR","Sort=A","Dates=H","DateFormat=P","Fill=—","Direction=H","UseDPDF=Y")</f>
        <v>—</v>
      </c>
      <c r="R106" s="13" t="str">
        <f>_xll.BDH("ALNY US Equity","ARDR_COMMON_SHARES_REPURCHASED","FQ3 2022","FQ3 2022","Currency=USD","Period=FQ","BEST_FPERIOD_OVERRIDE=FQ","FILING_STATUS=MR","Sort=A","Dates=H","DateFormat=P","Fill=—","Direction=H","UseDPDF=Y")</f>
        <v>—</v>
      </c>
      <c r="S106" s="13">
        <f>_xll.BDH("ALNY US Equity","ARDR_COMMON_SHARES_REPURCHASED","FQ4 2022","FQ4 2022","Currency=USD","Period=FQ","BEST_FPERIOD_OVERRIDE=FQ","FILING_STATUS=MR","Sort=A","Dates=H","DateFormat=P","Fill=—","Direction=H","UseDPDF=Y")</f>
        <v>3.1819999999999999</v>
      </c>
      <c r="T106" s="13" t="str">
        <f>_xll.BDH("ALNY US Equity","ARDR_COMMON_SHARES_REPURCHASED","FQ1 2023","FQ1 2023","Currency=USD","Period=FQ","BEST_FPERIOD_OVERRIDE=FQ","FILING_STATUS=MR","Sort=A","Dates=H","DateFormat=P","Fill=—","Direction=H","UseDPDF=Y")</f>
        <v>—</v>
      </c>
      <c r="U106" s="13" t="str">
        <f>_xll.BDH("ALNY US Equity","ARDR_COMMON_SHARES_REPURCHASED","FQ2 2023","FQ2 2023","Currency=USD","Period=FQ","BEST_FPERIOD_OVERRIDE=FQ","FILING_STATUS=MR","Sort=A","Dates=H","DateFormat=P","Fill=—","Direction=H","UseDPDF=Y")</f>
        <v>—</v>
      </c>
      <c r="V106" s="13" t="str">
        <f>_xll.BDH("ALNY US Equity","ARDR_COMMON_SHARES_REPURCHASED","FQ3 2023","FQ3 2023","Currency=USD","Period=FQ","BEST_FPERIOD_OVERRIDE=FQ","FILING_STATUS=MR","Sort=A","Dates=H","DateFormat=P","Fill=—","Direction=H","UseDPDF=Y")</f>
        <v>—</v>
      </c>
      <c r="W106" s="13" t="str">
        <f>_xll.BDH("ALNY US Equity","ARDR_COMMON_SHARES_REPURCHASED","FQ4 2023","FQ4 2023","Currency=USD","Period=FQ","BEST_FPERIOD_OVERRIDE=FQ","FILING_STATUS=MR","Sort=A","Dates=H","DateFormat=P","Fill=—","Direction=H","UseDPDF=Y")</f>
        <v>—</v>
      </c>
      <c r="X106" s="13" t="str">
        <f>_xll.BDH("ALNY US Equity","ARDR_COMMON_SHARES_REPURCHASED","FQ1 2024","FQ1 2024","Currency=USD","Period=FQ","BEST_FPERIOD_OVERRIDE=FQ","FILING_STATUS=MR","Sort=A","Dates=H","DateFormat=P","Fill=—","Direction=H","UseDPDF=Y")</f>
        <v>—</v>
      </c>
      <c r="Y106" s="13" t="str">
        <f>_xll.BDH("ALNY US Equity","ARDR_COMMON_SHARES_REPURCHASED","FQ2 2024","FQ2 2024","Currency=USD","Period=FQ","BEST_FPERIOD_OVERRIDE=FQ","FILING_STATUS=MR","Sort=A","Dates=H","DateFormat=P","Fill=—","Direction=H","UseDPDF=Y")</f>
        <v>—</v>
      </c>
      <c r="Z106" s="13" t="str">
        <f>_xll.BDH("ALNY US Equity","ARDR_COMMON_SHARES_REPURCHASED","FQ3 2024","FQ3 2024","Currency=USD","Period=FQ","BEST_FPERIOD_OVERRIDE=FQ","FILING_STATUS=MR","Sort=A","Dates=H","DateFormat=P","Fill=—","Direction=H","UseDPDF=Y")</f>
        <v>—</v>
      </c>
      <c r="AA106" s="13" t="str">
        <f>_xll.BDH("ALNY US Equity","ARDR_COMMON_SHARES_REPURCHASED","FQ4 2024","FQ4 2024","Currency=USD","Period=FQ","BEST_FPERIOD_OVERRIDE=FQ","FILING_STATUS=MR","Sort=A","Dates=H","DateFormat=P","Fill=—","Direction=H","UseDPDF=Y")</f>
        <v>—</v>
      </c>
    </row>
    <row r="107" spans="1:27" x14ac:dyDescent="0.25">
      <c r="A107" s="10" t="s">
        <v>995</v>
      </c>
      <c r="B107" s="10" t="s">
        <v>996</v>
      </c>
      <c r="C107" s="13" t="str">
        <f>_xll.BDH("ALNY US Equity","ARDR_TOTAL_OPERATING_LIABILITIES","FQ4 2018","FQ4 2018","Currency=USD","Period=FQ","BEST_FPERIOD_OVERRIDE=FQ","FILING_STATUS=MR","Sort=A","Dates=H","DateFormat=P","Fill=—","Direction=H","UseDPDF=Y")</f>
        <v>—</v>
      </c>
      <c r="D107" s="13">
        <f>_xll.BDH("ALNY US Equity","ARDR_TOTAL_OPERATING_LIABILITIES","FQ1 2019","FQ1 2019","Currency=USD","Period=FQ","BEST_FPERIOD_OVERRIDE=FQ","FILING_STATUS=MR","Sort=A","Dates=H","DateFormat=P","Fill=—","Direction=H","UseDPDF=Y")</f>
        <v>299.27699999999999</v>
      </c>
      <c r="E107" s="13">
        <f>_xll.BDH("ALNY US Equity","ARDR_TOTAL_OPERATING_LIABILITIES","FQ2 2019","FQ2 2019","Currency=USD","Period=FQ","BEST_FPERIOD_OVERRIDE=FQ","FILING_STATUS=MR","Sort=A","Dates=H","DateFormat=P","Fill=—","Direction=H","UseDPDF=Y")</f>
        <v>306.55799999999999</v>
      </c>
      <c r="F107" s="13">
        <f>_xll.BDH("ALNY US Equity","ARDR_TOTAL_OPERATING_LIABILITIES","FQ3 2019","FQ3 2019","Currency=USD","Period=FQ","BEST_FPERIOD_OVERRIDE=FQ","FILING_STATUS=MR","Sort=A","Dates=H","DateFormat=P","Fill=—","Direction=H","UseDPDF=Y")</f>
        <v>304.62099999999998</v>
      </c>
      <c r="G107" s="13">
        <f>_xll.BDH("ALNY US Equity","ARDR_TOTAL_OPERATING_LIABILITIES","FQ4 2019","FQ4 2019","Currency=USD","Period=FQ","BEST_FPERIOD_OVERRIDE=FQ","FILING_STATUS=MR","Sort=A","Dates=H","DateFormat=P","Fill=—","Direction=H","UseDPDF=Y")</f>
        <v>303.82299999999998</v>
      </c>
      <c r="H107" s="13">
        <f>_xll.BDH("ALNY US Equity","ARDR_TOTAL_OPERATING_LIABILITIES","FQ1 2020","FQ1 2020","Currency=USD","Period=FQ","BEST_FPERIOD_OVERRIDE=FQ","FILING_STATUS=MR","Sort=A","Dates=H","DateFormat=P","Fill=—","Direction=H","UseDPDF=Y")</f>
        <v>304.82499999999999</v>
      </c>
      <c r="I107" s="13">
        <f>_xll.BDH("ALNY US Equity","ARDR_TOTAL_OPERATING_LIABILITIES","FQ2 2020","FQ2 2020","Currency=USD","Period=FQ","BEST_FPERIOD_OVERRIDE=FQ","FILING_STATUS=MR","Sort=A","Dates=H","DateFormat=P","Fill=—","Direction=H","UseDPDF=Y")</f>
        <v>315.065</v>
      </c>
      <c r="J107" s="13">
        <f>_xll.BDH("ALNY US Equity","ARDR_TOTAL_OPERATING_LIABILITIES","FQ3 2020","FQ3 2020","Currency=USD","Period=FQ","BEST_FPERIOD_OVERRIDE=FQ","FILING_STATUS=MR","Sort=A","Dates=H","DateFormat=P","Fill=—","Direction=H","UseDPDF=Y")</f>
        <v>329.45400000000001</v>
      </c>
      <c r="K107" s="13">
        <f>_xll.BDH("ALNY US Equity","ARDR_TOTAL_OPERATING_LIABILITIES","FQ4 2020","FQ4 2020","Currency=USD","Period=FQ","BEST_FPERIOD_OVERRIDE=FQ","FILING_STATUS=MR","Sort=A","Dates=H","DateFormat=P","Fill=—","Direction=H","UseDPDF=Y")</f>
        <v>329.911</v>
      </c>
      <c r="L107" s="13" t="str">
        <f>_xll.BDH("ALNY US Equity","ARDR_TOTAL_OPERATING_LIABILITIES","FQ1 2021","FQ1 2021","Currency=USD","Period=FQ","BEST_FPERIOD_OVERRIDE=FQ","FILING_STATUS=MR","Sort=A","Dates=H","DateFormat=P","Fill=—","Direction=H","UseDPDF=Y")</f>
        <v>—</v>
      </c>
      <c r="M107" s="13" t="str">
        <f>_xll.BDH("ALNY US Equity","ARDR_TOTAL_OPERATING_LIABILITIES","FQ2 2021","FQ2 2021","Currency=USD","Period=FQ","BEST_FPERIOD_OVERRIDE=FQ","FILING_STATUS=MR","Sort=A","Dates=H","DateFormat=P","Fill=—","Direction=H","UseDPDF=Y")</f>
        <v>—</v>
      </c>
      <c r="N107" s="13">
        <f>_xll.BDH("ALNY US Equity","ARDR_TOTAL_OPERATING_LIABILITIES","FQ3 2021","FQ3 2021","Currency=USD","Period=FQ","BEST_FPERIOD_OVERRIDE=FQ","FILING_STATUS=MR","Sort=A","Dates=H","DateFormat=P","Fill=—","Direction=H","UseDPDF=Y")</f>
        <v>326.642</v>
      </c>
      <c r="O107" s="13">
        <f>_xll.BDH("ALNY US Equity","ARDR_TOTAL_OPERATING_LIABILITIES","FQ4 2021","FQ4 2021","Currency=USD","Period=FQ","BEST_FPERIOD_OVERRIDE=FQ","FILING_STATUS=MR","Sort=A","Dates=H","DateFormat=P","Fill=—","Direction=H","UseDPDF=Y")</f>
        <v>321.89499999999998</v>
      </c>
      <c r="P107" s="13" t="str">
        <f>_xll.BDH("ALNY US Equity","ARDR_TOTAL_OPERATING_LIABILITIES","FQ1 2022","FQ1 2022","Currency=USD","Period=FQ","BEST_FPERIOD_OVERRIDE=FQ","FILING_STATUS=MR","Sort=A","Dates=H","DateFormat=P","Fill=—","Direction=H","UseDPDF=Y")</f>
        <v>—</v>
      </c>
      <c r="Q107" s="13" t="str">
        <f>_xll.BDH("ALNY US Equity","ARDR_TOTAL_OPERATING_LIABILITIES","FQ2 2022","FQ2 2022","Currency=USD","Period=FQ","BEST_FPERIOD_OVERRIDE=FQ","FILING_STATUS=MR","Sort=A","Dates=H","DateFormat=P","Fill=—","Direction=H","UseDPDF=Y")</f>
        <v>—</v>
      </c>
      <c r="R107" s="13">
        <f>_xll.BDH("ALNY US Equity","ARDR_TOTAL_OPERATING_LIABILITIES","FQ3 2022","FQ3 2022","Currency=USD","Period=FQ","BEST_FPERIOD_OVERRIDE=FQ","FILING_STATUS=MR","Sort=A","Dates=H","DateFormat=P","Fill=—","Direction=H","UseDPDF=Y")</f>
        <v>307.904</v>
      </c>
      <c r="S107" s="13">
        <f>_xll.BDH("ALNY US Equity","ARDR_TOTAL_OPERATING_LIABILITIES","FQ4 2022","FQ4 2022","Currency=USD","Period=FQ","BEST_FPERIOD_OVERRIDE=FQ","FILING_STATUS=MR","Sort=A","Dates=H","DateFormat=P","Fill=—","Direction=H","UseDPDF=Y")</f>
        <v>303.30599999999998</v>
      </c>
      <c r="T107" s="13">
        <f>_xll.BDH("ALNY US Equity","ARDR_TOTAL_OPERATING_LIABILITIES","FQ1 2023","FQ1 2023","Currency=USD","Period=FQ","BEST_FPERIOD_OVERRIDE=FQ","FILING_STATUS=MR","Sort=A","Dates=H","DateFormat=P","Fill=—","Direction=H","UseDPDF=Y")</f>
        <v>302.45400000000001</v>
      </c>
      <c r="U107" s="13">
        <f>_xll.BDH("ALNY US Equity","ARDR_TOTAL_OPERATING_LIABILITIES","FQ2 2023","FQ2 2023","Currency=USD","Period=FQ","BEST_FPERIOD_OVERRIDE=FQ","FILING_STATUS=MR","Sort=A","Dates=H","DateFormat=P","Fill=—","Direction=H","UseDPDF=Y")</f>
        <v>295.49</v>
      </c>
      <c r="V107" s="13">
        <f>_xll.BDH("ALNY US Equity","ARDR_TOTAL_OPERATING_LIABILITIES","FQ3 2023","FQ3 2023","Currency=USD","Period=FQ","BEST_FPERIOD_OVERRIDE=FQ","FILING_STATUS=MR","Sort=A","Dates=H","DateFormat=P","Fill=—","Direction=H","UseDPDF=Y")</f>
        <v>289.22699999999998</v>
      </c>
      <c r="W107" s="13">
        <f>_xll.BDH("ALNY US Equity","ARDR_TOTAL_OPERATING_LIABILITIES","FQ4 2023","FQ4 2023","Currency=USD","Period=FQ","BEST_FPERIOD_OVERRIDE=FQ","FILING_STATUS=MR","Sort=A","Dates=H","DateFormat=P","Fill=—","Direction=H","UseDPDF=Y")</f>
        <v>284.61099999999999</v>
      </c>
      <c r="X107" s="13">
        <f>_xll.BDH("ALNY US Equity","ARDR_TOTAL_OPERATING_LIABILITIES","FQ1 2024","FQ1 2024","Currency=USD","Period=FQ","BEST_FPERIOD_OVERRIDE=FQ","FILING_STATUS=MR","Sort=A","Dates=H","DateFormat=P","Fill=—","Direction=H","UseDPDF=Y")</f>
        <v>279.50099999999998</v>
      </c>
      <c r="Y107" s="13">
        <f>_xll.BDH("ALNY US Equity","ARDR_TOTAL_OPERATING_LIABILITIES","FQ2 2024","FQ2 2024","Currency=USD","Period=FQ","BEST_FPERIOD_OVERRIDE=FQ","FILING_STATUS=MR","Sort=A","Dates=H","DateFormat=P","Fill=—","Direction=H","UseDPDF=Y")</f>
        <v>281.00799999999998</v>
      </c>
      <c r="Z107" s="13">
        <f>_xll.BDH("ALNY US Equity","ARDR_TOTAL_OPERATING_LIABILITIES","FQ3 2024","FQ3 2024","Currency=USD","Period=FQ","BEST_FPERIOD_OVERRIDE=FQ","FILING_STATUS=MR","Sort=A","Dates=H","DateFormat=P","Fill=—","Direction=H","UseDPDF=Y")</f>
        <v>278.17399999999998</v>
      </c>
      <c r="AA107" s="13">
        <f>_xll.BDH("ALNY US Equity","ARDR_TOTAL_OPERATING_LIABILITIES","FQ4 2024","FQ4 2024","Currency=USD","Period=FQ","BEST_FPERIOD_OVERRIDE=FQ","FILING_STATUS=MR","Sort=A","Dates=H","DateFormat=P","Fill=—","Direction=H","UseDPDF=Y")</f>
        <v>271.42700000000002</v>
      </c>
    </row>
    <row r="108" spans="1:27" x14ac:dyDescent="0.25">
      <c r="A108" s="10" t="s">
        <v>997</v>
      </c>
      <c r="B108" s="10" t="s">
        <v>998</v>
      </c>
      <c r="C108" s="13">
        <f>_xll.BDH("ALNY US Equity","ARDR_FV_ASSETS_REC_LEVEL_1","FQ4 2018","FQ4 2018","Currency=USD","Period=FQ","BEST_FPERIOD_OVERRIDE=FQ","FILING_STATUS=MR","SCALING_FORMAT=MLN","Sort=A","Dates=H","DateFormat=P","Fill=—","Direction=H","UseDPDF=Y")</f>
        <v>105.128</v>
      </c>
      <c r="D108" s="13">
        <f>_xll.BDH("ALNY US Equity","ARDR_FV_ASSETS_REC_LEVEL_1","FQ1 2019","FQ1 2019","Currency=USD","Period=FQ","BEST_FPERIOD_OVERRIDE=FQ","FILING_STATUS=MR","SCALING_FORMAT=MLN","Sort=A","Dates=H","DateFormat=P","Fill=—","Direction=H","UseDPDF=Y")</f>
        <v>99.713999999999999</v>
      </c>
      <c r="E108" s="13">
        <f>_xll.BDH("ALNY US Equity","ARDR_FV_ASSETS_REC_LEVEL_1","FQ2 2019","FQ2 2019","Currency=USD","Period=FQ","BEST_FPERIOD_OVERRIDE=FQ","FILING_STATUS=MR","SCALING_FORMAT=MLN","Sort=A","Dates=H","DateFormat=P","Fill=—","Direction=H","UseDPDF=Y")</f>
        <v>95.975999999999999</v>
      </c>
      <c r="F108" s="13">
        <f>_xll.BDH("ALNY US Equity","ARDR_FV_ASSETS_REC_LEVEL_1","FQ3 2019","FQ3 2019","Currency=USD","Period=FQ","BEST_FPERIOD_OVERRIDE=FQ","FILING_STATUS=MR","SCALING_FORMAT=MLN","Sort=A","Dates=H","DateFormat=P","Fill=—","Direction=H","UseDPDF=Y")</f>
        <v>135.92099999999999</v>
      </c>
      <c r="G108" s="13">
        <f>_xll.BDH("ALNY US Equity","ARDR_FV_ASSETS_REC_LEVEL_1","FQ4 2019","FQ4 2019","Currency=USD","Period=FQ","BEST_FPERIOD_OVERRIDE=FQ","FILING_STATUS=MR","SCALING_FORMAT=MLN","Sort=A","Dates=H","DateFormat=P","Fill=—","Direction=H","UseDPDF=Y")</f>
        <v>135.33099999999999</v>
      </c>
      <c r="H108" s="13">
        <f>_xll.BDH("ALNY US Equity","ARDR_FV_ASSETS_REC_LEVEL_1","FQ1 2020","FQ1 2020","Currency=USD","Period=FQ","BEST_FPERIOD_OVERRIDE=FQ","FILING_STATUS=MR","SCALING_FORMAT=MLN","Sort=A","Dates=H","DateFormat=P","Fill=—","Direction=H","UseDPDF=Y")</f>
        <v>135.33099999999999</v>
      </c>
      <c r="I108" s="13">
        <f>_xll.BDH("ALNY US Equity","ARDR_FV_ASSETS_REC_LEVEL_1","FQ2 2020","FQ2 2020","Currency=USD","Period=FQ","BEST_FPERIOD_OVERRIDE=FQ","FILING_STATUS=MR","SCALING_FORMAT=MLN","Sort=A","Dates=H","DateFormat=P","Fill=—","Direction=H","UseDPDF=Y")</f>
        <v>472.774</v>
      </c>
      <c r="J108" s="13">
        <f>_xll.BDH("ALNY US Equity","ARDR_FV_ASSETS_REC_LEVEL_1","FQ3 2020","FQ3 2020","Currency=USD","Period=FQ","BEST_FPERIOD_OVERRIDE=FQ","FILING_STATUS=MR","SCALING_FORMAT=MLN","Sort=A","Dates=H","DateFormat=P","Fill=—","Direction=H","UseDPDF=Y")</f>
        <v>353.47</v>
      </c>
      <c r="K108" s="13">
        <f>_xll.BDH("ALNY US Equity","ARDR_FV_ASSETS_REC_LEVEL_1","FQ4 2020","FQ4 2020","Currency=USD","Period=FQ","BEST_FPERIOD_OVERRIDE=FQ","FILING_STATUS=MR","SCALING_FORMAT=MLN","Sort=A","Dates=H","DateFormat=P","Fill=—","Direction=H","UseDPDF=Y")</f>
        <v>121.842</v>
      </c>
      <c r="L108" s="13">
        <f>_xll.BDH("ALNY US Equity","ARDR_FV_ASSETS_REC_LEVEL_1","FQ1 2021","FQ1 2021","Currency=USD","Period=FQ","BEST_FPERIOD_OVERRIDE=FQ","FILING_STATUS=MR","SCALING_FORMAT=MLN","Sort=A","Dates=H","DateFormat=P","Fill=—","Direction=H","UseDPDF=Y")</f>
        <v>235.92</v>
      </c>
      <c r="M108" s="13">
        <f>_xll.BDH("ALNY US Equity","ARDR_FV_ASSETS_REC_LEVEL_1","FQ2 2021","FQ2 2021","Currency=USD","Period=FQ","BEST_FPERIOD_OVERRIDE=FQ","FILING_STATUS=MR","SCALING_FORMAT=MLN","Sort=A","Dates=H","DateFormat=P","Fill=—","Direction=H","UseDPDF=Y")</f>
        <v>293.10000000000002</v>
      </c>
      <c r="N108" s="13">
        <f>_xll.BDH("ALNY US Equity","ARDR_FV_ASSETS_REC_LEVEL_1","FQ3 2021","FQ3 2021","Currency=USD","Period=FQ","BEST_FPERIOD_OVERRIDE=FQ","FILING_STATUS=MR","SCALING_FORMAT=MLN","Sort=A","Dates=H","DateFormat=P","Fill=—","Direction=H","UseDPDF=Y")</f>
        <v>415.34800000000001</v>
      </c>
      <c r="O108" s="13">
        <f>_xll.BDH("ALNY US Equity","ARDR_FV_ASSETS_REC_LEVEL_1","FQ4 2021","FQ4 2021","Currency=USD","Period=FQ","BEST_FPERIOD_OVERRIDE=FQ","FILING_STATUS=MR","SCALING_FORMAT=MLN","Sort=A","Dates=H","DateFormat=P","Fill=—","Direction=H","UseDPDF=Y")</f>
        <v>324.036</v>
      </c>
      <c r="P108" s="13">
        <f>_xll.BDH("ALNY US Equity","ARDR_FV_ASSETS_REC_LEVEL_1","FQ1 2022","FQ1 2022","Currency=USD","Period=FQ","BEST_FPERIOD_OVERRIDE=FQ","FILING_STATUS=MR","SCALING_FORMAT=MLN","Sort=A","Dates=H","DateFormat=P","Fill=—","Direction=H","UseDPDF=Y")</f>
        <v>193.46100000000001</v>
      </c>
      <c r="Q108" s="13">
        <f>_xll.BDH("ALNY US Equity","ARDR_FV_ASSETS_REC_LEVEL_1","FQ2 2022","FQ2 2022","Currency=USD","Period=FQ","BEST_FPERIOD_OVERRIDE=FQ","FILING_STATUS=MR","SCALING_FORMAT=MLN","Sort=A","Dates=H","DateFormat=P","Fill=—","Direction=H","UseDPDF=Y")</f>
        <v>211.82599999999999</v>
      </c>
      <c r="R108" s="13">
        <f>_xll.BDH("ALNY US Equity","ARDR_FV_ASSETS_REC_LEVEL_1","FQ3 2022","FQ3 2022","Currency=USD","Period=FQ","BEST_FPERIOD_OVERRIDE=FQ","FILING_STATUS=MR","SCALING_FORMAT=MLN","Sort=A","Dates=H","DateFormat=P","Fill=—","Direction=H","UseDPDF=Y")</f>
        <v>454.71699999999998</v>
      </c>
      <c r="S108" s="13">
        <f>_xll.BDH("ALNY US Equity","ARDR_FV_ASSETS_REC_LEVEL_1","FQ4 2022","FQ4 2022","Currency=USD","Period=FQ","BEST_FPERIOD_OVERRIDE=FQ","FILING_STATUS=MR","SCALING_FORMAT=MLN","Sort=A","Dates=H","DateFormat=P","Fill=—","Direction=H","UseDPDF=Y")</f>
        <v>299.71300000000002</v>
      </c>
      <c r="T108" s="13">
        <f>_xll.BDH("ALNY US Equity","ARDR_FV_ASSETS_REC_LEVEL_1","FQ1 2023","FQ1 2023","Currency=USD","Period=FQ","BEST_FPERIOD_OVERRIDE=FQ","FILING_STATUS=MR","SCALING_FORMAT=MLN","Sort=A","Dates=H","DateFormat=P","Fill=—","Direction=H","UseDPDF=Y")</f>
        <v>241.31299999999999</v>
      </c>
      <c r="U108" s="13">
        <f>_xll.BDH("ALNY US Equity","ARDR_FV_ASSETS_REC_LEVEL_1","FQ2 2023","FQ2 2023","Currency=USD","Period=FQ","BEST_FPERIOD_OVERRIDE=FQ","FILING_STATUS=MR","SCALING_FORMAT=MLN","Sort=A","Dates=H","DateFormat=P","Fill=—","Direction=H","UseDPDF=Y")</f>
        <v>116.723</v>
      </c>
      <c r="V108" s="13">
        <f>_xll.BDH("ALNY US Equity","ARDR_FV_ASSETS_REC_LEVEL_1","FQ3 2023","FQ3 2023","Currency=USD","Period=FQ","BEST_FPERIOD_OVERRIDE=FQ","FILING_STATUS=MR","SCALING_FORMAT=MLN","Sort=A","Dates=H","DateFormat=P","Fill=—","Direction=H","UseDPDF=Y")</f>
        <v>73.417000000000002</v>
      </c>
      <c r="W108" s="13">
        <f>_xll.BDH("ALNY US Equity","ARDR_FV_ASSETS_REC_LEVEL_1","FQ4 2023","FQ4 2023","Currency=USD","Period=FQ","BEST_FPERIOD_OVERRIDE=FQ","FILING_STATUS=MR","SCALING_FORMAT=MLN","Sort=A","Dates=H","DateFormat=P","Fill=—","Direction=H","UseDPDF=Y")</f>
        <v>178.447</v>
      </c>
      <c r="X108" s="13">
        <f>_xll.BDH("ALNY US Equity","ARDR_FV_ASSETS_REC_LEVEL_1","FQ1 2024","FQ1 2024","Currency=USD","Period=FQ","BEST_FPERIOD_OVERRIDE=FQ","FILING_STATUS=MR","SCALING_FORMAT=MLN","Sort=A","Dates=H","DateFormat=P","Fill=—","Direction=H","UseDPDF=Y")</f>
        <v>139.02000000000001</v>
      </c>
      <c r="Y108" s="13">
        <f>_xll.BDH("ALNY US Equity","ARDR_FV_ASSETS_REC_LEVEL_1","FQ2 2024","FQ2 2024","Currency=USD","Period=FQ","BEST_FPERIOD_OVERRIDE=FQ","FILING_STATUS=MR","SCALING_FORMAT=MLN","Sort=A","Dates=H","DateFormat=P","Fill=—","Direction=H","UseDPDF=Y")</f>
        <v>169.57300000000001</v>
      </c>
      <c r="Z108" s="13">
        <f>_xll.BDH("ALNY US Equity","ARDR_FV_ASSETS_REC_LEVEL_1","FQ3 2024","FQ3 2024","Currency=USD","Period=FQ","BEST_FPERIOD_OVERRIDE=FQ","FILING_STATUS=MR","SCALING_FORMAT=MLN","Sort=A","Dates=H","DateFormat=P","Fill=—","Direction=H","UseDPDF=Y")</f>
        <v>191.82400000000001</v>
      </c>
      <c r="AA108" s="13">
        <f>_xll.BDH("ALNY US Equity","ARDR_FV_ASSETS_REC_LEVEL_1","FQ4 2024","FQ4 2024","Currency=USD","Period=FQ","BEST_FPERIOD_OVERRIDE=FQ","FILING_STATUS=MR","SCALING_FORMAT=MLN","Sort=A","Dates=H","DateFormat=P","Fill=—","Direction=H","UseDPDF=Y")</f>
        <v>199.845</v>
      </c>
    </row>
    <row r="109" spans="1:27" x14ac:dyDescent="0.25">
      <c r="A109" s="10" t="s">
        <v>999</v>
      </c>
      <c r="B109" s="10" t="s">
        <v>1000</v>
      </c>
      <c r="C109" s="13">
        <f>_xll.BDH("ALNY US Equity","ARDR_FV_ASSETS_REC_LEVEL_2","FQ4 2018","FQ4 2018","Currency=USD","Period=FQ","BEST_FPERIOD_OVERRIDE=FQ","FILING_STATUS=MR","SCALING_FORMAT=MLN","Sort=A","Dates=H","DateFormat=P","Fill=—","Direction=H","UseDPDF=Y")</f>
        <v>884.08399999999995</v>
      </c>
      <c r="D109" s="13">
        <f>_xll.BDH("ALNY US Equity","ARDR_FV_ASSETS_REC_LEVEL_2","FQ1 2019","FQ1 2019","Currency=USD","Period=FQ","BEST_FPERIOD_OVERRIDE=FQ","FILING_STATUS=MR","SCALING_FORMAT=MLN","Sort=A","Dates=H","DateFormat=P","Fill=—","Direction=H","UseDPDF=Y")</f>
        <v>1049.809</v>
      </c>
      <c r="E109" s="13">
        <f>_xll.BDH("ALNY US Equity","ARDR_FV_ASSETS_REC_LEVEL_2","FQ2 2019","FQ2 2019","Currency=USD","Period=FQ","BEST_FPERIOD_OVERRIDE=FQ","FILING_STATUS=MR","SCALING_FORMAT=MLN","Sort=A","Dates=H","DateFormat=P","Fill=—","Direction=H","UseDPDF=Y")</f>
        <v>1589.326</v>
      </c>
      <c r="F109" s="13">
        <f>_xll.BDH("ALNY US Equity","ARDR_FV_ASSETS_REC_LEVEL_2","FQ3 2019","FQ3 2019","Currency=USD","Period=FQ","BEST_FPERIOD_OVERRIDE=FQ","FILING_STATUS=MR","SCALING_FORMAT=MLN","Sort=A","Dates=H","DateFormat=P","Fill=—","Direction=H","UseDPDF=Y")</f>
        <v>1471.8969999999999</v>
      </c>
      <c r="G109" s="13">
        <f>_xll.BDH("ALNY US Equity","ARDR_FV_ASSETS_REC_LEVEL_2","FQ4 2019","FQ4 2019","Currency=USD","Period=FQ","BEST_FPERIOD_OVERRIDE=FQ","FILING_STATUS=MR","SCALING_FORMAT=MLN","Sort=A","Dates=H","DateFormat=P","Fill=—","Direction=H","UseDPDF=Y")</f>
        <v>1310.848</v>
      </c>
      <c r="H109" s="13">
        <f>_xll.BDH("ALNY US Equity","ARDR_FV_ASSETS_REC_LEVEL_2","FQ1 2020","FQ1 2020","Currency=USD","Period=FQ","BEST_FPERIOD_OVERRIDE=FQ","FILING_STATUS=MR","SCALING_FORMAT=MLN","Sort=A","Dates=H","DateFormat=P","Fill=—","Direction=H","UseDPDF=Y")</f>
        <v>1315.1489999999999</v>
      </c>
      <c r="I109" s="13">
        <f>_xll.BDH("ALNY US Equity","ARDR_FV_ASSETS_REC_LEVEL_2","FQ2 2020","FQ2 2020","Currency=USD","Period=FQ","BEST_FPERIOD_OVERRIDE=FQ","FILING_STATUS=MR","SCALING_FORMAT=MLN","Sort=A","Dates=H","DateFormat=P","Fill=—","Direction=H","UseDPDF=Y")</f>
        <v>1309.212</v>
      </c>
      <c r="J109" s="13">
        <f>_xll.BDH("ALNY US Equity","ARDR_FV_ASSETS_REC_LEVEL_2","FQ3 2020","FQ3 2020","Currency=USD","Period=FQ","BEST_FPERIOD_OVERRIDE=FQ","FILING_STATUS=MR","SCALING_FORMAT=MLN","Sort=A","Dates=H","DateFormat=P","Fill=—","Direction=H","UseDPDF=Y")</f>
        <v>1294.9549999999999</v>
      </c>
      <c r="K109" s="13">
        <f>_xll.BDH("ALNY US Equity","ARDR_FV_ASSETS_REC_LEVEL_2","FQ4 2020","FQ4 2020","Currency=USD","Period=FQ","BEST_FPERIOD_OVERRIDE=FQ","FILING_STATUS=MR","SCALING_FORMAT=MLN","Sort=A","Dates=H","DateFormat=P","Fill=—","Direction=H","UseDPDF=Y")</f>
        <v>1353.182</v>
      </c>
      <c r="L109" s="13">
        <f>_xll.BDH("ALNY US Equity","ARDR_FV_ASSETS_REC_LEVEL_2","FQ1 2021","FQ1 2021","Currency=USD","Period=FQ","BEST_FPERIOD_OVERRIDE=FQ","FILING_STATUS=MR","SCALING_FORMAT=MLN","Sort=A","Dates=H","DateFormat=P","Fill=—","Direction=H","UseDPDF=Y")</f>
        <v>1273.027</v>
      </c>
      <c r="M109" s="13">
        <f>_xll.BDH("ALNY US Equity","ARDR_FV_ASSETS_REC_LEVEL_2","FQ2 2021","FQ2 2021","Currency=USD","Period=FQ","BEST_FPERIOD_OVERRIDE=FQ","FILING_STATUS=MR","SCALING_FORMAT=MLN","Sort=A","Dates=H","DateFormat=P","Fill=—","Direction=H","UseDPDF=Y")</f>
        <v>1101.7819999999999</v>
      </c>
      <c r="N109" s="13">
        <f>_xll.BDH("ALNY US Equity","ARDR_FV_ASSETS_REC_LEVEL_2","FQ3 2021","FQ3 2021","Currency=USD","Period=FQ","BEST_FPERIOD_OVERRIDE=FQ","FILING_STATUS=MR","SCALING_FORMAT=MLN","Sort=A","Dates=H","DateFormat=P","Fill=—","Direction=H","UseDPDF=Y")</f>
        <v>1171.3240000000001</v>
      </c>
      <c r="O109" s="13">
        <f>_xll.BDH("ALNY US Equity","ARDR_FV_ASSETS_REC_LEVEL_2","FQ4 2021","FQ4 2021","Currency=USD","Period=FQ","BEST_FPERIOD_OVERRIDE=FQ","FILING_STATUS=MR","SCALING_FORMAT=MLN","Sort=A","Dates=H","DateFormat=P","Fill=—","Direction=H","UseDPDF=Y")</f>
        <v>1603.615</v>
      </c>
      <c r="P109" s="13">
        <f>_xll.BDH("ALNY US Equity","ARDR_FV_ASSETS_REC_LEVEL_2","FQ1 2022","FQ1 2022","Currency=USD","Period=FQ","BEST_FPERIOD_OVERRIDE=FQ","FILING_STATUS=MR","SCALING_FORMAT=MLN","Sort=A","Dates=H","DateFormat=P","Fill=—","Direction=H","UseDPDF=Y")</f>
        <v>1727.451</v>
      </c>
      <c r="Q109" s="13">
        <f>_xll.BDH("ALNY US Equity","ARDR_FV_ASSETS_REC_LEVEL_2","FQ2 2022","FQ2 2022","Currency=USD","Period=FQ","BEST_FPERIOD_OVERRIDE=FQ","FILING_STATUS=MR","SCALING_FORMAT=MLN","Sort=A","Dates=H","DateFormat=P","Fill=—","Direction=H","UseDPDF=Y")</f>
        <v>1593.7280000000001</v>
      </c>
      <c r="R109" s="13">
        <f>_xll.BDH("ALNY US Equity","ARDR_FV_ASSETS_REC_LEVEL_2","FQ3 2022","FQ3 2022","Currency=USD","Period=FQ","BEST_FPERIOD_OVERRIDE=FQ","FILING_STATUS=MR","SCALING_FORMAT=MLN","Sort=A","Dates=H","DateFormat=P","Fill=—","Direction=H","UseDPDF=Y")</f>
        <v>1238.1279999999999</v>
      </c>
      <c r="S109" s="13">
        <f>_xll.BDH("ALNY US Equity","ARDR_FV_ASSETS_REC_LEVEL_2","FQ4 2022","FQ4 2022","Currency=USD","Period=FQ","BEST_FPERIOD_OVERRIDE=FQ","FILING_STATUS=MR","SCALING_FORMAT=MLN","Sort=A","Dates=H","DateFormat=P","Fill=—","Direction=H","UseDPDF=Y")</f>
        <v>1411.133</v>
      </c>
      <c r="T109" s="13">
        <f>_xll.BDH("ALNY US Equity","ARDR_FV_ASSETS_REC_LEVEL_2","FQ1 2023","FQ1 2023","Currency=USD","Period=FQ","BEST_FPERIOD_OVERRIDE=FQ","FILING_STATUS=MR","SCALING_FORMAT=MLN","Sort=A","Dates=H","DateFormat=P","Fill=—","Direction=H","UseDPDF=Y")</f>
        <v>1376.7619999999999</v>
      </c>
      <c r="U109" s="13">
        <f>_xll.BDH("ALNY US Equity","ARDR_FV_ASSETS_REC_LEVEL_2","FQ2 2023","FQ2 2023","Currency=USD","Period=FQ","BEST_FPERIOD_OVERRIDE=FQ","FILING_STATUS=MR","SCALING_FORMAT=MLN","Sort=A","Dates=H","DateFormat=P","Fill=—","Direction=H","UseDPDF=Y")</f>
        <v>1380.383</v>
      </c>
      <c r="V109" s="13">
        <f>_xll.BDH("ALNY US Equity","ARDR_FV_ASSETS_REC_LEVEL_2","FQ3 2023","FQ3 2023","Currency=USD","Period=FQ","BEST_FPERIOD_OVERRIDE=FQ","FILING_STATUS=MR","SCALING_FORMAT=MLN","Sort=A","Dates=H","DateFormat=P","Fill=—","Direction=H","UseDPDF=Y")</f>
        <v>1380.951</v>
      </c>
      <c r="W109" s="13">
        <f>_xll.BDH("ALNY US Equity","ARDR_FV_ASSETS_REC_LEVEL_2","FQ4 2023","FQ4 2023","Currency=USD","Period=FQ","BEST_FPERIOD_OVERRIDE=FQ","FILING_STATUS=MR","SCALING_FORMAT=MLN","Sort=A","Dates=H","DateFormat=P","Fill=—","Direction=H","UseDPDF=Y")</f>
        <v>1649.675</v>
      </c>
      <c r="X109" s="13">
        <f>_xll.BDH("ALNY US Equity","ARDR_FV_ASSETS_REC_LEVEL_2","FQ1 2024","FQ1 2024","Currency=USD","Period=FQ","BEST_FPERIOD_OVERRIDE=FQ","FILING_STATUS=MR","SCALING_FORMAT=MLN","Sort=A","Dates=H","DateFormat=P","Fill=—","Direction=H","UseDPDF=Y")</f>
        <v>1734.915</v>
      </c>
      <c r="Y109" s="13">
        <f>_xll.BDH("ALNY US Equity","ARDR_FV_ASSETS_REC_LEVEL_2","FQ2 2024","FQ2 2024","Currency=USD","Period=FQ","BEST_FPERIOD_OVERRIDE=FQ","FILING_STATUS=MR","SCALING_FORMAT=MLN","Sort=A","Dates=H","DateFormat=P","Fill=—","Direction=H","UseDPDF=Y")</f>
        <v>1688.883</v>
      </c>
      <c r="Z109" s="13">
        <f>_xll.BDH("ALNY US Equity","ARDR_FV_ASSETS_REC_LEVEL_2","FQ3 2024","FQ3 2024","Currency=USD","Period=FQ","BEST_FPERIOD_OVERRIDE=FQ","FILING_STATUS=MR","SCALING_FORMAT=MLN","Sort=A","Dates=H","DateFormat=P","Fill=—","Direction=H","UseDPDF=Y")</f>
        <v>1681.1769999999999</v>
      </c>
      <c r="AA109" s="13">
        <f>_xll.BDH("ALNY US Equity","ARDR_FV_ASSETS_REC_LEVEL_2","FQ4 2024","FQ4 2024","Currency=USD","Period=FQ","BEST_FPERIOD_OVERRIDE=FQ","FILING_STATUS=MR","SCALING_FORMAT=MLN","Sort=A","Dates=H","DateFormat=P","Fill=—","Direction=H","UseDPDF=Y")</f>
        <v>1789.009</v>
      </c>
    </row>
    <row r="110" spans="1:27" x14ac:dyDescent="0.25">
      <c r="A110" s="10" t="s">
        <v>1001</v>
      </c>
      <c r="B110" s="10" t="s">
        <v>1002</v>
      </c>
      <c r="C110" s="13">
        <f>_xll.BDH("ALNY US Equity","ARDR_FV_ASSETS_REC_LEVEL_3","FQ4 2018","FQ4 2018","Currency=USD","Period=FQ","BEST_FPERIOD_OVERRIDE=FQ","FILING_STATUS=MR","SCALING_FORMAT=MLN","Sort=A","Dates=H","DateFormat=P","Fill=—","Direction=H","UseDPDF=Y")</f>
        <v>0</v>
      </c>
      <c r="D110" s="13">
        <f>_xll.BDH("ALNY US Equity","ARDR_FV_ASSETS_REC_LEVEL_3","FQ1 2019","FQ1 2019","Currency=USD","Period=FQ","BEST_FPERIOD_OVERRIDE=FQ","FILING_STATUS=MR","SCALING_FORMAT=MLN","Sort=A","Dates=H","DateFormat=P","Fill=—","Direction=H","UseDPDF=Y")</f>
        <v>0</v>
      </c>
      <c r="E110" s="13">
        <f>_xll.BDH("ALNY US Equity","ARDR_FV_ASSETS_REC_LEVEL_3","FQ2 2019","FQ2 2019","Currency=USD","Period=FQ","BEST_FPERIOD_OVERRIDE=FQ","FILING_STATUS=MR","SCALING_FORMAT=MLN","Sort=A","Dates=H","DateFormat=P","Fill=—","Direction=H","UseDPDF=Y")</f>
        <v>0</v>
      </c>
      <c r="F110" s="13">
        <f>_xll.BDH("ALNY US Equity","ARDR_FV_ASSETS_REC_LEVEL_3","FQ3 2019","FQ3 2019","Currency=USD","Period=FQ","BEST_FPERIOD_OVERRIDE=FQ","FILING_STATUS=MR","SCALING_FORMAT=MLN","Sort=A","Dates=H","DateFormat=P","Fill=—","Direction=H","UseDPDF=Y")</f>
        <v>0</v>
      </c>
      <c r="G110" s="13">
        <f>_xll.BDH("ALNY US Equity","ARDR_FV_ASSETS_REC_LEVEL_3","FQ4 2019","FQ4 2019","Currency=USD","Period=FQ","BEST_FPERIOD_OVERRIDE=FQ","FILING_STATUS=MR","SCALING_FORMAT=MLN","Sort=A","Dates=H","DateFormat=P","Fill=—","Direction=H","UseDPDF=Y")</f>
        <v>0</v>
      </c>
      <c r="H110" s="13">
        <f>_xll.BDH("ALNY US Equity","ARDR_FV_ASSETS_REC_LEVEL_3","FQ1 2020","FQ1 2020","Currency=USD","Period=FQ","BEST_FPERIOD_OVERRIDE=FQ","FILING_STATUS=MR","SCALING_FORMAT=MLN","Sort=A","Dates=H","DateFormat=P","Fill=—","Direction=H","UseDPDF=Y")</f>
        <v>0</v>
      </c>
      <c r="I110" s="13">
        <f>_xll.BDH("ALNY US Equity","ARDR_FV_ASSETS_REC_LEVEL_3","FQ2 2020","FQ2 2020","Currency=USD","Period=FQ","BEST_FPERIOD_OVERRIDE=FQ","FILING_STATUS=MR","SCALING_FORMAT=MLN","Sort=A","Dates=H","DateFormat=P","Fill=—","Direction=H","UseDPDF=Y")</f>
        <v>0</v>
      </c>
      <c r="J110" s="13">
        <f>_xll.BDH("ALNY US Equity","ARDR_FV_ASSETS_REC_LEVEL_3","FQ3 2020","FQ3 2020","Currency=USD","Period=FQ","BEST_FPERIOD_OVERRIDE=FQ","FILING_STATUS=MR","SCALING_FORMAT=MLN","Sort=A","Dates=H","DateFormat=P","Fill=—","Direction=H","UseDPDF=Y")</f>
        <v>0</v>
      </c>
      <c r="K110" s="13">
        <f>_xll.BDH("ALNY US Equity","ARDR_FV_ASSETS_REC_LEVEL_3","FQ4 2020","FQ4 2020","Currency=USD","Period=FQ","BEST_FPERIOD_OVERRIDE=FQ","FILING_STATUS=MR","SCALING_FORMAT=MLN","Sort=A","Dates=H","DateFormat=P","Fill=—","Direction=H","UseDPDF=Y")</f>
        <v>0</v>
      </c>
      <c r="L110" s="13">
        <f>_xll.BDH("ALNY US Equity","ARDR_FV_ASSETS_REC_LEVEL_3","FQ1 2021","FQ1 2021","Currency=USD","Period=FQ","BEST_FPERIOD_OVERRIDE=FQ","FILING_STATUS=MR","SCALING_FORMAT=MLN","Sort=A","Dates=H","DateFormat=P","Fill=—","Direction=H","UseDPDF=Y")</f>
        <v>0</v>
      </c>
      <c r="M110" s="13">
        <f>_xll.BDH("ALNY US Equity","ARDR_FV_ASSETS_REC_LEVEL_3","FQ2 2021","FQ2 2021","Currency=USD","Period=FQ","BEST_FPERIOD_OVERRIDE=FQ","FILING_STATUS=MR","SCALING_FORMAT=MLN","Sort=A","Dates=H","DateFormat=P","Fill=—","Direction=H","UseDPDF=Y")</f>
        <v>0</v>
      </c>
      <c r="N110" s="13">
        <f>_xll.BDH("ALNY US Equity","ARDR_FV_ASSETS_REC_LEVEL_3","FQ3 2021","FQ3 2021","Currency=USD","Period=FQ","BEST_FPERIOD_OVERRIDE=FQ","FILING_STATUS=MR","SCALING_FORMAT=MLN","Sort=A","Dates=H","DateFormat=P","Fill=—","Direction=H","UseDPDF=Y")</f>
        <v>0</v>
      </c>
      <c r="O110" s="13">
        <f>_xll.BDH("ALNY US Equity","ARDR_FV_ASSETS_REC_LEVEL_3","FQ4 2021","FQ4 2021","Currency=USD","Period=FQ","BEST_FPERIOD_OVERRIDE=FQ","FILING_STATUS=MR","SCALING_FORMAT=MLN","Sort=A","Dates=H","DateFormat=P","Fill=—","Direction=H","UseDPDF=Y")</f>
        <v>0</v>
      </c>
      <c r="P110" s="13">
        <f>_xll.BDH("ALNY US Equity","ARDR_FV_ASSETS_REC_LEVEL_3","FQ1 2022","FQ1 2022","Currency=USD","Period=FQ","BEST_FPERIOD_OVERRIDE=FQ","FILING_STATUS=MR","SCALING_FORMAT=MLN","Sort=A","Dates=H","DateFormat=P","Fill=—","Direction=H","UseDPDF=Y")</f>
        <v>0</v>
      </c>
      <c r="Q110" s="13">
        <f>_xll.BDH("ALNY US Equity","ARDR_FV_ASSETS_REC_LEVEL_3","FQ2 2022","FQ2 2022","Currency=USD","Period=FQ","BEST_FPERIOD_OVERRIDE=FQ","FILING_STATUS=MR","SCALING_FORMAT=MLN","Sort=A","Dates=H","DateFormat=P","Fill=—","Direction=H","UseDPDF=Y")</f>
        <v>0</v>
      </c>
      <c r="R110" s="13">
        <f>_xll.BDH("ALNY US Equity","ARDR_FV_ASSETS_REC_LEVEL_3","FQ3 2022","FQ3 2022","Currency=USD","Period=FQ","BEST_FPERIOD_OVERRIDE=FQ","FILING_STATUS=MR","SCALING_FORMAT=MLN","Sort=A","Dates=H","DateFormat=P","Fill=—","Direction=H","UseDPDF=Y")</f>
        <v>0</v>
      </c>
      <c r="S110" s="13">
        <f>_xll.BDH("ALNY US Equity","ARDR_FV_ASSETS_REC_LEVEL_3","FQ4 2022","FQ4 2022","Currency=USD","Period=FQ","BEST_FPERIOD_OVERRIDE=FQ","FILING_STATUS=MR","SCALING_FORMAT=MLN","Sort=A","Dates=H","DateFormat=P","Fill=—","Direction=H","UseDPDF=Y")</f>
        <v>0</v>
      </c>
      <c r="T110" s="13">
        <f>_xll.BDH("ALNY US Equity","ARDR_FV_ASSETS_REC_LEVEL_3","FQ1 2023","FQ1 2023","Currency=USD","Period=FQ","BEST_FPERIOD_OVERRIDE=FQ","FILING_STATUS=MR","SCALING_FORMAT=MLN","Sort=A","Dates=H","DateFormat=P","Fill=—","Direction=H","UseDPDF=Y")</f>
        <v>0</v>
      </c>
      <c r="U110" s="13">
        <f>_xll.BDH("ALNY US Equity","ARDR_FV_ASSETS_REC_LEVEL_3","FQ2 2023","FQ2 2023","Currency=USD","Period=FQ","BEST_FPERIOD_OVERRIDE=FQ","FILING_STATUS=MR","SCALING_FORMAT=MLN","Sort=A","Dates=H","DateFormat=P","Fill=—","Direction=H","UseDPDF=Y")</f>
        <v>0</v>
      </c>
      <c r="V110" s="13">
        <f>_xll.BDH("ALNY US Equity","ARDR_FV_ASSETS_REC_LEVEL_3","FQ3 2023","FQ3 2023","Currency=USD","Period=FQ","BEST_FPERIOD_OVERRIDE=FQ","FILING_STATUS=MR","SCALING_FORMAT=MLN","Sort=A","Dates=H","DateFormat=P","Fill=—","Direction=H","UseDPDF=Y")</f>
        <v>0</v>
      </c>
      <c r="W110" s="13">
        <f>_xll.BDH("ALNY US Equity","ARDR_FV_ASSETS_REC_LEVEL_3","FQ4 2023","FQ4 2023","Currency=USD","Period=FQ","BEST_FPERIOD_OVERRIDE=FQ","FILING_STATUS=MR","SCALING_FORMAT=MLN","Sort=A","Dates=H","DateFormat=P","Fill=—","Direction=H","UseDPDF=Y")</f>
        <v>0</v>
      </c>
      <c r="X110" s="13">
        <f>_xll.BDH("ALNY US Equity","ARDR_FV_ASSETS_REC_LEVEL_3","FQ1 2024","FQ1 2024","Currency=USD","Period=FQ","BEST_FPERIOD_OVERRIDE=FQ","FILING_STATUS=MR","SCALING_FORMAT=MLN","Sort=A","Dates=H","DateFormat=P","Fill=—","Direction=H","UseDPDF=Y")</f>
        <v>0</v>
      </c>
      <c r="Y110" s="13">
        <f>_xll.BDH("ALNY US Equity","ARDR_FV_ASSETS_REC_LEVEL_3","FQ2 2024","FQ2 2024","Currency=USD","Period=FQ","BEST_FPERIOD_OVERRIDE=FQ","FILING_STATUS=MR","SCALING_FORMAT=MLN","Sort=A","Dates=H","DateFormat=P","Fill=—","Direction=H","UseDPDF=Y")</f>
        <v>0</v>
      </c>
      <c r="Z110" s="13">
        <f>_xll.BDH("ALNY US Equity","ARDR_FV_ASSETS_REC_LEVEL_3","FQ3 2024","FQ3 2024","Currency=USD","Period=FQ","BEST_FPERIOD_OVERRIDE=FQ","FILING_STATUS=MR","SCALING_FORMAT=MLN","Sort=A","Dates=H","DateFormat=P","Fill=—","Direction=H","UseDPDF=Y")</f>
        <v>0</v>
      </c>
      <c r="AA110" s="13">
        <f>_xll.BDH("ALNY US Equity","ARDR_FV_ASSETS_REC_LEVEL_3","FQ4 2024","FQ4 2024","Currency=USD","Period=FQ","BEST_FPERIOD_OVERRIDE=FQ","FILING_STATUS=MR","SCALING_FORMAT=MLN","Sort=A","Dates=H","DateFormat=P","Fill=—","Direction=H","UseDPDF=Y")</f>
        <v>0</v>
      </c>
    </row>
    <row r="111" spans="1:27" x14ac:dyDescent="0.25">
      <c r="A111" s="10" t="s">
        <v>1003</v>
      </c>
      <c r="B111" s="10" t="s">
        <v>1004</v>
      </c>
      <c r="C111" s="13">
        <f>_xll.BDH("ALNY US Equity","ARDR_FV_ASSETS_REC_TOTAL","FQ4 2018","FQ4 2018","Currency=USD","Period=FQ","BEST_FPERIOD_OVERRIDE=FQ","FILING_STATUS=MR","SCALING_FORMAT=MLN","Sort=A","Dates=H","DateFormat=P","Fill=—","Direction=H","UseDPDF=Y")</f>
        <v>989.21199999999999</v>
      </c>
      <c r="D111" s="13">
        <f>_xll.BDH("ALNY US Equity","ARDR_FV_ASSETS_REC_TOTAL","FQ1 2019","FQ1 2019","Currency=USD","Period=FQ","BEST_FPERIOD_OVERRIDE=FQ","FILING_STATUS=MR","SCALING_FORMAT=MLN","Sort=A","Dates=H","DateFormat=P","Fill=—","Direction=H","UseDPDF=Y")</f>
        <v>1149.5229999999999</v>
      </c>
      <c r="E111" s="13">
        <f>_xll.BDH("ALNY US Equity","ARDR_FV_ASSETS_REC_TOTAL","FQ2 2019","FQ2 2019","Currency=USD","Period=FQ","BEST_FPERIOD_OVERRIDE=FQ","FILING_STATUS=MR","SCALING_FORMAT=MLN","Sort=A","Dates=H","DateFormat=P","Fill=—","Direction=H","UseDPDF=Y")</f>
        <v>1685.3019999999999</v>
      </c>
      <c r="F111" s="13">
        <f>_xll.BDH("ALNY US Equity","ARDR_FV_ASSETS_REC_TOTAL","FQ3 2019","FQ3 2019","Currency=USD","Period=FQ","BEST_FPERIOD_OVERRIDE=FQ","FILING_STATUS=MR","SCALING_FORMAT=MLN","Sort=A","Dates=H","DateFormat=P","Fill=—","Direction=H","UseDPDF=Y")</f>
        <v>1607.818</v>
      </c>
      <c r="G111" s="13">
        <f>_xll.BDH("ALNY US Equity","ARDR_FV_ASSETS_REC_TOTAL","FQ4 2019","FQ4 2019","Currency=USD","Period=FQ","BEST_FPERIOD_OVERRIDE=FQ","FILING_STATUS=MR","SCALING_FORMAT=MLN","Sort=A","Dates=H","DateFormat=P","Fill=—","Direction=H","UseDPDF=Y")</f>
        <v>1446.1790000000001</v>
      </c>
      <c r="H111" s="13">
        <f>_xll.BDH("ALNY US Equity","ARDR_FV_ASSETS_REC_TOTAL","FQ1 2020","FQ1 2020","Currency=USD","Period=FQ","BEST_FPERIOD_OVERRIDE=FQ","FILING_STATUS=MR","SCALING_FORMAT=MLN","Sort=A","Dates=H","DateFormat=P","Fill=—","Direction=H","UseDPDF=Y")</f>
        <v>1450.48</v>
      </c>
      <c r="I111" s="13">
        <f>_xll.BDH("ALNY US Equity","ARDR_FV_ASSETS_REC_TOTAL","FQ2 2020","FQ2 2020","Currency=USD","Period=FQ","BEST_FPERIOD_OVERRIDE=FQ","FILING_STATUS=MR","SCALING_FORMAT=MLN","Sort=A","Dates=H","DateFormat=P","Fill=—","Direction=H","UseDPDF=Y")</f>
        <v>1781.9860000000001</v>
      </c>
      <c r="J111" s="13">
        <f>_xll.BDH("ALNY US Equity","ARDR_FV_ASSETS_REC_TOTAL","FQ3 2020","FQ3 2020","Currency=USD","Period=FQ","BEST_FPERIOD_OVERRIDE=FQ","FILING_STATUS=MR","SCALING_FORMAT=MLN","Sort=A","Dates=H","DateFormat=P","Fill=—","Direction=H","UseDPDF=Y")</f>
        <v>1648.425</v>
      </c>
      <c r="K111" s="13">
        <f>_xll.BDH("ALNY US Equity","ARDR_FV_ASSETS_REC_TOTAL","FQ4 2020","FQ4 2020","Currency=USD","Period=FQ","BEST_FPERIOD_OVERRIDE=FQ","FILING_STATUS=MR","SCALING_FORMAT=MLN","Sort=A","Dates=H","DateFormat=P","Fill=—","Direction=H","UseDPDF=Y")</f>
        <v>1475.0239999999999</v>
      </c>
      <c r="L111" s="13">
        <f>_xll.BDH("ALNY US Equity","ARDR_FV_ASSETS_REC_TOTAL","FQ1 2021","FQ1 2021","Currency=USD","Period=FQ","BEST_FPERIOD_OVERRIDE=FQ","FILING_STATUS=MR","SCALING_FORMAT=MLN","Sort=A","Dates=H","DateFormat=P","Fill=—","Direction=H","UseDPDF=Y")</f>
        <v>1508.9469999999999</v>
      </c>
      <c r="M111" s="13">
        <f>_xll.BDH("ALNY US Equity","ARDR_FV_ASSETS_REC_TOTAL","FQ2 2021","FQ2 2021","Currency=USD","Period=FQ","BEST_FPERIOD_OVERRIDE=FQ","FILING_STATUS=MR","SCALING_FORMAT=MLN","Sort=A","Dates=H","DateFormat=P","Fill=—","Direction=H","UseDPDF=Y")</f>
        <v>1394.8820000000001</v>
      </c>
      <c r="N111" s="13">
        <f>_xll.BDH("ALNY US Equity","ARDR_FV_ASSETS_REC_TOTAL","FQ3 2021","FQ3 2021","Currency=USD","Period=FQ","BEST_FPERIOD_OVERRIDE=FQ","FILING_STATUS=MR","SCALING_FORMAT=MLN","Sort=A","Dates=H","DateFormat=P","Fill=—","Direction=H","UseDPDF=Y")</f>
        <v>1586.672</v>
      </c>
      <c r="O111" s="13">
        <f>_xll.BDH("ALNY US Equity","ARDR_FV_ASSETS_REC_TOTAL","FQ4 2021","FQ4 2021","Currency=USD","Period=FQ","BEST_FPERIOD_OVERRIDE=FQ","FILING_STATUS=MR","SCALING_FORMAT=MLN","Sort=A","Dates=H","DateFormat=P","Fill=—","Direction=H","UseDPDF=Y")</f>
        <v>1927.6510000000001</v>
      </c>
      <c r="P111" s="13">
        <f>_xll.BDH("ALNY US Equity","ARDR_FV_ASSETS_REC_TOTAL","FQ1 2022","FQ1 2022","Currency=USD","Period=FQ","BEST_FPERIOD_OVERRIDE=FQ","FILING_STATUS=MR","SCALING_FORMAT=MLN","Sort=A","Dates=H","DateFormat=P","Fill=—","Direction=H","UseDPDF=Y")</f>
        <v>1920.912</v>
      </c>
      <c r="Q111" s="13">
        <f>_xll.BDH("ALNY US Equity","ARDR_FV_ASSETS_REC_TOTAL","FQ2 2022","FQ2 2022","Currency=USD","Period=FQ","BEST_FPERIOD_OVERRIDE=FQ","FILING_STATUS=MR","SCALING_FORMAT=MLN","Sort=A","Dates=H","DateFormat=P","Fill=—","Direction=H","UseDPDF=Y")</f>
        <v>1805.5540000000001</v>
      </c>
      <c r="R111" s="13">
        <f>_xll.BDH("ALNY US Equity","ARDR_FV_ASSETS_REC_TOTAL","FQ3 2022","FQ3 2022","Currency=USD","Period=FQ","BEST_FPERIOD_OVERRIDE=FQ","FILING_STATUS=MR","SCALING_FORMAT=MLN","Sort=A","Dates=H","DateFormat=P","Fill=—","Direction=H","UseDPDF=Y")</f>
        <v>1692.845</v>
      </c>
      <c r="S111" s="13">
        <f>_xll.BDH("ALNY US Equity","ARDR_FV_ASSETS_REC_TOTAL","FQ4 2022","FQ4 2022","Currency=USD","Period=FQ","BEST_FPERIOD_OVERRIDE=FQ","FILING_STATUS=MR","SCALING_FORMAT=MLN","Sort=A","Dates=H","DateFormat=P","Fill=—","Direction=H","UseDPDF=Y")</f>
        <v>1710.846</v>
      </c>
      <c r="T111" s="13">
        <f>_xll.BDH("ALNY US Equity","ARDR_FV_ASSETS_REC_TOTAL","FQ1 2023","FQ1 2023","Currency=USD","Period=FQ","BEST_FPERIOD_OVERRIDE=FQ","FILING_STATUS=MR","SCALING_FORMAT=MLN","Sort=A","Dates=H","DateFormat=P","Fill=—","Direction=H","UseDPDF=Y")</f>
        <v>1618.075</v>
      </c>
      <c r="U111" s="13">
        <f>_xll.BDH("ALNY US Equity","ARDR_FV_ASSETS_REC_TOTAL","FQ2 2023","FQ2 2023","Currency=USD","Period=FQ","BEST_FPERIOD_OVERRIDE=FQ","FILING_STATUS=MR","SCALING_FORMAT=MLN","Sort=A","Dates=H","DateFormat=P","Fill=—","Direction=H","UseDPDF=Y")</f>
        <v>1497.106</v>
      </c>
      <c r="V111" s="13">
        <f>_xll.BDH("ALNY US Equity","ARDR_FV_ASSETS_REC_TOTAL","FQ3 2023","FQ3 2023","Currency=USD","Period=FQ","BEST_FPERIOD_OVERRIDE=FQ","FILING_STATUS=MR","SCALING_FORMAT=MLN","Sort=A","Dates=H","DateFormat=P","Fill=—","Direction=H","UseDPDF=Y")</f>
        <v>1454.3679999999999</v>
      </c>
      <c r="W111" s="13">
        <f>_xll.BDH("ALNY US Equity","ARDR_FV_ASSETS_REC_TOTAL","FQ4 2023","FQ4 2023","Currency=USD","Period=FQ","BEST_FPERIOD_OVERRIDE=FQ","FILING_STATUS=MR","SCALING_FORMAT=MLN","Sort=A","Dates=H","DateFormat=P","Fill=—","Direction=H","UseDPDF=Y")</f>
        <v>1828.1220000000001</v>
      </c>
      <c r="X111" s="13">
        <f>_xll.BDH("ALNY US Equity","ARDR_FV_ASSETS_REC_TOTAL","FQ1 2024","FQ1 2024","Currency=USD","Period=FQ","BEST_FPERIOD_OVERRIDE=FQ","FILING_STATUS=MR","SCALING_FORMAT=MLN","Sort=A","Dates=H","DateFormat=P","Fill=—","Direction=H","UseDPDF=Y")</f>
        <v>1873.9349999999999</v>
      </c>
      <c r="Y111" s="13">
        <f>_xll.BDH("ALNY US Equity","ARDR_FV_ASSETS_REC_TOTAL","FQ2 2024","FQ2 2024","Currency=USD","Period=FQ","BEST_FPERIOD_OVERRIDE=FQ","FILING_STATUS=MR","SCALING_FORMAT=MLN","Sort=A","Dates=H","DateFormat=P","Fill=—","Direction=H","UseDPDF=Y")</f>
        <v>1858.4559999999999</v>
      </c>
      <c r="Z111" s="13">
        <f>_xll.BDH("ALNY US Equity","ARDR_FV_ASSETS_REC_TOTAL","FQ3 2024","FQ3 2024","Currency=USD","Period=FQ","BEST_FPERIOD_OVERRIDE=FQ","FILING_STATUS=MR","SCALING_FORMAT=MLN","Sort=A","Dates=H","DateFormat=P","Fill=—","Direction=H","UseDPDF=Y")</f>
        <v>1873.001</v>
      </c>
      <c r="AA111" s="13">
        <f>_xll.BDH("ALNY US Equity","ARDR_FV_ASSETS_REC_TOTAL","FQ4 2024","FQ4 2024","Currency=USD","Period=FQ","BEST_FPERIOD_OVERRIDE=FQ","FILING_STATUS=MR","SCALING_FORMAT=MLN","Sort=A","Dates=H","DateFormat=P","Fill=—","Direction=H","UseDPDF=Y")</f>
        <v>1988.854</v>
      </c>
    </row>
    <row r="112" spans="1:27" x14ac:dyDescent="0.25">
      <c r="A112" s="10" t="s">
        <v>1005</v>
      </c>
      <c r="B112" s="10" t="s">
        <v>1006</v>
      </c>
      <c r="C112" s="13" t="str">
        <f>_xll.BDH("ALNY US Equity","ARDR_FV_LIAB_REC_LEVEL_1","FQ4 2018","FQ4 2018","Currency=USD","Period=FQ","BEST_FPERIOD_OVERRIDE=FQ","FILING_STATUS=MR","SCALING_FORMAT=MLN","Sort=A","Dates=H","DateFormat=P","Fill=—","Direction=H","UseDPDF=Y")</f>
        <v>—</v>
      </c>
      <c r="D112" s="13" t="str">
        <f>_xll.BDH("ALNY US Equity","ARDR_FV_LIAB_REC_LEVEL_1","FQ1 2019","FQ1 2019","Currency=USD","Period=FQ","BEST_FPERIOD_OVERRIDE=FQ","FILING_STATUS=MR","SCALING_FORMAT=MLN","Sort=A","Dates=H","DateFormat=P","Fill=—","Direction=H","UseDPDF=Y")</f>
        <v>—</v>
      </c>
      <c r="E112" s="13" t="str">
        <f>_xll.BDH("ALNY US Equity","ARDR_FV_LIAB_REC_LEVEL_1","FQ2 2019","FQ2 2019","Currency=USD","Period=FQ","BEST_FPERIOD_OVERRIDE=FQ","FILING_STATUS=MR","SCALING_FORMAT=MLN","Sort=A","Dates=H","DateFormat=P","Fill=—","Direction=H","UseDPDF=Y")</f>
        <v>—</v>
      </c>
      <c r="F112" s="13" t="str">
        <f>_xll.BDH("ALNY US Equity","ARDR_FV_LIAB_REC_LEVEL_1","FQ3 2019","FQ3 2019","Currency=USD","Period=FQ","BEST_FPERIOD_OVERRIDE=FQ","FILING_STATUS=MR","SCALING_FORMAT=MLN","Sort=A","Dates=H","DateFormat=P","Fill=—","Direction=H","UseDPDF=Y")</f>
        <v>—</v>
      </c>
      <c r="G112" s="13" t="str">
        <f>_xll.BDH("ALNY US Equity","ARDR_FV_LIAB_REC_LEVEL_1","FQ4 2019","FQ4 2019","Currency=USD","Period=FQ","BEST_FPERIOD_OVERRIDE=FQ","FILING_STATUS=MR","SCALING_FORMAT=MLN","Sort=A","Dates=H","DateFormat=P","Fill=—","Direction=H","UseDPDF=Y")</f>
        <v>—</v>
      </c>
      <c r="H112" s="13" t="str">
        <f>_xll.BDH("ALNY US Equity","ARDR_FV_LIAB_REC_LEVEL_1","FQ1 2020","FQ1 2020","Currency=USD","Period=FQ","BEST_FPERIOD_OVERRIDE=FQ","FILING_STATUS=MR","SCALING_FORMAT=MLN","Sort=A","Dates=H","DateFormat=P","Fill=—","Direction=H","UseDPDF=Y")</f>
        <v>—</v>
      </c>
      <c r="I112" s="13" t="str">
        <f>_xll.BDH("ALNY US Equity","ARDR_FV_LIAB_REC_LEVEL_1","FQ2 2020","FQ2 2020","Currency=USD","Period=FQ","BEST_FPERIOD_OVERRIDE=FQ","FILING_STATUS=MR","SCALING_FORMAT=MLN","Sort=A","Dates=H","DateFormat=P","Fill=—","Direction=H","UseDPDF=Y")</f>
        <v>—</v>
      </c>
      <c r="J112" s="13">
        <f>_xll.BDH("ALNY US Equity","ARDR_FV_LIAB_REC_LEVEL_1","FQ3 2020","FQ3 2020","Currency=USD","Period=FQ","BEST_FPERIOD_OVERRIDE=FQ","FILING_STATUS=MR","SCALING_FORMAT=MLN","Sort=A","Dates=H","DateFormat=P","Fill=—","Direction=H","UseDPDF=Y")</f>
        <v>0</v>
      </c>
      <c r="K112" s="13">
        <f>_xll.BDH("ALNY US Equity","ARDR_FV_LIAB_REC_LEVEL_1","FQ4 2020","FQ4 2020","Currency=USD","Period=FQ","BEST_FPERIOD_OVERRIDE=FQ","FILING_STATUS=MR","SCALING_FORMAT=MLN","Sort=A","Dates=H","DateFormat=P","Fill=—","Direction=H","UseDPDF=Y")</f>
        <v>0</v>
      </c>
      <c r="L112" s="13">
        <f>_xll.BDH("ALNY US Equity","ARDR_FV_LIAB_REC_LEVEL_1","FQ1 2021","FQ1 2021","Currency=USD","Period=FQ","BEST_FPERIOD_OVERRIDE=FQ","FILING_STATUS=MR","SCALING_FORMAT=MLN","Sort=A","Dates=H","DateFormat=P","Fill=—","Direction=H","UseDPDF=Y")</f>
        <v>0</v>
      </c>
      <c r="M112" s="13">
        <f>_xll.BDH("ALNY US Equity","ARDR_FV_LIAB_REC_LEVEL_1","FQ2 2021","FQ2 2021","Currency=USD","Period=FQ","BEST_FPERIOD_OVERRIDE=FQ","FILING_STATUS=MR","SCALING_FORMAT=MLN","Sort=A","Dates=H","DateFormat=P","Fill=—","Direction=H","UseDPDF=Y")</f>
        <v>0</v>
      </c>
      <c r="N112" s="13">
        <f>_xll.BDH("ALNY US Equity","ARDR_FV_LIAB_REC_LEVEL_1","FQ3 2021","FQ3 2021","Currency=USD","Period=FQ","BEST_FPERIOD_OVERRIDE=FQ","FILING_STATUS=MR","SCALING_FORMAT=MLN","Sort=A","Dates=H","DateFormat=P","Fill=—","Direction=H","UseDPDF=Y")</f>
        <v>0</v>
      </c>
      <c r="O112" s="13">
        <f>_xll.BDH("ALNY US Equity","ARDR_FV_LIAB_REC_LEVEL_1","FQ4 2021","FQ4 2021","Currency=USD","Period=FQ","BEST_FPERIOD_OVERRIDE=FQ","FILING_STATUS=MR","SCALING_FORMAT=MLN","Sort=A","Dates=H","DateFormat=P","Fill=—","Direction=H","UseDPDF=Y")</f>
        <v>0</v>
      </c>
      <c r="P112" s="13" t="str">
        <f>_xll.BDH("ALNY US Equity","ARDR_FV_LIAB_REC_LEVEL_1","FQ1 2022","FQ1 2022","Currency=USD","Period=FQ","BEST_FPERIOD_OVERRIDE=FQ","FILING_STATUS=MR","SCALING_FORMAT=MLN","Sort=A","Dates=H","DateFormat=P","Fill=—","Direction=H","UseDPDF=Y")</f>
        <v>—</v>
      </c>
      <c r="Q112" s="13">
        <f>_xll.BDH("ALNY US Equity","ARDR_FV_LIAB_REC_LEVEL_1","FQ2 2022","FQ2 2022","Currency=USD","Period=FQ","BEST_FPERIOD_OVERRIDE=FQ","FILING_STATUS=MR","SCALING_FORMAT=MLN","Sort=A","Dates=H","DateFormat=P","Fill=—","Direction=H","UseDPDF=Y")</f>
        <v>0</v>
      </c>
      <c r="R112" s="13">
        <f>_xll.BDH("ALNY US Equity","ARDR_FV_LIAB_REC_LEVEL_1","FQ3 2022","FQ3 2022","Currency=USD","Period=FQ","BEST_FPERIOD_OVERRIDE=FQ","FILING_STATUS=MR","SCALING_FORMAT=MLN","Sort=A","Dates=H","DateFormat=P","Fill=—","Direction=H","UseDPDF=Y")</f>
        <v>0</v>
      </c>
      <c r="S112" s="13">
        <f>_xll.BDH("ALNY US Equity","ARDR_FV_LIAB_REC_LEVEL_1","FQ4 2022","FQ4 2022","Currency=USD","Period=FQ","BEST_FPERIOD_OVERRIDE=FQ","FILING_STATUS=MR","SCALING_FORMAT=MLN","Sort=A","Dates=H","DateFormat=P","Fill=—","Direction=H","UseDPDF=Y")</f>
        <v>0</v>
      </c>
      <c r="T112" s="13" t="str">
        <f>_xll.BDH("ALNY US Equity","ARDR_FV_LIAB_REC_LEVEL_1","FQ1 2023","FQ1 2023","Currency=USD","Period=FQ","BEST_FPERIOD_OVERRIDE=FQ","FILING_STATUS=MR","SCALING_FORMAT=MLN","Sort=A","Dates=H","DateFormat=P","Fill=—","Direction=H","UseDPDF=Y")</f>
        <v>—</v>
      </c>
      <c r="U112" s="13">
        <f>_xll.BDH("ALNY US Equity","ARDR_FV_LIAB_REC_LEVEL_1","FQ2 2023","FQ2 2023","Currency=USD","Period=FQ","BEST_FPERIOD_OVERRIDE=FQ","FILING_STATUS=MR","SCALING_FORMAT=MLN","Sort=A","Dates=H","DateFormat=P","Fill=—","Direction=H","UseDPDF=Y")</f>
        <v>0</v>
      </c>
      <c r="V112" s="13">
        <f>_xll.BDH("ALNY US Equity","ARDR_FV_LIAB_REC_LEVEL_1","FQ3 2023","FQ3 2023","Currency=USD","Period=FQ","BEST_FPERIOD_OVERRIDE=FQ","FILING_STATUS=MR","SCALING_FORMAT=MLN","Sort=A","Dates=H","DateFormat=P","Fill=—","Direction=H","UseDPDF=Y")</f>
        <v>0</v>
      </c>
      <c r="W112" s="13">
        <f>_xll.BDH("ALNY US Equity","ARDR_FV_LIAB_REC_LEVEL_1","FQ4 2023","FQ4 2023","Currency=USD","Period=FQ","BEST_FPERIOD_OVERRIDE=FQ","FILING_STATUS=MR","SCALING_FORMAT=MLN","Sort=A","Dates=H","DateFormat=P","Fill=—","Direction=H","UseDPDF=Y")</f>
        <v>0</v>
      </c>
      <c r="X112" s="13">
        <f>_xll.BDH("ALNY US Equity","ARDR_FV_LIAB_REC_LEVEL_1","FQ1 2024","FQ1 2024","Currency=USD","Period=FQ","BEST_FPERIOD_OVERRIDE=FQ","FILING_STATUS=MR","SCALING_FORMAT=MLN","Sort=A","Dates=H","DateFormat=P","Fill=—","Direction=H","UseDPDF=Y")</f>
        <v>0</v>
      </c>
      <c r="Y112" s="13">
        <f>_xll.BDH("ALNY US Equity","ARDR_FV_LIAB_REC_LEVEL_1","FQ2 2024","FQ2 2024","Currency=USD","Period=FQ","BEST_FPERIOD_OVERRIDE=FQ","FILING_STATUS=MR","SCALING_FORMAT=MLN","Sort=A","Dates=H","DateFormat=P","Fill=—","Direction=H","UseDPDF=Y")</f>
        <v>0</v>
      </c>
      <c r="Z112" s="13">
        <f>_xll.BDH("ALNY US Equity","ARDR_FV_LIAB_REC_LEVEL_1","FQ3 2024","FQ3 2024","Currency=USD","Period=FQ","BEST_FPERIOD_OVERRIDE=FQ","FILING_STATUS=MR","SCALING_FORMAT=MLN","Sort=A","Dates=H","DateFormat=P","Fill=—","Direction=H","UseDPDF=Y")</f>
        <v>0</v>
      </c>
      <c r="AA112" s="13">
        <f>_xll.BDH("ALNY US Equity","ARDR_FV_LIAB_REC_LEVEL_1","FQ4 2024","FQ4 2024","Currency=USD","Period=FQ","BEST_FPERIOD_OVERRIDE=FQ","FILING_STATUS=MR","SCALING_FORMAT=MLN","Sort=A","Dates=H","DateFormat=P","Fill=—","Direction=H","UseDPDF=Y")</f>
        <v>0</v>
      </c>
    </row>
    <row r="113" spans="1:27" x14ac:dyDescent="0.25">
      <c r="A113" s="10" t="s">
        <v>1007</v>
      </c>
      <c r="B113" s="10" t="s">
        <v>1008</v>
      </c>
      <c r="C113" s="13" t="str">
        <f>_xll.BDH("ALNY US Equity","ARDR_FV_LIAB_REC_LEVEL_2","FQ4 2018","FQ4 2018","Currency=USD","Period=FQ","BEST_FPERIOD_OVERRIDE=FQ","FILING_STATUS=MR","SCALING_FORMAT=MLN","Sort=A","Dates=H","DateFormat=P","Fill=—","Direction=H","UseDPDF=Y")</f>
        <v>—</v>
      </c>
      <c r="D113" s="13" t="str">
        <f>_xll.BDH("ALNY US Equity","ARDR_FV_LIAB_REC_LEVEL_2","FQ1 2019","FQ1 2019","Currency=USD","Period=FQ","BEST_FPERIOD_OVERRIDE=FQ","FILING_STATUS=MR","SCALING_FORMAT=MLN","Sort=A","Dates=H","DateFormat=P","Fill=—","Direction=H","UseDPDF=Y")</f>
        <v>—</v>
      </c>
      <c r="E113" s="13" t="str">
        <f>_xll.BDH("ALNY US Equity","ARDR_FV_LIAB_REC_LEVEL_2","FQ2 2019","FQ2 2019","Currency=USD","Period=FQ","BEST_FPERIOD_OVERRIDE=FQ","FILING_STATUS=MR","SCALING_FORMAT=MLN","Sort=A","Dates=H","DateFormat=P","Fill=—","Direction=H","UseDPDF=Y")</f>
        <v>—</v>
      </c>
      <c r="F113" s="13" t="str">
        <f>_xll.BDH("ALNY US Equity","ARDR_FV_LIAB_REC_LEVEL_2","FQ3 2019","FQ3 2019","Currency=USD","Period=FQ","BEST_FPERIOD_OVERRIDE=FQ","FILING_STATUS=MR","SCALING_FORMAT=MLN","Sort=A","Dates=H","DateFormat=P","Fill=—","Direction=H","UseDPDF=Y")</f>
        <v>—</v>
      </c>
      <c r="G113" s="13" t="str">
        <f>_xll.BDH("ALNY US Equity","ARDR_FV_LIAB_REC_LEVEL_2","FQ4 2019","FQ4 2019","Currency=USD","Period=FQ","BEST_FPERIOD_OVERRIDE=FQ","FILING_STATUS=MR","SCALING_FORMAT=MLN","Sort=A","Dates=H","DateFormat=P","Fill=—","Direction=H","UseDPDF=Y")</f>
        <v>—</v>
      </c>
      <c r="H113" s="13" t="str">
        <f>_xll.BDH("ALNY US Equity","ARDR_FV_LIAB_REC_LEVEL_2","FQ1 2020","FQ1 2020","Currency=USD","Period=FQ","BEST_FPERIOD_OVERRIDE=FQ","FILING_STATUS=MR","SCALING_FORMAT=MLN","Sort=A","Dates=H","DateFormat=P","Fill=—","Direction=H","UseDPDF=Y")</f>
        <v>—</v>
      </c>
      <c r="I113" s="13" t="str">
        <f>_xll.BDH("ALNY US Equity","ARDR_FV_LIAB_REC_LEVEL_2","FQ2 2020","FQ2 2020","Currency=USD","Period=FQ","BEST_FPERIOD_OVERRIDE=FQ","FILING_STATUS=MR","SCALING_FORMAT=MLN","Sort=A","Dates=H","DateFormat=P","Fill=—","Direction=H","UseDPDF=Y")</f>
        <v>—</v>
      </c>
      <c r="J113" s="13">
        <f>_xll.BDH("ALNY US Equity","ARDR_FV_LIAB_REC_LEVEL_2","FQ3 2020","FQ3 2020","Currency=USD","Period=FQ","BEST_FPERIOD_OVERRIDE=FQ","FILING_STATUS=MR","SCALING_FORMAT=MLN","Sort=A","Dates=H","DateFormat=P","Fill=—","Direction=H","UseDPDF=Y")</f>
        <v>0</v>
      </c>
      <c r="K113" s="13">
        <f>_xll.BDH("ALNY US Equity","ARDR_FV_LIAB_REC_LEVEL_2","FQ4 2020","FQ4 2020","Currency=USD","Period=FQ","BEST_FPERIOD_OVERRIDE=FQ","FILING_STATUS=MR","SCALING_FORMAT=MLN","Sort=A","Dates=H","DateFormat=P","Fill=—","Direction=H","UseDPDF=Y")</f>
        <v>0</v>
      </c>
      <c r="L113" s="13">
        <f>_xll.BDH("ALNY US Equity","ARDR_FV_LIAB_REC_LEVEL_2","FQ1 2021","FQ1 2021","Currency=USD","Period=FQ","BEST_FPERIOD_OVERRIDE=FQ","FILING_STATUS=MR","SCALING_FORMAT=MLN","Sort=A","Dates=H","DateFormat=P","Fill=—","Direction=H","UseDPDF=Y")</f>
        <v>0</v>
      </c>
      <c r="M113" s="13">
        <f>_xll.BDH("ALNY US Equity","ARDR_FV_LIAB_REC_LEVEL_2","FQ2 2021","FQ2 2021","Currency=USD","Period=FQ","BEST_FPERIOD_OVERRIDE=FQ","FILING_STATUS=MR","SCALING_FORMAT=MLN","Sort=A","Dates=H","DateFormat=P","Fill=—","Direction=H","UseDPDF=Y")</f>
        <v>0</v>
      </c>
      <c r="N113" s="13">
        <f>_xll.BDH("ALNY US Equity","ARDR_FV_LIAB_REC_LEVEL_2","FQ3 2021","FQ3 2021","Currency=USD","Period=FQ","BEST_FPERIOD_OVERRIDE=FQ","FILING_STATUS=MR","SCALING_FORMAT=MLN","Sort=A","Dates=H","DateFormat=P","Fill=—","Direction=H","UseDPDF=Y")</f>
        <v>0</v>
      </c>
      <c r="O113" s="13">
        <f>_xll.BDH("ALNY US Equity","ARDR_FV_LIAB_REC_LEVEL_2","FQ4 2021","FQ4 2021","Currency=USD","Period=FQ","BEST_FPERIOD_OVERRIDE=FQ","FILING_STATUS=MR","SCALING_FORMAT=MLN","Sort=A","Dates=H","DateFormat=P","Fill=—","Direction=H","UseDPDF=Y")</f>
        <v>0</v>
      </c>
      <c r="P113" s="13" t="str">
        <f>_xll.BDH("ALNY US Equity","ARDR_FV_LIAB_REC_LEVEL_2","FQ1 2022","FQ1 2022","Currency=USD","Period=FQ","BEST_FPERIOD_OVERRIDE=FQ","FILING_STATUS=MR","SCALING_FORMAT=MLN","Sort=A","Dates=H","DateFormat=P","Fill=—","Direction=H","UseDPDF=Y")</f>
        <v>—</v>
      </c>
      <c r="Q113" s="13">
        <f>_xll.BDH("ALNY US Equity","ARDR_FV_LIAB_REC_LEVEL_2","FQ2 2022","FQ2 2022","Currency=USD","Period=FQ","BEST_FPERIOD_OVERRIDE=FQ","FILING_STATUS=MR","SCALING_FORMAT=MLN","Sort=A","Dates=H","DateFormat=P","Fill=—","Direction=H","UseDPDF=Y")</f>
        <v>0</v>
      </c>
      <c r="R113" s="13">
        <f>_xll.BDH("ALNY US Equity","ARDR_FV_LIAB_REC_LEVEL_2","FQ3 2022","FQ3 2022","Currency=USD","Period=FQ","BEST_FPERIOD_OVERRIDE=FQ","FILING_STATUS=MR","SCALING_FORMAT=MLN","Sort=A","Dates=H","DateFormat=P","Fill=—","Direction=H","UseDPDF=Y")</f>
        <v>0</v>
      </c>
      <c r="S113" s="13">
        <f>_xll.BDH("ALNY US Equity","ARDR_FV_LIAB_REC_LEVEL_2","FQ4 2022","FQ4 2022","Currency=USD","Period=FQ","BEST_FPERIOD_OVERRIDE=FQ","FILING_STATUS=MR","SCALING_FORMAT=MLN","Sort=A","Dates=H","DateFormat=P","Fill=—","Direction=H","UseDPDF=Y")</f>
        <v>0</v>
      </c>
      <c r="T113" s="13" t="str">
        <f>_xll.BDH("ALNY US Equity","ARDR_FV_LIAB_REC_LEVEL_2","FQ1 2023","FQ1 2023","Currency=USD","Period=FQ","BEST_FPERIOD_OVERRIDE=FQ","FILING_STATUS=MR","SCALING_FORMAT=MLN","Sort=A","Dates=H","DateFormat=P","Fill=—","Direction=H","UseDPDF=Y")</f>
        <v>—</v>
      </c>
      <c r="U113" s="13">
        <f>_xll.BDH("ALNY US Equity","ARDR_FV_LIAB_REC_LEVEL_2","FQ2 2023","FQ2 2023","Currency=USD","Period=FQ","BEST_FPERIOD_OVERRIDE=FQ","FILING_STATUS=MR","SCALING_FORMAT=MLN","Sort=A","Dates=H","DateFormat=P","Fill=—","Direction=H","UseDPDF=Y")</f>
        <v>0</v>
      </c>
      <c r="V113" s="13">
        <f>_xll.BDH("ALNY US Equity","ARDR_FV_LIAB_REC_LEVEL_2","FQ3 2023","FQ3 2023","Currency=USD","Period=FQ","BEST_FPERIOD_OVERRIDE=FQ","FILING_STATUS=MR","SCALING_FORMAT=MLN","Sort=A","Dates=H","DateFormat=P","Fill=—","Direction=H","UseDPDF=Y")</f>
        <v>0</v>
      </c>
      <c r="W113" s="13">
        <f>_xll.BDH("ALNY US Equity","ARDR_FV_LIAB_REC_LEVEL_2","FQ4 2023","FQ4 2023","Currency=USD","Period=FQ","BEST_FPERIOD_OVERRIDE=FQ","FILING_STATUS=MR","SCALING_FORMAT=MLN","Sort=A","Dates=H","DateFormat=P","Fill=—","Direction=H","UseDPDF=Y")</f>
        <v>0</v>
      </c>
      <c r="X113" s="13">
        <f>_xll.BDH("ALNY US Equity","ARDR_FV_LIAB_REC_LEVEL_2","FQ1 2024","FQ1 2024","Currency=USD","Period=FQ","BEST_FPERIOD_OVERRIDE=FQ","FILING_STATUS=MR","SCALING_FORMAT=MLN","Sort=A","Dates=H","DateFormat=P","Fill=—","Direction=H","UseDPDF=Y")</f>
        <v>0</v>
      </c>
      <c r="Y113" s="13">
        <f>_xll.BDH("ALNY US Equity","ARDR_FV_LIAB_REC_LEVEL_2","FQ2 2024","FQ2 2024","Currency=USD","Period=FQ","BEST_FPERIOD_OVERRIDE=FQ","FILING_STATUS=MR","SCALING_FORMAT=MLN","Sort=A","Dates=H","DateFormat=P","Fill=—","Direction=H","UseDPDF=Y")</f>
        <v>0</v>
      </c>
      <c r="Z113" s="13">
        <f>_xll.BDH("ALNY US Equity","ARDR_FV_LIAB_REC_LEVEL_2","FQ3 2024","FQ3 2024","Currency=USD","Period=FQ","BEST_FPERIOD_OVERRIDE=FQ","FILING_STATUS=MR","SCALING_FORMAT=MLN","Sort=A","Dates=H","DateFormat=P","Fill=—","Direction=H","UseDPDF=Y")</f>
        <v>0</v>
      </c>
      <c r="AA113" s="13">
        <f>_xll.BDH("ALNY US Equity","ARDR_FV_LIAB_REC_LEVEL_2","FQ4 2024","FQ4 2024","Currency=USD","Period=FQ","BEST_FPERIOD_OVERRIDE=FQ","FILING_STATUS=MR","SCALING_FORMAT=MLN","Sort=A","Dates=H","DateFormat=P","Fill=—","Direction=H","UseDPDF=Y")</f>
        <v>0</v>
      </c>
    </row>
    <row r="114" spans="1:27" x14ac:dyDescent="0.25">
      <c r="A114" s="10" t="s">
        <v>1009</v>
      </c>
      <c r="B114" s="10" t="s">
        <v>1010</v>
      </c>
      <c r="C114" s="13" t="str">
        <f>_xll.BDH("ALNY US Equity","ARDR_FV_LIAB_REC_LEVEL_3","FQ4 2018","FQ4 2018","Currency=USD","Period=FQ","BEST_FPERIOD_OVERRIDE=FQ","FILING_STATUS=MR","SCALING_FORMAT=MLN","Sort=A","Dates=H","DateFormat=P","Fill=—","Direction=H","UseDPDF=Y")</f>
        <v>—</v>
      </c>
      <c r="D114" s="13" t="str">
        <f>_xll.BDH("ALNY US Equity","ARDR_FV_LIAB_REC_LEVEL_3","FQ1 2019","FQ1 2019","Currency=USD","Period=FQ","BEST_FPERIOD_OVERRIDE=FQ","FILING_STATUS=MR","SCALING_FORMAT=MLN","Sort=A","Dates=H","DateFormat=P","Fill=—","Direction=H","UseDPDF=Y")</f>
        <v>—</v>
      </c>
      <c r="E114" s="13" t="str">
        <f>_xll.BDH("ALNY US Equity","ARDR_FV_LIAB_REC_LEVEL_3","FQ2 2019","FQ2 2019","Currency=USD","Period=FQ","BEST_FPERIOD_OVERRIDE=FQ","FILING_STATUS=MR","SCALING_FORMAT=MLN","Sort=A","Dates=H","DateFormat=P","Fill=—","Direction=H","UseDPDF=Y")</f>
        <v>—</v>
      </c>
      <c r="F114" s="13" t="str">
        <f>_xll.BDH("ALNY US Equity","ARDR_FV_LIAB_REC_LEVEL_3","FQ3 2019","FQ3 2019","Currency=USD","Period=FQ","BEST_FPERIOD_OVERRIDE=FQ","FILING_STATUS=MR","SCALING_FORMAT=MLN","Sort=A","Dates=H","DateFormat=P","Fill=—","Direction=H","UseDPDF=Y")</f>
        <v>—</v>
      </c>
      <c r="G114" s="13" t="str">
        <f>_xll.BDH("ALNY US Equity","ARDR_FV_LIAB_REC_LEVEL_3","FQ4 2019","FQ4 2019","Currency=USD","Period=FQ","BEST_FPERIOD_OVERRIDE=FQ","FILING_STATUS=MR","SCALING_FORMAT=MLN","Sort=A","Dates=H","DateFormat=P","Fill=—","Direction=H","UseDPDF=Y")</f>
        <v>—</v>
      </c>
      <c r="H114" s="13" t="str">
        <f>_xll.BDH("ALNY US Equity","ARDR_FV_LIAB_REC_LEVEL_3","FQ1 2020","FQ1 2020","Currency=USD","Period=FQ","BEST_FPERIOD_OVERRIDE=FQ","FILING_STATUS=MR","SCALING_FORMAT=MLN","Sort=A","Dates=H","DateFormat=P","Fill=—","Direction=H","UseDPDF=Y")</f>
        <v>—</v>
      </c>
      <c r="I114" s="13" t="str">
        <f>_xll.BDH("ALNY US Equity","ARDR_FV_LIAB_REC_LEVEL_3","FQ2 2020","FQ2 2020","Currency=USD","Period=FQ","BEST_FPERIOD_OVERRIDE=FQ","FILING_STATUS=MR","SCALING_FORMAT=MLN","Sort=A","Dates=H","DateFormat=P","Fill=—","Direction=H","UseDPDF=Y")</f>
        <v>—</v>
      </c>
      <c r="J114" s="13">
        <f>_xll.BDH("ALNY US Equity","ARDR_FV_LIAB_REC_LEVEL_3","FQ3 2020","FQ3 2020","Currency=USD","Period=FQ","BEST_FPERIOD_OVERRIDE=FQ","FILING_STATUS=MR","SCALING_FORMAT=MLN","Sort=A","Dates=H","DateFormat=P","Fill=—","Direction=H","UseDPDF=Y")</f>
        <v>5.43</v>
      </c>
      <c r="K114" s="13">
        <f>_xll.BDH("ALNY US Equity","ARDR_FV_LIAB_REC_LEVEL_3","FQ4 2020","FQ4 2020","Currency=USD","Period=FQ","BEST_FPERIOD_OVERRIDE=FQ","FILING_STATUS=MR","SCALING_FORMAT=MLN","Sort=A","Dates=H","DateFormat=P","Fill=—","Direction=H","UseDPDF=Y")</f>
        <v>25.585000000000001</v>
      </c>
      <c r="L114" s="13">
        <f>_xll.BDH("ALNY US Equity","ARDR_FV_LIAB_REC_LEVEL_3","FQ1 2021","FQ1 2021","Currency=USD","Period=FQ","BEST_FPERIOD_OVERRIDE=FQ","FILING_STATUS=MR","SCALING_FORMAT=MLN","Sort=A","Dates=H","DateFormat=P","Fill=—","Direction=H","UseDPDF=Y")</f>
        <v>48.037999999999997</v>
      </c>
      <c r="M114" s="13">
        <f>_xll.BDH("ALNY US Equity","ARDR_FV_LIAB_REC_LEVEL_3","FQ2 2021","FQ2 2021","Currency=USD","Period=FQ","BEST_FPERIOD_OVERRIDE=FQ","FILING_STATUS=MR","SCALING_FORMAT=MLN","Sort=A","Dates=H","DateFormat=P","Fill=—","Direction=H","UseDPDF=Y")</f>
        <v>56.828000000000003</v>
      </c>
      <c r="N114" s="13">
        <f>_xll.BDH("ALNY US Equity","ARDR_FV_LIAB_REC_LEVEL_3","FQ3 2021","FQ3 2021","Currency=USD","Period=FQ","BEST_FPERIOD_OVERRIDE=FQ","FILING_STATUS=MR","SCALING_FORMAT=MLN","Sort=A","Dates=H","DateFormat=P","Fill=—","Direction=H","UseDPDF=Y")</f>
        <v>61.34</v>
      </c>
      <c r="O114" s="13">
        <f>_xll.BDH("ALNY US Equity","ARDR_FV_LIAB_REC_LEVEL_3","FQ4 2021","FQ4 2021","Currency=USD","Period=FQ","BEST_FPERIOD_OVERRIDE=FQ","FILING_STATUS=MR","SCALING_FORMAT=MLN","Sort=A","Dates=H","DateFormat=P","Fill=—","Direction=H","UseDPDF=Y")</f>
        <v>83.617999999999995</v>
      </c>
      <c r="P114" s="13">
        <f>_xll.BDH("ALNY US Equity","ARDR_FV_LIAB_REC_LEVEL_3","FQ1 2022","FQ1 2022","Currency=USD","Period=FQ","BEST_FPERIOD_OVERRIDE=FQ","FILING_STATUS=MR","SCALING_FORMAT=MLN","Sort=A","Dates=H","DateFormat=P","Fill=—","Direction=H","UseDPDF=Y")</f>
        <v>105.233</v>
      </c>
      <c r="Q114" s="13">
        <f>_xll.BDH("ALNY US Equity","ARDR_FV_LIAB_REC_LEVEL_3","FQ2 2022","FQ2 2022","Currency=USD","Period=FQ","BEST_FPERIOD_OVERRIDE=FQ","FILING_STATUS=MR","SCALING_FORMAT=MLN","Sort=A","Dates=H","DateFormat=P","Fill=—","Direction=H","UseDPDF=Y")</f>
        <v>144.977</v>
      </c>
      <c r="R114" s="13">
        <f>_xll.BDH("ALNY US Equity","ARDR_FV_LIAB_REC_LEVEL_3","FQ3 2022","FQ3 2022","Currency=USD","Period=FQ","BEST_FPERIOD_OVERRIDE=FQ","FILING_STATUS=MR","SCALING_FORMAT=MLN","Sort=A","Dates=H","DateFormat=P","Fill=—","Direction=H","UseDPDF=Y")</f>
        <v>177.89400000000001</v>
      </c>
      <c r="S114" s="13">
        <f>_xll.BDH("ALNY US Equity","ARDR_FV_LIAB_REC_LEVEL_3","FQ4 2022","FQ4 2022","Currency=USD","Period=FQ","BEST_FPERIOD_OVERRIDE=FQ","FILING_STATUS=MR","SCALING_FORMAT=MLN","Sort=A","Dates=H","DateFormat=P","Fill=—","Direction=H","UseDPDF=Y")</f>
        <v>209.27699999999999</v>
      </c>
      <c r="T114" s="13">
        <f>_xll.BDH("ALNY US Equity","ARDR_FV_LIAB_REC_LEVEL_3","FQ1 2023","FQ1 2023","Currency=USD","Period=FQ","BEST_FPERIOD_OVERRIDE=FQ","FILING_STATUS=MR","SCALING_FORMAT=MLN","Sort=A","Dates=H","DateFormat=P","Fill=—","Direction=H","UseDPDF=Y")</f>
        <v>219.74799999999999</v>
      </c>
      <c r="U114" s="13">
        <f>_xll.BDH("ALNY US Equity","ARDR_FV_LIAB_REC_LEVEL_3","FQ2 2023","FQ2 2023","Currency=USD","Period=FQ","BEST_FPERIOD_OVERRIDE=FQ","FILING_STATUS=MR","SCALING_FORMAT=MLN","Sort=A","Dates=H","DateFormat=P","Fill=—","Direction=H","UseDPDF=Y")</f>
        <v>253.96299999999999</v>
      </c>
      <c r="V114" s="13">
        <f>_xll.BDH("ALNY US Equity","ARDR_FV_LIAB_REC_LEVEL_3","FQ3 2023","FQ3 2023","Currency=USD","Period=FQ","BEST_FPERIOD_OVERRIDE=FQ","FILING_STATUS=MR","SCALING_FORMAT=MLN","Sort=A","Dates=H","DateFormat=P","Fill=—","Direction=H","UseDPDF=Y")</f>
        <v>293.505</v>
      </c>
      <c r="W114" s="13">
        <f>_xll.BDH("ALNY US Equity","ARDR_FV_LIAB_REC_LEVEL_3","FQ4 2023","FQ4 2023","Currency=USD","Period=FQ","BEST_FPERIOD_OVERRIDE=FQ","FILING_STATUS=MR","SCALING_FORMAT=MLN","Sort=A","Dates=H","DateFormat=P","Fill=—","Direction=H","UseDPDF=Y")</f>
        <v>324.94099999999997</v>
      </c>
      <c r="X114" s="13">
        <f>_xll.BDH("ALNY US Equity","ARDR_FV_LIAB_REC_LEVEL_3","FQ1 2024","FQ1 2024","Currency=USD","Period=FQ","BEST_FPERIOD_OVERRIDE=FQ","FILING_STATUS=MR","SCALING_FORMAT=MLN","Sort=A","Dates=H","DateFormat=P","Fill=—","Direction=H","UseDPDF=Y")</f>
        <v>336.57900000000001</v>
      </c>
      <c r="Y114" s="13">
        <f>_xll.BDH("ALNY US Equity","ARDR_FV_LIAB_REC_LEVEL_3","FQ2 2024","FQ2 2024","Currency=USD","Period=FQ","BEST_FPERIOD_OVERRIDE=FQ","FILING_STATUS=MR","SCALING_FORMAT=MLN","Sort=A","Dates=H","DateFormat=P","Fill=—","Direction=H","UseDPDF=Y")</f>
        <v>390.93900000000002</v>
      </c>
      <c r="Z114" s="13">
        <f>_xll.BDH("ALNY US Equity","ARDR_FV_LIAB_REC_LEVEL_3","FQ3 2024","FQ3 2024","Currency=USD","Period=FQ","BEST_FPERIOD_OVERRIDE=FQ","FILING_STATUS=MR","SCALING_FORMAT=MLN","Sort=A","Dates=H","DateFormat=P","Fill=—","Direction=H","UseDPDF=Y")</f>
        <v>421.92899999999997</v>
      </c>
      <c r="AA114" s="13">
        <f>_xll.BDH("ALNY US Equity","ARDR_FV_LIAB_REC_LEVEL_3","FQ4 2024","FQ4 2024","Currency=USD","Period=FQ","BEST_FPERIOD_OVERRIDE=FQ","FILING_STATUS=MR","SCALING_FORMAT=MLN","Sort=A","Dates=H","DateFormat=P","Fill=—","Direction=H","UseDPDF=Y")</f>
        <v>486.91899999999998</v>
      </c>
    </row>
    <row r="115" spans="1:27" x14ac:dyDescent="0.25">
      <c r="A115" s="10" t="s">
        <v>1011</v>
      </c>
      <c r="B115" s="10" t="s">
        <v>1012</v>
      </c>
      <c r="C115" s="13" t="str">
        <f>_xll.BDH("ALNY US Equity","ARDR_FV_LIAB_REC_TOTAL","FQ4 2018","FQ4 2018","Currency=USD","Period=FQ","BEST_FPERIOD_OVERRIDE=FQ","FILING_STATUS=MR","SCALING_FORMAT=MLN","Sort=A","Dates=H","DateFormat=P","Fill=—","Direction=H","UseDPDF=Y")</f>
        <v>—</v>
      </c>
      <c r="D115" s="13" t="str">
        <f>_xll.BDH("ALNY US Equity","ARDR_FV_LIAB_REC_TOTAL","FQ1 2019","FQ1 2019","Currency=USD","Period=FQ","BEST_FPERIOD_OVERRIDE=FQ","FILING_STATUS=MR","SCALING_FORMAT=MLN","Sort=A","Dates=H","DateFormat=P","Fill=—","Direction=H","UseDPDF=Y")</f>
        <v>—</v>
      </c>
      <c r="E115" s="13" t="str">
        <f>_xll.BDH("ALNY US Equity","ARDR_FV_LIAB_REC_TOTAL","FQ2 2019","FQ2 2019","Currency=USD","Period=FQ","BEST_FPERIOD_OVERRIDE=FQ","FILING_STATUS=MR","SCALING_FORMAT=MLN","Sort=A","Dates=H","DateFormat=P","Fill=—","Direction=H","UseDPDF=Y")</f>
        <v>—</v>
      </c>
      <c r="F115" s="13" t="str">
        <f>_xll.BDH("ALNY US Equity","ARDR_FV_LIAB_REC_TOTAL","FQ3 2019","FQ3 2019","Currency=USD","Period=FQ","BEST_FPERIOD_OVERRIDE=FQ","FILING_STATUS=MR","SCALING_FORMAT=MLN","Sort=A","Dates=H","DateFormat=P","Fill=—","Direction=H","UseDPDF=Y")</f>
        <v>—</v>
      </c>
      <c r="G115" s="13" t="str">
        <f>_xll.BDH("ALNY US Equity","ARDR_FV_LIAB_REC_TOTAL","FQ4 2019","FQ4 2019","Currency=USD","Period=FQ","BEST_FPERIOD_OVERRIDE=FQ","FILING_STATUS=MR","SCALING_FORMAT=MLN","Sort=A","Dates=H","DateFormat=P","Fill=—","Direction=H","UseDPDF=Y")</f>
        <v>—</v>
      </c>
      <c r="H115" s="13" t="str">
        <f>_xll.BDH("ALNY US Equity","ARDR_FV_LIAB_REC_TOTAL","FQ1 2020","FQ1 2020","Currency=USD","Period=FQ","BEST_FPERIOD_OVERRIDE=FQ","FILING_STATUS=MR","SCALING_FORMAT=MLN","Sort=A","Dates=H","DateFormat=P","Fill=—","Direction=H","UseDPDF=Y")</f>
        <v>—</v>
      </c>
      <c r="I115" s="13" t="str">
        <f>_xll.BDH("ALNY US Equity","ARDR_FV_LIAB_REC_TOTAL","FQ2 2020","FQ2 2020","Currency=USD","Period=FQ","BEST_FPERIOD_OVERRIDE=FQ","FILING_STATUS=MR","SCALING_FORMAT=MLN","Sort=A","Dates=H","DateFormat=P","Fill=—","Direction=H","UseDPDF=Y")</f>
        <v>—</v>
      </c>
      <c r="J115" s="13">
        <f>_xll.BDH("ALNY US Equity","ARDR_FV_LIAB_REC_TOTAL","FQ3 2020","FQ3 2020","Currency=USD","Period=FQ","BEST_FPERIOD_OVERRIDE=FQ","FILING_STATUS=MR","SCALING_FORMAT=MLN","Sort=A","Dates=H","DateFormat=P","Fill=—","Direction=H","UseDPDF=Y")</f>
        <v>5.43</v>
      </c>
      <c r="K115" s="13">
        <f>_xll.BDH("ALNY US Equity","ARDR_FV_LIAB_REC_TOTAL","FQ4 2020","FQ4 2020","Currency=USD","Period=FQ","BEST_FPERIOD_OVERRIDE=FQ","FILING_STATUS=MR","SCALING_FORMAT=MLN","Sort=A","Dates=H","DateFormat=P","Fill=—","Direction=H","UseDPDF=Y")</f>
        <v>25.585000000000001</v>
      </c>
      <c r="L115" s="13">
        <f>_xll.BDH("ALNY US Equity","ARDR_FV_LIAB_REC_TOTAL","FQ1 2021","FQ1 2021","Currency=USD","Period=FQ","BEST_FPERIOD_OVERRIDE=FQ","FILING_STATUS=MR","SCALING_FORMAT=MLN","Sort=A","Dates=H","DateFormat=P","Fill=—","Direction=H","UseDPDF=Y")</f>
        <v>48.037999999999997</v>
      </c>
      <c r="M115" s="13">
        <f>_xll.BDH("ALNY US Equity","ARDR_FV_LIAB_REC_TOTAL","FQ2 2021","FQ2 2021","Currency=USD","Period=FQ","BEST_FPERIOD_OVERRIDE=FQ","FILING_STATUS=MR","SCALING_FORMAT=MLN","Sort=A","Dates=H","DateFormat=P","Fill=—","Direction=H","UseDPDF=Y")</f>
        <v>56.828000000000003</v>
      </c>
      <c r="N115" s="13">
        <f>_xll.BDH("ALNY US Equity","ARDR_FV_LIAB_REC_TOTAL","FQ3 2021","FQ3 2021","Currency=USD","Period=FQ","BEST_FPERIOD_OVERRIDE=FQ","FILING_STATUS=MR","SCALING_FORMAT=MLN","Sort=A","Dates=H","DateFormat=P","Fill=—","Direction=H","UseDPDF=Y")</f>
        <v>61.34</v>
      </c>
      <c r="O115" s="13">
        <f>_xll.BDH("ALNY US Equity","ARDR_FV_LIAB_REC_TOTAL","FQ4 2021","FQ4 2021","Currency=USD","Period=FQ","BEST_FPERIOD_OVERRIDE=FQ","FILING_STATUS=MR","SCALING_FORMAT=MLN","Sort=A","Dates=H","DateFormat=P","Fill=—","Direction=H","UseDPDF=Y")</f>
        <v>83.617999999999995</v>
      </c>
      <c r="P115" s="13">
        <f>_xll.BDH("ALNY US Equity","ARDR_FV_LIAB_REC_TOTAL","FQ1 2022","FQ1 2022","Currency=USD","Period=FQ","BEST_FPERIOD_OVERRIDE=FQ","FILING_STATUS=MR","SCALING_FORMAT=MLN","Sort=A","Dates=H","DateFormat=P","Fill=—","Direction=H","UseDPDF=Y")</f>
        <v>105.233</v>
      </c>
      <c r="Q115" s="13">
        <f>_xll.BDH("ALNY US Equity","ARDR_FV_LIAB_REC_TOTAL","FQ2 2022","FQ2 2022","Currency=USD","Period=FQ","BEST_FPERIOD_OVERRIDE=FQ","FILING_STATUS=MR","SCALING_FORMAT=MLN","Sort=A","Dates=H","DateFormat=P","Fill=—","Direction=H","UseDPDF=Y")</f>
        <v>144.977</v>
      </c>
      <c r="R115" s="13">
        <f>_xll.BDH("ALNY US Equity","ARDR_FV_LIAB_REC_TOTAL","FQ3 2022","FQ3 2022","Currency=USD","Period=FQ","BEST_FPERIOD_OVERRIDE=FQ","FILING_STATUS=MR","SCALING_FORMAT=MLN","Sort=A","Dates=H","DateFormat=P","Fill=—","Direction=H","UseDPDF=Y")</f>
        <v>177.89400000000001</v>
      </c>
      <c r="S115" s="13">
        <f>_xll.BDH("ALNY US Equity","ARDR_FV_LIAB_REC_TOTAL","FQ4 2022","FQ4 2022","Currency=USD","Period=FQ","BEST_FPERIOD_OVERRIDE=FQ","FILING_STATUS=MR","SCALING_FORMAT=MLN","Sort=A","Dates=H","DateFormat=P","Fill=—","Direction=H","UseDPDF=Y")</f>
        <v>209.27699999999999</v>
      </c>
      <c r="T115" s="13">
        <f>_xll.BDH("ALNY US Equity","ARDR_FV_LIAB_REC_TOTAL","FQ1 2023","FQ1 2023","Currency=USD","Period=FQ","BEST_FPERIOD_OVERRIDE=FQ","FILING_STATUS=MR","SCALING_FORMAT=MLN","Sort=A","Dates=H","DateFormat=P","Fill=—","Direction=H","UseDPDF=Y")</f>
        <v>219.74799999999999</v>
      </c>
      <c r="U115" s="13">
        <f>_xll.BDH("ALNY US Equity","ARDR_FV_LIAB_REC_TOTAL","FQ2 2023","FQ2 2023","Currency=USD","Period=FQ","BEST_FPERIOD_OVERRIDE=FQ","FILING_STATUS=MR","SCALING_FORMAT=MLN","Sort=A","Dates=H","DateFormat=P","Fill=—","Direction=H","UseDPDF=Y")</f>
        <v>253.96299999999999</v>
      </c>
      <c r="V115" s="13">
        <f>_xll.BDH("ALNY US Equity","ARDR_FV_LIAB_REC_TOTAL","FQ3 2023","FQ3 2023","Currency=USD","Period=FQ","BEST_FPERIOD_OVERRIDE=FQ","FILING_STATUS=MR","SCALING_FORMAT=MLN","Sort=A","Dates=H","DateFormat=P","Fill=—","Direction=H","UseDPDF=Y")</f>
        <v>293.505</v>
      </c>
      <c r="W115" s="13">
        <f>_xll.BDH("ALNY US Equity","ARDR_FV_LIAB_REC_TOTAL","FQ4 2023","FQ4 2023","Currency=USD","Period=FQ","BEST_FPERIOD_OVERRIDE=FQ","FILING_STATUS=MR","SCALING_FORMAT=MLN","Sort=A","Dates=H","DateFormat=P","Fill=—","Direction=H","UseDPDF=Y")</f>
        <v>324.94099999999997</v>
      </c>
      <c r="X115" s="13">
        <f>_xll.BDH("ALNY US Equity","ARDR_FV_LIAB_REC_TOTAL","FQ1 2024","FQ1 2024","Currency=USD","Period=FQ","BEST_FPERIOD_OVERRIDE=FQ","FILING_STATUS=MR","SCALING_FORMAT=MLN","Sort=A","Dates=H","DateFormat=P","Fill=—","Direction=H","UseDPDF=Y")</f>
        <v>336.57900000000001</v>
      </c>
      <c r="Y115" s="13">
        <f>_xll.BDH("ALNY US Equity","ARDR_FV_LIAB_REC_TOTAL","FQ2 2024","FQ2 2024","Currency=USD","Period=FQ","BEST_FPERIOD_OVERRIDE=FQ","FILING_STATUS=MR","SCALING_FORMAT=MLN","Sort=A","Dates=H","DateFormat=P","Fill=—","Direction=H","UseDPDF=Y")</f>
        <v>390.93900000000002</v>
      </c>
      <c r="Z115" s="13">
        <f>_xll.BDH("ALNY US Equity","ARDR_FV_LIAB_REC_TOTAL","FQ3 2024","FQ3 2024","Currency=USD","Period=FQ","BEST_FPERIOD_OVERRIDE=FQ","FILING_STATUS=MR","SCALING_FORMAT=MLN","Sort=A","Dates=H","DateFormat=P","Fill=—","Direction=H","UseDPDF=Y")</f>
        <v>421.92899999999997</v>
      </c>
      <c r="AA115" s="13">
        <f>_xll.BDH("ALNY US Equity","ARDR_FV_LIAB_REC_TOTAL","FQ4 2024","FQ4 2024","Currency=USD","Period=FQ","BEST_FPERIOD_OVERRIDE=FQ","FILING_STATUS=MR","SCALING_FORMAT=MLN","Sort=A","Dates=H","DateFormat=P","Fill=—","Direction=H","UseDPDF=Y")</f>
        <v>486.91899999999998</v>
      </c>
    </row>
    <row r="116" spans="1:27" x14ac:dyDescent="0.25">
      <c r="A116" s="10" t="s">
        <v>1013</v>
      </c>
      <c r="B116" s="10" t="s">
        <v>1014</v>
      </c>
      <c r="C116" s="13" t="str">
        <f>_xll.BDH("ALNY US Equity","ARDR_OPTIONS_CANCELLED_FORFEITED","FQ4 2018","FQ4 2018","Currency=USD","Period=FQ","BEST_FPERIOD_OVERRIDE=FQ","FILING_STATUS=MR","SCALING_FORMAT=MLN","Sort=A","Dates=H","DateFormat=P","Fill=—","Direction=H","UseDPDF=Y")</f>
        <v>—</v>
      </c>
      <c r="D116" s="13" t="str">
        <f>_xll.BDH("ALNY US Equity","ARDR_OPTIONS_CANCELLED_FORFEITED","FQ1 2019","FQ1 2019","Currency=USD","Period=FQ","BEST_FPERIOD_OVERRIDE=FQ","FILING_STATUS=MR","SCALING_FORMAT=MLN","Sort=A","Dates=H","DateFormat=P","Fill=—","Direction=H","UseDPDF=Y")</f>
        <v>—</v>
      </c>
      <c r="E116" s="13" t="str">
        <f>_xll.BDH("ALNY US Equity","ARDR_OPTIONS_CANCELLED_FORFEITED","FQ2 2019","FQ2 2019","Currency=USD","Period=FQ","BEST_FPERIOD_OVERRIDE=FQ","FILING_STATUS=MR","SCALING_FORMAT=MLN","Sort=A","Dates=H","DateFormat=P","Fill=—","Direction=H","UseDPDF=Y")</f>
        <v>—</v>
      </c>
      <c r="F116" s="13" t="str">
        <f>_xll.BDH("ALNY US Equity","ARDR_OPTIONS_CANCELLED_FORFEITED","FQ3 2019","FQ3 2019","Currency=USD","Period=FQ","BEST_FPERIOD_OVERRIDE=FQ","FILING_STATUS=MR","SCALING_FORMAT=MLN","Sort=A","Dates=H","DateFormat=P","Fill=—","Direction=H","UseDPDF=Y")</f>
        <v>—</v>
      </c>
      <c r="G116" s="13" t="str">
        <f>_xll.BDH("ALNY US Equity","ARDR_OPTIONS_CANCELLED_FORFEITED","FQ4 2019","FQ4 2019","Currency=USD","Period=FQ","BEST_FPERIOD_OVERRIDE=FQ","FILING_STATUS=MR","SCALING_FORMAT=MLN","Sort=A","Dates=H","DateFormat=P","Fill=—","Direction=H","UseDPDF=Y")</f>
        <v>—</v>
      </c>
      <c r="H116" s="13" t="str">
        <f>_xll.BDH("ALNY US Equity","ARDR_OPTIONS_CANCELLED_FORFEITED","FQ1 2020","FQ1 2020","Currency=USD","Period=FQ","BEST_FPERIOD_OVERRIDE=FQ","FILING_STATUS=MR","SCALING_FORMAT=MLN","Sort=A","Dates=H","DateFormat=P","Fill=—","Direction=H","UseDPDF=Y")</f>
        <v>—</v>
      </c>
      <c r="I116" s="13" t="str">
        <f>_xll.BDH("ALNY US Equity","ARDR_OPTIONS_CANCELLED_FORFEITED","FQ2 2020","FQ2 2020","Currency=USD","Period=FQ","BEST_FPERIOD_OVERRIDE=FQ","FILING_STATUS=MR","SCALING_FORMAT=MLN","Sort=A","Dates=H","DateFormat=P","Fill=—","Direction=H","UseDPDF=Y")</f>
        <v>—</v>
      </c>
      <c r="J116" s="13" t="str">
        <f>_xll.BDH("ALNY US Equity","ARDR_OPTIONS_CANCELLED_FORFEITED","FQ3 2020","FQ3 2020","Currency=USD","Period=FQ","BEST_FPERIOD_OVERRIDE=FQ","FILING_STATUS=MR","SCALING_FORMAT=MLN","Sort=A","Dates=H","DateFormat=P","Fill=—","Direction=H","UseDPDF=Y")</f>
        <v>—</v>
      </c>
      <c r="K116" s="13" t="str">
        <f>_xll.BDH("ALNY US Equity","ARDR_OPTIONS_CANCELLED_FORFEITED","FQ4 2020","FQ4 2020","Currency=USD","Period=FQ","BEST_FPERIOD_OVERRIDE=FQ","FILING_STATUS=MR","SCALING_FORMAT=MLN","Sort=A","Dates=H","DateFormat=P","Fill=—","Direction=H","UseDPDF=Y")</f>
        <v>—</v>
      </c>
      <c r="L116" s="13" t="str">
        <f>_xll.BDH("ALNY US Equity","ARDR_OPTIONS_CANCELLED_FORFEITED","FQ1 2021","FQ1 2021","Currency=USD","Period=FQ","BEST_FPERIOD_OVERRIDE=FQ","FILING_STATUS=MR","SCALING_FORMAT=MLN","Sort=A","Dates=H","DateFormat=P","Fill=—","Direction=H","UseDPDF=Y")</f>
        <v>—</v>
      </c>
      <c r="M116" s="13" t="str">
        <f>_xll.BDH("ALNY US Equity","ARDR_OPTIONS_CANCELLED_FORFEITED","FQ2 2021","FQ2 2021","Currency=USD","Period=FQ","BEST_FPERIOD_OVERRIDE=FQ","FILING_STATUS=MR","SCALING_FORMAT=MLN","Sort=A","Dates=H","DateFormat=P","Fill=—","Direction=H","UseDPDF=Y")</f>
        <v>—</v>
      </c>
      <c r="N116" s="13" t="str">
        <f>_xll.BDH("ALNY US Equity","ARDR_OPTIONS_CANCELLED_FORFEITED","FQ3 2021","FQ3 2021","Currency=USD","Period=FQ","BEST_FPERIOD_OVERRIDE=FQ","FILING_STATUS=MR","SCALING_FORMAT=MLN","Sort=A","Dates=H","DateFormat=P","Fill=—","Direction=H","UseDPDF=Y")</f>
        <v>—</v>
      </c>
      <c r="O116" s="13">
        <f>_xll.BDH("ALNY US Equity","ARDR_OPTIONS_CANCELLED_FORFEITED","FQ4 2021","FQ4 2021","Currency=USD","Period=FQ","BEST_FPERIOD_OVERRIDE=FQ","FILING_STATUS=MR","SCALING_FORMAT=MLN","Sort=A","Dates=H","DateFormat=P","Fill=—","Direction=H","UseDPDF=Y")</f>
        <v>0.58699999999999997</v>
      </c>
      <c r="P116" s="13" t="str">
        <f>_xll.BDH("ALNY US Equity","ARDR_OPTIONS_CANCELLED_FORFEITED","FQ1 2022","FQ1 2022","Currency=USD","Period=FQ","BEST_FPERIOD_OVERRIDE=FQ","FILING_STATUS=MR","SCALING_FORMAT=MLN","Sort=A","Dates=H","DateFormat=P","Fill=—","Direction=H","UseDPDF=Y")</f>
        <v>—</v>
      </c>
      <c r="Q116" s="13" t="str">
        <f>_xll.BDH("ALNY US Equity","ARDR_OPTIONS_CANCELLED_FORFEITED","FQ2 2022","FQ2 2022","Currency=USD","Period=FQ","BEST_FPERIOD_OVERRIDE=FQ","FILING_STATUS=MR","SCALING_FORMAT=MLN","Sort=A","Dates=H","DateFormat=P","Fill=—","Direction=H","UseDPDF=Y")</f>
        <v>—</v>
      </c>
      <c r="R116" s="13" t="str">
        <f>_xll.BDH("ALNY US Equity","ARDR_OPTIONS_CANCELLED_FORFEITED","FQ3 2022","FQ3 2022","Currency=USD","Period=FQ","BEST_FPERIOD_OVERRIDE=FQ","FILING_STATUS=MR","SCALING_FORMAT=MLN","Sort=A","Dates=H","DateFormat=P","Fill=—","Direction=H","UseDPDF=Y")</f>
        <v>—</v>
      </c>
      <c r="S116" s="13" t="str">
        <f>_xll.BDH("ALNY US Equity","ARDR_OPTIONS_CANCELLED_FORFEITED","FQ4 2022","FQ4 2022","Currency=USD","Period=FQ","BEST_FPERIOD_OVERRIDE=FQ","FILING_STATUS=MR","SCALING_FORMAT=MLN","Sort=A","Dates=H","DateFormat=P","Fill=—","Direction=H","UseDPDF=Y")</f>
        <v>—</v>
      </c>
      <c r="T116" s="13" t="str">
        <f>_xll.BDH("ALNY US Equity","ARDR_OPTIONS_CANCELLED_FORFEITED","FQ1 2023","FQ1 2023","Currency=USD","Period=FQ","BEST_FPERIOD_OVERRIDE=FQ","FILING_STATUS=MR","SCALING_FORMAT=MLN","Sort=A","Dates=H","DateFormat=P","Fill=—","Direction=H","UseDPDF=Y")</f>
        <v>—</v>
      </c>
      <c r="U116" s="13" t="str">
        <f>_xll.BDH("ALNY US Equity","ARDR_OPTIONS_CANCELLED_FORFEITED","FQ2 2023","FQ2 2023","Currency=USD","Period=FQ","BEST_FPERIOD_OVERRIDE=FQ","FILING_STATUS=MR","SCALING_FORMAT=MLN","Sort=A","Dates=H","DateFormat=P","Fill=—","Direction=H","UseDPDF=Y")</f>
        <v>—</v>
      </c>
      <c r="V116" s="13" t="str">
        <f>_xll.BDH("ALNY US Equity","ARDR_OPTIONS_CANCELLED_FORFEITED","FQ3 2023","FQ3 2023","Currency=USD","Period=FQ","BEST_FPERIOD_OVERRIDE=FQ","FILING_STATUS=MR","SCALING_FORMAT=MLN","Sort=A","Dates=H","DateFormat=P","Fill=—","Direction=H","UseDPDF=Y")</f>
        <v>—</v>
      </c>
      <c r="W116" s="13" t="str">
        <f>_xll.BDH("ALNY US Equity","ARDR_OPTIONS_CANCELLED_FORFEITED","FQ4 2023","FQ4 2023","Currency=USD","Period=FQ","BEST_FPERIOD_OVERRIDE=FQ","FILING_STATUS=MR","SCALING_FORMAT=MLN","Sort=A","Dates=H","DateFormat=P","Fill=—","Direction=H","UseDPDF=Y")</f>
        <v>—</v>
      </c>
      <c r="X116" s="13" t="str">
        <f>_xll.BDH("ALNY US Equity","ARDR_OPTIONS_CANCELLED_FORFEITED","FQ1 2024","FQ1 2024","Currency=USD","Period=FQ","BEST_FPERIOD_OVERRIDE=FQ","FILING_STATUS=MR","SCALING_FORMAT=MLN","Sort=A","Dates=H","DateFormat=P","Fill=—","Direction=H","UseDPDF=Y")</f>
        <v>—</v>
      </c>
      <c r="Y116" s="13" t="str">
        <f>_xll.BDH("ALNY US Equity","ARDR_OPTIONS_CANCELLED_FORFEITED","FQ2 2024","FQ2 2024","Currency=USD","Period=FQ","BEST_FPERIOD_OVERRIDE=FQ","FILING_STATUS=MR","SCALING_FORMAT=MLN","Sort=A","Dates=H","DateFormat=P","Fill=—","Direction=H","UseDPDF=Y")</f>
        <v>—</v>
      </c>
      <c r="Z116" s="13" t="str">
        <f>_xll.BDH("ALNY US Equity","ARDR_OPTIONS_CANCELLED_FORFEITED","FQ3 2024","FQ3 2024","Currency=USD","Period=FQ","BEST_FPERIOD_OVERRIDE=FQ","FILING_STATUS=MR","SCALING_FORMAT=MLN","Sort=A","Dates=H","DateFormat=P","Fill=—","Direction=H","UseDPDF=Y")</f>
        <v>—</v>
      </c>
      <c r="AA116" s="13" t="str">
        <f>_xll.BDH("ALNY US Equity","ARDR_OPTIONS_CANCELLED_FORFEITED","FQ4 2024","FQ4 2024","Currency=USD","Period=FQ","BEST_FPERIOD_OVERRIDE=FQ","FILING_STATUS=MR","SCALING_FORMAT=MLN","Sort=A","Dates=H","DateFormat=P","Fill=—","Direction=H","UseDPDF=Y")</f>
        <v>—</v>
      </c>
    </row>
    <row r="117" spans="1:27" x14ac:dyDescent="0.25">
      <c r="A117" s="10" t="s">
        <v>1015</v>
      </c>
      <c r="B117" s="10" t="s">
        <v>1016</v>
      </c>
      <c r="C117" s="13">
        <f>_xll.BDH("ALNY US Equity","ARDR_CONTRACTUAL_OBLIG_YEAR_1","FQ4 2018","FQ4 2018","Currency=USD","Period=FQ","BEST_FPERIOD_OVERRIDE=FQ","FILING_STATUS=MR","SCALING_FORMAT=MLN","Sort=A","Dates=H","DateFormat=P","Fill=—","Direction=H","UseDPDF=Y")</f>
        <v>34.584000000000003</v>
      </c>
      <c r="D117" s="13" t="str">
        <f>_xll.BDH("ALNY US Equity","ARDR_CONTRACTUAL_OBLIG_YEAR_1","FQ1 2019","FQ1 2019","Currency=USD","Period=FQ","BEST_FPERIOD_OVERRIDE=FQ","FILING_STATUS=MR","SCALING_FORMAT=MLN","Sort=A","Dates=H","DateFormat=P","Fill=—","Direction=H","UseDPDF=Y")</f>
        <v>—</v>
      </c>
      <c r="E117" s="13" t="str">
        <f>_xll.BDH("ALNY US Equity","ARDR_CONTRACTUAL_OBLIG_YEAR_1","FQ2 2019","FQ2 2019","Currency=USD","Period=FQ","BEST_FPERIOD_OVERRIDE=FQ","FILING_STATUS=MR","SCALING_FORMAT=MLN","Sort=A","Dates=H","DateFormat=P","Fill=—","Direction=H","UseDPDF=Y")</f>
        <v>—</v>
      </c>
      <c r="F117" s="13" t="str">
        <f>_xll.BDH("ALNY US Equity","ARDR_CONTRACTUAL_OBLIG_YEAR_1","FQ3 2019","FQ3 2019","Currency=USD","Period=FQ","BEST_FPERIOD_OVERRIDE=FQ","FILING_STATUS=MR","SCALING_FORMAT=MLN","Sort=A","Dates=H","DateFormat=P","Fill=—","Direction=H","UseDPDF=Y")</f>
        <v>—</v>
      </c>
      <c r="G117" s="13">
        <f>_xll.BDH("ALNY US Equity","ARDR_CONTRACTUAL_OBLIG_YEAR_1","FQ4 2019","FQ4 2019","Currency=USD","Period=FQ","BEST_FPERIOD_OVERRIDE=FQ","FILING_STATUS=MR","SCALING_FORMAT=MLN","Sort=A","Dates=H","DateFormat=P","Fill=—","Direction=H","UseDPDF=Y")</f>
        <v>29.952000000000002</v>
      </c>
      <c r="H117" s="13" t="str">
        <f>_xll.BDH("ALNY US Equity","ARDR_CONTRACTUAL_OBLIG_YEAR_1","FQ1 2020","FQ1 2020","Currency=USD","Period=FQ","BEST_FPERIOD_OVERRIDE=FQ","FILING_STATUS=MR","SCALING_FORMAT=MLN","Sort=A","Dates=H","DateFormat=P","Fill=—","Direction=H","UseDPDF=Y")</f>
        <v>—</v>
      </c>
      <c r="I117" s="13" t="str">
        <f>_xll.BDH("ALNY US Equity","ARDR_CONTRACTUAL_OBLIG_YEAR_1","FQ2 2020","FQ2 2020","Currency=USD","Period=FQ","BEST_FPERIOD_OVERRIDE=FQ","FILING_STATUS=MR","SCALING_FORMAT=MLN","Sort=A","Dates=H","DateFormat=P","Fill=—","Direction=H","UseDPDF=Y")</f>
        <v>—</v>
      </c>
      <c r="J117" s="13" t="str">
        <f>_xll.BDH("ALNY US Equity","ARDR_CONTRACTUAL_OBLIG_YEAR_1","FQ3 2020","FQ3 2020","Currency=USD","Period=FQ","BEST_FPERIOD_OVERRIDE=FQ","FILING_STATUS=MR","SCALING_FORMAT=MLN","Sort=A","Dates=H","DateFormat=P","Fill=—","Direction=H","UseDPDF=Y")</f>
        <v>—</v>
      </c>
      <c r="K117" s="13">
        <f>_xll.BDH("ALNY US Equity","ARDR_CONTRACTUAL_OBLIG_YEAR_1","FQ4 2020","FQ4 2020","Currency=USD","Period=FQ","BEST_FPERIOD_OVERRIDE=FQ","FILING_STATUS=MR","SCALING_FORMAT=MLN","Sort=A","Dates=H","DateFormat=P","Fill=—","Direction=H","UseDPDF=Y")</f>
        <v>38.593000000000004</v>
      </c>
      <c r="L117" s="13" t="str">
        <f>_xll.BDH("ALNY US Equity","ARDR_CONTRACTUAL_OBLIG_YEAR_1","FQ1 2021","FQ1 2021","Currency=USD","Period=FQ","BEST_FPERIOD_OVERRIDE=FQ","FILING_STATUS=MR","SCALING_FORMAT=MLN","Sort=A","Dates=H","DateFormat=P","Fill=—","Direction=H","UseDPDF=Y")</f>
        <v>—</v>
      </c>
      <c r="M117" s="13" t="str">
        <f>_xll.BDH("ALNY US Equity","ARDR_CONTRACTUAL_OBLIG_YEAR_1","FQ2 2021","FQ2 2021","Currency=USD","Period=FQ","BEST_FPERIOD_OVERRIDE=FQ","FILING_STATUS=MR","SCALING_FORMAT=MLN","Sort=A","Dates=H","DateFormat=P","Fill=—","Direction=H","UseDPDF=Y")</f>
        <v>—</v>
      </c>
      <c r="N117" s="13" t="str">
        <f>_xll.BDH("ALNY US Equity","ARDR_CONTRACTUAL_OBLIG_YEAR_1","FQ3 2021","FQ3 2021","Currency=USD","Period=FQ","BEST_FPERIOD_OVERRIDE=FQ","FILING_STATUS=MR","SCALING_FORMAT=MLN","Sort=A","Dates=H","DateFormat=P","Fill=—","Direction=H","UseDPDF=Y")</f>
        <v>—</v>
      </c>
      <c r="O117" s="13" t="str">
        <f>_xll.BDH("ALNY US Equity","ARDR_CONTRACTUAL_OBLIG_YEAR_1","FQ4 2021","FQ4 2021","Currency=USD","Period=FQ","BEST_FPERIOD_OVERRIDE=FQ","FILING_STATUS=MR","SCALING_FORMAT=MLN","Sort=A","Dates=H","DateFormat=P","Fill=—","Direction=H","UseDPDF=Y")</f>
        <v>—</v>
      </c>
      <c r="P117" s="13" t="str">
        <f>_xll.BDH("ALNY US Equity","ARDR_CONTRACTUAL_OBLIG_YEAR_1","FQ1 2022","FQ1 2022","Currency=USD","Period=FQ","BEST_FPERIOD_OVERRIDE=FQ","FILING_STATUS=MR","SCALING_FORMAT=MLN","Sort=A","Dates=H","DateFormat=P","Fill=—","Direction=H","UseDPDF=Y")</f>
        <v>—</v>
      </c>
      <c r="Q117" s="13" t="str">
        <f>_xll.BDH("ALNY US Equity","ARDR_CONTRACTUAL_OBLIG_YEAR_1","FQ2 2022","FQ2 2022","Currency=USD","Period=FQ","BEST_FPERIOD_OVERRIDE=FQ","FILING_STATUS=MR","SCALING_FORMAT=MLN","Sort=A","Dates=H","DateFormat=P","Fill=—","Direction=H","UseDPDF=Y")</f>
        <v>—</v>
      </c>
      <c r="R117" s="13" t="str">
        <f>_xll.BDH("ALNY US Equity","ARDR_CONTRACTUAL_OBLIG_YEAR_1","FQ3 2022","FQ3 2022","Currency=USD","Period=FQ","BEST_FPERIOD_OVERRIDE=FQ","FILING_STATUS=MR","SCALING_FORMAT=MLN","Sort=A","Dates=H","DateFormat=P","Fill=—","Direction=H","UseDPDF=Y")</f>
        <v>—</v>
      </c>
      <c r="S117" s="13" t="str">
        <f>_xll.BDH("ALNY US Equity","ARDR_CONTRACTUAL_OBLIG_YEAR_1","FQ4 2022","FQ4 2022","Currency=USD","Period=FQ","BEST_FPERIOD_OVERRIDE=FQ","FILING_STATUS=MR","SCALING_FORMAT=MLN","Sort=A","Dates=H","DateFormat=P","Fill=—","Direction=H","UseDPDF=Y")</f>
        <v>—</v>
      </c>
      <c r="T117" s="13" t="str">
        <f>_xll.BDH("ALNY US Equity","ARDR_CONTRACTUAL_OBLIG_YEAR_1","FQ1 2023","FQ1 2023","Currency=USD","Period=FQ","BEST_FPERIOD_OVERRIDE=FQ","FILING_STATUS=MR","SCALING_FORMAT=MLN","Sort=A","Dates=H","DateFormat=P","Fill=—","Direction=H","UseDPDF=Y")</f>
        <v>—</v>
      </c>
      <c r="U117" s="13" t="str">
        <f>_xll.BDH("ALNY US Equity","ARDR_CONTRACTUAL_OBLIG_YEAR_1","FQ2 2023","FQ2 2023","Currency=USD","Period=FQ","BEST_FPERIOD_OVERRIDE=FQ","FILING_STATUS=MR","SCALING_FORMAT=MLN","Sort=A","Dates=H","DateFormat=P","Fill=—","Direction=H","UseDPDF=Y")</f>
        <v>—</v>
      </c>
      <c r="V117" s="13" t="str">
        <f>_xll.BDH("ALNY US Equity","ARDR_CONTRACTUAL_OBLIG_YEAR_1","FQ3 2023","FQ3 2023","Currency=USD","Period=FQ","BEST_FPERIOD_OVERRIDE=FQ","FILING_STATUS=MR","SCALING_FORMAT=MLN","Sort=A","Dates=H","DateFormat=P","Fill=—","Direction=H","UseDPDF=Y")</f>
        <v>—</v>
      </c>
      <c r="W117" s="13" t="str">
        <f>_xll.BDH("ALNY US Equity","ARDR_CONTRACTUAL_OBLIG_YEAR_1","FQ4 2023","FQ4 2023","Currency=USD","Period=FQ","BEST_FPERIOD_OVERRIDE=FQ","FILING_STATUS=MR","SCALING_FORMAT=MLN","Sort=A","Dates=H","DateFormat=P","Fill=—","Direction=H","UseDPDF=Y")</f>
        <v>—</v>
      </c>
      <c r="X117" s="13" t="str">
        <f>_xll.BDH("ALNY US Equity","ARDR_CONTRACTUAL_OBLIG_YEAR_1","FQ1 2024","FQ1 2024","Currency=USD","Period=FQ","BEST_FPERIOD_OVERRIDE=FQ","FILING_STATUS=MR","SCALING_FORMAT=MLN","Sort=A","Dates=H","DateFormat=P","Fill=—","Direction=H","UseDPDF=Y")</f>
        <v>—</v>
      </c>
      <c r="Y117" s="13" t="str">
        <f>_xll.BDH("ALNY US Equity","ARDR_CONTRACTUAL_OBLIG_YEAR_1","FQ2 2024","FQ2 2024","Currency=USD","Period=FQ","BEST_FPERIOD_OVERRIDE=FQ","FILING_STATUS=MR","SCALING_FORMAT=MLN","Sort=A","Dates=H","DateFormat=P","Fill=—","Direction=H","UseDPDF=Y")</f>
        <v>—</v>
      </c>
      <c r="Z117" s="13" t="str">
        <f>_xll.BDH("ALNY US Equity","ARDR_CONTRACTUAL_OBLIG_YEAR_1","FQ3 2024","FQ3 2024","Currency=USD","Period=FQ","BEST_FPERIOD_OVERRIDE=FQ","FILING_STATUS=MR","SCALING_FORMAT=MLN","Sort=A","Dates=H","DateFormat=P","Fill=—","Direction=H","UseDPDF=Y")</f>
        <v>—</v>
      </c>
      <c r="AA117" s="13" t="str">
        <f>_xll.BDH("ALNY US Equity","ARDR_CONTRACTUAL_OBLIG_YEAR_1","FQ4 2024","FQ4 2024","Currency=USD","Period=FQ","BEST_FPERIOD_OVERRIDE=FQ","FILING_STATUS=MR","SCALING_FORMAT=MLN","Sort=A","Dates=H","DateFormat=P","Fill=—","Direction=H","UseDPDF=Y")</f>
        <v>—</v>
      </c>
    </row>
    <row r="118" spans="1:27" x14ac:dyDescent="0.25">
      <c r="A118" s="10" t="s">
        <v>1017</v>
      </c>
      <c r="B118" s="10" t="s">
        <v>1018</v>
      </c>
      <c r="C118" s="13">
        <f>_xll.BDH("ALNY US Equity","ARDR_CONTRACTUAL_OBLIG_YEAR_2_3","FQ4 2018","FQ4 2018","Currency=USD","Period=FQ","BEST_FPERIOD_OVERRIDE=FQ","FILING_STATUS=MR","SCALING_FORMAT=MLN","Sort=A","Dates=H","DateFormat=P","Fill=—","Direction=H","UseDPDF=Y")</f>
        <v>102.053</v>
      </c>
      <c r="D118" s="13" t="str">
        <f>_xll.BDH("ALNY US Equity","ARDR_CONTRACTUAL_OBLIG_YEAR_2_3","FQ1 2019","FQ1 2019","Currency=USD","Period=FQ","BEST_FPERIOD_OVERRIDE=FQ","FILING_STATUS=MR","SCALING_FORMAT=MLN","Sort=A","Dates=H","DateFormat=P","Fill=—","Direction=H","UseDPDF=Y")</f>
        <v>—</v>
      </c>
      <c r="E118" s="13" t="str">
        <f>_xll.BDH("ALNY US Equity","ARDR_CONTRACTUAL_OBLIG_YEAR_2_3","FQ2 2019","FQ2 2019","Currency=USD","Period=FQ","BEST_FPERIOD_OVERRIDE=FQ","FILING_STATUS=MR","SCALING_FORMAT=MLN","Sort=A","Dates=H","DateFormat=P","Fill=—","Direction=H","UseDPDF=Y")</f>
        <v>—</v>
      </c>
      <c r="F118" s="13" t="str">
        <f>_xll.BDH("ALNY US Equity","ARDR_CONTRACTUAL_OBLIG_YEAR_2_3","FQ3 2019","FQ3 2019","Currency=USD","Period=FQ","BEST_FPERIOD_OVERRIDE=FQ","FILING_STATUS=MR","SCALING_FORMAT=MLN","Sort=A","Dates=H","DateFormat=P","Fill=—","Direction=H","UseDPDF=Y")</f>
        <v>—</v>
      </c>
      <c r="G118" s="13">
        <f>_xll.BDH("ALNY US Equity","ARDR_CONTRACTUAL_OBLIG_YEAR_2_3","FQ4 2019","FQ4 2019","Currency=USD","Period=FQ","BEST_FPERIOD_OVERRIDE=FQ","FILING_STATUS=MR","SCALING_FORMAT=MLN","Sort=A","Dates=H","DateFormat=P","Fill=—","Direction=H","UseDPDF=Y")</f>
        <v>76.641000000000005</v>
      </c>
      <c r="H118" s="13" t="str">
        <f>_xll.BDH("ALNY US Equity","ARDR_CONTRACTUAL_OBLIG_YEAR_2_3","FQ1 2020","FQ1 2020","Currency=USD","Period=FQ","BEST_FPERIOD_OVERRIDE=FQ","FILING_STATUS=MR","SCALING_FORMAT=MLN","Sort=A","Dates=H","DateFormat=P","Fill=—","Direction=H","UseDPDF=Y")</f>
        <v>—</v>
      </c>
      <c r="I118" s="13" t="str">
        <f>_xll.BDH("ALNY US Equity","ARDR_CONTRACTUAL_OBLIG_YEAR_2_3","FQ2 2020","FQ2 2020","Currency=USD","Period=FQ","BEST_FPERIOD_OVERRIDE=FQ","FILING_STATUS=MR","SCALING_FORMAT=MLN","Sort=A","Dates=H","DateFormat=P","Fill=—","Direction=H","UseDPDF=Y")</f>
        <v>—</v>
      </c>
      <c r="J118" s="13" t="str">
        <f>_xll.BDH("ALNY US Equity","ARDR_CONTRACTUAL_OBLIG_YEAR_2_3","FQ3 2020","FQ3 2020","Currency=USD","Period=FQ","BEST_FPERIOD_OVERRIDE=FQ","FILING_STATUS=MR","SCALING_FORMAT=MLN","Sort=A","Dates=H","DateFormat=P","Fill=—","Direction=H","UseDPDF=Y")</f>
        <v>—</v>
      </c>
      <c r="K118" s="13">
        <f>_xll.BDH("ALNY US Equity","ARDR_CONTRACTUAL_OBLIG_YEAR_2_3","FQ4 2020","FQ4 2020","Currency=USD","Period=FQ","BEST_FPERIOD_OVERRIDE=FQ","FILING_STATUS=MR","SCALING_FORMAT=MLN","Sort=A","Dates=H","DateFormat=P","Fill=—","Direction=H","UseDPDF=Y")</f>
        <v>90.156000000000006</v>
      </c>
      <c r="L118" s="13" t="str">
        <f>_xll.BDH("ALNY US Equity","ARDR_CONTRACTUAL_OBLIG_YEAR_2_3","FQ1 2021","FQ1 2021","Currency=USD","Period=FQ","BEST_FPERIOD_OVERRIDE=FQ","FILING_STATUS=MR","SCALING_FORMAT=MLN","Sort=A","Dates=H","DateFormat=P","Fill=—","Direction=H","UseDPDF=Y")</f>
        <v>—</v>
      </c>
      <c r="M118" s="13" t="str">
        <f>_xll.BDH("ALNY US Equity","ARDR_CONTRACTUAL_OBLIG_YEAR_2_3","FQ2 2021","FQ2 2021","Currency=USD","Period=FQ","BEST_FPERIOD_OVERRIDE=FQ","FILING_STATUS=MR","SCALING_FORMAT=MLN","Sort=A","Dates=H","DateFormat=P","Fill=—","Direction=H","UseDPDF=Y")</f>
        <v>—</v>
      </c>
      <c r="N118" s="13" t="str">
        <f>_xll.BDH("ALNY US Equity","ARDR_CONTRACTUAL_OBLIG_YEAR_2_3","FQ3 2021","FQ3 2021","Currency=USD","Period=FQ","BEST_FPERIOD_OVERRIDE=FQ","FILING_STATUS=MR","SCALING_FORMAT=MLN","Sort=A","Dates=H","DateFormat=P","Fill=—","Direction=H","UseDPDF=Y")</f>
        <v>—</v>
      </c>
      <c r="O118" s="13" t="str">
        <f>_xll.BDH("ALNY US Equity","ARDR_CONTRACTUAL_OBLIG_YEAR_2_3","FQ4 2021","FQ4 2021","Currency=USD","Period=FQ","BEST_FPERIOD_OVERRIDE=FQ","FILING_STATUS=MR","SCALING_FORMAT=MLN","Sort=A","Dates=H","DateFormat=P","Fill=—","Direction=H","UseDPDF=Y")</f>
        <v>—</v>
      </c>
      <c r="P118" s="13" t="str">
        <f>_xll.BDH("ALNY US Equity","ARDR_CONTRACTUAL_OBLIG_YEAR_2_3","FQ1 2022","FQ1 2022","Currency=USD","Period=FQ","BEST_FPERIOD_OVERRIDE=FQ","FILING_STATUS=MR","SCALING_FORMAT=MLN","Sort=A","Dates=H","DateFormat=P","Fill=—","Direction=H","UseDPDF=Y")</f>
        <v>—</v>
      </c>
      <c r="Q118" s="13" t="str">
        <f>_xll.BDH("ALNY US Equity","ARDR_CONTRACTUAL_OBLIG_YEAR_2_3","FQ2 2022","FQ2 2022","Currency=USD","Period=FQ","BEST_FPERIOD_OVERRIDE=FQ","FILING_STATUS=MR","SCALING_FORMAT=MLN","Sort=A","Dates=H","DateFormat=P","Fill=—","Direction=H","UseDPDF=Y")</f>
        <v>—</v>
      </c>
      <c r="R118" s="13" t="str">
        <f>_xll.BDH("ALNY US Equity","ARDR_CONTRACTUAL_OBLIG_YEAR_2_3","FQ3 2022","FQ3 2022","Currency=USD","Period=FQ","BEST_FPERIOD_OVERRIDE=FQ","FILING_STATUS=MR","SCALING_FORMAT=MLN","Sort=A","Dates=H","DateFormat=P","Fill=—","Direction=H","UseDPDF=Y")</f>
        <v>—</v>
      </c>
      <c r="S118" s="13" t="str">
        <f>_xll.BDH("ALNY US Equity","ARDR_CONTRACTUAL_OBLIG_YEAR_2_3","FQ4 2022","FQ4 2022","Currency=USD","Period=FQ","BEST_FPERIOD_OVERRIDE=FQ","FILING_STATUS=MR","SCALING_FORMAT=MLN","Sort=A","Dates=H","DateFormat=P","Fill=—","Direction=H","UseDPDF=Y")</f>
        <v>—</v>
      </c>
      <c r="T118" s="13" t="str">
        <f>_xll.BDH("ALNY US Equity","ARDR_CONTRACTUAL_OBLIG_YEAR_2_3","FQ1 2023","FQ1 2023","Currency=USD","Period=FQ","BEST_FPERIOD_OVERRIDE=FQ","FILING_STATUS=MR","SCALING_FORMAT=MLN","Sort=A","Dates=H","DateFormat=P","Fill=—","Direction=H","UseDPDF=Y")</f>
        <v>—</v>
      </c>
      <c r="U118" s="13" t="str">
        <f>_xll.BDH("ALNY US Equity","ARDR_CONTRACTUAL_OBLIG_YEAR_2_3","FQ2 2023","FQ2 2023","Currency=USD","Period=FQ","BEST_FPERIOD_OVERRIDE=FQ","FILING_STATUS=MR","SCALING_FORMAT=MLN","Sort=A","Dates=H","DateFormat=P","Fill=—","Direction=H","UseDPDF=Y")</f>
        <v>—</v>
      </c>
      <c r="V118" s="13" t="str">
        <f>_xll.BDH("ALNY US Equity","ARDR_CONTRACTUAL_OBLIG_YEAR_2_3","FQ3 2023","FQ3 2023","Currency=USD","Period=FQ","BEST_FPERIOD_OVERRIDE=FQ","FILING_STATUS=MR","SCALING_FORMAT=MLN","Sort=A","Dates=H","DateFormat=P","Fill=—","Direction=H","UseDPDF=Y")</f>
        <v>—</v>
      </c>
      <c r="W118" s="13" t="str">
        <f>_xll.BDH("ALNY US Equity","ARDR_CONTRACTUAL_OBLIG_YEAR_2_3","FQ4 2023","FQ4 2023","Currency=USD","Period=FQ","BEST_FPERIOD_OVERRIDE=FQ","FILING_STATUS=MR","SCALING_FORMAT=MLN","Sort=A","Dates=H","DateFormat=P","Fill=—","Direction=H","UseDPDF=Y")</f>
        <v>—</v>
      </c>
      <c r="X118" s="13" t="str">
        <f>_xll.BDH("ALNY US Equity","ARDR_CONTRACTUAL_OBLIG_YEAR_2_3","FQ1 2024","FQ1 2024","Currency=USD","Period=FQ","BEST_FPERIOD_OVERRIDE=FQ","FILING_STATUS=MR","SCALING_FORMAT=MLN","Sort=A","Dates=H","DateFormat=P","Fill=—","Direction=H","UseDPDF=Y")</f>
        <v>—</v>
      </c>
      <c r="Y118" s="13" t="str">
        <f>_xll.BDH("ALNY US Equity","ARDR_CONTRACTUAL_OBLIG_YEAR_2_3","FQ2 2024","FQ2 2024","Currency=USD","Period=FQ","BEST_FPERIOD_OVERRIDE=FQ","FILING_STATUS=MR","SCALING_FORMAT=MLN","Sort=A","Dates=H","DateFormat=P","Fill=—","Direction=H","UseDPDF=Y")</f>
        <v>—</v>
      </c>
      <c r="Z118" s="13" t="str">
        <f>_xll.BDH("ALNY US Equity","ARDR_CONTRACTUAL_OBLIG_YEAR_2_3","FQ3 2024","FQ3 2024","Currency=USD","Period=FQ","BEST_FPERIOD_OVERRIDE=FQ","FILING_STATUS=MR","SCALING_FORMAT=MLN","Sort=A","Dates=H","DateFormat=P","Fill=—","Direction=H","UseDPDF=Y")</f>
        <v>—</v>
      </c>
      <c r="AA118" s="13" t="str">
        <f>_xll.BDH("ALNY US Equity","ARDR_CONTRACTUAL_OBLIG_YEAR_2_3","FQ4 2024","FQ4 2024","Currency=USD","Period=FQ","BEST_FPERIOD_OVERRIDE=FQ","FILING_STATUS=MR","SCALING_FORMAT=MLN","Sort=A","Dates=H","DateFormat=P","Fill=—","Direction=H","UseDPDF=Y")</f>
        <v>—</v>
      </c>
    </row>
    <row r="119" spans="1:27" x14ac:dyDescent="0.25">
      <c r="A119" s="10" t="s">
        <v>1019</v>
      </c>
      <c r="B119" s="10" t="s">
        <v>1020</v>
      </c>
      <c r="C119" s="13">
        <f>_xll.BDH("ALNY US Equity","ARDR_CONTRACTUAL_OBLIG_YEAR_4_5","FQ4 2018","FQ4 2018","Currency=USD","Period=FQ","BEST_FPERIOD_OVERRIDE=FQ","FILING_STATUS=MR","SCALING_FORMAT=MLN","Sort=A","Dates=H","DateFormat=P","Fill=—","Direction=H","UseDPDF=Y")</f>
        <v>71.165999999999997</v>
      </c>
      <c r="D119" s="13" t="str">
        <f>_xll.BDH("ALNY US Equity","ARDR_CONTRACTUAL_OBLIG_YEAR_4_5","FQ1 2019","FQ1 2019","Currency=USD","Period=FQ","BEST_FPERIOD_OVERRIDE=FQ","FILING_STATUS=MR","SCALING_FORMAT=MLN","Sort=A","Dates=H","DateFormat=P","Fill=—","Direction=H","UseDPDF=Y")</f>
        <v>—</v>
      </c>
      <c r="E119" s="13" t="str">
        <f>_xll.BDH("ALNY US Equity","ARDR_CONTRACTUAL_OBLIG_YEAR_4_5","FQ2 2019","FQ2 2019","Currency=USD","Period=FQ","BEST_FPERIOD_OVERRIDE=FQ","FILING_STATUS=MR","SCALING_FORMAT=MLN","Sort=A","Dates=H","DateFormat=P","Fill=—","Direction=H","UseDPDF=Y")</f>
        <v>—</v>
      </c>
      <c r="F119" s="13" t="str">
        <f>_xll.BDH("ALNY US Equity","ARDR_CONTRACTUAL_OBLIG_YEAR_4_5","FQ3 2019","FQ3 2019","Currency=USD","Period=FQ","BEST_FPERIOD_OVERRIDE=FQ","FILING_STATUS=MR","SCALING_FORMAT=MLN","Sort=A","Dates=H","DateFormat=P","Fill=—","Direction=H","UseDPDF=Y")</f>
        <v>—</v>
      </c>
      <c r="G119" s="13">
        <f>_xll.BDH("ALNY US Equity","ARDR_CONTRACTUAL_OBLIG_YEAR_4_5","FQ4 2019","FQ4 2019","Currency=USD","Period=FQ","BEST_FPERIOD_OVERRIDE=FQ","FILING_STATUS=MR","SCALING_FORMAT=MLN","Sort=A","Dates=H","DateFormat=P","Fill=—","Direction=H","UseDPDF=Y")</f>
        <v>72.230999999999995</v>
      </c>
      <c r="H119" s="13" t="str">
        <f>_xll.BDH("ALNY US Equity","ARDR_CONTRACTUAL_OBLIG_YEAR_4_5","FQ1 2020","FQ1 2020","Currency=USD","Period=FQ","BEST_FPERIOD_OVERRIDE=FQ","FILING_STATUS=MR","SCALING_FORMAT=MLN","Sort=A","Dates=H","DateFormat=P","Fill=—","Direction=H","UseDPDF=Y")</f>
        <v>—</v>
      </c>
      <c r="I119" s="13" t="str">
        <f>_xll.BDH("ALNY US Equity","ARDR_CONTRACTUAL_OBLIG_YEAR_4_5","FQ2 2020","FQ2 2020","Currency=USD","Period=FQ","BEST_FPERIOD_OVERRIDE=FQ","FILING_STATUS=MR","SCALING_FORMAT=MLN","Sort=A","Dates=H","DateFormat=P","Fill=—","Direction=H","UseDPDF=Y")</f>
        <v>—</v>
      </c>
      <c r="J119" s="13" t="str">
        <f>_xll.BDH("ALNY US Equity","ARDR_CONTRACTUAL_OBLIG_YEAR_4_5","FQ3 2020","FQ3 2020","Currency=USD","Period=FQ","BEST_FPERIOD_OVERRIDE=FQ","FILING_STATUS=MR","SCALING_FORMAT=MLN","Sort=A","Dates=H","DateFormat=P","Fill=—","Direction=H","UseDPDF=Y")</f>
        <v>—</v>
      </c>
      <c r="K119" s="13">
        <f>_xll.BDH("ALNY US Equity","ARDR_CONTRACTUAL_OBLIG_YEAR_4_5","FQ4 2020","FQ4 2020","Currency=USD","Period=FQ","BEST_FPERIOD_OVERRIDE=FQ","FILING_STATUS=MR","SCALING_FORMAT=MLN","Sort=A","Dates=H","DateFormat=P","Fill=—","Direction=H","UseDPDF=Y")</f>
        <v>84.108000000000004</v>
      </c>
      <c r="L119" s="13" t="str">
        <f>_xll.BDH("ALNY US Equity","ARDR_CONTRACTUAL_OBLIG_YEAR_4_5","FQ1 2021","FQ1 2021","Currency=USD","Period=FQ","BEST_FPERIOD_OVERRIDE=FQ","FILING_STATUS=MR","SCALING_FORMAT=MLN","Sort=A","Dates=H","DateFormat=P","Fill=—","Direction=H","UseDPDF=Y")</f>
        <v>—</v>
      </c>
      <c r="M119" s="13" t="str">
        <f>_xll.BDH("ALNY US Equity","ARDR_CONTRACTUAL_OBLIG_YEAR_4_5","FQ2 2021","FQ2 2021","Currency=USD","Period=FQ","BEST_FPERIOD_OVERRIDE=FQ","FILING_STATUS=MR","SCALING_FORMAT=MLN","Sort=A","Dates=H","DateFormat=P","Fill=—","Direction=H","UseDPDF=Y")</f>
        <v>—</v>
      </c>
      <c r="N119" s="13" t="str">
        <f>_xll.BDH("ALNY US Equity","ARDR_CONTRACTUAL_OBLIG_YEAR_4_5","FQ3 2021","FQ3 2021","Currency=USD","Period=FQ","BEST_FPERIOD_OVERRIDE=FQ","FILING_STATUS=MR","SCALING_FORMAT=MLN","Sort=A","Dates=H","DateFormat=P","Fill=—","Direction=H","UseDPDF=Y")</f>
        <v>—</v>
      </c>
      <c r="O119" s="13" t="str">
        <f>_xll.BDH("ALNY US Equity","ARDR_CONTRACTUAL_OBLIG_YEAR_4_5","FQ4 2021","FQ4 2021","Currency=USD","Period=FQ","BEST_FPERIOD_OVERRIDE=FQ","FILING_STATUS=MR","SCALING_FORMAT=MLN","Sort=A","Dates=H","DateFormat=P","Fill=—","Direction=H","UseDPDF=Y")</f>
        <v>—</v>
      </c>
      <c r="P119" s="13" t="str">
        <f>_xll.BDH("ALNY US Equity","ARDR_CONTRACTUAL_OBLIG_YEAR_4_5","FQ1 2022","FQ1 2022","Currency=USD","Period=FQ","BEST_FPERIOD_OVERRIDE=FQ","FILING_STATUS=MR","SCALING_FORMAT=MLN","Sort=A","Dates=H","DateFormat=P","Fill=—","Direction=H","UseDPDF=Y")</f>
        <v>—</v>
      </c>
      <c r="Q119" s="13" t="str">
        <f>_xll.BDH("ALNY US Equity","ARDR_CONTRACTUAL_OBLIG_YEAR_4_5","FQ2 2022","FQ2 2022","Currency=USD","Period=FQ","BEST_FPERIOD_OVERRIDE=FQ","FILING_STATUS=MR","SCALING_FORMAT=MLN","Sort=A","Dates=H","DateFormat=P","Fill=—","Direction=H","UseDPDF=Y")</f>
        <v>—</v>
      </c>
      <c r="R119" s="13" t="str">
        <f>_xll.BDH("ALNY US Equity","ARDR_CONTRACTUAL_OBLIG_YEAR_4_5","FQ3 2022","FQ3 2022","Currency=USD","Period=FQ","BEST_FPERIOD_OVERRIDE=FQ","FILING_STATUS=MR","SCALING_FORMAT=MLN","Sort=A","Dates=H","DateFormat=P","Fill=—","Direction=H","UseDPDF=Y")</f>
        <v>—</v>
      </c>
      <c r="S119" s="13" t="str">
        <f>_xll.BDH("ALNY US Equity","ARDR_CONTRACTUAL_OBLIG_YEAR_4_5","FQ4 2022","FQ4 2022","Currency=USD","Period=FQ","BEST_FPERIOD_OVERRIDE=FQ","FILING_STATUS=MR","SCALING_FORMAT=MLN","Sort=A","Dates=H","DateFormat=P","Fill=—","Direction=H","UseDPDF=Y")</f>
        <v>—</v>
      </c>
      <c r="T119" s="13" t="str">
        <f>_xll.BDH("ALNY US Equity","ARDR_CONTRACTUAL_OBLIG_YEAR_4_5","FQ1 2023","FQ1 2023","Currency=USD","Period=FQ","BEST_FPERIOD_OVERRIDE=FQ","FILING_STATUS=MR","SCALING_FORMAT=MLN","Sort=A","Dates=H","DateFormat=P","Fill=—","Direction=H","UseDPDF=Y")</f>
        <v>—</v>
      </c>
      <c r="U119" s="13" t="str">
        <f>_xll.BDH("ALNY US Equity","ARDR_CONTRACTUAL_OBLIG_YEAR_4_5","FQ2 2023","FQ2 2023","Currency=USD","Period=FQ","BEST_FPERIOD_OVERRIDE=FQ","FILING_STATUS=MR","SCALING_FORMAT=MLN","Sort=A","Dates=H","DateFormat=P","Fill=—","Direction=H","UseDPDF=Y")</f>
        <v>—</v>
      </c>
      <c r="V119" s="13" t="str">
        <f>_xll.BDH("ALNY US Equity","ARDR_CONTRACTUAL_OBLIG_YEAR_4_5","FQ3 2023","FQ3 2023","Currency=USD","Period=FQ","BEST_FPERIOD_OVERRIDE=FQ","FILING_STATUS=MR","SCALING_FORMAT=MLN","Sort=A","Dates=H","DateFormat=P","Fill=—","Direction=H","UseDPDF=Y")</f>
        <v>—</v>
      </c>
      <c r="W119" s="13" t="str">
        <f>_xll.BDH("ALNY US Equity","ARDR_CONTRACTUAL_OBLIG_YEAR_4_5","FQ4 2023","FQ4 2023","Currency=USD","Period=FQ","BEST_FPERIOD_OVERRIDE=FQ","FILING_STATUS=MR","SCALING_FORMAT=MLN","Sort=A","Dates=H","DateFormat=P","Fill=—","Direction=H","UseDPDF=Y")</f>
        <v>—</v>
      </c>
      <c r="X119" s="13" t="str">
        <f>_xll.BDH("ALNY US Equity","ARDR_CONTRACTUAL_OBLIG_YEAR_4_5","FQ1 2024","FQ1 2024","Currency=USD","Period=FQ","BEST_FPERIOD_OVERRIDE=FQ","FILING_STATUS=MR","SCALING_FORMAT=MLN","Sort=A","Dates=H","DateFormat=P","Fill=—","Direction=H","UseDPDF=Y")</f>
        <v>—</v>
      </c>
      <c r="Y119" s="13" t="str">
        <f>_xll.BDH("ALNY US Equity","ARDR_CONTRACTUAL_OBLIG_YEAR_4_5","FQ2 2024","FQ2 2024","Currency=USD","Period=FQ","BEST_FPERIOD_OVERRIDE=FQ","FILING_STATUS=MR","SCALING_FORMAT=MLN","Sort=A","Dates=H","DateFormat=P","Fill=—","Direction=H","UseDPDF=Y")</f>
        <v>—</v>
      </c>
      <c r="Z119" s="13" t="str">
        <f>_xll.BDH("ALNY US Equity","ARDR_CONTRACTUAL_OBLIG_YEAR_4_5","FQ3 2024","FQ3 2024","Currency=USD","Period=FQ","BEST_FPERIOD_OVERRIDE=FQ","FILING_STATUS=MR","SCALING_FORMAT=MLN","Sort=A","Dates=H","DateFormat=P","Fill=—","Direction=H","UseDPDF=Y")</f>
        <v>—</v>
      </c>
      <c r="AA119" s="13" t="str">
        <f>_xll.BDH("ALNY US Equity","ARDR_CONTRACTUAL_OBLIG_YEAR_4_5","FQ4 2024","FQ4 2024","Currency=USD","Period=FQ","BEST_FPERIOD_OVERRIDE=FQ","FILING_STATUS=MR","SCALING_FORMAT=MLN","Sort=A","Dates=H","DateFormat=P","Fill=—","Direction=H","UseDPDF=Y")</f>
        <v>—</v>
      </c>
    </row>
    <row r="120" spans="1:27" x14ac:dyDescent="0.25">
      <c r="A120" s="10" t="s">
        <v>1021</v>
      </c>
      <c r="B120" s="10" t="s">
        <v>1022</v>
      </c>
      <c r="C120" s="13">
        <f>_xll.BDH("ALNY US Equity","ARDR_CONT_OBLIG_BEYOND_YEAR_5","FQ4 2018","FQ4 2018","Currency=USD","Period=FQ","BEST_FPERIOD_OVERRIDE=FQ","FILING_STATUS=MR","SCALING_FORMAT=MLN","Sort=A","Dates=H","DateFormat=P","Fill=—","Direction=H","UseDPDF=Y")</f>
        <v>390.98</v>
      </c>
      <c r="D120" s="13" t="str">
        <f>_xll.BDH("ALNY US Equity","ARDR_CONT_OBLIG_BEYOND_YEAR_5","FQ1 2019","FQ1 2019","Currency=USD","Period=FQ","BEST_FPERIOD_OVERRIDE=FQ","FILING_STATUS=MR","SCALING_FORMAT=MLN","Sort=A","Dates=H","DateFormat=P","Fill=—","Direction=H","UseDPDF=Y")</f>
        <v>—</v>
      </c>
      <c r="E120" s="13" t="str">
        <f>_xll.BDH("ALNY US Equity","ARDR_CONT_OBLIG_BEYOND_YEAR_5","FQ2 2019","FQ2 2019","Currency=USD","Period=FQ","BEST_FPERIOD_OVERRIDE=FQ","FILING_STATUS=MR","SCALING_FORMAT=MLN","Sort=A","Dates=H","DateFormat=P","Fill=—","Direction=H","UseDPDF=Y")</f>
        <v>—</v>
      </c>
      <c r="F120" s="13" t="str">
        <f>_xll.BDH("ALNY US Equity","ARDR_CONT_OBLIG_BEYOND_YEAR_5","FQ3 2019","FQ3 2019","Currency=USD","Period=FQ","BEST_FPERIOD_OVERRIDE=FQ","FILING_STATUS=MR","SCALING_FORMAT=MLN","Sort=A","Dates=H","DateFormat=P","Fill=—","Direction=H","UseDPDF=Y")</f>
        <v>—</v>
      </c>
      <c r="G120" s="13">
        <f>_xll.BDH("ALNY US Equity","ARDR_CONT_OBLIG_BEYOND_YEAR_5","FQ4 2019","FQ4 2019","Currency=USD","Period=FQ","BEST_FPERIOD_OVERRIDE=FQ","FILING_STATUS=MR","SCALING_FORMAT=MLN","Sort=A","Dates=H","DateFormat=P","Fill=—","Direction=H","UseDPDF=Y")</f>
        <v>356.56700000000001</v>
      </c>
      <c r="H120" s="13" t="str">
        <f>_xll.BDH("ALNY US Equity","ARDR_CONT_OBLIG_BEYOND_YEAR_5","FQ1 2020","FQ1 2020","Currency=USD","Period=FQ","BEST_FPERIOD_OVERRIDE=FQ","FILING_STATUS=MR","SCALING_FORMAT=MLN","Sort=A","Dates=H","DateFormat=P","Fill=—","Direction=H","UseDPDF=Y")</f>
        <v>—</v>
      </c>
      <c r="I120" s="13" t="str">
        <f>_xll.BDH("ALNY US Equity","ARDR_CONT_OBLIG_BEYOND_YEAR_5","FQ2 2020","FQ2 2020","Currency=USD","Period=FQ","BEST_FPERIOD_OVERRIDE=FQ","FILING_STATUS=MR","SCALING_FORMAT=MLN","Sort=A","Dates=H","DateFormat=P","Fill=—","Direction=H","UseDPDF=Y")</f>
        <v>—</v>
      </c>
      <c r="J120" s="13" t="str">
        <f>_xll.BDH("ALNY US Equity","ARDR_CONT_OBLIG_BEYOND_YEAR_5","FQ3 2020","FQ3 2020","Currency=USD","Period=FQ","BEST_FPERIOD_OVERRIDE=FQ","FILING_STATUS=MR","SCALING_FORMAT=MLN","Sort=A","Dates=H","DateFormat=P","Fill=—","Direction=H","UseDPDF=Y")</f>
        <v>—</v>
      </c>
      <c r="K120" s="13">
        <f>_xll.BDH("ALNY US Equity","ARDR_CONT_OBLIG_BEYOND_YEAR_5","FQ4 2020","FQ4 2020","Currency=USD","Period=FQ","BEST_FPERIOD_OVERRIDE=FQ","FILING_STATUS=MR","SCALING_FORMAT=MLN","Sort=A","Dates=H","DateFormat=P","Fill=—","Direction=H","UseDPDF=Y")</f>
        <v>523.47299999999996</v>
      </c>
      <c r="L120" s="13" t="str">
        <f>_xll.BDH("ALNY US Equity","ARDR_CONT_OBLIG_BEYOND_YEAR_5","FQ1 2021","FQ1 2021","Currency=USD","Period=FQ","BEST_FPERIOD_OVERRIDE=FQ","FILING_STATUS=MR","SCALING_FORMAT=MLN","Sort=A","Dates=H","DateFormat=P","Fill=—","Direction=H","UseDPDF=Y")</f>
        <v>—</v>
      </c>
      <c r="M120" s="13" t="str">
        <f>_xll.BDH("ALNY US Equity","ARDR_CONT_OBLIG_BEYOND_YEAR_5","FQ2 2021","FQ2 2021","Currency=USD","Period=FQ","BEST_FPERIOD_OVERRIDE=FQ","FILING_STATUS=MR","SCALING_FORMAT=MLN","Sort=A","Dates=H","DateFormat=P","Fill=—","Direction=H","UseDPDF=Y")</f>
        <v>—</v>
      </c>
      <c r="N120" s="13" t="str">
        <f>_xll.BDH("ALNY US Equity","ARDR_CONT_OBLIG_BEYOND_YEAR_5","FQ3 2021","FQ3 2021","Currency=USD","Period=FQ","BEST_FPERIOD_OVERRIDE=FQ","FILING_STATUS=MR","SCALING_FORMAT=MLN","Sort=A","Dates=H","DateFormat=P","Fill=—","Direction=H","UseDPDF=Y")</f>
        <v>—</v>
      </c>
      <c r="O120" s="13" t="str">
        <f>_xll.BDH("ALNY US Equity","ARDR_CONT_OBLIG_BEYOND_YEAR_5","FQ4 2021","FQ4 2021","Currency=USD","Period=FQ","BEST_FPERIOD_OVERRIDE=FQ","FILING_STATUS=MR","SCALING_FORMAT=MLN","Sort=A","Dates=H","DateFormat=P","Fill=—","Direction=H","UseDPDF=Y")</f>
        <v>—</v>
      </c>
      <c r="P120" s="13" t="str">
        <f>_xll.BDH("ALNY US Equity","ARDR_CONT_OBLIG_BEYOND_YEAR_5","FQ1 2022","FQ1 2022","Currency=USD","Period=FQ","BEST_FPERIOD_OVERRIDE=FQ","FILING_STATUS=MR","SCALING_FORMAT=MLN","Sort=A","Dates=H","DateFormat=P","Fill=—","Direction=H","UseDPDF=Y")</f>
        <v>—</v>
      </c>
      <c r="Q120" s="13" t="str">
        <f>_xll.BDH("ALNY US Equity","ARDR_CONT_OBLIG_BEYOND_YEAR_5","FQ2 2022","FQ2 2022","Currency=USD","Period=FQ","BEST_FPERIOD_OVERRIDE=FQ","FILING_STATUS=MR","SCALING_FORMAT=MLN","Sort=A","Dates=H","DateFormat=P","Fill=—","Direction=H","UseDPDF=Y")</f>
        <v>—</v>
      </c>
      <c r="R120" s="13" t="str">
        <f>_xll.BDH("ALNY US Equity","ARDR_CONT_OBLIG_BEYOND_YEAR_5","FQ3 2022","FQ3 2022","Currency=USD","Period=FQ","BEST_FPERIOD_OVERRIDE=FQ","FILING_STATUS=MR","SCALING_FORMAT=MLN","Sort=A","Dates=H","DateFormat=P","Fill=—","Direction=H","UseDPDF=Y")</f>
        <v>—</v>
      </c>
      <c r="S120" s="13" t="str">
        <f>_xll.BDH("ALNY US Equity","ARDR_CONT_OBLIG_BEYOND_YEAR_5","FQ4 2022","FQ4 2022","Currency=USD","Period=FQ","BEST_FPERIOD_OVERRIDE=FQ","FILING_STATUS=MR","SCALING_FORMAT=MLN","Sort=A","Dates=H","DateFormat=P","Fill=—","Direction=H","UseDPDF=Y")</f>
        <v>—</v>
      </c>
      <c r="T120" s="13" t="str">
        <f>_xll.BDH("ALNY US Equity","ARDR_CONT_OBLIG_BEYOND_YEAR_5","FQ1 2023","FQ1 2023","Currency=USD","Period=FQ","BEST_FPERIOD_OVERRIDE=FQ","FILING_STATUS=MR","SCALING_FORMAT=MLN","Sort=A","Dates=H","DateFormat=P","Fill=—","Direction=H","UseDPDF=Y")</f>
        <v>—</v>
      </c>
      <c r="U120" s="13" t="str">
        <f>_xll.BDH("ALNY US Equity","ARDR_CONT_OBLIG_BEYOND_YEAR_5","FQ2 2023","FQ2 2023","Currency=USD","Period=FQ","BEST_FPERIOD_OVERRIDE=FQ","FILING_STATUS=MR","SCALING_FORMAT=MLN","Sort=A","Dates=H","DateFormat=P","Fill=—","Direction=H","UseDPDF=Y")</f>
        <v>—</v>
      </c>
      <c r="V120" s="13" t="str">
        <f>_xll.BDH("ALNY US Equity","ARDR_CONT_OBLIG_BEYOND_YEAR_5","FQ3 2023","FQ3 2023","Currency=USD","Period=FQ","BEST_FPERIOD_OVERRIDE=FQ","FILING_STATUS=MR","SCALING_FORMAT=MLN","Sort=A","Dates=H","DateFormat=P","Fill=—","Direction=H","UseDPDF=Y")</f>
        <v>—</v>
      </c>
      <c r="W120" s="13" t="str">
        <f>_xll.BDH("ALNY US Equity","ARDR_CONT_OBLIG_BEYOND_YEAR_5","FQ4 2023","FQ4 2023","Currency=USD","Period=FQ","BEST_FPERIOD_OVERRIDE=FQ","FILING_STATUS=MR","SCALING_FORMAT=MLN","Sort=A","Dates=H","DateFormat=P","Fill=—","Direction=H","UseDPDF=Y")</f>
        <v>—</v>
      </c>
      <c r="X120" s="13" t="str">
        <f>_xll.BDH("ALNY US Equity","ARDR_CONT_OBLIG_BEYOND_YEAR_5","FQ1 2024","FQ1 2024","Currency=USD","Period=FQ","BEST_FPERIOD_OVERRIDE=FQ","FILING_STATUS=MR","SCALING_FORMAT=MLN","Sort=A","Dates=H","DateFormat=P","Fill=—","Direction=H","UseDPDF=Y")</f>
        <v>—</v>
      </c>
      <c r="Y120" s="13" t="str">
        <f>_xll.BDH("ALNY US Equity","ARDR_CONT_OBLIG_BEYOND_YEAR_5","FQ2 2024","FQ2 2024","Currency=USD","Period=FQ","BEST_FPERIOD_OVERRIDE=FQ","FILING_STATUS=MR","SCALING_FORMAT=MLN","Sort=A","Dates=H","DateFormat=P","Fill=—","Direction=H","UseDPDF=Y")</f>
        <v>—</v>
      </c>
      <c r="Z120" s="13" t="str">
        <f>_xll.BDH("ALNY US Equity","ARDR_CONT_OBLIG_BEYOND_YEAR_5","FQ3 2024","FQ3 2024","Currency=USD","Period=FQ","BEST_FPERIOD_OVERRIDE=FQ","FILING_STATUS=MR","SCALING_FORMAT=MLN","Sort=A","Dates=H","DateFormat=P","Fill=—","Direction=H","UseDPDF=Y")</f>
        <v>—</v>
      </c>
      <c r="AA120" s="13" t="str">
        <f>_xll.BDH("ALNY US Equity","ARDR_CONT_OBLIG_BEYOND_YEAR_5","FQ4 2024","FQ4 2024","Currency=USD","Period=FQ","BEST_FPERIOD_OVERRIDE=FQ","FILING_STATUS=MR","SCALING_FORMAT=MLN","Sort=A","Dates=H","DateFormat=P","Fill=—","Direction=H","UseDPDF=Y")</f>
        <v>—</v>
      </c>
    </row>
    <row r="121" spans="1:27" x14ac:dyDescent="0.25">
      <c r="A121" s="10" t="s">
        <v>1023</v>
      </c>
      <c r="B121" s="10" t="s">
        <v>1024</v>
      </c>
      <c r="C121" s="13">
        <f>_xll.BDH("ALNY US Equity","ARDR_CONTRACTUAL_OBLIG_TOTAL","FQ4 2018","FQ4 2018","Currency=USD","Period=FQ","BEST_FPERIOD_OVERRIDE=FQ","FILING_STATUS=MR","SCALING_FORMAT=MLN","Sort=A","Dates=H","DateFormat=P","Fill=—","Direction=H","UseDPDF=Y")</f>
        <v>598.78300000000002</v>
      </c>
      <c r="D121" s="13" t="str">
        <f>_xll.BDH("ALNY US Equity","ARDR_CONTRACTUAL_OBLIG_TOTAL","FQ1 2019","FQ1 2019","Currency=USD","Period=FQ","BEST_FPERIOD_OVERRIDE=FQ","FILING_STATUS=MR","SCALING_FORMAT=MLN","Sort=A","Dates=H","DateFormat=P","Fill=—","Direction=H","UseDPDF=Y")</f>
        <v>—</v>
      </c>
      <c r="E121" s="13" t="str">
        <f>_xll.BDH("ALNY US Equity","ARDR_CONTRACTUAL_OBLIG_TOTAL","FQ2 2019","FQ2 2019","Currency=USD","Period=FQ","BEST_FPERIOD_OVERRIDE=FQ","FILING_STATUS=MR","SCALING_FORMAT=MLN","Sort=A","Dates=H","DateFormat=P","Fill=—","Direction=H","UseDPDF=Y")</f>
        <v>—</v>
      </c>
      <c r="F121" s="13" t="str">
        <f>_xll.BDH("ALNY US Equity","ARDR_CONTRACTUAL_OBLIG_TOTAL","FQ3 2019","FQ3 2019","Currency=USD","Period=FQ","BEST_FPERIOD_OVERRIDE=FQ","FILING_STATUS=MR","SCALING_FORMAT=MLN","Sort=A","Dates=H","DateFormat=P","Fill=—","Direction=H","UseDPDF=Y")</f>
        <v>—</v>
      </c>
      <c r="G121" s="13">
        <f>_xll.BDH("ALNY US Equity","ARDR_CONTRACTUAL_OBLIG_TOTAL","FQ4 2019","FQ4 2019","Currency=USD","Period=FQ","BEST_FPERIOD_OVERRIDE=FQ","FILING_STATUS=MR","SCALING_FORMAT=MLN","Sort=A","Dates=H","DateFormat=P","Fill=—","Direction=H","UseDPDF=Y")</f>
        <v>535.39099999999996</v>
      </c>
      <c r="H121" s="13" t="str">
        <f>_xll.BDH("ALNY US Equity","ARDR_CONTRACTUAL_OBLIG_TOTAL","FQ1 2020","FQ1 2020","Currency=USD","Period=FQ","BEST_FPERIOD_OVERRIDE=FQ","FILING_STATUS=MR","SCALING_FORMAT=MLN","Sort=A","Dates=H","DateFormat=P","Fill=—","Direction=H","UseDPDF=Y")</f>
        <v>—</v>
      </c>
      <c r="I121" s="13" t="str">
        <f>_xll.BDH("ALNY US Equity","ARDR_CONTRACTUAL_OBLIG_TOTAL","FQ2 2020","FQ2 2020","Currency=USD","Period=FQ","BEST_FPERIOD_OVERRIDE=FQ","FILING_STATUS=MR","SCALING_FORMAT=MLN","Sort=A","Dates=H","DateFormat=P","Fill=—","Direction=H","UseDPDF=Y")</f>
        <v>—</v>
      </c>
      <c r="J121" s="13" t="str">
        <f>_xll.BDH("ALNY US Equity","ARDR_CONTRACTUAL_OBLIG_TOTAL","FQ3 2020","FQ3 2020","Currency=USD","Period=FQ","BEST_FPERIOD_OVERRIDE=FQ","FILING_STATUS=MR","SCALING_FORMAT=MLN","Sort=A","Dates=H","DateFormat=P","Fill=—","Direction=H","UseDPDF=Y")</f>
        <v>—</v>
      </c>
      <c r="K121" s="13">
        <f>_xll.BDH("ALNY US Equity","ARDR_CONTRACTUAL_OBLIG_TOTAL","FQ4 2020","FQ4 2020","Currency=USD","Period=FQ","BEST_FPERIOD_OVERRIDE=FQ","FILING_STATUS=MR","SCALING_FORMAT=MLN","Sort=A","Dates=H","DateFormat=P","Fill=—","Direction=H","UseDPDF=Y")</f>
        <v>736.33</v>
      </c>
      <c r="L121" s="13" t="str">
        <f>_xll.BDH("ALNY US Equity","ARDR_CONTRACTUAL_OBLIG_TOTAL","FQ1 2021","FQ1 2021","Currency=USD","Period=FQ","BEST_FPERIOD_OVERRIDE=FQ","FILING_STATUS=MR","SCALING_FORMAT=MLN","Sort=A","Dates=H","DateFormat=P","Fill=—","Direction=H","UseDPDF=Y")</f>
        <v>—</v>
      </c>
      <c r="M121" s="13" t="str">
        <f>_xll.BDH("ALNY US Equity","ARDR_CONTRACTUAL_OBLIG_TOTAL","FQ2 2021","FQ2 2021","Currency=USD","Period=FQ","BEST_FPERIOD_OVERRIDE=FQ","FILING_STATUS=MR","SCALING_FORMAT=MLN","Sort=A","Dates=H","DateFormat=P","Fill=—","Direction=H","UseDPDF=Y")</f>
        <v>—</v>
      </c>
      <c r="N121" s="13" t="str">
        <f>_xll.BDH("ALNY US Equity","ARDR_CONTRACTUAL_OBLIG_TOTAL","FQ3 2021","FQ3 2021","Currency=USD","Period=FQ","BEST_FPERIOD_OVERRIDE=FQ","FILING_STATUS=MR","SCALING_FORMAT=MLN","Sort=A","Dates=H","DateFormat=P","Fill=—","Direction=H","UseDPDF=Y")</f>
        <v>—</v>
      </c>
      <c r="O121" s="13" t="str">
        <f>_xll.BDH("ALNY US Equity","ARDR_CONTRACTUAL_OBLIG_TOTAL","FQ4 2021","FQ4 2021","Currency=USD","Period=FQ","BEST_FPERIOD_OVERRIDE=FQ","FILING_STATUS=MR","SCALING_FORMAT=MLN","Sort=A","Dates=H","DateFormat=P","Fill=—","Direction=H","UseDPDF=Y")</f>
        <v>—</v>
      </c>
      <c r="P121" s="13" t="str">
        <f>_xll.BDH("ALNY US Equity","ARDR_CONTRACTUAL_OBLIG_TOTAL","FQ1 2022","FQ1 2022","Currency=USD","Period=FQ","BEST_FPERIOD_OVERRIDE=FQ","FILING_STATUS=MR","SCALING_FORMAT=MLN","Sort=A","Dates=H","DateFormat=P","Fill=—","Direction=H","UseDPDF=Y")</f>
        <v>—</v>
      </c>
      <c r="Q121" s="13" t="str">
        <f>_xll.BDH("ALNY US Equity","ARDR_CONTRACTUAL_OBLIG_TOTAL","FQ2 2022","FQ2 2022","Currency=USD","Period=FQ","BEST_FPERIOD_OVERRIDE=FQ","FILING_STATUS=MR","SCALING_FORMAT=MLN","Sort=A","Dates=H","DateFormat=P","Fill=—","Direction=H","UseDPDF=Y")</f>
        <v>—</v>
      </c>
      <c r="R121" s="13" t="str">
        <f>_xll.BDH("ALNY US Equity","ARDR_CONTRACTUAL_OBLIG_TOTAL","FQ3 2022","FQ3 2022","Currency=USD","Period=FQ","BEST_FPERIOD_OVERRIDE=FQ","FILING_STATUS=MR","SCALING_FORMAT=MLN","Sort=A","Dates=H","DateFormat=P","Fill=—","Direction=H","UseDPDF=Y")</f>
        <v>—</v>
      </c>
      <c r="S121" s="13" t="str">
        <f>_xll.BDH("ALNY US Equity","ARDR_CONTRACTUAL_OBLIG_TOTAL","FQ4 2022","FQ4 2022","Currency=USD","Period=FQ","BEST_FPERIOD_OVERRIDE=FQ","FILING_STATUS=MR","SCALING_FORMAT=MLN","Sort=A","Dates=H","DateFormat=P","Fill=—","Direction=H","UseDPDF=Y")</f>
        <v>—</v>
      </c>
      <c r="T121" s="13" t="str">
        <f>_xll.BDH("ALNY US Equity","ARDR_CONTRACTUAL_OBLIG_TOTAL","FQ1 2023","FQ1 2023","Currency=USD","Period=FQ","BEST_FPERIOD_OVERRIDE=FQ","FILING_STATUS=MR","SCALING_FORMAT=MLN","Sort=A","Dates=H","DateFormat=P","Fill=—","Direction=H","UseDPDF=Y")</f>
        <v>—</v>
      </c>
      <c r="U121" s="13" t="str">
        <f>_xll.BDH("ALNY US Equity","ARDR_CONTRACTUAL_OBLIG_TOTAL","FQ2 2023","FQ2 2023","Currency=USD","Period=FQ","BEST_FPERIOD_OVERRIDE=FQ","FILING_STATUS=MR","SCALING_FORMAT=MLN","Sort=A","Dates=H","DateFormat=P","Fill=—","Direction=H","UseDPDF=Y")</f>
        <v>—</v>
      </c>
      <c r="V121" s="13" t="str">
        <f>_xll.BDH("ALNY US Equity","ARDR_CONTRACTUAL_OBLIG_TOTAL","FQ3 2023","FQ3 2023","Currency=USD","Period=FQ","BEST_FPERIOD_OVERRIDE=FQ","FILING_STATUS=MR","SCALING_FORMAT=MLN","Sort=A","Dates=H","DateFormat=P","Fill=—","Direction=H","UseDPDF=Y")</f>
        <v>—</v>
      </c>
      <c r="W121" s="13" t="str">
        <f>_xll.BDH("ALNY US Equity","ARDR_CONTRACTUAL_OBLIG_TOTAL","FQ4 2023","FQ4 2023","Currency=USD","Period=FQ","BEST_FPERIOD_OVERRIDE=FQ","FILING_STATUS=MR","SCALING_FORMAT=MLN","Sort=A","Dates=H","DateFormat=P","Fill=—","Direction=H","UseDPDF=Y")</f>
        <v>—</v>
      </c>
      <c r="X121" s="13" t="str">
        <f>_xll.BDH("ALNY US Equity","ARDR_CONTRACTUAL_OBLIG_TOTAL","FQ1 2024","FQ1 2024","Currency=USD","Period=FQ","BEST_FPERIOD_OVERRIDE=FQ","FILING_STATUS=MR","SCALING_FORMAT=MLN","Sort=A","Dates=H","DateFormat=P","Fill=—","Direction=H","UseDPDF=Y")</f>
        <v>—</v>
      </c>
      <c r="Y121" s="13" t="str">
        <f>_xll.BDH("ALNY US Equity","ARDR_CONTRACTUAL_OBLIG_TOTAL","FQ2 2024","FQ2 2024","Currency=USD","Period=FQ","BEST_FPERIOD_OVERRIDE=FQ","FILING_STATUS=MR","SCALING_FORMAT=MLN","Sort=A","Dates=H","DateFormat=P","Fill=—","Direction=H","UseDPDF=Y")</f>
        <v>—</v>
      </c>
      <c r="Z121" s="13" t="str">
        <f>_xll.BDH("ALNY US Equity","ARDR_CONTRACTUAL_OBLIG_TOTAL","FQ3 2024","FQ3 2024","Currency=USD","Period=FQ","BEST_FPERIOD_OVERRIDE=FQ","FILING_STATUS=MR","SCALING_FORMAT=MLN","Sort=A","Dates=H","DateFormat=P","Fill=—","Direction=H","UseDPDF=Y")</f>
        <v>—</v>
      </c>
      <c r="AA121" s="13" t="str">
        <f>_xll.BDH("ALNY US Equity","ARDR_CONTRACTUAL_OBLIG_TOTAL","FQ4 2024","FQ4 2024","Currency=USD","Period=FQ","BEST_FPERIOD_OVERRIDE=FQ","FILING_STATUS=MR","SCALING_FORMAT=MLN","Sort=A","Dates=H","DateFormat=P","Fill=—","Direction=H","UseDPDF=Y")</f>
        <v>—</v>
      </c>
    </row>
    <row r="122" spans="1:27" x14ac:dyDescent="0.25">
      <c r="A122" s="10" t="s">
        <v>1025</v>
      </c>
      <c r="B122" s="10" t="s">
        <v>1026</v>
      </c>
      <c r="C122" s="13" t="str">
        <f>_xll.BDH("ALNY US Equity","ARDR_PV_FUTURE_MIN_OP_LEASE_OBL","FQ4 2018","FQ4 2018","Currency=USD","Period=FQ","BEST_FPERIOD_OVERRIDE=FQ","FILING_STATUS=MR","SCALING_FORMAT=MLN","Sort=A","Dates=H","DateFormat=P","Fill=—","Direction=H","UseDPDF=Y")</f>
        <v>—</v>
      </c>
      <c r="D122" s="13">
        <f>_xll.BDH("ALNY US Equity","ARDR_PV_FUTURE_MIN_OP_LEASE_OBL","FQ1 2019","FQ1 2019","Currency=USD","Period=FQ","BEST_FPERIOD_OVERRIDE=FQ","FILING_STATUS=MR","SCALING_FORMAT=MLN","Sort=A","Dates=H","DateFormat=P","Fill=—","Direction=H","UseDPDF=Y")</f>
        <v>299.27699999999999</v>
      </c>
      <c r="E122" s="13">
        <f>_xll.BDH("ALNY US Equity","ARDR_PV_FUTURE_MIN_OP_LEASE_OBL","FQ2 2019","FQ2 2019","Currency=USD","Period=FQ","BEST_FPERIOD_OVERRIDE=FQ","FILING_STATUS=MR","SCALING_FORMAT=MLN","Sort=A","Dates=H","DateFormat=P","Fill=—","Direction=H","UseDPDF=Y")</f>
        <v>306.55799999999999</v>
      </c>
      <c r="F122" s="13">
        <f>_xll.BDH("ALNY US Equity","ARDR_PV_FUTURE_MIN_OP_LEASE_OBL","FQ3 2019","FQ3 2019","Currency=USD","Period=FQ","BEST_FPERIOD_OVERRIDE=FQ","FILING_STATUS=MR","SCALING_FORMAT=MLN","Sort=A","Dates=H","DateFormat=P","Fill=—","Direction=H","UseDPDF=Y")</f>
        <v>304.62099999999998</v>
      </c>
      <c r="G122" s="13">
        <f>_xll.BDH("ALNY US Equity","ARDR_PV_FUTURE_MIN_OP_LEASE_OBL","FQ4 2019","FQ4 2019","Currency=USD","Period=FQ","BEST_FPERIOD_OVERRIDE=FQ","FILING_STATUS=MR","SCALING_FORMAT=MLN","Sort=A","Dates=H","DateFormat=P","Fill=—","Direction=H","UseDPDF=Y")</f>
        <v>303.82299999999998</v>
      </c>
      <c r="H122" s="13" t="str">
        <f>_xll.BDH("ALNY US Equity","ARDR_PV_FUTURE_MIN_OP_LEASE_OBL","FQ1 2020","FQ1 2020","Currency=USD","Period=FQ","BEST_FPERIOD_OVERRIDE=FQ","FILING_STATUS=MR","SCALING_FORMAT=MLN","Sort=A","Dates=H","DateFormat=P","Fill=—","Direction=H","UseDPDF=Y")</f>
        <v>—</v>
      </c>
      <c r="I122" s="13" t="str">
        <f>_xll.BDH("ALNY US Equity","ARDR_PV_FUTURE_MIN_OP_LEASE_OBL","FQ2 2020","FQ2 2020","Currency=USD","Period=FQ","BEST_FPERIOD_OVERRIDE=FQ","FILING_STATUS=MR","SCALING_FORMAT=MLN","Sort=A","Dates=H","DateFormat=P","Fill=—","Direction=H","UseDPDF=Y")</f>
        <v>—</v>
      </c>
      <c r="J122" s="13" t="str">
        <f>_xll.BDH("ALNY US Equity","ARDR_PV_FUTURE_MIN_OP_LEASE_OBL","FQ3 2020","FQ3 2020","Currency=USD","Period=FQ","BEST_FPERIOD_OVERRIDE=FQ","FILING_STATUS=MR","SCALING_FORMAT=MLN","Sort=A","Dates=H","DateFormat=P","Fill=—","Direction=H","UseDPDF=Y")</f>
        <v>—</v>
      </c>
      <c r="K122" s="13">
        <f>_xll.BDH("ALNY US Equity","ARDR_PV_FUTURE_MIN_OP_LEASE_OBL","FQ4 2020","FQ4 2020","Currency=USD","Period=FQ","BEST_FPERIOD_OVERRIDE=FQ","FILING_STATUS=MR","SCALING_FORMAT=MLN","Sort=A","Dates=H","DateFormat=P","Fill=—","Direction=H","UseDPDF=Y")</f>
        <v>329.911</v>
      </c>
      <c r="L122" s="13" t="str">
        <f>_xll.BDH("ALNY US Equity","ARDR_PV_FUTURE_MIN_OP_LEASE_OBL","FQ1 2021","FQ1 2021","Currency=USD","Period=FQ","BEST_FPERIOD_OVERRIDE=FQ","FILING_STATUS=MR","SCALING_FORMAT=MLN","Sort=A","Dates=H","DateFormat=P","Fill=—","Direction=H","UseDPDF=Y")</f>
        <v>—</v>
      </c>
      <c r="M122" s="13" t="str">
        <f>_xll.BDH("ALNY US Equity","ARDR_PV_FUTURE_MIN_OP_LEASE_OBL","FQ2 2021","FQ2 2021","Currency=USD","Period=FQ","BEST_FPERIOD_OVERRIDE=FQ","FILING_STATUS=MR","SCALING_FORMAT=MLN","Sort=A","Dates=H","DateFormat=P","Fill=—","Direction=H","UseDPDF=Y")</f>
        <v>—</v>
      </c>
      <c r="N122" s="13" t="str">
        <f>_xll.BDH("ALNY US Equity","ARDR_PV_FUTURE_MIN_OP_LEASE_OBL","FQ3 2021","FQ3 2021","Currency=USD","Period=FQ","BEST_FPERIOD_OVERRIDE=FQ","FILING_STATUS=MR","SCALING_FORMAT=MLN","Sort=A","Dates=H","DateFormat=P","Fill=—","Direction=H","UseDPDF=Y")</f>
        <v>—</v>
      </c>
      <c r="O122" s="13">
        <f>_xll.BDH("ALNY US Equity","ARDR_PV_FUTURE_MIN_OP_LEASE_OBL","FQ4 2021","FQ4 2021","Currency=USD","Period=FQ","BEST_FPERIOD_OVERRIDE=FQ","FILING_STATUS=MR","SCALING_FORMAT=MLN","Sort=A","Dates=H","DateFormat=P","Fill=—","Direction=H","UseDPDF=Y")</f>
        <v>321.89499999999998</v>
      </c>
      <c r="P122" s="13" t="str">
        <f>_xll.BDH("ALNY US Equity","ARDR_PV_FUTURE_MIN_OP_LEASE_OBL","FQ1 2022","FQ1 2022","Currency=USD","Period=FQ","BEST_FPERIOD_OVERRIDE=FQ","FILING_STATUS=MR","SCALING_FORMAT=MLN","Sort=A","Dates=H","DateFormat=P","Fill=—","Direction=H","UseDPDF=Y")</f>
        <v>—</v>
      </c>
      <c r="Q122" s="13" t="str">
        <f>_xll.BDH("ALNY US Equity","ARDR_PV_FUTURE_MIN_OP_LEASE_OBL","FQ2 2022","FQ2 2022","Currency=USD","Period=FQ","BEST_FPERIOD_OVERRIDE=FQ","FILING_STATUS=MR","SCALING_FORMAT=MLN","Sort=A","Dates=H","DateFormat=P","Fill=—","Direction=H","UseDPDF=Y")</f>
        <v>—</v>
      </c>
      <c r="R122" s="13" t="str">
        <f>_xll.BDH("ALNY US Equity","ARDR_PV_FUTURE_MIN_OP_LEASE_OBL","FQ3 2022","FQ3 2022","Currency=USD","Period=FQ","BEST_FPERIOD_OVERRIDE=FQ","FILING_STATUS=MR","SCALING_FORMAT=MLN","Sort=A","Dates=H","DateFormat=P","Fill=—","Direction=H","UseDPDF=Y")</f>
        <v>—</v>
      </c>
      <c r="S122" s="13">
        <f>_xll.BDH("ALNY US Equity","ARDR_PV_FUTURE_MIN_OP_LEASE_OBL","FQ4 2022","FQ4 2022","Currency=USD","Period=FQ","BEST_FPERIOD_OVERRIDE=FQ","FILING_STATUS=MR","SCALING_FORMAT=MLN","Sort=A","Dates=H","DateFormat=P","Fill=—","Direction=H","UseDPDF=Y")</f>
        <v>303.30599999999998</v>
      </c>
      <c r="T122" s="13" t="str">
        <f>_xll.BDH("ALNY US Equity","ARDR_PV_FUTURE_MIN_OP_LEASE_OBL","FQ1 2023","FQ1 2023","Currency=USD","Period=FQ","BEST_FPERIOD_OVERRIDE=FQ","FILING_STATUS=MR","SCALING_FORMAT=MLN","Sort=A","Dates=H","DateFormat=P","Fill=—","Direction=H","UseDPDF=Y")</f>
        <v>—</v>
      </c>
      <c r="U122" s="13" t="str">
        <f>_xll.BDH("ALNY US Equity","ARDR_PV_FUTURE_MIN_OP_LEASE_OBL","FQ2 2023","FQ2 2023","Currency=USD","Period=FQ","BEST_FPERIOD_OVERRIDE=FQ","FILING_STATUS=MR","SCALING_FORMAT=MLN","Sort=A","Dates=H","DateFormat=P","Fill=—","Direction=H","UseDPDF=Y")</f>
        <v>—</v>
      </c>
      <c r="V122" s="13" t="str">
        <f>_xll.BDH("ALNY US Equity","ARDR_PV_FUTURE_MIN_OP_LEASE_OBL","FQ3 2023","FQ3 2023","Currency=USD","Period=FQ","BEST_FPERIOD_OVERRIDE=FQ","FILING_STATUS=MR","SCALING_FORMAT=MLN","Sort=A","Dates=H","DateFormat=P","Fill=—","Direction=H","UseDPDF=Y")</f>
        <v>—</v>
      </c>
      <c r="W122" s="13">
        <f>_xll.BDH("ALNY US Equity","ARDR_PV_FUTURE_MIN_OP_LEASE_OBL","FQ4 2023","FQ4 2023","Currency=USD","Period=FQ","BEST_FPERIOD_OVERRIDE=FQ","FILING_STATUS=MR","SCALING_FORMAT=MLN","Sort=A","Dates=H","DateFormat=P","Fill=—","Direction=H","UseDPDF=Y")</f>
        <v>284.61099999999999</v>
      </c>
      <c r="X122" s="13" t="str">
        <f>_xll.BDH("ALNY US Equity","ARDR_PV_FUTURE_MIN_OP_LEASE_OBL","FQ1 2024","FQ1 2024","Currency=USD","Period=FQ","BEST_FPERIOD_OVERRIDE=FQ","FILING_STATUS=MR","SCALING_FORMAT=MLN","Sort=A","Dates=H","DateFormat=P","Fill=—","Direction=H","UseDPDF=Y")</f>
        <v>—</v>
      </c>
      <c r="Y122" s="13" t="str">
        <f>_xll.BDH("ALNY US Equity","ARDR_PV_FUTURE_MIN_OP_LEASE_OBL","FQ2 2024","FQ2 2024","Currency=USD","Period=FQ","BEST_FPERIOD_OVERRIDE=FQ","FILING_STATUS=MR","SCALING_FORMAT=MLN","Sort=A","Dates=H","DateFormat=P","Fill=—","Direction=H","UseDPDF=Y")</f>
        <v>—</v>
      </c>
      <c r="Z122" s="13" t="str">
        <f>_xll.BDH("ALNY US Equity","ARDR_PV_FUTURE_MIN_OP_LEASE_OBL","FQ3 2024","FQ3 2024","Currency=USD","Period=FQ","BEST_FPERIOD_OVERRIDE=FQ","FILING_STATUS=MR","SCALING_FORMAT=MLN","Sort=A","Dates=H","DateFormat=P","Fill=—","Direction=H","UseDPDF=Y")</f>
        <v>—</v>
      </c>
      <c r="AA122" s="13">
        <f>_xll.BDH("ALNY US Equity","ARDR_PV_FUTURE_MIN_OP_LEASE_OBL","FQ4 2024","FQ4 2024","Currency=USD","Period=FQ","BEST_FPERIOD_OVERRIDE=FQ","FILING_STATUS=MR","SCALING_FORMAT=MLN","Sort=A","Dates=H","DateFormat=P","Fill=—","Direction=H","UseDPDF=Y")</f>
        <v>271.42700000000002</v>
      </c>
    </row>
    <row r="123" spans="1:27" x14ac:dyDescent="0.25">
      <c r="A123" s="10" t="s">
        <v>1027</v>
      </c>
      <c r="B123" s="10" t="s">
        <v>1028</v>
      </c>
      <c r="C123" s="13">
        <f>_xll.BDH("ALNY US Equity","ARDR_DEBT_SCHEDULE_YR_2_3","FQ4 2018","FQ4 2018","Currency=USD","Period=FQ","BEST_FPERIOD_OVERRIDE=FQ","FILING_STATUS=MR","SCALING_FORMAT=MLN","Sort=A","Dates=H","DateFormat=P","Fill=—","Direction=H","UseDPDF=Y")</f>
        <v>31.277000000000001</v>
      </c>
      <c r="D123" s="13" t="str">
        <f>_xll.BDH("ALNY US Equity","ARDR_DEBT_SCHEDULE_YR_2_3","FQ1 2019","FQ1 2019","Currency=USD","Period=FQ","BEST_FPERIOD_OVERRIDE=FQ","FILING_STATUS=MR","SCALING_FORMAT=MLN","Sort=A","Dates=H","DateFormat=P","Fill=—","Direction=H","UseDPDF=Y")</f>
        <v>—</v>
      </c>
      <c r="E123" s="13" t="str">
        <f>_xll.BDH("ALNY US Equity","ARDR_DEBT_SCHEDULE_YR_2_3","FQ2 2019","FQ2 2019","Currency=USD","Period=FQ","BEST_FPERIOD_OVERRIDE=FQ","FILING_STATUS=MR","SCALING_FORMAT=MLN","Sort=A","Dates=H","DateFormat=P","Fill=—","Direction=H","UseDPDF=Y")</f>
        <v>—</v>
      </c>
      <c r="F123" s="13" t="str">
        <f>_xll.BDH("ALNY US Equity","ARDR_DEBT_SCHEDULE_YR_2_3","FQ3 2019","FQ3 2019","Currency=USD","Period=FQ","BEST_FPERIOD_OVERRIDE=FQ","FILING_STATUS=MR","SCALING_FORMAT=MLN","Sort=A","Dates=H","DateFormat=P","Fill=—","Direction=H","UseDPDF=Y")</f>
        <v>—</v>
      </c>
      <c r="G123" s="13" t="str">
        <f>_xll.BDH("ALNY US Equity","ARDR_DEBT_SCHEDULE_YR_2_3","FQ4 2019","FQ4 2019","Currency=USD","Period=FQ","BEST_FPERIOD_OVERRIDE=FQ","FILING_STATUS=MR","SCALING_FORMAT=MLN","Sort=A","Dates=H","DateFormat=P","Fill=—","Direction=H","UseDPDF=Y")</f>
        <v>—</v>
      </c>
      <c r="H123" s="13" t="str">
        <f>_xll.BDH("ALNY US Equity","ARDR_DEBT_SCHEDULE_YR_2_3","FQ1 2020","FQ1 2020","Currency=USD","Period=FQ","BEST_FPERIOD_OVERRIDE=FQ","FILING_STATUS=MR","SCALING_FORMAT=MLN","Sort=A","Dates=H","DateFormat=P","Fill=—","Direction=H","UseDPDF=Y")</f>
        <v>—</v>
      </c>
      <c r="I123" s="13" t="str">
        <f>_xll.BDH("ALNY US Equity","ARDR_DEBT_SCHEDULE_YR_2_3","FQ2 2020","FQ2 2020","Currency=USD","Period=FQ","BEST_FPERIOD_OVERRIDE=FQ","FILING_STATUS=MR","SCALING_FORMAT=MLN","Sort=A","Dates=H","DateFormat=P","Fill=—","Direction=H","UseDPDF=Y")</f>
        <v>—</v>
      </c>
      <c r="J123" s="13" t="str">
        <f>_xll.BDH("ALNY US Equity","ARDR_DEBT_SCHEDULE_YR_2_3","FQ3 2020","FQ3 2020","Currency=USD","Period=FQ","BEST_FPERIOD_OVERRIDE=FQ","FILING_STATUS=MR","SCALING_FORMAT=MLN","Sort=A","Dates=H","DateFormat=P","Fill=—","Direction=H","UseDPDF=Y")</f>
        <v>—</v>
      </c>
      <c r="K123" s="13" t="str">
        <f>_xll.BDH("ALNY US Equity","ARDR_DEBT_SCHEDULE_YR_2_3","FQ4 2020","FQ4 2020","Currency=USD","Period=FQ","BEST_FPERIOD_OVERRIDE=FQ","FILING_STATUS=MR","SCALING_FORMAT=MLN","Sort=A","Dates=H","DateFormat=P","Fill=—","Direction=H","UseDPDF=Y")</f>
        <v>—</v>
      </c>
      <c r="L123" s="13" t="str">
        <f>_xll.BDH("ALNY US Equity","ARDR_DEBT_SCHEDULE_YR_2_3","FQ1 2021","FQ1 2021","Currency=USD","Period=FQ","BEST_FPERIOD_OVERRIDE=FQ","FILING_STATUS=MR","SCALING_FORMAT=MLN","Sort=A","Dates=H","DateFormat=P","Fill=—","Direction=H","UseDPDF=Y")</f>
        <v>—</v>
      </c>
      <c r="M123" s="13" t="str">
        <f>_xll.BDH("ALNY US Equity","ARDR_DEBT_SCHEDULE_YR_2_3","FQ2 2021","FQ2 2021","Currency=USD","Period=FQ","BEST_FPERIOD_OVERRIDE=FQ","FILING_STATUS=MR","SCALING_FORMAT=MLN","Sort=A","Dates=H","DateFormat=P","Fill=—","Direction=H","UseDPDF=Y")</f>
        <v>—</v>
      </c>
      <c r="N123" s="13" t="str">
        <f>_xll.BDH("ALNY US Equity","ARDR_DEBT_SCHEDULE_YR_2_3","FQ3 2021","FQ3 2021","Currency=USD","Period=FQ","BEST_FPERIOD_OVERRIDE=FQ","FILING_STATUS=MR","SCALING_FORMAT=MLN","Sort=A","Dates=H","DateFormat=P","Fill=—","Direction=H","UseDPDF=Y")</f>
        <v>—</v>
      </c>
      <c r="O123" s="13" t="str">
        <f>_xll.BDH("ALNY US Equity","ARDR_DEBT_SCHEDULE_YR_2_3","FQ4 2021","FQ4 2021","Currency=USD","Period=FQ","BEST_FPERIOD_OVERRIDE=FQ","FILING_STATUS=MR","SCALING_FORMAT=MLN","Sort=A","Dates=H","DateFormat=P","Fill=—","Direction=H","UseDPDF=Y")</f>
        <v>—</v>
      </c>
      <c r="P123" s="13" t="str">
        <f>_xll.BDH("ALNY US Equity","ARDR_DEBT_SCHEDULE_YR_2_3","FQ1 2022","FQ1 2022","Currency=USD","Period=FQ","BEST_FPERIOD_OVERRIDE=FQ","FILING_STATUS=MR","SCALING_FORMAT=MLN","Sort=A","Dates=H","DateFormat=P","Fill=—","Direction=H","UseDPDF=Y")</f>
        <v>—</v>
      </c>
      <c r="Q123" s="13" t="str">
        <f>_xll.BDH("ALNY US Equity","ARDR_DEBT_SCHEDULE_YR_2_3","FQ2 2022","FQ2 2022","Currency=USD","Period=FQ","BEST_FPERIOD_OVERRIDE=FQ","FILING_STATUS=MR","SCALING_FORMAT=MLN","Sort=A","Dates=H","DateFormat=P","Fill=—","Direction=H","UseDPDF=Y")</f>
        <v>—</v>
      </c>
      <c r="R123" s="13" t="str">
        <f>_xll.BDH("ALNY US Equity","ARDR_DEBT_SCHEDULE_YR_2_3","FQ3 2022","FQ3 2022","Currency=USD","Period=FQ","BEST_FPERIOD_OVERRIDE=FQ","FILING_STATUS=MR","SCALING_FORMAT=MLN","Sort=A","Dates=H","DateFormat=P","Fill=—","Direction=H","UseDPDF=Y")</f>
        <v>—</v>
      </c>
      <c r="S123" s="13" t="str">
        <f>_xll.BDH("ALNY US Equity","ARDR_DEBT_SCHEDULE_YR_2_3","FQ4 2022","FQ4 2022","Currency=USD","Period=FQ","BEST_FPERIOD_OVERRIDE=FQ","FILING_STATUS=MR","SCALING_FORMAT=MLN","Sort=A","Dates=H","DateFormat=P","Fill=—","Direction=H","UseDPDF=Y")</f>
        <v>—</v>
      </c>
      <c r="T123" s="13" t="str">
        <f>_xll.BDH("ALNY US Equity","ARDR_DEBT_SCHEDULE_YR_2_3","FQ1 2023","FQ1 2023","Currency=USD","Period=FQ","BEST_FPERIOD_OVERRIDE=FQ","FILING_STATUS=MR","SCALING_FORMAT=MLN","Sort=A","Dates=H","DateFormat=P","Fill=—","Direction=H","UseDPDF=Y")</f>
        <v>—</v>
      </c>
      <c r="U123" s="13" t="str">
        <f>_xll.BDH("ALNY US Equity","ARDR_DEBT_SCHEDULE_YR_2_3","FQ2 2023","FQ2 2023","Currency=USD","Period=FQ","BEST_FPERIOD_OVERRIDE=FQ","FILING_STATUS=MR","SCALING_FORMAT=MLN","Sort=A","Dates=H","DateFormat=P","Fill=—","Direction=H","UseDPDF=Y")</f>
        <v>—</v>
      </c>
      <c r="V123" s="13" t="str">
        <f>_xll.BDH("ALNY US Equity","ARDR_DEBT_SCHEDULE_YR_2_3","FQ3 2023","FQ3 2023","Currency=USD","Period=FQ","BEST_FPERIOD_OVERRIDE=FQ","FILING_STATUS=MR","SCALING_FORMAT=MLN","Sort=A","Dates=H","DateFormat=P","Fill=—","Direction=H","UseDPDF=Y")</f>
        <v>—</v>
      </c>
      <c r="W123" s="13" t="str">
        <f>_xll.BDH("ALNY US Equity","ARDR_DEBT_SCHEDULE_YR_2_3","FQ4 2023","FQ4 2023","Currency=USD","Period=FQ","BEST_FPERIOD_OVERRIDE=FQ","FILING_STATUS=MR","SCALING_FORMAT=MLN","Sort=A","Dates=H","DateFormat=P","Fill=—","Direction=H","UseDPDF=Y")</f>
        <v>—</v>
      </c>
      <c r="X123" s="13" t="str">
        <f>_xll.BDH("ALNY US Equity","ARDR_DEBT_SCHEDULE_YR_2_3","FQ1 2024","FQ1 2024","Currency=USD","Period=FQ","BEST_FPERIOD_OVERRIDE=FQ","FILING_STATUS=MR","SCALING_FORMAT=MLN","Sort=A","Dates=H","DateFormat=P","Fill=—","Direction=H","UseDPDF=Y")</f>
        <v>—</v>
      </c>
      <c r="Y123" s="13" t="str">
        <f>_xll.BDH("ALNY US Equity","ARDR_DEBT_SCHEDULE_YR_2_3","FQ2 2024","FQ2 2024","Currency=USD","Period=FQ","BEST_FPERIOD_OVERRIDE=FQ","FILING_STATUS=MR","SCALING_FORMAT=MLN","Sort=A","Dates=H","DateFormat=P","Fill=—","Direction=H","UseDPDF=Y")</f>
        <v>—</v>
      </c>
      <c r="Z123" s="13" t="str">
        <f>_xll.BDH("ALNY US Equity","ARDR_DEBT_SCHEDULE_YR_2_3","FQ3 2024","FQ3 2024","Currency=USD","Period=FQ","BEST_FPERIOD_OVERRIDE=FQ","FILING_STATUS=MR","SCALING_FORMAT=MLN","Sort=A","Dates=H","DateFormat=P","Fill=—","Direction=H","UseDPDF=Y")</f>
        <v>—</v>
      </c>
      <c r="AA123" s="13" t="str">
        <f>_xll.BDH("ALNY US Equity","ARDR_DEBT_SCHEDULE_YR_2_3","FQ4 2024","FQ4 2024","Currency=USD","Period=FQ","BEST_FPERIOD_OVERRIDE=FQ","FILING_STATUS=MR","SCALING_FORMAT=MLN","Sort=A","Dates=H","DateFormat=P","Fill=—","Direction=H","UseDPDF=Y")</f>
        <v>—</v>
      </c>
    </row>
    <row r="124" spans="1:27" x14ac:dyDescent="0.25">
      <c r="A124" s="10" t="s">
        <v>1029</v>
      </c>
      <c r="B124" s="10" t="s">
        <v>1030</v>
      </c>
      <c r="C124" s="13">
        <f>_xll.BDH("ALNY US Equity","ARDR_DEBT_SCHEDULE_YR_4_5","FQ4 2018","FQ4 2018","Currency=USD","Period=FQ","BEST_FPERIOD_OVERRIDE=FQ","FILING_STATUS=MR","SCALING_FORMAT=MLN","Sort=A","Dates=H","DateFormat=P","Fill=—","Direction=H","UseDPDF=Y")</f>
        <v>0</v>
      </c>
      <c r="D124" s="13" t="str">
        <f>_xll.BDH("ALNY US Equity","ARDR_DEBT_SCHEDULE_YR_4_5","FQ1 2019","FQ1 2019","Currency=USD","Period=FQ","BEST_FPERIOD_OVERRIDE=FQ","FILING_STATUS=MR","SCALING_FORMAT=MLN","Sort=A","Dates=H","DateFormat=P","Fill=—","Direction=H","UseDPDF=Y")</f>
        <v>—</v>
      </c>
      <c r="E124" s="13" t="str">
        <f>_xll.BDH("ALNY US Equity","ARDR_DEBT_SCHEDULE_YR_4_5","FQ2 2019","FQ2 2019","Currency=USD","Period=FQ","BEST_FPERIOD_OVERRIDE=FQ","FILING_STATUS=MR","SCALING_FORMAT=MLN","Sort=A","Dates=H","DateFormat=P","Fill=—","Direction=H","UseDPDF=Y")</f>
        <v>—</v>
      </c>
      <c r="F124" s="13" t="str">
        <f>_xll.BDH("ALNY US Equity","ARDR_DEBT_SCHEDULE_YR_4_5","FQ3 2019","FQ3 2019","Currency=USD","Period=FQ","BEST_FPERIOD_OVERRIDE=FQ","FILING_STATUS=MR","SCALING_FORMAT=MLN","Sort=A","Dates=H","DateFormat=P","Fill=—","Direction=H","UseDPDF=Y")</f>
        <v>—</v>
      </c>
      <c r="G124" s="13" t="str">
        <f>_xll.BDH("ALNY US Equity","ARDR_DEBT_SCHEDULE_YR_4_5","FQ4 2019","FQ4 2019","Currency=USD","Period=FQ","BEST_FPERIOD_OVERRIDE=FQ","FILING_STATUS=MR","SCALING_FORMAT=MLN","Sort=A","Dates=H","DateFormat=P","Fill=—","Direction=H","UseDPDF=Y")</f>
        <v>—</v>
      </c>
      <c r="H124" s="13" t="str">
        <f>_xll.BDH("ALNY US Equity","ARDR_DEBT_SCHEDULE_YR_4_5","FQ1 2020","FQ1 2020","Currency=USD","Period=FQ","BEST_FPERIOD_OVERRIDE=FQ","FILING_STATUS=MR","SCALING_FORMAT=MLN","Sort=A","Dates=H","DateFormat=P","Fill=—","Direction=H","UseDPDF=Y")</f>
        <v>—</v>
      </c>
      <c r="I124" s="13" t="str">
        <f>_xll.BDH("ALNY US Equity","ARDR_DEBT_SCHEDULE_YR_4_5","FQ2 2020","FQ2 2020","Currency=USD","Period=FQ","BEST_FPERIOD_OVERRIDE=FQ","FILING_STATUS=MR","SCALING_FORMAT=MLN","Sort=A","Dates=H","DateFormat=P","Fill=—","Direction=H","UseDPDF=Y")</f>
        <v>—</v>
      </c>
      <c r="J124" s="13" t="str">
        <f>_xll.BDH("ALNY US Equity","ARDR_DEBT_SCHEDULE_YR_4_5","FQ3 2020","FQ3 2020","Currency=USD","Period=FQ","BEST_FPERIOD_OVERRIDE=FQ","FILING_STATUS=MR","SCALING_FORMAT=MLN","Sort=A","Dates=H","DateFormat=P","Fill=—","Direction=H","UseDPDF=Y")</f>
        <v>—</v>
      </c>
      <c r="K124" s="13" t="str">
        <f>_xll.BDH("ALNY US Equity","ARDR_DEBT_SCHEDULE_YR_4_5","FQ4 2020","FQ4 2020","Currency=USD","Period=FQ","BEST_FPERIOD_OVERRIDE=FQ","FILING_STATUS=MR","SCALING_FORMAT=MLN","Sort=A","Dates=H","DateFormat=P","Fill=—","Direction=H","UseDPDF=Y")</f>
        <v>—</v>
      </c>
      <c r="L124" s="13" t="str">
        <f>_xll.BDH("ALNY US Equity","ARDR_DEBT_SCHEDULE_YR_4_5","FQ1 2021","FQ1 2021","Currency=USD","Period=FQ","BEST_FPERIOD_OVERRIDE=FQ","FILING_STATUS=MR","SCALING_FORMAT=MLN","Sort=A","Dates=H","DateFormat=P","Fill=—","Direction=H","UseDPDF=Y")</f>
        <v>—</v>
      </c>
      <c r="M124" s="13" t="str">
        <f>_xll.BDH("ALNY US Equity","ARDR_DEBT_SCHEDULE_YR_4_5","FQ2 2021","FQ2 2021","Currency=USD","Period=FQ","BEST_FPERIOD_OVERRIDE=FQ","FILING_STATUS=MR","SCALING_FORMAT=MLN","Sort=A","Dates=H","DateFormat=P","Fill=—","Direction=H","UseDPDF=Y")</f>
        <v>—</v>
      </c>
      <c r="N124" s="13" t="str">
        <f>_xll.BDH("ALNY US Equity","ARDR_DEBT_SCHEDULE_YR_4_5","FQ3 2021","FQ3 2021","Currency=USD","Period=FQ","BEST_FPERIOD_OVERRIDE=FQ","FILING_STATUS=MR","SCALING_FORMAT=MLN","Sort=A","Dates=H","DateFormat=P","Fill=—","Direction=H","UseDPDF=Y")</f>
        <v>—</v>
      </c>
      <c r="O124" s="13" t="str">
        <f>_xll.BDH("ALNY US Equity","ARDR_DEBT_SCHEDULE_YR_4_5","FQ4 2021","FQ4 2021","Currency=USD","Period=FQ","BEST_FPERIOD_OVERRIDE=FQ","FILING_STATUS=MR","SCALING_FORMAT=MLN","Sort=A","Dates=H","DateFormat=P","Fill=—","Direction=H","UseDPDF=Y")</f>
        <v>—</v>
      </c>
      <c r="P124" s="13" t="str">
        <f>_xll.BDH("ALNY US Equity","ARDR_DEBT_SCHEDULE_YR_4_5","FQ1 2022","FQ1 2022","Currency=USD","Period=FQ","BEST_FPERIOD_OVERRIDE=FQ","FILING_STATUS=MR","SCALING_FORMAT=MLN","Sort=A","Dates=H","DateFormat=P","Fill=—","Direction=H","UseDPDF=Y")</f>
        <v>—</v>
      </c>
      <c r="Q124" s="13" t="str">
        <f>_xll.BDH("ALNY US Equity","ARDR_DEBT_SCHEDULE_YR_4_5","FQ2 2022","FQ2 2022","Currency=USD","Period=FQ","BEST_FPERIOD_OVERRIDE=FQ","FILING_STATUS=MR","SCALING_FORMAT=MLN","Sort=A","Dates=H","DateFormat=P","Fill=—","Direction=H","UseDPDF=Y")</f>
        <v>—</v>
      </c>
      <c r="R124" s="13" t="str">
        <f>_xll.BDH("ALNY US Equity","ARDR_DEBT_SCHEDULE_YR_4_5","FQ3 2022","FQ3 2022","Currency=USD","Period=FQ","BEST_FPERIOD_OVERRIDE=FQ","FILING_STATUS=MR","SCALING_FORMAT=MLN","Sort=A","Dates=H","DateFormat=P","Fill=—","Direction=H","UseDPDF=Y")</f>
        <v>—</v>
      </c>
      <c r="S124" s="13" t="str">
        <f>_xll.BDH("ALNY US Equity","ARDR_DEBT_SCHEDULE_YR_4_5","FQ4 2022","FQ4 2022","Currency=USD","Period=FQ","BEST_FPERIOD_OVERRIDE=FQ","FILING_STATUS=MR","SCALING_FORMAT=MLN","Sort=A","Dates=H","DateFormat=P","Fill=—","Direction=H","UseDPDF=Y")</f>
        <v>—</v>
      </c>
      <c r="T124" s="13" t="str">
        <f>_xll.BDH("ALNY US Equity","ARDR_DEBT_SCHEDULE_YR_4_5","FQ1 2023","FQ1 2023","Currency=USD","Period=FQ","BEST_FPERIOD_OVERRIDE=FQ","FILING_STATUS=MR","SCALING_FORMAT=MLN","Sort=A","Dates=H","DateFormat=P","Fill=—","Direction=H","UseDPDF=Y")</f>
        <v>—</v>
      </c>
      <c r="U124" s="13" t="str">
        <f>_xll.BDH("ALNY US Equity","ARDR_DEBT_SCHEDULE_YR_4_5","FQ2 2023","FQ2 2023","Currency=USD","Period=FQ","BEST_FPERIOD_OVERRIDE=FQ","FILING_STATUS=MR","SCALING_FORMAT=MLN","Sort=A","Dates=H","DateFormat=P","Fill=—","Direction=H","UseDPDF=Y")</f>
        <v>—</v>
      </c>
      <c r="V124" s="13" t="str">
        <f>_xll.BDH("ALNY US Equity","ARDR_DEBT_SCHEDULE_YR_4_5","FQ3 2023","FQ3 2023","Currency=USD","Period=FQ","BEST_FPERIOD_OVERRIDE=FQ","FILING_STATUS=MR","SCALING_FORMAT=MLN","Sort=A","Dates=H","DateFormat=P","Fill=—","Direction=H","UseDPDF=Y")</f>
        <v>—</v>
      </c>
      <c r="W124" s="13" t="str">
        <f>_xll.BDH("ALNY US Equity","ARDR_DEBT_SCHEDULE_YR_4_5","FQ4 2023","FQ4 2023","Currency=USD","Period=FQ","BEST_FPERIOD_OVERRIDE=FQ","FILING_STATUS=MR","SCALING_FORMAT=MLN","Sort=A","Dates=H","DateFormat=P","Fill=—","Direction=H","UseDPDF=Y")</f>
        <v>—</v>
      </c>
      <c r="X124" s="13" t="str">
        <f>_xll.BDH("ALNY US Equity","ARDR_DEBT_SCHEDULE_YR_4_5","FQ1 2024","FQ1 2024","Currency=USD","Period=FQ","BEST_FPERIOD_OVERRIDE=FQ","FILING_STATUS=MR","SCALING_FORMAT=MLN","Sort=A","Dates=H","DateFormat=P","Fill=—","Direction=H","UseDPDF=Y")</f>
        <v>—</v>
      </c>
      <c r="Y124" s="13" t="str">
        <f>_xll.BDH("ALNY US Equity","ARDR_DEBT_SCHEDULE_YR_4_5","FQ2 2024","FQ2 2024","Currency=USD","Period=FQ","BEST_FPERIOD_OVERRIDE=FQ","FILING_STATUS=MR","SCALING_FORMAT=MLN","Sort=A","Dates=H","DateFormat=P","Fill=—","Direction=H","UseDPDF=Y")</f>
        <v>—</v>
      </c>
      <c r="Z124" s="13" t="str">
        <f>_xll.BDH("ALNY US Equity","ARDR_DEBT_SCHEDULE_YR_4_5","FQ3 2024","FQ3 2024","Currency=USD","Period=FQ","BEST_FPERIOD_OVERRIDE=FQ","FILING_STATUS=MR","SCALING_FORMAT=MLN","Sort=A","Dates=H","DateFormat=P","Fill=—","Direction=H","UseDPDF=Y")</f>
        <v>—</v>
      </c>
      <c r="AA124" s="13" t="str">
        <f>_xll.BDH("ALNY US Equity","ARDR_DEBT_SCHEDULE_YR_4_5","FQ4 2024","FQ4 2024","Currency=USD","Period=FQ","BEST_FPERIOD_OVERRIDE=FQ","FILING_STATUS=MR","SCALING_FORMAT=MLN","Sort=A","Dates=H","DateFormat=P","Fill=—","Direction=H","UseDPDF=Y")</f>
        <v>—</v>
      </c>
    </row>
    <row r="125" spans="1:27" x14ac:dyDescent="0.25">
      <c r="A125" s="10" t="s">
        <v>1031</v>
      </c>
      <c r="B125" s="10" t="s">
        <v>1032</v>
      </c>
      <c r="C125" s="14">
        <f>_xll.BDH("ALNY US Equity","ARDR_WEI_AVG_COST_OPTIONS_GRANT","FQ4 2018","FQ4 2018","Currency=USD","Period=FQ","BEST_FPERIOD_OVERRIDE=FQ","FILING_STATUS=MR","Sort=A","Dates=H","DateFormat=P","Fill=—","Direction=H","UseDPDF=Y")</f>
        <v>66.489999999999995</v>
      </c>
      <c r="D125" s="14" t="str">
        <f>_xll.BDH("ALNY US Equity","ARDR_WEI_AVG_COST_OPTIONS_GRANT","FQ1 2019","FQ1 2019","Currency=USD","Period=FQ","BEST_FPERIOD_OVERRIDE=FQ","FILING_STATUS=MR","Sort=A","Dates=H","DateFormat=P","Fill=—","Direction=H","UseDPDF=Y")</f>
        <v>—</v>
      </c>
      <c r="E125" s="14" t="str">
        <f>_xll.BDH("ALNY US Equity","ARDR_WEI_AVG_COST_OPTIONS_GRANT","FQ2 2019","FQ2 2019","Currency=USD","Period=FQ","BEST_FPERIOD_OVERRIDE=FQ","FILING_STATUS=MR","Sort=A","Dates=H","DateFormat=P","Fill=—","Direction=H","UseDPDF=Y")</f>
        <v>—</v>
      </c>
      <c r="F125" s="14" t="str">
        <f>_xll.BDH("ALNY US Equity","ARDR_WEI_AVG_COST_OPTIONS_GRANT","FQ3 2019","FQ3 2019","Currency=USD","Period=FQ","BEST_FPERIOD_OVERRIDE=FQ","FILING_STATUS=MR","Sort=A","Dates=H","DateFormat=P","Fill=—","Direction=H","UseDPDF=Y")</f>
        <v>—</v>
      </c>
      <c r="G125" s="14">
        <f>_xll.BDH("ALNY US Equity","ARDR_WEI_AVG_COST_OPTIONS_GRANT","FQ4 2019","FQ4 2019","Currency=USD","Period=FQ","BEST_FPERIOD_OVERRIDE=FQ","FILING_STATUS=MR","Sort=A","Dates=H","DateFormat=P","Fill=—","Direction=H","UseDPDF=Y")</f>
        <v>49.27</v>
      </c>
      <c r="H125" s="14" t="str">
        <f>_xll.BDH("ALNY US Equity","ARDR_WEI_AVG_COST_OPTIONS_GRANT","FQ1 2020","FQ1 2020","Currency=USD","Period=FQ","BEST_FPERIOD_OVERRIDE=FQ","FILING_STATUS=MR","Sort=A","Dates=H","DateFormat=P","Fill=—","Direction=H","UseDPDF=Y")</f>
        <v>—</v>
      </c>
      <c r="I125" s="14" t="str">
        <f>_xll.BDH("ALNY US Equity","ARDR_WEI_AVG_COST_OPTIONS_GRANT","FQ2 2020","FQ2 2020","Currency=USD","Period=FQ","BEST_FPERIOD_OVERRIDE=FQ","FILING_STATUS=MR","Sort=A","Dates=H","DateFormat=P","Fill=—","Direction=H","UseDPDF=Y")</f>
        <v>—</v>
      </c>
      <c r="J125" s="14" t="str">
        <f>_xll.BDH("ALNY US Equity","ARDR_WEI_AVG_COST_OPTIONS_GRANT","FQ3 2020","FQ3 2020","Currency=USD","Period=FQ","BEST_FPERIOD_OVERRIDE=FQ","FILING_STATUS=MR","Sort=A","Dates=H","DateFormat=P","Fill=—","Direction=H","UseDPDF=Y")</f>
        <v>—</v>
      </c>
      <c r="K125" s="14">
        <f>_xll.BDH("ALNY US Equity","ARDR_WEI_AVG_COST_OPTIONS_GRANT","FQ4 2020","FQ4 2020","Currency=USD","Period=FQ","BEST_FPERIOD_OVERRIDE=FQ","FILING_STATUS=MR","Sort=A","Dates=H","DateFormat=P","Fill=—","Direction=H","UseDPDF=Y")</f>
        <v>66.28</v>
      </c>
      <c r="L125" s="14" t="str">
        <f>_xll.BDH("ALNY US Equity","ARDR_WEI_AVG_COST_OPTIONS_GRANT","FQ1 2021","FQ1 2021","Currency=USD","Period=FQ","BEST_FPERIOD_OVERRIDE=FQ","FILING_STATUS=MR","Sort=A","Dates=H","DateFormat=P","Fill=—","Direction=H","UseDPDF=Y")</f>
        <v>—</v>
      </c>
      <c r="M125" s="14" t="str">
        <f>_xll.BDH("ALNY US Equity","ARDR_WEI_AVG_COST_OPTIONS_GRANT","FQ2 2021","FQ2 2021","Currency=USD","Period=FQ","BEST_FPERIOD_OVERRIDE=FQ","FILING_STATUS=MR","Sort=A","Dates=H","DateFormat=P","Fill=—","Direction=H","UseDPDF=Y")</f>
        <v>—</v>
      </c>
      <c r="N125" s="14" t="str">
        <f>_xll.BDH("ALNY US Equity","ARDR_WEI_AVG_COST_OPTIONS_GRANT","FQ3 2021","FQ3 2021","Currency=USD","Period=FQ","BEST_FPERIOD_OVERRIDE=FQ","FILING_STATUS=MR","Sort=A","Dates=H","DateFormat=P","Fill=—","Direction=H","UseDPDF=Y")</f>
        <v>—</v>
      </c>
      <c r="O125" s="14">
        <f>_xll.BDH("ALNY US Equity","ARDR_WEI_AVG_COST_OPTIONS_GRANT","FQ4 2021","FQ4 2021","Currency=USD","Period=FQ","BEST_FPERIOD_OVERRIDE=FQ","FILING_STATUS=MR","Sort=A","Dates=H","DateFormat=P","Fill=—","Direction=H","UseDPDF=Y")</f>
        <v>82.59</v>
      </c>
      <c r="P125" s="14" t="str">
        <f>_xll.BDH("ALNY US Equity","ARDR_WEI_AVG_COST_OPTIONS_GRANT","FQ1 2022","FQ1 2022","Currency=USD","Period=FQ","BEST_FPERIOD_OVERRIDE=FQ","FILING_STATUS=MR","Sort=A","Dates=H","DateFormat=P","Fill=—","Direction=H","UseDPDF=Y")</f>
        <v>—</v>
      </c>
      <c r="Q125" s="14" t="str">
        <f>_xll.BDH("ALNY US Equity","ARDR_WEI_AVG_COST_OPTIONS_GRANT","FQ2 2022","FQ2 2022","Currency=USD","Period=FQ","BEST_FPERIOD_OVERRIDE=FQ","FILING_STATUS=MR","Sort=A","Dates=H","DateFormat=P","Fill=—","Direction=H","UseDPDF=Y")</f>
        <v>—</v>
      </c>
      <c r="R125" s="14" t="str">
        <f>_xll.BDH("ALNY US Equity","ARDR_WEI_AVG_COST_OPTIONS_GRANT","FQ3 2022","FQ3 2022","Currency=USD","Period=FQ","BEST_FPERIOD_OVERRIDE=FQ","FILING_STATUS=MR","Sort=A","Dates=H","DateFormat=P","Fill=—","Direction=H","UseDPDF=Y")</f>
        <v>—</v>
      </c>
      <c r="S125" s="14" t="str">
        <f>_xll.BDH("ALNY US Equity","ARDR_WEI_AVG_COST_OPTIONS_GRANT","FQ4 2022","FQ4 2022","Currency=USD","Period=FQ","BEST_FPERIOD_OVERRIDE=FQ","FILING_STATUS=MR","Sort=A","Dates=H","DateFormat=P","Fill=—","Direction=H","UseDPDF=Y")</f>
        <v>—</v>
      </c>
      <c r="T125" s="14" t="str">
        <f>_xll.BDH("ALNY US Equity","ARDR_WEI_AVG_COST_OPTIONS_GRANT","FQ1 2023","FQ1 2023","Currency=USD","Period=FQ","BEST_FPERIOD_OVERRIDE=FQ","FILING_STATUS=MR","Sort=A","Dates=H","DateFormat=P","Fill=—","Direction=H","UseDPDF=Y")</f>
        <v>—</v>
      </c>
      <c r="U125" s="14" t="str">
        <f>_xll.BDH("ALNY US Equity","ARDR_WEI_AVG_COST_OPTIONS_GRANT","FQ2 2023","FQ2 2023","Currency=USD","Period=FQ","BEST_FPERIOD_OVERRIDE=FQ","FILING_STATUS=MR","Sort=A","Dates=H","DateFormat=P","Fill=—","Direction=H","UseDPDF=Y")</f>
        <v>—</v>
      </c>
      <c r="V125" s="14" t="str">
        <f>_xll.BDH("ALNY US Equity","ARDR_WEI_AVG_COST_OPTIONS_GRANT","FQ3 2023","FQ3 2023","Currency=USD","Period=FQ","BEST_FPERIOD_OVERRIDE=FQ","FILING_STATUS=MR","Sort=A","Dates=H","DateFormat=P","Fill=—","Direction=H","UseDPDF=Y")</f>
        <v>—</v>
      </c>
      <c r="W125" s="14" t="str">
        <f>_xll.BDH("ALNY US Equity","ARDR_WEI_AVG_COST_OPTIONS_GRANT","FQ4 2023","FQ4 2023","Currency=USD","Period=FQ","BEST_FPERIOD_OVERRIDE=FQ","FILING_STATUS=MR","Sort=A","Dates=H","DateFormat=P","Fill=—","Direction=H","UseDPDF=Y")</f>
        <v>—</v>
      </c>
      <c r="X125" s="14" t="str">
        <f>_xll.BDH("ALNY US Equity","ARDR_WEI_AVG_COST_OPTIONS_GRANT","FQ1 2024","FQ1 2024","Currency=USD","Period=FQ","BEST_FPERIOD_OVERRIDE=FQ","FILING_STATUS=MR","Sort=A","Dates=H","DateFormat=P","Fill=—","Direction=H","UseDPDF=Y")</f>
        <v>—</v>
      </c>
      <c r="Y125" s="14" t="str">
        <f>_xll.BDH("ALNY US Equity","ARDR_WEI_AVG_COST_OPTIONS_GRANT","FQ2 2024","FQ2 2024","Currency=USD","Period=FQ","BEST_FPERIOD_OVERRIDE=FQ","FILING_STATUS=MR","Sort=A","Dates=H","DateFormat=P","Fill=—","Direction=H","UseDPDF=Y")</f>
        <v>—</v>
      </c>
      <c r="Z125" s="14" t="str">
        <f>_xll.BDH("ALNY US Equity","ARDR_WEI_AVG_COST_OPTIONS_GRANT","FQ3 2024","FQ3 2024","Currency=USD","Period=FQ","BEST_FPERIOD_OVERRIDE=FQ","FILING_STATUS=MR","Sort=A","Dates=H","DateFormat=P","Fill=—","Direction=H","UseDPDF=Y")</f>
        <v>—</v>
      </c>
      <c r="AA125" s="14" t="str">
        <f>_xll.BDH("ALNY US Equity","ARDR_WEI_AVG_COST_OPTIONS_GRANT","FQ4 2024","FQ4 2024","Currency=USD","Period=FQ","BEST_FPERIOD_OVERRIDE=FQ","FILING_STATUS=MR","Sort=A","Dates=H","DateFormat=P","Fill=—","Direction=H","UseDPDF=Y")</f>
        <v>—</v>
      </c>
    </row>
    <row r="126" spans="1:27" x14ac:dyDescent="0.25">
      <c r="A126" s="10" t="s">
        <v>1033</v>
      </c>
      <c r="B126" s="10" t="s">
        <v>1034</v>
      </c>
      <c r="C126" s="14" t="str">
        <f>_xll.BDH("ALNY US Equity","ARDR_STOCK_OPTION_VAL_EXP_LIFE","FQ4 2018","FQ4 2018","Currency=USD","Period=FQ","BEST_FPERIOD_OVERRIDE=FQ","FILING_STATUS=MR","Sort=A","Dates=H","DateFormat=P","Fill=—","Direction=H","UseDPDF=Y")</f>
        <v>—</v>
      </c>
      <c r="D126" s="14" t="str">
        <f>_xll.BDH("ALNY US Equity","ARDR_STOCK_OPTION_VAL_EXP_LIFE","FQ1 2019","FQ1 2019","Currency=USD","Period=FQ","BEST_FPERIOD_OVERRIDE=FQ","FILING_STATUS=MR","Sort=A","Dates=H","DateFormat=P","Fill=—","Direction=H","UseDPDF=Y")</f>
        <v>—</v>
      </c>
      <c r="E126" s="14" t="str">
        <f>_xll.BDH("ALNY US Equity","ARDR_STOCK_OPTION_VAL_EXP_LIFE","FQ2 2019","FQ2 2019","Currency=USD","Period=FQ","BEST_FPERIOD_OVERRIDE=FQ","FILING_STATUS=MR","Sort=A","Dates=H","DateFormat=P","Fill=—","Direction=H","UseDPDF=Y")</f>
        <v>—</v>
      </c>
      <c r="F126" s="14" t="str">
        <f>_xll.BDH("ALNY US Equity","ARDR_STOCK_OPTION_VAL_EXP_LIFE","FQ3 2019","FQ3 2019","Currency=USD","Period=FQ","BEST_FPERIOD_OVERRIDE=FQ","FILING_STATUS=MR","Sort=A","Dates=H","DateFormat=P","Fill=—","Direction=H","UseDPDF=Y")</f>
        <v>—</v>
      </c>
      <c r="G126" s="14" t="str">
        <f>_xll.BDH("ALNY US Equity","ARDR_STOCK_OPTION_VAL_EXP_LIFE","FQ4 2019","FQ4 2019","Currency=USD","Period=FQ","BEST_FPERIOD_OVERRIDE=FQ","FILING_STATUS=MR","Sort=A","Dates=H","DateFormat=P","Fill=—","Direction=H","UseDPDF=Y")</f>
        <v>—</v>
      </c>
      <c r="H126" s="14" t="str">
        <f>_xll.BDH("ALNY US Equity","ARDR_STOCK_OPTION_VAL_EXP_LIFE","FQ1 2020","FQ1 2020","Currency=USD","Period=FQ","BEST_FPERIOD_OVERRIDE=FQ","FILING_STATUS=MR","Sort=A","Dates=H","DateFormat=P","Fill=—","Direction=H","UseDPDF=Y")</f>
        <v>—</v>
      </c>
      <c r="I126" s="14" t="str">
        <f>_xll.BDH("ALNY US Equity","ARDR_STOCK_OPTION_VAL_EXP_LIFE","FQ2 2020","FQ2 2020","Currency=USD","Period=FQ","BEST_FPERIOD_OVERRIDE=FQ","FILING_STATUS=MR","Sort=A","Dates=H","DateFormat=P","Fill=—","Direction=H","UseDPDF=Y")</f>
        <v>—</v>
      </c>
      <c r="J126" s="14" t="str">
        <f>_xll.BDH("ALNY US Equity","ARDR_STOCK_OPTION_VAL_EXP_LIFE","FQ3 2020","FQ3 2020","Currency=USD","Period=FQ","BEST_FPERIOD_OVERRIDE=FQ","FILING_STATUS=MR","Sort=A","Dates=H","DateFormat=P","Fill=—","Direction=H","UseDPDF=Y")</f>
        <v>—</v>
      </c>
      <c r="K126" s="14" t="str">
        <f>_xll.BDH("ALNY US Equity","ARDR_STOCK_OPTION_VAL_EXP_LIFE","FQ4 2020","FQ4 2020","Currency=USD","Period=FQ","BEST_FPERIOD_OVERRIDE=FQ","FILING_STATUS=MR","Sort=A","Dates=H","DateFormat=P","Fill=—","Direction=H","UseDPDF=Y")</f>
        <v>—</v>
      </c>
      <c r="L126" s="14" t="str">
        <f>_xll.BDH("ALNY US Equity","ARDR_STOCK_OPTION_VAL_EXP_LIFE","FQ1 2021","FQ1 2021","Currency=USD","Period=FQ","BEST_FPERIOD_OVERRIDE=FQ","FILING_STATUS=MR","Sort=A","Dates=H","DateFormat=P","Fill=—","Direction=H","UseDPDF=Y")</f>
        <v>—</v>
      </c>
      <c r="M126" s="14" t="str">
        <f>_xll.BDH("ALNY US Equity","ARDR_STOCK_OPTION_VAL_EXP_LIFE","FQ2 2021","FQ2 2021","Currency=USD","Period=FQ","BEST_FPERIOD_OVERRIDE=FQ","FILING_STATUS=MR","Sort=A","Dates=H","DateFormat=P","Fill=—","Direction=H","UseDPDF=Y")</f>
        <v>—</v>
      </c>
      <c r="N126" s="14" t="str">
        <f>_xll.BDH("ALNY US Equity","ARDR_STOCK_OPTION_VAL_EXP_LIFE","FQ3 2021","FQ3 2021","Currency=USD","Period=FQ","BEST_FPERIOD_OVERRIDE=FQ","FILING_STATUS=MR","Sort=A","Dates=H","DateFormat=P","Fill=—","Direction=H","UseDPDF=Y")</f>
        <v>—</v>
      </c>
      <c r="O126" s="14" t="str">
        <f>_xll.BDH("ALNY US Equity","ARDR_STOCK_OPTION_VAL_EXP_LIFE","FQ4 2021","FQ4 2021","Currency=USD","Period=FQ","BEST_FPERIOD_OVERRIDE=FQ","FILING_STATUS=MR","Sort=A","Dates=H","DateFormat=P","Fill=—","Direction=H","UseDPDF=Y")</f>
        <v>—</v>
      </c>
      <c r="P126" s="14" t="str">
        <f>_xll.BDH("ALNY US Equity","ARDR_STOCK_OPTION_VAL_EXP_LIFE","FQ1 2022","FQ1 2022","Currency=USD","Period=FQ","BEST_FPERIOD_OVERRIDE=FQ","FILING_STATUS=MR","Sort=A","Dates=H","DateFormat=P","Fill=—","Direction=H","UseDPDF=Y")</f>
        <v>—</v>
      </c>
      <c r="Q126" s="14" t="str">
        <f>_xll.BDH("ALNY US Equity","ARDR_STOCK_OPTION_VAL_EXP_LIFE","FQ2 2022","FQ2 2022","Currency=USD","Period=FQ","BEST_FPERIOD_OVERRIDE=FQ","FILING_STATUS=MR","Sort=A","Dates=H","DateFormat=P","Fill=—","Direction=H","UseDPDF=Y")</f>
        <v>—</v>
      </c>
      <c r="R126" s="14" t="str">
        <f>_xll.BDH("ALNY US Equity","ARDR_STOCK_OPTION_VAL_EXP_LIFE","FQ3 2022","FQ3 2022","Currency=USD","Period=FQ","BEST_FPERIOD_OVERRIDE=FQ","FILING_STATUS=MR","Sort=A","Dates=H","DateFormat=P","Fill=—","Direction=H","UseDPDF=Y")</f>
        <v>—</v>
      </c>
      <c r="S126" s="14" t="str">
        <f>_xll.BDH("ALNY US Equity","ARDR_STOCK_OPTION_VAL_EXP_LIFE","FQ4 2022","FQ4 2022","Currency=USD","Period=FQ","BEST_FPERIOD_OVERRIDE=FQ","FILING_STATUS=MR","Sort=A","Dates=H","DateFormat=P","Fill=—","Direction=H","UseDPDF=Y")</f>
        <v>—</v>
      </c>
      <c r="T126" s="14" t="str">
        <f>_xll.BDH("ALNY US Equity","ARDR_STOCK_OPTION_VAL_EXP_LIFE","FQ1 2023","FQ1 2023","Currency=USD","Period=FQ","BEST_FPERIOD_OVERRIDE=FQ","FILING_STATUS=MR","Sort=A","Dates=H","DateFormat=P","Fill=—","Direction=H","UseDPDF=Y")</f>
        <v>—</v>
      </c>
      <c r="U126" s="14" t="str">
        <f>_xll.BDH("ALNY US Equity","ARDR_STOCK_OPTION_VAL_EXP_LIFE","FQ2 2023","FQ2 2023","Currency=USD","Period=FQ","BEST_FPERIOD_OVERRIDE=FQ","FILING_STATUS=MR","Sort=A","Dates=H","DateFormat=P","Fill=—","Direction=H","UseDPDF=Y")</f>
        <v>—</v>
      </c>
      <c r="V126" s="14" t="str">
        <f>_xll.BDH("ALNY US Equity","ARDR_STOCK_OPTION_VAL_EXP_LIFE","FQ3 2023","FQ3 2023","Currency=USD","Period=FQ","BEST_FPERIOD_OVERRIDE=FQ","FILING_STATUS=MR","Sort=A","Dates=H","DateFormat=P","Fill=—","Direction=H","UseDPDF=Y")</f>
        <v>—</v>
      </c>
      <c r="W126" s="14" t="str">
        <f>_xll.BDH("ALNY US Equity","ARDR_STOCK_OPTION_VAL_EXP_LIFE","FQ4 2023","FQ4 2023","Currency=USD","Period=FQ","BEST_FPERIOD_OVERRIDE=FQ","FILING_STATUS=MR","Sort=A","Dates=H","DateFormat=P","Fill=—","Direction=H","UseDPDF=Y")</f>
        <v>—</v>
      </c>
      <c r="X126" s="14" t="str">
        <f>_xll.BDH("ALNY US Equity","ARDR_STOCK_OPTION_VAL_EXP_LIFE","FQ1 2024","FQ1 2024","Currency=USD","Period=FQ","BEST_FPERIOD_OVERRIDE=FQ","FILING_STATUS=MR","Sort=A","Dates=H","DateFormat=P","Fill=—","Direction=H","UseDPDF=Y")</f>
        <v>—</v>
      </c>
      <c r="Y126" s="14" t="str">
        <f>_xll.BDH("ALNY US Equity","ARDR_STOCK_OPTION_VAL_EXP_LIFE","FQ2 2024","FQ2 2024","Currency=USD","Period=FQ","BEST_FPERIOD_OVERRIDE=FQ","FILING_STATUS=MR","Sort=A","Dates=H","DateFormat=P","Fill=—","Direction=H","UseDPDF=Y")</f>
        <v>—</v>
      </c>
      <c r="Z126" s="14" t="str">
        <f>_xll.BDH("ALNY US Equity","ARDR_STOCK_OPTION_VAL_EXP_LIFE","FQ3 2024","FQ3 2024","Currency=USD","Period=FQ","BEST_FPERIOD_OVERRIDE=FQ","FILING_STATUS=MR","Sort=A","Dates=H","DateFormat=P","Fill=—","Direction=H","UseDPDF=Y")</f>
        <v>—</v>
      </c>
      <c r="AA126" s="14">
        <f>_xll.BDH("ALNY US Equity","ARDR_STOCK_OPTION_VAL_EXP_LIFE","FQ4 2024","FQ4 2024","Currency=USD","Period=FQ","BEST_FPERIOD_OVERRIDE=FQ","FILING_STATUS=MR","Sort=A","Dates=H","DateFormat=P","Fill=—","Direction=H","UseDPDF=Y")</f>
        <v>6</v>
      </c>
    </row>
    <row r="127" spans="1:27" x14ac:dyDescent="0.25">
      <c r="A127" s="10" t="s">
        <v>1035</v>
      </c>
      <c r="B127" s="10" t="s">
        <v>1036</v>
      </c>
      <c r="C127" s="14">
        <f>_xll.BDH("ALNY US Equity","ARDR_STOCK_OPTION_VAL_DVD_YLD","FQ4 2018","FQ4 2018","Currency=USD","Period=FQ","BEST_FPERIOD_OVERRIDE=FQ","FILING_STATUS=MR","Sort=A","Dates=H","DateFormat=P","Fill=—","Direction=H","UseDPDF=Y")</f>
        <v>0</v>
      </c>
      <c r="D127" s="14" t="str">
        <f>_xll.BDH("ALNY US Equity","ARDR_STOCK_OPTION_VAL_DVD_YLD","FQ1 2019","FQ1 2019","Currency=USD","Period=FQ","BEST_FPERIOD_OVERRIDE=FQ","FILING_STATUS=MR","Sort=A","Dates=H","DateFormat=P","Fill=—","Direction=H","UseDPDF=Y")</f>
        <v>—</v>
      </c>
      <c r="E127" s="14" t="str">
        <f>_xll.BDH("ALNY US Equity","ARDR_STOCK_OPTION_VAL_DVD_YLD","FQ2 2019","FQ2 2019","Currency=USD","Period=FQ","BEST_FPERIOD_OVERRIDE=FQ","FILING_STATUS=MR","Sort=A","Dates=H","DateFormat=P","Fill=—","Direction=H","UseDPDF=Y")</f>
        <v>—</v>
      </c>
      <c r="F127" s="14" t="str">
        <f>_xll.BDH("ALNY US Equity","ARDR_STOCK_OPTION_VAL_DVD_YLD","FQ3 2019","FQ3 2019","Currency=USD","Period=FQ","BEST_FPERIOD_OVERRIDE=FQ","FILING_STATUS=MR","Sort=A","Dates=H","DateFormat=P","Fill=—","Direction=H","UseDPDF=Y")</f>
        <v>—</v>
      </c>
      <c r="G127" s="14">
        <f>_xll.BDH("ALNY US Equity","ARDR_STOCK_OPTION_VAL_DVD_YLD","FQ4 2019","FQ4 2019","Currency=USD","Period=FQ","BEST_FPERIOD_OVERRIDE=FQ","FILING_STATUS=MR","Sort=A","Dates=H","DateFormat=P","Fill=—","Direction=H","UseDPDF=Y")</f>
        <v>0</v>
      </c>
      <c r="H127" s="14" t="str">
        <f>_xll.BDH("ALNY US Equity","ARDR_STOCK_OPTION_VAL_DVD_YLD","FQ1 2020","FQ1 2020","Currency=USD","Period=FQ","BEST_FPERIOD_OVERRIDE=FQ","FILING_STATUS=MR","Sort=A","Dates=H","DateFormat=P","Fill=—","Direction=H","UseDPDF=Y")</f>
        <v>—</v>
      </c>
      <c r="I127" s="14" t="str">
        <f>_xll.BDH("ALNY US Equity","ARDR_STOCK_OPTION_VAL_DVD_YLD","FQ2 2020","FQ2 2020","Currency=USD","Period=FQ","BEST_FPERIOD_OVERRIDE=FQ","FILING_STATUS=MR","Sort=A","Dates=H","DateFormat=P","Fill=—","Direction=H","UseDPDF=Y")</f>
        <v>—</v>
      </c>
      <c r="J127" s="14" t="str">
        <f>_xll.BDH("ALNY US Equity","ARDR_STOCK_OPTION_VAL_DVD_YLD","FQ3 2020","FQ3 2020","Currency=USD","Period=FQ","BEST_FPERIOD_OVERRIDE=FQ","FILING_STATUS=MR","Sort=A","Dates=H","DateFormat=P","Fill=—","Direction=H","UseDPDF=Y")</f>
        <v>—</v>
      </c>
      <c r="K127" s="14">
        <f>_xll.BDH("ALNY US Equity","ARDR_STOCK_OPTION_VAL_DVD_YLD","FQ4 2020","FQ4 2020","Currency=USD","Period=FQ","BEST_FPERIOD_OVERRIDE=FQ","FILING_STATUS=MR","Sort=A","Dates=H","DateFormat=P","Fill=—","Direction=H","UseDPDF=Y")</f>
        <v>0</v>
      </c>
      <c r="L127" s="14" t="str">
        <f>_xll.BDH("ALNY US Equity","ARDR_STOCK_OPTION_VAL_DVD_YLD","FQ1 2021","FQ1 2021","Currency=USD","Period=FQ","BEST_FPERIOD_OVERRIDE=FQ","FILING_STATUS=MR","Sort=A","Dates=H","DateFormat=P","Fill=—","Direction=H","UseDPDF=Y")</f>
        <v>—</v>
      </c>
      <c r="M127" s="14" t="str">
        <f>_xll.BDH("ALNY US Equity","ARDR_STOCK_OPTION_VAL_DVD_YLD","FQ2 2021","FQ2 2021","Currency=USD","Period=FQ","BEST_FPERIOD_OVERRIDE=FQ","FILING_STATUS=MR","Sort=A","Dates=H","DateFormat=P","Fill=—","Direction=H","UseDPDF=Y")</f>
        <v>—</v>
      </c>
      <c r="N127" s="14" t="str">
        <f>_xll.BDH("ALNY US Equity","ARDR_STOCK_OPTION_VAL_DVD_YLD","FQ3 2021","FQ3 2021","Currency=USD","Period=FQ","BEST_FPERIOD_OVERRIDE=FQ","FILING_STATUS=MR","Sort=A","Dates=H","DateFormat=P","Fill=—","Direction=H","UseDPDF=Y")</f>
        <v>—</v>
      </c>
      <c r="O127" s="14">
        <f>_xll.BDH("ALNY US Equity","ARDR_STOCK_OPTION_VAL_DVD_YLD","FQ4 2021","FQ4 2021","Currency=USD","Period=FQ","BEST_FPERIOD_OVERRIDE=FQ","FILING_STATUS=MR","Sort=A","Dates=H","DateFormat=P","Fill=—","Direction=H","UseDPDF=Y")</f>
        <v>0</v>
      </c>
      <c r="P127" s="14" t="str">
        <f>_xll.BDH("ALNY US Equity","ARDR_STOCK_OPTION_VAL_DVD_YLD","FQ1 2022","FQ1 2022","Currency=USD","Period=FQ","BEST_FPERIOD_OVERRIDE=FQ","FILING_STATUS=MR","Sort=A","Dates=H","DateFormat=P","Fill=—","Direction=H","UseDPDF=Y")</f>
        <v>—</v>
      </c>
      <c r="Q127" s="14" t="str">
        <f>_xll.BDH("ALNY US Equity","ARDR_STOCK_OPTION_VAL_DVD_YLD","FQ2 2022","FQ2 2022","Currency=USD","Period=FQ","BEST_FPERIOD_OVERRIDE=FQ","FILING_STATUS=MR","Sort=A","Dates=H","DateFormat=P","Fill=—","Direction=H","UseDPDF=Y")</f>
        <v>—</v>
      </c>
      <c r="R127" s="14" t="str">
        <f>_xll.BDH("ALNY US Equity","ARDR_STOCK_OPTION_VAL_DVD_YLD","FQ3 2022","FQ3 2022","Currency=USD","Period=FQ","BEST_FPERIOD_OVERRIDE=FQ","FILING_STATUS=MR","Sort=A","Dates=H","DateFormat=P","Fill=—","Direction=H","UseDPDF=Y")</f>
        <v>—</v>
      </c>
      <c r="S127" s="14">
        <f>_xll.BDH("ALNY US Equity","ARDR_STOCK_OPTION_VAL_DVD_YLD","FQ4 2022","FQ4 2022","Currency=USD","Period=FQ","BEST_FPERIOD_OVERRIDE=FQ","FILING_STATUS=MR","Sort=A","Dates=H","DateFormat=P","Fill=—","Direction=H","UseDPDF=Y")</f>
        <v>0</v>
      </c>
      <c r="T127" s="14" t="str">
        <f>_xll.BDH("ALNY US Equity","ARDR_STOCK_OPTION_VAL_DVD_YLD","FQ1 2023","FQ1 2023","Currency=USD","Period=FQ","BEST_FPERIOD_OVERRIDE=FQ","FILING_STATUS=MR","Sort=A","Dates=H","DateFormat=P","Fill=—","Direction=H","UseDPDF=Y")</f>
        <v>—</v>
      </c>
      <c r="U127" s="14" t="str">
        <f>_xll.BDH("ALNY US Equity","ARDR_STOCK_OPTION_VAL_DVD_YLD","FQ2 2023","FQ2 2023","Currency=USD","Period=FQ","BEST_FPERIOD_OVERRIDE=FQ","FILING_STATUS=MR","Sort=A","Dates=H","DateFormat=P","Fill=—","Direction=H","UseDPDF=Y")</f>
        <v>—</v>
      </c>
      <c r="V127" s="14" t="str">
        <f>_xll.BDH("ALNY US Equity","ARDR_STOCK_OPTION_VAL_DVD_YLD","FQ3 2023","FQ3 2023","Currency=USD","Period=FQ","BEST_FPERIOD_OVERRIDE=FQ","FILING_STATUS=MR","Sort=A","Dates=H","DateFormat=P","Fill=—","Direction=H","UseDPDF=Y")</f>
        <v>—</v>
      </c>
      <c r="W127" s="14">
        <f>_xll.BDH("ALNY US Equity","ARDR_STOCK_OPTION_VAL_DVD_YLD","FQ4 2023","FQ4 2023","Currency=USD","Period=FQ","BEST_FPERIOD_OVERRIDE=FQ","FILING_STATUS=MR","Sort=A","Dates=H","DateFormat=P","Fill=—","Direction=H","UseDPDF=Y")</f>
        <v>0</v>
      </c>
      <c r="X127" s="14" t="str">
        <f>_xll.BDH("ALNY US Equity","ARDR_STOCK_OPTION_VAL_DVD_YLD","FQ1 2024","FQ1 2024","Currency=USD","Period=FQ","BEST_FPERIOD_OVERRIDE=FQ","FILING_STATUS=MR","Sort=A","Dates=H","DateFormat=P","Fill=—","Direction=H","UseDPDF=Y")</f>
        <v>—</v>
      </c>
      <c r="Y127" s="14" t="str">
        <f>_xll.BDH("ALNY US Equity","ARDR_STOCK_OPTION_VAL_DVD_YLD","FQ2 2024","FQ2 2024","Currency=USD","Period=FQ","BEST_FPERIOD_OVERRIDE=FQ","FILING_STATUS=MR","Sort=A","Dates=H","DateFormat=P","Fill=—","Direction=H","UseDPDF=Y")</f>
        <v>—</v>
      </c>
      <c r="Z127" s="14" t="str">
        <f>_xll.BDH("ALNY US Equity","ARDR_STOCK_OPTION_VAL_DVD_YLD","FQ3 2024","FQ3 2024","Currency=USD","Period=FQ","BEST_FPERIOD_OVERRIDE=FQ","FILING_STATUS=MR","Sort=A","Dates=H","DateFormat=P","Fill=—","Direction=H","UseDPDF=Y")</f>
        <v>—</v>
      </c>
      <c r="AA127" s="14">
        <f>_xll.BDH("ALNY US Equity","ARDR_STOCK_OPTION_VAL_DVD_YLD","FQ4 2024","FQ4 2024","Currency=USD","Period=FQ","BEST_FPERIOD_OVERRIDE=FQ","FILING_STATUS=MR","Sort=A","Dates=H","DateFormat=P","Fill=—","Direction=H","UseDPDF=Y")</f>
        <v>0</v>
      </c>
    </row>
    <row r="128" spans="1:27" x14ac:dyDescent="0.25">
      <c r="A128" s="10" t="s">
        <v>1037</v>
      </c>
      <c r="B128" s="10" t="s">
        <v>1038</v>
      </c>
      <c r="C128" s="14">
        <f>_xll.BDH("ALNY US Equity","ARDR_AVG_EXER_PX_OPT_EXERCISABLE","FQ4 2018","FQ4 2018","Currency=USD","Period=FQ","BEST_FPERIOD_OVERRIDE=FQ","FILING_STATUS=MR","Sort=A","Dates=H","DateFormat=P","Fill=—","Direction=H","UseDPDF=Y")</f>
        <v>58.9</v>
      </c>
      <c r="D128" s="14" t="str">
        <f>_xll.BDH("ALNY US Equity","ARDR_AVG_EXER_PX_OPT_EXERCISABLE","FQ1 2019","FQ1 2019","Currency=USD","Period=FQ","BEST_FPERIOD_OVERRIDE=FQ","FILING_STATUS=MR","Sort=A","Dates=H","DateFormat=P","Fill=—","Direction=H","UseDPDF=Y")</f>
        <v>—</v>
      </c>
      <c r="E128" s="14" t="str">
        <f>_xll.BDH("ALNY US Equity","ARDR_AVG_EXER_PX_OPT_EXERCISABLE","FQ2 2019","FQ2 2019","Currency=USD","Period=FQ","BEST_FPERIOD_OVERRIDE=FQ","FILING_STATUS=MR","Sort=A","Dates=H","DateFormat=P","Fill=—","Direction=H","UseDPDF=Y")</f>
        <v>—</v>
      </c>
      <c r="F128" s="14" t="str">
        <f>_xll.BDH("ALNY US Equity","ARDR_AVG_EXER_PX_OPT_EXERCISABLE","FQ3 2019","FQ3 2019","Currency=USD","Period=FQ","BEST_FPERIOD_OVERRIDE=FQ","FILING_STATUS=MR","Sort=A","Dates=H","DateFormat=P","Fill=—","Direction=H","UseDPDF=Y")</f>
        <v>—</v>
      </c>
      <c r="G128" s="14">
        <f>_xll.BDH("ALNY US Equity","ARDR_AVG_EXER_PX_OPT_EXERCISABLE","FQ4 2019","FQ4 2019","Currency=USD","Period=FQ","BEST_FPERIOD_OVERRIDE=FQ","FILING_STATUS=MR","Sort=A","Dates=H","DateFormat=P","Fill=—","Direction=H","UseDPDF=Y")</f>
        <v>69.44</v>
      </c>
      <c r="H128" s="14" t="str">
        <f>_xll.BDH("ALNY US Equity","ARDR_AVG_EXER_PX_OPT_EXERCISABLE","FQ1 2020","FQ1 2020","Currency=USD","Period=FQ","BEST_FPERIOD_OVERRIDE=FQ","FILING_STATUS=MR","Sort=A","Dates=H","DateFormat=P","Fill=—","Direction=H","UseDPDF=Y")</f>
        <v>—</v>
      </c>
      <c r="I128" s="14" t="str">
        <f>_xll.BDH("ALNY US Equity","ARDR_AVG_EXER_PX_OPT_EXERCISABLE","FQ2 2020","FQ2 2020","Currency=USD","Period=FQ","BEST_FPERIOD_OVERRIDE=FQ","FILING_STATUS=MR","Sort=A","Dates=H","DateFormat=P","Fill=—","Direction=H","UseDPDF=Y")</f>
        <v>—</v>
      </c>
      <c r="J128" s="14" t="str">
        <f>_xll.BDH("ALNY US Equity","ARDR_AVG_EXER_PX_OPT_EXERCISABLE","FQ3 2020","FQ3 2020","Currency=USD","Period=FQ","BEST_FPERIOD_OVERRIDE=FQ","FILING_STATUS=MR","Sort=A","Dates=H","DateFormat=P","Fill=—","Direction=H","UseDPDF=Y")</f>
        <v>—</v>
      </c>
      <c r="K128" s="14">
        <f>_xll.BDH("ALNY US Equity","ARDR_AVG_EXER_PX_OPT_EXERCISABLE","FQ4 2020","FQ4 2020","Currency=USD","Period=FQ","BEST_FPERIOD_OVERRIDE=FQ","FILING_STATUS=MR","Sort=A","Dates=H","DateFormat=P","Fill=—","Direction=H","UseDPDF=Y")</f>
        <v>76.790000000000006</v>
      </c>
      <c r="L128" s="14" t="str">
        <f>_xll.BDH("ALNY US Equity","ARDR_AVG_EXER_PX_OPT_EXERCISABLE","FQ1 2021","FQ1 2021","Currency=USD","Period=FQ","BEST_FPERIOD_OVERRIDE=FQ","FILING_STATUS=MR","Sort=A","Dates=H","DateFormat=P","Fill=—","Direction=H","UseDPDF=Y")</f>
        <v>—</v>
      </c>
      <c r="M128" s="14" t="str">
        <f>_xll.BDH("ALNY US Equity","ARDR_AVG_EXER_PX_OPT_EXERCISABLE","FQ2 2021","FQ2 2021","Currency=USD","Period=FQ","BEST_FPERIOD_OVERRIDE=FQ","FILING_STATUS=MR","Sort=A","Dates=H","DateFormat=P","Fill=—","Direction=H","UseDPDF=Y")</f>
        <v>—</v>
      </c>
      <c r="N128" s="14" t="str">
        <f>_xll.BDH("ALNY US Equity","ARDR_AVG_EXER_PX_OPT_EXERCISABLE","FQ3 2021","FQ3 2021","Currency=USD","Period=FQ","BEST_FPERIOD_OVERRIDE=FQ","FILING_STATUS=MR","Sort=A","Dates=H","DateFormat=P","Fill=—","Direction=H","UseDPDF=Y")</f>
        <v>—</v>
      </c>
      <c r="O128" s="14">
        <f>_xll.BDH("ALNY US Equity","ARDR_AVG_EXER_PX_OPT_EXERCISABLE","FQ4 2021","FQ4 2021","Currency=USD","Period=FQ","BEST_FPERIOD_OVERRIDE=FQ","FILING_STATUS=MR","Sort=A","Dates=H","DateFormat=P","Fill=—","Direction=H","UseDPDF=Y")</f>
        <v>87.39</v>
      </c>
      <c r="P128" s="14" t="str">
        <f>_xll.BDH("ALNY US Equity","ARDR_AVG_EXER_PX_OPT_EXERCISABLE","FQ1 2022","FQ1 2022","Currency=USD","Period=FQ","BEST_FPERIOD_OVERRIDE=FQ","FILING_STATUS=MR","Sort=A","Dates=H","DateFormat=P","Fill=—","Direction=H","UseDPDF=Y")</f>
        <v>—</v>
      </c>
      <c r="Q128" s="14" t="str">
        <f>_xll.BDH("ALNY US Equity","ARDR_AVG_EXER_PX_OPT_EXERCISABLE","FQ2 2022","FQ2 2022","Currency=USD","Period=FQ","BEST_FPERIOD_OVERRIDE=FQ","FILING_STATUS=MR","Sort=A","Dates=H","DateFormat=P","Fill=—","Direction=H","UseDPDF=Y")</f>
        <v>—</v>
      </c>
      <c r="R128" s="14" t="str">
        <f>_xll.BDH("ALNY US Equity","ARDR_AVG_EXER_PX_OPT_EXERCISABLE","FQ3 2022","FQ3 2022","Currency=USD","Period=FQ","BEST_FPERIOD_OVERRIDE=FQ","FILING_STATUS=MR","Sort=A","Dates=H","DateFormat=P","Fill=—","Direction=H","UseDPDF=Y")</f>
        <v>—</v>
      </c>
      <c r="S128" s="14">
        <f>_xll.BDH("ALNY US Equity","ARDR_AVG_EXER_PX_OPT_EXERCISABLE","FQ4 2022","FQ4 2022","Currency=USD","Period=FQ","BEST_FPERIOD_OVERRIDE=FQ","FILING_STATUS=MR","Sort=A","Dates=H","DateFormat=P","Fill=—","Direction=H","UseDPDF=Y")</f>
        <v>102.17</v>
      </c>
      <c r="T128" s="14" t="str">
        <f>_xll.BDH("ALNY US Equity","ARDR_AVG_EXER_PX_OPT_EXERCISABLE","FQ1 2023","FQ1 2023","Currency=USD","Period=FQ","BEST_FPERIOD_OVERRIDE=FQ","FILING_STATUS=MR","Sort=A","Dates=H","DateFormat=P","Fill=—","Direction=H","UseDPDF=Y")</f>
        <v>—</v>
      </c>
      <c r="U128" s="14" t="str">
        <f>_xll.BDH("ALNY US Equity","ARDR_AVG_EXER_PX_OPT_EXERCISABLE","FQ2 2023","FQ2 2023","Currency=USD","Period=FQ","BEST_FPERIOD_OVERRIDE=FQ","FILING_STATUS=MR","Sort=A","Dates=H","DateFormat=P","Fill=—","Direction=H","UseDPDF=Y")</f>
        <v>—</v>
      </c>
      <c r="V128" s="14" t="str">
        <f>_xll.BDH("ALNY US Equity","ARDR_AVG_EXER_PX_OPT_EXERCISABLE","FQ3 2023","FQ3 2023","Currency=USD","Period=FQ","BEST_FPERIOD_OVERRIDE=FQ","FILING_STATUS=MR","Sort=A","Dates=H","DateFormat=P","Fill=—","Direction=H","UseDPDF=Y")</f>
        <v>—</v>
      </c>
      <c r="W128" s="14">
        <f>_xll.BDH("ALNY US Equity","ARDR_AVG_EXER_PX_OPT_EXERCISABLE","FQ4 2023","FQ4 2023","Currency=USD","Period=FQ","BEST_FPERIOD_OVERRIDE=FQ","FILING_STATUS=MR","Sort=A","Dates=H","DateFormat=P","Fill=—","Direction=H","UseDPDF=Y")</f>
        <v>114.14</v>
      </c>
      <c r="X128" s="14" t="str">
        <f>_xll.BDH("ALNY US Equity","ARDR_AVG_EXER_PX_OPT_EXERCISABLE","FQ1 2024","FQ1 2024","Currency=USD","Period=FQ","BEST_FPERIOD_OVERRIDE=FQ","FILING_STATUS=MR","Sort=A","Dates=H","DateFormat=P","Fill=—","Direction=H","UseDPDF=Y")</f>
        <v>—</v>
      </c>
      <c r="Y128" s="14" t="str">
        <f>_xll.BDH("ALNY US Equity","ARDR_AVG_EXER_PX_OPT_EXERCISABLE","FQ2 2024","FQ2 2024","Currency=USD","Period=FQ","BEST_FPERIOD_OVERRIDE=FQ","FILING_STATUS=MR","Sort=A","Dates=H","DateFormat=P","Fill=—","Direction=H","UseDPDF=Y")</f>
        <v>—</v>
      </c>
      <c r="Z128" s="14" t="str">
        <f>_xll.BDH("ALNY US Equity","ARDR_AVG_EXER_PX_OPT_EXERCISABLE","FQ3 2024","FQ3 2024","Currency=USD","Period=FQ","BEST_FPERIOD_OVERRIDE=FQ","FILING_STATUS=MR","Sort=A","Dates=H","DateFormat=P","Fill=—","Direction=H","UseDPDF=Y")</f>
        <v>—</v>
      </c>
      <c r="AA128" s="14">
        <f>_xll.BDH("ALNY US Equity","ARDR_AVG_EXER_PX_OPT_EXERCISABLE","FQ4 2024","FQ4 2024","Currency=USD","Period=FQ","BEST_FPERIOD_OVERRIDE=FQ","FILING_STATUS=MR","Sort=A","Dates=H","DateFormat=P","Fill=—","Direction=H","UseDPDF=Y")</f>
        <v>125.19</v>
      </c>
    </row>
    <row r="129" spans="1:27" x14ac:dyDescent="0.25">
      <c r="A129" s="10" t="s">
        <v>1039</v>
      </c>
      <c r="B129" s="10" t="s">
        <v>1040</v>
      </c>
      <c r="C129" s="14">
        <f>_xll.BDH("ALNY US Equity","ARDR_AVG_EXER_PX_OPT_OUTSTANDING","FQ4 2018","FQ4 2018","Currency=USD","Period=FQ","BEST_FPERIOD_OVERRIDE=FQ","FILING_STATUS=MR","Sort=A","Dates=H","DateFormat=P","Fill=—","Direction=H","UseDPDF=Y")</f>
        <v>72.48</v>
      </c>
      <c r="D129" s="14" t="str">
        <f>_xll.BDH("ALNY US Equity","ARDR_AVG_EXER_PX_OPT_OUTSTANDING","FQ1 2019","FQ1 2019","Currency=USD","Period=FQ","BEST_FPERIOD_OVERRIDE=FQ","FILING_STATUS=MR","Sort=A","Dates=H","DateFormat=P","Fill=—","Direction=H","UseDPDF=Y")</f>
        <v>—</v>
      </c>
      <c r="E129" s="14" t="str">
        <f>_xll.BDH("ALNY US Equity","ARDR_AVG_EXER_PX_OPT_OUTSTANDING","FQ2 2019","FQ2 2019","Currency=USD","Period=FQ","BEST_FPERIOD_OVERRIDE=FQ","FILING_STATUS=MR","Sort=A","Dates=H","DateFormat=P","Fill=—","Direction=H","UseDPDF=Y")</f>
        <v>—</v>
      </c>
      <c r="F129" s="14" t="str">
        <f>_xll.BDH("ALNY US Equity","ARDR_AVG_EXER_PX_OPT_OUTSTANDING","FQ3 2019","FQ3 2019","Currency=USD","Period=FQ","BEST_FPERIOD_OVERRIDE=FQ","FILING_STATUS=MR","Sort=A","Dates=H","DateFormat=P","Fill=—","Direction=H","UseDPDF=Y")</f>
        <v>—</v>
      </c>
      <c r="G129" s="14">
        <f>_xll.BDH("ALNY US Equity","ARDR_AVG_EXER_PX_OPT_OUTSTANDING","FQ4 2019","FQ4 2019","Currency=USD","Period=FQ","BEST_FPERIOD_OVERRIDE=FQ","FILING_STATUS=MR","Sort=A","Dates=H","DateFormat=P","Fill=—","Direction=H","UseDPDF=Y")</f>
        <v>76.92</v>
      </c>
      <c r="H129" s="14" t="str">
        <f>_xll.BDH("ALNY US Equity","ARDR_AVG_EXER_PX_OPT_OUTSTANDING","FQ1 2020","FQ1 2020","Currency=USD","Period=FQ","BEST_FPERIOD_OVERRIDE=FQ","FILING_STATUS=MR","Sort=A","Dates=H","DateFormat=P","Fill=—","Direction=H","UseDPDF=Y")</f>
        <v>—</v>
      </c>
      <c r="I129" s="14" t="str">
        <f>_xll.BDH("ALNY US Equity","ARDR_AVG_EXER_PX_OPT_OUTSTANDING","FQ2 2020","FQ2 2020","Currency=USD","Period=FQ","BEST_FPERIOD_OVERRIDE=FQ","FILING_STATUS=MR","Sort=A","Dates=H","DateFormat=P","Fill=—","Direction=H","UseDPDF=Y")</f>
        <v>—</v>
      </c>
      <c r="J129" s="14" t="str">
        <f>_xll.BDH("ALNY US Equity","ARDR_AVG_EXER_PX_OPT_OUTSTANDING","FQ3 2020","FQ3 2020","Currency=USD","Period=FQ","BEST_FPERIOD_OVERRIDE=FQ","FILING_STATUS=MR","Sort=A","Dates=H","DateFormat=P","Fill=—","Direction=H","UseDPDF=Y")</f>
        <v>—</v>
      </c>
      <c r="K129" s="14">
        <f>_xll.BDH("ALNY US Equity","ARDR_AVG_EXER_PX_OPT_OUTSTANDING","FQ4 2020","FQ4 2020","Currency=USD","Period=FQ","BEST_FPERIOD_OVERRIDE=FQ","FILING_STATUS=MR","Sort=A","Dates=H","DateFormat=P","Fill=—","Direction=H","UseDPDF=Y")</f>
        <v>88.18</v>
      </c>
      <c r="L129" s="14" t="str">
        <f>_xll.BDH("ALNY US Equity","ARDR_AVG_EXER_PX_OPT_OUTSTANDING","FQ1 2021","FQ1 2021","Currency=USD","Period=FQ","BEST_FPERIOD_OVERRIDE=FQ","FILING_STATUS=MR","Sort=A","Dates=H","DateFormat=P","Fill=—","Direction=H","UseDPDF=Y")</f>
        <v>—</v>
      </c>
      <c r="M129" s="14" t="str">
        <f>_xll.BDH("ALNY US Equity","ARDR_AVG_EXER_PX_OPT_OUTSTANDING","FQ2 2021","FQ2 2021","Currency=USD","Period=FQ","BEST_FPERIOD_OVERRIDE=FQ","FILING_STATUS=MR","Sort=A","Dates=H","DateFormat=P","Fill=—","Direction=H","UseDPDF=Y")</f>
        <v>—</v>
      </c>
      <c r="N129" s="14" t="str">
        <f>_xll.BDH("ALNY US Equity","ARDR_AVG_EXER_PX_OPT_OUTSTANDING","FQ3 2021","FQ3 2021","Currency=USD","Period=FQ","BEST_FPERIOD_OVERRIDE=FQ","FILING_STATUS=MR","Sort=A","Dates=H","DateFormat=P","Fill=—","Direction=H","UseDPDF=Y")</f>
        <v>—</v>
      </c>
      <c r="O129" s="14">
        <f>_xll.BDH("ALNY US Equity","ARDR_AVG_EXER_PX_OPT_OUTSTANDING","FQ4 2021","FQ4 2021","Currency=USD","Period=FQ","BEST_FPERIOD_OVERRIDE=FQ","FILING_STATUS=MR","Sort=A","Dates=H","DateFormat=P","Fill=—","Direction=H","UseDPDF=Y")</f>
        <v>103.87</v>
      </c>
      <c r="P129" s="14" t="str">
        <f>_xll.BDH("ALNY US Equity","ARDR_AVG_EXER_PX_OPT_OUTSTANDING","FQ1 2022","FQ1 2022","Currency=USD","Period=FQ","BEST_FPERIOD_OVERRIDE=FQ","FILING_STATUS=MR","Sort=A","Dates=H","DateFormat=P","Fill=—","Direction=H","UseDPDF=Y")</f>
        <v>—</v>
      </c>
      <c r="Q129" s="14" t="str">
        <f>_xll.BDH("ALNY US Equity","ARDR_AVG_EXER_PX_OPT_OUTSTANDING","FQ2 2022","FQ2 2022","Currency=USD","Period=FQ","BEST_FPERIOD_OVERRIDE=FQ","FILING_STATUS=MR","Sort=A","Dates=H","DateFormat=P","Fill=—","Direction=H","UseDPDF=Y")</f>
        <v>—</v>
      </c>
      <c r="R129" s="14" t="str">
        <f>_xll.BDH("ALNY US Equity","ARDR_AVG_EXER_PX_OPT_OUTSTANDING","FQ3 2022","FQ3 2022","Currency=USD","Period=FQ","BEST_FPERIOD_OVERRIDE=FQ","FILING_STATUS=MR","Sort=A","Dates=H","DateFormat=P","Fill=—","Direction=H","UseDPDF=Y")</f>
        <v>—</v>
      </c>
      <c r="S129" s="14">
        <f>_xll.BDH("ALNY US Equity","ARDR_AVG_EXER_PX_OPT_OUTSTANDING","FQ4 2022","FQ4 2022","Currency=USD","Period=FQ","BEST_FPERIOD_OVERRIDE=FQ","FILING_STATUS=MR","Sort=A","Dates=H","DateFormat=P","Fill=—","Direction=H","UseDPDF=Y")</f>
        <v>120.59</v>
      </c>
      <c r="T129" s="14" t="str">
        <f>_xll.BDH("ALNY US Equity","ARDR_AVG_EXER_PX_OPT_OUTSTANDING","FQ1 2023","FQ1 2023","Currency=USD","Period=FQ","BEST_FPERIOD_OVERRIDE=FQ","FILING_STATUS=MR","Sort=A","Dates=H","DateFormat=P","Fill=—","Direction=H","UseDPDF=Y")</f>
        <v>—</v>
      </c>
      <c r="U129" s="14" t="str">
        <f>_xll.BDH("ALNY US Equity","ARDR_AVG_EXER_PX_OPT_OUTSTANDING","FQ2 2023","FQ2 2023","Currency=USD","Period=FQ","BEST_FPERIOD_OVERRIDE=FQ","FILING_STATUS=MR","Sort=A","Dates=H","DateFormat=P","Fill=—","Direction=H","UseDPDF=Y")</f>
        <v>—</v>
      </c>
      <c r="V129" s="14" t="str">
        <f>_xll.BDH("ALNY US Equity","ARDR_AVG_EXER_PX_OPT_OUTSTANDING","FQ3 2023","FQ3 2023","Currency=USD","Period=FQ","BEST_FPERIOD_OVERRIDE=FQ","FILING_STATUS=MR","Sort=A","Dates=H","DateFormat=P","Fill=—","Direction=H","UseDPDF=Y")</f>
        <v>—</v>
      </c>
      <c r="W129" s="14">
        <f>_xll.BDH("ALNY US Equity","ARDR_AVG_EXER_PX_OPT_OUTSTANDING","FQ4 2023","FQ4 2023","Currency=USD","Period=FQ","BEST_FPERIOD_OVERRIDE=FQ","FILING_STATUS=MR","Sort=A","Dates=H","DateFormat=P","Fill=—","Direction=H","UseDPDF=Y")</f>
        <v>127.11</v>
      </c>
      <c r="X129" s="14" t="str">
        <f>_xll.BDH("ALNY US Equity","ARDR_AVG_EXER_PX_OPT_OUTSTANDING","FQ1 2024","FQ1 2024","Currency=USD","Period=FQ","BEST_FPERIOD_OVERRIDE=FQ","FILING_STATUS=MR","Sort=A","Dates=H","DateFormat=P","Fill=—","Direction=H","UseDPDF=Y")</f>
        <v>—</v>
      </c>
      <c r="Y129" s="14" t="str">
        <f>_xll.BDH("ALNY US Equity","ARDR_AVG_EXER_PX_OPT_OUTSTANDING","FQ2 2024","FQ2 2024","Currency=USD","Period=FQ","BEST_FPERIOD_OVERRIDE=FQ","FILING_STATUS=MR","Sort=A","Dates=H","DateFormat=P","Fill=—","Direction=H","UseDPDF=Y")</f>
        <v>—</v>
      </c>
      <c r="Z129" s="14" t="str">
        <f>_xll.BDH("ALNY US Equity","ARDR_AVG_EXER_PX_OPT_OUTSTANDING","FQ3 2024","FQ3 2024","Currency=USD","Period=FQ","BEST_FPERIOD_OVERRIDE=FQ","FILING_STATUS=MR","Sort=A","Dates=H","DateFormat=P","Fill=—","Direction=H","UseDPDF=Y")</f>
        <v>—</v>
      </c>
      <c r="AA129" s="14">
        <f>_xll.BDH("ALNY US Equity","ARDR_AVG_EXER_PX_OPT_OUTSTANDING","FQ4 2024","FQ4 2024","Currency=USD","Period=FQ","BEST_FPERIOD_OVERRIDE=FQ","FILING_STATUS=MR","Sort=A","Dates=H","DateFormat=P","Fill=—","Direction=H","UseDPDF=Y")</f>
        <v>133.80000000000001</v>
      </c>
    </row>
    <row r="130" spans="1:27" x14ac:dyDescent="0.25">
      <c r="A130" s="10" t="s">
        <v>1041</v>
      </c>
      <c r="B130" s="10" t="s">
        <v>1042</v>
      </c>
      <c r="C130" s="13">
        <f>_xll.BDH("ALNY US Equity","ARDR_OPTIONS_EXERCISABLE","FQ4 2018","FQ4 2018","Currency=USD","Period=FQ","BEST_FPERIOD_OVERRIDE=FQ","FILING_STATUS=MR","Sort=A","Dates=H","DateFormat=P","Fill=—","Direction=H","UseDPDF=Y")</f>
        <v>5.734</v>
      </c>
      <c r="D130" s="13" t="str">
        <f>_xll.BDH("ALNY US Equity","ARDR_OPTIONS_EXERCISABLE","FQ1 2019","FQ1 2019","Currency=USD","Period=FQ","BEST_FPERIOD_OVERRIDE=FQ","FILING_STATUS=MR","Sort=A","Dates=H","DateFormat=P","Fill=—","Direction=H","UseDPDF=Y")</f>
        <v>—</v>
      </c>
      <c r="E130" s="13" t="str">
        <f>_xll.BDH("ALNY US Equity","ARDR_OPTIONS_EXERCISABLE","FQ2 2019","FQ2 2019","Currency=USD","Period=FQ","BEST_FPERIOD_OVERRIDE=FQ","FILING_STATUS=MR","Sort=A","Dates=H","DateFormat=P","Fill=—","Direction=H","UseDPDF=Y")</f>
        <v>—</v>
      </c>
      <c r="F130" s="13" t="str">
        <f>_xll.BDH("ALNY US Equity","ARDR_OPTIONS_EXERCISABLE","FQ3 2019","FQ3 2019","Currency=USD","Period=FQ","BEST_FPERIOD_OVERRIDE=FQ","FILING_STATUS=MR","Sort=A","Dates=H","DateFormat=P","Fill=—","Direction=H","UseDPDF=Y")</f>
        <v>—</v>
      </c>
      <c r="G130" s="13">
        <f>_xll.BDH("ALNY US Equity","ARDR_OPTIONS_EXERCISABLE","FQ4 2019","FQ4 2019","Currency=USD","Period=FQ","BEST_FPERIOD_OVERRIDE=FQ","FILING_STATUS=MR","Sort=A","Dates=H","DateFormat=P","Fill=—","Direction=H","UseDPDF=Y")</f>
        <v>6.1959999999999997</v>
      </c>
      <c r="H130" s="13" t="str">
        <f>_xll.BDH("ALNY US Equity","ARDR_OPTIONS_EXERCISABLE","FQ1 2020","FQ1 2020","Currency=USD","Period=FQ","BEST_FPERIOD_OVERRIDE=FQ","FILING_STATUS=MR","Sort=A","Dates=H","DateFormat=P","Fill=—","Direction=H","UseDPDF=Y")</f>
        <v>—</v>
      </c>
      <c r="I130" s="13" t="str">
        <f>_xll.BDH("ALNY US Equity","ARDR_OPTIONS_EXERCISABLE","FQ2 2020","FQ2 2020","Currency=USD","Period=FQ","BEST_FPERIOD_OVERRIDE=FQ","FILING_STATUS=MR","Sort=A","Dates=H","DateFormat=P","Fill=—","Direction=H","UseDPDF=Y")</f>
        <v>—</v>
      </c>
      <c r="J130" s="13" t="str">
        <f>_xll.BDH("ALNY US Equity","ARDR_OPTIONS_EXERCISABLE","FQ3 2020","FQ3 2020","Currency=USD","Period=FQ","BEST_FPERIOD_OVERRIDE=FQ","FILING_STATUS=MR","Sort=A","Dates=H","DateFormat=P","Fill=—","Direction=H","UseDPDF=Y")</f>
        <v>—</v>
      </c>
      <c r="K130" s="13">
        <f>_xll.BDH("ALNY US Equity","ARDR_OPTIONS_EXERCISABLE","FQ4 2020","FQ4 2020","Currency=USD","Period=FQ","BEST_FPERIOD_OVERRIDE=FQ","FILING_STATUS=MR","Sort=A","Dates=H","DateFormat=P","Fill=—","Direction=H","UseDPDF=Y")</f>
        <v>5.835</v>
      </c>
      <c r="L130" s="13" t="str">
        <f>_xll.BDH("ALNY US Equity","ARDR_OPTIONS_EXERCISABLE","FQ1 2021","FQ1 2021","Currency=USD","Period=FQ","BEST_FPERIOD_OVERRIDE=FQ","FILING_STATUS=MR","Sort=A","Dates=H","DateFormat=P","Fill=—","Direction=H","UseDPDF=Y")</f>
        <v>—</v>
      </c>
      <c r="M130" s="13" t="str">
        <f>_xll.BDH("ALNY US Equity","ARDR_OPTIONS_EXERCISABLE","FQ2 2021","FQ2 2021","Currency=USD","Period=FQ","BEST_FPERIOD_OVERRIDE=FQ","FILING_STATUS=MR","Sort=A","Dates=H","DateFormat=P","Fill=—","Direction=H","UseDPDF=Y")</f>
        <v>—</v>
      </c>
      <c r="N130" s="13" t="str">
        <f>_xll.BDH("ALNY US Equity","ARDR_OPTIONS_EXERCISABLE","FQ3 2021","FQ3 2021","Currency=USD","Period=FQ","BEST_FPERIOD_OVERRIDE=FQ","FILING_STATUS=MR","Sort=A","Dates=H","DateFormat=P","Fill=—","Direction=H","UseDPDF=Y")</f>
        <v>—</v>
      </c>
      <c r="O130" s="13">
        <f>_xll.BDH("ALNY US Equity","ARDR_OPTIONS_EXERCISABLE","FQ4 2021","FQ4 2021","Currency=USD","Period=FQ","BEST_FPERIOD_OVERRIDE=FQ","FILING_STATUS=MR","Sort=A","Dates=H","DateFormat=P","Fill=—","Direction=H","UseDPDF=Y")</f>
        <v>5.2229999999999999</v>
      </c>
      <c r="P130" s="13" t="str">
        <f>_xll.BDH("ALNY US Equity","ARDR_OPTIONS_EXERCISABLE","FQ1 2022","FQ1 2022","Currency=USD","Period=FQ","BEST_FPERIOD_OVERRIDE=FQ","FILING_STATUS=MR","Sort=A","Dates=H","DateFormat=P","Fill=—","Direction=H","UseDPDF=Y")</f>
        <v>—</v>
      </c>
      <c r="Q130" s="13" t="str">
        <f>_xll.BDH("ALNY US Equity","ARDR_OPTIONS_EXERCISABLE","FQ2 2022","FQ2 2022","Currency=USD","Period=FQ","BEST_FPERIOD_OVERRIDE=FQ","FILING_STATUS=MR","Sort=A","Dates=H","DateFormat=P","Fill=—","Direction=H","UseDPDF=Y")</f>
        <v>—</v>
      </c>
      <c r="R130" s="13" t="str">
        <f>_xll.BDH("ALNY US Equity","ARDR_OPTIONS_EXERCISABLE","FQ3 2022","FQ3 2022","Currency=USD","Period=FQ","BEST_FPERIOD_OVERRIDE=FQ","FILING_STATUS=MR","Sort=A","Dates=H","DateFormat=P","Fill=—","Direction=H","UseDPDF=Y")</f>
        <v>—</v>
      </c>
      <c r="S130" s="13">
        <f>_xll.BDH("ALNY US Equity","ARDR_OPTIONS_EXERCISABLE","FQ4 2022","FQ4 2022","Currency=USD","Period=FQ","BEST_FPERIOD_OVERRIDE=FQ","FILING_STATUS=MR","Sort=A","Dates=H","DateFormat=P","Fill=—","Direction=H","UseDPDF=Y")</f>
        <v>4.45</v>
      </c>
      <c r="T130" s="13" t="str">
        <f>_xll.BDH("ALNY US Equity","ARDR_OPTIONS_EXERCISABLE","FQ1 2023","FQ1 2023","Currency=USD","Period=FQ","BEST_FPERIOD_OVERRIDE=FQ","FILING_STATUS=MR","Sort=A","Dates=H","DateFormat=P","Fill=—","Direction=H","UseDPDF=Y")</f>
        <v>—</v>
      </c>
      <c r="U130" s="13" t="str">
        <f>_xll.BDH("ALNY US Equity","ARDR_OPTIONS_EXERCISABLE","FQ2 2023","FQ2 2023","Currency=USD","Period=FQ","BEST_FPERIOD_OVERRIDE=FQ","FILING_STATUS=MR","Sort=A","Dates=H","DateFormat=P","Fill=—","Direction=H","UseDPDF=Y")</f>
        <v>—</v>
      </c>
      <c r="V130" s="13" t="str">
        <f>_xll.BDH("ALNY US Equity","ARDR_OPTIONS_EXERCISABLE","FQ3 2023","FQ3 2023","Currency=USD","Period=FQ","BEST_FPERIOD_OVERRIDE=FQ","FILING_STATUS=MR","Sort=A","Dates=H","DateFormat=P","Fill=—","Direction=H","UseDPDF=Y")</f>
        <v>—</v>
      </c>
      <c r="W130" s="13">
        <f>_xll.BDH("ALNY US Equity","ARDR_OPTIONS_EXERCISABLE","FQ4 2023","FQ4 2023","Currency=USD","Period=FQ","BEST_FPERIOD_OVERRIDE=FQ","FILING_STATUS=MR","Sort=A","Dates=H","DateFormat=P","Fill=—","Direction=H","UseDPDF=Y")</f>
        <v>5.0419999999999998</v>
      </c>
      <c r="X130" s="13" t="str">
        <f>_xll.BDH("ALNY US Equity","ARDR_OPTIONS_EXERCISABLE","FQ1 2024","FQ1 2024","Currency=USD","Period=FQ","BEST_FPERIOD_OVERRIDE=FQ","FILING_STATUS=MR","Sort=A","Dates=H","DateFormat=P","Fill=—","Direction=H","UseDPDF=Y")</f>
        <v>—</v>
      </c>
      <c r="Y130" s="13" t="str">
        <f>_xll.BDH("ALNY US Equity","ARDR_OPTIONS_EXERCISABLE","FQ2 2024","FQ2 2024","Currency=USD","Period=FQ","BEST_FPERIOD_OVERRIDE=FQ","FILING_STATUS=MR","Sort=A","Dates=H","DateFormat=P","Fill=—","Direction=H","UseDPDF=Y")</f>
        <v>—</v>
      </c>
      <c r="Z130" s="13" t="str">
        <f>_xll.BDH("ALNY US Equity","ARDR_OPTIONS_EXERCISABLE","FQ3 2024","FQ3 2024","Currency=USD","Period=FQ","BEST_FPERIOD_OVERRIDE=FQ","FILING_STATUS=MR","Sort=A","Dates=H","DateFormat=P","Fill=—","Direction=H","UseDPDF=Y")</f>
        <v>—</v>
      </c>
      <c r="AA130" s="13">
        <f>_xll.BDH("ALNY US Equity","ARDR_OPTIONS_EXERCISABLE","FQ4 2024","FQ4 2024","Currency=USD","Period=FQ","BEST_FPERIOD_OVERRIDE=FQ","FILING_STATUS=MR","Sort=A","Dates=H","DateFormat=P","Fill=—","Direction=H","UseDPDF=Y")</f>
        <v>3.702</v>
      </c>
    </row>
    <row r="131" spans="1:27" x14ac:dyDescent="0.25">
      <c r="A131" s="10" t="s">
        <v>1043</v>
      </c>
      <c r="B131" s="10" t="s">
        <v>1044</v>
      </c>
      <c r="C131" s="13">
        <f>_xll.BDH("ALNY US Equity","ARDR_DEFERRED_TAX_ALLOWANCE","FQ4 2018","FQ4 2018","Currency=USD","Period=FQ","BEST_FPERIOD_OVERRIDE=FQ","FILING_STATUS=MR","SCALING_FORMAT=MLN","Sort=A","Dates=H","DateFormat=P","Fill=—","Direction=H","UseDPDF=Y")</f>
        <v>860.08500000000004</v>
      </c>
      <c r="D131" s="13" t="str">
        <f>_xll.BDH("ALNY US Equity","ARDR_DEFERRED_TAX_ALLOWANCE","FQ1 2019","FQ1 2019","Currency=USD","Period=FQ","BEST_FPERIOD_OVERRIDE=FQ","FILING_STATUS=MR","SCALING_FORMAT=MLN","Sort=A","Dates=H","DateFormat=P","Fill=—","Direction=H","UseDPDF=Y")</f>
        <v>—</v>
      </c>
      <c r="E131" s="13" t="str">
        <f>_xll.BDH("ALNY US Equity","ARDR_DEFERRED_TAX_ALLOWANCE","FQ2 2019","FQ2 2019","Currency=USD","Period=FQ","BEST_FPERIOD_OVERRIDE=FQ","FILING_STATUS=MR","SCALING_FORMAT=MLN","Sort=A","Dates=H","DateFormat=P","Fill=—","Direction=H","UseDPDF=Y")</f>
        <v>—</v>
      </c>
      <c r="F131" s="13" t="str">
        <f>_xll.BDH("ALNY US Equity","ARDR_DEFERRED_TAX_ALLOWANCE","FQ3 2019","FQ3 2019","Currency=USD","Period=FQ","BEST_FPERIOD_OVERRIDE=FQ","FILING_STATUS=MR","SCALING_FORMAT=MLN","Sort=A","Dates=H","DateFormat=P","Fill=—","Direction=H","UseDPDF=Y")</f>
        <v>—</v>
      </c>
      <c r="G131" s="13">
        <f>_xll.BDH("ALNY US Equity","ARDR_DEFERRED_TAX_ALLOWANCE","FQ4 2019","FQ4 2019","Currency=USD","Period=FQ","BEST_FPERIOD_OVERRIDE=FQ","FILING_STATUS=MR","SCALING_FORMAT=MLN","Sort=A","Dates=H","DateFormat=P","Fill=—","Direction=H","UseDPDF=Y")</f>
        <v>1046.0129999999999</v>
      </c>
      <c r="H131" s="13" t="str">
        <f>_xll.BDH("ALNY US Equity","ARDR_DEFERRED_TAX_ALLOWANCE","FQ1 2020","FQ1 2020","Currency=USD","Period=FQ","BEST_FPERIOD_OVERRIDE=FQ","FILING_STATUS=MR","SCALING_FORMAT=MLN","Sort=A","Dates=H","DateFormat=P","Fill=—","Direction=H","UseDPDF=Y")</f>
        <v>—</v>
      </c>
      <c r="I131" s="13" t="str">
        <f>_xll.BDH("ALNY US Equity","ARDR_DEFERRED_TAX_ALLOWANCE","FQ2 2020","FQ2 2020","Currency=USD","Period=FQ","BEST_FPERIOD_OVERRIDE=FQ","FILING_STATUS=MR","SCALING_FORMAT=MLN","Sort=A","Dates=H","DateFormat=P","Fill=—","Direction=H","UseDPDF=Y")</f>
        <v>—</v>
      </c>
      <c r="J131" s="13" t="str">
        <f>_xll.BDH("ALNY US Equity","ARDR_DEFERRED_TAX_ALLOWANCE","FQ3 2020","FQ3 2020","Currency=USD","Period=FQ","BEST_FPERIOD_OVERRIDE=FQ","FILING_STATUS=MR","SCALING_FORMAT=MLN","Sort=A","Dates=H","DateFormat=P","Fill=—","Direction=H","UseDPDF=Y")</f>
        <v>—</v>
      </c>
      <c r="K131" s="13">
        <f>_xll.BDH("ALNY US Equity","ARDR_DEFERRED_TAX_ALLOWANCE","FQ4 2020","FQ4 2020","Currency=USD","Period=FQ","BEST_FPERIOD_OVERRIDE=FQ","FILING_STATUS=MR","SCALING_FORMAT=MLN","Sort=A","Dates=H","DateFormat=P","Fill=—","Direction=H","UseDPDF=Y")</f>
        <v>1349.729</v>
      </c>
      <c r="L131" s="13" t="str">
        <f>_xll.BDH("ALNY US Equity","ARDR_DEFERRED_TAX_ALLOWANCE","FQ1 2021","FQ1 2021","Currency=USD","Period=FQ","BEST_FPERIOD_OVERRIDE=FQ","FILING_STATUS=MR","SCALING_FORMAT=MLN","Sort=A","Dates=H","DateFormat=P","Fill=—","Direction=H","UseDPDF=Y")</f>
        <v>—</v>
      </c>
      <c r="M131" s="13" t="str">
        <f>_xll.BDH("ALNY US Equity","ARDR_DEFERRED_TAX_ALLOWANCE","FQ2 2021","FQ2 2021","Currency=USD","Period=FQ","BEST_FPERIOD_OVERRIDE=FQ","FILING_STATUS=MR","SCALING_FORMAT=MLN","Sort=A","Dates=H","DateFormat=P","Fill=—","Direction=H","UseDPDF=Y")</f>
        <v>—</v>
      </c>
      <c r="N131" s="13" t="str">
        <f>_xll.BDH("ALNY US Equity","ARDR_DEFERRED_TAX_ALLOWANCE","FQ3 2021","FQ3 2021","Currency=USD","Period=FQ","BEST_FPERIOD_OVERRIDE=FQ","FILING_STATUS=MR","SCALING_FORMAT=MLN","Sort=A","Dates=H","DateFormat=P","Fill=—","Direction=H","UseDPDF=Y")</f>
        <v>—</v>
      </c>
      <c r="O131" s="13">
        <f>_xll.BDH("ALNY US Equity","ARDR_DEFERRED_TAX_ALLOWANCE","FQ4 2021","FQ4 2021","Currency=USD","Period=FQ","BEST_FPERIOD_OVERRIDE=FQ","FILING_STATUS=MR","SCALING_FORMAT=MLN","Sort=A","Dates=H","DateFormat=P","Fill=—","Direction=H","UseDPDF=Y")</f>
        <v>1808.992</v>
      </c>
      <c r="P131" s="13" t="str">
        <f>_xll.BDH("ALNY US Equity","ARDR_DEFERRED_TAX_ALLOWANCE","FQ1 2022","FQ1 2022","Currency=USD","Period=FQ","BEST_FPERIOD_OVERRIDE=FQ","FILING_STATUS=MR","SCALING_FORMAT=MLN","Sort=A","Dates=H","DateFormat=P","Fill=—","Direction=H","UseDPDF=Y")</f>
        <v>—</v>
      </c>
      <c r="Q131" s="13" t="str">
        <f>_xll.BDH("ALNY US Equity","ARDR_DEFERRED_TAX_ALLOWANCE","FQ2 2022","FQ2 2022","Currency=USD","Period=FQ","BEST_FPERIOD_OVERRIDE=FQ","FILING_STATUS=MR","SCALING_FORMAT=MLN","Sort=A","Dates=H","DateFormat=P","Fill=—","Direction=H","UseDPDF=Y")</f>
        <v>—</v>
      </c>
      <c r="R131" s="13" t="str">
        <f>_xll.BDH("ALNY US Equity","ARDR_DEFERRED_TAX_ALLOWANCE","FQ3 2022","FQ3 2022","Currency=USD","Period=FQ","BEST_FPERIOD_OVERRIDE=FQ","FILING_STATUS=MR","SCALING_FORMAT=MLN","Sort=A","Dates=H","DateFormat=P","Fill=—","Direction=H","UseDPDF=Y")</f>
        <v>—</v>
      </c>
      <c r="S131" s="13">
        <f>_xll.BDH("ALNY US Equity","ARDR_DEFERRED_TAX_ALLOWANCE","FQ4 2022","FQ4 2022","Currency=USD","Period=FQ","BEST_FPERIOD_OVERRIDE=FQ","FILING_STATUS=MR","SCALING_FORMAT=MLN","Sort=A","Dates=H","DateFormat=P","Fill=—","Direction=H","UseDPDF=Y")</f>
        <v>2193.6329999999998</v>
      </c>
      <c r="T131" s="13" t="str">
        <f>_xll.BDH("ALNY US Equity","ARDR_DEFERRED_TAX_ALLOWANCE","FQ1 2023","FQ1 2023","Currency=USD","Period=FQ","BEST_FPERIOD_OVERRIDE=FQ","FILING_STATUS=MR","SCALING_FORMAT=MLN","Sort=A","Dates=H","DateFormat=P","Fill=—","Direction=H","UseDPDF=Y")</f>
        <v>—</v>
      </c>
      <c r="U131" s="13" t="str">
        <f>_xll.BDH("ALNY US Equity","ARDR_DEFERRED_TAX_ALLOWANCE","FQ2 2023","FQ2 2023","Currency=USD","Period=FQ","BEST_FPERIOD_OVERRIDE=FQ","FILING_STATUS=MR","SCALING_FORMAT=MLN","Sort=A","Dates=H","DateFormat=P","Fill=—","Direction=H","UseDPDF=Y")</f>
        <v>—</v>
      </c>
      <c r="V131" s="13" t="str">
        <f>_xll.BDH("ALNY US Equity","ARDR_DEFERRED_TAX_ALLOWANCE","FQ3 2023","FQ3 2023","Currency=USD","Period=FQ","BEST_FPERIOD_OVERRIDE=FQ","FILING_STATUS=MR","SCALING_FORMAT=MLN","Sort=A","Dates=H","DateFormat=P","Fill=—","Direction=H","UseDPDF=Y")</f>
        <v>—</v>
      </c>
      <c r="W131" s="13">
        <f>_xll.BDH("ALNY US Equity","ARDR_DEFERRED_TAX_ALLOWANCE","FQ4 2023","FQ4 2023","Currency=USD","Period=FQ","BEST_FPERIOD_OVERRIDE=FQ","FILING_STATUS=MR","SCALING_FORMAT=MLN","Sort=A","Dates=H","DateFormat=P","Fill=—","Direction=H","UseDPDF=Y")</f>
        <v>2817.395</v>
      </c>
      <c r="X131" s="13" t="str">
        <f>_xll.BDH("ALNY US Equity","ARDR_DEFERRED_TAX_ALLOWANCE","FQ1 2024","FQ1 2024","Currency=USD","Period=FQ","BEST_FPERIOD_OVERRIDE=FQ","FILING_STATUS=MR","SCALING_FORMAT=MLN","Sort=A","Dates=H","DateFormat=P","Fill=—","Direction=H","UseDPDF=Y")</f>
        <v>—</v>
      </c>
      <c r="Y131" s="13" t="str">
        <f>_xll.BDH("ALNY US Equity","ARDR_DEFERRED_TAX_ALLOWANCE","FQ2 2024","FQ2 2024","Currency=USD","Period=FQ","BEST_FPERIOD_OVERRIDE=FQ","FILING_STATUS=MR","SCALING_FORMAT=MLN","Sort=A","Dates=H","DateFormat=P","Fill=—","Direction=H","UseDPDF=Y")</f>
        <v>—</v>
      </c>
      <c r="Z131" s="13" t="str">
        <f>_xll.BDH("ALNY US Equity","ARDR_DEFERRED_TAX_ALLOWANCE","FQ3 2024","FQ3 2024","Currency=USD","Period=FQ","BEST_FPERIOD_OVERRIDE=FQ","FILING_STATUS=MR","SCALING_FORMAT=MLN","Sort=A","Dates=H","DateFormat=P","Fill=—","Direction=H","UseDPDF=Y")</f>
        <v>—</v>
      </c>
      <c r="AA131" s="13">
        <f>_xll.BDH("ALNY US Equity","ARDR_DEFERRED_TAX_ALLOWANCE","FQ4 2024","FQ4 2024","Currency=USD","Period=FQ","BEST_FPERIOD_OVERRIDE=FQ","FILING_STATUS=MR","SCALING_FORMAT=MLN","Sort=A","Dates=H","DateFormat=P","Fill=—","Direction=H","UseDPDF=Y")</f>
        <v>2788.933</v>
      </c>
    </row>
    <row r="132" spans="1:27" x14ac:dyDescent="0.25">
      <c r="A132" s="10" t="s">
        <v>1045</v>
      </c>
      <c r="B132" s="10" t="s">
        <v>1046</v>
      </c>
      <c r="C132" s="13" t="str">
        <f>_xll.BDH("ALNY US Equity","ARDR_REMAINING_SH_AUTH_REP_AMT","FQ4 2018","FQ4 2018","Currency=USD","Period=FQ","BEST_FPERIOD_OVERRIDE=FQ","FILING_STATUS=MR","SCALING_FORMAT=MLN","Sort=A","Dates=H","DateFormat=P","Fill=—","Direction=H","UseDPDF=Y")</f>
        <v>—</v>
      </c>
      <c r="D132" s="13" t="str">
        <f>_xll.BDH("ALNY US Equity","ARDR_REMAINING_SH_AUTH_REP_AMT","FQ1 2019","FQ1 2019","Currency=USD","Period=FQ","BEST_FPERIOD_OVERRIDE=FQ","FILING_STATUS=MR","SCALING_FORMAT=MLN","Sort=A","Dates=H","DateFormat=P","Fill=—","Direction=H","UseDPDF=Y")</f>
        <v>—</v>
      </c>
      <c r="E132" s="13" t="str">
        <f>_xll.BDH("ALNY US Equity","ARDR_REMAINING_SH_AUTH_REP_AMT","FQ2 2019","FQ2 2019","Currency=USD","Period=FQ","BEST_FPERIOD_OVERRIDE=FQ","FILING_STATUS=MR","SCALING_FORMAT=MLN","Sort=A","Dates=H","DateFormat=P","Fill=—","Direction=H","UseDPDF=Y")</f>
        <v>—</v>
      </c>
      <c r="F132" s="13" t="str">
        <f>_xll.BDH("ALNY US Equity","ARDR_REMAINING_SH_AUTH_REP_AMT","FQ3 2019","FQ3 2019","Currency=USD","Period=FQ","BEST_FPERIOD_OVERRIDE=FQ","FILING_STATUS=MR","SCALING_FORMAT=MLN","Sort=A","Dates=H","DateFormat=P","Fill=—","Direction=H","UseDPDF=Y")</f>
        <v>—</v>
      </c>
      <c r="G132" s="13" t="str">
        <f>_xll.BDH("ALNY US Equity","ARDR_REMAINING_SH_AUTH_REP_AMT","FQ4 2019","FQ4 2019","Currency=USD","Period=FQ","BEST_FPERIOD_OVERRIDE=FQ","FILING_STATUS=MR","SCALING_FORMAT=MLN","Sort=A","Dates=H","DateFormat=P","Fill=—","Direction=H","UseDPDF=Y")</f>
        <v>—</v>
      </c>
      <c r="H132" s="13" t="str">
        <f>_xll.BDH("ALNY US Equity","ARDR_REMAINING_SH_AUTH_REP_AMT","FQ1 2020","FQ1 2020","Currency=USD","Period=FQ","BEST_FPERIOD_OVERRIDE=FQ","FILING_STATUS=MR","SCALING_FORMAT=MLN","Sort=A","Dates=H","DateFormat=P","Fill=—","Direction=H","UseDPDF=Y")</f>
        <v>—</v>
      </c>
      <c r="I132" s="13" t="str">
        <f>_xll.BDH("ALNY US Equity","ARDR_REMAINING_SH_AUTH_REP_AMT","FQ2 2020","FQ2 2020","Currency=USD","Period=FQ","BEST_FPERIOD_OVERRIDE=FQ","FILING_STATUS=MR","SCALING_FORMAT=MLN","Sort=A","Dates=H","DateFormat=P","Fill=—","Direction=H","UseDPDF=Y")</f>
        <v>—</v>
      </c>
      <c r="J132" s="13" t="str">
        <f>_xll.BDH("ALNY US Equity","ARDR_REMAINING_SH_AUTH_REP_AMT","FQ3 2020","FQ3 2020","Currency=USD","Period=FQ","BEST_FPERIOD_OVERRIDE=FQ","FILING_STATUS=MR","SCALING_FORMAT=MLN","Sort=A","Dates=H","DateFormat=P","Fill=—","Direction=H","UseDPDF=Y")</f>
        <v>—</v>
      </c>
      <c r="K132" s="13" t="str">
        <f>_xll.BDH("ALNY US Equity","ARDR_REMAINING_SH_AUTH_REP_AMT","FQ4 2020","FQ4 2020","Currency=USD","Period=FQ","BEST_FPERIOD_OVERRIDE=FQ","FILING_STATUS=MR","SCALING_FORMAT=MLN","Sort=A","Dates=H","DateFormat=P","Fill=—","Direction=H","UseDPDF=Y")</f>
        <v>—</v>
      </c>
      <c r="L132" s="13" t="str">
        <f>_xll.BDH("ALNY US Equity","ARDR_REMAINING_SH_AUTH_REP_AMT","FQ1 2021","FQ1 2021","Currency=USD","Period=FQ","BEST_FPERIOD_OVERRIDE=FQ","FILING_STATUS=MR","SCALING_FORMAT=MLN","Sort=A","Dates=H","DateFormat=P","Fill=—","Direction=H","UseDPDF=Y")</f>
        <v>—</v>
      </c>
      <c r="M132" s="13" t="str">
        <f>_xll.BDH("ALNY US Equity","ARDR_REMAINING_SH_AUTH_REP_AMT","FQ2 2021","FQ2 2021","Currency=USD","Period=FQ","BEST_FPERIOD_OVERRIDE=FQ","FILING_STATUS=MR","SCALING_FORMAT=MLN","Sort=A","Dates=H","DateFormat=P","Fill=—","Direction=H","UseDPDF=Y")</f>
        <v>—</v>
      </c>
      <c r="N132" s="13" t="str">
        <f>_xll.BDH("ALNY US Equity","ARDR_REMAINING_SH_AUTH_REP_AMT","FQ3 2021","FQ3 2021","Currency=USD","Period=FQ","BEST_FPERIOD_OVERRIDE=FQ","FILING_STATUS=MR","SCALING_FORMAT=MLN","Sort=A","Dates=H","DateFormat=P","Fill=—","Direction=H","UseDPDF=Y")</f>
        <v>—</v>
      </c>
      <c r="O132" s="13" t="str">
        <f>_xll.BDH("ALNY US Equity","ARDR_REMAINING_SH_AUTH_REP_AMT","FQ4 2021","FQ4 2021","Currency=USD","Period=FQ","BEST_FPERIOD_OVERRIDE=FQ","FILING_STATUS=MR","SCALING_FORMAT=MLN","Sort=A","Dates=H","DateFormat=P","Fill=—","Direction=H","UseDPDF=Y")</f>
        <v>—</v>
      </c>
      <c r="P132" s="13" t="str">
        <f>_xll.BDH("ALNY US Equity","ARDR_REMAINING_SH_AUTH_REP_AMT","FQ1 2022","FQ1 2022","Currency=USD","Period=FQ","BEST_FPERIOD_OVERRIDE=FQ","FILING_STATUS=MR","SCALING_FORMAT=MLN","Sort=A","Dates=H","DateFormat=P","Fill=—","Direction=H","UseDPDF=Y")</f>
        <v>—</v>
      </c>
      <c r="Q132" s="13" t="str">
        <f>_xll.BDH("ALNY US Equity","ARDR_REMAINING_SH_AUTH_REP_AMT","FQ2 2022","FQ2 2022","Currency=USD","Period=FQ","BEST_FPERIOD_OVERRIDE=FQ","FILING_STATUS=MR","SCALING_FORMAT=MLN","Sort=A","Dates=H","DateFormat=P","Fill=—","Direction=H","UseDPDF=Y")</f>
        <v>—</v>
      </c>
      <c r="R132" s="13" t="str">
        <f>_xll.BDH("ALNY US Equity","ARDR_REMAINING_SH_AUTH_REP_AMT","FQ3 2022","FQ3 2022","Currency=USD","Period=FQ","BEST_FPERIOD_OVERRIDE=FQ","FILING_STATUS=MR","SCALING_FORMAT=MLN","Sort=A","Dates=H","DateFormat=P","Fill=—","Direction=H","UseDPDF=Y")</f>
        <v>—</v>
      </c>
      <c r="S132" s="13">
        <f>_xll.BDH("ALNY US Equity","ARDR_REMAINING_SH_AUTH_REP_AMT","FQ4 2022","FQ4 2022","Currency=USD","Period=FQ","BEST_FPERIOD_OVERRIDE=FQ","FILING_STATUS=MR","SCALING_FORMAT=MLN","Sort=A","Dates=H","DateFormat=P","Fill=—","Direction=H","UseDPDF=Y")</f>
        <v>0</v>
      </c>
      <c r="T132" s="13" t="str">
        <f>_xll.BDH("ALNY US Equity","ARDR_REMAINING_SH_AUTH_REP_AMT","FQ1 2023","FQ1 2023","Currency=USD","Period=FQ","BEST_FPERIOD_OVERRIDE=FQ","FILING_STATUS=MR","SCALING_FORMAT=MLN","Sort=A","Dates=H","DateFormat=P","Fill=—","Direction=H","UseDPDF=Y")</f>
        <v>—</v>
      </c>
      <c r="U132" s="13" t="str">
        <f>_xll.BDH("ALNY US Equity","ARDR_REMAINING_SH_AUTH_REP_AMT","FQ2 2023","FQ2 2023","Currency=USD","Period=FQ","BEST_FPERIOD_OVERRIDE=FQ","FILING_STATUS=MR","SCALING_FORMAT=MLN","Sort=A","Dates=H","DateFormat=P","Fill=—","Direction=H","UseDPDF=Y")</f>
        <v>—</v>
      </c>
      <c r="V132" s="13" t="str">
        <f>_xll.BDH("ALNY US Equity","ARDR_REMAINING_SH_AUTH_REP_AMT","FQ3 2023","FQ3 2023","Currency=USD","Period=FQ","BEST_FPERIOD_OVERRIDE=FQ","FILING_STATUS=MR","SCALING_FORMAT=MLN","Sort=A","Dates=H","DateFormat=P","Fill=—","Direction=H","UseDPDF=Y")</f>
        <v>—</v>
      </c>
      <c r="W132" s="13" t="str">
        <f>_xll.BDH("ALNY US Equity","ARDR_REMAINING_SH_AUTH_REP_AMT","FQ4 2023","FQ4 2023","Currency=USD","Period=FQ","BEST_FPERIOD_OVERRIDE=FQ","FILING_STATUS=MR","SCALING_FORMAT=MLN","Sort=A","Dates=H","DateFormat=P","Fill=—","Direction=H","UseDPDF=Y")</f>
        <v>—</v>
      </c>
      <c r="X132" s="13" t="str">
        <f>_xll.BDH("ALNY US Equity","ARDR_REMAINING_SH_AUTH_REP_AMT","FQ1 2024","FQ1 2024","Currency=USD","Period=FQ","BEST_FPERIOD_OVERRIDE=FQ","FILING_STATUS=MR","SCALING_FORMAT=MLN","Sort=A","Dates=H","DateFormat=P","Fill=—","Direction=H","UseDPDF=Y")</f>
        <v>—</v>
      </c>
      <c r="Y132" s="13" t="str">
        <f>_xll.BDH("ALNY US Equity","ARDR_REMAINING_SH_AUTH_REP_AMT","FQ2 2024","FQ2 2024","Currency=USD","Period=FQ","BEST_FPERIOD_OVERRIDE=FQ","FILING_STATUS=MR","SCALING_FORMAT=MLN","Sort=A","Dates=H","DateFormat=P","Fill=—","Direction=H","UseDPDF=Y")</f>
        <v>—</v>
      </c>
      <c r="Z132" s="13" t="str">
        <f>_xll.BDH("ALNY US Equity","ARDR_REMAINING_SH_AUTH_REP_AMT","FQ3 2024","FQ3 2024","Currency=USD","Period=FQ","BEST_FPERIOD_OVERRIDE=FQ","FILING_STATUS=MR","SCALING_FORMAT=MLN","Sort=A","Dates=H","DateFormat=P","Fill=—","Direction=H","UseDPDF=Y")</f>
        <v>—</v>
      </c>
      <c r="AA132" s="13" t="str">
        <f>_xll.BDH("ALNY US Equity","ARDR_REMAINING_SH_AUTH_REP_AMT","FQ4 2024","FQ4 2024","Currency=USD","Period=FQ","BEST_FPERIOD_OVERRIDE=FQ","FILING_STATUS=MR","SCALING_FORMAT=MLN","Sort=A","Dates=H","DateFormat=P","Fill=—","Direction=H","UseDPDF=Y")</f>
        <v>—</v>
      </c>
    </row>
    <row r="133" spans="1:27" x14ac:dyDescent="0.25">
      <c r="A133" s="10" t="s">
        <v>1047</v>
      </c>
      <c r="B133" s="10" t="s">
        <v>1048</v>
      </c>
      <c r="C133" s="13">
        <f>_xll.BDH("ALNY US Equity","ARDR_FV_ASSETS_REC_L1_CASH_SECS","FQ4 2018","FQ4 2018","Currency=USD","Period=FQ","BEST_FPERIOD_OVERRIDE=FQ","FILING_STATUS=MR","SCALING_FORMAT=MLN","Sort=A","Dates=H","DateFormat=P","Fill=—","Direction=H","UseDPDF=Y")</f>
        <v>102.44499999999999</v>
      </c>
      <c r="D133" s="13">
        <f>_xll.BDH("ALNY US Equity","ARDR_FV_ASSETS_REC_L1_CASH_SECS","FQ1 2019","FQ1 2019","Currency=USD","Period=FQ","BEST_FPERIOD_OVERRIDE=FQ","FILING_STATUS=MR","SCALING_FORMAT=MLN","Sort=A","Dates=H","DateFormat=P","Fill=—","Direction=H","UseDPDF=Y")</f>
        <v>98.236000000000004</v>
      </c>
      <c r="E133" s="13">
        <f>_xll.BDH("ALNY US Equity","ARDR_FV_ASSETS_REC_L1_CASH_SECS","FQ2 2019","FQ2 2019","Currency=USD","Period=FQ","BEST_FPERIOD_OVERRIDE=FQ","FILING_STATUS=MR","SCALING_FORMAT=MLN","Sort=A","Dates=H","DateFormat=P","Fill=—","Direction=H","UseDPDF=Y")</f>
        <v>94.495999999999995</v>
      </c>
      <c r="F133" s="13">
        <f>_xll.BDH("ALNY US Equity","ARDR_FV_ASSETS_REC_L1_CASH_SECS","FQ3 2019","FQ3 2019","Currency=USD","Period=FQ","BEST_FPERIOD_OVERRIDE=FQ","FILING_STATUS=MR","SCALING_FORMAT=MLN","Sort=A","Dates=H","DateFormat=P","Fill=—","Direction=H","UseDPDF=Y")</f>
        <v>134.44</v>
      </c>
      <c r="G133" s="13">
        <f>_xll.BDH("ALNY US Equity","ARDR_FV_ASSETS_REC_L1_CASH_SECS","FQ4 2019","FQ4 2019","Currency=USD","Period=FQ","BEST_FPERIOD_OVERRIDE=FQ","FILING_STATUS=MR","SCALING_FORMAT=MLN","Sort=A","Dates=H","DateFormat=P","Fill=—","Direction=H","UseDPDF=Y")</f>
        <v>119.88200000000001</v>
      </c>
      <c r="H133" s="13">
        <f>_xll.BDH("ALNY US Equity","ARDR_FV_ASSETS_REC_L1_CASH_SECS","FQ1 2020","FQ1 2020","Currency=USD","Period=FQ","BEST_FPERIOD_OVERRIDE=FQ","FILING_STATUS=MR","SCALING_FORMAT=MLN","Sort=A","Dates=H","DateFormat=P","Fill=—","Direction=H","UseDPDF=Y")</f>
        <v>119.88200000000001</v>
      </c>
      <c r="I133" s="13">
        <f>_xll.BDH("ALNY US Equity","ARDR_FV_ASSETS_REC_L1_CASH_SECS","FQ2 2020","FQ2 2020","Currency=USD","Period=FQ","BEST_FPERIOD_OVERRIDE=FQ","FILING_STATUS=MR","SCALING_FORMAT=MLN","Sort=A","Dates=H","DateFormat=P","Fill=—","Direction=H","UseDPDF=Y")</f>
        <v>425.76900000000001</v>
      </c>
      <c r="J133" s="13">
        <f>_xll.BDH("ALNY US Equity","ARDR_FV_ASSETS_REC_L1_CASH_SECS","FQ3 2020","FQ3 2020","Currency=USD","Period=FQ","BEST_FPERIOD_OVERRIDE=FQ","FILING_STATUS=MR","SCALING_FORMAT=MLN","Sort=A","Dates=H","DateFormat=P","Fill=—","Direction=H","UseDPDF=Y")</f>
        <v>296.25299999999999</v>
      </c>
      <c r="K133" s="13">
        <f>_xll.BDH("ALNY US Equity","ARDR_FV_ASSETS_REC_L1_CASH_SECS","FQ4 2020","FQ4 2020","Currency=USD","Period=FQ","BEST_FPERIOD_OVERRIDE=FQ","FILING_STATUS=MR","SCALING_FORMAT=MLN","Sort=A","Dates=H","DateFormat=P","Fill=—","Direction=H","UseDPDF=Y")</f>
        <v>75.725999999999999</v>
      </c>
      <c r="L133" s="13">
        <f>_xll.BDH("ALNY US Equity","ARDR_FV_ASSETS_REC_L1_CASH_SECS","FQ1 2021","FQ1 2021","Currency=USD","Period=FQ","BEST_FPERIOD_OVERRIDE=FQ","FILING_STATUS=MR","SCALING_FORMAT=MLN","Sort=A","Dates=H","DateFormat=P","Fill=—","Direction=H","UseDPDF=Y")</f>
        <v>178.953</v>
      </c>
      <c r="M133" s="13">
        <f>_xll.BDH("ALNY US Equity","ARDR_FV_ASSETS_REC_L1_CASH_SECS","FQ2 2021","FQ2 2021","Currency=USD","Period=FQ","BEST_FPERIOD_OVERRIDE=FQ","FILING_STATUS=MR","SCALING_FORMAT=MLN","Sort=A","Dates=H","DateFormat=P","Fill=—","Direction=H","UseDPDF=Y")</f>
        <v>240.56700000000001</v>
      </c>
      <c r="N133" s="13">
        <f>_xll.BDH("ALNY US Equity","ARDR_FV_ASSETS_REC_L1_CASH_SECS","FQ3 2021","FQ3 2021","Currency=USD","Period=FQ","BEST_FPERIOD_OVERRIDE=FQ","FILING_STATUS=MR","SCALING_FORMAT=MLN","Sort=A","Dates=H","DateFormat=P","Fill=—","Direction=H","UseDPDF=Y")</f>
        <v>415.34800000000001</v>
      </c>
      <c r="O133" s="13">
        <f>_xll.BDH("ALNY US Equity","ARDR_FV_ASSETS_REC_L1_CASH_SECS","FQ4 2021","FQ4 2021","Currency=USD","Period=FQ","BEST_FPERIOD_OVERRIDE=FQ","FILING_STATUS=MR","SCALING_FORMAT=MLN","Sort=A","Dates=H","DateFormat=P","Fill=—","Direction=H","UseDPDF=Y")</f>
        <v>255.869</v>
      </c>
      <c r="P133" s="13">
        <f>_xll.BDH("ALNY US Equity","ARDR_FV_ASSETS_REC_L1_CASH_SECS","FQ1 2022","FQ1 2022","Currency=USD","Period=FQ","BEST_FPERIOD_OVERRIDE=FQ","FILING_STATUS=MR","SCALING_FORMAT=MLN","Sort=A","Dates=H","DateFormat=P","Fill=—","Direction=H","UseDPDF=Y")</f>
        <v>161.464</v>
      </c>
      <c r="Q133" s="13">
        <f>_xll.BDH("ALNY US Equity","ARDR_FV_ASSETS_REC_L1_CASH_SECS","FQ2 2022","FQ2 2022","Currency=USD","Period=FQ","BEST_FPERIOD_OVERRIDE=FQ","FILING_STATUS=MR","SCALING_FORMAT=MLN","Sort=A","Dates=H","DateFormat=P","Fill=—","Direction=H","UseDPDF=Y")</f>
        <v>210.631</v>
      </c>
      <c r="R133" s="13">
        <f>_xll.BDH("ALNY US Equity","ARDR_FV_ASSETS_REC_L1_CASH_SECS","FQ3 2022","FQ3 2022","Currency=USD","Period=FQ","BEST_FPERIOD_OVERRIDE=FQ","FILING_STATUS=MR","SCALING_FORMAT=MLN","Sort=A","Dates=H","DateFormat=P","Fill=—","Direction=H","UseDPDF=Y")</f>
        <v>454.71699999999998</v>
      </c>
      <c r="S133" s="13">
        <f>_xll.BDH("ALNY US Equity","ARDR_FV_ASSETS_REC_L1_CASH_SECS","FQ4 2022","FQ4 2022","Currency=USD","Period=FQ","BEST_FPERIOD_OVERRIDE=FQ","FILING_STATUS=MR","SCALING_FORMAT=MLN","Sort=A","Dates=H","DateFormat=P","Fill=—","Direction=H","UseDPDF=Y")</f>
        <v>1.1970000000000001</v>
      </c>
      <c r="T133" s="13">
        <f>_xll.BDH("ALNY US Equity","ARDR_FV_ASSETS_REC_L1_CASH_SECS","FQ1 2023","FQ1 2023","Currency=USD","Period=FQ","BEST_FPERIOD_OVERRIDE=FQ","FILING_STATUS=MR","SCALING_FORMAT=MLN","Sort=A","Dates=H","DateFormat=P","Fill=—","Direction=H","UseDPDF=Y")</f>
        <v>215.45699999999999</v>
      </c>
      <c r="U133" s="13">
        <f>_xll.BDH("ALNY US Equity","ARDR_FV_ASSETS_REC_L1_CASH_SECS","FQ2 2023","FQ2 2023","Currency=USD","Period=FQ","BEST_FPERIOD_OVERRIDE=FQ","FILING_STATUS=MR","SCALING_FORMAT=MLN","Sort=A","Dates=H","DateFormat=P","Fill=—","Direction=H","UseDPDF=Y")</f>
        <v>115.52</v>
      </c>
      <c r="V133" s="13">
        <f>_xll.BDH("ALNY US Equity","ARDR_FV_ASSETS_REC_L1_CASH_SECS","FQ3 2023","FQ3 2023","Currency=USD","Period=FQ","BEST_FPERIOD_OVERRIDE=FQ","FILING_STATUS=MR","SCALING_FORMAT=MLN","Sort=A","Dates=H","DateFormat=P","Fill=—","Direction=H","UseDPDF=Y")</f>
        <v>1.2070000000000001</v>
      </c>
      <c r="W133" s="13">
        <f>_xll.BDH("ALNY US Equity","ARDR_FV_ASSETS_REC_L1_CASH_SECS","FQ4 2023","FQ4 2023","Currency=USD","Period=FQ","BEST_FPERIOD_OVERRIDE=FQ","FILING_STATUS=MR","SCALING_FORMAT=MLN","Sort=A","Dates=H","DateFormat=P","Fill=—","Direction=H","UseDPDF=Y")</f>
        <v>1.21</v>
      </c>
      <c r="X133" s="13">
        <f>_xll.BDH("ALNY US Equity","ARDR_FV_ASSETS_REC_L1_CASH_SECS","FQ1 2024","FQ1 2024","Currency=USD","Period=FQ","BEST_FPERIOD_OVERRIDE=FQ","FILING_STATUS=MR","SCALING_FORMAT=MLN","Sort=A","Dates=H","DateFormat=P","Fill=—","Direction=H","UseDPDF=Y")</f>
        <v>1.214</v>
      </c>
      <c r="Y133" s="13">
        <f>_xll.BDH("ALNY US Equity","ARDR_FV_ASSETS_REC_L1_CASH_SECS","FQ2 2024","FQ2 2024","Currency=USD","Period=FQ","BEST_FPERIOD_OVERRIDE=FQ","FILING_STATUS=MR","SCALING_FORMAT=MLN","Sort=A","Dates=H","DateFormat=P","Fill=—","Direction=H","UseDPDF=Y")</f>
        <v>168.35599999999999</v>
      </c>
      <c r="Z133" s="13">
        <f>_xll.BDH("ALNY US Equity","ARDR_FV_ASSETS_REC_L1_CASH_SECS","FQ3 2024","FQ3 2024","Currency=USD","Period=FQ","BEST_FPERIOD_OVERRIDE=FQ","FILING_STATUS=MR","SCALING_FORMAT=MLN","Sort=A","Dates=H","DateFormat=P","Fill=—","Direction=H","UseDPDF=Y")</f>
        <v>190.916</v>
      </c>
      <c r="AA133" s="13">
        <f>_xll.BDH("ALNY US Equity","ARDR_FV_ASSETS_REC_L1_CASH_SECS","FQ4 2024","FQ4 2024","Currency=USD","Period=FQ","BEST_FPERIOD_OVERRIDE=FQ","FILING_STATUS=MR","SCALING_FORMAT=MLN","Sort=A","Dates=H","DateFormat=P","Fill=—","Direction=H","UseDPDF=Y")</f>
        <v>0.91</v>
      </c>
    </row>
    <row r="134" spans="1:27" x14ac:dyDescent="0.25">
      <c r="A134" s="10" t="s">
        <v>1049</v>
      </c>
      <c r="B134" s="10" t="s">
        <v>1050</v>
      </c>
      <c r="C134" s="13">
        <f>_xll.BDH("ALNY US Equity","ARDR_FV_ASSETS_REC_L1_TRAD_TREAS","FQ4 2018","FQ4 2018","Currency=USD","Period=FQ","BEST_FPERIOD_OVERRIDE=FQ","FILING_STATUS=MR","SCALING_FORMAT=MLN","Sort=A","Dates=H","DateFormat=P","Fill=—","Direction=H","UseDPDF=Y")</f>
        <v>1.4770000000000001</v>
      </c>
      <c r="D134" s="13">
        <f>_xll.BDH("ALNY US Equity","ARDR_FV_ASSETS_REC_L1_TRAD_TREAS","FQ1 2019","FQ1 2019","Currency=USD","Period=FQ","BEST_FPERIOD_OVERRIDE=FQ","FILING_STATUS=MR","SCALING_FORMAT=MLN","Sort=A","Dates=H","DateFormat=P","Fill=—","Direction=H","UseDPDF=Y")</f>
        <v>0</v>
      </c>
      <c r="E134" s="13">
        <f>_xll.BDH("ALNY US Equity","ARDR_FV_ASSETS_REC_L1_TRAD_TREAS","FQ2 2019","FQ2 2019","Currency=USD","Period=FQ","BEST_FPERIOD_OVERRIDE=FQ","FILING_STATUS=MR","SCALING_FORMAT=MLN","Sort=A","Dates=H","DateFormat=P","Fill=—","Direction=H","UseDPDF=Y")</f>
        <v>0</v>
      </c>
      <c r="F134" s="13">
        <f>_xll.BDH("ALNY US Equity","ARDR_FV_ASSETS_REC_L1_TRAD_TREAS","FQ3 2019","FQ3 2019","Currency=USD","Period=FQ","BEST_FPERIOD_OVERRIDE=FQ","FILING_STATUS=MR","SCALING_FORMAT=MLN","Sort=A","Dates=H","DateFormat=P","Fill=—","Direction=H","UseDPDF=Y")</f>
        <v>1.4810000000000001</v>
      </c>
      <c r="G134" s="13">
        <f>_xll.BDH("ALNY US Equity","ARDR_FV_ASSETS_REC_L1_TRAD_TREAS","FQ4 2019","FQ4 2019","Currency=USD","Period=FQ","BEST_FPERIOD_OVERRIDE=FQ","FILING_STATUS=MR","SCALING_FORMAT=MLN","Sort=A","Dates=H","DateFormat=P","Fill=—","Direction=H","UseDPDF=Y")</f>
        <v>15.449</v>
      </c>
      <c r="H134" s="13">
        <f>_xll.BDH("ALNY US Equity","ARDR_FV_ASSETS_REC_L1_TRAD_TREAS","FQ1 2020","FQ1 2020","Currency=USD","Period=FQ","BEST_FPERIOD_OVERRIDE=FQ","FILING_STATUS=MR","SCALING_FORMAT=MLN","Sort=A","Dates=H","DateFormat=P","Fill=—","Direction=H","UseDPDF=Y")</f>
        <v>0</v>
      </c>
      <c r="I134" s="13">
        <f>_xll.BDH("ALNY US Equity","ARDR_FV_ASSETS_REC_L1_TRAD_TREAS","FQ2 2020","FQ2 2020","Currency=USD","Period=FQ","BEST_FPERIOD_OVERRIDE=FQ","FILING_STATUS=MR","SCALING_FORMAT=MLN","Sort=A","Dates=H","DateFormat=P","Fill=—","Direction=H","UseDPDF=Y")</f>
        <v>47.005000000000003</v>
      </c>
      <c r="J134" s="13">
        <f>_xll.BDH("ALNY US Equity","ARDR_FV_ASSETS_REC_L1_TRAD_TREAS","FQ3 2020","FQ3 2020","Currency=USD","Period=FQ","BEST_FPERIOD_OVERRIDE=FQ","FILING_STATUS=MR","SCALING_FORMAT=MLN","Sort=A","Dates=H","DateFormat=P","Fill=—","Direction=H","UseDPDF=Y")</f>
        <v>57.216999999999999</v>
      </c>
      <c r="K134" s="13">
        <f>_xll.BDH("ALNY US Equity","ARDR_FV_ASSETS_REC_L1_TRAD_TREAS","FQ4 2020","FQ4 2020","Currency=USD","Period=FQ","BEST_FPERIOD_OVERRIDE=FQ","FILING_STATUS=MR","SCALING_FORMAT=MLN","Sort=A","Dates=H","DateFormat=P","Fill=—","Direction=H","UseDPDF=Y")</f>
        <v>44.633000000000003</v>
      </c>
      <c r="L134" s="13">
        <f>_xll.BDH("ALNY US Equity","ARDR_FV_ASSETS_REC_L1_TRAD_TREAS","FQ1 2021","FQ1 2021","Currency=USD","Period=FQ","BEST_FPERIOD_OVERRIDE=FQ","FILING_STATUS=MR","SCALING_FORMAT=MLN","Sort=A","Dates=H","DateFormat=P","Fill=—","Direction=H","UseDPDF=Y")</f>
        <v>56.966999999999999</v>
      </c>
      <c r="M134" s="13">
        <f>_xll.BDH("ALNY US Equity","ARDR_FV_ASSETS_REC_L1_TRAD_TREAS","FQ2 2021","FQ2 2021","Currency=USD","Period=FQ","BEST_FPERIOD_OVERRIDE=FQ","FILING_STATUS=MR","SCALING_FORMAT=MLN","Sort=A","Dates=H","DateFormat=P","Fill=—","Direction=H","UseDPDF=Y")</f>
        <v>52.533000000000001</v>
      </c>
      <c r="N134" s="13">
        <f>_xll.BDH("ALNY US Equity","ARDR_FV_ASSETS_REC_L1_TRAD_TREAS","FQ3 2021","FQ3 2021","Currency=USD","Period=FQ","BEST_FPERIOD_OVERRIDE=FQ","FILING_STATUS=MR","SCALING_FORMAT=MLN","Sort=A","Dates=H","DateFormat=P","Fill=—","Direction=H","UseDPDF=Y")</f>
        <v>0</v>
      </c>
      <c r="O134" s="13" t="str">
        <f>_xll.BDH("ALNY US Equity","ARDR_FV_ASSETS_REC_L1_TRAD_TREAS","FQ4 2021","FQ4 2021","Currency=USD","Period=FQ","BEST_FPERIOD_OVERRIDE=FQ","FILING_STATUS=MR","SCALING_FORMAT=MLN","Sort=A","Dates=H","DateFormat=P","Fill=—","Direction=H","UseDPDF=Y")</f>
        <v>—</v>
      </c>
      <c r="P134" s="13">
        <f>_xll.BDH("ALNY US Equity","ARDR_FV_ASSETS_REC_L1_TRAD_TREAS","FQ1 2022","FQ1 2022","Currency=USD","Period=FQ","BEST_FPERIOD_OVERRIDE=FQ","FILING_STATUS=MR","SCALING_FORMAT=MLN","Sort=A","Dates=H","DateFormat=P","Fill=—","Direction=H","UseDPDF=Y")</f>
        <v>31.997</v>
      </c>
      <c r="Q134" s="13">
        <f>_xll.BDH("ALNY US Equity","ARDR_FV_ASSETS_REC_L1_TRAD_TREAS","FQ2 2022","FQ2 2022","Currency=USD","Period=FQ","BEST_FPERIOD_OVERRIDE=FQ","FILING_STATUS=MR","SCALING_FORMAT=MLN","Sort=A","Dates=H","DateFormat=P","Fill=—","Direction=H","UseDPDF=Y")</f>
        <v>1.1950000000000001</v>
      </c>
      <c r="R134" s="13">
        <f>_xll.BDH("ALNY US Equity","ARDR_FV_ASSETS_REC_L1_TRAD_TREAS","FQ3 2022","FQ3 2022","Currency=USD","Period=FQ","BEST_FPERIOD_OVERRIDE=FQ","FILING_STATUS=MR","SCALING_FORMAT=MLN","Sort=A","Dates=H","DateFormat=P","Fill=—","Direction=H","UseDPDF=Y")</f>
        <v>0</v>
      </c>
      <c r="S134" s="13">
        <f>_xll.BDH("ALNY US Equity","ARDR_FV_ASSETS_REC_L1_TRAD_TREAS","FQ4 2022","FQ4 2022","Currency=USD","Period=FQ","BEST_FPERIOD_OVERRIDE=FQ","FILING_STATUS=MR","SCALING_FORMAT=MLN","Sort=A","Dates=H","DateFormat=P","Fill=—","Direction=H","UseDPDF=Y")</f>
        <v>270.39400000000001</v>
      </c>
      <c r="T134" s="13">
        <f>_xll.BDH("ALNY US Equity","ARDR_FV_ASSETS_REC_L1_TRAD_TREAS","FQ1 2023","FQ1 2023","Currency=USD","Period=FQ","BEST_FPERIOD_OVERRIDE=FQ","FILING_STATUS=MR","SCALING_FORMAT=MLN","Sort=A","Dates=H","DateFormat=P","Fill=—","Direction=H","UseDPDF=Y")</f>
        <v>25.856000000000002</v>
      </c>
      <c r="U134" s="13">
        <f>_xll.BDH("ALNY US Equity","ARDR_FV_ASSETS_REC_L1_TRAD_TREAS","FQ2 2023","FQ2 2023","Currency=USD","Period=FQ","BEST_FPERIOD_OVERRIDE=FQ","FILING_STATUS=MR","SCALING_FORMAT=MLN","Sort=A","Dates=H","DateFormat=P","Fill=—","Direction=H","UseDPDF=Y")</f>
        <v>1.2030000000000001</v>
      </c>
      <c r="V134" s="13">
        <f>_xll.BDH("ALNY US Equity","ARDR_FV_ASSETS_REC_L1_TRAD_TREAS","FQ3 2023","FQ3 2023","Currency=USD","Period=FQ","BEST_FPERIOD_OVERRIDE=FQ","FILING_STATUS=MR","SCALING_FORMAT=MLN","Sort=A","Dates=H","DateFormat=P","Fill=—","Direction=H","UseDPDF=Y")</f>
        <v>61.798999999999999</v>
      </c>
      <c r="W134" s="13">
        <f>_xll.BDH("ALNY US Equity","ARDR_FV_ASSETS_REC_L1_TRAD_TREAS","FQ4 2023","FQ4 2023","Currency=USD","Period=FQ","BEST_FPERIOD_OVERRIDE=FQ","FILING_STATUS=MR","SCALING_FORMAT=MLN","Sort=A","Dates=H","DateFormat=P","Fill=—","Direction=H","UseDPDF=Y")</f>
        <v>166.059</v>
      </c>
      <c r="X134" s="13">
        <f>_xll.BDH("ALNY US Equity","ARDR_FV_ASSETS_REC_L1_TRAD_TREAS","FQ1 2024","FQ1 2024","Currency=USD","Period=FQ","BEST_FPERIOD_OVERRIDE=FQ","FILING_STATUS=MR","SCALING_FORMAT=MLN","Sort=A","Dates=H","DateFormat=P","Fill=—","Direction=H","UseDPDF=Y")</f>
        <v>126.55</v>
      </c>
      <c r="Y134" s="13">
        <f>_xll.BDH("ALNY US Equity","ARDR_FV_ASSETS_REC_L1_TRAD_TREAS","FQ2 2024","FQ2 2024","Currency=USD","Period=FQ","BEST_FPERIOD_OVERRIDE=FQ","FILING_STATUS=MR","SCALING_FORMAT=MLN","Sort=A","Dates=H","DateFormat=P","Fill=—","Direction=H","UseDPDF=Y")</f>
        <v>1.2170000000000001</v>
      </c>
      <c r="Z134" s="13">
        <f>_xll.BDH("ALNY US Equity","ARDR_FV_ASSETS_REC_L1_TRAD_TREAS","FQ3 2024","FQ3 2024","Currency=USD","Period=FQ","BEST_FPERIOD_OVERRIDE=FQ","FILING_STATUS=MR","SCALING_FORMAT=MLN","Sort=A","Dates=H","DateFormat=P","Fill=—","Direction=H","UseDPDF=Y")</f>
        <v>0.90800000000000003</v>
      </c>
      <c r="AA134" s="13">
        <f>_xll.BDH("ALNY US Equity","ARDR_FV_ASSETS_REC_L1_TRAD_TREAS","FQ4 2024","FQ4 2024","Currency=USD","Period=FQ","BEST_FPERIOD_OVERRIDE=FQ","FILING_STATUS=MR","SCALING_FORMAT=MLN","Sort=A","Dates=H","DateFormat=P","Fill=—","Direction=H","UseDPDF=Y")</f>
        <v>190.779</v>
      </c>
    </row>
    <row r="135" spans="1:27" x14ac:dyDescent="0.25">
      <c r="A135" s="10" t="s">
        <v>1051</v>
      </c>
      <c r="B135" s="10" t="s">
        <v>1052</v>
      </c>
      <c r="C135" s="13">
        <f>_xll.BDH("ALNY US Equity","ARDR_FV_ASSETS_REC_L1_TRAD_BONDS","FQ4 2018","FQ4 2018","Currency=USD","Period=FQ","BEST_FPERIOD_OVERRIDE=FQ","FILING_STATUS=MR","SCALING_FORMAT=MLN","Sort=A","Dates=H","DateFormat=P","Fill=—","Direction=H","UseDPDF=Y")</f>
        <v>1.206</v>
      </c>
      <c r="D135" s="13">
        <f>_xll.BDH("ALNY US Equity","ARDR_FV_ASSETS_REC_L1_TRAD_BONDS","FQ1 2019","FQ1 2019","Currency=USD","Period=FQ","BEST_FPERIOD_OVERRIDE=FQ","FILING_STATUS=MR","SCALING_FORMAT=MLN","Sort=A","Dates=H","DateFormat=P","Fill=—","Direction=H","UseDPDF=Y")</f>
        <v>1.478</v>
      </c>
      <c r="E135" s="13">
        <f>_xll.BDH("ALNY US Equity","ARDR_FV_ASSETS_REC_L1_TRAD_BONDS","FQ2 2019","FQ2 2019","Currency=USD","Period=FQ","BEST_FPERIOD_OVERRIDE=FQ","FILING_STATUS=MR","SCALING_FORMAT=MLN","Sort=A","Dates=H","DateFormat=P","Fill=—","Direction=H","UseDPDF=Y")</f>
        <v>1.48</v>
      </c>
      <c r="F135" s="13">
        <f>_xll.BDH("ALNY US Equity","ARDR_FV_ASSETS_REC_L1_TRAD_BONDS","FQ3 2019","FQ3 2019","Currency=USD","Period=FQ","BEST_FPERIOD_OVERRIDE=FQ","FILING_STATUS=MR","SCALING_FORMAT=MLN","Sort=A","Dates=H","DateFormat=P","Fill=—","Direction=H","UseDPDF=Y")</f>
        <v>0</v>
      </c>
      <c r="G135" s="13">
        <f>_xll.BDH("ALNY US Equity","ARDR_FV_ASSETS_REC_L1_TRAD_BONDS","FQ4 2019","FQ4 2019","Currency=USD","Period=FQ","BEST_FPERIOD_OVERRIDE=FQ","FILING_STATUS=MR","SCALING_FORMAT=MLN","Sort=A","Dates=H","DateFormat=P","Fill=—","Direction=H","UseDPDF=Y")</f>
        <v>0</v>
      </c>
      <c r="H135" s="13">
        <f>_xll.BDH("ALNY US Equity","ARDR_FV_ASSETS_REC_L1_TRAD_BONDS","FQ1 2020","FQ1 2020","Currency=USD","Period=FQ","BEST_FPERIOD_OVERRIDE=FQ","FILING_STATUS=MR","SCALING_FORMAT=MLN","Sort=A","Dates=H","DateFormat=P","Fill=—","Direction=H","UseDPDF=Y")</f>
        <v>15.449</v>
      </c>
      <c r="I135" s="13" t="str">
        <f>_xll.BDH("ALNY US Equity","ARDR_FV_ASSETS_REC_L1_TRAD_BONDS","FQ2 2020","FQ2 2020","Currency=USD","Period=FQ","BEST_FPERIOD_OVERRIDE=FQ","FILING_STATUS=MR","SCALING_FORMAT=MLN","Sort=A","Dates=H","DateFormat=P","Fill=—","Direction=H","UseDPDF=Y")</f>
        <v>—</v>
      </c>
      <c r="J135" s="13">
        <f>_xll.BDH("ALNY US Equity","ARDR_FV_ASSETS_REC_L1_TRAD_BONDS","FQ3 2020","FQ3 2020","Currency=USD","Period=FQ","BEST_FPERIOD_OVERRIDE=FQ","FILING_STATUS=MR","SCALING_FORMAT=MLN","Sort=A","Dates=H","DateFormat=P","Fill=—","Direction=H","UseDPDF=Y")</f>
        <v>0</v>
      </c>
      <c r="K135" s="13" t="str">
        <f>_xll.BDH("ALNY US Equity","ARDR_FV_ASSETS_REC_L1_TRAD_BONDS","FQ4 2020","FQ4 2020","Currency=USD","Period=FQ","BEST_FPERIOD_OVERRIDE=FQ","FILING_STATUS=MR","SCALING_FORMAT=MLN","Sort=A","Dates=H","DateFormat=P","Fill=—","Direction=H","UseDPDF=Y")</f>
        <v>—</v>
      </c>
      <c r="L135" s="13" t="str">
        <f>_xll.BDH("ALNY US Equity","ARDR_FV_ASSETS_REC_L1_TRAD_BONDS","FQ1 2021","FQ1 2021","Currency=USD","Period=FQ","BEST_FPERIOD_OVERRIDE=FQ","FILING_STATUS=MR","SCALING_FORMAT=MLN","Sort=A","Dates=H","DateFormat=P","Fill=—","Direction=H","UseDPDF=Y")</f>
        <v>—</v>
      </c>
      <c r="M135" s="13" t="str">
        <f>_xll.BDH("ALNY US Equity","ARDR_FV_ASSETS_REC_L1_TRAD_BONDS","FQ2 2021","FQ2 2021","Currency=USD","Period=FQ","BEST_FPERIOD_OVERRIDE=FQ","FILING_STATUS=MR","SCALING_FORMAT=MLN","Sort=A","Dates=H","DateFormat=P","Fill=—","Direction=H","UseDPDF=Y")</f>
        <v>—</v>
      </c>
      <c r="N135" s="13">
        <f>_xll.BDH("ALNY US Equity","ARDR_FV_ASSETS_REC_L1_TRAD_BONDS","FQ3 2021","FQ3 2021","Currency=USD","Period=FQ","BEST_FPERIOD_OVERRIDE=FQ","FILING_STATUS=MR","SCALING_FORMAT=MLN","Sort=A","Dates=H","DateFormat=P","Fill=—","Direction=H","UseDPDF=Y")</f>
        <v>0</v>
      </c>
      <c r="O135" s="13" t="str">
        <f>_xll.BDH("ALNY US Equity","ARDR_FV_ASSETS_REC_L1_TRAD_BONDS","FQ4 2021","FQ4 2021","Currency=USD","Period=FQ","BEST_FPERIOD_OVERRIDE=FQ","FILING_STATUS=MR","SCALING_FORMAT=MLN","Sort=A","Dates=H","DateFormat=P","Fill=—","Direction=H","UseDPDF=Y")</f>
        <v>—</v>
      </c>
      <c r="P135" s="13" t="str">
        <f>_xll.BDH("ALNY US Equity","ARDR_FV_ASSETS_REC_L1_TRAD_BONDS","FQ1 2022","FQ1 2022","Currency=USD","Period=FQ","BEST_FPERIOD_OVERRIDE=FQ","FILING_STATUS=MR","SCALING_FORMAT=MLN","Sort=A","Dates=H","DateFormat=P","Fill=—","Direction=H","UseDPDF=Y")</f>
        <v>—</v>
      </c>
      <c r="Q135" s="13" t="str">
        <f>_xll.BDH("ALNY US Equity","ARDR_FV_ASSETS_REC_L1_TRAD_BONDS","FQ2 2022","FQ2 2022","Currency=USD","Period=FQ","BEST_FPERIOD_OVERRIDE=FQ","FILING_STATUS=MR","SCALING_FORMAT=MLN","Sort=A","Dates=H","DateFormat=P","Fill=—","Direction=H","UseDPDF=Y")</f>
        <v>—</v>
      </c>
      <c r="R135" s="13" t="str">
        <f>_xll.BDH("ALNY US Equity","ARDR_FV_ASSETS_REC_L1_TRAD_BONDS","FQ3 2022","FQ3 2022","Currency=USD","Period=FQ","BEST_FPERIOD_OVERRIDE=FQ","FILING_STATUS=MR","SCALING_FORMAT=MLN","Sort=A","Dates=H","DateFormat=P","Fill=—","Direction=H","UseDPDF=Y")</f>
        <v>—</v>
      </c>
      <c r="S135" s="13" t="str">
        <f>_xll.BDH("ALNY US Equity","ARDR_FV_ASSETS_REC_L1_TRAD_BONDS","FQ4 2022","FQ4 2022","Currency=USD","Period=FQ","BEST_FPERIOD_OVERRIDE=FQ","FILING_STATUS=MR","SCALING_FORMAT=MLN","Sort=A","Dates=H","DateFormat=P","Fill=—","Direction=H","UseDPDF=Y")</f>
        <v>—</v>
      </c>
      <c r="T135" s="13" t="str">
        <f>_xll.BDH("ALNY US Equity","ARDR_FV_ASSETS_REC_L1_TRAD_BONDS","FQ1 2023","FQ1 2023","Currency=USD","Period=FQ","BEST_FPERIOD_OVERRIDE=FQ","FILING_STATUS=MR","SCALING_FORMAT=MLN","Sort=A","Dates=H","DateFormat=P","Fill=—","Direction=H","UseDPDF=Y")</f>
        <v>—</v>
      </c>
      <c r="U135" s="13" t="str">
        <f>_xll.BDH("ALNY US Equity","ARDR_FV_ASSETS_REC_L1_TRAD_BONDS","FQ2 2023","FQ2 2023","Currency=USD","Period=FQ","BEST_FPERIOD_OVERRIDE=FQ","FILING_STATUS=MR","SCALING_FORMAT=MLN","Sort=A","Dates=H","DateFormat=P","Fill=—","Direction=H","UseDPDF=Y")</f>
        <v>—</v>
      </c>
      <c r="V135" s="13" t="str">
        <f>_xll.BDH("ALNY US Equity","ARDR_FV_ASSETS_REC_L1_TRAD_BONDS","FQ3 2023","FQ3 2023","Currency=USD","Period=FQ","BEST_FPERIOD_OVERRIDE=FQ","FILING_STATUS=MR","SCALING_FORMAT=MLN","Sort=A","Dates=H","DateFormat=P","Fill=—","Direction=H","UseDPDF=Y")</f>
        <v>—</v>
      </c>
      <c r="W135" s="13" t="str">
        <f>_xll.BDH("ALNY US Equity","ARDR_FV_ASSETS_REC_L1_TRAD_BONDS","FQ4 2023","FQ4 2023","Currency=USD","Period=FQ","BEST_FPERIOD_OVERRIDE=FQ","FILING_STATUS=MR","SCALING_FORMAT=MLN","Sort=A","Dates=H","DateFormat=P","Fill=—","Direction=H","UseDPDF=Y")</f>
        <v>—</v>
      </c>
      <c r="X135" s="13" t="str">
        <f>_xll.BDH("ALNY US Equity","ARDR_FV_ASSETS_REC_L1_TRAD_BONDS","FQ1 2024","FQ1 2024","Currency=USD","Period=FQ","BEST_FPERIOD_OVERRIDE=FQ","FILING_STATUS=MR","SCALING_FORMAT=MLN","Sort=A","Dates=H","DateFormat=P","Fill=—","Direction=H","UseDPDF=Y")</f>
        <v>—</v>
      </c>
      <c r="Y135" s="13" t="str">
        <f>_xll.BDH("ALNY US Equity","ARDR_FV_ASSETS_REC_L1_TRAD_BONDS","FQ2 2024","FQ2 2024","Currency=USD","Period=FQ","BEST_FPERIOD_OVERRIDE=FQ","FILING_STATUS=MR","SCALING_FORMAT=MLN","Sort=A","Dates=H","DateFormat=P","Fill=—","Direction=H","UseDPDF=Y")</f>
        <v>—</v>
      </c>
      <c r="Z135" s="13" t="str">
        <f>_xll.BDH("ALNY US Equity","ARDR_FV_ASSETS_REC_L1_TRAD_BONDS","FQ3 2024","FQ3 2024","Currency=USD","Period=FQ","BEST_FPERIOD_OVERRIDE=FQ","FILING_STATUS=MR","SCALING_FORMAT=MLN","Sort=A","Dates=H","DateFormat=P","Fill=—","Direction=H","UseDPDF=Y")</f>
        <v>—</v>
      </c>
      <c r="AA135" s="13" t="str">
        <f>_xll.BDH("ALNY US Equity","ARDR_FV_ASSETS_REC_L1_TRAD_BONDS","FQ4 2024","FQ4 2024","Currency=USD","Period=FQ","BEST_FPERIOD_OVERRIDE=FQ","FILING_STATUS=MR","SCALING_FORMAT=MLN","Sort=A","Dates=H","DateFormat=P","Fill=—","Direction=H","UseDPDF=Y")</f>
        <v>—</v>
      </c>
    </row>
    <row r="136" spans="1:27" x14ac:dyDescent="0.25">
      <c r="A136" s="10" t="s">
        <v>1053</v>
      </c>
      <c r="B136" s="10" t="s">
        <v>1054</v>
      </c>
      <c r="C136" s="13" t="str">
        <f>_xll.BDH("ALNY US Equity","ARDR_FV_ASTS_REC_L1_TRAD_CDO_CLO","FQ4 2018","FQ4 2018","Currency=USD","Period=FQ","BEST_FPERIOD_OVERRIDE=FQ","FILING_STATUS=MR","SCALING_FORMAT=MLN","Sort=A","Dates=H","DateFormat=P","Fill=—","Direction=H","UseDPDF=Y")</f>
        <v>—</v>
      </c>
      <c r="D136" s="13" t="str">
        <f>_xll.BDH("ALNY US Equity","ARDR_FV_ASTS_REC_L1_TRAD_CDO_CLO","FQ1 2019","FQ1 2019","Currency=USD","Period=FQ","BEST_FPERIOD_OVERRIDE=FQ","FILING_STATUS=MR","SCALING_FORMAT=MLN","Sort=A","Dates=H","DateFormat=P","Fill=—","Direction=H","UseDPDF=Y")</f>
        <v>—</v>
      </c>
      <c r="E136" s="13" t="str">
        <f>_xll.BDH("ALNY US Equity","ARDR_FV_ASTS_REC_L1_TRAD_CDO_CLO","FQ2 2019","FQ2 2019","Currency=USD","Period=FQ","BEST_FPERIOD_OVERRIDE=FQ","FILING_STATUS=MR","SCALING_FORMAT=MLN","Sort=A","Dates=H","DateFormat=P","Fill=—","Direction=H","UseDPDF=Y")</f>
        <v>—</v>
      </c>
      <c r="F136" s="13" t="str">
        <f>_xll.BDH("ALNY US Equity","ARDR_FV_ASTS_REC_L1_TRAD_CDO_CLO","FQ3 2019","FQ3 2019","Currency=USD","Period=FQ","BEST_FPERIOD_OVERRIDE=FQ","FILING_STATUS=MR","SCALING_FORMAT=MLN","Sort=A","Dates=H","DateFormat=P","Fill=—","Direction=H","UseDPDF=Y")</f>
        <v>—</v>
      </c>
      <c r="G136" s="13" t="str">
        <f>_xll.BDH("ALNY US Equity","ARDR_FV_ASTS_REC_L1_TRAD_CDO_CLO","FQ4 2019","FQ4 2019","Currency=USD","Period=FQ","BEST_FPERIOD_OVERRIDE=FQ","FILING_STATUS=MR","SCALING_FORMAT=MLN","Sort=A","Dates=H","DateFormat=P","Fill=—","Direction=H","UseDPDF=Y")</f>
        <v>—</v>
      </c>
      <c r="H136" s="13" t="str">
        <f>_xll.BDH("ALNY US Equity","ARDR_FV_ASTS_REC_L1_TRAD_CDO_CLO","FQ1 2020","FQ1 2020","Currency=USD","Period=FQ","BEST_FPERIOD_OVERRIDE=FQ","FILING_STATUS=MR","SCALING_FORMAT=MLN","Sort=A","Dates=H","DateFormat=P","Fill=—","Direction=H","UseDPDF=Y")</f>
        <v>—</v>
      </c>
      <c r="I136" s="13" t="str">
        <f>_xll.BDH("ALNY US Equity","ARDR_FV_ASTS_REC_L1_TRAD_CDO_CLO","FQ2 2020","FQ2 2020","Currency=USD","Period=FQ","BEST_FPERIOD_OVERRIDE=FQ","FILING_STATUS=MR","SCALING_FORMAT=MLN","Sort=A","Dates=H","DateFormat=P","Fill=—","Direction=H","UseDPDF=Y")</f>
        <v>—</v>
      </c>
      <c r="J136" s="13" t="str">
        <f>_xll.BDH("ALNY US Equity","ARDR_FV_ASTS_REC_L1_TRAD_CDO_CLO","FQ3 2020","FQ3 2020","Currency=USD","Period=FQ","BEST_FPERIOD_OVERRIDE=FQ","FILING_STATUS=MR","SCALING_FORMAT=MLN","Sort=A","Dates=H","DateFormat=P","Fill=—","Direction=H","UseDPDF=Y")</f>
        <v>—</v>
      </c>
      <c r="K136" s="13" t="str">
        <f>_xll.BDH("ALNY US Equity","ARDR_FV_ASTS_REC_L1_TRAD_CDO_CLO","FQ4 2020","FQ4 2020","Currency=USD","Period=FQ","BEST_FPERIOD_OVERRIDE=FQ","FILING_STATUS=MR","SCALING_FORMAT=MLN","Sort=A","Dates=H","DateFormat=P","Fill=—","Direction=H","UseDPDF=Y")</f>
        <v>—</v>
      </c>
      <c r="L136" s="13" t="str">
        <f>_xll.BDH("ALNY US Equity","ARDR_FV_ASTS_REC_L1_TRAD_CDO_CLO","FQ1 2021","FQ1 2021","Currency=USD","Period=FQ","BEST_FPERIOD_OVERRIDE=FQ","FILING_STATUS=MR","SCALING_FORMAT=MLN","Sort=A","Dates=H","DateFormat=P","Fill=—","Direction=H","UseDPDF=Y")</f>
        <v>—</v>
      </c>
      <c r="M136" s="13" t="str">
        <f>_xll.BDH("ALNY US Equity","ARDR_FV_ASTS_REC_L1_TRAD_CDO_CLO","FQ2 2021","FQ2 2021","Currency=USD","Period=FQ","BEST_FPERIOD_OVERRIDE=FQ","FILING_STATUS=MR","SCALING_FORMAT=MLN","Sort=A","Dates=H","DateFormat=P","Fill=—","Direction=H","UseDPDF=Y")</f>
        <v>—</v>
      </c>
      <c r="N136" s="13">
        <f>_xll.BDH("ALNY US Equity","ARDR_FV_ASTS_REC_L1_TRAD_CDO_CLO","FQ3 2021","FQ3 2021","Currency=USD","Period=FQ","BEST_FPERIOD_OVERRIDE=FQ","FILING_STATUS=MR","SCALING_FORMAT=MLN","Sort=A","Dates=H","DateFormat=P","Fill=—","Direction=H","UseDPDF=Y")</f>
        <v>0</v>
      </c>
      <c r="O136" s="13" t="str">
        <f>_xll.BDH("ALNY US Equity","ARDR_FV_ASTS_REC_L1_TRAD_CDO_CLO","FQ4 2021","FQ4 2021","Currency=USD","Period=FQ","BEST_FPERIOD_OVERRIDE=FQ","FILING_STATUS=MR","SCALING_FORMAT=MLN","Sort=A","Dates=H","DateFormat=P","Fill=—","Direction=H","UseDPDF=Y")</f>
        <v>—</v>
      </c>
      <c r="P136" s="13" t="str">
        <f>_xll.BDH("ALNY US Equity","ARDR_FV_ASTS_REC_L1_TRAD_CDO_CLO","FQ1 2022","FQ1 2022","Currency=USD","Period=FQ","BEST_FPERIOD_OVERRIDE=FQ","FILING_STATUS=MR","SCALING_FORMAT=MLN","Sort=A","Dates=H","DateFormat=P","Fill=—","Direction=H","UseDPDF=Y")</f>
        <v>—</v>
      </c>
      <c r="Q136" s="13" t="str">
        <f>_xll.BDH("ALNY US Equity","ARDR_FV_ASTS_REC_L1_TRAD_CDO_CLO","FQ2 2022","FQ2 2022","Currency=USD","Period=FQ","BEST_FPERIOD_OVERRIDE=FQ","FILING_STATUS=MR","SCALING_FORMAT=MLN","Sort=A","Dates=H","DateFormat=P","Fill=—","Direction=H","UseDPDF=Y")</f>
        <v>—</v>
      </c>
      <c r="R136" s="13" t="str">
        <f>_xll.BDH("ALNY US Equity","ARDR_FV_ASTS_REC_L1_TRAD_CDO_CLO","FQ3 2022","FQ3 2022","Currency=USD","Period=FQ","BEST_FPERIOD_OVERRIDE=FQ","FILING_STATUS=MR","SCALING_FORMAT=MLN","Sort=A","Dates=H","DateFormat=P","Fill=—","Direction=H","UseDPDF=Y")</f>
        <v>—</v>
      </c>
      <c r="S136" s="13" t="str">
        <f>_xll.BDH("ALNY US Equity","ARDR_FV_ASTS_REC_L1_TRAD_CDO_CLO","FQ4 2022","FQ4 2022","Currency=USD","Period=FQ","BEST_FPERIOD_OVERRIDE=FQ","FILING_STATUS=MR","SCALING_FORMAT=MLN","Sort=A","Dates=H","DateFormat=P","Fill=—","Direction=H","UseDPDF=Y")</f>
        <v>—</v>
      </c>
      <c r="T136" s="13" t="str">
        <f>_xll.BDH("ALNY US Equity","ARDR_FV_ASTS_REC_L1_TRAD_CDO_CLO","FQ1 2023","FQ1 2023","Currency=USD","Period=FQ","BEST_FPERIOD_OVERRIDE=FQ","FILING_STATUS=MR","SCALING_FORMAT=MLN","Sort=A","Dates=H","DateFormat=P","Fill=—","Direction=H","UseDPDF=Y")</f>
        <v>—</v>
      </c>
      <c r="U136" s="13" t="str">
        <f>_xll.BDH("ALNY US Equity","ARDR_FV_ASTS_REC_L1_TRAD_CDO_CLO","FQ2 2023","FQ2 2023","Currency=USD","Period=FQ","BEST_FPERIOD_OVERRIDE=FQ","FILING_STATUS=MR","SCALING_FORMAT=MLN","Sort=A","Dates=H","DateFormat=P","Fill=—","Direction=H","UseDPDF=Y")</f>
        <v>—</v>
      </c>
      <c r="V136" s="13" t="str">
        <f>_xll.BDH("ALNY US Equity","ARDR_FV_ASTS_REC_L1_TRAD_CDO_CLO","FQ3 2023","FQ3 2023","Currency=USD","Period=FQ","BEST_FPERIOD_OVERRIDE=FQ","FILING_STATUS=MR","SCALING_FORMAT=MLN","Sort=A","Dates=H","DateFormat=P","Fill=—","Direction=H","UseDPDF=Y")</f>
        <v>—</v>
      </c>
      <c r="W136" s="13" t="str">
        <f>_xll.BDH("ALNY US Equity","ARDR_FV_ASTS_REC_L1_TRAD_CDO_CLO","FQ4 2023","FQ4 2023","Currency=USD","Period=FQ","BEST_FPERIOD_OVERRIDE=FQ","FILING_STATUS=MR","SCALING_FORMAT=MLN","Sort=A","Dates=H","DateFormat=P","Fill=—","Direction=H","UseDPDF=Y")</f>
        <v>—</v>
      </c>
      <c r="X136" s="13" t="str">
        <f>_xll.BDH("ALNY US Equity","ARDR_FV_ASTS_REC_L1_TRAD_CDO_CLO","FQ1 2024","FQ1 2024","Currency=USD","Period=FQ","BEST_FPERIOD_OVERRIDE=FQ","FILING_STATUS=MR","SCALING_FORMAT=MLN","Sort=A","Dates=H","DateFormat=P","Fill=—","Direction=H","UseDPDF=Y")</f>
        <v>—</v>
      </c>
      <c r="Y136" s="13" t="str">
        <f>_xll.BDH("ALNY US Equity","ARDR_FV_ASTS_REC_L1_TRAD_CDO_CLO","FQ2 2024","FQ2 2024","Currency=USD","Period=FQ","BEST_FPERIOD_OVERRIDE=FQ","FILING_STATUS=MR","SCALING_FORMAT=MLN","Sort=A","Dates=H","DateFormat=P","Fill=—","Direction=H","UseDPDF=Y")</f>
        <v>—</v>
      </c>
      <c r="Z136" s="13" t="str">
        <f>_xll.BDH("ALNY US Equity","ARDR_FV_ASTS_REC_L1_TRAD_CDO_CLO","FQ3 2024","FQ3 2024","Currency=USD","Period=FQ","BEST_FPERIOD_OVERRIDE=FQ","FILING_STATUS=MR","SCALING_FORMAT=MLN","Sort=A","Dates=H","DateFormat=P","Fill=—","Direction=H","UseDPDF=Y")</f>
        <v>—</v>
      </c>
      <c r="AA136" s="13" t="str">
        <f>_xll.BDH("ALNY US Equity","ARDR_FV_ASTS_REC_L1_TRAD_CDO_CLO","FQ4 2024","FQ4 2024","Currency=USD","Period=FQ","BEST_FPERIOD_OVERRIDE=FQ","FILING_STATUS=MR","SCALING_FORMAT=MLN","Sort=A","Dates=H","DateFormat=P","Fill=—","Direction=H","UseDPDF=Y")</f>
        <v>—</v>
      </c>
    </row>
    <row r="137" spans="1:27" x14ac:dyDescent="0.25">
      <c r="A137" s="10" t="s">
        <v>1055</v>
      </c>
      <c r="B137" s="10" t="s">
        <v>1056</v>
      </c>
      <c r="C137" s="13" t="str">
        <f>_xll.BDH("ALNY US Equity","ARDR_FV_ASSETS_REC_L1_AFS_TREAS","FQ4 2018","FQ4 2018","Currency=USD","Period=FQ","BEST_FPERIOD_OVERRIDE=FQ","FILING_STATUS=MR","SCALING_FORMAT=MLN","Sort=A","Dates=H","DateFormat=P","Fill=—","Direction=H","UseDPDF=Y")</f>
        <v>—</v>
      </c>
      <c r="D137" s="13" t="str">
        <f>_xll.BDH("ALNY US Equity","ARDR_FV_ASSETS_REC_L1_AFS_TREAS","FQ1 2019","FQ1 2019","Currency=USD","Period=FQ","BEST_FPERIOD_OVERRIDE=FQ","FILING_STATUS=MR","SCALING_FORMAT=MLN","Sort=A","Dates=H","DateFormat=P","Fill=—","Direction=H","UseDPDF=Y")</f>
        <v>—</v>
      </c>
      <c r="E137" s="13" t="str">
        <f>_xll.BDH("ALNY US Equity","ARDR_FV_ASSETS_REC_L1_AFS_TREAS","FQ2 2019","FQ2 2019","Currency=USD","Period=FQ","BEST_FPERIOD_OVERRIDE=FQ","FILING_STATUS=MR","SCALING_FORMAT=MLN","Sort=A","Dates=H","DateFormat=P","Fill=—","Direction=H","UseDPDF=Y")</f>
        <v>—</v>
      </c>
      <c r="F137" s="13" t="str">
        <f>_xll.BDH("ALNY US Equity","ARDR_FV_ASSETS_REC_L1_AFS_TREAS","FQ3 2019","FQ3 2019","Currency=USD","Period=FQ","BEST_FPERIOD_OVERRIDE=FQ","FILING_STATUS=MR","SCALING_FORMAT=MLN","Sort=A","Dates=H","DateFormat=P","Fill=—","Direction=H","UseDPDF=Y")</f>
        <v>—</v>
      </c>
      <c r="G137" s="13" t="str">
        <f>_xll.BDH("ALNY US Equity","ARDR_FV_ASSETS_REC_L1_AFS_TREAS","FQ4 2019","FQ4 2019","Currency=USD","Period=FQ","BEST_FPERIOD_OVERRIDE=FQ","FILING_STATUS=MR","SCALING_FORMAT=MLN","Sort=A","Dates=H","DateFormat=P","Fill=—","Direction=H","UseDPDF=Y")</f>
        <v>—</v>
      </c>
      <c r="H137" s="13" t="str">
        <f>_xll.BDH("ALNY US Equity","ARDR_FV_ASSETS_REC_L1_AFS_TREAS","FQ1 2020","FQ1 2020","Currency=USD","Period=FQ","BEST_FPERIOD_OVERRIDE=FQ","FILING_STATUS=MR","SCALING_FORMAT=MLN","Sort=A","Dates=H","DateFormat=P","Fill=—","Direction=H","UseDPDF=Y")</f>
        <v>—</v>
      </c>
      <c r="I137" s="13" t="str">
        <f>_xll.BDH("ALNY US Equity","ARDR_FV_ASSETS_REC_L1_AFS_TREAS","FQ2 2020","FQ2 2020","Currency=USD","Period=FQ","BEST_FPERIOD_OVERRIDE=FQ","FILING_STATUS=MR","SCALING_FORMAT=MLN","Sort=A","Dates=H","DateFormat=P","Fill=—","Direction=H","UseDPDF=Y")</f>
        <v>—</v>
      </c>
      <c r="J137" s="13" t="str">
        <f>_xll.BDH("ALNY US Equity","ARDR_FV_ASSETS_REC_L1_AFS_TREAS","FQ3 2020","FQ3 2020","Currency=USD","Period=FQ","BEST_FPERIOD_OVERRIDE=FQ","FILING_STATUS=MR","SCALING_FORMAT=MLN","Sort=A","Dates=H","DateFormat=P","Fill=—","Direction=H","UseDPDF=Y")</f>
        <v>—</v>
      </c>
      <c r="K137" s="13" t="str">
        <f>_xll.BDH("ALNY US Equity","ARDR_FV_ASSETS_REC_L1_AFS_TREAS","FQ4 2020","FQ4 2020","Currency=USD","Period=FQ","BEST_FPERIOD_OVERRIDE=FQ","FILING_STATUS=MR","SCALING_FORMAT=MLN","Sort=A","Dates=H","DateFormat=P","Fill=—","Direction=H","UseDPDF=Y")</f>
        <v>—</v>
      </c>
      <c r="L137" s="13" t="str">
        <f>_xll.BDH("ALNY US Equity","ARDR_FV_ASSETS_REC_L1_AFS_TREAS","FQ1 2021","FQ1 2021","Currency=USD","Period=FQ","BEST_FPERIOD_OVERRIDE=FQ","FILING_STATUS=MR","SCALING_FORMAT=MLN","Sort=A","Dates=H","DateFormat=P","Fill=—","Direction=H","UseDPDF=Y")</f>
        <v>—</v>
      </c>
      <c r="M137" s="13" t="str">
        <f>_xll.BDH("ALNY US Equity","ARDR_FV_ASSETS_REC_L1_AFS_TREAS","FQ2 2021","FQ2 2021","Currency=USD","Period=FQ","BEST_FPERIOD_OVERRIDE=FQ","FILING_STATUS=MR","SCALING_FORMAT=MLN","Sort=A","Dates=H","DateFormat=P","Fill=—","Direction=H","UseDPDF=Y")</f>
        <v>—</v>
      </c>
      <c r="N137" s="13" t="str">
        <f>_xll.BDH("ALNY US Equity","ARDR_FV_ASSETS_REC_L1_AFS_TREAS","FQ3 2021","FQ3 2021","Currency=USD","Period=FQ","BEST_FPERIOD_OVERRIDE=FQ","FILING_STATUS=MR","SCALING_FORMAT=MLN","Sort=A","Dates=H","DateFormat=P","Fill=—","Direction=H","UseDPDF=Y")</f>
        <v>—</v>
      </c>
      <c r="O137" s="13" t="str">
        <f>_xll.BDH("ALNY US Equity","ARDR_FV_ASSETS_REC_L1_AFS_TREAS","FQ4 2021","FQ4 2021","Currency=USD","Period=FQ","BEST_FPERIOD_OVERRIDE=FQ","FILING_STATUS=MR","SCALING_FORMAT=MLN","Sort=A","Dates=H","DateFormat=P","Fill=—","Direction=H","UseDPDF=Y")</f>
        <v>—</v>
      </c>
      <c r="P137" s="13" t="str">
        <f>_xll.BDH("ALNY US Equity","ARDR_FV_ASSETS_REC_L1_AFS_TREAS","FQ1 2022","FQ1 2022","Currency=USD","Period=FQ","BEST_FPERIOD_OVERRIDE=FQ","FILING_STATUS=MR","SCALING_FORMAT=MLN","Sort=A","Dates=H","DateFormat=P","Fill=—","Direction=H","UseDPDF=Y")</f>
        <v>—</v>
      </c>
      <c r="Q137" s="13" t="str">
        <f>_xll.BDH("ALNY US Equity","ARDR_FV_ASSETS_REC_L1_AFS_TREAS","FQ2 2022","FQ2 2022","Currency=USD","Period=FQ","BEST_FPERIOD_OVERRIDE=FQ","FILING_STATUS=MR","SCALING_FORMAT=MLN","Sort=A","Dates=H","DateFormat=P","Fill=—","Direction=H","UseDPDF=Y")</f>
        <v>—</v>
      </c>
      <c r="R137" s="13" t="str">
        <f>_xll.BDH("ALNY US Equity","ARDR_FV_ASSETS_REC_L1_AFS_TREAS","FQ3 2022","FQ3 2022","Currency=USD","Period=FQ","BEST_FPERIOD_OVERRIDE=FQ","FILING_STATUS=MR","SCALING_FORMAT=MLN","Sort=A","Dates=H","DateFormat=P","Fill=—","Direction=H","UseDPDF=Y")</f>
        <v>—</v>
      </c>
      <c r="S137" s="13">
        <f>_xll.BDH("ALNY US Equity","ARDR_FV_ASSETS_REC_L1_AFS_TREAS","FQ4 2022","FQ4 2022","Currency=USD","Period=FQ","BEST_FPERIOD_OVERRIDE=FQ","FILING_STATUS=MR","SCALING_FORMAT=MLN","Sort=A","Dates=H","DateFormat=P","Fill=—","Direction=H","UseDPDF=Y")</f>
        <v>28.122</v>
      </c>
      <c r="T137" s="13" t="str">
        <f>_xll.BDH("ALNY US Equity","ARDR_FV_ASSETS_REC_L1_AFS_TREAS","FQ1 2023","FQ1 2023","Currency=USD","Period=FQ","BEST_FPERIOD_OVERRIDE=FQ","FILING_STATUS=MR","SCALING_FORMAT=MLN","Sort=A","Dates=H","DateFormat=P","Fill=—","Direction=H","UseDPDF=Y")</f>
        <v>—</v>
      </c>
      <c r="U137" s="13" t="str">
        <f>_xll.BDH("ALNY US Equity","ARDR_FV_ASSETS_REC_L1_AFS_TREAS","FQ2 2023","FQ2 2023","Currency=USD","Period=FQ","BEST_FPERIOD_OVERRIDE=FQ","FILING_STATUS=MR","SCALING_FORMAT=MLN","Sort=A","Dates=H","DateFormat=P","Fill=—","Direction=H","UseDPDF=Y")</f>
        <v>—</v>
      </c>
      <c r="V137" s="13">
        <f>_xll.BDH("ALNY US Equity","ARDR_FV_ASSETS_REC_L1_AFS_TREAS","FQ3 2023","FQ3 2023","Currency=USD","Period=FQ","BEST_FPERIOD_OVERRIDE=FQ","FILING_STATUS=MR","SCALING_FORMAT=MLN","Sort=A","Dates=H","DateFormat=P","Fill=—","Direction=H","UseDPDF=Y")</f>
        <v>10.411</v>
      </c>
      <c r="W137" s="13">
        <f>_xll.BDH("ALNY US Equity","ARDR_FV_ASSETS_REC_L1_AFS_TREAS","FQ4 2023","FQ4 2023","Currency=USD","Period=FQ","BEST_FPERIOD_OVERRIDE=FQ","FILING_STATUS=MR","SCALING_FORMAT=MLN","Sort=A","Dates=H","DateFormat=P","Fill=—","Direction=H","UseDPDF=Y")</f>
        <v>11.178000000000001</v>
      </c>
      <c r="X137" s="13">
        <f>_xll.BDH("ALNY US Equity","ARDR_FV_ASSETS_REC_L1_AFS_TREAS","FQ1 2024","FQ1 2024","Currency=USD","Period=FQ","BEST_FPERIOD_OVERRIDE=FQ","FILING_STATUS=MR","SCALING_FORMAT=MLN","Sort=A","Dates=H","DateFormat=P","Fill=—","Direction=H","UseDPDF=Y")</f>
        <v>11.256</v>
      </c>
      <c r="Y137" s="13">
        <f>_xll.BDH("ALNY US Equity","ARDR_FV_ASSETS_REC_L1_AFS_TREAS","FQ2 2024","FQ2 2024","Currency=USD","Period=FQ","BEST_FPERIOD_OVERRIDE=FQ","FILING_STATUS=MR","SCALING_FORMAT=MLN","Sort=A","Dates=H","DateFormat=P","Fill=—","Direction=H","UseDPDF=Y")</f>
        <v>0</v>
      </c>
      <c r="Z137" s="13">
        <f>_xll.BDH("ALNY US Equity","ARDR_FV_ASSETS_REC_L1_AFS_TREAS","FQ3 2024","FQ3 2024","Currency=USD","Period=FQ","BEST_FPERIOD_OVERRIDE=FQ","FILING_STATUS=MR","SCALING_FORMAT=MLN","Sort=A","Dates=H","DateFormat=P","Fill=—","Direction=H","UseDPDF=Y")</f>
        <v>0</v>
      </c>
      <c r="AA137" s="13">
        <f>_xll.BDH("ALNY US Equity","ARDR_FV_ASSETS_REC_L1_AFS_TREAS","FQ4 2024","FQ4 2024","Currency=USD","Period=FQ","BEST_FPERIOD_OVERRIDE=FQ","FILING_STATUS=MR","SCALING_FORMAT=MLN","Sort=A","Dates=H","DateFormat=P","Fill=—","Direction=H","UseDPDF=Y")</f>
        <v>8.1560000000000006</v>
      </c>
    </row>
    <row r="138" spans="1:27" x14ac:dyDescent="0.25">
      <c r="A138" s="10" t="s">
        <v>1057</v>
      </c>
      <c r="B138" s="10" t="s">
        <v>1058</v>
      </c>
      <c r="C138" s="13" t="str">
        <f>_xll.BDH("ALNY US Equity","ARDR_FV_ASSETS_REC_L1_OTHER","FQ4 2018","FQ4 2018","Currency=USD","Period=FQ","BEST_FPERIOD_OVERRIDE=FQ","FILING_STATUS=MR","SCALING_FORMAT=MLN","Sort=A","Dates=H","DateFormat=P","Fill=—","Direction=H","UseDPDF=Y")</f>
        <v>—</v>
      </c>
      <c r="D138" s="13" t="str">
        <f>_xll.BDH("ALNY US Equity","ARDR_FV_ASSETS_REC_L1_OTHER","FQ1 2019","FQ1 2019","Currency=USD","Period=FQ","BEST_FPERIOD_OVERRIDE=FQ","FILING_STATUS=MR","SCALING_FORMAT=MLN","Sort=A","Dates=H","DateFormat=P","Fill=—","Direction=H","UseDPDF=Y")</f>
        <v>—</v>
      </c>
      <c r="E138" s="13" t="str">
        <f>_xll.BDH("ALNY US Equity","ARDR_FV_ASSETS_REC_L1_OTHER","FQ2 2019","FQ2 2019","Currency=USD","Period=FQ","BEST_FPERIOD_OVERRIDE=FQ","FILING_STATUS=MR","SCALING_FORMAT=MLN","Sort=A","Dates=H","DateFormat=P","Fill=—","Direction=H","UseDPDF=Y")</f>
        <v>—</v>
      </c>
      <c r="F138" s="13" t="str">
        <f>_xll.BDH("ALNY US Equity","ARDR_FV_ASSETS_REC_L1_OTHER","FQ3 2019","FQ3 2019","Currency=USD","Period=FQ","BEST_FPERIOD_OVERRIDE=FQ","FILING_STATUS=MR","SCALING_FORMAT=MLN","Sort=A","Dates=H","DateFormat=P","Fill=—","Direction=H","UseDPDF=Y")</f>
        <v>—</v>
      </c>
      <c r="G138" s="13" t="str">
        <f>_xll.BDH("ALNY US Equity","ARDR_FV_ASSETS_REC_L1_OTHER","FQ4 2019","FQ4 2019","Currency=USD","Period=FQ","BEST_FPERIOD_OVERRIDE=FQ","FILING_STATUS=MR","SCALING_FORMAT=MLN","Sort=A","Dates=H","DateFormat=P","Fill=—","Direction=H","UseDPDF=Y")</f>
        <v>—</v>
      </c>
      <c r="H138" s="13" t="str">
        <f>_xll.BDH("ALNY US Equity","ARDR_FV_ASSETS_REC_L1_OTHER","FQ1 2020","FQ1 2020","Currency=USD","Period=FQ","BEST_FPERIOD_OVERRIDE=FQ","FILING_STATUS=MR","SCALING_FORMAT=MLN","Sort=A","Dates=H","DateFormat=P","Fill=—","Direction=H","UseDPDF=Y")</f>
        <v>—</v>
      </c>
      <c r="I138" s="13" t="str">
        <f>_xll.BDH("ALNY US Equity","ARDR_FV_ASSETS_REC_L1_OTHER","FQ2 2020","FQ2 2020","Currency=USD","Period=FQ","BEST_FPERIOD_OVERRIDE=FQ","FILING_STATUS=MR","SCALING_FORMAT=MLN","Sort=A","Dates=H","DateFormat=P","Fill=—","Direction=H","UseDPDF=Y")</f>
        <v>—</v>
      </c>
      <c r="J138" s="13">
        <f>_xll.BDH("ALNY US Equity","ARDR_FV_ASSETS_REC_L1_OTHER","FQ3 2020","FQ3 2020","Currency=USD","Period=FQ","BEST_FPERIOD_OVERRIDE=FQ","FILING_STATUS=MR","SCALING_FORMAT=MLN","Sort=A","Dates=H","DateFormat=P","Fill=—","Direction=H","UseDPDF=Y")</f>
        <v>0</v>
      </c>
      <c r="K138" s="13">
        <f>_xll.BDH("ALNY US Equity","ARDR_FV_ASSETS_REC_L1_OTHER","FQ4 2020","FQ4 2020","Currency=USD","Period=FQ","BEST_FPERIOD_OVERRIDE=FQ","FILING_STATUS=MR","SCALING_FORMAT=MLN","Sort=A","Dates=H","DateFormat=P","Fill=—","Direction=H","UseDPDF=Y")</f>
        <v>1.4830000000000001</v>
      </c>
      <c r="L138" s="13" t="str">
        <f>_xll.BDH("ALNY US Equity","ARDR_FV_ASSETS_REC_L1_OTHER","FQ1 2021","FQ1 2021","Currency=USD","Period=FQ","BEST_FPERIOD_OVERRIDE=FQ","FILING_STATUS=MR","SCALING_FORMAT=MLN","Sort=A","Dates=H","DateFormat=P","Fill=—","Direction=H","UseDPDF=Y")</f>
        <v>—</v>
      </c>
      <c r="M138" s="13" t="str">
        <f>_xll.BDH("ALNY US Equity","ARDR_FV_ASSETS_REC_L1_OTHER","FQ2 2021","FQ2 2021","Currency=USD","Period=FQ","BEST_FPERIOD_OVERRIDE=FQ","FILING_STATUS=MR","SCALING_FORMAT=MLN","Sort=A","Dates=H","DateFormat=P","Fill=—","Direction=H","UseDPDF=Y")</f>
        <v>—</v>
      </c>
      <c r="N138" s="13" t="str">
        <f>_xll.BDH("ALNY US Equity","ARDR_FV_ASSETS_REC_L1_OTHER","FQ3 2021","FQ3 2021","Currency=USD","Period=FQ","BEST_FPERIOD_OVERRIDE=FQ","FILING_STATUS=MR","SCALING_FORMAT=MLN","Sort=A","Dates=H","DateFormat=P","Fill=—","Direction=H","UseDPDF=Y")</f>
        <v>—</v>
      </c>
      <c r="O138" s="13">
        <f>_xll.BDH("ALNY US Equity","ARDR_FV_ASSETS_REC_L1_OTHER","FQ4 2021","FQ4 2021","Currency=USD","Period=FQ","BEST_FPERIOD_OVERRIDE=FQ","FILING_STATUS=MR","SCALING_FORMAT=MLN","Sort=A","Dates=H","DateFormat=P","Fill=—","Direction=H","UseDPDF=Y")</f>
        <v>68.167000000000002</v>
      </c>
      <c r="P138" s="13" t="str">
        <f>_xll.BDH("ALNY US Equity","ARDR_FV_ASSETS_REC_L1_OTHER","FQ1 2022","FQ1 2022","Currency=USD","Period=FQ","BEST_FPERIOD_OVERRIDE=FQ","FILING_STATUS=MR","SCALING_FORMAT=MLN","Sort=A","Dates=H","DateFormat=P","Fill=—","Direction=H","UseDPDF=Y")</f>
        <v>—</v>
      </c>
      <c r="Q138" s="13" t="str">
        <f>_xll.BDH("ALNY US Equity","ARDR_FV_ASSETS_REC_L1_OTHER","FQ2 2022","FQ2 2022","Currency=USD","Period=FQ","BEST_FPERIOD_OVERRIDE=FQ","FILING_STATUS=MR","SCALING_FORMAT=MLN","Sort=A","Dates=H","DateFormat=P","Fill=—","Direction=H","UseDPDF=Y")</f>
        <v>—</v>
      </c>
      <c r="R138" s="13" t="str">
        <f>_xll.BDH("ALNY US Equity","ARDR_FV_ASSETS_REC_L1_OTHER","FQ3 2022","FQ3 2022","Currency=USD","Period=FQ","BEST_FPERIOD_OVERRIDE=FQ","FILING_STATUS=MR","SCALING_FORMAT=MLN","Sort=A","Dates=H","DateFormat=P","Fill=—","Direction=H","UseDPDF=Y")</f>
        <v>—</v>
      </c>
      <c r="S138" s="13" t="str">
        <f>_xll.BDH("ALNY US Equity","ARDR_FV_ASSETS_REC_L1_OTHER","FQ4 2022","FQ4 2022","Currency=USD","Period=FQ","BEST_FPERIOD_OVERRIDE=FQ","FILING_STATUS=MR","SCALING_FORMAT=MLN","Sort=A","Dates=H","DateFormat=P","Fill=—","Direction=H","UseDPDF=Y")</f>
        <v>—</v>
      </c>
      <c r="T138" s="13" t="str">
        <f>_xll.BDH("ALNY US Equity","ARDR_FV_ASSETS_REC_L1_OTHER","FQ1 2023","FQ1 2023","Currency=USD","Period=FQ","BEST_FPERIOD_OVERRIDE=FQ","FILING_STATUS=MR","SCALING_FORMAT=MLN","Sort=A","Dates=H","DateFormat=P","Fill=—","Direction=H","UseDPDF=Y")</f>
        <v>—</v>
      </c>
      <c r="U138" s="13" t="str">
        <f>_xll.BDH("ALNY US Equity","ARDR_FV_ASSETS_REC_L1_OTHER","FQ2 2023","FQ2 2023","Currency=USD","Period=FQ","BEST_FPERIOD_OVERRIDE=FQ","FILING_STATUS=MR","SCALING_FORMAT=MLN","Sort=A","Dates=H","DateFormat=P","Fill=—","Direction=H","UseDPDF=Y")</f>
        <v>—</v>
      </c>
      <c r="V138" s="13" t="str">
        <f>_xll.BDH("ALNY US Equity","ARDR_FV_ASSETS_REC_L1_OTHER","FQ3 2023","FQ3 2023","Currency=USD","Period=FQ","BEST_FPERIOD_OVERRIDE=FQ","FILING_STATUS=MR","SCALING_FORMAT=MLN","Sort=A","Dates=H","DateFormat=P","Fill=—","Direction=H","UseDPDF=Y")</f>
        <v>—</v>
      </c>
      <c r="W138" s="13" t="str">
        <f>_xll.BDH("ALNY US Equity","ARDR_FV_ASSETS_REC_L1_OTHER","FQ4 2023","FQ4 2023","Currency=USD","Period=FQ","BEST_FPERIOD_OVERRIDE=FQ","FILING_STATUS=MR","SCALING_FORMAT=MLN","Sort=A","Dates=H","DateFormat=P","Fill=—","Direction=H","UseDPDF=Y")</f>
        <v>—</v>
      </c>
      <c r="X138" s="13" t="str">
        <f>_xll.BDH("ALNY US Equity","ARDR_FV_ASSETS_REC_L1_OTHER","FQ1 2024","FQ1 2024","Currency=USD","Period=FQ","BEST_FPERIOD_OVERRIDE=FQ","FILING_STATUS=MR","SCALING_FORMAT=MLN","Sort=A","Dates=H","DateFormat=P","Fill=—","Direction=H","UseDPDF=Y")</f>
        <v>—</v>
      </c>
      <c r="Y138" s="13" t="str">
        <f>_xll.BDH("ALNY US Equity","ARDR_FV_ASSETS_REC_L1_OTHER","FQ2 2024","FQ2 2024","Currency=USD","Period=FQ","BEST_FPERIOD_OVERRIDE=FQ","FILING_STATUS=MR","SCALING_FORMAT=MLN","Sort=A","Dates=H","DateFormat=P","Fill=—","Direction=H","UseDPDF=Y")</f>
        <v>—</v>
      </c>
      <c r="Z138" s="13" t="str">
        <f>_xll.BDH("ALNY US Equity","ARDR_FV_ASSETS_REC_L1_OTHER","FQ3 2024","FQ3 2024","Currency=USD","Period=FQ","BEST_FPERIOD_OVERRIDE=FQ","FILING_STATUS=MR","SCALING_FORMAT=MLN","Sort=A","Dates=H","DateFormat=P","Fill=—","Direction=H","UseDPDF=Y")</f>
        <v>—</v>
      </c>
      <c r="AA138" s="13" t="str">
        <f>_xll.BDH("ALNY US Equity","ARDR_FV_ASSETS_REC_L1_OTHER","FQ4 2024","FQ4 2024","Currency=USD","Period=FQ","BEST_FPERIOD_OVERRIDE=FQ","FILING_STATUS=MR","SCALING_FORMAT=MLN","Sort=A","Dates=H","DateFormat=P","Fill=—","Direction=H","UseDPDF=Y")</f>
        <v>—</v>
      </c>
    </row>
    <row r="139" spans="1:27" x14ac:dyDescent="0.25">
      <c r="A139" s="10" t="s">
        <v>1059</v>
      </c>
      <c r="B139" s="10" t="s">
        <v>1060</v>
      </c>
      <c r="C139" s="13">
        <f>_xll.BDH("ALNY US Equity","ARDR_FV_ASTS_REC_L2_CASH_SECS","FQ4 2018","FQ4 2018","Currency=USD","Period=FQ","BEST_FPERIOD_OVERRIDE=FQ","FILING_STATUS=MR","SCALING_FORMAT=MLN","Sort=A","Dates=H","DateFormat=P","Fill=—","Direction=H","UseDPDF=Y")</f>
        <v>328.625</v>
      </c>
      <c r="D139" s="13">
        <f>_xll.BDH("ALNY US Equity","ARDR_FV_ASTS_REC_L2_CASH_SECS","FQ1 2019","FQ1 2019","Currency=USD","Period=FQ","BEST_FPERIOD_OVERRIDE=FQ","FILING_STATUS=MR","SCALING_FORMAT=MLN","Sort=A","Dates=H","DateFormat=P","Fill=—","Direction=H","UseDPDF=Y")</f>
        <v>150.143</v>
      </c>
      <c r="E139" s="13">
        <f>_xll.BDH("ALNY US Equity","ARDR_FV_ASTS_REC_L2_CASH_SECS","FQ2 2019","FQ2 2019","Currency=USD","Period=FQ","BEST_FPERIOD_OVERRIDE=FQ","FILING_STATUS=MR","SCALING_FORMAT=MLN","Sort=A","Dates=H","DateFormat=P","Fill=—","Direction=H","UseDPDF=Y")</f>
        <v>106.474</v>
      </c>
      <c r="F139" s="13">
        <f>_xll.BDH("ALNY US Equity","ARDR_FV_ASTS_REC_L2_CASH_SECS","FQ3 2019","FQ3 2019","Currency=USD","Period=FQ","BEST_FPERIOD_OVERRIDE=FQ","FILING_STATUS=MR","SCALING_FORMAT=MLN","Sort=A","Dates=H","DateFormat=P","Fill=—","Direction=H","UseDPDF=Y")</f>
        <v>19.079999999999998</v>
      </c>
      <c r="G139" s="13">
        <f>_xll.BDH("ALNY US Equity","ARDR_FV_ASTS_REC_L2_CASH_SECS","FQ4 2019","FQ4 2019","Currency=USD","Period=FQ","BEST_FPERIOD_OVERRIDE=FQ","FILING_STATUS=MR","SCALING_FORMAT=MLN","Sort=A","Dates=H","DateFormat=P","Fill=—","Direction=H","UseDPDF=Y")</f>
        <v>39.912999999999997</v>
      </c>
      <c r="H139" s="13">
        <f>_xll.BDH("ALNY US Equity","ARDR_FV_ASTS_REC_L2_CASH_SECS","FQ1 2020","FQ1 2020","Currency=USD","Period=FQ","BEST_FPERIOD_OVERRIDE=FQ","FILING_STATUS=MR","SCALING_FORMAT=MLN","Sort=A","Dates=H","DateFormat=P","Fill=—","Direction=H","UseDPDF=Y")</f>
        <v>344.43299999999999</v>
      </c>
      <c r="I139" s="13">
        <f>_xll.BDH("ALNY US Equity","ARDR_FV_ASTS_REC_L2_CASH_SECS","FQ2 2020","FQ2 2020","Currency=USD","Period=FQ","BEST_FPERIOD_OVERRIDE=FQ","FILING_STATUS=MR","SCALING_FORMAT=MLN","Sort=A","Dates=H","DateFormat=P","Fill=—","Direction=H","UseDPDF=Y")</f>
        <v>84.375</v>
      </c>
      <c r="J139" s="13">
        <f>_xll.BDH("ALNY US Equity","ARDR_FV_ASTS_REC_L2_CASH_SECS","FQ3 2020","FQ3 2020","Currency=USD","Period=FQ","BEST_FPERIOD_OVERRIDE=FQ","FILING_STATUS=MR","SCALING_FORMAT=MLN","Sort=A","Dates=H","DateFormat=P","Fill=—","Direction=H","UseDPDF=Y")</f>
        <v>15</v>
      </c>
      <c r="K139" s="13">
        <f>_xll.BDH("ALNY US Equity","ARDR_FV_ASTS_REC_L2_CASH_SECS","FQ4 2020","FQ4 2020","Currency=USD","Period=FQ","BEST_FPERIOD_OVERRIDE=FQ","FILING_STATUS=MR","SCALING_FORMAT=MLN","Sort=A","Dates=H","DateFormat=P","Fill=—","Direction=H","UseDPDF=Y")</f>
        <v>20</v>
      </c>
      <c r="L139" s="13">
        <f>_xll.BDH("ALNY US Equity","ARDR_FV_ASTS_REC_L2_CASH_SECS","FQ1 2021","FQ1 2021","Currency=USD","Period=FQ","BEST_FPERIOD_OVERRIDE=FQ","FILING_STATUS=MR","SCALING_FORMAT=MLN","Sort=A","Dates=H","DateFormat=P","Fill=—","Direction=H","UseDPDF=Y")</f>
        <v>0</v>
      </c>
      <c r="M139" s="13">
        <f>_xll.BDH("ALNY US Equity","ARDR_FV_ASTS_REC_L2_CASH_SECS","FQ2 2021","FQ2 2021","Currency=USD","Period=FQ","BEST_FPERIOD_OVERRIDE=FQ","FILING_STATUS=MR","SCALING_FORMAT=MLN","Sort=A","Dates=H","DateFormat=P","Fill=—","Direction=H","UseDPDF=Y")</f>
        <v>0</v>
      </c>
      <c r="N139" s="13">
        <f>_xll.BDH("ALNY US Equity","ARDR_FV_ASTS_REC_L2_CASH_SECS","FQ3 2021","FQ3 2021","Currency=USD","Period=FQ","BEST_FPERIOD_OVERRIDE=FQ","FILING_STATUS=MR","SCALING_FORMAT=MLN","Sort=A","Dates=H","DateFormat=P","Fill=—","Direction=H","UseDPDF=Y")</f>
        <v>0</v>
      </c>
      <c r="O139" s="13">
        <f>_xll.BDH("ALNY US Equity","ARDR_FV_ASTS_REC_L2_CASH_SECS","FQ4 2021","FQ4 2021","Currency=USD","Period=FQ","BEST_FPERIOD_OVERRIDE=FQ","FILING_STATUS=MR","SCALING_FORMAT=MLN","Sort=A","Dates=H","DateFormat=P","Fill=—","Direction=H","UseDPDF=Y")</f>
        <v>54.997999999999998</v>
      </c>
      <c r="P139" s="13">
        <f>_xll.BDH("ALNY US Equity","ARDR_FV_ASTS_REC_L2_CASH_SECS","FQ1 2022","FQ1 2022","Currency=USD","Period=FQ","BEST_FPERIOD_OVERRIDE=FQ","FILING_STATUS=MR","SCALING_FORMAT=MLN","Sort=A","Dates=H","DateFormat=P","Fill=—","Direction=H","UseDPDF=Y")</f>
        <v>0</v>
      </c>
      <c r="Q139" s="13">
        <f>_xll.BDH("ALNY US Equity","ARDR_FV_ASTS_REC_L2_CASH_SECS","FQ2 2022","FQ2 2022","Currency=USD","Period=FQ","BEST_FPERIOD_OVERRIDE=FQ","FILING_STATUS=MR","SCALING_FORMAT=MLN","Sort=A","Dates=H","DateFormat=P","Fill=—","Direction=H","UseDPDF=Y")</f>
        <v>89.573999999999998</v>
      </c>
      <c r="R139" s="13">
        <f>_xll.BDH("ALNY US Equity","ARDR_FV_ASTS_REC_L2_CASH_SECS","FQ3 2022","FQ3 2022","Currency=USD","Period=FQ","BEST_FPERIOD_OVERRIDE=FQ","FILING_STATUS=MR","SCALING_FORMAT=MLN","Sort=A","Dates=H","DateFormat=P","Fill=—","Direction=H","UseDPDF=Y")</f>
        <v>0</v>
      </c>
      <c r="S139" s="13">
        <f>_xll.BDH("ALNY US Equity","ARDR_FV_ASTS_REC_L2_CASH_SECS","FQ4 2022","FQ4 2022","Currency=USD","Period=FQ","BEST_FPERIOD_OVERRIDE=FQ","FILING_STATUS=MR","SCALING_FORMAT=MLN","Sort=A","Dates=H","DateFormat=P","Fill=—","Direction=H","UseDPDF=Y")</f>
        <v>0</v>
      </c>
      <c r="T139" s="13">
        <f>_xll.BDH("ALNY US Equity","ARDR_FV_ASTS_REC_L2_CASH_SECS","FQ1 2023","FQ1 2023","Currency=USD","Period=FQ","BEST_FPERIOD_OVERRIDE=FQ","FILING_STATUS=MR","SCALING_FORMAT=MLN","Sort=A","Dates=H","DateFormat=P","Fill=—","Direction=H","UseDPDF=Y")</f>
        <v>0</v>
      </c>
      <c r="U139" s="13">
        <f>_xll.BDH("ALNY US Equity","ARDR_FV_ASTS_REC_L2_CASH_SECS","FQ2 2023","FQ2 2023","Currency=USD","Period=FQ","BEST_FPERIOD_OVERRIDE=FQ","FILING_STATUS=MR","SCALING_FORMAT=MLN","Sort=A","Dates=H","DateFormat=P","Fill=—","Direction=H","UseDPDF=Y")</f>
        <v>7.9320000000000004</v>
      </c>
      <c r="V139" s="13">
        <f>_xll.BDH("ALNY US Equity","ARDR_FV_ASTS_REC_L2_CASH_SECS","FQ3 2023","FQ3 2023","Currency=USD","Period=FQ","BEST_FPERIOD_OVERRIDE=FQ","FILING_STATUS=MR","SCALING_FORMAT=MLN","Sort=A","Dates=H","DateFormat=P","Fill=—","Direction=H","UseDPDF=Y")</f>
        <v>0</v>
      </c>
      <c r="W139" s="13">
        <f>_xll.BDH("ALNY US Equity","ARDR_FV_ASTS_REC_L2_CASH_SECS","FQ4 2023","FQ4 2023","Currency=USD","Period=FQ","BEST_FPERIOD_OVERRIDE=FQ","FILING_STATUS=MR","SCALING_FORMAT=MLN","Sort=A","Dates=H","DateFormat=P","Fill=—","Direction=H","UseDPDF=Y")</f>
        <v>0</v>
      </c>
      <c r="X139" s="13" t="str">
        <f>_xll.BDH("ALNY US Equity","ARDR_FV_ASTS_REC_L2_CASH_SECS","FQ1 2024","FQ1 2024","Currency=USD","Period=FQ","BEST_FPERIOD_OVERRIDE=FQ","FILING_STATUS=MR","SCALING_FORMAT=MLN","Sort=A","Dates=H","DateFormat=P","Fill=—","Direction=H","UseDPDF=Y")</f>
        <v>—</v>
      </c>
      <c r="Y139" s="13">
        <f>_xll.BDH("ALNY US Equity","ARDR_FV_ASTS_REC_L2_CASH_SECS","FQ2 2024","FQ2 2024","Currency=USD","Period=FQ","BEST_FPERIOD_OVERRIDE=FQ","FILING_STATUS=MR","SCALING_FORMAT=MLN","Sort=A","Dates=H","DateFormat=P","Fill=—","Direction=H","UseDPDF=Y")</f>
        <v>36.314999999999998</v>
      </c>
      <c r="Z139" s="13">
        <f>_xll.BDH("ALNY US Equity","ARDR_FV_ASTS_REC_L2_CASH_SECS","FQ3 2024","FQ3 2024","Currency=USD","Period=FQ","BEST_FPERIOD_OVERRIDE=FQ","FILING_STATUS=MR","SCALING_FORMAT=MLN","Sort=A","Dates=H","DateFormat=P","Fill=—","Direction=H","UseDPDF=Y")</f>
        <v>6.1870000000000003</v>
      </c>
      <c r="AA139" s="13">
        <f>_xll.BDH("ALNY US Equity","ARDR_FV_ASTS_REC_L2_CASH_SECS","FQ4 2024","FQ4 2024","Currency=USD","Period=FQ","BEST_FPERIOD_OVERRIDE=FQ","FILING_STATUS=MR","SCALING_FORMAT=MLN","Sort=A","Dates=H","DateFormat=P","Fill=—","Direction=H","UseDPDF=Y")</f>
        <v>0</v>
      </c>
    </row>
    <row r="140" spans="1:27" x14ac:dyDescent="0.25">
      <c r="A140" s="10" t="s">
        <v>1061</v>
      </c>
      <c r="B140" s="10" t="s">
        <v>1062</v>
      </c>
      <c r="C140" s="13">
        <f>_xll.BDH("ALNY US Equity","ARDR_FV_ASTS_REC_L2_TRAD_TREAS","FQ4 2018","FQ4 2018","Currency=USD","Period=FQ","BEST_FPERIOD_OVERRIDE=FQ","FILING_STATUS=MR","SCALING_FORMAT=MLN","Sort=A","Dates=H","DateFormat=P","Fill=—","Direction=H","UseDPDF=Y")</f>
        <v>555.45899999999995</v>
      </c>
      <c r="D140" s="13">
        <f>_xll.BDH("ALNY US Equity","ARDR_FV_ASTS_REC_L2_TRAD_TREAS","FQ1 2019","FQ1 2019","Currency=USD","Period=FQ","BEST_FPERIOD_OVERRIDE=FQ","FILING_STATUS=MR","SCALING_FORMAT=MLN","Sort=A","Dates=H","DateFormat=P","Fill=—","Direction=H","UseDPDF=Y")</f>
        <v>899.66600000000005</v>
      </c>
      <c r="E140" s="13">
        <f>_xll.BDH("ALNY US Equity","ARDR_FV_ASTS_REC_L2_TRAD_TREAS","FQ2 2019","FQ2 2019","Currency=USD","Period=FQ","BEST_FPERIOD_OVERRIDE=FQ","FILING_STATUS=MR","SCALING_FORMAT=MLN","Sort=A","Dates=H","DateFormat=P","Fill=—","Direction=H","UseDPDF=Y")</f>
        <v>1482.8520000000001</v>
      </c>
      <c r="F140" s="13">
        <f>_xll.BDH("ALNY US Equity","ARDR_FV_ASTS_REC_L2_TRAD_TREAS","FQ3 2019","FQ3 2019","Currency=USD","Period=FQ","BEST_FPERIOD_OVERRIDE=FQ","FILING_STATUS=MR","SCALING_FORMAT=MLN","Sort=A","Dates=H","DateFormat=P","Fill=—","Direction=H","UseDPDF=Y")</f>
        <v>1452.817</v>
      </c>
      <c r="G140" s="13">
        <f>_xll.BDH("ALNY US Equity","ARDR_FV_ASTS_REC_L2_TRAD_TREAS","FQ4 2019","FQ4 2019","Currency=USD","Period=FQ","BEST_FPERIOD_OVERRIDE=FQ","FILING_STATUS=MR","SCALING_FORMAT=MLN","Sort=A","Dates=H","DateFormat=P","Fill=—","Direction=H","UseDPDF=Y")</f>
        <v>1238.4469999999999</v>
      </c>
      <c r="H140" s="13">
        <f>_xll.BDH("ALNY US Equity","ARDR_FV_ASTS_REC_L2_TRAD_TREAS","FQ1 2020","FQ1 2020","Currency=USD","Period=FQ","BEST_FPERIOD_OVERRIDE=FQ","FILING_STATUS=MR","SCALING_FORMAT=MLN","Sort=A","Dates=H","DateFormat=P","Fill=—","Direction=H","UseDPDF=Y")</f>
        <v>970.71600000000001</v>
      </c>
      <c r="I140" s="13">
        <f>_xll.BDH("ALNY US Equity","ARDR_FV_ASTS_REC_L2_TRAD_TREAS","FQ2 2020","FQ2 2020","Currency=USD","Period=FQ","BEST_FPERIOD_OVERRIDE=FQ","FILING_STATUS=MR","SCALING_FORMAT=MLN","Sort=A","Dates=H","DateFormat=P","Fill=—","Direction=H","UseDPDF=Y")</f>
        <v>1224.837</v>
      </c>
      <c r="J140" s="13">
        <f>_xll.BDH("ALNY US Equity","ARDR_FV_ASTS_REC_L2_TRAD_TREAS","FQ3 2020","FQ3 2020","Currency=USD","Period=FQ","BEST_FPERIOD_OVERRIDE=FQ","FILING_STATUS=MR","SCALING_FORMAT=MLN","Sort=A","Dates=H","DateFormat=P","Fill=—","Direction=H","UseDPDF=Y")</f>
        <v>1247.8679999999999</v>
      </c>
      <c r="K140" s="13">
        <f>_xll.BDH("ALNY US Equity","ARDR_FV_ASTS_REC_L2_TRAD_TREAS","FQ4 2020","FQ4 2020","Currency=USD","Period=FQ","BEST_FPERIOD_OVERRIDE=FQ","FILING_STATUS=MR","SCALING_FORMAT=MLN","Sort=A","Dates=H","DateFormat=P","Fill=—","Direction=H","UseDPDF=Y")</f>
        <v>1333.182</v>
      </c>
      <c r="L140" s="13">
        <f>_xll.BDH("ALNY US Equity","ARDR_FV_ASTS_REC_L2_TRAD_TREAS","FQ1 2021","FQ1 2021","Currency=USD","Period=FQ","BEST_FPERIOD_OVERRIDE=FQ","FILING_STATUS=MR","SCALING_FORMAT=MLN","Sort=A","Dates=H","DateFormat=P","Fill=—","Direction=H","UseDPDF=Y")</f>
        <v>1273.027</v>
      </c>
      <c r="M140" s="13">
        <f>_xll.BDH("ALNY US Equity","ARDR_FV_ASTS_REC_L2_TRAD_TREAS","FQ2 2021","FQ2 2021","Currency=USD","Period=FQ","BEST_FPERIOD_OVERRIDE=FQ","FILING_STATUS=MR","SCALING_FORMAT=MLN","Sort=A","Dates=H","DateFormat=P","Fill=—","Direction=H","UseDPDF=Y")</f>
        <v>1101.7819999999999</v>
      </c>
      <c r="N140" s="13">
        <f>_xll.BDH("ALNY US Equity","ARDR_FV_ASTS_REC_L2_TRAD_TREAS","FQ3 2021","FQ3 2021","Currency=USD","Period=FQ","BEST_FPERIOD_OVERRIDE=FQ","FILING_STATUS=MR","SCALING_FORMAT=MLN","Sort=A","Dates=H","DateFormat=P","Fill=—","Direction=H","UseDPDF=Y")</f>
        <v>402.1</v>
      </c>
      <c r="O140" s="13" t="str">
        <f>_xll.BDH("ALNY US Equity","ARDR_FV_ASTS_REC_L2_TRAD_TREAS","FQ4 2021","FQ4 2021","Currency=USD","Period=FQ","BEST_FPERIOD_OVERRIDE=FQ","FILING_STATUS=MR","SCALING_FORMAT=MLN","Sort=A","Dates=H","DateFormat=P","Fill=—","Direction=H","UseDPDF=Y")</f>
        <v>—</v>
      </c>
      <c r="P140" s="13">
        <f>_xll.BDH("ALNY US Equity","ARDR_FV_ASTS_REC_L2_TRAD_TREAS","FQ1 2022","FQ1 2022","Currency=USD","Period=FQ","BEST_FPERIOD_OVERRIDE=FQ","FILING_STATUS=MR","SCALING_FORMAT=MLN","Sort=A","Dates=H","DateFormat=P","Fill=—","Direction=H","UseDPDF=Y")</f>
        <v>1727.451</v>
      </c>
      <c r="Q140" s="13">
        <f>_xll.BDH("ALNY US Equity","ARDR_FV_ASTS_REC_L2_TRAD_TREAS","FQ2 2022","FQ2 2022","Currency=USD","Period=FQ","BEST_FPERIOD_OVERRIDE=FQ","FILING_STATUS=MR","SCALING_FORMAT=MLN","Sort=A","Dates=H","DateFormat=P","Fill=—","Direction=H","UseDPDF=Y")</f>
        <v>1504.154</v>
      </c>
      <c r="R140" s="13">
        <f>_xll.BDH("ALNY US Equity","ARDR_FV_ASTS_REC_L2_TRAD_TREAS","FQ3 2022","FQ3 2022","Currency=USD","Period=FQ","BEST_FPERIOD_OVERRIDE=FQ","FILING_STATUS=MR","SCALING_FORMAT=MLN","Sort=A","Dates=H","DateFormat=P","Fill=—","Direction=H","UseDPDF=Y")</f>
        <v>1238.1279999999999</v>
      </c>
      <c r="S140" s="13">
        <f>_xll.BDH("ALNY US Equity","ARDR_FV_ASTS_REC_L2_TRAD_TREAS","FQ4 2022","FQ4 2022","Currency=USD","Period=FQ","BEST_FPERIOD_OVERRIDE=FQ","FILING_STATUS=MR","SCALING_FORMAT=MLN","Sort=A","Dates=H","DateFormat=P","Fill=—","Direction=H","UseDPDF=Y")</f>
        <v>113.24299999999999</v>
      </c>
      <c r="T140" s="13">
        <f>_xll.BDH("ALNY US Equity","ARDR_FV_ASTS_REC_L2_TRAD_TREAS","FQ1 2023","FQ1 2023","Currency=USD","Period=FQ","BEST_FPERIOD_OVERRIDE=FQ","FILING_STATUS=MR","SCALING_FORMAT=MLN","Sort=A","Dates=H","DateFormat=P","Fill=—","Direction=H","UseDPDF=Y")</f>
        <v>1376.7619999999999</v>
      </c>
      <c r="U140" s="13">
        <f>_xll.BDH("ALNY US Equity","ARDR_FV_ASTS_REC_L2_TRAD_TREAS","FQ2 2023","FQ2 2023","Currency=USD","Period=FQ","BEST_FPERIOD_OVERRIDE=FQ","FILING_STATUS=MR","SCALING_FORMAT=MLN","Sort=A","Dates=H","DateFormat=P","Fill=—","Direction=H","UseDPDF=Y")</f>
        <v>1372.451</v>
      </c>
      <c r="V140" s="13">
        <f>_xll.BDH("ALNY US Equity","ARDR_FV_ASTS_REC_L2_TRAD_TREAS","FQ3 2023","FQ3 2023","Currency=USD","Period=FQ","BEST_FPERIOD_OVERRIDE=FQ","FILING_STATUS=MR","SCALING_FORMAT=MLN","Sort=A","Dates=H","DateFormat=P","Fill=—","Direction=H","UseDPDF=Y")</f>
        <v>243.35900000000001</v>
      </c>
      <c r="W140" s="13">
        <f>_xll.BDH("ALNY US Equity","ARDR_FV_ASTS_REC_L2_TRAD_TREAS","FQ4 2023","FQ4 2023","Currency=USD","Period=FQ","BEST_FPERIOD_OVERRIDE=FQ","FILING_STATUS=MR","SCALING_FORMAT=MLN","Sort=A","Dates=H","DateFormat=P","Fill=—","Direction=H","UseDPDF=Y")</f>
        <v>34.158999999999999</v>
      </c>
      <c r="X140" s="13">
        <f>_xll.BDH("ALNY US Equity","ARDR_FV_ASTS_REC_L2_TRAD_TREAS","FQ1 2024","FQ1 2024","Currency=USD","Period=FQ","BEST_FPERIOD_OVERRIDE=FQ","FILING_STATUS=MR","SCALING_FORMAT=MLN","Sort=A","Dates=H","DateFormat=P","Fill=—","Direction=H","UseDPDF=Y")</f>
        <v>56.768000000000001</v>
      </c>
      <c r="Y140" s="13">
        <f>_xll.BDH("ALNY US Equity","ARDR_FV_ASTS_REC_L2_TRAD_TREAS","FQ2 2024","FQ2 2024","Currency=USD","Period=FQ","BEST_FPERIOD_OVERRIDE=FQ","FILING_STATUS=MR","SCALING_FORMAT=MLN","Sort=A","Dates=H","DateFormat=P","Fill=—","Direction=H","UseDPDF=Y")</f>
        <v>459.88</v>
      </c>
      <c r="Z140" s="13">
        <f>_xll.BDH("ALNY US Equity","ARDR_FV_ASTS_REC_L2_TRAD_TREAS","FQ3 2024","FQ3 2024","Currency=USD","Period=FQ","BEST_FPERIOD_OVERRIDE=FQ","FILING_STATUS=MR","SCALING_FORMAT=MLN","Sort=A","Dates=H","DateFormat=P","Fill=—","Direction=H","UseDPDF=Y")</f>
        <v>519.18600000000004</v>
      </c>
      <c r="AA140" s="13">
        <f>_xll.BDH("ALNY US Equity","ARDR_FV_ASTS_REC_L2_TRAD_TREAS","FQ4 2024","FQ4 2024","Currency=USD","Period=FQ","BEST_FPERIOD_OVERRIDE=FQ","FILING_STATUS=MR","SCALING_FORMAT=MLN","Sort=A","Dates=H","DateFormat=P","Fill=—","Direction=H","UseDPDF=Y")</f>
        <v>69.088999999999999</v>
      </c>
    </row>
    <row r="141" spans="1:27" x14ac:dyDescent="0.25">
      <c r="A141" s="10" t="s">
        <v>1063</v>
      </c>
      <c r="B141" s="10" t="s">
        <v>1064</v>
      </c>
      <c r="C141" s="13" t="str">
        <f>_xll.BDH("ALNY US Equity","ARDR_FV_ASTS_REC_L2_TRAD_BONDS","FQ4 2018","FQ4 2018","Currency=USD","Period=FQ","BEST_FPERIOD_OVERRIDE=FQ","FILING_STATUS=MR","SCALING_FORMAT=MLN","Sort=A","Dates=H","DateFormat=P","Fill=—","Direction=H","UseDPDF=Y")</f>
        <v>—</v>
      </c>
      <c r="D141" s="13" t="str">
        <f>_xll.BDH("ALNY US Equity","ARDR_FV_ASTS_REC_L2_TRAD_BONDS","FQ1 2019","FQ1 2019","Currency=USD","Period=FQ","BEST_FPERIOD_OVERRIDE=FQ","FILING_STATUS=MR","SCALING_FORMAT=MLN","Sort=A","Dates=H","DateFormat=P","Fill=—","Direction=H","UseDPDF=Y")</f>
        <v>—</v>
      </c>
      <c r="E141" s="13" t="str">
        <f>_xll.BDH("ALNY US Equity","ARDR_FV_ASTS_REC_L2_TRAD_BONDS","FQ2 2019","FQ2 2019","Currency=USD","Period=FQ","BEST_FPERIOD_OVERRIDE=FQ","FILING_STATUS=MR","SCALING_FORMAT=MLN","Sort=A","Dates=H","DateFormat=P","Fill=—","Direction=H","UseDPDF=Y")</f>
        <v>—</v>
      </c>
      <c r="F141" s="13" t="str">
        <f>_xll.BDH("ALNY US Equity","ARDR_FV_ASTS_REC_L2_TRAD_BONDS","FQ3 2019","FQ3 2019","Currency=USD","Period=FQ","BEST_FPERIOD_OVERRIDE=FQ","FILING_STATUS=MR","SCALING_FORMAT=MLN","Sort=A","Dates=H","DateFormat=P","Fill=—","Direction=H","UseDPDF=Y")</f>
        <v>—</v>
      </c>
      <c r="G141" s="13">
        <f>_xll.BDH("ALNY US Equity","ARDR_FV_ASTS_REC_L2_TRAD_BONDS","FQ4 2019","FQ4 2019","Currency=USD","Period=FQ","BEST_FPERIOD_OVERRIDE=FQ","FILING_STATUS=MR","SCALING_FORMAT=MLN","Sort=A","Dates=H","DateFormat=P","Fill=—","Direction=H","UseDPDF=Y")</f>
        <v>32.488</v>
      </c>
      <c r="H141" s="13" t="str">
        <f>_xll.BDH("ALNY US Equity","ARDR_FV_ASTS_REC_L2_TRAD_BONDS","FQ1 2020","FQ1 2020","Currency=USD","Period=FQ","BEST_FPERIOD_OVERRIDE=FQ","FILING_STATUS=MR","SCALING_FORMAT=MLN","Sort=A","Dates=H","DateFormat=P","Fill=—","Direction=H","UseDPDF=Y")</f>
        <v>—</v>
      </c>
      <c r="I141" s="13" t="str">
        <f>_xll.BDH("ALNY US Equity","ARDR_FV_ASTS_REC_L2_TRAD_BONDS","FQ2 2020","FQ2 2020","Currency=USD","Period=FQ","BEST_FPERIOD_OVERRIDE=FQ","FILING_STATUS=MR","SCALING_FORMAT=MLN","Sort=A","Dates=H","DateFormat=P","Fill=—","Direction=H","UseDPDF=Y")</f>
        <v>—</v>
      </c>
      <c r="J141" s="13">
        <f>_xll.BDH("ALNY US Equity","ARDR_FV_ASTS_REC_L2_TRAD_BONDS","FQ3 2020","FQ3 2020","Currency=USD","Period=FQ","BEST_FPERIOD_OVERRIDE=FQ","FILING_STATUS=MR","SCALING_FORMAT=MLN","Sort=A","Dates=H","DateFormat=P","Fill=—","Direction=H","UseDPDF=Y")</f>
        <v>32.087000000000003</v>
      </c>
      <c r="K141" s="13">
        <f>_xll.BDH("ALNY US Equity","ARDR_FV_ASTS_REC_L2_TRAD_BONDS","FQ4 2020","FQ4 2020","Currency=USD","Period=FQ","BEST_FPERIOD_OVERRIDE=FQ","FILING_STATUS=MR","SCALING_FORMAT=MLN","Sort=A","Dates=H","DateFormat=P","Fill=—","Direction=H","UseDPDF=Y")</f>
        <v>0</v>
      </c>
      <c r="L141" s="13" t="str">
        <f>_xll.BDH("ALNY US Equity","ARDR_FV_ASTS_REC_L2_TRAD_BONDS","FQ1 2021","FQ1 2021","Currency=USD","Period=FQ","BEST_FPERIOD_OVERRIDE=FQ","FILING_STATUS=MR","SCALING_FORMAT=MLN","Sort=A","Dates=H","DateFormat=P","Fill=—","Direction=H","UseDPDF=Y")</f>
        <v>—</v>
      </c>
      <c r="M141" s="13" t="str">
        <f>_xll.BDH("ALNY US Equity","ARDR_FV_ASTS_REC_L2_TRAD_BONDS","FQ2 2021","FQ2 2021","Currency=USD","Period=FQ","BEST_FPERIOD_OVERRIDE=FQ","FILING_STATUS=MR","SCALING_FORMAT=MLN","Sort=A","Dates=H","DateFormat=P","Fill=—","Direction=H","UseDPDF=Y")</f>
        <v>—</v>
      </c>
      <c r="N141" s="13">
        <f>_xll.BDH("ALNY US Equity","ARDR_FV_ASTS_REC_L2_TRAD_BONDS","FQ3 2021","FQ3 2021","Currency=USD","Period=FQ","BEST_FPERIOD_OVERRIDE=FQ","FILING_STATUS=MR","SCALING_FORMAT=MLN","Sort=A","Dates=H","DateFormat=P","Fill=—","Direction=H","UseDPDF=Y")</f>
        <v>769.22400000000005</v>
      </c>
      <c r="O141" s="13" t="str">
        <f>_xll.BDH("ALNY US Equity","ARDR_FV_ASTS_REC_L2_TRAD_BONDS","FQ4 2021","FQ4 2021","Currency=USD","Period=FQ","BEST_FPERIOD_OVERRIDE=FQ","FILING_STATUS=MR","SCALING_FORMAT=MLN","Sort=A","Dates=H","DateFormat=P","Fill=—","Direction=H","UseDPDF=Y")</f>
        <v>—</v>
      </c>
      <c r="P141" s="13" t="str">
        <f>_xll.BDH("ALNY US Equity","ARDR_FV_ASTS_REC_L2_TRAD_BONDS","FQ1 2022","FQ1 2022","Currency=USD","Period=FQ","BEST_FPERIOD_OVERRIDE=FQ","FILING_STATUS=MR","SCALING_FORMAT=MLN","Sort=A","Dates=H","DateFormat=P","Fill=—","Direction=H","UseDPDF=Y")</f>
        <v>—</v>
      </c>
      <c r="Q141" s="13" t="str">
        <f>_xll.BDH("ALNY US Equity","ARDR_FV_ASTS_REC_L2_TRAD_BONDS","FQ2 2022","FQ2 2022","Currency=USD","Period=FQ","BEST_FPERIOD_OVERRIDE=FQ","FILING_STATUS=MR","SCALING_FORMAT=MLN","Sort=A","Dates=H","DateFormat=P","Fill=—","Direction=H","UseDPDF=Y")</f>
        <v>—</v>
      </c>
      <c r="R141" s="13" t="str">
        <f>_xll.BDH("ALNY US Equity","ARDR_FV_ASTS_REC_L2_TRAD_BONDS","FQ3 2022","FQ3 2022","Currency=USD","Period=FQ","BEST_FPERIOD_OVERRIDE=FQ","FILING_STATUS=MR","SCALING_FORMAT=MLN","Sort=A","Dates=H","DateFormat=P","Fill=—","Direction=H","UseDPDF=Y")</f>
        <v>—</v>
      </c>
      <c r="S141" s="13" t="str">
        <f>_xll.BDH("ALNY US Equity","ARDR_FV_ASTS_REC_L2_TRAD_BONDS","FQ4 2022","FQ4 2022","Currency=USD","Period=FQ","BEST_FPERIOD_OVERRIDE=FQ","FILING_STATUS=MR","SCALING_FORMAT=MLN","Sort=A","Dates=H","DateFormat=P","Fill=—","Direction=H","UseDPDF=Y")</f>
        <v>—</v>
      </c>
      <c r="T141" s="13" t="str">
        <f>_xll.BDH("ALNY US Equity","ARDR_FV_ASTS_REC_L2_TRAD_BONDS","FQ1 2023","FQ1 2023","Currency=USD","Period=FQ","BEST_FPERIOD_OVERRIDE=FQ","FILING_STATUS=MR","SCALING_FORMAT=MLN","Sort=A","Dates=H","DateFormat=P","Fill=—","Direction=H","UseDPDF=Y")</f>
        <v>—</v>
      </c>
      <c r="U141" s="13" t="str">
        <f>_xll.BDH("ALNY US Equity","ARDR_FV_ASTS_REC_L2_TRAD_BONDS","FQ2 2023","FQ2 2023","Currency=USD","Period=FQ","BEST_FPERIOD_OVERRIDE=FQ","FILING_STATUS=MR","SCALING_FORMAT=MLN","Sort=A","Dates=H","DateFormat=P","Fill=—","Direction=H","UseDPDF=Y")</f>
        <v>—</v>
      </c>
      <c r="V141" s="13" t="str">
        <f>_xll.BDH("ALNY US Equity","ARDR_FV_ASTS_REC_L2_TRAD_BONDS","FQ3 2023","FQ3 2023","Currency=USD","Period=FQ","BEST_FPERIOD_OVERRIDE=FQ","FILING_STATUS=MR","SCALING_FORMAT=MLN","Sort=A","Dates=H","DateFormat=P","Fill=—","Direction=H","UseDPDF=Y")</f>
        <v>—</v>
      </c>
      <c r="W141" s="13" t="str">
        <f>_xll.BDH("ALNY US Equity","ARDR_FV_ASTS_REC_L2_TRAD_BONDS","FQ4 2023","FQ4 2023","Currency=USD","Period=FQ","BEST_FPERIOD_OVERRIDE=FQ","FILING_STATUS=MR","SCALING_FORMAT=MLN","Sort=A","Dates=H","DateFormat=P","Fill=—","Direction=H","UseDPDF=Y")</f>
        <v>—</v>
      </c>
      <c r="X141" s="13" t="str">
        <f>_xll.BDH("ALNY US Equity","ARDR_FV_ASTS_REC_L2_TRAD_BONDS","FQ1 2024","FQ1 2024","Currency=USD","Period=FQ","BEST_FPERIOD_OVERRIDE=FQ","FILING_STATUS=MR","SCALING_FORMAT=MLN","Sort=A","Dates=H","DateFormat=P","Fill=—","Direction=H","UseDPDF=Y")</f>
        <v>—</v>
      </c>
      <c r="Y141" s="13" t="str">
        <f>_xll.BDH("ALNY US Equity","ARDR_FV_ASTS_REC_L2_TRAD_BONDS","FQ2 2024","FQ2 2024","Currency=USD","Period=FQ","BEST_FPERIOD_OVERRIDE=FQ","FILING_STATUS=MR","SCALING_FORMAT=MLN","Sort=A","Dates=H","DateFormat=P","Fill=—","Direction=H","UseDPDF=Y")</f>
        <v>—</v>
      </c>
      <c r="Z141" s="13" t="str">
        <f>_xll.BDH("ALNY US Equity","ARDR_FV_ASTS_REC_L2_TRAD_BONDS","FQ3 2024","FQ3 2024","Currency=USD","Period=FQ","BEST_FPERIOD_OVERRIDE=FQ","FILING_STATUS=MR","SCALING_FORMAT=MLN","Sort=A","Dates=H","DateFormat=P","Fill=—","Direction=H","UseDPDF=Y")</f>
        <v>—</v>
      </c>
      <c r="AA141" s="13" t="str">
        <f>_xll.BDH("ALNY US Equity","ARDR_FV_ASTS_REC_L2_TRAD_BONDS","FQ4 2024","FQ4 2024","Currency=USD","Period=FQ","BEST_FPERIOD_OVERRIDE=FQ","FILING_STATUS=MR","SCALING_FORMAT=MLN","Sort=A","Dates=H","DateFormat=P","Fill=—","Direction=H","UseDPDF=Y")</f>
        <v>—</v>
      </c>
    </row>
    <row r="142" spans="1:27" x14ac:dyDescent="0.25">
      <c r="A142" s="10" t="s">
        <v>1065</v>
      </c>
      <c r="B142" s="10" t="s">
        <v>1066</v>
      </c>
      <c r="C142" s="13" t="str">
        <f>_xll.BDH("ALNY US Equity","ARDR_FV_ASSETS_REC_L2_AFS_TREAS","FQ4 2018","FQ4 2018","Currency=USD","Period=FQ","BEST_FPERIOD_OVERRIDE=FQ","FILING_STATUS=MR","SCALING_FORMAT=MLN","Sort=A","Dates=H","DateFormat=P","Fill=—","Direction=H","UseDPDF=Y")</f>
        <v>—</v>
      </c>
      <c r="D142" s="13" t="str">
        <f>_xll.BDH("ALNY US Equity","ARDR_FV_ASSETS_REC_L2_AFS_TREAS","FQ1 2019","FQ1 2019","Currency=USD","Period=FQ","BEST_FPERIOD_OVERRIDE=FQ","FILING_STATUS=MR","SCALING_FORMAT=MLN","Sort=A","Dates=H","DateFormat=P","Fill=—","Direction=H","UseDPDF=Y")</f>
        <v>—</v>
      </c>
      <c r="E142" s="13" t="str">
        <f>_xll.BDH("ALNY US Equity","ARDR_FV_ASSETS_REC_L2_AFS_TREAS","FQ2 2019","FQ2 2019","Currency=USD","Period=FQ","BEST_FPERIOD_OVERRIDE=FQ","FILING_STATUS=MR","SCALING_FORMAT=MLN","Sort=A","Dates=H","DateFormat=P","Fill=—","Direction=H","UseDPDF=Y")</f>
        <v>—</v>
      </c>
      <c r="F142" s="13" t="str">
        <f>_xll.BDH("ALNY US Equity","ARDR_FV_ASSETS_REC_L2_AFS_TREAS","FQ3 2019","FQ3 2019","Currency=USD","Period=FQ","BEST_FPERIOD_OVERRIDE=FQ","FILING_STATUS=MR","SCALING_FORMAT=MLN","Sort=A","Dates=H","DateFormat=P","Fill=—","Direction=H","UseDPDF=Y")</f>
        <v>—</v>
      </c>
      <c r="G142" s="13" t="str">
        <f>_xll.BDH("ALNY US Equity","ARDR_FV_ASSETS_REC_L2_AFS_TREAS","FQ4 2019","FQ4 2019","Currency=USD","Period=FQ","BEST_FPERIOD_OVERRIDE=FQ","FILING_STATUS=MR","SCALING_FORMAT=MLN","Sort=A","Dates=H","DateFormat=P","Fill=—","Direction=H","UseDPDF=Y")</f>
        <v>—</v>
      </c>
      <c r="H142" s="13" t="str">
        <f>_xll.BDH("ALNY US Equity","ARDR_FV_ASSETS_REC_L2_AFS_TREAS","FQ1 2020","FQ1 2020","Currency=USD","Period=FQ","BEST_FPERIOD_OVERRIDE=FQ","FILING_STATUS=MR","SCALING_FORMAT=MLN","Sort=A","Dates=H","DateFormat=P","Fill=—","Direction=H","UseDPDF=Y")</f>
        <v>—</v>
      </c>
      <c r="I142" s="13" t="str">
        <f>_xll.BDH("ALNY US Equity","ARDR_FV_ASSETS_REC_L2_AFS_TREAS","FQ2 2020","FQ2 2020","Currency=USD","Period=FQ","BEST_FPERIOD_OVERRIDE=FQ","FILING_STATUS=MR","SCALING_FORMAT=MLN","Sort=A","Dates=H","DateFormat=P","Fill=—","Direction=H","UseDPDF=Y")</f>
        <v>—</v>
      </c>
      <c r="J142" s="13" t="str">
        <f>_xll.BDH("ALNY US Equity","ARDR_FV_ASSETS_REC_L2_AFS_TREAS","FQ3 2020","FQ3 2020","Currency=USD","Period=FQ","BEST_FPERIOD_OVERRIDE=FQ","FILING_STATUS=MR","SCALING_FORMAT=MLN","Sort=A","Dates=H","DateFormat=P","Fill=—","Direction=H","UseDPDF=Y")</f>
        <v>—</v>
      </c>
      <c r="K142" s="13" t="str">
        <f>_xll.BDH("ALNY US Equity","ARDR_FV_ASSETS_REC_L2_AFS_TREAS","FQ4 2020","FQ4 2020","Currency=USD","Period=FQ","BEST_FPERIOD_OVERRIDE=FQ","FILING_STATUS=MR","SCALING_FORMAT=MLN","Sort=A","Dates=H","DateFormat=P","Fill=—","Direction=H","UseDPDF=Y")</f>
        <v>—</v>
      </c>
      <c r="L142" s="13" t="str">
        <f>_xll.BDH("ALNY US Equity","ARDR_FV_ASSETS_REC_L2_AFS_TREAS","FQ1 2021","FQ1 2021","Currency=USD","Period=FQ","BEST_FPERIOD_OVERRIDE=FQ","FILING_STATUS=MR","SCALING_FORMAT=MLN","Sort=A","Dates=H","DateFormat=P","Fill=—","Direction=H","UseDPDF=Y")</f>
        <v>—</v>
      </c>
      <c r="M142" s="13" t="str">
        <f>_xll.BDH("ALNY US Equity","ARDR_FV_ASSETS_REC_L2_AFS_TREAS","FQ2 2021","FQ2 2021","Currency=USD","Period=FQ","BEST_FPERIOD_OVERRIDE=FQ","FILING_STATUS=MR","SCALING_FORMAT=MLN","Sort=A","Dates=H","DateFormat=P","Fill=—","Direction=H","UseDPDF=Y")</f>
        <v>—</v>
      </c>
      <c r="N142" s="13" t="str">
        <f>_xll.BDH("ALNY US Equity","ARDR_FV_ASSETS_REC_L2_AFS_TREAS","FQ3 2021","FQ3 2021","Currency=USD","Period=FQ","BEST_FPERIOD_OVERRIDE=FQ","FILING_STATUS=MR","SCALING_FORMAT=MLN","Sort=A","Dates=H","DateFormat=P","Fill=—","Direction=H","UseDPDF=Y")</f>
        <v>—</v>
      </c>
      <c r="O142" s="13" t="str">
        <f>_xll.BDH("ALNY US Equity","ARDR_FV_ASSETS_REC_L2_AFS_TREAS","FQ4 2021","FQ4 2021","Currency=USD","Period=FQ","BEST_FPERIOD_OVERRIDE=FQ","FILING_STATUS=MR","SCALING_FORMAT=MLN","Sort=A","Dates=H","DateFormat=P","Fill=—","Direction=H","UseDPDF=Y")</f>
        <v>—</v>
      </c>
      <c r="P142" s="13" t="str">
        <f>_xll.BDH("ALNY US Equity","ARDR_FV_ASSETS_REC_L2_AFS_TREAS","FQ1 2022","FQ1 2022","Currency=USD","Period=FQ","BEST_FPERIOD_OVERRIDE=FQ","FILING_STATUS=MR","SCALING_FORMAT=MLN","Sort=A","Dates=H","DateFormat=P","Fill=—","Direction=H","UseDPDF=Y")</f>
        <v>—</v>
      </c>
      <c r="Q142" s="13" t="str">
        <f>_xll.BDH("ALNY US Equity","ARDR_FV_ASSETS_REC_L2_AFS_TREAS","FQ2 2022","FQ2 2022","Currency=USD","Period=FQ","BEST_FPERIOD_OVERRIDE=FQ","FILING_STATUS=MR","SCALING_FORMAT=MLN","Sort=A","Dates=H","DateFormat=P","Fill=—","Direction=H","UseDPDF=Y")</f>
        <v>—</v>
      </c>
      <c r="R142" s="13" t="str">
        <f>_xll.BDH("ALNY US Equity","ARDR_FV_ASSETS_REC_L2_AFS_TREAS","FQ3 2022","FQ3 2022","Currency=USD","Period=FQ","BEST_FPERIOD_OVERRIDE=FQ","FILING_STATUS=MR","SCALING_FORMAT=MLN","Sort=A","Dates=H","DateFormat=P","Fill=—","Direction=H","UseDPDF=Y")</f>
        <v>—</v>
      </c>
      <c r="S142" s="13">
        <f>_xll.BDH("ALNY US Equity","ARDR_FV_ASSETS_REC_L2_AFS_TREAS","FQ4 2022","FQ4 2022","Currency=USD","Period=FQ","BEST_FPERIOD_OVERRIDE=FQ","FILING_STATUS=MR","SCALING_FORMAT=MLN","Sort=A","Dates=H","DateFormat=P","Fill=—","Direction=H","UseDPDF=Y")</f>
        <v>1297.8900000000001</v>
      </c>
      <c r="T142" s="13" t="str">
        <f>_xll.BDH("ALNY US Equity","ARDR_FV_ASSETS_REC_L2_AFS_TREAS","FQ1 2023","FQ1 2023","Currency=USD","Period=FQ","BEST_FPERIOD_OVERRIDE=FQ","FILING_STATUS=MR","SCALING_FORMAT=MLN","Sort=A","Dates=H","DateFormat=P","Fill=—","Direction=H","UseDPDF=Y")</f>
        <v>—</v>
      </c>
      <c r="U142" s="13" t="str">
        <f>_xll.BDH("ALNY US Equity","ARDR_FV_ASSETS_REC_L2_AFS_TREAS","FQ2 2023","FQ2 2023","Currency=USD","Period=FQ","BEST_FPERIOD_OVERRIDE=FQ","FILING_STATUS=MR","SCALING_FORMAT=MLN","Sort=A","Dates=H","DateFormat=P","Fill=—","Direction=H","UseDPDF=Y")</f>
        <v>—</v>
      </c>
      <c r="V142" s="13">
        <f>_xll.BDH("ALNY US Equity","ARDR_FV_ASSETS_REC_L2_AFS_TREAS","FQ3 2023","FQ3 2023","Currency=USD","Period=FQ","BEST_FPERIOD_OVERRIDE=FQ","FILING_STATUS=MR","SCALING_FORMAT=MLN","Sort=A","Dates=H","DateFormat=P","Fill=—","Direction=H","UseDPDF=Y")</f>
        <v>1137.5920000000001</v>
      </c>
      <c r="W142" s="13">
        <f>_xll.BDH("ALNY US Equity","ARDR_FV_ASSETS_REC_L2_AFS_TREAS","FQ4 2023","FQ4 2023","Currency=USD","Period=FQ","BEST_FPERIOD_OVERRIDE=FQ","FILING_STATUS=MR","SCALING_FORMAT=MLN","Sort=A","Dates=H","DateFormat=P","Fill=—","Direction=H","UseDPDF=Y")</f>
        <v>1615.5160000000001</v>
      </c>
      <c r="X142" s="13">
        <f>_xll.BDH("ALNY US Equity","ARDR_FV_ASSETS_REC_L2_AFS_TREAS","FQ1 2024","FQ1 2024","Currency=USD","Period=FQ","BEST_FPERIOD_OVERRIDE=FQ","FILING_STATUS=MR","SCALING_FORMAT=MLN","Sort=A","Dates=H","DateFormat=P","Fill=—","Direction=H","UseDPDF=Y")</f>
        <v>1678.1469999999999</v>
      </c>
      <c r="Y142" s="13">
        <f>_xll.BDH("ALNY US Equity","ARDR_FV_ASSETS_REC_L2_AFS_TREAS","FQ2 2024","FQ2 2024","Currency=USD","Period=FQ","BEST_FPERIOD_OVERRIDE=FQ","FILING_STATUS=MR","SCALING_FORMAT=MLN","Sort=A","Dates=H","DateFormat=P","Fill=—","Direction=H","UseDPDF=Y")</f>
        <v>1192.6880000000001</v>
      </c>
      <c r="Z142" s="13">
        <f>_xll.BDH("ALNY US Equity","ARDR_FV_ASSETS_REC_L2_AFS_TREAS","FQ3 2024","FQ3 2024","Currency=USD","Period=FQ","BEST_FPERIOD_OVERRIDE=FQ","FILING_STATUS=MR","SCALING_FORMAT=MLN","Sort=A","Dates=H","DateFormat=P","Fill=—","Direction=H","UseDPDF=Y")</f>
        <v>1158.9939999999999</v>
      </c>
      <c r="AA142" s="13">
        <f>_xll.BDH("ALNY US Equity","ARDR_FV_ASSETS_REC_L2_AFS_TREAS","FQ4 2024","FQ4 2024","Currency=USD","Period=FQ","BEST_FPERIOD_OVERRIDE=FQ","FILING_STATUS=MR","SCALING_FORMAT=MLN","Sort=A","Dates=H","DateFormat=P","Fill=—","Direction=H","UseDPDF=Y")</f>
        <v>1719.92</v>
      </c>
    </row>
    <row r="143" spans="1:27" x14ac:dyDescent="0.25">
      <c r="A143" s="10" t="s">
        <v>1067</v>
      </c>
      <c r="B143" s="10" t="s">
        <v>1068</v>
      </c>
      <c r="C143" s="13" t="str">
        <f>_xll.BDH("ALNY US Equity","ARDR_FV_ASSETS_REC_L2_OTH","FQ4 2018","FQ4 2018","Currency=USD","Period=FQ","BEST_FPERIOD_OVERRIDE=FQ","FILING_STATUS=MR","SCALING_FORMAT=MLN","Sort=A","Dates=H","DateFormat=P","Fill=—","Direction=H","UseDPDF=Y")</f>
        <v>—</v>
      </c>
      <c r="D143" s="13" t="str">
        <f>_xll.BDH("ALNY US Equity","ARDR_FV_ASSETS_REC_L2_OTH","FQ1 2019","FQ1 2019","Currency=USD","Period=FQ","BEST_FPERIOD_OVERRIDE=FQ","FILING_STATUS=MR","SCALING_FORMAT=MLN","Sort=A","Dates=H","DateFormat=P","Fill=—","Direction=H","UseDPDF=Y")</f>
        <v>—</v>
      </c>
      <c r="E143" s="13" t="str">
        <f>_xll.BDH("ALNY US Equity","ARDR_FV_ASSETS_REC_L2_OTH","FQ2 2019","FQ2 2019","Currency=USD","Period=FQ","BEST_FPERIOD_OVERRIDE=FQ","FILING_STATUS=MR","SCALING_FORMAT=MLN","Sort=A","Dates=H","DateFormat=P","Fill=—","Direction=H","UseDPDF=Y")</f>
        <v>—</v>
      </c>
      <c r="F143" s="13" t="str">
        <f>_xll.BDH("ALNY US Equity","ARDR_FV_ASSETS_REC_L2_OTH","FQ3 2019","FQ3 2019","Currency=USD","Period=FQ","BEST_FPERIOD_OVERRIDE=FQ","FILING_STATUS=MR","SCALING_FORMAT=MLN","Sort=A","Dates=H","DateFormat=P","Fill=—","Direction=H","UseDPDF=Y")</f>
        <v>—</v>
      </c>
      <c r="G143" s="13" t="str">
        <f>_xll.BDH("ALNY US Equity","ARDR_FV_ASSETS_REC_L2_OTH","FQ4 2019","FQ4 2019","Currency=USD","Period=FQ","BEST_FPERIOD_OVERRIDE=FQ","FILING_STATUS=MR","SCALING_FORMAT=MLN","Sort=A","Dates=H","DateFormat=P","Fill=—","Direction=H","UseDPDF=Y")</f>
        <v>—</v>
      </c>
      <c r="H143" s="13" t="str">
        <f>_xll.BDH("ALNY US Equity","ARDR_FV_ASSETS_REC_L2_OTH","FQ1 2020","FQ1 2020","Currency=USD","Period=FQ","BEST_FPERIOD_OVERRIDE=FQ","FILING_STATUS=MR","SCALING_FORMAT=MLN","Sort=A","Dates=H","DateFormat=P","Fill=—","Direction=H","UseDPDF=Y")</f>
        <v>—</v>
      </c>
      <c r="I143" s="13" t="str">
        <f>_xll.BDH("ALNY US Equity","ARDR_FV_ASSETS_REC_L2_OTH","FQ2 2020","FQ2 2020","Currency=USD","Period=FQ","BEST_FPERIOD_OVERRIDE=FQ","FILING_STATUS=MR","SCALING_FORMAT=MLN","Sort=A","Dates=H","DateFormat=P","Fill=—","Direction=H","UseDPDF=Y")</f>
        <v>—</v>
      </c>
      <c r="J143" s="13" t="str">
        <f>_xll.BDH("ALNY US Equity","ARDR_FV_ASSETS_REC_L2_OTH","FQ3 2020","FQ3 2020","Currency=USD","Period=FQ","BEST_FPERIOD_OVERRIDE=FQ","FILING_STATUS=MR","SCALING_FORMAT=MLN","Sort=A","Dates=H","DateFormat=P","Fill=—","Direction=H","UseDPDF=Y")</f>
        <v>—</v>
      </c>
      <c r="K143" s="13" t="str">
        <f>_xll.BDH("ALNY US Equity","ARDR_FV_ASSETS_REC_L2_OTH","FQ4 2020","FQ4 2020","Currency=USD","Period=FQ","BEST_FPERIOD_OVERRIDE=FQ","FILING_STATUS=MR","SCALING_FORMAT=MLN","Sort=A","Dates=H","DateFormat=P","Fill=—","Direction=H","UseDPDF=Y")</f>
        <v>—</v>
      </c>
      <c r="L143" s="13" t="str">
        <f>_xll.BDH("ALNY US Equity","ARDR_FV_ASSETS_REC_L2_OTH","FQ1 2021","FQ1 2021","Currency=USD","Period=FQ","BEST_FPERIOD_OVERRIDE=FQ","FILING_STATUS=MR","SCALING_FORMAT=MLN","Sort=A","Dates=H","DateFormat=P","Fill=—","Direction=H","UseDPDF=Y")</f>
        <v>—</v>
      </c>
      <c r="M143" s="13" t="str">
        <f>_xll.BDH("ALNY US Equity","ARDR_FV_ASSETS_REC_L2_OTH","FQ2 2021","FQ2 2021","Currency=USD","Period=FQ","BEST_FPERIOD_OVERRIDE=FQ","FILING_STATUS=MR","SCALING_FORMAT=MLN","Sort=A","Dates=H","DateFormat=P","Fill=—","Direction=H","UseDPDF=Y")</f>
        <v>—</v>
      </c>
      <c r="N143" s="13" t="str">
        <f>_xll.BDH("ALNY US Equity","ARDR_FV_ASSETS_REC_L2_OTH","FQ3 2021","FQ3 2021","Currency=USD","Period=FQ","BEST_FPERIOD_OVERRIDE=FQ","FILING_STATUS=MR","SCALING_FORMAT=MLN","Sort=A","Dates=H","DateFormat=P","Fill=—","Direction=H","UseDPDF=Y")</f>
        <v>—</v>
      </c>
      <c r="O143" s="13">
        <f>_xll.BDH("ALNY US Equity","ARDR_FV_ASSETS_REC_L2_OTH","FQ4 2021","FQ4 2021","Currency=USD","Period=FQ","BEST_FPERIOD_OVERRIDE=FQ","FILING_STATUS=MR","SCALING_FORMAT=MLN","Sort=A","Dates=H","DateFormat=P","Fill=—","Direction=H","UseDPDF=Y")</f>
        <v>1548.617</v>
      </c>
      <c r="P143" s="13" t="str">
        <f>_xll.BDH("ALNY US Equity","ARDR_FV_ASSETS_REC_L2_OTH","FQ1 2022","FQ1 2022","Currency=USD","Period=FQ","BEST_FPERIOD_OVERRIDE=FQ","FILING_STATUS=MR","SCALING_FORMAT=MLN","Sort=A","Dates=H","DateFormat=P","Fill=—","Direction=H","UseDPDF=Y")</f>
        <v>—</v>
      </c>
      <c r="Q143" s="13" t="str">
        <f>_xll.BDH("ALNY US Equity","ARDR_FV_ASSETS_REC_L2_OTH","FQ2 2022","FQ2 2022","Currency=USD","Period=FQ","BEST_FPERIOD_OVERRIDE=FQ","FILING_STATUS=MR","SCALING_FORMAT=MLN","Sort=A","Dates=H","DateFormat=P","Fill=—","Direction=H","UseDPDF=Y")</f>
        <v>—</v>
      </c>
      <c r="R143" s="13" t="str">
        <f>_xll.BDH("ALNY US Equity","ARDR_FV_ASSETS_REC_L2_OTH","FQ3 2022","FQ3 2022","Currency=USD","Period=FQ","BEST_FPERIOD_OVERRIDE=FQ","FILING_STATUS=MR","SCALING_FORMAT=MLN","Sort=A","Dates=H","DateFormat=P","Fill=—","Direction=H","UseDPDF=Y")</f>
        <v>—</v>
      </c>
      <c r="S143" s="13" t="str">
        <f>_xll.BDH("ALNY US Equity","ARDR_FV_ASSETS_REC_L2_OTH","FQ4 2022","FQ4 2022","Currency=USD","Period=FQ","BEST_FPERIOD_OVERRIDE=FQ","FILING_STATUS=MR","SCALING_FORMAT=MLN","Sort=A","Dates=H","DateFormat=P","Fill=—","Direction=H","UseDPDF=Y")</f>
        <v>—</v>
      </c>
      <c r="T143" s="13" t="str">
        <f>_xll.BDH("ALNY US Equity","ARDR_FV_ASSETS_REC_L2_OTH","FQ1 2023","FQ1 2023","Currency=USD","Period=FQ","BEST_FPERIOD_OVERRIDE=FQ","FILING_STATUS=MR","SCALING_FORMAT=MLN","Sort=A","Dates=H","DateFormat=P","Fill=—","Direction=H","UseDPDF=Y")</f>
        <v>—</v>
      </c>
      <c r="U143" s="13" t="str">
        <f>_xll.BDH("ALNY US Equity","ARDR_FV_ASSETS_REC_L2_OTH","FQ2 2023","FQ2 2023","Currency=USD","Period=FQ","BEST_FPERIOD_OVERRIDE=FQ","FILING_STATUS=MR","SCALING_FORMAT=MLN","Sort=A","Dates=H","DateFormat=P","Fill=—","Direction=H","UseDPDF=Y")</f>
        <v>—</v>
      </c>
      <c r="V143" s="13" t="str">
        <f>_xll.BDH("ALNY US Equity","ARDR_FV_ASSETS_REC_L2_OTH","FQ3 2023","FQ3 2023","Currency=USD","Period=FQ","BEST_FPERIOD_OVERRIDE=FQ","FILING_STATUS=MR","SCALING_FORMAT=MLN","Sort=A","Dates=H","DateFormat=P","Fill=—","Direction=H","UseDPDF=Y")</f>
        <v>—</v>
      </c>
      <c r="W143" s="13" t="str">
        <f>_xll.BDH("ALNY US Equity","ARDR_FV_ASSETS_REC_L2_OTH","FQ4 2023","FQ4 2023","Currency=USD","Period=FQ","BEST_FPERIOD_OVERRIDE=FQ","FILING_STATUS=MR","SCALING_FORMAT=MLN","Sort=A","Dates=H","DateFormat=P","Fill=—","Direction=H","UseDPDF=Y")</f>
        <v>—</v>
      </c>
      <c r="X143" s="13" t="str">
        <f>_xll.BDH("ALNY US Equity","ARDR_FV_ASSETS_REC_L2_OTH","FQ1 2024","FQ1 2024","Currency=USD","Period=FQ","BEST_FPERIOD_OVERRIDE=FQ","FILING_STATUS=MR","SCALING_FORMAT=MLN","Sort=A","Dates=H","DateFormat=P","Fill=—","Direction=H","UseDPDF=Y")</f>
        <v>—</v>
      </c>
      <c r="Y143" s="13" t="str">
        <f>_xll.BDH("ALNY US Equity","ARDR_FV_ASSETS_REC_L2_OTH","FQ2 2024","FQ2 2024","Currency=USD","Period=FQ","BEST_FPERIOD_OVERRIDE=FQ","FILING_STATUS=MR","SCALING_FORMAT=MLN","Sort=A","Dates=H","DateFormat=P","Fill=—","Direction=H","UseDPDF=Y")</f>
        <v>—</v>
      </c>
      <c r="Z143" s="13" t="str">
        <f>_xll.BDH("ALNY US Equity","ARDR_FV_ASSETS_REC_L2_OTH","FQ3 2024","FQ3 2024","Currency=USD","Period=FQ","BEST_FPERIOD_OVERRIDE=FQ","FILING_STATUS=MR","SCALING_FORMAT=MLN","Sort=A","Dates=H","DateFormat=P","Fill=—","Direction=H","UseDPDF=Y")</f>
        <v>—</v>
      </c>
      <c r="AA143" s="13" t="str">
        <f>_xll.BDH("ALNY US Equity","ARDR_FV_ASSETS_REC_L2_OTH","FQ4 2024","FQ4 2024","Currency=USD","Period=FQ","BEST_FPERIOD_OVERRIDE=FQ","FILING_STATUS=MR","SCALING_FORMAT=MLN","Sort=A","Dates=H","DateFormat=P","Fill=—","Direction=H","UseDPDF=Y")</f>
        <v>—</v>
      </c>
    </row>
    <row r="144" spans="1:27" x14ac:dyDescent="0.25">
      <c r="A144" s="10" t="s">
        <v>1069</v>
      </c>
      <c r="B144" s="10" t="s">
        <v>1070</v>
      </c>
      <c r="C144" s="13">
        <f>_xll.BDH("ALNY US Equity","ARDR_FV_ASTS_REC_L3_CASH_SECS","FQ4 2018","FQ4 2018","Currency=USD","Period=FQ","BEST_FPERIOD_OVERRIDE=FQ","FILING_STATUS=MR","SCALING_FORMAT=MLN","Sort=A","Dates=H","DateFormat=P","Fill=—","Direction=H","UseDPDF=Y")</f>
        <v>0</v>
      </c>
      <c r="D144" s="13">
        <f>_xll.BDH("ALNY US Equity","ARDR_FV_ASTS_REC_L3_CASH_SECS","FQ1 2019","FQ1 2019","Currency=USD","Period=FQ","BEST_FPERIOD_OVERRIDE=FQ","FILING_STATUS=MR","SCALING_FORMAT=MLN","Sort=A","Dates=H","DateFormat=P","Fill=—","Direction=H","UseDPDF=Y")</f>
        <v>0</v>
      </c>
      <c r="E144" s="13">
        <f>_xll.BDH("ALNY US Equity","ARDR_FV_ASTS_REC_L3_CASH_SECS","FQ2 2019","FQ2 2019","Currency=USD","Period=FQ","BEST_FPERIOD_OVERRIDE=FQ","FILING_STATUS=MR","SCALING_FORMAT=MLN","Sort=A","Dates=H","DateFormat=P","Fill=—","Direction=H","UseDPDF=Y")</f>
        <v>0</v>
      </c>
      <c r="F144" s="13">
        <f>_xll.BDH("ALNY US Equity","ARDR_FV_ASTS_REC_L3_CASH_SECS","FQ3 2019","FQ3 2019","Currency=USD","Period=FQ","BEST_FPERIOD_OVERRIDE=FQ","FILING_STATUS=MR","SCALING_FORMAT=MLN","Sort=A","Dates=H","DateFormat=P","Fill=—","Direction=H","UseDPDF=Y")</f>
        <v>0</v>
      </c>
      <c r="G144" s="13">
        <f>_xll.BDH("ALNY US Equity","ARDR_FV_ASTS_REC_L3_CASH_SECS","FQ4 2019","FQ4 2019","Currency=USD","Period=FQ","BEST_FPERIOD_OVERRIDE=FQ","FILING_STATUS=MR","SCALING_FORMAT=MLN","Sort=A","Dates=H","DateFormat=P","Fill=—","Direction=H","UseDPDF=Y")</f>
        <v>0</v>
      </c>
      <c r="H144" s="13">
        <f>_xll.BDH("ALNY US Equity","ARDR_FV_ASTS_REC_L3_CASH_SECS","FQ1 2020","FQ1 2020","Currency=USD","Period=FQ","BEST_FPERIOD_OVERRIDE=FQ","FILING_STATUS=MR","SCALING_FORMAT=MLN","Sort=A","Dates=H","DateFormat=P","Fill=—","Direction=H","UseDPDF=Y")</f>
        <v>0</v>
      </c>
      <c r="I144" s="13">
        <f>_xll.BDH("ALNY US Equity","ARDR_FV_ASTS_REC_L3_CASH_SECS","FQ2 2020","FQ2 2020","Currency=USD","Period=FQ","BEST_FPERIOD_OVERRIDE=FQ","FILING_STATUS=MR","SCALING_FORMAT=MLN","Sort=A","Dates=H","DateFormat=P","Fill=—","Direction=H","UseDPDF=Y")</f>
        <v>0</v>
      </c>
      <c r="J144" s="13">
        <f>_xll.BDH("ALNY US Equity","ARDR_FV_ASTS_REC_L3_CASH_SECS","FQ3 2020","FQ3 2020","Currency=USD","Period=FQ","BEST_FPERIOD_OVERRIDE=FQ","FILING_STATUS=MR","SCALING_FORMAT=MLN","Sort=A","Dates=H","DateFormat=P","Fill=—","Direction=H","UseDPDF=Y")</f>
        <v>0</v>
      </c>
      <c r="K144" s="13">
        <f>_xll.BDH("ALNY US Equity","ARDR_FV_ASTS_REC_L3_CASH_SECS","FQ4 2020","FQ4 2020","Currency=USD","Period=FQ","BEST_FPERIOD_OVERRIDE=FQ","FILING_STATUS=MR","SCALING_FORMAT=MLN","Sort=A","Dates=H","DateFormat=P","Fill=—","Direction=H","UseDPDF=Y")</f>
        <v>0</v>
      </c>
      <c r="L144" s="13">
        <f>_xll.BDH("ALNY US Equity","ARDR_FV_ASTS_REC_L3_CASH_SECS","FQ1 2021","FQ1 2021","Currency=USD","Period=FQ","BEST_FPERIOD_OVERRIDE=FQ","FILING_STATUS=MR","SCALING_FORMAT=MLN","Sort=A","Dates=H","DateFormat=P","Fill=—","Direction=H","UseDPDF=Y")</f>
        <v>0</v>
      </c>
      <c r="M144" s="13">
        <f>_xll.BDH("ALNY US Equity","ARDR_FV_ASTS_REC_L3_CASH_SECS","FQ2 2021","FQ2 2021","Currency=USD","Period=FQ","BEST_FPERIOD_OVERRIDE=FQ","FILING_STATUS=MR","SCALING_FORMAT=MLN","Sort=A","Dates=H","DateFormat=P","Fill=—","Direction=H","UseDPDF=Y")</f>
        <v>0</v>
      </c>
      <c r="N144" s="13">
        <f>_xll.BDH("ALNY US Equity","ARDR_FV_ASTS_REC_L3_CASH_SECS","FQ3 2021","FQ3 2021","Currency=USD","Period=FQ","BEST_FPERIOD_OVERRIDE=FQ","FILING_STATUS=MR","SCALING_FORMAT=MLN","Sort=A","Dates=H","DateFormat=P","Fill=—","Direction=H","UseDPDF=Y")</f>
        <v>0</v>
      </c>
      <c r="O144" s="13">
        <f>_xll.BDH("ALNY US Equity","ARDR_FV_ASTS_REC_L3_CASH_SECS","FQ4 2021","FQ4 2021","Currency=USD","Period=FQ","BEST_FPERIOD_OVERRIDE=FQ","FILING_STATUS=MR","SCALING_FORMAT=MLN","Sort=A","Dates=H","DateFormat=P","Fill=—","Direction=H","UseDPDF=Y")</f>
        <v>0</v>
      </c>
      <c r="P144" s="13">
        <f>_xll.BDH("ALNY US Equity","ARDR_FV_ASTS_REC_L3_CASH_SECS","FQ1 2022","FQ1 2022","Currency=USD","Period=FQ","BEST_FPERIOD_OVERRIDE=FQ","FILING_STATUS=MR","SCALING_FORMAT=MLN","Sort=A","Dates=H","DateFormat=P","Fill=—","Direction=H","UseDPDF=Y")</f>
        <v>0</v>
      </c>
      <c r="Q144" s="13">
        <f>_xll.BDH("ALNY US Equity","ARDR_FV_ASTS_REC_L3_CASH_SECS","FQ2 2022","FQ2 2022","Currency=USD","Period=FQ","BEST_FPERIOD_OVERRIDE=FQ","FILING_STATUS=MR","SCALING_FORMAT=MLN","Sort=A","Dates=H","DateFormat=P","Fill=—","Direction=H","UseDPDF=Y")</f>
        <v>0</v>
      </c>
      <c r="R144" s="13">
        <f>_xll.BDH("ALNY US Equity","ARDR_FV_ASTS_REC_L3_CASH_SECS","FQ3 2022","FQ3 2022","Currency=USD","Period=FQ","BEST_FPERIOD_OVERRIDE=FQ","FILING_STATUS=MR","SCALING_FORMAT=MLN","Sort=A","Dates=H","DateFormat=P","Fill=—","Direction=H","UseDPDF=Y")</f>
        <v>0</v>
      </c>
      <c r="S144" s="13">
        <f>_xll.BDH("ALNY US Equity","ARDR_FV_ASTS_REC_L3_CASH_SECS","FQ4 2022","FQ4 2022","Currency=USD","Period=FQ","BEST_FPERIOD_OVERRIDE=FQ","FILING_STATUS=MR","SCALING_FORMAT=MLN","Sort=A","Dates=H","DateFormat=P","Fill=—","Direction=H","UseDPDF=Y")</f>
        <v>0</v>
      </c>
      <c r="T144" s="13">
        <f>_xll.BDH("ALNY US Equity","ARDR_FV_ASTS_REC_L3_CASH_SECS","FQ1 2023","FQ1 2023","Currency=USD","Period=FQ","BEST_FPERIOD_OVERRIDE=FQ","FILING_STATUS=MR","SCALING_FORMAT=MLN","Sort=A","Dates=H","DateFormat=P","Fill=—","Direction=H","UseDPDF=Y")</f>
        <v>0</v>
      </c>
      <c r="U144" s="13">
        <f>_xll.BDH("ALNY US Equity","ARDR_FV_ASTS_REC_L3_CASH_SECS","FQ2 2023","FQ2 2023","Currency=USD","Period=FQ","BEST_FPERIOD_OVERRIDE=FQ","FILING_STATUS=MR","SCALING_FORMAT=MLN","Sort=A","Dates=H","DateFormat=P","Fill=—","Direction=H","UseDPDF=Y")</f>
        <v>0</v>
      </c>
      <c r="V144" s="13">
        <f>_xll.BDH("ALNY US Equity","ARDR_FV_ASTS_REC_L3_CASH_SECS","FQ3 2023","FQ3 2023","Currency=USD","Period=FQ","BEST_FPERIOD_OVERRIDE=FQ","FILING_STATUS=MR","SCALING_FORMAT=MLN","Sort=A","Dates=H","DateFormat=P","Fill=—","Direction=H","UseDPDF=Y")</f>
        <v>0</v>
      </c>
      <c r="W144" s="13">
        <f>_xll.BDH("ALNY US Equity","ARDR_FV_ASTS_REC_L3_CASH_SECS","FQ4 2023","FQ4 2023","Currency=USD","Period=FQ","BEST_FPERIOD_OVERRIDE=FQ","FILING_STATUS=MR","SCALING_FORMAT=MLN","Sort=A","Dates=H","DateFormat=P","Fill=—","Direction=H","UseDPDF=Y")</f>
        <v>0</v>
      </c>
      <c r="X144" s="13">
        <f>_xll.BDH("ALNY US Equity","ARDR_FV_ASTS_REC_L3_CASH_SECS","FQ1 2024","FQ1 2024","Currency=USD","Period=FQ","BEST_FPERIOD_OVERRIDE=FQ","FILING_STATUS=MR","SCALING_FORMAT=MLN","Sort=A","Dates=H","DateFormat=P","Fill=—","Direction=H","UseDPDF=Y")</f>
        <v>0</v>
      </c>
      <c r="Y144" s="13">
        <f>_xll.BDH("ALNY US Equity","ARDR_FV_ASTS_REC_L3_CASH_SECS","FQ2 2024","FQ2 2024","Currency=USD","Period=FQ","BEST_FPERIOD_OVERRIDE=FQ","FILING_STATUS=MR","SCALING_FORMAT=MLN","Sort=A","Dates=H","DateFormat=P","Fill=—","Direction=H","UseDPDF=Y")</f>
        <v>0</v>
      </c>
      <c r="Z144" s="13">
        <f>_xll.BDH("ALNY US Equity","ARDR_FV_ASTS_REC_L3_CASH_SECS","FQ3 2024","FQ3 2024","Currency=USD","Period=FQ","BEST_FPERIOD_OVERRIDE=FQ","FILING_STATUS=MR","SCALING_FORMAT=MLN","Sort=A","Dates=H","DateFormat=P","Fill=—","Direction=H","UseDPDF=Y")</f>
        <v>0</v>
      </c>
      <c r="AA144" s="13">
        <f>_xll.BDH("ALNY US Equity","ARDR_FV_ASTS_REC_L3_CASH_SECS","FQ4 2024","FQ4 2024","Currency=USD","Period=FQ","BEST_FPERIOD_OVERRIDE=FQ","FILING_STATUS=MR","SCALING_FORMAT=MLN","Sort=A","Dates=H","DateFormat=P","Fill=—","Direction=H","UseDPDF=Y")</f>
        <v>0</v>
      </c>
    </row>
    <row r="145" spans="1:27" x14ac:dyDescent="0.25">
      <c r="A145" s="10" t="s">
        <v>1071</v>
      </c>
      <c r="B145" s="10" t="s">
        <v>1072</v>
      </c>
      <c r="C145" s="13">
        <f>_xll.BDH("ALNY US Equity","ARDR_FV_ASTS_REC_L3_TRAD_TREAS","FQ4 2018","FQ4 2018","Currency=USD","Period=FQ","BEST_FPERIOD_OVERRIDE=FQ","FILING_STATUS=MR","SCALING_FORMAT=MLN","Sort=A","Dates=H","DateFormat=P","Fill=—","Direction=H","UseDPDF=Y")</f>
        <v>0</v>
      </c>
      <c r="D145" s="13">
        <f>_xll.BDH("ALNY US Equity","ARDR_FV_ASTS_REC_L3_TRAD_TREAS","FQ1 2019","FQ1 2019","Currency=USD","Period=FQ","BEST_FPERIOD_OVERRIDE=FQ","FILING_STATUS=MR","SCALING_FORMAT=MLN","Sort=A","Dates=H","DateFormat=P","Fill=—","Direction=H","UseDPDF=Y")</f>
        <v>0</v>
      </c>
      <c r="E145" s="13">
        <f>_xll.BDH("ALNY US Equity","ARDR_FV_ASTS_REC_L3_TRAD_TREAS","FQ2 2019","FQ2 2019","Currency=USD","Period=FQ","BEST_FPERIOD_OVERRIDE=FQ","FILING_STATUS=MR","SCALING_FORMAT=MLN","Sort=A","Dates=H","DateFormat=P","Fill=—","Direction=H","UseDPDF=Y")</f>
        <v>0</v>
      </c>
      <c r="F145" s="13">
        <f>_xll.BDH("ALNY US Equity","ARDR_FV_ASTS_REC_L3_TRAD_TREAS","FQ3 2019","FQ3 2019","Currency=USD","Period=FQ","BEST_FPERIOD_OVERRIDE=FQ","FILING_STATUS=MR","SCALING_FORMAT=MLN","Sort=A","Dates=H","DateFormat=P","Fill=—","Direction=H","UseDPDF=Y")</f>
        <v>0</v>
      </c>
      <c r="G145" s="13">
        <f>_xll.BDH("ALNY US Equity","ARDR_FV_ASTS_REC_L3_TRAD_TREAS","FQ4 2019","FQ4 2019","Currency=USD","Period=FQ","BEST_FPERIOD_OVERRIDE=FQ","FILING_STATUS=MR","SCALING_FORMAT=MLN","Sort=A","Dates=H","DateFormat=P","Fill=—","Direction=H","UseDPDF=Y")</f>
        <v>0</v>
      </c>
      <c r="H145" s="13">
        <f>_xll.BDH("ALNY US Equity","ARDR_FV_ASTS_REC_L3_TRAD_TREAS","FQ1 2020","FQ1 2020","Currency=USD","Period=FQ","BEST_FPERIOD_OVERRIDE=FQ","FILING_STATUS=MR","SCALING_FORMAT=MLN","Sort=A","Dates=H","DateFormat=P","Fill=—","Direction=H","UseDPDF=Y")</f>
        <v>0</v>
      </c>
      <c r="I145" s="13">
        <f>_xll.BDH("ALNY US Equity","ARDR_FV_ASTS_REC_L3_TRAD_TREAS","FQ2 2020","FQ2 2020","Currency=USD","Period=FQ","BEST_FPERIOD_OVERRIDE=FQ","FILING_STATUS=MR","SCALING_FORMAT=MLN","Sort=A","Dates=H","DateFormat=P","Fill=—","Direction=H","UseDPDF=Y")</f>
        <v>0</v>
      </c>
      <c r="J145" s="13">
        <f>_xll.BDH("ALNY US Equity","ARDR_FV_ASTS_REC_L3_TRAD_TREAS","FQ3 2020","FQ3 2020","Currency=USD","Period=FQ","BEST_FPERIOD_OVERRIDE=FQ","FILING_STATUS=MR","SCALING_FORMAT=MLN","Sort=A","Dates=H","DateFormat=P","Fill=—","Direction=H","UseDPDF=Y")</f>
        <v>0</v>
      </c>
      <c r="K145" s="13">
        <f>_xll.BDH("ALNY US Equity","ARDR_FV_ASTS_REC_L3_TRAD_TREAS","FQ4 2020","FQ4 2020","Currency=USD","Period=FQ","BEST_FPERIOD_OVERRIDE=FQ","FILING_STATUS=MR","SCALING_FORMAT=MLN","Sort=A","Dates=H","DateFormat=P","Fill=—","Direction=H","UseDPDF=Y")</f>
        <v>0</v>
      </c>
      <c r="L145" s="13">
        <f>_xll.BDH("ALNY US Equity","ARDR_FV_ASTS_REC_L3_TRAD_TREAS","FQ1 2021","FQ1 2021","Currency=USD","Period=FQ","BEST_FPERIOD_OVERRIDE=FQ","FILING_STATUS=MR","SCALING_FORMAT=MLN","Sort=A","Dates=H","DateFormat=P","Fill=—","Direction=H","UseDPDF=Y")</f>
        <v>0</v>
      </c>
      <c r="M145" s="13">
        <f>_xll.BDH("ALNY US Equity","ARDR_FV_ASTS_REC_L3_TRAD_TREAS","FQ2 2021","FQ2 2021","Currency=USD","Period=FQ","BEST_FPERIOD_OVERRIDE=FQ","FILING_STATUS=MR","SCALING_FORMAT=MLN","Sort=A","Dates=H","DateFormat=P","Fill=—","Direction=H","UseDPDF=Y")</f>
        <v>0</v>
      </c>
      <c r="N145" s="13">
        <f>_xll.BDH("ALNY US Equity","ARDR_FV_ASTS_REC_L3_TRAD_TREAS","FQ3 2021","FQ3 2021","Currency=USD","Period=FQ","BEST_FPERIOD_OVERRIDE=FQ","FILING_STATUS=MR","SCALING_FORMAT=MLN","Sort=A","Dates=H","DateFormat=P","Fill=—","Direction=H","UseDPDF=Y")</f>
        <v>0</v>
      </c>
      <c r="O145" s="13" t="str">
        <f>_xll.BDH("ALNY US Equity","ARDR_FV_ASTS_REC_L3_TRAD_TREAS","FQ4 2021","FQ4 2021","Currency=USD","Period=FQ","BEST_FPERIOD_OVERRIDE=FQ","FILING_STATUS=MR","SCALING_FORMAT=MLN","Sort=A","Dates=H","DateFormat=P","Fill=—","Direction=H","UseDPDF=Y")</f>
        <v>—</v>
      </c>
      <c r="P145" s="13">
        <f>_xll.BDH("ALNY US Equity","ARDR_FV_ASTS_REC_L3_TRAD_TREAS","FQ1 2022","FQ1 2022","Currency=USD","Period=FQ","BEST_FPERIOD_OVERRIDE=FQ","FILING_STATUS=MR","SCALING_FORMAT=MLN","Sort=A","Dates=H","DateFormat=P","Fill=—","Direction=H","UseDPDF=Y")</f>
        <v>0</v>
      </c>
      <c r="Q145" s="13">
        <f>_xll.BDH("ALNY US Equity","ARDR_FV_ASTS_REC_L3_TRAD_TREAS","FQ2 2022","FQ2 2022","Currency=USD","Period=FQ","BEST_FPERIOD_OVERRIDE=FQ","FILING_STATUS=MR","SCALING_FORMAT=MLN","Sort=A","Dates=H","DateFormat=P","Fill=—","Direction=H","UseDPDF=Y")</f>
        <v>0</v>
      </c>
      <c r="R145" s="13">
        <f>_xll.BDH("ALNY US Equity","ARDR_FV_ASTS_REC_L3_TRAD_TREAS","FQ3 2022","FQ3 2022","Currency=USD","Period=FQ","BEST_FPERIOD_OVERRIDE=FQ","FILING_STATUS=MR","SCALING_FORMAT=MLN","Sort=A","Dates=H","DateFormat=P","Fill=—","Direction=H","UseDPDF=Y")</f>
        <v>0</v>
      </c>
      <c r="S145" s="13">
        <f>_xll.BDH("ALNY US Equity","ARDR_FV_ASTS_REC_L3_TRAD_TREAS","FQ4 2022","FQ4 2022","Currency=USD","Period=FQ","BEST_FPERIOD_OVERRIDE=FQ","FILING_STATUS=MR","SCALING_FORMAT=MLN","Sort=A","Dates=H","DateFormat=P","Fill=—","Direction=H","UseDPDF=Y")</f>
        <v>0</v>
      </c>
      <c r="T145" s="13">
        <f>_xll.BDH("ALNY US Equity","ARDR_FV_ASTS_REC_L3_TRAD_TREAS","FQ1 2023","FQ1 2023","Currency=USD","Period=FQ","BEST_FPERIOD_OVERRIDE=FQ","FILING_STATUS=MR","SCALING_FORMAT=MLN","Sort=A","Dates=H","DateFormat=P","Fill=—","Direction=H","UseDPDF=Y")</f>
        <v>0</v>
      </c>
      <c r="U145" s="13">
        <f>_xll.BDH("ALNY US Equity","ARDR_FV_ASTS_REC_L3_TRAD_TREAS","FQ2 2023","FQ2 2023","Currency=USD","Period=FQ","BEST_FPERIOD_OVERRIDE=FQ","FILING_STATUS=MR","SCALING_FORMAT=MLN","Sort=A","Dates=H","DateFormat=P","Fill=—","Direction=H","UseDPDF=Y")</f>
        <v>0</v>
      </c>
      <c r="V145" s="13">
        <f>_xll.BDH("ALNY US Equity","ARDR_FV_ASTS_REC_L3_TRAD_TREAS","FQ3 2023","FQ3 2023","Currency=USD","Period=FQ","BEST_FPERIOD_OVERRIDE=FQ","FILING_STATUS=MR","SCALING_FORMAT=MLN","Sort=A","Dates=H","DateFormat=P","Fill=—","Direction=H","UseDPDF=Y")</f>
        <v>0</v>
      </c>
      <c r="W145" s="13">
        <f>_xll.BDH("ALNY US Equity","ARDR_FV_ASTS_REC_L3_TRAD_TREAS","FQ4 2023","FQ4 2023","Currency=USD","Period=FQ","BEST_FPERIOD_OVERRIDE=FQ","FILING_STATUS=MR","SCALING_FORMAT=MLN","Sort=A","Dates=H","DateFormat=P","Fill=—","Direction=H","UseDPDF=Y")</f>
        <v>0</v>
      </c>
      <c r="X145" s="13">
        <f>_xll.BDH("ALNY US Equity","ARDR_FV_ASTS_REC_L3_TRAD_TREAS","FQ1 2024","FQ1 2024","Currency=USD","Period=FQ","BEST_FPERIOD_OVERRIDE=FQ","FILING_STATUS=MR","SCALING_FORMAT=MLN","Sort=A","Dates=H","DateFormat=P","Fill=—","Direction=H","UseDPDF=Y")</f>
        <v>0</v>
      </c>
      <c r="Y145" s="13">
        <f>_xll.BDH("ALNY US Equity","ARDR_FV_ASTS_REC_L3_TRAD_TREAS","FQ2 2024","FQ2 2024","Currency=USD","Period=FQ","BEST_FPERIOD_OVERRIDE=FQ","FILING_STATUS=MR","SCALING_FORMAT=MLN","Sort=A","Dates=H","DateFormat=P","Fill=—","Direction=H","UseDPDF=Y")</f>
        <v>0</v>
      </c>
      <c r="Z145" s="13">
        <f>_xll.BDH("ALNY US Equity","ARDR_FV_ASTS_REC_L3_TRAD_TREAS","FQ3 2024","FQ3 2024","Currency=USD","Period=FQ","BEST_FPERIOD_OVERRIDE=FQ","FILING_STATUS=MR","SCALING_FORMAT=MLN","Sort=A","Dates=H","DateFormat=P","Fill=—","Direction=H","UseDPDF=Y")</f>
        <v>0</v>
      </c>
      <c r="AA145" s="13">
        <f>_xll.BDH("ALNY US Equity","ARDR_FV_ASTS_REC_L3_TRAD_TREAS","FQ4 2024","FQ4 2024","Currency=USD","Period=FQ","BEST_FPERIOD_OVERRIDE=FQ","FILING_STATUS=MR","SCALING_FORMAT=MLN","Sort=A","Dates=H","DateFormat=P","Fill=—","Direction=H","UseDPDF=Y")</f>
        <v>0</v>
      </c>
    </row>
    <row r="146" spans="1:27" x14ac:dyDescent="0.25">
      <c r="A146" s="10" t="s">
        <v>1073</v>
      </c>
      <c r="B146" s="10" t="s">
        <v>1074</v>
      </c>
      <c r="C146" s="13" t="str">
        <f>_xll.BDH("ALNY US Equity","ARDR_FV_ASTS_REC_L3_TRAD_BONDS","FQ4 2018","FQ4 2018","Currency=USD","Period=FQ","BEST_FPERIOD_OVERRIDE=FQ","FILING_STATUS=MR","SCALING_FORMAT=MLN","Sort=A","Dates=H","DateFormat=P","Fill=—","Direction=H","UseDPDF=Y")</f>
        <v>—</v>
      </c>
      <c r="D146" s="13" t="str">
        <f>_xll.BDH("ALNY US Equity","ARDR_FV_ASTS_REC_L3_TRAD_BONDS","FQ1 2019","FQ1 2019","Currency=USD","Period=FQ","BEST_FPERIOD_OVERRIDE=FQ","FILING_STATUS=MR","SCALING_FORMAT=MLN","Sort=A","Dates=H","DateFormat=P","Fill=—","Direction=H","UseDPDF=Y")</f>
        <v>—</v>
      </c>
      <c r="E146" s="13" t="str">
        <f>_xll.BDH("ALNY US Equity","ARDR_FV_ASTS_REC_L3_TRAD_BONDS","FQ2 2019","FQ2 2019","Currency=USD","Period=FQ","BEST_FPERIOD_OVERRIDE=FQ","FILING_STATUS=MR","SCALING_FORMAT=MLN","Sort=A","Dates=H","DateFormat=P","Fill=—","Direction=H","UseDPDF=Y")</f>
        <v>—</v>
      </c>
      <c r="F146" s="13" t="str">
        <f>_xll.BDH("ALNY US Equity","ARDR_FV_ASTS_REC_L3_TRAD_BONDS","FQ3 2019","FQ3 2019","Currency=USD","Period=FQ","BEST_FPERIOD_OVERRIDE=FQ","FILING_STATUS=MR","SCALING_FORMAT=MLN","Sort=A","Dates=H","DateFormat=P","Fill=—","Direction=H","UseDPDF=Y")</f>
        <v>—</v>
      </c>
      <c r="G146" s="13">
        <f>_xll.BDH("ALNY US Equity","ARDR_FV_ASTS_REC_L3_TRAD_BONDS","FQ4 2019","FQ4 2019","Currency=USD","Period=FQ","BEST_FPERIOD_OVERRIDE=FQ","FILING_STATUS=MR","SCALING_FORMAT=MLN","Sort=A","Dates=H","DateFormat=P","Fill=—","Direction=H","UseDPDF=Y")</f>
        <v>0</v>
      </c>
      <c r="H146" s="13" t="str">
        <f>_xll.BDH("ALNY US Equity","ARDR_FV_ASTS_REC_L3_TRAD_BONDS","FQ1 2020","FQ1 2020","Currency=USD","Period=FQ","BEST_FPERIOD_OVERRIDE=FQ","FILING_STATUS=MR","SCALING_FORMAT=MLN","Sort=A","Dates=H","DateFormat=P","Fill=—","Direction=H","UseDPDF=Y")</f>
        <v>—</v>
      </c>
      <c r="I146" s="13" t="str">
        <f>_xll.BDH("ALNY US Equity","ARDR_FV_ASTS_REC_L3_TRAD_BONDS","FQ2 2020","FQ2 2020","Currency=USD","Period=FQ","BEST_FPERIOD_OVERRIDE=FQ","FILING_STATUS=MR","SCALING_FORMAT=MLN","Sort=A","Dates=H","DateFormat=P","Fill=—","Direction=H","UseDPDF=Y")</f>
        <v>—</v>
      </c>
      <c r="J146" s="13">
        <f>_xll.BDH("ALNY US Equity","ARDR_FV_ASTS_REC_L3_TRAD_BONDS","FQ3 2020","FQ3 2020","Currency=USD","Period=FQ","BEST_FPERIOD_OVERRIDE=FQ","FILING_STATUS=MR","SCALING_FORMAT=MLN","Sort=A","Dates=H","DateFormat=P","Fill=—","Direction=H","UseDPDF=Y")</f>
        <v>0</v>
      </c>
      <c r="K146" s="13">
        <f>_xll.BDH("ALNY US Equity","ARDR_FV_ASTS_REC_L3_TRAD_BONDS","FQ4 2020","FQ4 2020","Currency=USD","Period=FQ","BEST_FPERIOD_OVERRIDE=FQ","FILING_STATUS=MR","SCALING_FORMAT=MLN","Sort=A","Dates=H","DateFormat=P","Fill=—","Direction=H","UseDPDF=Y")</f>
        <v>0</v>
      </c>
      <c r="L146" s="13" t="str">
        <f>_xll.BDH("ALNY US Equity","ARDR_FV_ASTS_REC_L3_TRAD_BONDS","FQ1 2021","FQ1 2021","Currency=USD","Period=FQ","BEST_FPERIOD_OVERRIDE=FQ","FILING_STATUS=MR","SCALING_FORMAT=MLN","Sort=A","Dates=H","DateFormat=P","Fill=—","Direction=H","UseDPDF=Y")</f>
        <v>—</v>
      </c>
      <c r="M146" s="13">
        <f>_xll.BDH("ALNY US Equity","ARDR_FV_ASTS_REC_L3_TRAD_BONDS","FQ2 2021","FQ2 2021","Currency=USD","Period=FQ","BEST_FPERIOD_OVERRIDE=FQ","FILING_STATUS=MR","SCALING_FORMAT=MLN","Sort=A","Dates=H","DateFormat=P","Fill=—","Direction=H","UseDPDF=Y")</f>
        <v>0</v>
      </c>
      <c r="N146" s="13" t="str">
        <f>_xll.BDH("ALNY US Equity","ARDR_FV_ASTS_REC_L3_TRAD_BONDS","FQ3 2021","FQ3 2021","Currency=USD","Period=FQ","BEST_FPERIOD_OVERRIDE=FQ","FILING_STATUS=MR","SCALING_FORMAT=MLN","Sort=A","Dates=H","DateFormat=P","Fill=—","Direction=H","UseDPDF=Y")</f>
        <v>—</v>
      </c>
      <c r="O146" s="13" t="str">
        <f>_xll.BDH("ALNY US Equity","ARDR_FV_ASTS_REC_L3_TRAD_BONDS","FQ4 2021","FQ4 2021","Currency=USD","Period=FQ","BEST_FPERIOD_OVERRIDE=FQ","FILING_STATUS=MR","SCALING_FORMAT=MLN","Sort=A","Dates=H","DateFormat=P","Fill=—","Direction=H","UseDPDF=Y")</f>
        <v>—</v>
      </c>
      <c r="P146" s="13" t="str">
        <f>_xll.BDH("ALNY US Equity","ARDR_FV_ASTS_REC_L3_TRAD_BONDS","FQ1 2022","FQ1 2022","Currency=USD","Period=FQ","BEST_FPERIOD_OVERRIDE=FQ","FILING_STATUS=MR","SCALING_FORMAT=MLN","Sort=A","Dates=H","DateFormat=P","Fill=—","Direction=H","UseDPDF=Y")</f>
        <v>—</v>
      </c>
      <c r="Q146" s="13" t="str">
        <f>_xll.BDH("ALNY US Equity","ARDR_FV_ASTS_REC_L3_TRAD_BONDS","FQ2 2022","FQ2 2022","Currency=USD","Period=FQ","BEST_FPERIOD_OVERRIDE=FQ","FILING_STATUS=MR","SCALING_FORMAT=MLN","Sort=A","Dates=H","DateFormat=P","Fill=—","Direction=H","UseDPDF=Y")</f>
        <v>—</v>
      </c>
      <c r="R146" s="13" t="str">
        <f>_xll.BDH("ALNY US Equity","ARDR_FV_ASTS_REC_L3_TRAD_BONDS","FQ3 2022","FQ3 2022","Currency=USD","Period=FQ","BEST_FPERIOD_OVERRIDE=FQ","FILING_STATUS=MR","SCALING_FORMAT=MLN","Sort=A","Dates=H","DateFormat=P","Fill=—","Direction=H","UseDPDF=Y")</f>
        <v>—</v>
      </c>
      <c r="S146" s="13" t="str">
        <f>_xll.BDH("ALNY US Equity","ARDR_FV_ASTS_REC_L3_TRAD_BONDS","FQ4 2022","FQ4 2022","Currency=USD","Period=FQ","BEST_FPERIOD_OVERRIDE=FQ","FILING_STATUS=MR","SCALING_FORMAT=MLN","Sort=A","Dates=H","DateFormat=P","Fill=—","Direction=H","UseDPDF=Y")</f>
        <v>—</v>
      </c>
      <c r="T146" s="13" t="str">
        <f>_xll.BDH("ALNY US Equity","ARDR_FV_ASTS_REC_L3_TRAD_BONDS","FQ1 2023","FQ1 2023","Currency=USD","Period=FQ","BEST_FPERIOD_OVERRIDE=FQ","FILING_STATUS=MR","SCALING_FORMAT=MLN","Sort=A","Dates=H","DateFormat=P","Fill=—","Direction=H","UseDPDF=Y")</f>
        <v>—</v>
      </c>
      <c r="U146" s="13" t="str">
        <f>_xll.BDH("ALNY US Equity","ARDR_FV_ASTS_REC_L3_TRAD_BONDS","FQ2 2023","FQ2 2023","Currency=USD","Period=FQ","BEST_FPERIOD_OVERRIDE=FQ","FILING_STATUS=MR","SCALING_FORMAT=MLN","Sort=A","Dates=H","DateFormat=P","Fill=—","Direction=H","UseDPDF=Y")</f>
        <v>—</v>
      </c>
      <c r="V146" s="13" t="str">
        <f>_xll.BDH("ALNY US Equity","ARDR_FV_ASTS_REC_L3_TRAD_BONDS","FQ3 2023","FQ3 2023","Currency=USD","Period=FQ","BEST_FPERIOD_OVERRIDE=FQ","FILING_STATUS=MR","SCALING_FORMAT=MLN","Sort=A","Dates=H","DateFormat=P","Fill=—","Direction=H","UseDPDF=Y")</f>
        <v>—</v>
      </c>
      <c r="W146" s="13" t="str">
        <f>_xll.BDH("ALNY US Equity","ARDR_FV_ASTS_REC_L3_TRAD_BONDS","FQ4 2023","FQ4 2023","Currency=USD","Period=FQ","BEST_FPERIOD_OVERRIDE=FQ","FILING_STATUS=MR","SCALING_FORMAT=MLN","Sort=A","Dates=H","DateFormat=P","Fill=—","Direction=H","UseDPDF=Y")</f>
        <v>—</v>
      </c>
      <c r="X146" s="13" t="str">
        <f>_xll.BDH("ALNY US Equity","ARDR_FV_ASTS_REC_L3_TRAD_BONDS","FQ1 2024","FQ1 2024","Currency=USD","Period=FQ","BEST_FPERIOD_OVERRIDE=FQ","FILING_STATUS=MR","SCALING_FORMAT=MLN","Sort=A","Dates=H","DateFormat=P","Fill=—","Direction=H","UseDPDF=Y")</f>
        <v>—</v>
      </c>
      <c r="Y146" s="13" t="str">
        <f>_xll.BDH("ALNY US Equity","ARDR_FV_ASTS_REC_L3_TRAD_BONDS","FQ2 2024","FQ2 2024","Currency=USD","Period=FQ","BEST_FPERIOD_OVERRIDE=FQ","FILING_STATUS=MR","SCALING_FORMAT=MLN","Sort=A","Dates=H","DateFormat=P","Fill=—","Direction=H","UseDPDF=Y")</f>
        <v>—</v>
      </c>
      <c r="Z146" s="13" t="str">
        <f>_xll.BDH("ALNY US Equity","ARDR_FV_ASTS_REC_L3_TRAD_BONDS","FQ3 2024","FQ3 2024","Currency=USD","Period=FQ","BEST_FPERIOD_OVERRIDE=FQ","FILING_STATUS=MR","SCALING_FORMAT=MLN","Sort=A","Dates=H","DateFormat=P","Fill=—","Direction=H","UseDPDF=Y")</f>
        <v>—</v>
      </c>
      <c r="AA146" s="13" t="str">
        <f>_xll.BDH("ALNY US Equity","ARDR_FV_ASTS_REC_L3_TRAD_BONDS","FQ4 2024","FQ4 2024","Currency=USD","Period=FQ","BEST_FPERIOD_OVERRIDE=FQ","FILING_STATUS=MR","SCALING_FORMAT=MLN","Sort=A","Dates=H","DateFormat=P","Fill=—","Direction=H","UseDPDF=Y")</f>
        <v>—</v>
      </c>
    </row>
    <row r="147" spans="1:27" x14ac:dyDescent="0.25">
      <c r="A147" s="10" t="s">
        <v>1075</v>
      </c>
      <c r="B147" s="10" t="s">
        <v>1076</v>
      </c>
      <c r="C147" s="13" t="str">
        <f>_xll.BDH("ALNY US Equity","ARDR_FV_ASSETS_REC_L3_AFS_TREAS","FQ4 2018","FQ4 2018","Currency=USD","Period=FQ","BEST_FPERIOD_OVERRIDE=FQ","FILING_STATUS=MR","SCALING_FORMAT=MLN","Sort=A","Dates=H","DateFormat=P","Fill=—","Direction=H","UseDPDF=Y")</f>
        <v>—</v>
      </c>
      <c r="D147" s="13" t="str">
        <f>_xll.BDH("ALNY US Equity","ARDR_FV_ASSETS_REC_L3_AFS_TREAS","FQ1 2019","FQ1 2019","Currency=USD","Period=FQ","BEST_FPERIOD_OVERRIDE=FQ","FILING_STATUS=MR","SCALING_FORMAT=MLN","Sort=A","Dates=H","DateFormat=P","Fill=—","Direction=H","UseDPDF=Y")</f>
        <v>—</v>
      </c>
      <c r="E147" s="13" t="str">
        <f>_xll.BDH("ALNY US Equity","ARDR_FV_ASSETS_REC_L3_AFS_TREAS","FQ2 2019","FQ2 2019","Currency=USD","Period=FQ","BEST_FPERIOD_OVERRIDE=FQ","FILING_STATUS=MR","SCALING_FORMAT=MLN","Sort=A","Dates=H","DateFormat=P","Fill=—","Direction=H","UseDPDF=Y")</f>
        <v>—</v>
      </c>
      <c r="F147" s="13" t="str">
        <f>_xll.BDH("ALNY US Equity","ARDR_FV_ASSETS_REC_L3_AFS_TREAS","FQ3 2019","FQ3 2019","Currency=USD","Period=FQ","BEST_FPERIOD_OVERRIDE=FQ","FILING_STATUS=MR","SCALING_FORMAT=MLN","Sort=A","Dates=H","DateFormat=P","Fill=—","Direction=H","UseDPDF=Y")</f>
        <v>—</v>
      </c>
      <c r="G147" s="13" t="str">
        <f>_xll.BDH("ALNY US Equity","ARDR_FV_ASSETS_REC_L3_AFS_TREAS","FQ4 2019","FQ4 2019","Currency=USD","Period=FQ","BEST_FPERIOD_OVERRIDE=FQ","FILING_STATUS=MR","SCALING_FORMAT=MLN","Sort=A","Dates=H","DateFormat=P","Fill=—","Direction=H","UseDPDF=Y")</f>
        <v>—</v>
      </c>
      <c r="H147" s="13" t="str">
        <f>_xll.BDH("ALNY US Equity","ARDR_FV_ASSETS_REC_L3_AFS_TREAS","FQ1 2020","FQ1 2020","Currency=USD","Period=FQ","BEST_FPERIOD_OVERRIDE=FQ","FILING_STATUS=MR","SCALING_FORMAT=MLN","Sort=A","Dates=H","DateFormat=P","Fill=—","Direction=H","UseDPDF=Y")</f>
        <v>—</v>
      </c>
      <c r="I147" s="13" t="str">
        <f>_xll.BDH("ALNY US Equity","ARDR_FV_ASSETS_REC_L3_AFS_TREAS","FQ2 2020","FQ2 2020","Currency=USD","Period=FQ","BEST_FPERIOD_OVERRIDE=FQ","FILING_STATUS=MR","SCALING_FORMAT=MLN","Sort=A","Dates=H","DateFormat=P","Fill=—","Direction=H","UseDPDF=Y")</f>
        <v>—</v>
      </c>
      <c r="J147" s="13" t="str">
        <f>_xll.BDH("ALNY US Equity","ARDR_FV_ASSETS_REC_L3_AFS_TREAS","FQ3 2020","FQ3 2020","Currency=USD","Period=FQ","BEST_FPERIOD_OVERRIDE=FQ","FILING_STATUS=MR","SCALING_FORMAT=MLN","Sort=A","Dates=H","DateFormat=P","Fill=—","Direction=H","UseDPDF=Y")</f>
        <v>—</v>
      </c>
      <c r="K147" s="13" t="str">
        <f>_xll.BDH("ALNY US Equity","ARDR_FV_ASSETS_REC_L3_AFS_TREAS","FQ4 2020","FQ4 2020","Currency=USD","Period=FQ","BEST_FPERIOD_OVERRIDE=FQ","FILING_STATUS=MR","SCALING_FORMAT=MLN","Sort=A","Dates=H","DateFormat=P","Fill=—","Direction=H","UseDPDF=Y")</f>
        <v>—</v>
      </c>
      <c r="L147" s="13" t="str">
        <f>_xll.BDH("ALNY US Equity","ARDR_FV_ASSETS_REC_L3_AFS_TREAS","FQ1 2021","FQ1 2021","Currency=USD","Period=FQ","BEST_FPERIOD_OVERRIDE=FQ","FILING_STATUS=MR","SCALING_FORMAT=MLN","Sort=A","Dates=H","DateFormat=P","Fill=—","Direction=H","UseDPDF=Y")</f>
        <v>—</v>
      </c>
      <c r="M147" s="13" t="str">
        <f>_xll.BDH("ALNY US Equity","ARDR_FV_ASSETS_REC_L3_AFS_TREAS","FQ2 2021","FQ2 2021","Currency=USD","Period=FQ","BEST_FPERIOD_OVERRIDE=FQ","FILING_STATUS=MR","SCALING_FORMAT=MLN","Sort=A","Dates=H","DateFormat=P","Fill=—","Direction=H","UseDPDF=Y")</f>
        <v>—</v>
      </c>
      <c r="N147" s="13" t="str">
        <f>_xll.BDH("ALNY US Equity","ARDR_FV_ASSETS_REC_L3_AFS_TREAS","FQ3 2021","FQ3 2021","Currency=USD","Period=FQ","BEST_FPERIOD_OVERRIDE=FQ","FILING_STATUS=MR","SCALING_FORMAT=MLN","Sort=A","Dates=H","DateFormat=P","Fill=—","Direction=H","UseDPDF=Y")</f>
        <v>—</v>
      </c>
      <c r="O147" s="13" t="str">
        <f>_xll.BDH("ALNY US Equity","ARDR_FV_ASSETS_REC_L3_AFS_TREAS","FQ4 2021","FQ4 2021","Currency=USD","Period=FQ","BEST_FPERIOD_OVERRIDE=FQ","FILING_STATUS=MR","SCALING_FORMAT=MLN","Sort=A","Dates=H","DateFormat=P","Fill=—","Direction=H","UseDPDF=Y")</f>
        <v>—</v>
      </c>
      <c r="P147" s="13" t="str">
        <f>_xll.BDH("ALNY US Equity","ARDR_FV_ASSETS_REC_L3_AFS_TREAS","FQ1 2022","FQ1 2022","Currency=USD","Period=FQ","BEST_FPERIOD_OVERRIDE=FQ","FILING_STATUS=MR","SCALING_FORMAT=MLN","Sort=A","Dates=H","DateFormat=P","Fill=—","Direction=H","UseDPDF=Y")</f>
        <v>—</v>
      </c>
      <c r="Q147" s="13" t="str">
        <f>_xll.BDH("ALNY US Equity","ARDR_FV_ASSETS_REC_L3_AFS_TREAS","FQ2 2022","FQ2 2022","Currency=USD","Period=FQ","BEST_FPERIOD_OVERRIDE=FQ","FILING_STATUS=MR","SCALING_FORMAT=MLN","Sort=A","Dates=H","DateFormat=P","Fill=—","Direction=H","UseDPDF=Y")</f>
        <v>—</v>
      </c>
      <c r="R147" s="13" t="str">
        <f>_xll.BDH("ALNY US Equity","ARDR_FV_ASSETS_REC_L3_AFS_TREAS","FQ3 2022","FQ3 2022","Currency=USD","Period=FQ","BEST_FPERIOD_OVERRIDE=FQ","FILING_STATUS=MR","SCALING_FORMAT=MLN","Sort=A","Dates=H","DateFormat=P","Fill=—","Direction=H","UseDPDF=Y")</f>
        <v>—</v>
      </c>
      <c r="S147" s="13">
        <f>_xll.BDH("ALNY US Equity","ARDR_FV_ASSETS_REC_L3_AFS_TREAS","FQ4 2022","FQ4 2022","Currency=USD","Period=FQ","BEST_FPERIOD_OVERRIDE=FQ","FILING_STATUS=MR","SCALING_FORMAT=MLN","Sort=A","Dates=H","DateFormat=P","Fill=—","Direction=H","UseDPDF=Y")</f>
        <v>0</v>
      </c>
      <c r="T147" s="13" t="str">
        <f>_xll.BDH("ALNY US Equity","ARDR_FV_ASSETS_REC_L3_AFS_TREAS","FQ1 2023","FQ1 2023","Currency=USD","Period=FQ","BEST_FPERIOD_OVERRIDE=FQ","FILING_STATUS=MR","SCALING_FORMAT=MLN","Sort=A","Dates=H","DateFormat=P","Fill=—","Direction=H","UseDPDF=Y")</f>
        <v>—</v>
      </c>
      <c r="U147" s="13" t="str">
        <f>_xll.BDH("ALNY US Equity","ARDR_FV_ASSETS_REC_L3_AFS_TREAS","FQ2 2023","FQ2 2023","Currency=USD","Period=FQ","BEST_FPERIOD_OVERRIDE=FQ","FILING_STATUS=MR","SCALING_FORMAT=MLN","Sort=A","Dates=H","DateFormat=P","Fill=—","Direction=H","UseDPDF=Y")</f>
        <v>—</v>
      </c>
      <c r="V147" s="13">
        <f>_xll.BDH("ALNY US Equity","ARDR_FV_ASSETS_REC_L3_AFS_TREAS","FQ3 2023","FQ3 2023","Currency=USD","Period=FQ","BEST_FPERIOD_OVERRIDE=FQ","FILING_STATUS=MR","SCALING_FORMAT=MLN","Sort=A","Dates=H","DateFormat=P","Fill=—","Direction=H","UseDPDF=Y")</f>
        <v>0</v>
      </c>
      <c r="W147" s="13">
        <f>_xll.BDH("ALNY US Equity","ARDR_FV_ASSETS_REC_L3_AFS_TREAS","FQ4 2023","FQ4 2023","Currency=USD","Period=FQ","BEST_FPERIOD_OVERRIDE=FQ","FILING_STATUS=MR","SCALING_FORMAT=MLN","Sort=A","Dates=H","DateFormat=P","Fill=—","Direction=H","UseDPDF=Y")</f>
        <v>0</v>
      </c>
      <c r="X147" s="13">
        <f>_xll.BDH("ALNY US Equity","ARDR_FV_ASSETS_REC_L3_AFS_TREAS","FQ1 2024","FQ1 2024","Currency=USD","Period=FQ","BEST_FPERIOD_OVERRIDE=FQ","FILING_STATUS=MR","SCALING_FORMAT=MLN","Sort=A","Dates=H","DateFormat=P","Fill=—","Direction=H","UseDPDF=Y")</f>
        <v>0</v>
      </c>
      <c r="Y147" s="13">
        <f>_xll.BDH("ALNY US Equity","ARDR_FV_ASSETS_REC_L3_AFS_TREAS","FQ2 2024","FQ2 2024","Currency=USD","Period=FQ","BEST_FPERIOD_OVERRIDE=FQ","FILING_STATUS=MR","SCALING_FORMAT=MLN","Sort=A","Dates=H","DateFormat=P","Fill=—","Direction=H","UseDPDF=Y")</f>
        <v>0</v>
      </c>
      <c r="Z147" s="13">
        <f>_xll.BDH("ALNY US Equity","ARDR_FV_ASSETS_REC_L3_AFS_TREAS","FQ3 2024","FQ3 2024","Currency=USD","Period=FQ","BEST_FPERIOD_OVERRIDE=FQ","FILING_STATUS=MR","SCALING_FORMAT=MLN","Sort=A","Dates=H","DateFormat=P","Fill=—","Direction=H","UseDPDF=Y")</f>
        <v>0</v>
      </c>
      <c r="AA147" s="13">
        <f>_xll.BDH("ALNY US Equity","ARDR_FV_ASSETS_REC_L3_AFS_TREAS","FQ4 2024","FQ4 2024","Currency=USD","Period=FQ","BEST_FPERIOD_OVERRIDE=FQ","FILING_STATUS=MR","SCALING_FORMAT=MLN","Sort=A","Dates=H","DateFormat=P","Fill=—","Direction=H","UseDPDF=Y")</f>
        <v>0</v>
      </c>
    </row>
    <row r="148" spans="1:27" x14ac:dyDescent="0.25">
      <c r="A148" s="10" t="s">
        <v>1077</v>
      </c>
      <c r="B148" s="10" t="s">
        <v>1078</v>
      </c>
      <c r="C148" s="13" t="str">
        <f>_xll.BDH("ALNY US Equity","ARDR_FV_ASSETS_REC_L3_OTHER","FQ4 2018","FQ4 2018","Currency=USD","Period=FQ","BEST_FPERIOD_OVERRIDE=FQ","FILING_STATUS=MR","SCALING_FORMAT=MLN","Sort=A","Dates=H","DateFormat=P","Fill=—","Direction=H","UseDPDF=Y")</f>
        <v>—</v>
      </c>
      <c r="D148" s="13" t="str">
        <f>_xll.BDH("ALNY US Equity","ARDR_FV_ASSETS_REC_L3_OTHER","FQ1 2019","FQ1 2019","Currency=USD","Period=FQ","BEST_FPERIOD_OVERRIDE=FQ","FILING_STATUS=MR","SCALING_FORMAT=MLN","Sort=A","Dates=H","DateFormat=P","Fill=—","Direction=H","UseDPDF=Y")</f>
        <v>—</v>
      </c>
      <c r="E148" s="13" t="str">
        <f>_xll.BDH("ALNY US Equity","ARDR_FV_ASSETS_REC_L3_OTHER","FQ2 2019","FQ2 2019","Currency=USD","Period=FQ","BEST_FPERIOD_OVERRIDE=FQ","FILING_STATUS=MR","SCALING_FORMAT=MLN","Sort=A","Dates=H","DateFormat=P","Fill=—","Direction=H","UseDPDF=Y")</f>
        <v>—</v>
      </c>
      <c r="F148" s="13" t="str">
        <f>_xll.BDH("ALNY US Equity","ARDR_FV_ASSETS_REC_L3_OTHER","FQ3 2019","FQ3 2019","Currency=USD","Period=FQ","BEST_FPERIOD_OVERRIDE=FQ","FILING_STATUS=MR","SCALING_FORMAT=MLN","Sort=A","Dates=H","DateFormat=P","Fill=—","Direction=H","UseDPDF=Y")</f>
        <v>—</v>
      </c>
      <c r="G148" s="13" t="str">
        <f>_xll.BDH("ALNY US Equity","ARDR_FV_ASSETS_REC_L3_OTHER","FQ4 2019","FQ4 2019","Currency=USD","Period=FQ","BEST_FPERIOD_OVERRIDE=FQ","FILING_STATUS=MR","SCALING_FORMAT=MLN","Sort=A","Dates=H","DateFormat=P","Fill=—","Direction=H","UseDPDF=Y")</f>
        <v>—</v>
      </c>
      <c r="H148" s="13" t="str">
        <f>_xll.BDH("ALNY US Equity","ARDR_FV_ASSETS_REC_L3_OTHER","FQ1 2020","FQ1 2020","Currency=USD","Period=FQ","BEST_FPERIOD_OVERRIDE=FQ","FILING_STATUS=MR","SCALING_FORMAT=MLN","Sort=A","Dates=H","DateFormat=P","Fill=—","Direction=H","UseDPDF=Y")</f>
        <v>—</v>
      </c>
      <c r="I148" s="13" t="str">
        <f>_xll.BDH("ALNY US Equity","ARDR_FV_ASSETS_REC_L3_OTHER","FQ2 2020","FQ2 2020","Currency=USD","Period=FQ","BEST_FPERIOD_OVERRIDE=FQ","FILING_STATUS=MR","SCALING_FORMAT=MLN","Sort=A","Dates=H","DateFormat=P","Fill=—","Direction=H","UseDPDF=Y")</f>
        <v>—</v>
      </c>
      <c r="J148" s="13" t="str">
        <f>_xll.BDH("ALNY US Equity","ARDR_FV_ASSETS_REC_L3_OTHER","FQ3 2020","FQ3 2020","Currency=USD","Period=FQ","BEST_FPERIOD_OVERRIDE=FQ","FILING_STATUS=MR","SCALING_FORMAT=MLN","Sort=A","Dates=H","DateFormat=P","Fill=—","Direction=H","UseDPDF=Y")</f>
        <v>—</v>
      </c>
      <c r="K148" s="13" t="str">
        <f>_xll.BDH("ALNY US Equity","ARDR_FV_ASSETS_REC_L3_OTHER","FQ4 2020","FQ4 2020","Currency=USD","Period=FQ","BEST_FPERIOD_OVERRIDE=FQ","FILING_STATUS=MR","SCALING_FORMAT=MLN","Sort=A","Dates=H","DateFormat=P","Fill=—","Direction=H","UseDPDF=Y")</f>
        <v>—</v>
      </c>
      <c r="L148" s="13" t="str">
        <f>_xll.BDH("ALNY US Equity","ARDR_FV_ASSETS_REC_L3_OTHER","FQ1 2021","FQ1 2021","Currency=USD","Period=FQ","BEST_FPERIOD_OVERRIDE=FQ","FILING_STATUS=MR","SCALING_FORMAT=MLN","Sort=A","Dates=H","DateFormat=P","Fill=—","Direction=H","UseDPDF=Y")</f>
        <v>—</v>
      </c>
      <c r="M148" s="13" t="str">
        <f>_xll.BDH("ALNY US Equity","ARDR_FV_ASSETS_REC_L3_OTHER","FQ2 2021","FQ2 2021","Currency=USD","Period=FQ","BEST_FPERIOD_OVERRIDE=FQ","FILING_STATUS=MR","SCALING_FORMAT=MLN","Sort=A","Dates=H","DateFormat=P","Fill=—","Direction=H","UseDPDF=Y")</f>
        <v>—</v>
      </c>
      <c r="N148" s="13" t="str">
        <f>_xll.BDH("ALNY US Equity","ARDR_FV_ASSETS_REC_L3_OTHER","FQ3 2021","FQ3 2021","Currency=USD","Period=FQ","BEST_FPERIOD_OVERRIDE=FQ","FILING_STATUS=MR","SCALING_FORMAT=MLN","Sort=A","Dates=H","DateFormat=P","Fill=—","Direction=H","UseDPDF=Y")</f>
        <v>—</v>
      </c>
      <c r="O148" s="13">
        <f>_xll.BDH("ALNY US Equity","ARDR_FV_ASSETS_REC_L3_OTHER","FQ4 2021","FQ4 2021","Currency=USD","Period=FQ","BEST_FPERIOD_OVERRIDE=FQ","FILING_STATUS=MR","SCALING_FORMAT=MLN","Sort=A","Dates=H","DateFormat=P","Fill=—","Direction=H","UseDPDF=Y")</f>
        <v>0</v>
      </c>
      <c r="P148" s="13" t="str">
        <f>_xll.BDH("ALNY US Equity","ARDR_FV_ASSETS_REC_L3_OTHER","FQ1 2022","FQ1 2022","Currency=USD","Period=FQ","BEST_FPERIOD_OVERRIDE=FQ","FILING_STATUS=MR","SCALING_FORMAT=MLN","Sort=A","Dates=H","DateFormat=P","Fill=—","Direction=H","UseDPDF=Y")</f>
        <v>—</v>
      </c>
      <c r="Q148" s="13" t="str">
        <f>_xll.BDH("ALNY US Equity","ARDR_FV_ASSETS_REC_L3_OTHER","FQ2 2022","FQ2 2022","Currency=USD","Period=FQ","BEST_FPERIOD_OVERRIDE=FQ","FILING_STATUS=MR","SCALING_FORMAT=MLN","Sort=A","Dates=H","DateFormat=P","Fill=—","Direction=H","UseDPDF=Y")</f>
        <v>—</v>
      </c>
      <c r="R148" s="13" t="str">
        <f>_xll.BDH("ALNY US Equity","ARDR_FV_ASSETS_REC_L3_OTHER","FQ3 2022","FQ3 2022","Currency=USD","Period=FQ","BEST_FPERIOD_OVERRIDE=FQ","FILING_STATUS=MR","SCALING_FORMAT=MLN","Sort=A","Dates=H","DateFormat=P","Fill=—","Direction=H","UseDPDF=Y")</f>
        <v>—</v>
      </c>
      <c r="S148" s="13" t="str">
        <f>_xll.BDH("ALNY US Equity","ARDR_FV_ASSETS_REC_L3_OTHER","FQ4 2022","FQ4 2022","Currency=USD","Period=FQ","BEST_FPERIOD_OVERRIDE=FQ","FILING_STATUS=MR","SCALING_FORMAT=MLN","Sort=A","Dates=H","DateFormat=P","Fill=—","Direction=H","UseDPDF=Y")</f>
        <v>—</v>
      </c>
      <c r="T148" s="13" t="str">
        <f>_xll.BDH("ALNY US Equity","ARDR_FV_ASSETS_REC_L3_OTHER","FQ1 2023","FQ1 2023","Currency=USD","Period=FQ","BEST_FPERIOD_OVERRIDE=FQ","FILING_STATUS=MR","SCALING_FORMAT=MLN","Sort=A","Dates=H","DateFormat=P","Fill=—","Direction=H","UseDPDF=Y")</f>
        <v>—</v>
      </c>
      <c r="U148" s="13" t="str">
        <f>_xll.BDH("ALNY US Equity","ARDR_FV_ASSETS_REC_L3_OTHER","FQ2 2023","FQ2 2023","Currency=USD","Period=FQ","BEST_FPERIOD_OVERRIDE=FQ","FILING_STATUS=MR","SCALING_FORMAT=MLN","Sort=A","Dates=H","DateFormat=P","Fill=—","Direction=H","UseDPDF=Y")</f>
        <v>—</v>
      </c>
      <c r="V148" s="13" t="str">
        <f>_xll.BDH("ALNY US Equity","ARDR_FV_ASSETS_REC_L3_OTHER","FQ3 2023","FQ3 2023","Currency=USD","Period=FQ","BEST_FPERIOD_OVERRIDE=FQ","FILING_STATUS=MR","SCALING_FORMAT=MLN","Sort=A","Dates=H","DateFormat=P","Fill=—","Direction=H","UseDPDF=Y")</f>
        <v>—</v>
      </c>
      <c r="W148" s="13" t="str">
        <f>_xll.BDH("ALNY US Equity","ARDR_FV_ASSETS_REC_L3_OTHER","FQ4 2023","FQ4 2023","Currency=USD","Period=FQ","BEST_FPERIOD_OVERRIDE=FQ","FILING_STATUS=MR","SCALING_FORMAT=MLN","Sort=A","Dates=H","DateFormat=P","Fill=—","Direction=H","UseDPDF=Y")</f>
        <v>—</v>
      </c>
      <c r="X148" s="13" t="str">
        <f>_xll.BDH("ALNY US Equity","ARDR_FV_ASSETS_REC_L3_OTHER","FQ1 2024","FQ1 2024","Currency=USD","Period=FQ","BEST_FPERIOD_OVERRIDE=FQ","FILING_STATUS=MR","SCALING_FORMAT=MLN","Sort=A","Dates=H","DateFormat=P","Fill=—","Direction=H","UseDPDF=Y")</f>
        <v>—</v>
      </c>
      <c r="Y148" s="13" t="str">
        <f>_xll.BDH("ALNY US Equity","ARDR_FV_ASSETS_REC_L3_OTHER","FQ2 2024","FQ2 2024","Currency=USD","Period=FQ","BEST_FPERIOD_OVERRIDE=FQ","FILING_STATUS=MR","SCALING_FORMAT=MLN","Sort=A","Dates=H","DateFormat=P","Fill=—","Direction=H","UseDPDF=Y")</f>
        <v>—</v>
      </c>
      <c r="Z148" s="13" t="str">
        <f>_xll.BDH("ALNY US Equity","ARDR_FV_ASSETS_REC_L3_OTHER","FQ3 2024","FQ3 2024","Currency=USD","Period=FQ","BEST_FPERIOD_OVERRIDE=FQ","FILING_STATUS=MR","SCALING_FORMAT=MLN","Sort=A","Dates=H","DateFormat=P","Fill=—","Direction=H","UseDPDF=Y")</f>
        <v>—</v>
      </c>
      <c r="AA148" s="13" t="str">
        <f>_xll.BDH("ALNY US Equity","ARDR_FV_ASSETS_REC_L3_OTHER","FQ4 2024","FQ4 2024","Currency=USD","Period=FQ","BEST_FPERIOD_OVERRIDE=FQ","FILING_STATUS=MR","SCALING_FORMAT=MLN","Sort=A","Dates=H","DateFormat=P","Fill=—","Direction=H","UseDPDF=Y")</f>
        <v>—</v>
      </c>
    </row>
    <row r="149" spans="1:27" x14ac:dyDescent="0.25">
      <c r="A149" s="10" t="s">
        <v>1079</v>
      </c>
      <c r="B149" s="10" t="s">
        <v>1080</v>
      </c>
      <c r="C149" s="13">
        <f>_xll.BDH("ALNY US Equity","ARDR_FV_ASSETS_REC_TOT_CASH_SECS","FQ4 2018","FQ4 2018","Currency=USD","Period=FQ","BEST_FPERIOD_OVERRIDE=FQ","FILING_STATUS=MR","SCALING_FORMAT=MLN","Sort=A","Dates=H","DateFormat=P","Fill=—","Direction=H","UseDPDF=Y")</f>
        <v>652.351</v>
      </c>
      <c r="D149" s="13" t="str">
        <f>_xll.BDH("ALNY US Equity","ARDR_FV_ASSETS_REC_TOT_CASH_SECS","FQ1 2019","FQ1 2019","Currency=USD","Period=FQ","BEST_FPERIOD_OVERRIDE=FQ","FILING_STATUS=MR","SCALING_FORMAT=MLN","Sort=A","Dates=H","DateFormat=P","Fill=—","Direction=H","UseDPDF=Y")</f>
        <v>—</v>
      </c>
      <c r="E149" s="13" t="str">
        <f>_xll.BDH("ALNY US Equity","ARDR_FV_ASSETS_REC_TOT_CASH_SECS","FQ2 2019","FQ2 2019","Currency=USD","Period=FQ","BEST_FPERIOD_OVERRIDE=FQ","FILING_STATUS=MR","SCALING_FORMAT=MLN","Sort=A","Dates=H","DateFormat=P","Fill=—","Direction=H","UseDPDF=Y")</f>
        <v>—</v>
      </c>
      <c r="F149" s="13">
        <f>_xll.BDH("ALNY US Equity","ARDR_FV_ASSETS_REC_TOT_CASH_SECS","FQ3 2019","FQ3 2019","Currency=USD","Period=FQ","BEST_FPERIOD_OVERRIDE=FQ","FILING_STATUS=MR","SCALING_FORMAT=MLN","Sort=A","Dates=H","DateFormat=P","Fill=—","Direction=H","UseDPDF=Y")</f>
        <v>791.60799999999995</v>
      </c>
      <c r="G149" s="13">
        <f>_xll.BDH("ALNY US Equity","ARDR_FV_ASSETS_REC_TOT_CASH_SECS","FQ4 2019","FQ4 2019","Currency=USD","Period=FQ","BEST_FPERIOD_OVERRIDE=FQ","FILING_STATUS=MR","SCALING_FORMAT=MLN","Sort=A","Dates=H","DateFormat=P","Fill=—","Direction=H","UseDPDF=Y")</f>
        <v>159.79499999999999</v>
      </c>
      <c r="H149" s="13" t="str">
        <f>_xll.BDH("ALNY US Equity","ARDR_FV_ASSETS_REC_TOT_CASH_SECS","FQ1 2020","FQ1 2020","Currency=USD","Period=FQ","BEST_FPERIOD_OVERRIDE=FQ","FILING_STATUS=MR","SCALING_FORMAT=MLN","Sort=A","Dates=H","DateFormat=P","Fill=—","Direction=H","UseDPDF=Y")</f>
        <v>—</v>
      </c>
      <c r="I149" s="13" t="str">
        <f>_xll.BDH("ALNY US Equity","ARDR_FV_ASSETS_REC_TOT_CASH_SECS","FQ2 2020","FQ2 2020","Currency=USD","Period=FQ","BEST_FPERIOD_OVERRIDE=FQ","FILING_STATUS=MR","SCALING_FORMAT=MLN","Sort=A","Dates=H","DateFormat=P","Fill=—","Direction=H","UseDPDF=Y")</f>
        <v>—</v>
      </c>
      <c r="J149" s="13" t="str">
        <f>_xll.BDH("ALNY US Equity","ARDR_FV_ASSETS_REC_TOT_CASH_SECS","FQ3 2020","FQ3 2020","Currency=USD","Period=FQ","BEST_FPERIOD_OVERRIDE=FQ","FILING_STATUS=MR","SCALING_FORMAT=MLN","Sort=A","Dates=H","DateFormat=P","Fill=—","Direction=H","UseDPDF=Y")</f>
        <v>—</v>
      </c>
      <c r="K149" s="13">
        <f>_xll.BDH("ALNY US Equity","ARDR_FV_ASSETS_REC_TOT_CASH_SECS","FQ4 2020","FQ4 2020","Currency=USD","Period=FQ","BEST_FPERIOD_OVERRIDE=FQ","FILING_STATUS=MR","SCALING_FORMAT=MLN","Sort=A","Dates=H","DateFormat=P","Fill=—","Direction=H","UseDPDF=Y")</f>
        <v>95.725999999999999</v>
      </c>
      <c r="L149" s="13" t="str">
        <f>_xll.BDH("ALNY US Equity","ARDR_FV_ASSETS_REC_TOT_CASH_SECS","FQ1 2021","FQ1 2021","Currency=USD","Period=FQ","BEST_FPERIOD_OVERRIDE=FQ","FILING_STATUS=MR","SCALING_FORMAT=MLN","Sort=A","Dates=H","DateFormat=P","Fill=—","Direction=H","UseDPDF=Y")</f>
        <v>—</v>
      </c>
      <c r="M149" s="13">
        <f>_xll.BDH("ALNY US Equity","ARDR_FV_ASSETS_REC_TOT_CASH_SECS","FQ2 2021","FQ2 2021","Currency=USD","Period=FQ","BEST_FPERIOD_OVERRIDE=FQ","FILING_STATUS=MR","SCALING_FORMAT=MLN","Sort=A","Dates=H","DateFormat=P","Fill=—","Direction=H","UseDPDF=Y")</f>
        <v>240.56700000000001</v>
      </c>
      <c r="N149" s="13" t="str">
        <f>_xll.BDH("ALNY US Equity","ARDR_FV_ASSETS_REC_TOT_CASH_SECS","FQ3 2021","FQ3 2021","Currency=USD","Period=FQ","BEST_FPERIOD_OVERRIDE=FQ","FILING_STATUS=MR","SCALING_FORMAT=MLN","Sort=A","Dates=H","DateFormat=P","Fill=—","Direction=H","UseDPDF=Y")</f>
        <v>—</v>
      </c>
      <c r="O149" s="13" t="str">
        <f>_xll.BDH("ALNY US Equity","ARDR_FV_ASSETS_REC_TOT_CASH_SECS","FQ4 2021","FQ4 2021","Currency=USD","Period=FQ","BEST_FPERIOD_OVERRIDE=FQ","FILING_STATUS=MR","SCALING_FORMAT=MLN","Sort=A","Dates=H","DateFormat=P","Fill=—","Direction=H","UseDPDF=Y")</f>
        <v>—</v>
      </c>
      <c r="P149" s="13" t="str">
        <f>_xll.BDH("ALNY US Equity","ARDR_FV_ASSETS_REC_TOT_CASH_SECS","FQ1 2022","FQ1 2022","Currency=USD","Period=FQ","BEST_FPERIOD_OVERRIDE=FQ","FILING_STATUS=MR","SCALING_FORMAT=MLN","Sort=A","Dates=H","DateFormat=P","Fill=—","Direction=H","UseDPDF=Y")</f>
        <v>—</v>
      </c>
      <c r="Q149" s="13" t="str">
        <f>_xll.BDH("ALNY US Equity","ARDR_FV_ASSETS_REC_TOT_CASH_SECS","FQ2 2022","FQ2 2022","Currency=USD","Period=FQ","BEST_FPERIOD_OVERRIDE=FQ","FILING_STATUS=MR","SCALING_FORMAT=MLN","Sort=A","Dates=H","DateFormat=P","Fill=—","Direction=H","UseDPDF=Y")</f>
        <v>—</v>
      </c>
      <c r="R149" s="13" t="str">
        <f>_xll.BDH("ALNY US Equity","ARDR_FV_ASSETS_REC_TOT_CASH_SECS","FQ3 2022","FQ3 2022","Currency=USD","Period=FQ","BEST_FPERIOD_OVERRIDE=FQ","FILING_STATUS=MR","SCALING_FORMAT=MLN","Sort=A","Dates=H","DateFormat=P","Fill=—","Direction=H","UseDPDF=Y")</f>
        <v>—</v>
      </c>
      <c r="S149" s="13">
        <f>_xll.BDH("ALNY US Equity","ARDR_FV_ASSETS_REC_TOT_CASH_SECS","FQ4 2022","FQ4 2022","Currency=USD","Period=FQ","BEST_FPERIOD_OVERRIDE=FQ","FILING_STATUS=MR","SCALING_FORMAT=MLN","Sort=A","Dates=H","DateFormat=P","Fill=—","Direction=H","UseDPDF=Y")</f>
        <v>1.1970000000000001</v>
      </c>
      <c r="T149" s="13" t="str">
        <f>_xll.BDH("ALNY US Equity","ARDR_FV_ASSETS_REC_TOT_CASH_SECS","FQ1 2023","FQ1 2023","Currency=USD","Period=FQ","BEST_FPERIOD_OVERRIDE=FQ","FILING_STATUS=MR","SCALING_FORMAT=MLN","Sort=A","Dates=H","DateFormat=P","Fill=—","Direction=H","UseDPDF=Y")</f>
        <v>—</v>
      </c>
      <c r="U149" s="13" t="str">
        <f>_xll.BDH("ALNY US Equity","ARDR_FV_ASSETS_REC_TOT_CASH_SECS","FQ2 2023","FQ2 2023","Currency=USD","Period=FQ","BEST_FPERIOD_OVERRIDE=FQ","FILING_STATUS=MR","SCALING_FORMAT=MLN","Sort=A","Dates=H","DateFormat=P","Fill=—","Direction=H","UseDPDF=Y")</f>
        <v>—</v>
      </c>
      <c r="V149" s="13">
        <f>_xll.BDH("ALNY US Equity","ARDR_FV_ASSETS_REC_TOT_CASH_SECS","FQ3 2023","FQ3 2023","Currency=USD","Period=FQ","BEST_FPERIOD_OVERRIDE=FQ","FILING_STATUS=MR","SCALING_FORMAT=MLN","Sort=A","Dates=H","DateFormat=P","Fill=—","Direction=H","UseDPDF=Y")</f>
        <v>1.2070000000000001</v>
      </c>
      <c r="W149" s="13">
        <f>_xll.BDH("ALNY US Equity","ARDR_FV_ASSETS_REC_TOT_CASH_SECS","FQ4 2023","FQ4 2023","Currency=USD","Period=FQ","BEST_FPERIOD_OVERRIDE=FQ","FILING_STATUS=MR","SCALING_FORMAT=MLN","Sort=A","Dates=H","DateFormat=P","Fill=—","Direction=H","UseDPDF=Y")</f>
        <v>1.21</v>
      </c>
      <c r="X149" s="13">
        <f>_xll.BDH("ALNY US Equity","ARDR_FV_ASSETS_REC_TOT_CASH_SECS","FQ1 2024","FQ1 2024","Currency=USD","Period=FQ","BEST_FPERIOD_OVERRIDE=FQ","FILING_STATUS=MR","SCALING_FORMAT=MLN","Sort=A","Dates=H","DateFormat=P","Fill=—","Direction=H","UseDPDF=Y")</f>
        <v>1.214</v>
      </c>
      <c r="Y149" s="13">
        <f>_xll.BDH("ALNY US Equity","ARDR_FV_ASSETS_REC_TOT_CASH_SECS","FQ2 2024","FQ2 2024","Currency=USD","Period=FQ","BEST_FPERIOD_OVERRIDE=FQ","FILING_STATUS=MR","SCALING_FORMAT=MLN","Sort=A","Dates=H","DateFormat=P","Fill=—","Direction=H","UseDPDF=Y")</f>
        <v>1.2170000000000001</v>
      </c>
      <c r="Z149" s="13">
        <f>_xll.BDH("ALNY US Equity","ARDR_FV_ASSETS_REC_TOT_CASH_SECS","FQ3 2024","FQ3 2024","Currency=USD","Period=FQ","BEST_FPERIOD_OVERRIDE=FQ","FILING_STATUS=MR","SCALING_FORMAT=MLN","Sort=A","Dates=H","DateFormat=P","Fill=—","Direction=H","UseDPDF=Y")</f>
        <v>0.90800000000000003</v>
      </c>
      <c r="AA149" s="13">
        <f>_xll.BDH("ALNY US Equity","ARDR_FV_ASSETS_REC_TOT_CASH_SECS","FQ4 2024","FQ4 2024","Currency=USD","Period=FQ","BEST_FPERIOD_OVERRIDE=FQ","FILING_STATUS=MR","SCALING_FORMAT=MLN","Sort=A","Dates=H","DateFormat=P","Fill=—","Direction=H","UseDPDF=Y")</f>
        <v>0.91</v>
      </c>
    </row>
    <row r="150" spans="1:27" x14ac:dyDescent="0.25">
      <c r="A150" s="10" t="s">
        <v>1081</v>
      </c>
      <c r="B150" s="10" t="s">
        <v>1082</v>
      </c>
      <c r="C150" s="13" t="str">
        <f>_xll.BDH("ALNY US Equity","ARDR_FV_ASTS_REC_TOT_TRADING_ACC","FQ4 2018","FQ4 2018","Currency=USD","Period=FQ","BEST_FPERIOD_OVERRIDE=FQ","FILING_STATUS=MR","SCALING_FORMAT=MLN","Sort=A","Dates=H","DateFormat=P","Fill=—","Direction=H","UseDPDF=Y")</f>
        <v>—</v>
      </c>
      <c r="D150" s="13" t="str">
        <f>_xll.BDH("ALNY US Equity","ARDR_FV_ASTS_REC_TOT_TRADING_ACC","FQ1 2019","FQ1 2019","Currency=USD","Period=FQ","BEST_FPERIOD_OVERRIDE=FQ","FILING_STATUS=MR","SCALING_FORMAT=MLN","Sort=A","Dates=H","DateFormat=P","Fill=—","Direction=H","UseDPDF=Y")</f>
        <v>—</v>
      </c>
      <c r="E150" s="13" t="str">
        <f>_xll.BDH("ALNY US Equity","ARDR_FV_ASTS_REC_TOT_TRADING_ACC","FQ2 2019","FQ2 2019","Currency=USD","Period=FQ","BEST_FPERIOD_OVERRIDE=FQ","FILING_STATUS=MR","SCALING_FORMAT=MLN","Sort=A","Dates=H","DateFormat=P","Fill=—","Direction=H","UseDPDF=Y")</f>
        <v>—</v>
      </c>
      <c r="F150" s="13" t="str">
        <f>_xll.BDH("ALNY US Equity","ARDR_FV_ASTS_REC_TOT_TRADING_ACC","FQ3 2019","FQ3 2019","Currency=USD","Period=FQ","BEST_FPERIOD_OVERRIDE=FQ","FILING_STATUS=MR","SCALING_FORMAT=MLN","Sort=A","Dates=H","DateFormat=P","Fill=—","Direction=H","UseDPDF=Y")</f>
        <v>—</v>
      </c>
      <c r="G150" s="13" t="str">
        <f>_xll.BDH("ALNY US Equity","ARDR_FV_ASTS_REC_TOT_TRADING_ACC","FQ4 2019","FQ4 2019","Currency=USD","Period=FQ","BEST_FPERIOD_OVERRIDE=FQ","FILING_STATUS=MR","SCALING_FORMAT=MLN","Sort=A","Dates=H","DateFormat=P","Fill=—","Direction=H","UseDPDF=Y")</f>
        <v>—</v>
      </c>
      <c r="H150" s="13" t="str">
        <f>_xll.BDH("ALNY US Equity","ARDR_FV_ASTS_REC_TOT_TRADING_ACC","FQ1 2020","FQ1 2020","Currency=USD","Period=FQ","BEST_FPERIOD_OVERRIDE=FQ","FILING_STATUS=MR","SCALING_FORMAT=MLN","Sort=A","Dates=H","DateFormat=P","Fill=—","Direction=H","UseDPDF=Y")</f>
        <v>—</v>
      </c>
      <c r="I150" s="13" t="str">
        <f>_xll.BDH("ALNY US Equity","ARDR_FV_ASTS_REC_TOT_TRADING_ACC","FQ2 2020","FQ2 2020","Currency=USD","Period=FQ","BEST_FPERIOD_OVERRIDE=FQ","FILING_STATUS=MR","SCALING_FORMAT=MLN","Sort=A","Dates=H","DateFormat=P","Fill=—","Direction=H","UseDPDF=Y")</f>
        <v>—</v>
      </c>
      <c r="J150" s="13" t="str">
        <f>_xll.BDH("ALNY US Equity","ARDR_FV_ASTS_REC_TOT_TRADING_ACC","FQ3 2020","FQ3 2020","Currency=USD","Period=FQ","BEST_FPERIOD_OVERRIDE=FQ","FILING_STATUS=MR","SCALING_FORMAT=MLN","Sort=A","Dates=H","DateFormat=P","Fill=—","Direction=H","UseDPDF=Y")</f>
        <v>—</v>
      </c>
      <c r="K150" s="13">
        <f>_xll.BDH("ALNY US Equity","ARDR_FV_ASTS_REC_TOT_TRADING_ACC","FQ4 2020","FQ4 2020","Currency=USD","Period=FQ","BEST_FPERIOD_OVERRIDE=FQ","FILING_STATUS=MR","SCALING_FORMAT=MLN","Sort=A","Dates=H","DateFormat=P","Fill=—","Direction=H","UseDPDF=Y")</f>
        <v>1.4830000000000001</v>
      </c>
      <c r="L150" s="13" t="str">
        <f>_xll.BDH("ALNY US Equity","ARDR_FV_ASTS_REC_TOT_TRADING_ACC","FQ1 2021","FQ1 2021","Currency=USD","Period=FQ","BEST_FPERIOD_OVERRIDE=FQ","FILING_STATUS=MR","SCALING_FORMAT=MLN","Sort=A","Dates=H","DateFormat=P","Fill=—","Direction=H","UseDPDF=Y")</f>
        <v>—</v>
      </c>
      <c r="M150" s="13">
        <f>_xll.BDH("ALNY US Equity","ARDR_FV_ASTS_REC_TOT_TRADING_ACC","FQ2 2021","FQ2 2021","Currency=USD","Period=FQ","BEST_FPERIOD_OVERRIDE=FQ","FILING_STATUS=MR","SCALING_FORMAT=MLN","Sort=A","Dates=H","DateFormat=P","Fill=—","Direction=H","UseDPDF=Y")</f>
        <v>1154.3150000000001</v>
      </c>
      <c r="N150" s="13" t="str">
        <f>_xll.BDH("ALNY US Equity","ARDR_FV_ASTS_REC_TOT_TRADING_ACC","FQ3 2021","FQ3 2021","Currency=USD","Period=FQ","BEST_FPERIOD_OVERRIDE=FQ","FILING_STATUS=MR","SCALING_FORMAT=MLN","Sort=A","Dates=H","DateFormat=P","Fill=—","Direction=H","UseDPDF=Y")</f>
        <v>—</v>
      </c>
      <c r="O150" s="13" t="str">
        <f>_xll.BDH("ALNY US Equity","ARDR_FV_ASTS_REC_TOT_TRADING_ACC","FQ4 2021","FQ4 2021","Currency=USD","Period=FQ","BEST_FPERIOD_OVERRIDE=FQ","FILING_STATUS=MR","SCALING_FORMAT=MLN","Sort=A","Dates=H","DateFormat=P","Fill=—","Direction=H","UseDPDF=Y")</f>
        <v>—</v>
      </c>
      <c r="P150" s="13" t="str">
        <f>_xll.BDH("ALNY US Equity","ARDR_FV_ASTS_REC_TOT_TRADING_ACC","FQ1 2022","FQ1 2022","Currency=USD","Period=FQ","BEST_FPERIOD_OVERRIDE=FQ","FILING_STATUS=MR","SCALING_FORMAT=MLN","Sort=A","Dates=H","DateFormat=P","Fill=—","Direction=H","UseDPDF=Y")</f>
        <v>—</v>
      </c>
      <c r="Q150" s="13" t="str">
        <f>_xll.BDH("ALNY US Equity","ARDR_FV_ASTS_REC_TOT_TRADING_ACC","FQ2 2022","FQ2 2022","Currency=USD","Period=FQ","BEST_FPERIOD_OVERRIDE=FQ","FILING_STATUS=MR","SCALING_FORMAT=MLN","Sort=A","Dates=H","DateFormat=P","Fill=—","Direction=H","UseDPDF=Y")</f>
        <v>—</v>
      </c>
      <c r="R150" s="13" t="str">
        <f>_xll.BDH("ALNY US Equity","ARDR_FV_ASTS_REC_TOT_TRADING_ACC","FQ3 2022","FQ3 2022","Currency=USD","Period=FQ","BEST_FPERIOD_OVERRIDE=FQ","FILING_STATUS=MR","SCALING_FORMAT=MLN","Sort=A","Dates=H","DateFormat=P","Fill=—","Direction=H","UseDPDF=Y")</f>
        <v>—</v>
      </c>
      <c r="S150" s="13">
        <f>_xll.BDH("ALNY US Equity","ARDR_FV_ASTS_REC_TOT_TRADING_ACC","FQ4 2022","FQ4 2022","Currency=USD","Period=FQ","BEST_FPERIOD_OVERRIDE=FQ","FILING_STATUS=MR","SCALING_FORMAT=MLN","Sort=A","Dates=H","DateFormat=P","Fill=—","Direction=H","UseDPDF=Y")</f>
        <v>383.637</v>
      </c>
      <c r="T150" s="13" t="str">
        <f>_xll.BDH("ALNY US Equity","ARDR_FV_ASTS_REC_TOT_TRADING_ACC","FQ1 2023","FQ1 2023","Currency=USD","Period=FQ","BEST_FPERIOD_OVERRIDE=FQ","FILING_STATUS=MR","SCALING_FORMAT=MLN","Sort=A","Dates=H","DateFormat=P","Fill=—","Direction=H","UseDPDF=Y")</f>
        <v>—</v>
      </c>
      <c r="U150" s="13" t="str">
        <f>_xll.BDH("ALNY US Equity","ARDR_FV_ASTS_REC_TOT_TRADING_ACC","FQ2 2023","FQ2 2023","Currency=USD","Period=FQ","BEST_FPERIOD_OVERRIDE=FQ","FILING_STATUS=MR","SCALING_FORMAT=MLN","Sort=A","Dates=H","DateFormat=P","Fill=—","Direction=H","UseDPDF=Y")</f>
        <v>—</v>
      </c>
      <c r="V150" s="13">
        <f>_xll.BDH("ALNY US Equity","ARDR_FV_ASTS_REC_TOT_TRADING_ACC","FQ3 2023","FQ3 2023","Currency=USD","Period=FQ","BEST_FPERIOD_OVERRIDE=FQ","FILING_STATUS=MR","SCALING_FORMAT=MLN","Sort=A","Dates=H","DateFormat=P","Fill=—","Direction=H","UseDPDF=Y")</f>
        <v>78.585999999999999</v>
      </c>
      <c r="W150" s="13">
        <f>_xll.BDH("ALNY US Equity","ARDR_FV_ASTS_REC_TOT_TRADING_ACC","FQ4 2023","FQ4 2023","Currency=USD","Period=FQ","BEST_FPERIOD_OVERRIDE=FQ","FILING_STATUS=MR","SCALING_FORMAT=MLN","Sort=A","Dates=H","DateFormat=P","Fill=—","Direction=H","UseDPDF=Y")</f>
        <v>200.21799999999999</v>
      </c>
      <c r="X150" s="13">
        <f>_xll.BDH("ALNY US Equity","ARDR_FV_ASTS_REC_TOT_TRADING_ACC","FQ1 2024","FQ1 2024","Currency=USD","Period=FQ","BEST_FPERIOD_OVERRIDE=FQ","FILING_STATUS=MR","SCALING_FORMAT=MLN","Sort=A","Dates=H","DateFormat=P","Fill=—","Direction=H","UseDPDF=Y")</f>
        <v>183.31800000000001</v>
      </c>
      <c r="Y150" s="13">
        <f>_xll.BDH("ALNY US Equity","ARDR_FV_ASTS_REC_TOT_TRADING_ACC","FQ2 2024","FQ2 2024","Currency=USD","Period=FQ","BEST_FPERIOD_OVERRIDE=FQ","FILING_STATUS=MR","SCALING_FORMAT=MLN","Sort=A","Dates=H","DateFormat=P","Fill=—","Direction=H","UseDPDF=Y")</f>
        <v>1.2170000000000001</v>
      </c>
      <c r="Z150" s="13">
        <f>_xll.BDH("ALNY US Equity","ARDR_FV_ASTS_REC_TOT_TRADING_ACC","FQ3 2024","FQ3 2024","Currency=USD","Period=FQ","BEST_FPERIOD_OVERRIDE=FQ","FILING_STATUS=MR","SCALING_FORMAT=MLN","Sort=A","Dates=H","DateFormat=P","Fill=—","Direction=H","UseDPDF=Y")</f>
        <v>0.90800000000000003</v>
      </c>
      <c r="AA150" s="13">
        <f>_xll.BDH("ALNY US Equity","ARDR_FV_ASTS_REC_TOT_TRADING_ACC","FQ4 2024","FQ4 2024","Currency=USD","Period=FQ","BEST_FPERIOD_OVERRIDE=FQ","FILING_STATUS=MR","SCALING_FORMAT=MLN","Sort=A","Dates=H","DateFormat=P","Fill=—","Direction=H","UseDPDF=Y")</f>
        <v>259.86799999999999</v>
      </c>
    </row>
    <row r="151" spans="1:27" x14ac:dyDescent="0.25">
      <c r="A151" s="10" t="s">
        <v>1083</v>
      </c>
      <c r="B151" s="10" t="s">
        <v>1084</v>
      </c>
      <c r="C151" s="13" t="str">
        <f>_xll.BDH("ALNY US Equity","ARDR_FV_ASSETS_REC_TOT_AFS","FQ4 2018","FQ4 2018","Currency=USD","Period=FQ","BEST_FPERIOD_OVERRIDE=FQ","FILING_STATUS=MR","SCALING_FORMAT=MLN","Sort=A","Dates=H","DateFormat=P","Fill=—","Direction=H","UseDPDF=Y")</f>
        <v>—</v>
      </c>
      <c r="D151" s="13" t="str">
        <f>_xll.BDH("ALNY US Equity","ARDR_FV_ASSETS_REC_TOT_AFS","FQ1 2019","FQ1 2019","Currency=USD","Period=FQ","BEST_FPERIOD_OVERRIDE=FQ","FILING_STATUS=MR","SCALING_FORMAT=MLN","Sort=A","Dates=H","DateFormat=P","Fill=—","Direction=H","UseDPDF=Y")</f>
        <v>—</v>
      </c>
      <c r="E151" s="13" t="str">
        <f>_xll.BDH("ALNY US Equity","ARDR_FV_ASSETS_REC_TOT_AFS","FQ2 2019","FQ2 2019","Currency=USD","Period=FQ","BEST_FPERIOD_OVERRIDE=FQ","FILING_STATUS=MR","SCALING_FORMAT=MLN","Sort=A","Dates=H","DateFormat=P","Fill=—","Direction=H","UseDPDF=Y")</f>
        <v>—</v>
      </c>
      <c r="F151" s="13" t="str">
        <f>_xll.BDH("ALNY US Equity","ARDR_FV_ASSETS_REC_TOT_AFS","FQ3 2019","FQ3 2019","Currency=USD","Period=FQ","BEST_FPERIOD_OVERRIDE=FQ","FILING_STATUS=MR","SCALING_FORMAT=MLN","Sort=A","Dates=H","DateFormat=P","Fill=—","Direction=H","UseDPDF=Y")</f>
        <v>—</v>
      </c>
      <c r="G151" s="13" t="str">
        <f>_xll.BDH("ALNY US Equity","ARDR_FV_ASSETS_REC_TOT_AFS","FQ4 2019","FQ4 2019","Currency=USD","Period=FQ","BEST_FPERIOD_OVERRIDE=FQ","FILING_STATUS=MR","SCALING_FORMAT=MLN","Sort=A","Dates=H","DateFormat=P","Fill=—","Direction=H","UseDPDF=Y")</f>
        <v>—</v>
      </c>
      <c r="H151" s="13" t="str">
        <f>_xll.BDH("ALNY US Equity","ARDR_FV_ASSETS_REC_TOT_AFS","FQ1 2020","FQ1 2020","Currency=USD","Period=FQ","BEST_FPERIOD_OVERRIDE=FQ","FILING_STATUS=MR","SCALING_FORMAT=MLN","Sort=A","Dates=H","DateFormat=P","Fill=—","Direction=H","UseDPDF=Y")</f>
        <v>—</v>
      </c>
      <c r="I151" s="13" t="str">
        <f>_xll.BDH("ALNY US Equity","ARDR_FV_ASSETS_REC_TOT_AFS","FQ2 2020","FQ2 2020","Currency=USD","Period=FQ","BEST_FPERIOD_OVERRIDE=FQ","FILING_STATUS=MR","SCALING_FORMAT=MLN","Sort=A","Dates=H","DateFormat=P","Fill=—","Direction=H","UseDPDF=Y")</f>
        <v>—</v>
      </c>
      <c r="J151" s="13" t="str">
        <f>_xll.BDH("ALNY US Equity","ARDR_FV_ASSETS_REC_TOT_AFS","FQ3 2020","FQ3 2020","Currency=USD","Period=FQ","BEST_FPERIOD_OVERRIDE=FQ","FILING_STATUS=MR","SCALING_FORMAT=MLN","Sort=A","Dates=H","DateFormat=P","Fill=—","Direction=H","UseDPDF=Y")</f>
        <v>—</v>
      </c>
      <c r="K151" s="13" t="str">
        <f>_xll.BDH("ALNY US Equity","ARDR_FV_ASSETS_REC_TOT_AFS","FQ4 2020","FQ4 2020","Currency=USD","Period=FQ","BEST_FPERIOD_OVERRIDE=FQ","FILING_STATUS=MR","SCALING_FORMAT=MLN","Sort=A","Dates=H","DateFormat=P","Fill=—","Direction=H","UseDPDF=Y")</f>
        <v>—</v>
      </c>
      <c r="L151" s="13" t="str">
        <f>_xll.BDH("ALNY US Equity","ARDR_FV_ASSETS_REC_TOT_AFS","FQ1 2021","FQ1 2021","Currency=USD","Period=FQ","BEST_FPERIOD_OVERRIDE=FQ","FILING_STATUS=MR","SCALING_FORMAT=MLN","Sort=A","Dates=H","DateFormat=P","Fill=—","Direction=H","UseDPDF=Y")</f>
        <v>—</v>
      </c>
      <c r="M151" s="13" t="str">
        <f>_xll.BDH("ALNY US Equity","ARDR_FV_ASSETS_REC_TOT_AFS","FQ2 2021","FQ2 2021","Currency=USD","Period=FQ","BEST_FPERIOD_OVERRIDE=FQ","FILING_STATUS=MR","SCALING_FORMAT=MLN","Sort=A","Dates=H","DateFormat=P","Fill=—","Direction=H","UseDPDF=Y")</f>
        <v>—</v>
      </c>
      <c r="N151" s="13" t="str">
        <f>_xll.BDH("ALNY US Equity","ARDR_FV_ASSETS_REC_TOT_AFS","FQ3 2021","FQ3 2021","Currency=USD","Period=FQ","BEST_FPERIOD_OVERRIDE=FQ","FILING_STATUS=MR","SCALING_FORMAT=MLN","Sort=A","Dates=H","DateFormat=P","Fill=—","Direction=H","UseDPDF=Y")</f>
        <v>—</v>
      </c>
      <c r="O151" s="13" t="str">
        <f>_xll.BDH("ALNY US Equity","ARDR_FV_ASSETS_REC_TOT_AFS","FQ4 2021","FQ4 2021","Currency=USD","Period=FQ","BEST_FPERIOD_OVERRIDE=FQ","FILING_STATUS=MR","SCALING_FORMAT=MLN","Sort=A","Dates=H","DateFormat=P","Fill=—","Direction=H","UseDPDF=Y")</f>
        <v>—</v>
      </c>
      <c r="P151" s="13" t="str">
        <f>_xll.BDH("ALNY US Equity","ARDR_FV_ASSETS_REC_TOT_AFS","FQ1 2022","FQ1 2022","Currency=USD","Period=FQ","BEST_FPERIOD_OVERRIDE=FQ","FILING_STATUS=MR","SCALING_FORMAT=MLN","Sort=A","Dates=H","DateFormat=P","Fill=—","Direction=H","UseDPDF=Y")</f>
        <v>—</v>
      </c>
      <c r="Q151" s="13" t="str">
        <f>_xll.BDH("ALNY US Equity","ARDR_FV_ASSETS_REC_TOT_AFS","FQ2 2022","FQ2 2022","Currency=USD","Period=FQ","BEST_FPERIOD_OVERRIDE=FQ","FILING_STATUS=MR","SCALING_FORMAT=MLN","Sort=A","Dates=H","DateFormat=P","Fill=—","Direction=H","UseDPDF=Y")</f>
        <v>—</v>
      </c>
      <c r="R151" s="13" t="str">
        <f>_xll.BDH("ALNY US Equity","ARDR_FV_ASSETS_REC_TOT_AFS","FQ3 2022","FQ3 2022","Currency=USD","Period=FQ","BEST_FPERIOD_OVERRIDE=FQ","FILING_STATUS=MR","SCALING_FORMAT=MLN","Sort=A","Dates=H","DateFormat=P","Fill=—","Direction=H","UseDPDF=Y")</f>
        <v>—</v>
      </c>
      <c r="S151" s="13">
        <f>_xll.BDH("ALNY US Equity","ARDR_FV_ASSETS_REC_TOT_AFS","FQ4 2022","FQ4 2022","Currency=USD","Period=FQ","BEST_FPERIOD_OVERRIDE=FQ","FILING_STATUS=MR","SCALING_FORMAT=MLN","Sort=A","Dates=H","DateFormat=P","Fill=—","Direction=H","UseDPDF=Y")</f>
        <v>1326.0119999999999</v>
      </c>
      <c r="T151" s="13" t="str">
        <f>_xll.BDH("ALNY US Equity","ARDR_FV_ASSETS_REC_TOT_AFS","FQ1 2023","FQ1 2023","Currency=USD","Period=FQ","BEST_FPERIOD_OVERRIDE=FQ","FILING_STATUS=MR","SCALING_FORMAT=MLN","Sort=A","Dates=H","DateFormat=P","Fill=—","Direction=H","UseDPDF=Y")</f>
        <v>—</v>
      </c>
      <c r="U151" s="13" t="str">
        <f>_xll.BDH("ALNY US Equity","ARDR_FV_ASSETS_REC_TOT_AFS","FQ2 2023","FQ2 2023","Currency=USD","Period=FQ","BEST_FPERIOD_OVERRIDE=FQ","FILING_STATUS=MR","SCALING_FORMAT=MLN","Sort=A","Dates=H","DateFormat=P","Fill=—","Direction=H","UseDPDF=Y")</f>
        <v>—</v>
      </c>
      <c r="V151" s="13">
        <f>_xll.BDH("ALNY US Equity","ARDR_FV_ASSETS_REC_TOT_AFS","FQ3 2023","FQ3 2023","Currency=USD","Period=FQ","BEST_FPERIOD_OVERRIDE=FQ","FILING_STATUS=MR","SCALING_FORMAT=MLN","Sort=A","Dates=H","DateFormat=P","Fill=—","Direction=H","UseDPDF=Y")</f>
        <v>1148.0029999999999</v>
      </c>
      <c r="W151" s="13">
        <f>_xll.BDH("ALNY US Equity","ARDR_FV_ASSETS_REC_TOT_AFS","FQ4 2023","FQ4 2023","Currency=USD","Period=FQ","BEST_FPERIOD_OVERRIDE=FQ","FILING_STATUS=MR","SCALING_FORMAT=MLN","Sort=A","Dates=H","DateFormat=P","Fill=—","Direction=H","UseDPDF=Y")</f>
        <v>1626.694</v>
      </c>
      <c r="X151" s="13">
        <f>_xll.BDH("ALNY US Equity","ARDR_FV_ASSETS_REC_TOT_AFS","FQ1 2024","FQ1 2024","Currency=USD","Period=FQ","BEST_FPERIOD_OVERRIDE=FQ","FILING_STATUS=MR","SCALING_FORMAT=MLN","Sort=A","Dates=H","DateFormat=P","Fill=—","Direction=H","UseDPDF=Y")</f>
        <v>1689.403</v>
      </c>
      <c r="Y151" s="13">
        <f>_xll.BDH("ALNY US Equity","ARDR_FV_ASSETS_REC_TOT_AFS","FQ2 2024","FQ2 2024","Currency=USD","Period=FQ","BEST_FPERIOD_OVERRIDE=FQ","FILING_STATUS=MR","SCALING_FORMAT=MLN","Sort=A","Dates=H","DateFormat=P","Fill=—","Direction=H","UseDPDF=Y")</f>
        <v>1192.6880000000001</v>
      </c>
      <c r="Z151" s="13">
        <f>_xll.BDH("ALNY US Equity","ARDR_FV_ASSETS_REC_TOT_AFS","FQ3 2024","FQ3 2024","Currency=USD","Period=FQ","BEST_FPERIOD_OVERRIDE=FQ","FILING_STATUS=MR","SCALING_FORMAT=MLN","Sort=A","Dates=H","DateFormat=P","Fill=—","Direction=H","UseDPDF=Y")</f>
        <v>1158.9939999999999</v>
      </c>
      <c r="AA151" s="13">
        <f>_xll.BDH("ALNY US Equity","ARDR_FV_ASSETS_REC_TOT_AFS","FQ4 2024","FQ4 2024","Currency=USD","Period=FQ","BEST_FPERIOD_OVERRIDE=FQ","FILING_STATUS=MR","SCALING_FORMAT=MLN","Sort=A","Dates=H","DateFormat=P","Fill=—","Direction=H","UseDPDF=Y")</f>
        <v>1728.076</v>
      </c>
    </row>
    <row r="152" spans="1:27" x14ac:dyDescent="0.25">
      <c r="A152" s="10" t="s">
        <v>1085</v>
      </c>
      <c r="B152" s="10" t="s">
        <v>1086</v>
      </c>
      <c r="C152" s="13">
        <f>_xll.BDH("ALNY US Equity","ARDR_FV_ASSETS_REC_TOT_OTHER","FQ4 2018","FQ4 2018","Currency=USD","Period=FQ","BEST_FPERIOD_OVERRIDE=FQ","FILING_STATUS=MR","SCALING_FORMAT=MLN","Sort=A","Dates=H","DateFormat=P","Fill=—","Direction=H","UseDPDF=Y")</f>
        <v>336.86099999999999</v>
      </c>
      <c r="D152" s="13">
        <f>_xll.BDH("ALNY US Equity","ARDR_FV_ASSETS_REC_TOT_OTHER","FQ1 2019","FQ1 2019","Currency=USD","Period=FQ","BEST_FPERIOD_OVERRIDE=FQ","FILING_STATUS=MR","SCALING_FORMAT=MLN","Sort=A","Dates=H","DateFormat=P","Fill=—","Direction=H","UseDPDF=Y")</f>
        <v>1149.5229999999999</v>
      </c>
      <c r="E152" s="13">
        <f>_xll.BDH("ALNY US Equity","ARDR_FV_ASSETS_REC_TOT_OTHER","FQ2 2019","FQ2 2019","Currency=USD","Period=FQ","BEST_FPERIOD_OVERRIDE=FQ","FILING_STATUS=MR","SCALING_FORMAT=MLN","Sort=A","Dates=H","DateFormat=P","Fill=—","Direction=H","UseDPDF=Y")</f>
        <v>3370.6039999999998</v>
      </c>
      <c r="F152" s="13">
        <f>_xll.BDH("ALNY US Equity","ARDR_FV_ASSETS_REC_TOT_OTHER","FQ3 2019","FQ3 2019","Currency=USD","Period=FQ","BEST_FPERIOD_OVERRIDE=FQ","FILING_STATUS=MR","SCALING_FORMAT=MLN","Sort=A","Dates=H","DateFormat=P","Fill=—","Direction=H","UseDPDF=Y")</f>
        <v>799.23500000000001</v>
      </c>
      <c r="G152" s="13" t="str">
        <f>_xll.BDH("ALNY US Equity","ARDR_FV_ASSETS_REC_TOT_OTHER","FQ4 2019","FQ4 2019","Currency=USD","Period=FQ","BEST_FPERIOD_OVERRIDE=FQ","FILING_STATUS=MR","SCALING_FORMAT=MLN","Sort=A","Dates=H","DateFormat=P","Fill=—","Direction=H","UseDPDF=Y")</f>
        <v>—</v>
      </c>
      <c r="H152" s="13" t="str">
        <f>_xll.BDH("ALNY US Equity","ARDR_FV_ASSETS_REC_TOT_OTHER","FQ1 2020","FQ1 2020","Currency=USD","Period=FQ","BEST_FPERIOD_OVERRIDE=FQ","FILING_STATUS=MR","SCALING_FORMAT=MLN","Sort=A","Dates=H","DateFormat=P","Fill=—","Direction=H","UseDPDF=Y")</f>
        <v>—</v>
      </c>
      <c r="I152" s="13" t="str">
        <f>_xll.BDH("ALNY US Equity","ARDR_FV_ASSETS_REC_TOT_OTHER","FQ2 2020","FQ2 2020","Currency=USD","Period=FQ","BEST_FPERIOD_OVERRIDE=FQ","FILING_STATUS=MR","SCALING_FORMAT=MLN","Sort=A","Dates=H","DateFormat=P","Fill=—","Direction=H","UseDPDF=Y")</f>
        <v>—</v>
      </c>
      <c r="J152" s="13" t="str">
        <f>_xll.BDH("ALNY US Equity","ARDR_FV_ASSETS_REC_TOT_OTHER","FQ3 2020","FQ3 2020","Currency=USD","Period=FQ","BEST_FPERIOD_OVERRIDE=FQ","FILING_STATUS=MR","SCALING_FORMAT=MLN","Sort=A","Dates=H","DateFormat=P","Fill=—","Direction=H","UseDPDF=Y")</f>
        <v>—</v>
      </c>
      <c r="K152" s="13" t="str">
        <f>_xll.BDH("ALNY US Equity","ARDR_FV_ASSETS_REC_TOT_OTHER","FQ4 2020","FQ4 2020","Currency=USD","Period=FQ","BEST_FPERIOD_OVERRIDE=FQ","FILING_STATUS=MR","SCALING_FORMAT=MLN","Sort=A","Dates=H","DateFormat=P","Fill=—","Direction=H","UseDPDF=Y")</f>
        <v>—</v>
      </c>
      <c r="L152" s="13" t="str">
        <f>_xll.BDH("ALNY US Equity","ARDR_FV_ASSETS_REC_TOT_OTHER","FQ1 2021","FQ1 2021","Currency=USD","Period=FQ","BEST_FPERIOD_OVERRIDE=FQ","FILING_STATUS=MR","SCALING_FORMAT=MLN","Sort=A","Dates=H","DateFormat=P","Fill=—","Direction=H","UseDPDF=Y")</f>
        <v>—</v>
      </c>
      <c r="M152" s="13" t="str">
        <f>_xll.BDH("ALNY US Equity","ARDR_FV_ASSETS_REC_TOT_OTHER","FQ2 2021","FQ2 2021","Currency=USD","Period=FQ","BEST_FPERIOD_OVERRIDE=FQ","FILING_STATUS=MR","SCALING_FORMAT=MLN","Sort=A","Dates=H","DateFormat=P","Fill=—","Direction=H","UseDPDF=Y")</f>
        <v>—</v>
      </c>
      <c r="N152" s="13" t="str">
        <f>_xll.BDH("ALNY US Equity","ARDR_FV_ASSETS_REC_TOT_OTHER","FQ3 2021","FQ3 2021","Currency=USD","Period=FQ","BEST_FPERIOD_OVERRIDE=FQ","FILING_STATUS=MR","SCALING_FORMAT=MLN","Sort=A","Dates=H","DateFormat=P","Fill=—","Direction=H","UseDPDF=Y")</f>
        <v>—</v>
      </c>
      <c r="O152" s="13" t="str">
        <f>_xll.BDH("ALNY US Equity","ARDR_FV_ASSETS_REC_TOT_OTHER","FQ4 2021","FQ4 2021","Currency=USD","Period=FQ","BEST_FPERIOD_OVERRIDE=FQ","FILING_STATUS=MR","SCALING_FORMAT=MLN","Sort=A","Dates=H","DateFormat=P","Fill=—","Direction=H","UseDPDF=Y")</f>
        <v>—</v>
      </c>
      <c r="P152" s="13" t="str">
        <f>_xll.BDH("ALNY US Equity","ARDR_FV_ASSETS_REC_TOT_OTHER","FQ1 2022","FQ1 2022","Currency=USD","Period=FQ","BEST_FPERIOD_OVERRIDE=FQ","FILING_STATUS=MR","SCALING_FORMAT=MLN","Sort=A","Dates=H","DateFormat=P","Fill=—","Direction=H","UseDPDF=Y")</f>
        <v>—</v>
      </c>
      <c r="Q152" s="13" t="str">
        <f>_xll.BDH("ALNY US Equity","ARDR_FV_ASSETS_REC_TOT_OTHER","FQ2 2022","FQ2 2022","Currency=USD","Period=FQ","BEST_FPERIOD_OVERRIDE=FQ","FILING_STATUS=MR","SCALING_FORMAT=MLN","Sort=A","Dates=H","DateFormat=P","Fill=—","Direction=H","UseDPDF=Y")</f>
        <v>—</v>
      </c>
      <c r="R152" s="13" t="str">
        <f>_xll.BDH("ALNY US Equity","ARDR_FV_ASSETS_REC_TOT_OTHER","FQ3 2022","FQ3 2022","Currency=USD","Period=FQ","BEST_FPERIOD_OVERRIDE=FQ","FILING_STATUS=MR","SCALING_FORMAT=MLN","Sort=A","Dates=H","DateFormat=P","Fill=—","Direction=H","UseDPDF=Y")</f>
        <v>—</v>
      </c>
      <c r="S152" s="13" t="str">
        <f>_xll.BDH("ALNY US Equity","ARDR_FV_ASSETS_REC_TOT_OTHER","FQ4 2022","FQ4 2022","Currency=USD","Period=FQ","BEST_FPERIOD_OVERRIDE=FQ","FILING_STATUS=MR","SCALING_FORMAT=MLN","Sort=A","Dates=H","DateFormat=P","Fill=—","Direction=H","UseDPDF=Y")</f>
        <v>—</v>
      </c>
      <c r="T152" s="13" t="str">
        <f>_xll.BDH("ALNY US Equity","ARDR_FV_ASSETS_REC_TOT_OTHER","FQ1 2023","FQ1 2023","Currency=USD","Period=FQ","BEST_FPERIOD_OVERRIDE=FQ","FILING_STATUS=MR","SCALING_FORMAT=MLN","Sort=A","Dates=H","DateFormat=P","Fill=—","Direction=H","UseDPDF=Y")</f>
        <v>—</v>
      </c>
      <c r="U152" s="13" t="str">
        <f>_xll.BDH("ALNY US Equity","ARDR_FV_ASSETS_REC_TOT_OTHER","FQ2 2023","FQ2 2023","Currency=USD","Period=FQ","BEST_FPERIOD_OVERRIDE=FQ","FILING_STATUS=MR","SCALING_FORMAT=MLN","Sort=A","Dates=H","DateFormat=P","Fill=—","Direction=H","UseDPDF=Y")</f>
        <v>—</v>
      </c>
      <c r="V152" s="13" t="str">
        <f>_xll.BDH("ALNY US Equity","ARDR_FV_ASSETS_REC_TOT_OTHER","FQ3 2023","FQ3 2023","Currency=USD","Period=FQ","BEST_FPERIOD_OVERRIDE=FQ","FILING_STATUS=MR","SCALING_FORMAT=MLN","Sort=A","Dates=H","DateFormat=P","Fill=—","Direction=H","UseDPDF=Y")</f>
        <v>—</v>
      </c>
      <c r="W152" s="13" t="str">
        <f>_xll.BDH("ALNY US Equity","ARDR_FV_ASSETS_REC_TOT_OTHER","FQ4 2023","FQ4 2023","Currency=USD","Period=FQ","BEST_FPERIOD_OVERRIDE=FQ","FILING_STATUS=MR","SCALING_FORMAT=MLN","Sort=A","Dates=H","DateFormat=P","Fill=—","Direction=H","UseDPDF=Y")</f>
        <v>—</v>
      </c>
      <c r="X152" s="13" t="str">
        <f>_xll.BDH("ALNY US Equity","ARDR_FV_ASSETS_REC_TOT_OTHER","FQ1 2024","FQ1 2024","Currency=USD","Period=FQ","BEST_FPERIOD_OVERRIDE=FQ","FILING_STATUS=MR","SCALING_FORMAT=MLN","Sort=A","Dates=H","DateFormat=P","Fill=—","Direction=H","UseDPDF=Y")</f>
        <v>—</v>
      </c>
      <c r="Y152" s="13" t="str">
        <f>_xll.BDH("ALNY US Equity","ARDR_FV_ASSETS_REC_TOT_OTHER","FQ2 2024","FQ2 2024","Currency=USD","Period=FQ","BEST_FPERIOD_OVERRIDE=FQ","FILING_STATUS=MR","SCALING_FORMAT=MLN","Sort=A","Dates=H","DateFormat=P","Fill=—","Direction=H","UseDPDF=Y")</f>
        <v>—</v>
      </c>
      <c r="Z152" s="13" t="str">
        <f>_xll.BDH("ALNY US Equity","ARDR_FV_ASSETS_REC_TOT_OTHER","FQ3 2024","FQ3 2024","Currency=USD","Period=FQ","BEST_FPERIOD_OVERRIDE=FQ","FILING_STATUS=MR","SCALING_FORMAT=MLN","Sort=A","Dates=H","DateFormat=P","Fill=—","Direction=H","UseDPDF=Y")</f>
        <v>—</v>
      </c>
      <c r="AA152" s="13" t="str">
        <f>_xll.BDH("ALNY US Equity","ARDR_FV_ASSETS_REC_TOT_OTHER","FQ4 2024","FQ4 2024","Currency=USD","Period=FQ","BEST_FPERIOD_OVERRIDE=FQ","FILING_STATUS=MR","SCALING_FORMAT=MLN","Sort=A","Dates=H","DateFormat=P","Fill=—","Direction=H","UseDPDF=Y")</f>
        <v>—</v>
      </c>
    </row>
    <row r="153" spans="1:27" x14ac:dyDescent="0.25">
      <c r="A153" s="10" t="s">
        <v>1087</v>
      </c>
      <c r="B153" s="10" t="s">
        <v>1088</v>
      </c>
      <c r="C153" s="13" t="str">
        <f>_xll.BDH("ALNY US Equity","ARDR_FV_LIABS_REC_L1_DERIVATIVES","FQ4 2018","FQ4 2018","Currency=USD","Period=FQ","BEST_FPERIOD_OVERRIDE=FQ","FILING_STATUS=MR","SCALING_FORMAT=MLN","Sort=A","Dates=H","DateFormat=P","Fill=—","Direction=H","UseDPDF=Y")</f>
        <v>—</v>
      </c>
      <c r="D153" s="13" t="str">
        <f>_xll.BDH("ALNY US Equity","ARDR_FV_LIABS_REC_L1_DERIVATIVES","FQ1 2019","FQ1 2019","Currency=USD","Period=FQ","BEST_FPERIOD_OVERRIDE=FQ","FILING_STATUS=MR","SCALING_FORMAT=MLN","Sort=A","Dates=H","DateFormat=P","Fill=—","Direction=H","UseDPDF=Y")</f>
        <v>—</v>
      </c>
      <c r="E153" s="13" t="str">
        <f>_xll.BDH("ALNY US Equity","ARDR_FV_LIABS_REC_L1_DERIVATIVES","FQ2 2019","FQ2 2019","Currency=USD","Period=FQ","BEST_FPERIOD_OVERRIDE=FQ","FILING_STATUS=MR","SCALING_FORMAT=MLN","Sort=A","Dates=H","DateFormat=P","Fill=—","Direction=H","UseDPDF=Y")</f>
        <v>—</v>
      </c>
      <c r="F153" s="13" t="str">
        <f>_xll.BDH("ALNY US Equity","ARDR_FV_LIABS_REC_L1_DERIVATIVES","FQ3 2019","FQ3 2019","Currency=USD","Period=FQ","BEST_FPERIOD_OVERRIDE=FQ","FILING_STATUS=MR","SCALING_FORMAT=MLN","Sort=A","Dates=H","DateFormat=P","Fill=—","Direction=H","UseDPDF=Y")</f>
        <v>—</v>
      </c>
      <c r="G153" s="13" t="str">
        <f>_xll.BDH("ALNY US Equity","ARDR_FV_LIABS_REC_L1_DERIVATIVES","FQ4 2019","FQ4 2019","Currency=USD","Period=FQ","BEST_FPERIOD_OVERRIDE=FQ","FILING_STATUS=MR","SCALING_FORMAT=MLN","Sort=A","Dates=H","DateFormat=P","Fill=—","Direction=H","UseDPDF=Y")</f>
        <v>—</v>
      </c>
      <c r="H153" s="13" t="str">
        <f>_xll.BDH("ALNY US Equity","ARDR_FV_LIABS_REC_L1_DERIVATIVES","FQ1 2020","FQ1 2020","Currency=USD","Period=FQ","BEST_FPERIOD_OVERRIDE=FQ","FILING_STATUS=MR","SCALING_FORMAT=MLN","Sort=A","Dates=H","DateFormat=P","Fill=—","Direction=H","UseDPDF=Y")</f>
        <v>—</v>
      </c>
      <c r="I153" s="13" t="str">
        <f>_xll.BDH("ALNY US Equity","ARDR_FV_LIABS_REC_L1_DERIVATIVES","FQ2 2020","FQ2 2020","Currency=USD","Period=FQ","BEST_FPERIOD_OVERRIDE=FQ","FILING_STATUS=MR","SCALING_FORMAT=MLN","Sort=A","Dates=H","DateFormat=P","Fill=—","Direction=H","UseDPDF=Y")</f>
        <v>—</v>
      </c>
      <c r="J153" s="13">
        <f>_xll.BDH("ALNY US Equity","ARDR_FV_LIABS_REC_L1_DERIVATIVES","FQ3 2020","FQ3 2020","Currency=USD","Period=FQ","BEST_FPERIOD_OVERRIDE=FQ","FILING_STATUS=MR","SCALING_FORMAT=MLN","Sort=A","Dates=H","DateFormat=P","Fill=—","Direction=H","UseDPDF=Y")</f>
        <v>0</v>
      </c>
      <c r="K153" s="13">
        <f>_xll.BDH("ALNY US Equity","ARDR_FV_LIABS_REC_L1_DERIVATIVES","FQ4 2020","FQ4 2020","Currency=USD","Period=FQ","BEST_FPERIOD_OVERRIDE=FQ","FILING_STATUS=MR","SCALING_FORMAT=MLN","Sort=A","Dates=H","DateFormat=P","Fill=—","Direction=H","UseDPDF=Y")</f>
        <v>0</v>
      </c>
      <c r="L153" s="13">
        <f>_xll.BDH("ALNY US Equity","ARDR_FV_LIABS_REC_L1_DERIVATIVES","FQ1 2021","FQ1 2021","Currency=USD","Period=FQ","BEST_FPERIOD_OVERRIDE=FQ","FILING_STATUS=MR","SCALING_FORMAT=MLN","Sort=A","Dates=H","DateFormat=P","Fill=—","Direction=H","UseDPDF=Y")</f>
        <v>0</v>
      </c>
      <c r="M153" s="13">
        <f>_xll.BDH("ALNY US Equity","ARDR_FV_LIABS_REC_L1_DERIVATIVES","FQ2 2021","FQ2 2021","Currency=USD","Period=FQ","BEST_FPERIOD_OVERRIDE=FQ","FILING_STATUS=MR","SCALING_FORMAT=MLN","Sort=A","Dates=H","DateFormat=P","Fill=—","Direction=H","UseDPDF=Y")</f>
        <v>0</v>
      </c>
      <c r="N153" s="13">
        <f>_xll.BDH("ALNY US Equity","ARDR_FV_LIABS_REC_L1_DERIVATIVES","FQ3 2021","FQ3 2021","Currency=USD","Period=FQ","BEST_FPERIOD_OVERRIDE=FQ","FILING_STATUS=MR","SCALING_FORMAT=MLN","Sort=A","Dates=H","DateFormat=P","Fill=—","Direction=H","UseDPDF=Y")</f>
        <v>0</v>
      </c>
      <c r="O153" s="13">
        <f>_xll.BDH("ALNY US Equity","ARDR_FV_LIABS_REC_L1_DERIVATIVES","FQ4 2021","FQ4 2021","Currency=USD","Period=FQ","BEST_FPERIOD_OVERRIDE=FQ","FILING_STATUS=MR","SCALING_FORMAT=MLN","Sort=A","Dates=H","DateFormat=P","Fill=—","Direction=H","UseDPDF=Y")</f>
        <v>0</v>
      </c>
      <c r="P153" s="13" t="str">
        <f>_xll.BDH("ALNY US Equity","ARDR_FV_LIABS_REC_L1_DERIVATIVES","FQ1 2022","FQ1 2022","Currency=USD","Period=FQ","BEST_FPERIOD_OVERRIDE=FQ","FILING_STATUS=MR","SCALING_FORMAT=MLN","Sort=A","Dates=H","DateFormat=P","Fill=—","Direction=H","UseDPDF=Y")</f>
        <v>—</v>
      </c>
      <c r="Q153" s="13">
        <f>_xll.BDH("ALNY US Equity","ARDR_FV_LIABS_REC_L1_DERIVATIVES","FQ2 2022","FQ2 2022","Currency=USD","Period=FQ","BEST_FPERIOD_OVERRIDE=FQ","FILING_STATUS=MR","SCALING_FORMAT=MLN","Sort=A","Dates=H","DateFormat=P","Fill=—","Direction=H","UseDPDF=Y")</f>
        <v>0</v>
      </c>
      <c r="R153" s="13">
        <f>_xll.BDH("ALNY US Equity","ARDR_FV_LIABS_REC_L1_DERIVATIVES","FQ3 2022","FQ3 2022","Currency=USD","Period=FQ","BEST_FPERIOD_OVERRIDE=FQ","FILING_STATUS=MR","SCALING_FORMAT=MLN","Sort=A","Dates=H","DateFormat=P","Fill=—","Direction=H","UseDPDF=Y")</f>
        <v>0</v>
      </c>
      <c r="S153" s="13">
        <f>_xll.BDH("ALNY US Equity","ARDR_FV_LIABS_REC_L1_DERIVATIVES","FQ4 2022","FQ4 2022","Currency=USD","Period=FQ","BEST_FPERIOD_OVERRIDE=FQ","FILING_STATUS=MR","SCALING_FORMAT=MLN","Sort=A","Dates=H","DateFormat=P","Fill=—","Direction=H","UseDPDF=Y")</f>
        <v>0</v>
      </c>
      <c r="T153" s="13" t="str">
        <f>_xll.BDH("ALNY US Equity","ARDR_FV_LIABS_REC_L1_DERIVATIVES","FQ1 2023","FQ1 2023","Currency=USD","Period=FQ","BEST_FPERIOD_OVERRIDE=FQ","FILING_STATUS=MR","SCALING_FORMAT=MLN","Sort=A","Dates=H","DateFormat=P","Fill=—","Direction=H","UseDPDF=Y")</f>
        <v>—</v>
      </c>
      <c r="U153" s="13">
        <f>_xll.BDH("ALNY US Equity","ARDR_FV_LIABS_REC_L1_DERIVATIVES","FQ2 2023","FQ2 2023","Currency=USD","Period=FQ","BEST_FPERIOD_OVERRIDE=FQ","FILING_STATUS=MR","SCALING_FORMAT=MLN","Sort=A","Dates=H","DateFormat=P","Fill=—","Direction=H","UseDPDF=Y")</f>
        <v>0</v>
      </c>
      <c r="V153" s="13">
        <f>_xll.BDH("ALNY US Equity","ARDR_FV_LIABS_REC_L1_DERIVATIVES","FQ3 2023","FQ3 2023","Currency=USD","Period=FQ","BEST_FPERIOD_OVERRIDE=FQ","FILING_STATUS=MR","SCALING_FORMAT=MLN","Sort=A","Dates=H","DateFormat=P","Fill=—","Direction=H","UseDPDF=Y")</f>
        <v>0</v>
      </c>
      <c r="W153" s="13">
        <f>_xll.BDH("ALNY US Equity","ARDR_FV_LIABS_REC_L1_DERIVATIVES","FQ4 2023","FQ4 2023","Currency=USD","Period=FQ","BEST_FPERIOD_OVERRIDE=FQ","FILING_STATUS=MR","SCALING_FORMAT=MLN","Sort=A","Dates=H","DateFormat=P","Fill=—","Direction=H","UseDPDF=Y")</f>
        <v>0</v>
      </c>
      <c r="X153" s="13">
        <f>_xll.BDH("ALNY US Equity","ARDR_FV_LIABS_REC_L1_DERIVATIVES","FQ1 2024","FQ1 2024","Currency=USD","Period=FQ","BEST_FPERIOD_OVERRIDE=FQ","FILING_STATUS=MR","SCALING_FORMAT=MLN","Sort=A","Dates=H","DateFormat=P","Fill=—","Direction=H","UseDPDF=Y")</f>
        <v>0</v>
      </c>
      <c r="Y153" s="13">
        <f>_xll.BDH("ALNY US Equity","ARDR_FV_LIABS_REC_L1_DERIVATIVES","FQ2 2024","FQ2 2024","Currency=USD","Period=FQ","BEST_FPERIOD_OVERRIDE=FQ","FILING_STATUS=MR","SCALING_FORMAT=MLN","Sort=A","Dates=H","DateFormat=P","Fill=—","Direction=H","UseDPDF=Y")</f>
        <v>0</v>
      </c>
      <c r="Z153" s="13">
        <f>_xll.BDH("ALNY US Equity","ARDR_FV_LIABS_REC_L1_DERIVATIVES","FQ3 2024","FQ3 2024","Currency=USD","Period=FQ","BEST_FPERIOD_OVERRIDE=FQ","FILING_STATUS=MR","SCALING_FORMAT=MLN","Sort=A","Dates=H","DateFormat=P","Fill=—","Direction=H","UseDPDF=Y")</f>
        <v>0</v>
      </c>
      <c r="AA153" s="13">
        <f>_xll.BDH("ALNY US Equity","ARDR_FV_LIABS_REC_L1_DERIVATIVES","FQ4 2024","FQ4 2024","Currency=USD","Period=FQ","BEST_FPERIOD_OVERRIDE=FQ","FILING_STATUS=MR","SCALING_FORMAT=MLN","Sort=A","Dates=H","DateFormat=P","Fill=—","Direction=H","UseDPDF=Y")</f>
        <v>0</v>
      </c>
    </row>
    <row r="154" spans="1:27" x14ac:dyDescent="0.25">
      <c r="A154" s="10" t="s">
        <v>1089</v>
      </c>
      <c r="B154" s="10" t="s">
        <v>1090</v>
      </c>
      <c r="C154" s="13" t="str">
        <f>_xll.BDH("ALNY US Equity","ARDR_FV_LIABS_REC_L2_DERIVATIVES","FQ4 2018","FQ4 2018","Currency=USD","Period=FQ","BEST_FPERIOD_OVERRIDE=FQ","FILING_STATUS=MR","SCALING_FORMAT=MLN","Sort=A","Dates=H","DateFormat=P","Fill=—","Direction=H","UseDPDF=Y")</f>
        <v>—</v>
      </c>
      <c r="D154" s="13" t="str">
        <f>_xll.BDH("ALNY US Equity","ARDR_FV_LIABS_REC_L2_DERIVATIVES","FQ1 2019","FQ1 2019","Currency=USD","Period=FQ","BEST_FPERIOD_OVERRIDE=FQ","FILING_STATUS=MR","SCALING_FORMAT=MLN","Sort=A","Dates=H","DateFormat=P","Fill=—","Direction=H","UseDPDF=Y")</f>
        <v>—</v>
      </c>
      <c r="E154" s="13" t="str">
        <f>_xll.BDH("ALNY US Equity","ARDR_FV_LIABS_REC_L2_DERIVATIVES","FQ2 2019","FQ2 2019","Currency=USD","Period=FQ","BEST_FPERIOD_OVERRIDE=FQ","FILING_STATUS=MR","SCALING_FORMAT=MLN","Sort=A","Dates=H","DateFormat=P","Fill=—","Direction=H","UseDPDF=Y")</f>
        <v>—</v>
      </c>
      <c r="F154" s="13" t="str">
        <f>_xll.BDH("ALNY US Equity","ARDR_FV_LIABS_REC_L2_DERIVATIVES","FQ3 2019","FQ3 2019","Currency=USD","Period=FQ","BEST_FPERIOD_OVERRIDE=FQ","FILING_STATUS=MR","SCALING_FORMAT=MLN","Sort=A","Dates=H","DateFormat=P","Fill=—","Direction=H","UseDPDF=Y")</f>
        <v>—</v>
      </c>
      <c r="G154" s="13" t="str">
        <f>_xll.BDH("ALNY US Equity","ARDR_FV_LIABS_REC_L2_DERIVATIVES","FQ4 2019","FQ4 2019","Currency=USD","Period=FQ","BEST_FPERIOD_OVERRIDE=FQ","FILING_STATUS=MR","SCALING_FORMAT=MLN","Sort=A","Dates=H","DateFormat=P","Fill=—","Direction=H","UseDPDF=Y")</f>
        <v>—</v>
      </c>
      <c r="H154" s="13" t="str">
        <f>_xll.BDH("ALNY US Equity","ARDR_FV_LIABS_REC_L2_DERIVATIVES","FQ1 2020","FQ1 2020","Currency=USD","Period=FQ","BEST_FPERIOD_OVERRIDE=FQ","FILING_STATUS=MR","SCALING_FORMAT=MLN","Sort=A","Dates=H","DateFormat=P","Fill=—","Direction=H","UseDPDF=Y")</f>
        <v>—</v>
      </c>
      <c r="I154" s="13" t="str">
        <f>_xll.BDH("ALNY US Equity","ARDR_FV_LIABS_REC_L2_DERIVATIVES","FQ2 2020","FQ2 2020","Currency=USD","Period=FQ","BEST_FPERIOD_OVERRIDE=FQ","FILING_STATUS=MR","SCALING_FORMAT=MLN","Sort=A","Dates=H","DateFormat=P","Fill=—","Direction=H","UseDPDF=Y")</f>
        <v>—</v>
      </c>
      <c r="J154" s="13">
        <f>_xll.BDH("ALNY US Equity","ARDR_FV_LIABS_REC_L2_DERIVATIVES","FQ3 2020","FQ3 2020","Currency=USD","Period=FQ","BEST_FPERIOD_OVERRIDE=FQ","FILING_STATUS=MR","SCALING_FORMAT=MLN","Sort=A","Dates=H","DateFormat=P","Fill=—","Direction=H","UseDPDF=Y")</f>
        <v>0</v>
      </c>
      <c r="K154" s="13">
        <f>_xll.BDH("ALNY US Equity","ARDR_FV_LIABS_REC_L2_DERIVATIVES","FQ4 2020","FQ4 2020","Currency=USD","Period=FQ","BEST_FPERIOD_OVERRIDE=FQ","FILING_STATUS=MR","SCALING_FORMAT=MLN","Sort=A","Dates=H","DateFormat=P","Fill=—","Direction=H","UseDPDF=Y")</f>
        <v>0</v>
      </c>
      <c r="L154" s="13">
        <f>_xll.BDH("ALNY US Equity","ARDR_FV_LIABS_REC_L2_DERIVATIVES","FQ1 2021","FQ1 2021","Currency=USD","Period=FQ","BEST_FPERIOD_OVERRIDE=FQ","FILING_STATUS=MR","SCALING_FORMAT=MLN","Sort=A","Dates=H","DateFormat=P","Fill=—","Direction=H","UseDPDF=Y")</f>
        <v>0</v>
      </c>
      <c r="M154" s="13">
        <f>_xll.BDH("ALNY US Equity","ARDR_FV_LIABS_REC_L2_DERIVATIVES","FQ2 2021","FQ2 2021","Currency=USD","Period=FQ","BEST_FPERIOD_OVERRIDE=FQ","FILING_STATUS=MR","SCALING_FORMAT=MLN","Sort=A","Dates=H","DateFormat=P","Fill=—","Direction=H","UseDPDF=Y")</f>
        <v>0</v>
      </c>
      <c r="N154" s="13">
        <f>_xll.BDH("ALNY US Equity","ARDR_FV_LIABS_REC_L2_DERIVATIVES","FQ3 2021","FQ3 2021","Currency=USD","Period=FQ","BEST_FPERIOD_OVERRIDE=FQ","FILING_STATUS=MR","SCALING_FORMAT=MLN","Sort=A","Dates=H","DateFormat=P","Fill=—","Direction=H","UseDPDF=Y")</f>
        <v>0</v>
      </c>
      <c r="O154" s="13">
        <f>_xll.BDH("ALNY US Equity","ARDR_FV_LIABS_REC_L2_DERIVATIVES","FQ4 2021","FQ4 2021","Currency=USD","Period=FQ","BEST_FPERIOD_OVERRIDE=FQ","FILING_STATUS=MR","SCALING_FORMAT=MLN","Sort=A","Dates=H","DateFormat=P","Fill=—","Direction=H","UseDPDF=Y")</f>
        <v>0</v>
      </c>
      <c r="P154" s="13" t="str">
        <f>_xll.BDH("ALNY US Equity","ARDR_FV_LIABS_REC_L2_DERIVATIVES","FQ1 2022","FQ1 2022","Currency=USD","Period=FQ","BEST_FPERIOD_OVERRIDE=FQ","FILING_STATUS=MR","SCALING_FORMAT=MLN","Sort=A","Dates=H","DateFormat=P","Fill=—","Direction=H","UseDPDF=Y")</f>
        <v>—</v>
      </c>
      <c r="Q154" s="13">
        <f>_xll.BDH("ALNY US Equity","ARDR_FV_LIABS_REC_L2_DERIVATIVES","FQ2 2022","FQ2 2022","Currency=USD","Period=FQ","BEST_FPERIOD_OVERRIDE=FQ","FILING_STATUS=MR","SCALING_FORMAT=MLN","Sort=A","Dates=H","DateFormat=P","Fill=—","Direction=H","UseDPDF=Y")</f>
        <v>0</v>
      </c>
      <c r="R154" s="13">
        <f>_xll.BDH("ALNY US Equity","ARDR_FV_LIABS_REC_L2_DERIVATIVES","FQ3 2022","FQ3 2022","Currency=USD","Period=FQ","BEST_FPERIOD_OVERRIDE=FQ","FILING_STATUS=MR","SCALING_FORMAT=MLN","Sort=A","Dates=H","DateFormat=P","Fill=—","Direction=H","UseDPDF=Y")</f>
        <v>0</v>
      </c>
      <c r="S154" s="13">
        <f>_xll.BDH("ALNY US Equity","ARDR_FV_LIABS_REC_L2_DERIVATIVES","FQ4 2022","FQ4 2022","Currency=USD","Period=FQ","BEST_FPERIOD_OVERRIDE=FQ","FILING_STATUS=MR","SCALING_FORMAT=MLN","Sort=A","Dates=H","DateFormat=P","Fill=—","Direction=H","UseDPDF=Y")</f>
        <v>0</v>
      </c>
      <c r="T154" s="13" t="str">
        <f>_xll.BDH("ALNY US Equity","ARDR_FV_LIABS_REC_L2_DERIVATIVES","FQ1 2023","FQ1 2023","Currency=USD","Period=FQ","BEST_FPERIOD_OVERRIDE=FQ","FILING_STATUS=MR","SCALING_FORMAT=MLN","Sort=A","Dates=H","DateFormat=P","Fill=—","Direction=H","UseDPDF=Y")</f>
        <v>—</v>
      </c>
      <c r="U154" s="13">
        <f>_xll.BDH("ALNY US Equity","ARDR_FV_LIABS_REC_L2_DERIVATIVES","FQ2 2023","FQ2 2023","Currency=USD","Period=FQ","BEST_FPERIOD_OVERRIDE=FQ","FILING_STATUS=MR","SCALING_FORMAT=MLN","Sort=A","Dates=H","DateFormat=P","Fill=—","Direction=H","UseDPDF=Y")</f>
        <v>0</v>
      </c>
      <c r="V154" s="13">
        <f>_xll.BDH("ALNY US Equity","ARDR_FV_LIABS_REC_L2_DERIVATIVES","FQ3 2023","FQ3 2023","Currency=USD","Period=FQ","BEST_FPERIOD_OVERRIDE=FQ","FILING_STATUS=MR","SCALING_FORMAT=MLN","Sort=A","Dates=H","DateFormat=P","Fill=—","Direction=H","UseDPDF=Y")</f>
        <v>0</v>
      </c>
      <c r="W154" s="13">
        <f>_xll.BDH("ALNY US Equity","ARDR_FV_LIABS_REC_L2_DERIVATIVES","FQ4 2023","FQ4 2023","Currency=USD","Period=FQ","BEST_FPERIOD_OVERRIDE=FQ","FILING_STATUS=MR","SCALING_FORMAT=MLN","Sort=A","Dates=H","DateFormat=P","Fill=—","Direction=H","UseDPDF=Y")</f>
        <v>0</v>
      </c>
      <c r="X154" s="13">
        <f>_xll.BDH("ALNY US Equity","ARDR_FV_LIABS_REC_L2_DERIVATIVES","FQ1 2024","FQ1 2024","Currency=USD","Period=FQ","BEST_FPERIOD_OVERRIDE=FQ","FILING_STATUS=MR","SCALING_FORMAT=MLN","Sort=A","Dates=H","DateFormat=P","Fill=—","Direction=H","UseDPDF=Y")</f>
        <v>0</v>
      </c>
      <c r="Y154" s="13">
        <f>_xll.BDH("ALNY US Equity","ARDR_FV_LIABS_REC_L2_DERIVATIVES","FQ2 2024","FQ2 2024","Currency=USD","Period=FQ","BEST_FPERIOD_OVERRIDE=FQ","FILING_STATUS=MR","SCALING_FORMAT=MLN","Sort=A","Dates=H","DateFormat=P","Fill=—","Direction=H","UseDPDF=Y")</f>
        <v>0</v>
      </c>
      <c r="Z154" s="13">
        <f>_xll.BDH("ALNY US Equity","ARDR_FV_LIABS_REC_L2_DERIVATIVES","FQ3 2024","FQ3 2024","Currency=USD","Period=FQ","BEST_FPERIOD_OVERRIDE=FQ","FILING_STATUS=MR","SCALING_FORMAT=MLN","Sort=A","Dates=H","DateFormat=P","Fill=—","Direction=H","UseDPDF=Y")</f>
        <v>0</v>
      </c>
      <c r="AA154" s="13">
        <f>_xll.BDH("ALNY US Equity","ARDR_FV_LIABS_REC_L2_DERIVATIVES","FQ4 2024","FQ4 2024","Currency=USD","Period=FQ","BEST_FPERIOD_OVERRIDE=FQ","FILING_STATUS=MR","SCALING_FORMAT=MLN","Sort=A","Dates=H","DateFormat=P","Fill=—","Direction=H","UseDPDF=Y")</f>
        <v>0</v>
      </c>
    </row>
    <row r="155" spans="1:27" x14ac:dyDescent="0.25">
      <c r="A155" s="10" t="s">
        <v>1091</v>
      </c>
      <c r="B155" s="10" t="s">
        <v>1092</v>
      </c>
      <c r="C155" s="13" t="str">
        <f>_xll.BDH("ALNY US Equity","ARDR_FV_LIABS_REC_L3_DERIVATIVES","FQ4 2018","FQ4 2018","Currency=USD","Period=FQ","BEST_FPERIOD_OVERRIDE=FQ","FILING_STATUS=MR","SCALING_FORMAT=MLN","Sort=A","Dates=H","DateFormat=P","Fill=—","Direction=H","UseDPDF=Y")</f>
        <v>—</v>
      </c>
      <c r="D155" s="13" t="str">
        <f>_xll.BDH("ALNY US Equity","ARDR_FV_LIABS_REC_L3_DERIVATIVES","FQ1 2019","FQ1 2019","Currency=USD","Period=FQ","BEST_FPERIOD_OVERRIDE=FQ","FILING_STATUS=MR","SCALING_FORMAT=MLN","Sort=A","Dates=H","DateFormat=P","Fill=—","Direction=H","UseDPDF=Y")</f>
        <v>—</v>
      </c>
      <c r="E155" s="13" t="str">
        <f>_xll.BDH("ALNY US Equity","ARDR_FV_LIABS_REC_L3_DERIVATIVES","FQ2 2019","FQ2 2019","Currency=USD","Period=FQ","BEST_FPERIOD_OVERRIDE=FQ","FILING_STATUS=MR","SCALING_FORMAT=MLN","Sort=A","Dates=H","DateFormat=P","Fill=—","Direction=H","UseDPDF=Y")</f>
        <v>—</v>
      </c>
      <c r="F155" s="13" t="str">
        <f>_xll.BDH("ALNY US Equity","ARDR_FV_LIABS_REC_L3_DERIVATIVES","FQ3 2019","FQ3 2019","Currency=USD","Period=FQ","BEST_FPERIOD_OVERRIDE=FQ","FILING_STATUS=MR","SCALING_FORMAT=MLN","Sort=A","Dates=H","DateFormat=P","Fill=—","Direction=H","UseDPDF=Y")</f>
        <v>—</v>
      </c>
      <c r="G155" s="13" t="str">
        <f>_xll.BDH("ALNY US Equity","ARDR_FV_LIABS_REC_L3_DERIVATIVES","FQ4 2019","FQ4 2019","Currency=USD","Period=FQ","BEST_FPERIOD_OVERRIDE=FQ","FILING_STATUS=MR","SCALING_FORMAT=MLN","Sort=A","Dates=H","DateFormat=P","Fill=—","Direction=H","UseDPDF=Y")</f>
        <v>—</v>
      </c>
      <c r="H155" s="13" t="str">
        <f>_xll.BDH("ALNY US Equity","ARDR_FV_LIABS_REC_L3_DERIVATIVES","FQ1 2020","FQ1 2020","Currency=USD","Period=FQ","BEST_FPERIOD_OVERRIDE=FQ","FILING_STATUS=MR","SCALING_FORMAT=MLN","Sort=A","Dates=H","DateFormat=P","Fill=—","Direction=H","UseDPDF=Y")</f>
        <v>—</v>
      </c>
      <c r="I155" s="13" t="str">
        <f>_xll.BDH("ALNY US Equity","ARDR_FV_LIABS_REC_L3_DERIVATIVES","FQ2 2020","FQ2 2020","Currency=USD","Period=FQ","BEST_FPERIOD_OVERRIDE=FQ","FILING_STATUS=MR","SCALING_FORMAT=MLN","Sort=A","Dates=H","DateFormat=P","Fill=—","Direction=H","UseDPDF=Y")</f>
        <v>—</v>
      </c>
      <c r="J155" s="13">
        <f>_xll.BDH("ALNY US Equity","ARDR_FV_LIABS_REC_L3_DERIVATIVES","FQ3 2020","FQ3 2020","Currency=USD","Period=FQ","BEST_FPERIOD_OVERRIDE=FQ","FILING_STATUS=MR","SCALING_FORMAT=MLN","Sort=A","Dates=H","DateFormat=P","Fill=—","Direction=H","UseDPDF=Y")</f>
        <v>5.43</v>
      </c>
      <c r="K155" s="13">
        <f>_xll.BDH("ALNY US Equity","ARDR_FV_LIABS_REC_L3_DERIVATIVES","FQ4 2020","FQ4 2020","Currency=USD","Period=FQ","BEST_FPERIOD_OVERRIDE=FQ","FILING_STATUS=MR","SCALING_FORMAT=MLN","Sort=A","Dates=H","DateFormat=P","Fill=—","Direction=H","UseDPDF=Y")</f>
        <v>25.585000000000001</v>
      </c>
      <c r="L155" s="13">
        <f>_xll.BDH("ALNY US Equity","ARDR_FV_LIABS_REC_L3_DERIVATIVES","FQ1 2021","FQ1 2021","Currency=USD","Period=FQ","BEST_FPERIOD_OVERRIDE=FQ","FILING_STATUS=MR","SCALING_FORMAT=MLN","Sort=A","Dates=H","DateFormat=P","Fill=—","Direction=H","UseDPDF=Y")</f>
        <v>48.037999999999997</v>
      </c>
      <c r="M155" s="13">
        <f>_xll.BDH("ALNY US Equity","ARDR_FV_LIABS_REC_L3_DERIVATIVES","FQ2 2021","FQ2 2021","Currency=USD","Period=FQ","BEST_FPERIOD_OVERRIDE=FQ","FILING_STATUS=MR","SCALING_FORMAT=MLN","Sort=A","Dates=H","DateFormat=P","Fill=—","Direction=H","UseDPDF=Y")</f>
        <v>56.828000000000003</v>
      </c>
      <c r="N155" s="13">
        <f>_xll.BDH("ALNY US Equity","ARDR_FV_LIABS_REC_L3_DERIVATIVES","FQ3 2021","FQ3 2021","Currency=USD","Period=FQ","BEST_FPERIOD_OVERRIDE=FQ","FILING_STATUS=MR","SCALING_FORMAT=MLN","Sort=A","Dates=H","DateFormat=P","Fill=—","Direction=H","UseDPDF=Y")</f>
        <v>61.34</v>
      </c>
      <c r="O155" s="13">
        <f>_xll.BDH("ALNY US Equity","ARDR_FV_LIABS_REC_L3_DERIVATIVES","FQ4 2021","FQ4 2021","Currency=USD","Period=FQ","BEST_FPERIOD_OVERRIDE=FQ","FILING_STATUS=MR","SCALING_FORMAT=MLN","Sort=A","Dates=H","DateFormat=P","Fill=—","Direction=H","UseDPDF=Y")</f>
        <v>83.617999999999995</v>
      </c>
      <c r="P155" s="13">
        <f>_xll.BDH("ALNY US Equity","ARDR_FV_LIABS_REC_L3_DERIVATIVES","FQ1 2022","FQ1 2022","Currency=USD","Period=FQ","BEST_FPERIOD_OVERRIDE=FQ","FILING_STATUS=MR","SCALING_FORMAT=MLN","Sort=A","Dates=H","DateFormat=P","Fill=—","Direction=H","UseDPDF=Y")</f>
        <v>105.233</v>
      </c>
      <c r="Q155" s="13">
        <f>_xll.BDH("ALNY US Equity","ARDR_FV_LIABS_REC_L3_DERIVATIVES","FQ2 2022","FQ2 2022","Currency=USD","Period=FQ","BEST_FPERIOD_OVERRIDE=FQ","FILING_STATUS=MR","SCALING_FORMAT=MLN","Sort=A","Dates=H","DateFormat=P","Fill=—","Direction=H","UseDPDF=Y")</f>
        <v>144.977</v>
      </c>
      <c r="R155" s="13">
        <f>_xll.BDH("ALNY US Equity","ARDR_FV_LIABS_REC_L3_DERIVATIVES","FQ3 2022","FQ3 2022","Currency=USD","Period=FQ","BEST_FPERIOD_OVERRIDE=FQ","FILING_STATUS=MR","SCALING_FORMAT=MLN","Sort=A","Dates=H","DateFormat=P","Fill=—","Direction=H","UseDPDF=Y")</f>
        <v>177.89400000000001</v>
      </c>
      <c r="S155" s="13">
        <f>_xll.BDH("ALNY US Equity","ARDR_FV_LIABS_REC_L3_DERIVATIVES","FQ4 2022","FQ4 2022","Currency=USD","Period=FQ","BEST_FPERIOD_OVERRIDE=FQ","FILING_STATUS=MR","SCALING_FORMAT=MLN","Sort=A","Dates=H","DateFormat=P","Fill=—","Direction=H","UseDPDF=Y")</f>
        <v>0</v>
      </c>
      <c r="T155" s="13">
        <f>_xll.BDH("ALNY US Equity","ARDR_FV_LIABS_REC_L3_DERIVATIVES","FQ1 2023","FQ1 2023","Currency=USD","Period=FQ","BEST_FPERIOD_OVERRIDE=FQ","FILING_STATUS=MR","SCALING_FORMAT=MLN","Sort=A","Dates=H","DateFormat=P","Fill=—","Direction=H","UseDPDF=Y")</f>
        <v>219.74799999999999</v>
      </c>
      <c r="U155" s="13">
        <f>_xll.BDH("ALNY US Equity","ARDR_FV_LIABS_REC_L3_DERIVATIVES","FQ2 2023","FQ2 2023","Currency=USD","Period=FQ","BEST_FPERIOD_OVERRIDE=FQ","FILING_STATUS=MR","SCALING_FORMAT=MLN","Sort=A","Dates=H","DateFormat=P","Fill=—","Direction=H","UseDPDF=Y")</f>
        <v>253.96299999999999</v>
      </c>
      <c r="V155" s="13">
        <f>_xll.BDH("ALNY US Equity","ARDR_FV_LIABS_REC_L3_DERIVATIVES","FQ3 2023","FQ3 2023","Currency=USD","Period=FQ","BEST_FPERIOD_OVERRIDE=FQ","FILING_STATUS=MR","SCALING_FORMAT=MLN","Sort=A","Dates=H","DateFormat=P","Fill=—","Direction=H","UseDPDF=Y")</f>
        <v>293.505</v>
      </c>
      <c r="W155" s="13">
        <f>_xll.BDH("ALNY US Equity","ARDR_FV_LIABS_REC_L3_DERIVATIVES","FQ4 2023","FQ4 2023","Currency=USD","Period=FQ","BEST_FPERIOD_OVERRIDE=FQ","FILING_STATUS=MR","SCALING_FORMAT=MLN","Sort=A","Dates=H","DateFormat=P","Fill=—","Direction=H","UseDPDF=Y")</f>
        <v>324.94099999999997</v>
      </c>
      <c r="X155" s="13">
        <f>_xll.BDH("ALNY US Equity","ARDR_FV_LIABS_REC_L3_DERIVATIVES","FQ1 2024","FQ1 2024","Currency=USD","Period=FQ","BEST_FPERIOD_OVERRIDE=FQ","FILING_STATUS=MR","SCALING_FORMAT=MLN","Sort=A","Dates=H","DateFormat=P","Fill=—","Direction=H","UseDPDF=Y")</f>
        <v>336.57900000000001</v>
      </c>
      <c r="Y155" s="13">
        <f>_xll.BDH("ALNY US Equity","ARDR_FV_LIABS_REC_L3_DERIVATIVES","FQ2 2024","FQ2 2024","Currency=USD","Period=FQ","BEST_FPERIOD_OVERRIDE=FQ","FILING_STATUS=MR","SCALING_FORMAT=MLN","Sort=A","Dates=H","DateFormat=P","Fill=—","Direction=H","UseDPDF=Y")</f>
        <v>390.93900000000002</v>
      </c>
      <c r="Z155" s="13">
        <f>_xll.BDH("ALNY US Equity","ARDR_FV_LIABS_REC_L3_DERIVATIVES","FQ3 2024","FQ3 2024","Currency=USD","Period=FQ","BEST_FPERIOD_OVERRIDE=FQ","FILING_STATUS=MR","SCALING_FORMAT=MLN","Sort=A","Dates=H","DateFormat=P","Fill=—","Direction=H","UseDPDF=Y")</f>
        <v>421.92899999999997</v>
      </c>
      <c r="AA155" s="13">
        <f>_xll.BDH("ALNY US Equity","ARDR_FV_LIABS_REC_L3_DERIVATIVES","FQ4 2024","FQ4 2024","Currency=USD","Period=FQ","BEST_FPERIOD_OVERRIDE=FQ","FILING_STATUS=MR","SCALING_FORMAT=MLN","Sort=A","Dates=H","DateFormat=P","Fill=—","Direction=H","UseDPDF=Y")</f>
        <v>486.91899999999998</v>
      </c>
    </row>
    <row r="156" spans="1:27" x14ac:dyDescent="0.25">
      <c r="A156" s="10" t="s">
        <v>1093</v>
      </c>
      <c r="B156" s="10" t="s">
        <v>1094</v>
      </c>
      <c r="C156" s="13" t="str">
        <f>_xll.BDH("ALNY US Equity","ARDR_FV_LIABS_REC_TOT_DERV","FQ4 2018","FQ4 2018","Currency=USD","Period=FQ","BEST_FPERIOD_OVERRIDE=FQ","FILING_STATUS=MR","SCALING_FORMAT=MLN","Sort=A","Dates=H","DateFormat=P","Fill=—","Direction=H","UseDPDF=Y")</f>
        <v>—</v>
      </c>
      <c r="D156" s="13" t="str">
        <f>_xll.BDH("ALNY US Equity","ARDR_FV_LIABS_REC_TOT_DERV","FQ1 2019","FQ1 2019","Currency=USD","Period=FQ","BEST_FPERIOD_OVERRIDE=FQ","FILING_STATUS=MR","SCALING_FORMAT=MLN","Sort=A","Dates=H","DateFormat=P","Fill=—","Direction=H","UseDPDF=Y")</f>
        <v>—</v>
      </c>
      <c r="E156" s="13" t="str">
        <f>_xll.BDH("ALNY US Equity","ARDR_FV_LIABS_REC_TOT_DERV","FQ2 2019","FQ2 2019","Currency=USD","Period=FQ","BEST_FPERIOD_OVERRIDE=FQ","FILING_STATUS=MR","SCALING_FORMAT=MLN","Sort=A","Dates=H","DateFormat=P","Fill=—","Direction=H","UseDPDF=Y")</f>
        <v>—</v>
      </c>
      <c r="F156" s="13" t="str">
        <f>_xll.BDH("ALNY US Equity","ARDR_FV_LIABS_REC_TOT_DERV","FQ3 2019","FQ3 2019","Currency=USD","Period=FQ","BEST_FPERIOD_OVERRIDE=FQ","FILING_STATUS=MR","SCALING_FORMAT=MLN","Sort=A","Dates=H","DateFormat=P","Fill=—","Direction=H","UseDPDF=Y")</f>
        <v>—</v>
      </c>
      <c r="G156" s="13" t="str">
        <f>_xll.BDH("ALNY US Equity","ARDR_FV_LIABS_REC_TOT_DERV","FQ4 2019","FQ4 2019","Currency=USD","Period=FQ","BEST_FPERIOD_OVERRIDE=FQ","FILING_STATUS=MR","SCALING_FORMAT=MLN","Sort=A","Dates=H","DateFormat=P","Fill=—","Direction=H","UseDPDF=Y")</f>
        <v>—</v>
      </c>
      <c r="H156" s="13" t="str">
        <f>_xll.BDH("ALNY US Equity","ARDR_FV_LIABS_REC_TOT_DERV","FQ1 2020","FQ1 2020","Currency=USD","Period=FQ","BEST_FPERIOD_OVERRIDE=FQ","FILING_STATUS=MR","SCALING_FORMAT=MLN","Sort=A","Dates=H","DateFormat=P","Fill=—","Direction=H","UseDPDF=Y")</f>
        <v>—</v>
      </c>
      <c r="I156" s="13" t="str">
        <f>_xll.BDH("ALNY US Equity","ARDR_FV_LIABS_REC_TOT_DERV","FQ2 2020","FQ2 2020","Currency=USD","Period=FQ","BEST_FPERIOD_OVERRIDE=FQ","FILING_STATUS=MR","SCALING_FORMAT=MLN","Sort=A","Dates=H","DateFormat=P","Fill=—","Direction=H","UseDPDF=Y")</f>
        <v>—</v>
      </c>
      <c r="J156" s="13">
        <f>_xll.BDH("ALNY US Equity","ARDR_FV_LIABS_REC_TOT_DERV","FQ3 2020","FQ3 2020","Currency=USD","Period=FQ","BEST_FPERIOD_OVERRIDE=FQ","FILING_STATUS=MR","SCALING_FORMAT=MLN","Sort=A","Dates=H","DateFormat=P","Fill=—","Direction=H","UseDPDF=Y")</f>
        <v>5.43</v>
      </c>
      <c r="K156" s="13">
        <f>_xll.BDH("ALNY US Equity","ARDR_FV_LIABS_REC_TOT_DERV","FQ4 2020","FQ4 2020","Currency=USD","Period=FQ","BEST_FPERIOD_OVERRIDE=FQ","FILING_STATUS=MR","SCALING_FORMAT=MLN","Sort=A","Dates=H","DateFormat=P","Fill=—","Direction=H","UseDPDF=Y")</f>
        <v>25.585000000000001</v>
      </c>
      <c r="L156" s="13">
        <f>_xll.BDH("ALNY US Equity","ARDR_FV_LIABS_REC_TOT_DERV","FQ1 2021","FQ1 2021","Currency=USD","Period=FQ","BEST_FPERIOD_OVERRIDE=FQ","FILING_STATUS=MR","SCALING_FORMAT=MLN","Sort=A","Dates=H","DateFormat=P","Fill=—","Direction=H","UseDPDF=Y")</f>
        <v>48.037999999999997</v>
      </c>
      <c r="M156" s="13">
        <f>_xll.BDH("ALNY US Equity","ARDR_FV_LIABS_REC_TOT_DERV","FQ2 2021","FQ2 2021","Currency=USD","Period=FQ","BEST_FPERIOD_OVERRIDE=FQ","FILING_STATUS=MR","SCALING_FORMAT=MLN","Sort=A","Dates=H","DateFormat=P","Fill=—","Direction=H","UseDPDF=Y")</f>
        <v>56.828000000000003</v>
      </c>
      <c r="N156" s="13">
        <f>_xll.BDH("ALNY US Equity","ARDR_FV_LIABS_REC_TOT_DERV","FQ3 2021","FQ3 2021","Currency=USD","Period=FQ","BEST_FPERIOD_OVERRIDE=FQ","FILING_STATUS=MR","SCALING_FORMAT=MLN","Sort=A","Dates=H","DateFormat=P","Fill=—","Direction=H","UseDPDF=Y")</f>
        <v>61.34</v>
      </c>
      <c r="O156" s="13">
        <f>_xll.BDH("ALNY US Equity","ARDR_FV_LIABS_REC_TOT_DERV","FQ4 2021","FQ4 2021","Currency=USD","Period=FQ","BEST_FPERIOD_OVERRIDE=FQ","FILING_STATUS=MR","SCALING_FORMAT=MLN","Sort=A","Dates=H","DateFormat=P","Fill=—","Direction=H","UseDPDF=Y")</f>
        <v>83.617999999999995</v>
      </c>
      <c r="P156" s="13">
        <f>_xll.BDH("ALNY US Equity","ARDR_FV_LIABS_REC_TOT_DERV","FQ1 2022","FQ1 2022","Currency=USD","Period=FQ","BEST_FPERIOD_OVERRIDE=FQ","FILING_STATUS=MR","SCALING_FORMAT=MLN","Sort=A","Dates=H","DateFormat=P","Fill=—","Direction=H","UseDPDF=Y")</f>
        <v>105.233</v>
      </c>
      <c r="Q156" s="13">
        <f>_xll.BDH("ALNY US Equity","ARDR_FV_LIABS_REC_TOT_DERV","FQ2 2022","FQ2 2022","Currency=USD","Period=FQ","BEST_FPERIOD_OVERRIDE=FQ","FILING_STATUS=MR","SCALING_FORMAT=MLN","Sort=A","Dates=H","DateFormat=P","Fill=—","Direction=H","UseDPDF=Y")</f>
        <v>144.977</v>
      </c>
      <c r="R156" s="13">
        <f>_xll.BDH("ALNY US Equity","ARDR_FV_LIABS_REC_TOT_DERV","FQ3 2022","FQ3 2022","Currency=USD","Period=FQ","BEST_FPERIOD_OVERRIDE=FQ","FILING_STATUS=MR","SCALING_FORMAT=MLN","Sort=A","Dates=H","DateFormat=P","Fill=—","Direction=H","UseDPDF=Y")</f>
        <v>177.89400000000001</v>
      </c>
      <c r="S156" s="13">
        <f>_xll.BDH("ALNY US Equity","ARDR_FV_LIABS_REC_TOT_DERV","FQ4 2022","FQ4 2022","Currency=USD","Period=FQ","BEST_FPERIOD_OVERRIDE=FQ","FILING_STATUS=MR","SCALING_FORMAT=MLN","Sort=A","Dates=H","DateFormat=P","Fill=—","Direction=H","UseDPDF=Y")</f>
        <v>209.27699999999999</v>
      </c>
      <c r="T156" s="13">
        <f>_xll.BDH("ALNY US Equity","ARDR_FV_LIABS_REC_TOT_DERV","FQ1 2023","FQ1 2023","Currency=USD","Period=FQ","BEST_FPERIOD_OVERRIDE=FQ","FILING_STATUS=MR","SCALING_FORMAT=MLN","Sort=A","Dates=H","DateFormat=P","Fill=—","Direction=H","UseDPDF=Y")</f>
        <v>219.74799999999999</v>
      </c>
      <c r="U156" s="13">
        <f>_xll.BDH("ALNY US Equity","ARDR_FV_LIABS_REC_TOT_DERV","FQ2 2023","FQ2 2023","Currency=USD","Period=FQ","BEST_FPERIOD_OVERRIDE=FQ","FILING_STATUS=MR","SCALING_FORMAT=MLN","Sort=A","Dates=H","DateFormat=P","Fill=—","Direction=H","UseDPDF=Y")</f>
        <v>253.96299999999999</v>
      </c>
      <c r="V156" s="13">
        <f>_xll.BDH("ALNY US Equity","ARDR_FV_LIABS_REC_TOT_DERV","FQ3 2023","FQ3 2023","Currency=USD","Period=FQ","BEST_FPERIOD_OVERRIDE=FQ","FILING_STATUS=MR","SCALING_FORMAT=MLN","Sort=A","Dates=H","DateFormat=P","Fill=—","Direction=H","UseDPDF=Y")</f>
        <v>293.505</v>
      </c>
      <c r="W156" s="13">
        <f>_xll.BDH("ALNY US Equity","ARDR_FV_LIABS_REC_TOT_DERV","FQ4 2023","FQ4 2023","Currency=USD","Period=FQ","BEST_FPERIOD_OVERRIDE=FQ","FILING_STATUS=MR","SCALING_FORMAT=MLN","Sort=A","Dates=H","DateFormat=P","Fill=—","Direction=H","UseDPDF=Y")</f>
        <v>324.94099999999997</v>
      </c>
      <c r="X156" s="13">
        <f>_xll.BDH("ALNY US Equity","ARDR_FV_LIABS_REC_TOT_DERV","FQ1 2024","FQ1 2024","Currency=USD","Period=FQ","BEST_FPERIOD_OVERRIDE=FQ","FILING_STATUS=MR","SCALING_FORMAT=MLN","Sort=A","Dates=H","DateFormat=P","Fill=—","Direction=H","UseDPDF=Y")</f>
        <v>336.57900000000001</v>
      </c>
      <c r="Y156" s="13">
        <f>_xll.BDH("ALNY US Equity","ARDR_FV_LIABS_REC_TOT_DERV","FQ2 2024","FQ2 2024","Currency=USD","Period=FQ","BEST_FPERIOD_OVERRIDE=FQ","FILING_STATUS=MR","SCALING_FORMAT=MLN","Sort=A","Dates=H","DateFormat=P","Fill=—","Direction=H","UseDPDF=Y")</f>
        <v>390.93900000000002</v>
      </c>
      <c r="Z156" s="13">
        <f>_xll.BDH("ALNY US Equity","ARDR_FV_LIABS_REC_TOT_DERV","FQ3 2024","FQ3 2024","Currency=USD","Period=FQ","BEST_FPERIOD_OVERRIDE=FQ","FILING_STATUS=MR","SCALING_FORMAT=MLN","Sort=A","Dates=H","DateFormat=P","Fill=—","Direction=H","UseDPDF=Y")</f>
        <v>421.92899999999997</v>
      </c>
      <c r="AA156" s="13">
        <f>_xll.BDH("ALNY US Equity","ARDR_FV_LIABS_REC_TOT_DERV","FQ4 2024","FQ4 2024","Currency=USD","Period=FQ","BEST_FPERIOD_OVERRIDE=FQ","FILING_STATUS=MR","SCALING_FORMAT=MLN","Sort=A","Dates=H","DateFormat=P","Fill=—","Direction=H","UseDPDF=Y")</f>
        <v>486.91899999999998</v>
      </c>
    </row>
    <row r="157" spans="1:27" x14ac:dyDescent="0.25">
      <c r="A157" s="10" t="s">
        <v>1095</v>
      </c>
      <c r="B157" s="10" t="s">
        <v>1096</v>
      </c>
      <c r="C157" s="13" t="str">
        <f>_xll.BDH("ALNY US Equity","ARDR_TRADING_TREAS","FQ4 2018","FQ4 2018","Currency=USD","Period=FQ","BEST_FPERIOD_OVERRIDE=FQ","FILING_STATUS=MR","SCALING_FORMAT=MLN","Sort=A","Dates=H","DateFormat=P","Fill=—","Direction=H","UseDPDF=Y")</f>
        <v>—</v>
      </c>
      <c r="D157" s="13" t="str">
        <f>_xll.BDH("ALNY US Equity","ARDR_TRADING_TREAS","FQ1 2019","FQ1 2019","Currency=USD","Period=FQ","BEST_FPERIOD_OVERRIDE=FQ","FILING_STATUS=MR","SCALING_FORMAT=MLN","Sort=A","Dates=H","DateFormat=P","Fill=—","Direction=H","UseDPDF=Y")</f>
        <v>—</v>
      </c>
      <c r="E157" s="13" t="str">
        <f>_xll.BDH("ALNY US Equity","ARDR_TRADING_TREAS","FQ2 2019","FQ2 2019","Currency=USD","Period=FQ","BEST_FPERIOD_OVERRIDE=FQ","FILING_STATUS=MR","SCALING_FORMAT=MLN","Sort=A","Dates=H","DateFormat=P","Fill=—","Direction=H","UseDPDF=Y")</f>
        <v>—</v>
      </c>
      <c r="F157" s="13" t="str">
        <f>_xll.BDH("ALNY US Equity","ARDR_TRADING_TREAS","FQ3 2019","FQ3 2019","Currency=USD","Period=FQ","BEST_FPERIOD_OVERRIDE=FQ","FILING_STATUS=MR","SCALING_FORMAT=MLN","Sort=A","Dates=H","DateFormat=P","Fill=—","Direction=H","UseDPDF=Y")</f>
        <v>—</v>
      </c>
      <c r="G157" s="13" t="str">
        <f>_xll.BDH("ALNY US Equity","ARDR_TRADING_TREAS","FQ4 2019","FQ4 2019","Currency=USD","Period=FQ","BEST_FPERIOD_OVERRIDE=FQ","FILING_STATUS=MR","SCALING_FORMAT=MLN","Sort=A","Dates=H","DateFormat=P","Fill=—","Direction=H","UseDPDF=Y")</f>
        <v>—</v>
      </c>
      <c r="H157" s="13" t="str">
        <f>_xll.BDH("ALNY US Equity","ARDR_TRADING_TREAS","FQ1 2020","FQ1 2020","Currency=USD","Period=FQ","BEST_FPERIOD_OVERRIDE=FQ","FILING_STATUS=MR","SCALING_FORMAT=MLN","Sort=A","Dates=H","DateFormat=P","Fill=—","Direction=H","UseDPDF=Y")</f>
        <v>—</v>
      </c>
      <c r="I157" s="13" t="str">
        <f>_xll.BDH("ALNY US Equity","ARDR_TRADING_TREAS","FQ2 2020","FQ2 2020","Currency=USD","Period=FQ","BEST_FPERIOD_OVERRIDE=FQ","FILING_STATUS=MR","SCALING_FORMAT=MLN","Sort=A","Dates=H","DateFormat=P","Fill=—","Direction=H","UseDPDF=Y")</f>
        <v>—</v>
      </c>
      <c r="J157" s="13" t="str">
        <f>_xll.BDH("ALNY US Equity","ARDR_TRADING_TREAS","FQ3 2020","FQ3 2020","Currency=USD","Period=FQ","BEST_FPERIOD_OVERRIDE=FQ","FILING_STATUS=MR","SCALING_FORMAT=MLN","Sort=A","Dates=H","DateFormat=P","Fill=—","Direction=H","UseDPDF=Y")</f>
        <v>—</v>
      </c>
      <c r="K157" s="13" t="str">
        <f>_xll.BDH("ALNY US Equity","ARDR_TRADING_TREAS","FQ4 2020","FQ4 2020","Currency=USD","Period=FQ","BEST_FPERIOD_OVERRIDE=FQ","FILING_STATUS=MR","SCALING_FORMAT=MLN","Sort=A","Dates=H","DateFormat=P","Fill=—","Direction=H","UseDPDF=Y")</f>
        <v>—</v>
      </c>
      <c r="L157" s="13" t="str">
        <f>_xll.BDH("ALNY US Equity","ARDR_TRADING_TREAS","FQ1 2021","FQ1 2021","Currency=USD","Period=FQ","BEST_FPERIOD_OVERRIDE=FQ","FILING_STATUS=MR","SCALING_FORMAT=MLN","Sort=A","Dates=H","DateFormat=P","Fill=—","Direction=H","UseDPDF=Y")</f>
        <v>—</v>
      </c>
      <c r="M157" s="13" t="str">
        <f>_xll.BDH("ALNY US Equity","ARDR_TRADING_TREAS","FQ2 2021","FQ2 2021","Currency=USD","Period=FQ","BEST_FPERIOD_OVERRIDE=FQ","FILING_STATUS=MR","SCALING_FORMAT=MLN","Sort=A","Dates=H","DateFormat=P","Fill=—","Direction=H","UseDPDF=Y")</f>
        <v>—</v>
      </c>
      <c r="N157" s="13" t="str">
        <f>_xll.BDH("ALNY US Equity","ARDR_TRADING_TREAS","FQ3 2021","FQ3 2021","Currency=USD","Period=FQ","BEST_FPERIOD_OVERRIDE=FQ","FILING_STATUS=MR","SCALING_FORMAT=MLN","Sort=A","Dates=H","DateFormat=P","Fill=—","Direction=H","UseDPDF=Y")</f>
        <v>—</v>
      </c>
      <c r="O157" s="13" t="str">
        <f>_xll.BDH("ALNY US Equity","ARDR_TRADING_TREAS","FQ4 2021","FQ4 2021","Currency=USD","Period=FQ","BEST_FPERIOD_OVERRIDE=FQ","FILING_STATUS=MR","SCALING_FORMAT=MLN","Sort=A","Dates=H","DateFormat=P","Fill=—","Direction=H","UseDPDF=Y")</f>
        <v>—</v>
      </c>
      <c r="P157" s="13" t="str">
        <f>_xll.BDH("ALNY US Equity","ARDR_TRADING_TREAS","FQ1 2022","FQ1 2022","Currency=USD","Period=FQ","BEST_FPERIOD_OVERRIDE=FQ","FILING_STATUS=MR","SCALING_FORMAT=MLN","Sort=A","Dates=H","DateFormat=P","Fill=—","Direction=H","UseDPDF=Y")</f>
        <v>—</v>
      </c>
      <c r="Q157" s="13" t="str">
        <f>_xll.BDH("ALNY US Equity","ARDR_TRADING_TREAS","FQ2 2022","FQ2 2022","Currency=USD","Period=FQ","BEST_FPERIOD_OVERRIDE=FQ","FILING_STATUS=MR","SCALING_FORMAT=MLN","Sort=A","Dates=H","DateFormat=P","Fill=—","Direction=H","UseDPDF=Y")</f>
        <v>—</v>
      </c>
      <c r="R157" s="13" t="str">
        <f>_xll.BDH("ALNY US Equity","ARDR_TRADING_TREAS","FQ3 2022","FQ3 2022","Currency=USD","Period=FQ","BEST_FPERIOD_OVERRIDE=FQ","FILING_STATUS=MR","SCALING_FORMAT=MLN","Sort=A","Dates=H","DateFormat=P","Fill=—","Direction=H","UseDPDF=Y")</f>
        <v>—</v>
      </c>
      <c r="S157" s="13">
        <f>_xll.BDH("ALNY US Equity","ARDR_TRADING_TREAS","FQ4 2022","FQ4 2022","Currency=USD","Period=FQ","BEST_FPERIOD_OVERRIDE=FQ","FILING_STATUS=MR","SCALING_FORMAT=MLN","Sort=A","Dates=H","DateFormat=P","Fill=—","Direction=H","UseDPDF=Y")</f>
        <v>59.143000000000001</v>
      </c>
      <c r="T157" s="13" t="str">
        <f>_xll.BDH("ALNY US Equity","ARDR_TRADING_TREAS","FQ1 2023","FQ1 2023","Currency=USD","Period=FQ","BEST_FPERIOD_OVERRIDE=FQ","FILING_STATUS=MR","SCALING_FORMAT=MLN","Sort=A","Dates=H","DateFormat=P","Fill=—","Direction=H","UseDPDF=Y")</f>
        <v>—</v>
      </c>
      <c r="U157" s="13" t="str">
        <f>_xll.BDH("ALNY US Equity","ARDR_TRADING_TREAS","FQ2 2023","FQ2 2023","Currency=USD","Period=FQ","BEST_FPERIOD_OVERRIDE=FQ","FILING_STATUS=MR","SCALING_FORMAT=MLN","Sort=A","Dates=H","DateFormat=P","Fill=—","Direction=H","UseDPDF=Y")</f>
        <v>—</v>
      </c>
      <c r="V157" s="13" t="str">
        <f>_xll.BDH("ALNY US Equity","ARDR_TRADING_TREAS","FQ3 2023","FQ3 2023","Currency=USD","Period=FQ","BEST_FPERIOD_OVERRIDE=FQ","FILING_STATUS=MR","SCALING_FORMAT=MLN","Sort=A","Dates=H","DateFormat=P","Fill=—","Direction=H","UseDPDF=Y")</f>
        <v>—</v>
      </c>
      <c r="W157" s="13">
        <f>_xll.BDH("ALNY US Equity","ARDR_TRADING_TREAS","FQ4 2023","FQ4 2023","Currency=USD","Period=FQ","BEST_FPERIOD_OVERRIDE=FQ","FILING_STATUS=MR","SCALING_FORMAT=MLN","Sort=A","Dates=H","DateFormat=P","Fill=—","Direction=H","UseDPDF=Y")</f>
        <v>58.901000000000003</v>
      </c>
      <c r="X157" s="13" t="str">
        <f>_xll.BDH("ALNY US Equity","ARDR_TRADING_TREAS","FQ1 2024","FQ1 2024","Currency=USD","Period=FQ","BEST_FPERIOD_OVERRIDE=FQ","FILING_STATUS=MR","SCALING_FORMAT=MLN","Sort=A","Dates=H","DateFormat=P","Fill=—","Direction=H","UseDPDF=Y")</f>
        <v>—</v>
      </c>
      <c r="Y157" s="13" t="str">
        <f>_xll.BDH("ALNY US Equity","ARDR_TRADING_TREAS","FQ2 2024","FQ2 2024","Currency=USD","Period=FQ","BEST_FPERIOD_OVERRIDE=FQ","FILING_STATUS=MR","SCALING_FORMAT=MLN","Sort=A","Dates=H","DateFormat=P","Fill=—","Direction=H","UseDPDF=Y")</f>
        <v>—</v>
      </c>
      <c r="Z157" s="13" t="str">
        <f>_xll.BDH("ALNY US Equity","ARDR_TRADING_TREAS","FQ3 2024","FQ3 2024","Currency=USD","Period=FQ","BEST_FPERIOD_OVERRIDE=FQ","FILING_STATUS=MR","SCALING_FORMAT=MLN","Sort=A","Dates=H","DateFormat=P","Fill=—","Direction=H","UseDPDF=Y")</f>
        <v>—</v>
      </c>
      <c r="AA157" s="13">
        <f>_xll.BDH("ALNY US Equity","ARDR_TRADING_TREAS","FQ4 2024","FQ4 2024","Currency=USD","Period=FQ","BEST_FPERIOD_OVERRIDE=FQ","FILING_STATUS=MR","SCALING_FORMAT=MLN","Sort=A","Dates=H","DateFormat=P","Fill=—","Direction=H","UseDPDF=Y")</f>
        <v>58.116999999999997</v>
      </c>
    </row>
    <row r="158" spans="1:27" x14ac:dyDescent="0.25">
      <c r="A158" s="10" t="s">
        <v>1097</v>
      </c>
      <c r="B158" s="10" t="s">
        <v>1098</v>
      </c>
      <c r="C158" s="13" t="str">
        <f>_xll.BDH("ALNY US Equity","ARDR_TRADING_TREAS_GAIN_LOSS","FQ4 2018","FQ4 2018","Currency=USD","Period=FQ","BEST_FPERIOD_OVERRIDE=FQ","FILING_STATUS=MR","SCALING_FORMAT=MLN","Sort=A","Dates=H","DateFormat=P","Fill=—","Direction=H","UseDPDF=Y")</f>
        <v>—</v>
      </c>
      <c r="D158" s="13" t="str">
        <f>_xll.BDH("ALNY US Equity","ARDR_TRADING_TREAS_GAIN_LOSS","FQ1 2019","FQ1 2019","Currency=USD","Period=FQ","BEST_FPERIOD_OVERRIDE=FQ","FILING_STATUS=MR","SCALING_FORMAT=MLN","Sort=A","Dates=H","DateFormat=P","Fill=—","Direction=H","UseDPDF=Y")</f>
        <v>—</v>
      </c>
      <c r="E158" s="13" t="str">
        <f>_xll.BDH("ALNY US Equity","ARDR_TRADING_TREAS_GAIN_LOSS","FQ2 2019","FQ2 2019","Currency=USD","Period=FQ","BEST_FPERIOD_OVERRIDE=FQ","FILING_STATUS=MR","SCALING_FORMAT=MLN","Sort=A","Dates=H","DateFormat=P","Fill=—","Direction=H","UseDPDF=Y")</f>
        <v>—</v>
      </c>
      <c r="F158" s="13" t="str">
        <f>_xll.BDH("ALNY US Equity","ARDR_TRADING_TREAS_GAIN_LOSS","FQ3 2019","FQ3 2019","Currency=USD","Period=FQ","BEST_FPERIOD_OVERRIDE=FQ","FILING_STATUS=MR","SCALING_FORMAT=MLN","Sort=A","Dates=H","DateFormat=P","Fill=—","Direction=H","UseDPDF=Y")</f>
        <v>—</v>
      </c>
      <c r="G158" s="13" t="str">
        <f>_xll.BDH("ALNY US Equity","ARDR_TRADING_TREAS_GAIN_LOSS","FQ4 2019","FQ4 2019","Currency=USD","Period=FQ","BEST_FPERIOD_OVERRIDE=FQ","FILING_STATUS=MR","SCALING_FORMAT=MLN","Sort=A","Dates=H","DateFormat=P","Fill=—","Direction=H","UseDPDF=Y")</f>
        <v>—</v>
      </c>
      <c r="H158" s="13" t="str">
        <f>_xll.BDH("ALNY US Equity","ARDR_TRADING_TREAS_GAIN_LOSS","FQ1 2020","FQ1 2020","Currency=USD","Period=FQ","BEST_FPERIOD_OVERRIDE=FQ","FILING_STATUS=MR","SCALING_FORMAT=MLN","Sort=A","Dates=H","DateFormat=P","Fill=—","Direction=H","UseDPDF=Y")</f>
        <v>—</v>
      </c>
      <c r="I158" s="13" t="str">
        <f>_xll.BDH("ALNY US Equity","ARDR_TRADING_TREAS_GAIN_LOSS","FQ2 2020","FQ2 2020","Currency=USD","Period=FQ","BEST_FPERIOD_OVERRIDE=FQ","FILING_STATUS=MR","SCALING_FORMAT=MLN","Sort=A","Dates=H","DateFormat=P","Fill=—","Direction=H","UseDPDF=Y")</f>
        <v>—</v>
      </c>
      <c r="J158" s="13" t="str">
        <f>_xll.BDH("ALNY US Equity","ARDR_TRADING_TREAS_GAIN_LOSS","FQ3 2020","FQ3 2020","Currency=USD","Period=FQ","BEST_FPERIOD_OVERRIDE=FQ","FILING_STATUS=MR","SCALING_FORMAT=MLN","Sort=A","Dates=H","DateFormat=P","Fill=—","Direction=H","UseDPDF=Y")</f>
        <v>—</v>
      </c>
      <c r="K158" s="13" t="str">
        <f>_xll.BDH("ALNY US Equity","ARDR_TRADING_TREAS_GAIN_LOSS","FQ4 2020","FQ4 2020","Currency=USD","Period=FQ","BEST_FPERIOD_OVERRIDE=FQ","FILING_STATUS=MR","SCALING_FORMAT=MLN","Sort=A","Dates=H","DateFormat=P","Fill=—","Direction=H","UseDPDF=Y")</f>
        <v>—</v>
      </c>
      <c r="L158" s="13" t="str">
        <f>_xll.BDH("ALNY US Equity","ARDR_TRADING_TREAS_GAIN_LOSS","FQ1 2021","FQ1 2021","Currency=USD","Period=FQ","BEST_FPERIOD_OVERRIDE=FQ","FILING_STATUS=MR","SCALING_FORMAT=MLN","Sort=A","Dates=H","DateFormat=P","Fill=—","Direction=H","UseDPDF=Y")</f>
        <v>—</v>
      </c>
      <c r="M158" s="13" t="str">
        <f>_xll.BDH("ALNY US Equity","ARDR_TRADING_TREAS_GAIN_LOSS","FQ2 2021","FQ2 2021","Currency=USD","Period=FQ","BEST_FPERIOD_OVERRIDE=FQ","FILING_STATUS=MR","SCALING_FORMAT=MLN","Sort=A","Dates=H","DateFormat=P","Fill=—","Direction=H","UseDPDF=Y")</f>
        <v>—</v>
      </c>
      <c r="N158" s="13" t="str">
        <f>_xll.BDH("ALNY US Equity","ARDR_TRADING_TREAS_GAIN_LOSS","FQ3 2021","FQ3 2021","Currency=USD","Period=FQ","BEST_FPERIOD_OVERRIDE=FQ","FILING_STATUS=MR","SCALING_FORMAT=MLN","Sort=A","Dates=H","DateFormat=P","Fill=—","Direction=H","UseDPDF=Y")</f>
        <v>—</v>
      </c>
      <c r="O158" s="13" t="str">
        <f>_xll.BDH("ALNY US Equity","ARDR_TRADING_TREAS_GAIN_LOSS","FQ4 2021","FQ4 2021","Currency=USD","Period=FQ","BEST_FPERIOD_OVERRIDE=FQ","FILING_STATUS=MR","SCALING_FORMAT=MLN","Sort=A","Dates=H","DateFormat=P","Fill=—","Direction=H","UseDPDF=Y")</f>
        <v>—</v>
      </c>
      <c r="P158" s="13" t="str">
        <f>_xll.BDH("ALNY US Equity","ARDR_TRADING_TREAS_GAIN_LOSS","FQ1 2022","FQ1 2022","Currency=USD","Period=FQ","BEST_FPERIOD_OVERRIDE=FQ","FILING_STATUS=MR","SCALING_FORMAT=MLN","Sort=A","Dates=H","DateFormat=P","Fill=—","Direction=H","UseDPDF=Y")</f>
        <v>—</v>
      </c>
      <c r="Q158" s="13" t="str">
        <f>_xll.BDH("ALNY US Equity","ARDR_TRADING_TREAS_GAIN_LOSS","FQ2 2022","FQ2 2022","Currency=USD","Period=FQ","BEST_FPERIOD_OVERRIDE=FQ","FILING_STATUS=MR","SCALING_FORMAT=MLN","Sort=A","Dates=H","DateFormat=P","Fill=—","Direction=H","UseDPDF=Y")</f>
        <v>—</v>
      </c>
      <c r="R158" s="13" t="str">
        <f>_xll.BDH("ALNY US Equity","ARDR_TRADING_TREAS_GAIN_LOSS","FQ3 2022","FQ3 2022","Currency=USD","Period=FQ","BEST_FPERIOD_OVERRIDE=FQ","FILING_STATUS=MR","SCALING_FORMAT=MLN","Sort=A","Dates=H","DateFormat=P","Fill=—","Direction=H","UseDPDF=Y")</f>
        <v>—</v>
      </c>
      <c r="S158" s="13">
        <f>_xll.BDH("ALNY US Equity","ARDR_TRADING_TREAS_GAIN_LOSS","FQ4 2022","FQ4 2022","Currency=USD","Period=FQ","BEST_FPERIOD_OVERRIDE=FQ","FILING_STATUS=MR","SCALING_FORMAT=MLN","Sort=A","Dates=H","DateFormat=P","Fill=—","Direction=H","UseDPDF=Y")</f>
        <v>0</v>
      </c>
      <c r="T158" s="13" t="str">
        <f>_xll.BDH("ALNY US Equity","ARDR_TRADING_TREAS_GAIN_LOSS","FQ1 2023","FQ1 2023","Currency=USD","Period=FQ","BEST_FPERIOD_OVERRIDE=FQ","FILING_STATUS=MR","SCALING_FORMAT=MLN","Sort=A","Dates=H","DateFormat=P","Fill=—","Direction=H","UseDPDF=Y")</f>
        <v>—</v>
      </c>
      <c r="U158" s="13" t="str">
        <f>_xll.BDH("ALNY US Equity","ARDR_TRADING_TREAS_GAIN_LOSS","FQ2 2023","FQ2 2023","Currency=USD","Period=FQ","BEST_FPERIOD_OVERRIDE=FQ","FILING_STATUS=MR","SCALING_FORMAT=MLN","Sort=A","Dates=H","DateFormat=P","Fill=—","Direction=H","UseDPDF=Y")</f>
        <v>—</v>
      </c>
      <c r="V158" s="13" t="str">
        <f>_xll.BDH("ALNY US Equity","ARDR_TRADING_TREAS_GAIN_LOSS","FQ3 2023","FQ3 2023","Currency=USD","Period=FQ","BEST_FPERIOD_OVERRIDE=FQ","FILING_STATUS=MR","SCALING_FORMAT=MLN","Sort=A","Dates=H","DateFormat=P","Fill=—","Direction=H","UseDPDF=Y")</f>
        <v>—</v>
      </c>
      <c r="W158" s="13">
        <f>_xll.BDH("ALNY US Equity","ARDR_TRADING_TREAS_GAIN_LOSS","FQ4 2023","FQ4 2023","Currency=USD","Period=FQ","BEST_FPERIOD_OVERRIDE=FQ","FILING_STATUS=MR","SCALING_FORMAT=MLN","Sort=A","Dates=H","DateFormat=P","Fill=—","Direction=H","UseDPDF=Y")</f>
        <v>0</v>
      </c>
      <c r="X158" s="13" t="str">
        <f>_xll.BDH("ALNY US Equity","ARDR_TRADING_TREAS_GAIN_LOSS","FQ1 2024","FQ1 2024","Currency=USD","Period=FQ","BEST_FPERIOD_OVERRIDE=FQ","FILING_STATUS=MR","SCALING_FORMAT=MLN","Sort=A","Dates=H","DateFormat=P","Fill=—","Direction=H","UseDPDF=Y")</f>
        <v>—</v>
      </c>
      <c r="Y158" s="13" t="str">
        <f>_xll.BDH("ALNY US Equity","ARDR_TRADING_TREAS_GAIN_LOSS","FQ2 2024","FQ2 2024","Currency=USD","Period=FQ","BEST_FPERIOD_OVERRIDE=FQ","FILING_STATUS=MR","SCALING_FORMAT=MLN","Sort=A","Dates=H","DateFormat=P","Fill=—","Direction=H","UseDPDF=Y")</f>
        <v>—</v>
      </c>
      <c r="Z158" s="13" t="str">
        <f>_xll.BDH("ALNY US Equity","ARDR_TRADING_TREAS_GAIN_LOSS","FQ3 2024","FQ3 2024","Currency=USD","Period=FQ","BEST_FPERIOD_OVERRIDE=FQ","FILING_STATUS=MR","SCALING_FORMAT=MLN","Sort=A","Dates=H","DateFormat=P","Fill=—","Direction=H","UseDPDF=Y")</f>
        <v>—</v>
      </c>
      <c r="AA158" s="13">
        <f>_xll.BDH("ALNY US Equity","ARDR_TRADING_TREAS_GAIN_LOSS","FQ4 2024","FQ4 2024","Currency=USD","Period=FQ","BEST_FPERIOD_OVERRIDE=FQ","FILING_STATUS=MR","SCALING_FORMAT=MLN","Sort=A","Dates=H","DateFormat=P","Fill=—","Direction=H","UseDPDF=Y")</f>
        <v>0</v>
      </c>
    </row>
    <row r="159" spans="1:27" x14ac:dyDescent="0.25">
      <c r="A159" s="10" t="s">
        <v>1099</v>
      </c>
      <c r="B159" s="10" t="s">
        <v>1100</v>
      </c>
      <c r="C159" s="13" t="str">
        <f>_xll.BDH("ALNY US Equity","ARDR_TRADING_CORP_BONDS","FQ4 2018","FQ4 2018","Currency=USD","Period=FQ","BEST_FPERIOD_OVERRIDE=FQ","FILING_STATUS=MR","SCALING_FORMAT=MLN","Sort=A","Dates=H","DateFormat=P","Fill=—","Direction=H","UseDPDF=Y")</f>
        <v>—</v>
      </c>
      <c r="D159" s="13" t="str">
        <f>_xll.BDH("ALNY US Equity","ARDR_TRADING_CORP_BONDS","FQ1 2019","FQ1 2019","Currency=USD","Period=FQ","BEST_FPERIOD_OVERRIDE=FQ","FILING_STATUS=MR","SCALING_FORMAT=MLN","Sort=A","Dates=H","DateFormat=P","Fill=—","Direction=H","UseDPDF=Y")</f>
        <v>—</v>
      </c>
      <c r="E159" s="13" t="str">
        <f>_xll.BDH("ALNY US Equity","ARDR_TRADING_CORP_BONDS","FQ2 2019","FQ2 2019","Currency=USD","Period=FQ","BEST_FPERIOD_OVERRIDE=FQ","FILING_STATUS=MR","SCALING_FORMAT=MLN","Sort=A","Dates=H","DateFormat=P","Fill=—","Direction=H","UseDPDF=Y")</f>
        <v>—</v>
      </c>
      <c r="F159" s="13" t="str">
        <f>_xll.BDH("ALNY US Equity","ARDR_TRADING_CORP_BONDS","FQ3 2019","FQ3 2019","Currency=USD","Period=FQ","BEST_FPERIOD_OVERRIDE=FQ","FILING_STATUS=MR","SCALING_FORMAT=MLN","Sort=A","Dates=H","DateFormat=P","Fill=—","Direction=H","UseDPDF=Y")</f>
        <v>—</v>
      </c>
      <c r="G159" s="13" t="str">
        <f>_xll.BDH("ALNY US Equity","ARDR_TRADING_CORP_BONDS","FQ4 2019","FQ4 2019","Currency=USD","Period=FQ","BEST_FPERIOD_OVERRIDE=FQ","FILING_STATUS=MR","SCALING_FORMAT=MLN","Sort=A","Dates=H","DateFormat=P","Fill=—","Direction=H","UseDPDF=Y")</f>
        <v>—</v>
      </c>
      <c r="H159" s="13" t="str">
        <f>_xll.BDH("ALNY US Equity","ARDR_TRADING_CORP_BONDS","FQ1 2020","FQ1 2020","Currency=USD","Period=FQ","BEST_FPERIOD_OVERRIDE=FQ","FILING_STATUS=MR","SCALING_FORMAT=MLN","Sort=A","Dates=H","DateFormat=P","Fill=—","Direction=H","UseDPDF=Y")</f>
        <v>—</v>
      </c>
      <c r="I159" s="13" t="str">
        <f>_xll.BDH("ALNY US Equity","ARDR_TRADING_CORP_BONDS","FQ2 2020","FQ2 2020","Currency=USD","Period=FQ","BEST_FPERIOD_OVERRIDE=FQ","FILING_STATUS=MR","SCALING_FORMAT=MLN","Sort=A","Dates=H","DateFormat=P","Fill=—","Direction=H","UseDPDF=Y")</f>
        <v>—</v>
      </c>
      <c r="J159" s="13" t="str">
        <f>_xll.BDH("ALNY US Equity","ARDR_TRADING_CORP_BONDS","FQ3 2020","FQ3 2020","Currency=USD","Period=FQ","BEST_FPERIOD_OVERRIDE=FQ","FILING_STATUS=MR","SCALING_FORMAT=MLN","Sort=A","Dates=H","DateFormat=P","Fill=—","Direction=H","UseDPDF=Y")</f>
        <v>—</v>
      </c>
      <c r="K159" s="13" t="str">
        <f>_xll.BDH("ALNY US Equity","ARDR_TRADING_CORP_BONDS","FQ4 2020","FQ4 2020","Currency=USD","Period=FQ","BEST_FPERIOD_OVERRIDE=FQ","FILING_STATUS=MR","SCALING_FORMAT=MLN","Sort=A","Dates=H","DateFormat=P","Fill=—","Direction=H","UseDPDF=Y")</f>
        <v>—</v>
      </c>
      <c r="L159" s="13" t="str">
        <f>_xll.BDH("ALNY US Equity","ARDR_TRADING_CORP_BONDS","FQ1 2021","FQ1 2021","Currency=USD","Period=FQ","BEST_FPERIOD_OVERRIDE=FQ","FILING_STATUS=MR","SCALING_FORMAT=MLN","Sort=A","Dates=H","DateFormat=P","Fill=—","Direction=H","UseDPDF=Y")</f>
        <v>—</v>
      </c>
      <c r="M159" s="13" t="str">
        <f>_xll.BDH("ALNY US Equity","ARDR_TRADING_CORP_BONDS","FQ2 2021","FQ2 2021","Currency=USD","Period=FQ","BEST_FPERIOD_OVERRIDE=FQ","FILING_STATUS=MR","SCALING_FORMAT=MLN","Sort=A","Dates=H","DateFormat=P","Fill=—","Direction=H","UseDPDF=Y")</f>
        <v>—</v>
      </c>
      <c r="N159" s="13" t="str">
        <f>_xll.BDH("ALNY US Equity","ARDR_TRADING_CORP_BONDS","FQ3 2021","FQ3 2021","Currency=USD","Period=FQ","BEST_FPERIOD_OVERRIDE=FQ","FILING_STATUS=MR","SCALING_FORMAT=MLN","Sort=A","Dates=H","DateFormat=P","Fill=—","Direction=H","UseDPDF=Y")</f>
        <v>—</v>
      </c>
      <c r="O159" s="13" t="str">
        <f>_xll.BDH("ALNY US Equity","ARDR_TRADING_CORP_BONDS","FQ4 2021","FQ4 2021","Currency=USD","Period=FQ","BEST_FPERIOD_OVERRIDE=FQ","FILING_STATUS=MR","SCALING_FORMAT=MLN","Sort=A","Dates=H","DateFormat=P","Fill=—","Direction=H","UseDPDF=Y")</f>
        <v>—</v>
      </c>
      <c r="P159" s="13" t="str">
        <f>_xll.BDH("ALNY US Equity","ARDR_TRADING_CORP_BONDS","FQ1 2022","FQ1 2022","Currency=USD","Period=FQ","BEST_FPERIOD_OVERRIDE=FQ","FILING_STATUS=MR","SCALING_FORMAT=MLN","Sort=A","Dates=H","DateFormat=P","Fill=—","Direction=H","UseDPDF=Y")</f>
        <v>—</v>
      </c>
      <c r="Q159" s="13" t="str">
        <f>_xll.BDH("ALNY US Equity","ARDR_TRADING_CORP_BONDS","FQ2 2022","FQ2 2022","Currency=USD","Period=FQ","BEST_FPERIOD_OVERRIDE=FQ","FILING_STATUS=MR","SCALING_FORMAT=MLN","Sort=A","Dates=H","DateFormat=P","Fill=—","Direction=H","UseDPDF=Y")</f>
        <v>—</v>
      </c>
      <c r="R159" s="13" t="str">
        <f>_xll.BDH("ALNY US Equity","ARDR_TRADING_CORP_BONDS","FQ3 2022","FQ3 2022","Currency=USD","Period=FQ","BEST_FPERIOD_OVERRIDE=FQ","FILING_STATUS=MR","SCALING_FORMAT=MLN","Sort=A","Dates=H","DateFormat=P","Fill=—","Direction=H","UseDPDF=Y")</f>
        <v>—</v>
      </c>
      <c r="S159" s="13">
        <f>_xll.BDH("ALNY US Equity","ARDR_TRADING_CORP_BONDS","FQ4 2022","FQ4 2022","Currency=USD","Period=FQ","BEST_FPERIOD_OVERRIDE=FQ","FILING_STATUS=MR","SCALING_FORMAT=MLN","Sort=A","Dates=H","DateFormat=P","Fill=—","Direction=H","UseDPDF=Y")</f>
        <v>209.30799999999999</v>
      </c>
      <c r="T159" s="13" t="str">
        <f>_xll.BDH("ALNY US Equity","ARDR_TRADING_CORP_BONDS","FQ1 2023","FQ1 2023","Currency=USD","Period=FQ","BEST_FPERIOD_OVERRIDE=FQ","FILING_STATUS=MR","SCALING_FORMAT=MLN","Sort=A","Dates=H","DateFormat=P","Fill=—","Direction=H","UseDPDF=Y")</f>
        <v>—</v>
      </c>
      <c r="U159" s="13" t="str">
        <f>_xll.BDH("ALNY US Equity","ARDR_TRADING_CORP_BONDS","FQ2 2023","FQ2 2023","Currency=USD","Period=FQ","BEST_FPERIOD_OVERRIDE=FQ","FILING_STATUS=MR","SCALING_FORMAT=MLN","Sort=A","Dates=H","DateFormat=P","Fill=—","Direction=H","UseDPDF=Y")</f>
        <v>—</v>
      </c>
      <c r="V159" s="13" t="str">
        <f>_xll.BDH("ALNY US Equity","ARDR_TRADING_CORP_BONDS","FQ3 2023","FQ3 2023","Currency=USD","Period=FQ","BEST_FPERIOD_OVERRIDE=FQ","FILING_STATUS=MR","SCALING_FORMAT=MLN","Sort=A","Dates=H","DateFormat=P","Fill=—","Direction=H","UseDPDF=Y")</f>
        <v>—</v>
      </c>
      <c r="W159" s="13">
        <f>_xll.BDH("ALNY US Equity","ARDR_TRADING_CORP_BONDS","FQ4 2023","FQ4 2023","Currency=USD","Period=FQ","BEST_FPERIOD_OVERRIDE=FQ","FILING_STATUS=MR","SCALING_FORMAT=MLN","Sort=A","Dates=H","DateFormat=P","Fill=—","Direction=H","UseDPDF=Y")</f>
        <v>253.11199999999999</v>
      </c>
      <c r="X159" s="13" t="str">
        <f>_xll.BDH("ALNY US Equity","ARDR_TRADING_CORP_BONDS","FQ1 2024","FQ1 2024","Currency=USD","Period=FQ","BEST_FPERIOD_OVERRIDE=FQ","FILING_STATUS=MR","SCALING_FORMAT=MLN","Sort=A","Dates=H","DateFormat=P","Fill=—","Direction=H","UseDPDF=Y")</f>
        <v>—</v>
      </c>
      <c r="Y159" s="13" t="str">
        <f>_xll.BDH("ALNY US Equity","ARDR_TRADING_CORP_BONDS","FQ2 2024","FQ2 2024","Currency=USD","Period=FQ","BEST_FPERIOD_OVERRIDE=FQ","FILING_STATUS=MR","SCALING_FORMAT=MLN","Sort=A","Dates=H","DateFormat=P","Fill=—","Direction=H","UseDPDF=Y")</f>
        <v>—</v>
      </c>
      <c r="Z159" s="13" t="str">
        <f>_xll.BDH("ALNY US Equity","ARDR_TRADING_CORP_BONDS","FQ3 2024","FQ3 2024","Currency=USD","Period=FQ","BEST_FPERIOD_OVERRIDE=FQ","FILING_STATUS=MR","SCALING_FORMAT=MLN","Sort=A","Dates=H","DateFormat=P","Fill=—","Direction=H","UseDPDF=Y")</f>
        <v>—</v>
      </c>
      <c r="AA159" s="13">
        <f>_xll.BDH("ALNY US Equity","ARDR_TRADING_CORP_BONDS","FQ4 2024","FQ4 2024","Currency=USD","Period=FQ","BEST_FPERIOD_OVERRIDE=FQ","FILING_STATUS=MR","SCALING_FORMAT=MLN","Sort=A","Dates=H","DateFormat=P","Fill=—","Direction=H","UseDPDF=Y")</f>
        <v>361.73899999999998</v>
      </c>
    </row>
    <row r="160" spans="1:27" x14ac:dyDescent="0.25">
      <c r="A160" s="10" t="s">
        <v>1101</v>
      </c>
      <c r="B160" s="10" t="s">
        <v>1102</v>
      </c>
      <c r="C160" s="13" t="str">
        <f>_xll.BDH("ALNY US Equity","ARDR_TRAD_CORP_BONDS_GAIN_LOSS","FQ4 2018","FQ4 2018","Currency=USD","Period=FQ","BEST_FPERIOD_OVERRIDE=FQ","FILING_STATUS=MR","SCALING_FORMAT=MLN","Sort=A","Dates=H","DateFormat=P","Fill=—","Direction=H","UseDPDF=Y")</f>
        <v>—</v>
      </c>
      <c r="D160" s="13" t="str">
        <f>_xll.BDH("ALNY US Equity","ARDR_TRAD_CORP_BONDS_GAIN_LOSS","FQ1 2019","FQ1 2019","Currency=USD","Period=FQ","BEST_FPERIOD_OVERRIDE=FQ","FILING_STATUS=MR","SCALING_FORMAT=MLN","Sort=A","Dates=H","DateFormat=P","Fill=—","Direction=H","UseDPDF=Y")</f>
        <v>—</v>
      </c>
      <c r="E160" s="13" t="str">
        <f>_xll.BDH("ALNY US Equity","ARDR_TRAD_CORP_BONDS_GAIN_LOSS","FQ2 2019","FQ2 2019","Currency=USD","Period=FQ","BEST_FPERIOD_OVERRIDE=FQ","FILING_STATUS=MR","SCALING_FORMAT=MLN","Sort=A","Dates=H","DateFormat=P","Fill=—","Direction=H","UseDPDF=Y")</f>
        <v>—</v>
      </c>
      <c r="F160" s="13" t="str">
        <f>_xll.BDH("ALNY US Equity","ARDR_TRAD_CORP_BONDS_GAIN_LOSS","FQ3 2019","FQ3 2019","Currency=USD","Period=FQ","BEST_FPERIOD_OVERRIDE=FQ","FILING_STATUS=MR","SCALING_FORMAT=MLN","Sort=A","Dates=H","DateFormat=P","Fill=—","Direction=H","UseDPDF=Y")</f>
        <v>—</v>
      </c>
      <c r="G160" s="13" t="str">
        <f>_xll.BDH("ALNY US Equity","ARDR_TRAD_CORP_BONDS_GAIN_LOSS","FQ4 2019","FQ4 2019","Currency=USD","Period=FQ","BEST_FPERIOD_OVERRIDE=FQ","FILING_STATUS=MR","SCALING_FORMAT=MLN","Sort=A","Dates=H","DateFormat=P","Fill=—","Direction=H","UseDPDF=Y")</f>
        <v>—</v>
      </c>
      <c r="H160" s="13" t="str">
        <f>_xll.BDH("ALNY US Equity","ARDR_TRAD_CORP_BONDS_GAIN_LOSS","FQ1 2020","FQ1 2020","Currency=USD","Period=FQ","BEST_FPERIOD_OVERRIDE=FQ","FILING_STATUS=MR","SCALING_FORMAT=MLN","Sort=A","Dates=H","DateFormat=P","Fill=—","Direction=H","UseDPDF=Y")</f>
        <v>—</v>
      </c>
      <c r="I160" s="13" t="str">
        <f>_xll.BDH("ALNY US Equity","ARDR_TRAD_CORP_BONDS_GAIN_LOSS","FQ2 2020","FQ2 2020","Currency=USD","Period=FQ","BEST_FPERIOD_OVERRIDE=FQ","FILING_STATUS=MR","SCALING_FORMAT=MLN","Sort=A","Dates=H","DateFormat=P","Fill=—","Direction=H","UseDPDF=Y")</f>
        <v>—</v>
      </c>
      <c r="J160" s="13" t="str">
        <f>_xll.BDH("ALNY US Equity","ARDR_TRAD_CORP_BONDS_GAIN_LOSS","FQ3 2020","FQ3 2020","Currency=USD","Period=FQ","BEST_FPERIOD_OVERRIDE=FQ","FILING_STATUS=MR","SCALING_FORMAT=MLN","Sort=A","Dates=H","DateFormat=P","Fill=—","Direction=H","UseDPDF=Y")</f>
        <v>—</v>
      </c>
      <c r="K160" s="13" t="str">
        <f>_xll.BDH("ALNY US Equity","ARDR_TRAD_CORP_BONDS_GAIN_LOSS","FQ4 2020","FQ4 2020","Currency=USD","Period=FQ","BEST_FPERIOD_OVERRIDE=FQ","FILING_STATUS=MR","SCALING_FORMAT=MLN","Sort=A","Dates=H","DateFormat=P","Fill=—","Direction=H","UseDPDF=Y")</f>
        <v>—</v>
      </c>
      <c r="L160" s="13" t="str">
        <f>_xll.BDH("ALNY US Equity","ARDR_TRAD_CORP_BONDS_GAIN_LOSS","FQ1 2021","FQ1 2021","Currency=USD","Period=FQ","BEST_FPERIOD_OVERRIDE=FQ","FILING_STATUS=MR","SCALING_FORMAT=MLN","Sort=A","Dates=H","DateFormat=P","Fill=—","Direction=H","UseDPDF=Y")</f>
        <v>—</v>
      </c>
      <c r="M160" s="13" t="str">
        <f>_xll.BDH("ALNY US Equity","ARDR_TRAD_CORP_BONDS_GAIN_LOSS","FQ2 2021","FQ2 2021","Currency=USD","Period=FQ","BEST_FPERIOD_OVERRIDE=FQ","FILING_STATUS=MR","SCALING_FORMAT=MLN","Sort=A","Dates=H","DateFormat=P","Fill=—","Direction=H","UseDPDF=Y")</f>
        <v>—</v>
      </c>
      <c r="N160" s="13" t="str">
        <f>_xll.BDH("ALNY US Equity","ARDR_TRAD_CORP_BONDS_GAIN_LOSS","FQ3 2021","FQ3 2021","Currency=USD","Period=FQ","BEST_FPERIOD_OVERRIDE=FQ","FILING_STATUS=MR","SCALING_FORMAT=MLN","Sort=A","Dates=H","DateFormat=P","Fill=—","Direction=H","UseDPDF=Y")</f>
        <v>—</v>
      </c>
      <c r="O160" s="13" t="str">
        <f>_xll.BDH("ALNY US Equity","ARDR_TRAD_CORP_BONDS_GAIN_LOSS","FQ4 2021","FQ4 2021","Currency=USD","Period=FQ","BEST_FPERIOD_OVERRIDE=FQ","FILING_STATUS=MR","SCALING_FORMAT=MLN","Sort=A","Dates=H","DateFormat=P","Fill=—","Direction=H","UseDPDF=Y")</f>
        <v>—</v>
      </c>
      <c r="P160" s="13" t="str">
        <f>_xll.BDH("ALNY US Equity","ARDR_TRAD_CORP_BONDS_GAIN_LOSS","FQ1 2022","FQ1 2022","Currency=USD","Period=FQ","BEST_FPERIOD_OVERRIDE=FQ","FILING_STATUS=MR","SCALING_FORMAT=MLN","Sort=A","Dates=H","DateFormat=P","Fill=—","Direction=H","UseDPDF=Y")</f>
        <v>—</v>
      </c>
      <c r="Q160" s="13" t="str">
        <f>_xll.BDH("ALNY US Equity","ARDR_TRAD_CORP_BONDS_GAIN_LOSS","FQ2 2022","FQ2 2022","Currency=USD","Period=FQ","BEST_FPERIOD_OVERRIDE=FQ","FILING_STATUS=MR","SCALING_FORMAT=MLN","Sort=A","Dates=H","DateFormat=P","Fill=—","Direction=H","UseDPDF=Y")</f>
        <v>—</v>
      </c>
      <c r="R160" s="13" t="str">
        <f>_xll.BDH("ALNY US Equity","ARDR_TRAD_CORP_BONDS_GAIN_LOSS","FQ3 2022","FQ3 2022","Currency=USD","Period=FQ","BEST_FPERIOD_OVERRIDE=FQ","FILING_STATUS=MR","SCALING_FORMAT=MLN","Sort=A","Dates=H","DateFormat=P","Fill=—","Direction=H","UseDPDF=Y")</f>
        <v>—</v>
      </c>
      <c r="S160" s="13">
        <f>_xll.BDH("ALNY US Equity","ARDR_TRAD_CORP_BONDS_GAIN_LOSS","FQ4 2022","FQ4 2022","Currency=USD","Period=FQ","BEST_FPERIOD_OVERRIDE=FQ","FILING_STATUS=MR","SCALING_FORMAT=MLN","Sort=A","Dates=H","DateFormat=P","Fill=—","Direction=H","UseDPDF=Y")</f>
        <v>-2.09</v>
      </c>
      <c r="T160" s="13" t="str">
        <f>_xll.BDH("ALNY US Equity","ARDR_TRAD_CORP_BONDS_GAIN_LOSS","FQ1 2023","FQ1 2023","Currency=USD","Period=FQ","BEST_FPERIOD_OVERRIDE=FQ","FILING_STATUS=MR","SCALING_FORMAT=MLN","Sort=A","Dates=H","DateFormat=P","Fill=—","Direction=H","UseDPDF=Y")</f>
        <v>—</v>
      </c>
      <c r="U160" s="13" t="str">
        <f>_xll.BDH("ALNY US Equity","ARDR_TRAD_CORP_BONDS_GAIN_LOSS","FQ2 2023","FQ2 2023","Currency=USD","Period=FQ","BEST_FPERIOD_OVERRIDE=FQ","FILING_STATUS=MR","SCALING_FORMAT=MLN","Sort=A","Dates=H","DateFormat=P","Fill=—","Direction=H","UseDPDF=Y")</f>
        <v>—</v>
      </c>
      <c r="V160" s="13" t="str">
        <f>_xll.BDH("ALNY US Equity","ARDR_TRAD_CORP_BONDS_GAIN_LOSS","FQ3 2023","FQ3 2023","Currency=USD","Period=FQ","BEST_FPERIOD_OVERRIDE=FQ","FILING_STATUS=MR","SCALING_FORMAT=MLN","Sort=A","Dates=H","DateFormat=P","Fill=—","Direction=H","UseDPDF=Y")</f>
        <v>—</v>
      </c>
      <c r="W160" s="13">
        <f>_xll.BDH("ALNY US Equity","ARDR_TRAD_CORP_BONDS_GAIN_LOSS","FQ4 2023","FQ4 2023","Currency=USD","Period=FQ","BEST_FPERIOD_OVERRIDE=FQ","FILING_STATUS=MR","SCALING_FORMAT=MLN","Sort=A","Dates=H","DateFormat=P","Fill=—","Direction=H","UseDPDF=Y")</f>
        <v>0.625</v>
      </c>
      <c r="X160" s="13" t="str">
        <f>_xll.BDH("ALNY US Equity","ARDR_TRAD_CORP_BONDS_GAIN_LOSS","FQ1 2024","FQ1 2024","Currency=USD","Period=FQ","BEST_FPERIOD_OVERRIDE=FQ","FILING_STATUS=MR","SCALING_FORMAT=MLN","Sort=A","Dates=H","DateFormat=P","Fill=—","Direction=H","UseDPDF=Y")</f>
        <v>—</v>
      </c>
      <c r="Y160" s="13" t="str">
        <f>_xll.BDH("ALNY US Equity","ARDR_TRAD_CORP_BONDS_GAIN_LOSS","FQ2 2024","FQ2 2024","Currency=USD","Period=FQ","BEST_FPERIOD_OVERRIDE=FQ","FILING_STATUS=MR","SCALING_FORMAT=MLN","Sort=A","Dates=H","DateFormat=P","Fill=—","Direction=H","UseDPDF=Y")</f>
        <v>—</v>
      </c>
      <c r="Z160" s="13" t="str">
        <f>_xll.BDH("ALNY US Equity","ARDR_TRAD_CORP_BONDS_GAIN_LOSS","FQ3 2024","FQ3 2024","Currency=USD","Period=FQ","BEST_FPERIOD_OVERRIDE=FQ","FILING_STATUS=MR","SCALING_FORMAT=MLN","Sort=A","Dates=H","DateFormat=P","Fill=—","Direction=H","UseDPDF=Y")</f>
        <v>—</v>
      </c>
      <c r="AA160" s="13">
        <f>_xll.BDH("ALNY US Equity","ARDR_TRAD_CORP_BONDS_GAIN_LOSS","FQ4 2024","FQ4 2024","Currency=USD","Period=FQ","BEST_FPERIOD_OVERRIDE=FQ","FILING_STATUS=MR","SCALING_FORMAT=MLN","Sort=A","Dates=H","DateFormat=P","Fill=—","Direction=H","UseDPDF=Y")</f>
        <v>0.42799999999999999</v>
      </c>
    </row>
    <row r="161" spans="1:27" x14ac:dyDescent="0.25">
      <c r="A161" s="10" t="s">
        <v>1103</v>
      </c>
      <c r="B161" s="10" t="s">
        <v>1104</v>
      </c>
      <c r="C161" s="13" t="str">
        <f>_xll.BDH("ALNY US Equity","ARDR_TRADING_CDO_CLO","FQ4 2018","FQ4 2018","Currency=USD","Period=FQ","BEST_FPERIOD_OVERRIDE=FQ","FILING_STATUS=MR","SCALING_FORMAT=MLN","Sort=A","Dates=H","DateFormat=P","Fill=—","Direction=H","UseDPDF=Y")</f>
        <v>—</v>
      </c>
      <c r="D161" s="13" t="str">
        <f>_xll.BDH("ALNY US Equity","ARDR_TRADING_CDO_CLO","FQ1 2019","FQ1 2019","Currency=USD","Period=FQ","BEST_FPERIOD_OVERRIDE=FQ","FILING_STATUS=MR","SCALING_FORMAT=MLN","Sort=A","Dates=H","DateFormat=P","Fill=—","Direction=H","UseDPDF=Y")</f>
        <v>—</v>
      </c>
      <c r="E161" s="13" t="str">
        <f>_xll.BDH("ALNY US Equity","ARDR_TRADING_CDO_CLO","FQ2 2019","FQ2 2019","Currency=USD","Period=FQ","BEST_FPERIOD_OVERRIDE=FQ","FILING_STATUS=MR","SCALING_FORMAT=MLN","Sort=A","Dates=H","DateFormat=P","Fill=—","Direction=H","UseDPDF=Y")</f>
        <v>—</v>
      </c>
      <c r="F161" s="13" t="str">
        <f>_xll.BDH("ALNY US Equity","ARDR_TRADING_CDO_CLO","FQ3 2019","FQ3 2019","Currency=USD","Period=FQ","BEST_FPERIOD_OVERRIDE=FQ","FILING_STATUS=MR","SCALING_FORMAT=MLN","Sort=A","Dates=H","DateFormat=P","Fill=—","Direction=H","UseDPDF=Y")</f>
        <v>—</v>
      </c>
      <c r="G161" s="13" t="str">
        <f>_xll.BDH("ALNY US Equity","ARDR_TRADING_CDO_CLO","FQ4 2019","FQ4 2019","Currency=USD","Period=FQ","BEST_FPERIOD_OVERRIDE=FQ","FILING_STATUS=MR","SCALING_FORMAT=MLN","Sort=A","Dates=H","DateFormat=P","Fill=—","Direction=H","UseDPDF=Y")</f>
        <v>—</v>
      </c>
      <c r="H161" s="13" t="str">
        <f>_xll.BDH("ALNY US Equity","ARDR_TRADING_CDO_CLO","FQ1 2020","FQ1 2020","Currency=USD","Period=FQ","BEST_FPERIOD_OVERRIDE=FQ","FILING_STATUS=MR","SCALING_FORMAT=MLN","Sort=A","Dates=H","DateFormat=P","Fill=—","Direction=H","UseDPDF=Y")</f>
        <v>—</v>
      </c>
      <c r="I161" s="13" t="str">
        <f>_xll.BDH("ALNY US Equity","ARDR_TRADING_CDO_CLO","FQ2 2020","FQ2 2020","Currency=USD","Period=FQ","BEST_FPERIOD_OVERRIDE=FQ","FILING_STATUS=MR","SCALING_FORMAT=MLN","Sort=A","Dates=H","DateFormat=P","Fill=—","Direction=H","UseDPDF=Y")</f>
        <v>—</v>
      </c>
      <c r="J161" s="13" t="str">
        <f>_xll.BDH("ALNY US Equity","ARDR_TRADING_CDO_CLO","FQ3 2020","FQ3 2020","Currency=USD","Period=FQ","BEST_FPERIOD_OVERRIDE=FQ","FILING_STATUS=MR","SCALING_FORMAT=MLN","Sort=A","Dates=H","DateFormat=P","Fill=—","Direction=H","UseDPDF=Y")</f>
        <v>—</v>
      </c>
      <c r="K161" s="13" t="str">
        <f>_xll.BDH("ALNY US Equity","ARDR_TRADING_CDO_CLO","FQ4 2020","FQ4 2020","Currency=USD","Period=FQ","BEST_FPERIOD_OVERRIDE=FQ","FILING_STATUS=MR","SCALING_FORMAT=MLN","Sort=A","Dates=H","DateFormat=P","Fill=—","Direction=H","UseDPDF=Y")</f>
        <v>—</v>
      </c>
      <c r="L161" s="13" t="str">
        <f>_xll.BDH("ALNY US Equity","ARDR_TRADING_CDO_CLO","FQ1 2021","FQ1 2021","Currency=USD","Period=FQ","BEST_FPERIOD_OVERRIDE=FQ","FILING_STATUS=MR","SCALING_FORMAT=MLN","Sort=A","Dates=H","DateFormat=P","Fill=—","Direction=H","UseDPDF=Y")</f>
        <v>—</v>
      </c>
      <c r="M161" s="13" t="str">
        <f>_xll.BDH("ALNY US Equity","ARDR_TRADING_CDO_CLO","FQ2 2021","FQ2 2021","Currency=USD","Period=FQ","BEST_FPERIOD_OVERRIDE=FQ","FILING_STATUS=MR","SCALING_FORMAT=MLN","Sort=A","Dates=H","DateFormat=P","Fill=—","Direction=H","UseDPDF=Y")</f>
        <v>—</v>
      </c>
      <c r="N161" s="13" t="str">
        <f>_xll.BDH("ALNY US Equity","ARDR_TRADING_CDO_CLO","FQ3 2021","FQ3 2021","Currency=USD","Period=FQ","BEST_FPERIOD_OVERRIDE=FQ","FILING_STATUS=MR","SCALING_FORMAT=MLN","Sort=A","Dates=H","DateFormat=P","Fill=—","Direction=H","UseDPDF=Y")</f>
        <v>—</v>
      </c>
      <c r="O161" s="13" t="str">
        <f>_xll.BDH("ALNY US Equity","ARDR_TRADING_CDO_CLO","FQ4 2021","FQ4 2021","Currency=USD","Period=FQ","BEST_FPERIOD_OVERRIDE=FQ","FILING_STATUS=MR","SCALING_FORMAT=MLN","Sort=A","Dates=H","DateFormat=P","Fill=—","Direction=H","UseDPDF=Y")</f>
        <v>—</v>
      </c>
      <c r="P161" s="13" t="str">
        <f>_xll.BDH("ALNY US Equity","ARDR_TRADING_CDO_CLO","FQ1 2022","FQ1 2022","Currency=USD","Period=FQ","BEST_FPERIOD_OVERRIDE=FQ","FILING_STATUS=MR","SCALING_FORMAT=MLN","Sort=A","Dates=H","DateFormat=P","Fill=—","Direction=H","UseDPDF=Y")</f>
        <v>—</v>
      </c>
      <c r="Q161" s="13" t="str">
        <f>_xll.BDH("ALNY US Equity","ARDR_TRADING_CDO_CLO","FQ2 2022","FQ2 2022","Currency=USD","Period=FQ","BEST_FPERIOD_OVERRIDE=FQ","FILING_STATUS=MR","SCALING_FORMAT=MLN","Sort=A","Dates=H","DateFormat=P","Fill=—","Direction=H","UseDPDF=Y")</f>
        <v>—</v>
      </c>
      <c r="R161" s="13" t="str">
        <f>_xll.BDH("ALNY US Equity","ARDR_TRADING_CDO_CLO","FQ3 2022","FQ3 2022","Currency=USD","Period=FQ","BEST_FPERIOD_OVERRIDE=FQ","FILING_STATUS=MR","SCALING_FORMAT=MLN","Sort=A","Dates=H","DateFormat=P","Fill=—","Direction=H","UseDPDF=Y")</f>
        <v>—</v>
      </c>
      <c r="S161" s="13">
        <f>_xll.BDH("ALNY US Equity","ARDR_TRADING_CDO_CLO","FQ4 2022","FQ4 2022","Currency=USD","Period=FQ","BEST_FPERIOD_OVERRIDE=FQ","FILING_STATUS=MR","SCALING_FORMAT=MLN","Sort=A","Dates=H","DateFormat=P","Fill=—","Direction=H","UseDPDF=Y")</f>
        <v>4.4189999999999996</v>
      </c>
      <c r="T161" s="13" t="str">
        <f>_xll.BDH("ALNY US Equity","ARDR_TRADING_CDO_CLO","FQ1 2023","FQ1 2023","Currency=USD","Period=FQ","BEST_FPERIOD_OVERRIDE=FQ","FILING_STATUS=MR","SCALING_FORMAT=MLN","Sort=A","Dates=H","DateFormat=P","Fill=—","Direction=H","UseDPDF=Y")</f>
        <v>—</v>
      </c>
      <c r="U161" s="13" t="str">
        <f>_xll.BDH("ALNY US Equity","ARDR_TRADING_CDO_CLO","FQ2 2023","FQ2 2023","Currency=USD","Period=FQ","BEST_FPERIOD_OVERRIDE=FQ","FILING_STATUS=MR","SCALING_FORMAT=MLN","Sort=A","Dates=H","DateFormat=P","Fill=—","Direction=H","UseDPDF=Y")</f>
        <v>—</v>
      </c>
      <c r="V161" s="13" t="str">
        <f>_xll.BDH("ALNY US Equity","ARDR_TRADING_CDO_CLO","FQ3 2023","FQ3 2023","Currency=USD","Period=FQ","BEST_FPERIOD_OVERRIDE=FQ","FILING_STATUS=MR","SCALING_FORMAT=MLN","Sort=A","Dates=H","DateFormat=P","Fill=—","Direction=H","UseDPDF=Y")</f>
        <v>—</v>
      </c>
      <c r="W161" s="13">
        <f>_xll.BDH("ALNY US Equity","ARDR_TRADING_CDO_CLO","FQ4 2023","FQ4 2023","Currency=USD","Period=FQ","BEST_FPERIOD_OVERRIDE=FQ","FILING_STATUS=MR","SCALING_FORMAT=MLN","Sort=A","Dates=H","DateFormat=P","Fill=—","Direction=H","UseDPDF=Y")</f>
        <v>3.5870000000000002</v>
      </c>
      <c r="X161" s="13" t="str">
        <f>_xll.BDH("ALNY US Equity","ARDR_TRADING_CDO_CLO","FQ1 2024","FQ1 2024","Currency=USD","Period=FQ","BEST_FPERIOD_OVERRIDE=FQ","FILING_STATUS=MR","SCALING_FORMAT=MLN","Sort=A","Dates=H","DateFormat=P","Fill=—","Direction=H","UseDPDF=Y")</f>
        <v>—</v>
      </c>
      <c r="Y161" s="13" t="str">
        <f>_xll.BDH("ALNY US Equity","ARDR_TRADING_CDO_CLO","FQ2 2024","FQ2 2024","Currency=USD","Period=FQ","BEST_FPERIOD_OVERRIDE=FQ","FILING_STATUS=MR","SCALING_FORMAT=MLN","Sort=A","Dates=H","DateFormat=P","Fill=—","Direction=H","UseDPDF=Y")</f>
        <v>—</v>
      </c>
      <c r="Z161" s="13" t="str">
        <f>_xll.BDH("ALNY US Equity","ARDR_TRADING_CDO_CLO","FQ3 2024","FQ3 2024","Currency=USD","Period=FQ","BEST_FPERIOD_OVERRIDE=FQ","FILING_STATUS=MR","SCALING_FORMAT=MLN","Sort=A","Dates=H","DateFormat=P","Fill=—","Direction=H","UseDPDF=Y")</f>
        <v>—</v>
      </c>
      <c r="AA161" s="13">
        <f>_xll.BDH("ALNY US Equity","ARDR_TRADING_CDO_CLO","FQ4 2024","FQ4 2024","Currency=USD","Period=FQ","BEST_FPERIOD_OVERRIDE=FQ","FILING_STATUS=MR","SCALING_FORMAT=MLN","Sort=A","Dates=H","DateFormat=P","Fill=—","Direction=H","UseDPDF=Y")</f>
        <v>5.0030000000000001</v>
      </c>
    </row>
    <row r="162" spans="1:27" x14ac:dyDescent="0.25">
      <c r="A162" s="10" t="s">
        <v>1105</v>
      </c>
      <c r="B162" s="10" t="s">
        <v>1106</v>
      </c>
      <c r="C162" s="13" t="str">
        <f>_xll.BDH("ALNY US Equity","ARDR_TRADING_CDO_CLO_GAIN_LOSS","FQ4 2018","FQ4 2018","Currency=USD","Period=FQ","BEST_FPERIOD_OVERRIDE=FQ","FILING_STATUS=MR","SCALING_FORMAT=MLN","Sort=A","Dates=H","DateFormat=P","Fill=—","Direction=H","UseDPDF=Y")</f>
        <v>—</v>
      </c>
      <c r="D162" s="13" t="str">
        <f>_xll.BDH("ALNY US Equity","ARDR_TRADING_CDO_CLO_GAIN_LOSS","FQ1 2019","FQ1 2019","Currency=USD","Period=FQ","BEST_FPERIOD_OVERRIDE=FQ","FILING_STATUS=MR","SCALING_FORMAT=MLN","Sort=A","Dates=H","DateFormat=P","Fill=—","Direction=H","UseDPDF=Y")</f>
        <v>—</v>
      </c>
      <c r="E162" s="13" t="str">
        <f>_xll.BDH("ALNY US Equity","ARDR_TRADING_CDO_CLO_GAIN_LOSS","FQ2 2019","FQ2 2019","Currency=USD","Period=FQ","BEST_FPERIOD_OVERRIDE=FQ","FILING_STATUS=MR","SCALING_FORMAT=MLN","Sort=A","Dates=H","DateFormat=P","Fill=—","Direction=H","UseDPDF=Y")</f>
        <v>—</v>
      </c>
      <c r="F162" s="13" t="str">
        <f>_xll.BDH("ALNY US Equity","ARDR_TRADING_CDO_CLO_GAIN_LOSS","FQ3 2019","FQ3 2019","Currency=USD","Period=FQ","BEST_FPERIOD_OVERRIDE=FQ","FILING_STATUS=MR","SCALING_FORMAT=MLN","Sort=A","Dates=H","DateFormat=P","Fill=—","Direction=H","UseDPDF=Y")</f>
        <v>—</v>
      </c>
      <c r="G162" s="13" t="str">
        <f>_xll.BDH("ALNY US Equity","ARDR_TRADING_CDO_CLO_GAIN_LOSS","FQ4 2019","FQ4 2019","Currency=USD","Period=FQ","BEST_FPERIOD_OVERRIDE=FQ","FILING_STATUS=MR","SCALING_FORMAT=MLN","Sort=A","Dates=H","DateFormat=P","Fill=—","Direction=H","UseDPDF=Y")</f>
        <v>—</v>
      </c>
      <c r="H162" s="13" t="str">
        <f>_xll.BDH("ALNY US Equity","ARDR_TRADING_CDO_CLO_GAIN_LOSS","FQ1 2020","FQ1 2020","Currency=USD","Period=FQ","BEST_FPERIOD_OVERRIDE=FQ","FILING_STATUS=MR","SCALING_FORMAT=MLN","Sort=A","Dates=H","DateFormat=P","Fill=—","Direction=H","UseDPDF=Y")</f>
        <v>—</v>
      </c>
      <c r="I162" s="13" t="str">
        <f>_xll.BDH("ALNY US Equity","ARDR_TRADING_CDO_CLO_GAIN_LOSS","FQ2 2020","FQ2 2020","Currency=USD","Period=FQ","BEST_FPERIOD_OVERRIDE=FQ","FILING_STATUS=MR","SCALING_FORMAT=MLN","Sort=A","Dates=H","DateFormat=P","Fill=—","Direction=H","UseDPDF=Y")</f>
        <v>—</v>
      </c>
      <c r="J162" s="13" t="str">
        <f>_xll.BDH("ALNY US Equity","ARDR_TRADING_CDO_CLO_GAIN_LOSS","FQ3 2020","FQ3 2020","Currency=USD","Period=FQ","BEST_FPERIOD_OVERRIDE=FQ","FILING_STATUS=MR","SCALING_FORMAT=MLN","Sort=A","Dates=H","DateFormat=P","Fill=—","Direction=H","UseDPDF=Y")</f>
        <v>—</v>
      </c>
      <c r="K162" s="13" t="str">
        <f>_xll.BDH("ALNY US Equity","ARDR_TRADING_CDO_CLO_GAIN_LOSS","FQ4 2020","FQ4 2020","Currency=USD","Period=FQ","BEST_FPERIOD_OVERRIDE=FQ","FILING_STATUS=MR","SCALING_FORMAT=MLN","Sort=A","Dates=H","DateFormat=P","Fill=—","Direction=H","UseDPDF=Y")</f>
        <v>—</v>
      </c>
      <c r="L162" s="13" t="str">
        <f>_xll.BDH("ALNY US Equity","ARDR_TRADING_CDO_CLO_GAIN_LOSS","FQ1 2021","FQ1 2021","Currency=USD","Period=FQ","BEST_FPERIOD_OVERRIDE=FQ","FILING_STATUS=MR","SCALING_FORMAT=MLN","Sort=A","Dates=H","DateFormat=P","Fill=—","Direction=H","UseDPDF=Y")</f>
        <v>—</v>
      </c>
      <c r="M162" s="13" t="str">
        <f>_xll.BDH("ALNY US Equity","ARDR_TRADING_CDO_CLO_GAIN_LOSS","FQ2 2021","FQ2 2021","Currency=USD","Period=FQ","BEST_FPERIOD_OVERRIDE=FQ","FILING_STATUS=MR","SCALING_FORMAT=MLN","Sort=A","Dates=H","DateFormat=P","Fill=—","Direction=H","UseDPDF=Y")</f>
        <v>—</v>
      </c>
      <c r="N162" s="13" t="str">
        <f>_xll.BDH("ALNY US Equity","ARDR_TRADING_CDO_CLO_GAIN_LOSS","FQ3 2021","FQ3 2021","Currency=USD","Period=FQ","BEST_FPERIOD_OVERRIDE=FQ","FILING_STATUS=MR","SCALING_FORMAT=MLN","Sort=A","Dates=H","DateFormat=P","Fill=—","Direction=H","UseDPDF=Y")</f>
        <v>—</v>
      </c>
      <c r="O162" s="13" t="str">
        <f>_xll.BDH("ALNY US Equity","ARDR_TRADING_CDO_CLO_GAIN_LOSS","FQ4 2021","FQ4 2021","Currency=USD","Period=FQ","BEST_FPERIOD_OVERRIDE=FQ","FILING_STATUS=MR","SCALING_FORMAT=MLN","Sort=A","Dates=H","DateFormat=P","Fill=—","Direction=H","UseDPDF=Y")</f>
        <v>—</v>
      </c>
      <c r="P162" s="13" t="str">
        <f>_xll.BDH("ALNY US Equity","ARDR_TRADING_CDO_CLO_GAIN_LOSS","FQ1 2022","FQ1 2022","Currency=USD","Period=FQ","BEST_FPERIOD_OVERRIDE=FQ","FILING_STATUS=MR","SCALING_FORMAT=MLN","Sort=A","Dates=H","DateFormat=P","Fill=—","Direction=H","UseDPDF=Y")</f>
        <v>—</v>
      </c>
      <c r="Q162" s="13" t="str">
        <f>_xll.BDH("ALNY US Equity","ARDR_TRADING_CDO_CLO_GAIN_LOSS","FQ2 2022","FQ2 2022","Currency=USD","Period=FQ","BEST_FPERIOD_OVERRIDE=FQ","FILING_STATUS=MR","SCALING_FORMAT=MLN","Sort=A","Dates=H","DateFormat=P","Fill=—","Direction=H","UseDPDF=Y")</f>
        <v>—</v>
      </c>
      <c r="R162" s="13" t="str">
        <f>_xll.BDH("ALNY US Equity","ARDR_TRADING_CDO_CLO_GAIN_LOSS","FQ3 2022","FQ3 2022","Currency=USD","Period=FQ","BEST_FPERIOD_OVERRIDE=FQ","FILING_STATUS=MR","SCALING_FORMAT=MLN","Sort=A","Dates=H","DateFormat=P","Fill=—","Direction=H","UseDPDF=Y")</f>
        <v>—</v>
      </c>
      <c r="S162" s="13">
        <f>_xll.BDH("ALNY US Equity","ARDR_TRADING_CDO_CLO_GAIN_LOSS","FQ4 2022","FQ4 2022","Currency=USD","Period=FQ","BEST_FPERIOD_OVERRIDE=FQ","FILING_STATUS=MR","SCALING_FORMAT=MLN","Sort=A","Dates=H","DateFormat=P","Fill=—","Direction=H","UseDPDF=Y")</f>
        <v>0</v>
      </c>
      <c r="T162" s="13" t="str">
        <f>_xll.BDH("ALNY US Equity","ARDR_TRADING_CDO_CLO_GAIN_LOSS","FQ1 2023","FQ1 2023","Currency=USD","Period=FQ","BEST_FPERIOD_OVERRIDE=FQ","FILING_STATUS=MR","SCALING_FORMAT=MLN","Sort=A","Dates=H","DateFormat=P","Fill=—","Direction=H","UseDPDF=Y")</f>
        <v>—</v>
      </c>
      <c r="U162" s="13" t="str">
        <f>_xll.BDH("ALNY US Equity","ARDR_TRADING_CDO_CLO_GAIN_LOSS","FQ2 2023","FQ2 2023","Currency=USD","Period=FQ","BEST_FPERIOD_OVERRIDE=FQ","FILING_STATUS=MR","SCALING_FORMAT=MLN","Sort=A","Dates=H","DateFormat=P","Fill=—","Direction=H","UseDPDF=Y")</f>
        <v>—</v>
      </c>
      <c r="V162" s="13" t="str">
        <f>_xll.BDH("ALNY US Equity","ARDR_TRADING_CDO_CLO_GAIN_LOSS","FQ3 2023","FQ3 2023","Currency=USD","Period=FQ","BEST_FPERIOD_OVERRIDE=FQ","FILING_STATUS=MR","SCALING_FORMAT=MLN","Sort=A","Dates=H","DateFormat=P","Fill=—","Direction=H","UseDPDF=Y")</f>
        <v>—</v>
      </c>
      <c r="W162" s="13">
        <f>_xll.BDH("ALNY US Equity","ARDR_TRADING_CDO_CLO_GAIN_LOSS","FQ4 2023","FQ4 2023","Currency=USD","Period=FQ","BEST_FPERIOD_OVERRIDE=FQ","FILING_STATUS=MR","SCALING_FORMAT=MLN","Sort=A","Dates=H","DateFormat=P","Fill=—","Direction=H","UseDPDF=Y")</f>
        <v>0</v>
      </c>
      <c r="X162" s="13" t="str">
        <f>_xll.BDH("ALNY US Equity","ARDR_TRADING_CDO_CLO_GAIN_LOSS","FQ1 2024","FQ1 2024","Currency=USD","Period=FQ","BEST_FPERIOD_OVERRIDE=FQ","FILING_STATUS=MR","SCALING_FORMAT=MLN","Sort=A","Dates=H","DateFormat=P","Fill=—","Direction=H","UseDPDF=Y")</f>
        <v>—</v>
      </c>
      <c r="Y162" s="13" t="str">
        <f>_xll.BDH("ALNY US Equity","ARDR_TRADING_CDO_CLO_GAIN_LOSS","FQ2 2024","FQ2 2024","Currency=USD","Period=FQ","BEST_FPERIOD_OVERRIDE=FQ","FILING_STATUS=MR","SCALING_FORMAT=MLN","Sort=A","Dates=H","DateFormat=P","Fill=—","Direction=H","UseDPDF=Y")</f>
        <v>—</v>
      </c>
      <c r="Z162" s="13" t="str">
        <f>_xll.BDH("ALNY US Equity","ARDR_TRADING_CDO_CLO_GAIN_LOSS","FQ3 2024","FQ3 2024","Currency=USD","Period=FQ","BEST_FPERIOD_OVERRIDE=FQ","FILING_STATUS=MR","SCALING_FORMAT=MLN","Sort=A","Dates=H","DateFormat=P","Fill=—","Direction=H","UseDPDF=Y")</f>
        <v>—</v>
      </c>
      <c r="AA162" s="13">
        <f>_xll.BDH("ALNY US Equity","ARDR_TRADING_CDO_CLO_GAIN_LOSS","FQ4 2024","FQ4 2024","Currency=USD","Period=FQ","BEST_FPERIOD_OVERRIDE=FQ","FILING_STATUS=MR","SCALING_FORMAT=MLN","Sort=A","Dates=H","DateFormat=P","Fill=—","Direction=H","UseDPDF=Y")</f>
        <v>1E-3</v>
      </c>
    </row>
    <row r="163" spans="1:27" x14ac:dyDescent="0.25">
      <c r="A163" s="10" t="s">
        <v>1107</v>
      </c>
      <c r="B163" s="10" t="s">
        <v>1108</v>
      </c>
      <c r="C163" s="13" t="str">
        <f>_xll.BDH("ALNY US Equity","ARDR_TRAD_GSE_GUARANTEED_CMO_MBS","FQ4 2018","FQ4 2018","Currency=USD","Period=FQ","BEST_FPERIOD_OVERRIDE=FQ","FILING_STATUS=MR","SCALING_FORMAT=MLN","Sort=A","Dates=H","DateFormat=P","Fill=—","Direction=H","UseDPDF=Y")</f>
        <v>—</v>
      </c>
      <c r="D163" s="13" t="str">
        <f>_xll.BDH("ALNY US Equity","ARDR_TRAD_GSE_GUARANTEED_CMO_MBS","FQ1 2019","FQ1 2019","Currency=USD","Period=FQ","BEST_FPERIOD_OVERRIDE=FQ","FILING_STATUS=MR","SCALING_FORMAT=MLN","Sort=A","Dates=H","DateFormat=P","Fill=—","Direction=H","UseDPDF=Y")</f>
        <v>—</v>
      </c>
      <c r="E163" s="13" t="str">
        <f>_xll.BDH("ALNY US Equity","ARDR_TRAD_GSE_GUARANTEED_CMO_MBS","FQ2 2019","FQ2 2019","Currency=USD","Period=FQ","BEST_FPERIOD_OVERRIDE=FQ","FILING_STATUS=MR","SCALING_FORMAT=MLN","Sort=A","Dates=H","DateFormat=P","Fill=—","Direction=H","UseDPDF=Y")</f>
        <v>—</v>
      </c>
      <c r="F163" s="13" t="str">
        <f>_xll.BDH("ALNY US Equity","ARDR_TRAD_GSE_GUARANTEED_CMO_MBS","FQ3 2019","FQ3 2019","Currency=USD","Period=FQ","BEST_FPERIOD_OVERRIDE=FQ","FILING_STATUS=MR","SCALING_FORMAT=MLN","Sort=A","Dates=H","DateFormat=P","Fill=—","Direction=H","UseDPDF=Y")</f>
        <v>—</v>
      </c>
      <c r="G163" s="13" t="str">
        <f>_xll.BDH("ALNY US Equity","ARDR_TRAD_GSE_GUARANTEED_CMO_MBS","FQ4 2019","FQ4 2019","Currency=USD","Period=FQ","BEST_FPERIOD_OVERRIDE=FQ","FILING_STATUS=MR","SCALING_FORMAT=MLN","Sort=A","Dates=H","DateFormat=P","Fill=—","Direction=H","UseDPDF=Y")</f>
        <v>—</v>
      </c>
      <c r="H163" s="13" t="str">
        <f>_xll.BDH("ALNY US Equity","ARDR_TRAD_GSE_GUARANTEED_CMO_MBS","FQ1 2020","FQ1 2020","Currency=USD","Period=FQ","BEST_FPERIOD_OVERRIDE=FQ","FILING_STATUS=MR","SCALING_FORMAT=MLN","Sort=A","Dates=H","DateFormat=P","Fill=—","Direction=H","UseDPDF=Y")</f>
        <v>—</v>
      </c>
      <c r="I163" s="13" t="str">
        <f>_xll.BDH("ALNY US Equity","ARDR_TRAD_GSE_GUARANTEED_CMO_MBS","FQ2 2020","FQ2 2020","Currency=USD","Period=FQ","BEST_FPERIOD_OVERRIDE=FQ","FILING_STATUS=MR","SCALING_FORMAT=MLN","Sort=A","Dates=H","DateFormat=P","Fill=—","Direction=H","UseDPDF=Y")</f>
        <v>—</v>
      </c>
      <c r="J163" s="13" t="str">
        <f>_xll.BDH("ALNY US Equity","ARDR_TRAD_GSE_GUARANTEED_CMO_MBS","FQ3 2020","FQ3 2020","Currency=USD","Period=FQ","BEST_FPERIOD_OVERRIDE=FQ","FILING_STATUS=MR","SCALING_FORMAT=MLN","Sort=A","Dates=H","DateFormat=P","Fill=—","Direction=H","UseDPDF=Y")</f>
        <v>—</v>
      </c>
      <c r="K163" s="13" t="str">
        <f>_xll.BDH("ALNY US Equity","ARDR_TRAD_GSE_GUARANTEED_CMO_MBS","FQ4 2020","FQ4 2020","Currency=USD","Period=FQ","BEST_FPERIOD_OVERRIDE=FQ","FILING_STATUS=MR","SCALING_FORMAT=MLN","Sort=A","Dates=H","DateFormat=P","Fill=—","Direction=H","UseDPDF=Y")</f>
        <v>—</v>
      </c>
      <c r="L163" s="13" t="str">
        <f>_xll.BDH("ALNY US Equity","ARDR_TRAD_GSE_GUARANTEED_CMO_MBS","FQ1 2021","FQ1 2021","Currency=USD","Period=FQ","BEST_FPERIOD_OVERRIDE=FQ","FILING_STATUS=MR","SCALING_FORMAT=MLN","Sort=A","Dates=H","DateFormat=P","Fill=—","Direction=H","UseDPDF=Y")</f>
        <v>—</v>
      </c>
      <c r="M163" s="13" t="str">
        <f>_xll.BDH("ALNY US Equity","ARDR_TRAD_GSE_GUARANTEED_CMO_MBS","FQ2 2021","FQ2 2021","Currency=USD","Period=FQ","BEST_FPERIOD_OVERRIDE=FQ","FILING_STATUS=MR","SCALING_FORMAT=MLN","Sort=A","Dates=H","DateFormat=P","Fill=—","Direction=H","UseDPDF=Y")</f>
        <v>—</v>
      </c>
      <c r="N163" s="13" t="str">
        <f>_xll.BDH("ALNY US Equity","ARDR_TRAD_GSE_GUARANTEED_CMO_MBS","FQ3 2021","FQ3 2021","Currency=USD","Period=FQ","BEST_FPERIOD_OVERRIDE=FQ","FILING_STATUS=MR","SCALING_FORMAT=MLN","Sort=A","Dates=H","DateFormat=P","Fill=—","Direction=H","UseDPDF=Y")</f>
        <v>—</v>
      </c>
      <c r="O163" s="13" t="str">
        <f>_xll.BDH("ALNY US Equity","ARDR_TRAD_GSE_GUARANTEED_CMO_MBS","FQ4 2021","FQ4 2021","Currency=USD","Period=FQ","BEST_FPERIOD_OVERRIDE=FQ","FILING_STATUS=MR","SCALING_FORMAT=MLN","Sort=A","Dates=H","DateFormat=P","Fill=—","Direction=H","UseDPDF=Y")</f>
        <v>—</v>
      </c>
      <c r="P163" s="13" t="str">
        <f>_xll.BDH("ALNY US Equity","ARDR_TRAD_GSE_GUARANTEED_CMO_MBS","FQ1 2022","FQ1 2022","Currency=USD","Period=FQ","BEST_FPERIOD_OVERRIDE=FQ","FILING_STATUS=MR","SCALING_FORMAT=MLN","Sort=A","Dates=H","DateFormat=P","Fill=—","Direction=H","UseDPDF=Y")</f>
        <v>—</v>
      </c>
      <c r="Q163" s="13" t="str">
        <f>_xll.BDH("ALNY US Equity","ARDR_TRAD_GSE_GUARANTEED_CMO_MBS","FQ2 2022","FQ2 2022","Currency=USD","Period=FQ","BEST_FPERIOD_OVERRIDE=FQ","FILING_STATUS=MR","SCALING_FORMAT=MLN","Sort=A","Dates=H","DateFormat=P","Fill=—","Direction=H","UseDPDF=Y")</f>
        <v>—</v>
      </c>
      <c r="R163" s="13" t="str">
        <f>_xll.BDH("ALNY US Equity","ARDR_TRAD_GSE_GUARANTEED_CMO_MBS","FQ3 2022","FQ3 2022","Currency=USD","Period=FQ","BEST_FPERIOD_OVERRIDE=FQ","FILING_STATUS=MR","SCALING_FORMAT=MLN","Sort=A","Dates=H","DateFormat=P","Fill=—","Direction=H","UseDPDF=Y")</f>
        <v>—</v>
      </c>
      <c r="S163" s="13">
        <f>_xll.BDH("ALNY US Equity","ARDR_TRAD_GSE_GUARANTEED_CMO_MBS","FQ4 2022","FQ4 2022","Currency=USD","Period=FQ","BEST_FPERIOD_OVERRIDE=FQ","FILING_STATUS=MR","SCALING_FORMAT=MLN","Sort=A","Dates=H","DateFormat=P","Fill=—","Direction=H","UseDPDF=Y")</f>
        <v>1138.2629999999999</v>
      </c>
      <c r="T163" s="13" t="str">
        <f>_xll.BDH("ALNY US Equity","ARDR_TRAD_GSE_GUARANTEED_CMO_MBS","FQ1 2023","FQ1 2023","Currency=USD","Period=FQ","BEST_FPERIOD_OVERRIDE=FQ","FILING_STATUS=MR","SCALING_FORMAT=MLN","Sort=A","Dates=H","DateFormat=P","Fill=—","Direction=H","UseDPDF=Y")</f>
        <v>—</v>
      </c>
      <c r="U163" s="13" t="str">
        <f>_xll.BDH("ALNY US Equity","ARDR_TRAD_GSE_GUARANTEED_CMO_MBS","FQ2 2023","FQ2 2023","Currency=USD","Period=FQ","BEST_FPERIOD_OVERRIDE=FQ","FILING_STATUS=MR","SCALING_FORMAT=MLN","Sort=A","Dates=H","DateFormat=P","Fill=—","Direction=H","UseDPDF=Y")</f>
        <v>—</v>
      </c>
      <c r="V163" s="13" t="str">
        <f>_xll.BDH("ALNY US Equity","ARDR_TRAD_GSE_GUARANTEED_CMO_MBS","FQ3 2023","FQ3 2023","Currency=USD","Period=FQ","BEST_FPERIOD_OVERRIDE=FQ","FILING_STATUS=MR","SCALING_FORMAT=MLN","Sort=A","Dates=H","DateFormat=P","Fill=—","Direction=H","UseDPDF=Y")</f>
        <v>—</v>
      </c>
      <c r="W163" s="13">
        <f>_xll.BDH("ALNY US Equity","ARDR_TRAD_GSE_GUARANTEED_CMO_MBS","FQ4 2023","FQ4 2023","Currency=USD","Period=FQ","BEST_FPERIOD_OVERRIDE=FQ","FILING_STATUS=MR","SCALING_FORMAT=MLN","Sort=A","Dates=H","DateFormat=P","Fill=—","Direction=H","UseDPDF=Y")</f>
        <v>1334.075</v>
      </c>
      <c r="X163" s="13" t="str">
        <f>_xll.BDH("ALNY US Equity","ARDR_TRAD_GSE_GUARANTEED_CMO_MBS","FQ1 2024","FQ1 2024","Currency=USD","Period=FQ","BEST_FPERIOD_OVERRIDE=FQ","FILING_STATUS=MR","SCALING_FORMAT=MLN","Sort=A","Dates=H","DateFormat=P","Fill=—","Direction=H","UseDPDF=Y")</f>
        <v>—</v>
      </c>
      <c r="Y163" s="13" t="str">
        <f>_xll.BDH("ALNY US Equity","ARDR_TRAD_GSE_GUARANTEED_CMO_MBS","FQ2 2024","FQ2 2024","Currency=USD","Period=FQ","BEST_FPERIOD_OVERRIDE=FQ","FILING_STATUS=MR","SCALING_FORMAT=MLN","Sort=A","Dates=H","DateFormat=P","Fill=—","Direction=H","UseDPDF=Y")</f>
        <v>—</v>
      </c>
      <c r="Z163" s="13" t="str">
        <f>_xll.BDH("ALNY US Equity","ARDR_TRAD_GSE_GUARANTEED_CMO_MBS","FQ3 2024","FQ3 2024","Currency=USD","Period=FQ","BEST_FPERIOD_OVERRIDE=FQ","FILING_STATUS=MR","SCALING_FORMAT=MLN","Sort=A","Dates=H","DateFormat=P","Fill=—","Direction=H","UseDPDF=Y")</f>
        <v>—</v>
      </c>
      <c r="AA163" s="13">
        <f>_xll.BDH("ALNY US Equity","ARDR_TRAD_GSE_GUARANTEED_CMO_MBS","FQ4 2024","FQ4 2024","Currency=USD","Period=FQ","BEST_FPERIOD_OVERRIDE=FQ","FILING_STATUS=MR","SCALING_FORMAT=MLN","Sort=A","Dates=H","DateFormat=P","Fill=—","Direction=H","UseDPDF=Y")</f>
        <v>1364.15</v>
      </c>
    </row>
    <row r="164" spans="1:27" x14ac:dyDescent="0.25">
      <c r="A164" s="10" t="s">
        <v>1109</v>
      </c>
      <c r="B164" s="10" t="s">
        <v>1110</v>
      </c>
      <c r="C164" s="13" t="str">
        <f>_xll.BDH("ALNY US Equity","ARDR_TRADING_GSE_GTD_CMO_MBS_G_L","FQ4 2018","FQ4 2018","Currency=USD","Period=FQ","BEST_FPERIOD_OVERRIDE=FQ","FILING_STATUS=MR","SCALING_FORMAT=MLN","Sort=A","Dates=H","DateFormat=P","Fill=—","Direction=H","UseDPDF=Y")</f>
        <v>—</v>
      </c>
      <c r="D164" s="13" t="str">
        <f>_xll.BDH("ALNY US Equity","ARDR_TRADING_GSE_GTD_CMO_MBS_G_L","FQ1 2019","FQ1 2019","Currency=USD","Period=FQ","BEST_FPERIOD_OVERRIDE=FQ","FILING_STATUS=MR","SCALING_FORMAT=MLN","Sort=A","Dates=H","DateFormat=P","Fill=—","Direction=H","UseDPDF=Y")</f>
        <v>—</v>
      </c>
      <c r="E164" s="13" t="str">
        <f>_xll.BDH("ALNY US Equity","ARDR_TRADING_GSE_GTD_CMO_MBS_G_L","FQ2 2019","FQ2 2019","Currency=USD","Period=FQ","BEST_FPERIOD_OVERRIDE=FQ","FILING_STATUS=MR","SCALING_FORMAT=MLN","Sort=A","Dates=H","DateFormat=P","Fill=—","Direction=H","UseDPDF=Y")</f>
        <v>—</v>
      </c>
      <c r="F164" s="13" t="str">
        <f>_xll.BDH("ALNY US Equity","ARDR_TRADING_GSE_GTD_CMO_MBS_G_L","FQ3 2019","FQ3 2019","Currency=USD","Period=FQ","BEST_FPERIOD_OVERRIDE=FQ","FILING_STATUS=MR","SCALING_FORMAT=MLN","Sort=A","Dates=H","DateFormat=P","Fill=—","Direction=H","UseDPDF=Y")</f>
        <v>—</v>
      </c>
      <c r="G164" s="13" t="str">
        <f>_xll.BDH("ALNY US Equity","ARDR_TRADING_GSE_GTD_CMO_MBS_G_L","FQ4 2019","FQ4 2019","Currency=USD","Period=FQ","BEST_FPERIOD_OVERRIDE=FQ","FILING_STATUS=MR","SCALING_FORMAT=MLN","Sort=A","Dates=H","DateFormat=P","Fill=—","Direction=H","UseDPDF=Y")</f>
        <v>—</v>
      </c>
      <c r="H164" s="13" t="str">
        <f>_xll.BDH("ALNY US Equity","ARDR_TRADING_GSE_GTD_CMO_MBS_G_L","FQ1 2020","FQ1 2020","Currency=USD","Period=FQ","BEST_FPERIOD_OVERRIDE=FQ","FILING_STATUS=MR","SCALING_FORMAT=MLN","Sort=A","Dates=H","DateFormat=P","Fill=—","Direction=H","UseDPDF=Y")</f>
        <v>—</v>
      </c>
      <c r="I164" s="13" t="str">
        <f>_xll.BDH("ALNY US Equity","ARDR_TRADING_GSE_GTD_CMO_MBS_G_L","FQ2 2020","FQ2 2020","Currency=USD","Period=FQ","BEST_FPERIOD_OVERRIDE=FQ","FILING_STATUS=MR","SCALING_FORMAT=MLN","Sort=A","Dates=H","DateFormat=P","Fill=—","Direction=H","UseDPDF=Y")</f>
        <v>—</v>
      </c>
      <c r="J164" s="13" t="str">
        <f>_xll.BDH("ALNY US Equity","ARDR_TRADING_GSE_GTD_CMO_MBS_G_L","FQ3 2020","FQ3 2020","Currency=USD","Period=FQ","BEST_FPERIOD_OVERRIDE=FQ","FILING_STATUS=MR","SCALING_FORMAT=MLN","Sort=A","Dates=H","DateFormat=P","Fill=—","Direction=H","UseDPDF=Y")</f>
        <v>—</v>
      </c>
      <c r="K164" s="13" t="str">
        <f>_xll.BDH("ALNY US Equity","ARDR_TRADING_GSE_GTD_CMO_MBS_G_L","FQ4 2020","FQ4 2020","Currency=USD","Period=FQ","BEST_FPERIOD_OVERRIDE=FQ","FILING_STATUS=MR","SCALING_FORMAT=MLN","Sort=A","Dates=H","DateFormat=P","Fill=—","Direction=H","UseDPDF=Y")</f>
        <v>—</v>
      </c>
      <c r="L164" s="13" t="str">
        <f>_xll.BDH("ALNY US Equity","ARDR_TRADING_GSE_GTD_CMO_MBS_G_L","FQ1 2021","FQ1 2021","Currency=USD","Period=FQ","BEST_FPERIOD_OVERRIDE=FQ","FILING_STATUS=MR","SCALING_FORMAT=MLN","Sort=A","Dates=H","DateFormat=P","Fill=—","Direction=H","UseDPDF=Y")</f>
        <v>—</v>
      </c>
      <c r="M164" s="13" t="str">
        <f>_xll.BDH("ALNY US Equity","ARDR_TRADING_GSE_GTD_CMO_MBS_G_L","FQ2 2021","FQ2 2021","Currency=USD","Period=FQ","BEST_FPERIOD_OVERRIDE=FQ","FILING_STATUS=MR","SCALING_FORMAT=MLN","Sort=A","Dates=H","DateFormat=P","Fill=—","Direction=H","UseDPDF=Y")</f>
        <v>—</v>
      </c>
      <c r="N164" s="13" t="str">
        <f>_xll.BDH("ALNY US Equity","ARDR_TRADING_GSE_GTD_CMO_MBS_G_L","FQ3 2021","FQ3 2021","Currency=USD","Period=FQ","BEST_FPERIOD_OVERRIDE=FQ","FILING_STATUS=MR","SCALING_FORMAT=MLN","Sort=A","Dates=H","DateFormat=P","Fill=—","Direction=H","UseDPDF=Y")</f>
        <v>—</v>
      </c>
      <c r="O164" s="13" t="str">
        <f>_xll.BDH("ALNY US Equity","ARDR_TRADING_GSE_GTD_CMO_MBS_G_L","FQ4 2021","FQ4 2021","Currency=USD","Period=FQ","BEST_FPERIOD_OVERRIDE=FQ","FILING_STATUS=MR","SCALING_FORMAT=MLN","Sort=A","Dates=H","DateFormat=P","Fill=—","Direction=H","UseDPDF=Y")</f>
        <v>—</v>
      </c>
      <c r="P164" s="13" t="str">
        <f>_xll.BDH("ALNY US Equity","ARDR_TRADING_GSE_GTD_CMO_MBS_G_L","FQ1 2022","FQ1 2022","Currency=USD","Period=FQ","BEST_FPERIOD_OVERRIDE=FQ","FILING_STATUS=MR","SCALING_FORMAT=MLN","Sort=A","Dates=H","DateFormat=P","Fill=—","Direction=H","UseDPDF=Y")</f>
        <v>—</v>
      </c>
      <c r="Q164" s="13" t="str">
        <f>_xll.BDH("ALNY US Equity","ARDR_TRADING_GSE_GTD_CMO_MBS_G_L","FQ2 2022","FQ2 2022","Currency=USD","Period=FQ","BEST_FPERIOD_OVERRIDE=FQ","FILING_STATUS=MR","SCALING_FORMAT=MLN","Sort=A","Dates=H","DateFormat=P","Fill=—","Direction=H","UseDPDF=Y")</f>
        <v>—</v>
      </c>
      <c r="R164" s="13" t="str">
        <f>_xll.BDH("ALNY US Equity","ARDR_TRADING_GSE_GTD_CMO_MBS_G_L","FQ3 2022","FQ3 2022","Currency=USD","Period=FQ","BEST_FPERIOD_OVERRIDE=FQ","FILING_STATUS=MR","SCALING_FORMAT=MLN","Sort=A","Dates=H","DateFormat=P","Fill=—","Direction=H","UseDPDF=Y")</f>
        <v>—</v>
      </c>
      <c r="S164" s="13">
        <f>_xll.BDH("ALNY US Equity","ARDR_TRADING_GSE_GTD_CMO_MBS_G_L","FQ4 2022","FQ4 2022","Currency=USD","Period=FQ","BEST_FPERIOD_OVERRIDE=FQ","FILING_STATUS=MR","SCALING_FORMAT=MLN","Sort=A","Dates=H","DateFormat=P","Fill=—","Direction=H","UseDPDF=Y")</f>
        <v>-7.38</v>
      </c>
      <c r="T164" s="13" t="str">
        <f>_xll.BDH("ALNY US Equity","ARDR_TRADING_GSE_GTD_CMO_MBS_G_L","FQ1 2023","FQ1 2023","Currency=USD","Period=FQ","BEST_FPERIOD_OVERRIDE=FQ","FILING_STATUS=MR","SCALING_FORMAT=MLN","Sort=A","Dates=H","DateFormat=P","Fill=—","Direction=H","UseDPDF=Y")</f>
        <v>—</v>
      </c>
      <c r="U164" s="13" t="str">
        <f>_xll.BDH("ALNY US Equity","ARDR_TRADING_GSE_GTD_CMO_MBS_G_L","FQ2 2023","FQ2 2023","Currency=USD","Period=FQ","BEST_FPERIOD_OVERRIDE=FQ","FILING_STATUS=MR","SCALING_FORMAT=MLN","Sort=A","Dates=H","DateFormat=P","Fill=—","Direction=H","UseDPDF=Y")</f>
        <v>—</v>
      </c>
      <c r="V164" s="13" t="str">
        <f>_xll.BDH("ALNY US Equity","ARDR_TRADING_GSE_GTD_CMO_MBS_G_L","FQ3 2023","FQ3 2023","Currency=USD","Period=FQ","BEST_FPERIOD_OVERRIDE=FQ","FILING_STATUS=MR","SCALING_FORMAT=MLN","Sort=A","Dates=H","DateFormat=P","Fill=—","Direction=H","UseDPDF=Y")</f>
        <v>—</v>
      </c>
      <c r="W164" s="13">
        <f>_xll.BDH("ALNY US Equity","ARDR_TRADING_GSE_GTD_CMO_MBS_G_L","FQ4 2023","FQ4 2023","Currency=USD","Period=FQ","BEST_FPERIOD_OVERRIDE=FQ","FILING_STATUS=MR","SCALING_FORMAT=MLN","Sort=A","Dates=H","DateFormat=P","Fill=—","Direction=H","UseDPDF=Y")</f>
        <v>0.92300000000000004</v>
      </c>
      <c r="X164" s="13" t="str">
        <f>_xll.BDH("ALNY US Equity","ARDR_TRADING_GSE_GTD_CMO_MBS_G_L","FQ1 2024","FQ1 2024","Currency=USD","Period=FQ","BEST_FPERIOD_OVERRIDE=FQ","FILING_STATUS=MR","SCALING_FORMAT=MLN","Sort=A","Dates=H","DateFormat=P","Fill=—","Direction=H","UseDPDF=Y")</f>
        <v>—</v>
      </c>
      <c r="Y164" s="13" t="str">
        <f>_xll.BDH("ALNY US Equity","ARDR_TRADING_GSE_GTD_CMO_MBS_G_L","FQ2 2024","FQ2 2024","Currency=USD","Period=FQ","BEST_FPERIOD_OVERRIDE=FQ","FILING_STATUS=MR","SCALING_FORMAT=MLN","Sort=A","Dates=H","DateFormat=P","Fill=—","Direction=H","UseDPDF=Y")</f>
        <v>—</v>
      </c>
      <c r="Z164" s="13" t="str">
        <f>_xll.BDH("ALNY US Equity","ARDR_TRADING_GSE_GTD_CMO_MBS_G_L","FQ3 2024","FQ3 2024","Currency=USD","Period=FQ","BEST_FPERIOD_OVERRIDE=FQ","FILING_STATUS=MR","SCALING_FORMAT=MLN","Sort=A","Dates=H","DateFormat=P","Fill=—","Direction=H","UseDPDF=Y")</f>
        <v>—</v>
      </c>
      <c r="AA164" s="13">
        <f>_xll.BDH("ALNY US Equity","ARDR_TRADING_GSE_GTD_CMO_MBS_G_L","FQ4 2024","FQ4 2024","Currency=USD","Period=FQ","BEST_FPERIOD_OVERRIDE=FQ","FILING_STATUS=MR","SCALING_FORMAT=MLN","Sort=A","Dates=H","DateFormat=P","Fill=—","Direction=H","UseDPDF=Y")</f>
        <v>1.115</v>
      </c>
    </row>
    <row r="165" spans="1:27" x14ac:dyDescent="0.25">
      <c r="A165" s="10" t="s">
        <v>1111</v>
      </c>
      <c r="B165" s="10" t="s">
        <v>1112</v>
      </c>
      <c r="C165" s="13">
        <f>_xll.BDH("ALNY US Equity","ARDR_DTA_NOL_CARRYFORWARD","FQ4 2018","FQ4 2018","Currency=USD","Period=FQ","BEST_FPERIOD_OVERRIDE=FQ","FILING_STATUS=MR","SCALING_FORMAT=MLN","Sort=A","Dates=H","DateFormat=P","Fill=—","Direction=H","UseDPDF=Y")</f>
        <v>506.57400000000001</v>
      </c>
      <c r="D165" s="13" t="str">
        <f>_xll.BDH("ALNY US Equity","ARDR_DTA_NOL_CARRYFORWARD","FQ1 2019","FQ1 2019","Currency=USD","Period=FQ","BEST_FPERIOD_OVERRIDE=FQ","FILING_STATUS=MR","SCALING_FORMAT=MLN","Sort=A","Dates=H","DateFormat=P","Fill=—","Direction=H","UseDPDF=Y")</f>
        <v>—</v>
      </c>
      <c r="E165" s="13" t="str">
        <f>_xll.BDH("ALNY US Equity","ARDR_DTA_NOL_CARRYFORWARD","FQ2 2019","FQ2 2019","Currency=USD","Period=FQ","BEST_FPERIOD_OVERRIDE=FQ","FILING_STATUS=MR","SCALING_FORMAT=MLN","Sort=A","Dates=H","DateFormat=P","Fill=—","Direction=H","UseDPDF=Y")</f>
        <v>—</v>
      </c>
      <c r="F165" s="13" t="str">
        <f>_xll.BDH("ALNY US Equity","ARDR_DTA_NOL_CARRYFORWARD","FQ3 2019","FQ3 2019","Currency=USD","Period=FQ","BEST_FPERIOD_OVERRIDE=FQ","FILING_STATUS=MR","SCALING_FORMAT=MLN","Sort=A","Dates=H","DateFormat=P","Fill=—","Direction=H","UseDPDF=Y")</f>
        <v>—</v>
      </c>
      <c r="G165" s="13">
        <f>_xll.BDH("ALNY US Equity","ARDR_DTA_NOL_CARRYFORWARD","FQ4 2019","FQ4 2019","Currency=USD","Period=FQ","BEST_FPERIOD_OVERRIDE=FQ","FILING_STATUS=MR","SCALING_FORMAT=MLN","Sort=A","Dates=H","DateFormat=P","Fill=—","Direction=H","UseDPDF=Y")</f>
        <v>627.46600000000001</v>
      </c>
      <c r="H165" s="13" t="str">
        <f>_xll.BDH("ALNY US Equity","ARDR_DTA_NOL_CARRYFORWARD","FQ1 2020","FQ1 2020","Currency=USD","Period=FQ","BEST_FPERIOD_OVERRIDE=FQ","FILING_STATUS=MR","SCALING_FORMAT=MLN","Sort=A","Dates=H","DateFormat=P","Fill=—","Direction=H","UseDPDF=Y")</f>
        <v>—</v>
      </c>
      <c r="I165" s="13" t="str">
        <f>_xll.BDH("ALNY US Equity","ARDR_DTA_NOL_CARRYFORWARD","FQ2 2020","FQ2 2020","Currency=USD","Period=FQ","BEST_FPERIOD_OVERRIDE=FQ","FILING_STATUS=MR","SCALING_FORMAT=MLN","Sort=A","Dates=H","DateFormat=P","Fill=—","Direction=H","UseDPDF=Y")</f>
        <v>—</v>
      </c>
      <c r="J165" s="13" t="str">
        <f>_xll.BDH("ALNY US Equity","ARDR_DTA_NOL_CARRYFORWARD","FQ3 2020","FQ3 2020","Currency=USD","Period=FQ","BEST_FPERIOD_OVERRIDE=FQ","FILING_STATUS=MR","SCALING_FORMAT=MLN","Sort=A","Dates=H","DateFormat=P","Fill=—","Direction=H","UseDPDF=Y")</f>
        <v>—</v>
      </c>
      <c r="K165" s="13">
        <f>_xll.BDH("ALNY US Equity","ARDR_DTA_NOL_CARRYFORWARD","FQ4 2020","FQ4 2020","Currency=USD","Period=FQ","BEST_FPERIOD_OVERRIDE=FQ","FILING_STATUS=MR","SCALING_FORMAT=MLN","Sort=A","Dates=H","DateFormat=P","Fill=—","Direction=H","UseDPDF=Y")</f>
        <v>537.38199999999995</v>
      </c>
      <c r="L165" s="13" t="str">
        <f>_xll.BDH("ALNY US Equity","ARDR_DTA_NOL_CARRYFORWARD","FQ1 2021","FQ1 2021","Currency=USD","Period=FQ","BEST_FPERIOD_OVERRIDE=FQ","FILING_STATUS=MR","SCALING_FORMAT=MLN","Sort=A","Dates=H","DateFormat=P","Fill=—","Direction=H","UseDPDF=Y")</f>
        <v>—</v>
      </c>
      <c r="M165" s="13" t="str">
        <f>_xll.BDH("ALNY US Equity","ARDR_DTA_NOL_CARRYFORWARD","FQ2 2021","FQ2 2021","Currency=USD","Period=FQ","BEST_FPERIOD_OVERRIDE=FQ","FILING_STATUS=MR","SCALING_FORMAT=MLN","Sort=A","Dates=H","DateFormat=P","Fill=—","Direction=H","UseDPDF=Y")</f>
        <v>—</v>
      </c>
      <c r="N165" s="13" t="str">
        <f>_xll.BDH("ALNY US Equity","ARDR_DTA_NOL_CARRYFORWARD","FQ3 2021","FQ3 2021","Currency=USD","Period=FQ","BEST_FPERIOD_OVERRIDE=FQ","FILING_STATUS=MR","SCALING_FORMAT=MLN","Sort=A","Dates=H","DateFormat=P","Fill=—","Direction=H","UseDPDF=Y")</f>
        <v>—</v>
      </c>
      <c r="O165" s="13">
        <f>_xll.BDH("ALNY US Equity","ARDR_DTA_NOL_CARRYFORWARD","FQ4 2021","FQ4 2021","Currency=USD","Period=FQ","BEST_FPERIOD_OVERRIDE=FQ","FILING_STATUS=MR","SCALING_FORMAT=MLN","Sort=A","Dates=H","DateFormat=P","Fill=—","Direction=H","UseDPDF=Y")</f>
        <v>745.98500000000001</v>
      </c>
      <c r="P165" s="13" t="str">
        <f>_xll.BDH("ALNY US Equity","ARDR_DTA_NOL_CARRYFORWARD","FQ1 2022","FQ1 2022","Currency=USD","Period=FQ","BEST_FPERIOD_OVERRIDE=FQ","FILING_STATUS=MR","SCALING_FORMAT=MLN","Sort=A","Dates=H","DateFormat=P","Fill=—","Direction=H","UseDPDF=Y")</f>
        <v>—</v>
      </c>
      <c r="Q165" s="13" t="str">
        <f>_xll.BDH("ALNY US Equity","ARDR_DTA_NOL_CARRYFORWARD","FQ2 2022","FQ2 2022","Currency=USD","Period=FQ","BEST_FPERIOD_OVERRIDE=FQ","FILING_STATUS=MR","SCALING_FORMAT=MLN","Sort=A","Dates=H","DateFormat=P","Fill=—","Direction=H","UseDPDF=Y")</f>
        <v>—</v>
      </c>
      <c r="R165" s="13" t="str">
        <f>_xll.BDH("ALNY US Equity","ARDR_DTA_NOL_CARRYFORWARD","FQ3 2022","FQ3 2022","Currency=USD","Period=FQ","BEST_FPERIOD_OVERRIDE=FQ","FILING_STATUS=MR","SCALING_FORMAT=MLN","Sort=A","Dates=H","DateFormat=P","Fill=—","Direction=H","UseDPDF=Y")</f>
        <v>—</v>
      </c>
      <c r="S165" s="13">
        <f>_xll.BDH("ALNY US Equity","ARDR_DTA_NOL_CARRYFORWARD","FQ4 2022","FQ4 2022","Currency=USD","Period=FQ","BEST_FPERIOD_OVERRIDE=FQ","FILING_STATUS=MR","SCALING_FORMAT=MLN","Sort=A","Dates=H","DateFormat=P","Fill=—","Direction=H","UseDPDF=Y")</f>
        <v>803.25099999999998</v>
      </c>
      <c r="T165" s="13" t="str">
        <f>_xll.BDH("ALNY US Equity","ARDR_DTA_NOL_CARRYFORWARD","FQ1 2023","FQ1 2023","Currency=USD","Period=FQ","BEST_FPERIOD_OVERRIDE=FQ","FILING_STATUS=MR","SCALING_FORMAT=MLN","Sort=A","Dates=H","DateFormat=P","Fill=—","Direction=H","UseDPDF=Y")</f>
        <v>—</v>
      </c>
      <c r="U165" s="13" t="str">
        <f>_xll.BDH("ALNY US Equity","ARDR_DTA_NOL_CARRYFORWARD","FQ2 2023","FQ2 2023","Currency=USD","Period=FQ","BEST_FPERIOD_OVERRIDE=FQ","FILING_STATUS=MR","SCALING_FORMAT=MLN","Sort=A","Dates=H","DateFormat=P","Fill=—","Direction=H","UseDPDF=Y")</f>
        <v>—</v>
      </c>
      <c r="V165" s="13" t="str">
        <f>_xll.BDH("ALNY US Equity","ARDR_DTA_NOL_CARRYFORWARD","FQ3 2023","FQ3 2023","Currency=USD","Period=FQ","BEST_FPERIOD_OVERRIDE=FQ","FILING_STATUS=MR","SCALING_FORMAT=MLN","Sort=A","Dates=H","DateFormat=P","Fill=—","Direction=H","UseDPDF=Y")</f>
        <v>—</v>
      </c>
      <c r="W165" s="13">
        <f>_xll.BDH("ALNY US Equity","ARDR_DTA_NOL_CARRYFORWARD","FQ4 2023","FQ4 2023","Currency=USD","Period=FQ","BEST_FPERIOD_OVERRIDE=FQ","FILING_STATUS=MR","SCALING_FORMAT=MLN","Sort=A","Dates=H","DateFormat=P","Fill=—","Direction=H","UseDPDF=Y")</f>
        <v>803.221</v>
      </c>
      <c r="X165" s="13" t="str">
        <f>_xll.BDH("ALNY US Equity","ARDR_DTA_NOL_CARRYFORWARD","FQ1 2024","FQ1 2024","Currency=USD","Period=FQ","BEST_FPERIOD_OVERRIDE=FQ","FILING_STATUS=MR","SCALING_FORMAT=MLN","Sort=A","Dates=H","DateFormat=P","Fill=—","Direction=H","UseDPDF=Y")</f>
        <v>—</v>
      </c>
      <c r="Y165" s="13" t="str">
        <f>_xll.BDH("ALNY US Equity","ARDR_DTA_NOL_CARRYFORWARD","FQ2 2024","FQ2 2024","Currency=USD","Period=FQ","BEST_FPERIOD_OVERRIDE=FQ","FILING_STATUS=MR","SCALING_FORMAT=MLN","Sort=A","Dates=H","DateFormat=P","Fill=—","Direction=H","UseDPDF=Y")</f>
        <v>—</v>
      </c>
      <c r="Z165" s="13" t="str">
        <f>_xll.BDH("ALNY US Equity","ARDR_DTA_NOL_CARRYFORWARD","FQ3 2024","FQ3 2024","Currency=USD","Period=FQ","BEST_FPERIOD_OVERRIDE=FQ","FILING_STATUS=MR","SCALING_FORMAT=MLN","Sort=A","Dates=H","DateFormat=P","Fill=—","Direction=H","UseDPDF=Y")</f>
        <v>—</v>
      </c>
      <c r="AA165" s="13">
        <f>_xll.BDH("ALNY US Equity","ARDR_DTA_NOL_CARRYFORWARD","FQ4 2024","FQ4 2024","Currency=USD","Period=FQ","BEST_FPERIOD_OVERRIDE=FQ","FILING_STATUS=MR","SCALING_FORMAT=MLN","Sort=A","Dates=H","DateFormat=P","Fill=—","Direction=H","UseDPDF=Y")</f>
        <v>882.56899999999996</v>
      </c>
    </row>
    <row r="166" spans="1:27" x14ac:dyDescent="0.25">
      <c r="A166" s="10" t="s">
        <v>1113</v>
      </c>
      <c r="B166" s="10" t="s">
        <v>1114</v>
      </c>
      <c r="C166" s="13" t="str">
        <f>_xll.BDH("ALNY US Equity","ARDR_OPTIONS_BEGINNING_OF_PERIOD","FQ4 2018","FQ4 2018","Currency=USD","Period=FQ","BEST_FPERIOD_OVERRIDE=FQ","FILING_STATUS=MR","Sort=A","Dates=H","DateFormat=P","Fill=—","Direction=H","UseDPDF=Y")</f>
        <v>—</v>
      </c>
      <c r="D166" s="13" t="str">
        <f>_xll.BDH("ALNY US Equity","ARDR_OPTIONS_BEGINNING_OF_PERIOD","FQ1 2019","FQ1 2019","Currency=USD","Period=FQ","BEST_FPERIOD_OVERRIDE=FQ","FILING_STATUS=MR","Sort=A","Dates=H","DateFormat=P","Fill=—","Direction=H","UseDPDF=Y")</f>
        <v>—</v>
      </c>
      <c r="E166" s="13" t="str">
        <f>_xll.BDH("ALNY US Equity","ARDR_OPTIONS_BEGINNING_OF_PERIOD","FQ2 2019","FQ2 2019","Currency=USD","Period=FQ","BEST_FPERIOD_OVERRIDE=FQ","FILING_STATUS=MR","Sort=A","Dates=H","DateFormat=P","Fill=—","Direction=H","UseDPDF=Y")</f>
        <v>—</v>
      </c>
      <c r="F166" s="13" t="str">
        <f>_xll.BDH("ALNY US Equity","ARDR_OPTIONS_BEGINNING_OF_PERIOD","FQ3 2019","FQ3 2019","Currency=USD","Period=FQ","BEST_FPERIOD_OVERRIDE=FQ","FILING_STATUS=MR","Sort=A","Dates=H","DateFormat=P","Fill=—","Direction=H","UseDPDF=Y")</f>
        <v>—</v>
      </c>
      <c r="G166" s="13" t="str">
        <f>_xll.BDH("ALNY US Equity","ARDR_OPTIONS_BEGINNING_OF_PERIOD","FQ4 2019","FQ4 2019","Currency=USD","Period=FQ","BEST_FPERIOD_OVERRIDE=FQ","FILING_STATUS=MR","Sort=A","Dates=H","DateFormat=P","Fill=—","Direction=H","UseDPDF=Y")</f>
        <v>—</v>
      </c>
      <c r="H166" s="13" t="str">
        <f>_xll.BDH("ALNY US Equity","ARDR_OPTIONS_BEGINNING_OF_PERIOD","FQ1 2020","FQ1 2020","Currency=USD","Period=FQ","BEST_FPERIOD_OVERRIDE=FQ","FILING_STATUS=MR","Sort=A","Dates=H","DateFormat=P","Fill=—","Direction=H","UseDPDF=Y")</f>
        <v>—</v>
      </c>
      <c r="I166" s="13" t="str">
        <f>_xll.BDH("ALNY US Equity","ARDR_OPTIONS_BEGINNING_OF_PERIOD","FQ2 2020","FQ2 2020","Currency=USD","Period=FQ","BEST_FPERIOD_OVERRIDE=FQ","FILING_STATUS=MR","Sort=A","Dates=H","DateFormat=P","Fill=—","Direction=H","UseDPDF=Y")</f>
        <v>—</v>
      </c>
      <c r="J166" s="13" t="str">
        <f>_xll.BDH("ALNY US Equity","ARDR_OPTIONS_BEGINNING_OF_PERIOD","FQ3 2020","FQ3 2020","Currency=USD","Period=FQ","BEST_FPERIOD_OVERRIDE=FQ","FILING_STATUS=MR","Sort=A","Dates=H","DateFormat=P","Fill=—","Direction=H","UseDPDF=Y")</f>
        <v>—</v>
      </c>
      <c r="K166" s="13" t="str">
        <f>_xll.BDH("ALNY US Equity","ARDR_OPTIONS_BEGINNING_OF_PERIOD","FQ4 2020","FQ4 2020","Currency=USD","Period=FQ","BEST_FPERIOD_OVERRIDE=FQ","FILING_STATUS=MR","Sort=A","Dates=H","DateFormat=P","Fill=—","Direction=H","UseDPDF=Y")</f>
        <v>—</v>
      </c>
      <c r="L166" s="13" t="str">
        <f>_xll.BDH("ALNY US Equity","ARDR_OPTIONS_BEGINNING_OF_PERIOD","FQ1 2021","FQ1 2021","Currency=USD","Period=FQ","BEST_FPERIOD_OVERRIDE=FQ","FILING_STATUS=MR","Sort=A","Dates=H","DateFormat=P","Fill=—","Direction=H","UseDPDF=Y")</f>
        <v>—</v>
      </c>
      <c r="M166" s="13" t="str">
        <f>_xll.BDH("ALNY US Equity","ARDR_OPTIONS_BEGINNING_OF_PERIOD","FQ2 2021","FQ2 2021","Currency=USD","Period=FQ","BEST_FPERIOD_OVERRIDE=FQ","FILING_STATUS=MR","Sort=A","Dates=H","DateFormat=P","Fill=—","Direction=H","UseDPDF=Y")</f>
        <v>—</v>
      </c>
      <c r="N166" s="13" t="str">
        <f>_xll.BDH("ALNY US Equity","ARDR_OPTIONS_BEGINNING_OF_PERIOD","FQ3 2021","FQ3 2021","Currency=USD","Period=FQ","BEST_FPERIOD_OVERRIDE=FQ","FILING_STATUS=MR","Sort=A","Dates=H","DateFormat=P","Fill=—","Direction=H","UseDPDF=Y")</f>
        <v>—</v>
      </c>
      <c r="O166" s="13">
        <f>_xll.BDH("ALNY US Equity","ARDR_OPTIONS_BEGINNING_OF_PERIOD","FQ4 2021","FQ4 2021","Currency=USD","Period=FQ","BEST_FPERIOD_OVERRIDE=FQ","FILING_STATUS=MR","Sort=A","Dates=H","DateFormat=P","Fill=—","Direction=H","UseDPDF=Y")</f>
        <v>10.068</v>
      </c>
      <c r="P166" s="13" t="str">
        <f>_xll.BDH("ALNY US Equity","ARDR_OPTIONS_BEGINNING_OF_PERIOD","FQ1 2022","FQ1 2022","Currency=USD","Period=FQ","BEST_FPERIOD_OVERRIDE=FQ","FILING_STATUS=MR","Sort=A","Dates=H","DateFormat=P","Fill=—","Direction=H","UseDPDF=Y")</f>
        <v>—</v>
      </c>
      <c r="Q166" s="13" t="str">
        <f>_xll.BDH("ALNY US Equity","ARDR_OPTIONS_BEGINNING_OF_PERIOD","FQ2 2022","FQ2 2022","Currency=USD","Period=FQ","BEST_FPERIOD_OVERRIDE=FQ","FILING_STATUS=MR","Sort=A","Dates=H","DateFormat=P","Fill=—","Direction=H","UseDPDF=Y")</f>
        <v>—</v>
      </c>
      <c r="R166" s="13" t="str">
        <f>_xll.BDH("ALNY US Equity","ARDR_OPTIONS_BEGINNING_OF_PERIOD","FQ3 2022","FQ3 2022","Currency=USD","Period=FQ","BEST_FPERIOD_OVERRIDE=FQ","FILING_STATUS=MR","Sort=A","Dates=H","DateFormat=P","Fill=—","Direction=H","UseDPDF=Y")</f>
        <v>—</v>
      </c>
      <c r="S166" s="13" t="str">
        <f>_xll.BDH("ALNY US Equity","ARDR_OPTIONS_BEGINNING_OF_PERIOD","FQ4 2022","FQ4 2022","Currency=USD","Period=FQ","BEST_FPERIOD_OVERRIDE=FQ","FILING_STATUS=MR","Sort=A","Dates=H","DateFormat=P","Fill=—","Direction=H","UseDPDF=Y")</f>
        <v>—</v>
      </c>
      <c r="T166" s="13" t="str">
        <f>_xll.BDH("ALNY US Equity","ARDR_OPTIONS_BEGINNING_OF_PERIOD","FQ1 2023","FQ1 2023","Currency=USD","Period=FQ","BEST_FPERIOD_OVERRIDE=FQ","FILING_STATUS=MR","Sort=A","Dates=H","DateFormat=P","Fill=—","Direction=H","UseDPDF=Y")</f>
        <v>—</v>
      </c>
      <c r="U166" s="13" t="str">
        <f>_xll.BDH("ALNY US Equity","ARDR_OPTIONS_BEGINNING_OF_PERIOD","FQ2 2023","FQ2 2023","Currency=USD","Period=FQ","BEST_FPERIOD_OVERRIDE=FQ","FILING_STATUS=MR","Sort=A","Dates=H","DateFormat=P","Fill=—","Direction=H","UseDPDF=Y")</f>
        <v>—</v>
      </c>
      <c r="V166" s="13" t="str">
        <f>_xll.BDH("ALNY US Equity","ARDR_OPTIONS_BEGINNING_OF_PERIOD","FQ3 2023","FQ3 2023","Currency=USD","Period=FQ","BEST_FPERIOD_OVERRIDE=FQ","FILING_STATUS=MR","Sort=A","Dates=H","DateFormat=P","Fill=—","Direction=H","UseDPDF=Y")</f>
        <v>—</v>
      </c>
      <c r="W166" s="13" t="str">
        <f>_xll.BDH("ALNY US Equity","ARDR_OPTIONS_BEGINNING_OF_PERIOD","FQ4 2023","FQ4 2023","Currency=USD","Period=FQ","BEST_FPERIOD_OVERRIDE=FQ","FILING_STATUS=MR","Sort=A","Dates=H","DateFormat=P","Fill=—","Direction=H","UseDPDF=Y")</f>
        <v>—</v>
      </c>
      <c r="X166" s="13" t="str">
        <f>_xll.BDH("ALNY US Equity","ARDR_OPTIONS_BEGINNING_OF_PERIOD","FQ1 2024","FQ1 2024","Currency=USD","Period=FQ","BEST_FPERIOD_OVERRIDE=FQ","FILING_STATUS=MR","Sort=A","Dates=H","DateFormat=P","Fill=—","Direction=H","UseDPDF=Y")</f>
        <v>—</v>
      </c>
      <c r="Y166" s="13" t="str">
        <f>_xll.BDH("ALNY US Equity","ARDR_OPTIONS_BEGINNING_OF_PERIOD","FQ2 2024","FQ2 2024","Currency=USD","Period=FQ","BEST_FPERIOD_OVERRIDE=FQ","FILING_STATUS=MR","Sort=A","Dates=H","DateFormat=P","Fill=—","Direction=H","UseDPDF=Y")</f>
        <v>—</v>
      </c>
      <c r="Z166" s="13" t="str">
        <f>_xll.BDH("ALNY US Equity","ARDR_OPTIONS_BEGINNING_OF_PERIOD","FQ3 2024","FQ3 2024","Currency=USD","Period=FQ","BEST_FPERIOD_OVERRIDE=FQ","FILING_STATUS=MR","Sort=A","Dates=H","DateFormat=P","Fill=—","Direction=H","UseDPDF=Y")</f>
        <v>—</v>
      </c>
      <c r="AA166" s="13" t="str">
        <f>_xll.BDH("ALNY US Equity","ARDR_OPTIONS_BEGINNING_OF_PERIOD","FQ4 2024","FQ4 2024","Currency=USD","Period=FQ","BEST_FPERIOD_OVERRIDE=FQ","FILING_STATUS=MR","Sort=A","Dates=H","DateFormat=P","Fill=—","Direction=H","UseDPDF=Y")</f>
        <v>—</v>
      </c>
    </row>
    <row r="167" spans="1:27" x14ac:dyDescent="0.25">
      <c r="A167" s="10" t="s">
        <v>1115</v>
      </c>
      <c r="B167" s="10" t="s">
        <v>1116</v>
      </c>
      <c r="C167" s="14" t="str">
        <f>_xll.BDH("ALNY US Equity","ARDR_AVG_PRICE_PER_SHARE_REPURCH","FQ4 2018","FQ4 2018","Currency=USD","Period=FQ","BEST_FPERIOD_OVERRIDE=FQ","FILING_STATUS=MR","Sort=A","Dates=H","DateFormat=P","Fill=—","Direction=H","UseDPDF=Y")</f>
        <v>—</v>
      </c>
      <c r="D167" s="14" t="str">
        <f>_xll.BDH("ALNY US Equity","ARDR_AVG_PRICE_PER_SHARE_REPURCH","FQ1 2019","FQ1 2019","Currency=USD","Period=FQ","BEST_FPERIOD_OVERRIDE=FQ","FILING_STATUS=MR","Sort=A","Dates=H","DateFormat=P","Fill=—","Direction=H","UseDPDF=Y")</f>
        <v>—</v>
      </c>
      <c r="E167" s="14" t="str">
        <f>_xll.BDH("ALNY US Equity","ARDR_AVG_PRICE_PER_SHARE_REPURCH","FQ2 2019","FQ2 2019","Currency=USD","Period=FQ","BEST_FPERIOD_OVERRIDE=FQ","FILING_STATUS=MR","Sort=A","Dates=H","DateFormat=P","Fill=—","Direction=H","UseDPDF=Y")</f>
        <v>—</v>
      </c>
      <c r="F167" s="14" t="str">
        <f>_xll.BDH("ALNY US Equity","ARDR_AVG_PRICE_PER_SHARE_REPURCH","FQ3 2019","FQ3 2019","Currency=USD","Period=FQ","BEST_FPERIOD_OVERRIDE=FQ","FILING_STATUS=MR","Sort=A","Dates=H","DateFormat=P","Fill=—","Direction=H","UseDPDF=Y")</f>
        <v>—</v>
      </c>
      <c r="G167" s="14" t="str">
        <f>_xll.BDH("ALNY US Equity","ARDR_AVG_PRICE_PER_SHARE_REPURCH","FQ4 2019","FQ4 2019","Currency=USD","Period=FQ","BEST_FPERIOD_OVERRIDE=FQ","FILING_STATUS=MR","Sort=A","Dates=H","DateFormat=P","Fill=—","Direction=H","UseDPDF=Y")</f>
        <v>—</v>
      </c>
      <c r="H167" s="14" t="str">
        <f>_xll.BDH("ALNY US Equity","ARDR_AVG_PRICE_PER_SHARE_REPURCH","FQ1 2020","FQ1 2020","Currency=USD","Period=FQ","BEST_FPERIOD_OVERRIDE=FQ","FILING_STATUS=MR","Sort=A","Dates=H","DateFormat=P","Fill=—","Direction=H","UseDPDF=Y")</f>
        <v>—</v>
      </c>
      <c r="I167" s="14" t="str">
        <f>_xll.BDH("ALNY US Equity","ARDR_AVG_PRICE_PER_SHARE_REPURCH","FQ2 2020","FQ2 2020","Currency=USD","Period=FQ","BEST_FPERIOD_OVERRIDE=FQ","FILING_STATUS=MR","Sort=A","Dates=H","DateFormat=P","Fill=—","Direction=H","UseDPDF=Y")</f>
        <v>—</v>
      </c>
      <c r="J167" s="14" t="str">
        <f>_xll.BDH("ALNY US Equity","ARDR_AVG_PRICE_PER_SHARE_REPURCH","FQ3 2020","FQ3 2020","Currency=USD","Period=FQ","BEST_FPERIOD_OVERRIDE=FQ","FILING_STATUS=MR","Sort=A","Dates=H","DateFormat=P","Fill=—","Direction=H","UseDPDF=Y")</f>
        <v>—</v>
      </c>
      <c r="K167" s="14" t="str">
        <f>_xll.BDH("ALNY US Equity","ARDR_AVG_PRICE_PER_SHARE_REPURCH","FQ4 2020","FQ4 2020","Currency=USD","Period=FQ","BEST_FPERIOD_OVERRIDE=FQ","FILING_STATUS=MR","Sort=A","Dates=H","DateFormat=P","Fill=—","Direction=H","UseDPDF=Y")</f>
        <v>—</v>
      </c>
      <c r="L167" s="14" t="str">
        <f>_xll.BDH("ALNY US Equity","ARDR_AVG_PRICE_PER_SHARE_REPURCH","FQ1 2021","FQ1 2021","Currency=USD","Period=FQ","BEST_FPERIOD_OVERRIDE=FQ","FILING_STATUS=MR","Sort=A","Dates=H","DateFormat=P","Fill=—","Direction=H","UseDPDF=Y")</f>
        <v>—</v>
      </c>
      <c r="M167" s="14" t="str">
        <f>_xll.BDH("ALNY US Equity","ARDR_AVG_PRICE_PER_SHARE_REPURCH","FQ2 2021","FQ2 2021","Currency=USD","Period=FQ","BEST_FPERIOD_OVERRIDE=FQ","FILING_STATUS=MR","Sort=A","Dates=H","DateFormat=P","Fill=—","Direction=H","UseDPDF=Y")</f>
        <v>—</v>
      </c>
      <c r="N167" s="14" t="str">
        <f>_xll.BDH("ALNY US Equity","ARDR_AVG_PRICE_PER_SHARE_REPURCH","FQ3 2021","FQ3 2021","Currency=USD","Period=FQ","BEST_FPERIOD_OVERRIDE=FQ","FILING_STATUS=MR","Sort=A","Dates=H","DateFormat=P","Fill=—","Direction=H","UseDPDF=Y")</f>
        <v>—</v>
      </c>
      <c r="O167" s="14" t="str">
        <f>_xll.BDH("ALNY US Equity","ARDR_AVG_PRICE_PER_SHARE_REPURCH","FQ4 2021","FQ4 2021","Currency=USD","Period=FQ","BEST_FPERIOD_OVERRIDE=FQ","FILING_STATUS=MR","Sort=A","Dates=H","DateFormat=P","Fill=—","Direction=H","UseDPDF=Y")</f>
        <v>—</v>
      </c>
      <c r="P167" s="14" t="str">
        <f>_xll.BDH("ALNY US Equity","ARDR_AVG_PRICE_PER_SHARE_REPURCH","FQ1 2022","FQ1 2022","Currency=USD","Period=FQ","BEST_FPERIOD_OVERRIDE=FQ","FILING_STATUS=MR","Sort=A","Dates=H","DateFormat=P","Fill=—","Direction=H","UseDPDF=Y")</f>
        <v>—</v>
      </c>
      <c r="Q167" s="14" t="str">
        <f>_xll.BDH("ALNY US Equity","ARDR_AVG_PRICE_PER_SHARE_REPURCH","FQ2 2022","FQ2 2022","Currency=USD","Period=FQ","BEST_FPERIOD_OVERRIDE=FQ","FILING_STATUS=MR","Sort=A","Dates=H","DateFormat=P","Fill=—","Direction=H","UseDPDF=Y")</f>
        <v>—</v>
      </c>
      <c r="R167" s="14" t="str">
        <f>_xll.BDH("ALNY US Equity","ARDR_AVG_PRICE_PER_SHARE_REPURCH","FQ3 2022","FQ3 2022","Currency=USD","Period=FQ","BEST_FPERIOD_OVERRIDE=FQ","FILING_STATUS=MR","Sort=A","Dates=H","DateFormat=P","Fill=—","Direction=H","UseDPDF=Y")</f>
        <v>—</v>
      </c>
      <c r="S167" s="14">
        <f>_xll.BDH("ALNY US Equity","ARDR_AVG_PRICE_PER_SHARE_REPURCH","FQ4 2022","FQ4 2022","Currency=USD","Period=FQ","BEST_FPERIOD_OVERRIDE=FQ","FILING_STATUS=MR","Sort=A","Dates=H","DateFormat=P","Fill=—","Direction=H","UseDPDF=Y")</f>
        <v>231.84</v>
      </c>
      <c r="T167" s="14" t="str">
        <f>_xll.BDH("ALNY US Equity","ARDR_AVG_PRICE_PER_SHARE_REPURCH","FQ1 2023","FQ1 2023","Currency=USD","Period=FQ","BEST_FPERIOD_OVERRIDE=FQ","FILING_STATUS=MR","Sort=A","Dates=H","DateFormat=P","Fill=—","Direction=H","UseDPDF=Y")</f>
        <v>—</v>
      </c>
      <c r="U167" s="14" t="str">
        <f>_xll.BDH("ALNY US Equity","ARDR_AVG_PRICE_PER_SHARE_REPURCH","FQ2 2023","FQ2 2023","Currency=USD","Period=FQ","BEST_FPERIOD_OVERRIDE=FQ","FILING_STATUS=MR","Sort=A","Dates=H","DateFormat=P","Fill=—","Direction=H","UseDPDF=Y")</f>
        <v>—</v>
      </c>
      <c r="V167" s="14" t="str">
        <f>_xll.BDH("ALNY US Equity","ARDR_AVG_PRICE_PER_SHARE_REPURCH","FQ3 2023","FQ3 2023","Currency=USD","Period=FQ","BEST_FPERIOD_OVERRIDE=FQ","FILING_STATUS=MR","Sort=A","Dates=H","DateFormat=P","Fill=—","Direction=H","UseDPDF=Y")</f>
        <v>—</v>
      </c>
      <c r="W167" s="14" t="str">
        <f>_xll.BDH("ALNY US Equity","ARDR_AVG_PRICE_PER_SHARE_REPURCH","FQ4 2023","FQ4 2023","Currency=USD","Period=FQ","BEST_FPERIOD_OVERRIDE=FQ","FILING_STATUS=MR","Sort=A","Dates=H","DateFormat=P","Fill=—","Direction=H","UseDPDF=Y")</f>
        <v>—</v>
      </c>
      <c r="X167" s="14" t="str">
        <f>_xll.BDH("ALNY US Equity","ARDR_AVG_PRICE_PER_SHARE_REPURCH","FQ1 2024","FQ1 2024","Currency=USD","Period=FQ","BEST_FPERIOD_OVERRIDE=FQ","FILING_STATUS=MR","Sort=A","Dates=H","DateFormat=P","Fill=—","Direction=H","UseDPDF=Y")</f>
        <v>—</v>
      </c>
      <c r="Y167" s="14" t="str">
        <f>_xll.BDH("ALNY US Equity","ARDR_AVG_PRICE_PER_SHARE_REPURCH","FQ2 2024","FQ2 2024","Currency=USD","Period=FQ","BEST_FPERIOD_OVERRIDE=FQ","FILING_STATUS=MR","Sort=A","Dates=H","DateFormat=P","Fill=—","Direction=H","UseDPDF=Y")</f>
        <v>—</v>
      </c>
      <c r="Z167" s="14" t="str">
        <f>_xll.BDH("ALNY US Equity","ARDR_AVG_PRICE_PER_SHARE_REPURCH","FQ3 2024","FQ3 2024","Currency=USD","Period=FQ","BEST_FPERIOD_OVERRIDE=FQ","FILING_STATUS=MR","Sort=A","Dates=H","DateFormat=P","Fill=—","Direction=H","UseDPDF=Y")</f>
        <v>—</v>
      </c>
      <c r="AA167" s="14" t="str">
        <f>_xll.BDH("ALNY US Equity","ARDR_AVG_PRICE_PER_SHARE_REPURCH","FQ4 2024","FQ4 2024","Currency=USD","Period=FQ","BEST_FPERIOD_OVERRIDE=FQ","FILING_STATUS=MR","Sort=A","Dates=H","DateFormat=P","Fill=—","Direction=H","UseDPDF=Y")</f>
        <v>—</v>
      </c>
    </row>
    <row r="168" spans="1:27" x14ac:dyDescent="0.25">
      <c r="A168" s="10" t="s">
        <v>1117</v>
      </c>
      <c r="B168" s="10" t="s">
        <v>1118</v>
      </c>
      <c r="C168" s="13">
        <f>_xll.BDH("ALNY US Equity","ARDR_DEFER_TAX_ASSET_LIAB_INTANG","FQ4 2018","FQ4 2018","Currency=USD","Period=FQ","BEST_FPERIOD_OVERRIDE=FQ","FILING_STATUS=MR","SCALING_FORMAT=MLN","Sort=A","Dates=H","DateFormat=P","Fill=—","Direction=H","UseDPDF=Y")</f>
        <v>50.121000000000002</v>
      </c>
      <c r="D168" s="13" t="str">
        <f>_xll.BDH("ALNY US Equity","ARDR_DEFER_TAX_ASSET_LIAB_INTANG","FQ1 2019","FQ1 2019","Currency=USD","Period=FQ","BEST_FPERIOD_OVERRIDE=FQ","FILING_STATUS=MR","SCALING_FORMAT=MLN","Sort=A","Dates=H","DateFormat=P","Fill=—","Direction=H","UseDPDF=Y")</f>
        <v>—</v>
      </c>
      <c r="E168" s="13" t="str">
        <f>_xll.BDH("ALNY US Equity","ARDR_DEFER_TAX_ASSET_LIAB_INTANG","FQ2 2019","FQ2 2019","Currency=USD","Period=FQ","BEST_FPERIOD_OVERRIDE=FQ","FILING_STATUS=MR","SCALING_FORMAT=MLN","Sort=A","Dates=H","DateFormat=P","Fill=—","Direction=H","UseDPDF=Y")</f>
        <v>—</v>
      </c>
      <c r="F168" s="13" t="str">
        <f>_xll.BDH("ALNY US Equity","ARDR_DEFER_TAX_ASSET_LIAB_INTANG","FQ3 2019","FQ3 2019","Currency=USD","Period=FQ","BEST_FPERIOD_OVERRIDE=FQ","FILING_STATUS=MR","SCALING_FORMAT=MLN","Sort=A","Dates=H","DateFormat=P","Fill=—","Direction=H","UseDPDF=Y")</f>
        <v>—</v>
      </c>
      <c r="G168" s="13">
        <f>_xll.BDH("ALNY US Equity","ARDR_DEFER_TAX_ASSET_LIAB_INTANG","FQ4 2019","FQ4 2019","Currency=USD","Period=FQ","BEST_FPERIOD_OVERRIDE=FQ","FILING_STATUS=MR","SCALING_FORMAT=MLN","Sort=A","Dates=H","DateFormat=P","Fill=—","Direction=H","UseDPDF=Y")</f>
        <v>66.614999999999995</v>
      </c>
      <c r="H168" s="13" t="str">
        <f>_xll.BDH("ALNY US Equity","ARDR_DEFER_TAX_ASSET_LIAB_INTANG","FQ1 2020","FQ1 2020","Currency=USD","Period=FQ","BEST_FPERIOD_OVERRIDE=FQ","FILING_STATUS=MR","SCALING_FORMAT=MLN","Sort=A","Dates=H","DateFormat=P","Fill=—","Direction=H","UseDPDF=Y")</f>
        <v>—</v>
      </c>
      <c r="I168" s="13" t="str">
        <f>_xll.BDH("ALNY US Equity","ARDR_DEFER_TAX_ASSET_LIAB_INTANG","FQ2 2020","FQ2 2020","Currency=USD","Period=FQ","BEST_FPERIOD_OVERRIDE=FQ","FILING_STATUS=MR","SCALING_FORMAT=MLN","Sort=A","Dates=H","DateFormat=P","Fill=—","Direction=H","UseDPDF=Y")</f>
        <v>—</v>
      </c>
      <c r="J168" s="13" t="str">
        <f>_xll.BDH("ALNY US Equity","ARDR_DEFER_TAX_ASSET_LIAB_INTANG","FQ3 2020","FQ3 2020","Currency=USD","Period=FQ","BEST_FPERIOD_OVERRIDE=FQ","FILING_STATUS=MR","SCALING_FORMAT=MLN","Sort=A","Dates=H","DateFormat=P","Fill=—","Direction=H","UseDPDF=Y")</f>
        <v>—</v>
      </c>
      <c r="K168" s="13">
        <f>_xll.BDH("ALNY US Equity","ARDR_DEFER_TAX_ASSET_LIAB_INTANG","FQ4 2020","FQ4 2020","Currency=USD","Period=FQ","BEST_FPERIOD_OVERRIDE=FQ","FILING_STATUS=MR","SCALING_FORMAT=MLN","Sort=A","Dates=H","DateFormat=P","Fill=—","Direction=H","UseDPDF=Y")</f>
        <v>148.16800000000001</v>
      </c>
      <c r="L168" s="13" t="str">
        <f>_xll.BDH("ALNY US Equity","ARDR_DEFER_TAX_ASSET_LIAB_INTANG","FQ1 2021","FQ1 2021","Currency=USD","Period=FQ","BEST_FPERIOD_OVERRIDE=FQ","FILING_STATUS=MR","SCALING_FORMAT=MLN","Sort=A","Dates=H","DateFormat=P","Fill=—","Direction=H","UseDPDF=Y")</f>
        <v>—</v>
      </c>
      <c r="M168" s="13" t="str">
        <f>_xll.BDH("ALNY US Equity","ARDR_DEFER_TAX_ASSET_LIAB_INTANG","FQ2 2021","FQ2 2021","Currency=USD","Period=FQ","BEST_FPERIOD_OVERRIDE=FQ","FILING_STATUS=MR","SCALING_FORMAT=MLN","Sort=A","Dates=H","DateFormat=P","Fill=—","Direction=H","UseDPDF=Y")</f>
        <v>—</v>
      </c>
      <c r="N168" s="13" t="str">
        <f>_xll.BDH("ALNY US Equity","ARDR_DEFER_TAX_ASSET_LIAB_INTANG","FQ3 2021","FQ3 2021","Currency=USD","Period=FQ","BEST_FPERIOD_OVERRIDE=FQ","FILING_STATUS=MR","SCALING_FORMAT=MLN","Sort=A","Dates=H","DateFormat=P","Fill=—","Direction=H","UseDPDF=Y")</f>
        <v>—</v>
      </c>
      <c r="O168" s="13">
        <f>_xll.BDH("ALNY US Equity","ARDR_DEFER_TAX_ASSET_LIAB_INTANG","FQ4 2021","FQ4 2021","Currency=USD","Period=FQ","BEST_FPERIOD_OVERRIDE=FQ","FILING_STATUS=MR","SCALING_FORMAT=MLN","Sort=A","Dates=H","DateFormat=P","Fill=—","Direction=H","UseDPDF=Y")</f>
        <v>302.12099999999998</v>
      </c>
      <c r="P168" s="13" t="str">
        <f>_xll.BDH("ALNY US Equity","ARDR_DEFER_TAX_ASSET_LIAB_INTANG","FQ1 2022","FQ1 2022","Currency=USD","Period=FQ","BEST_FPERIOD_OVERRIDE=FQ","FILING_STATUS=MR","SCALING_FORMAT=MLN","Sort=A","Dates=H","DateFormat=P","Fill=—","Direction=H","UseDPDF=Y")</f>
        <v>—</v>
      </c>
      <c r="Q168" s="13" t="str">
        <f>_xll.BDH("ALNY US Equity","ARDR_DEFER_TAX_ASSET_LIAB_INTANG","FQ2 2022","FQ2 2022","Currency=USD","Period=FQ","BEST_FPERIOD_OVERRIDE=FQ","FILING_STATUS=MR","SCALING_FORMAT=MLN","Sort=A","Dates=H","DateFormat=P","Fill=—","Direction=H","UseDPDF=Y")</f>
        <v>—</v>
      </c>
      <c r="R168" s="13" t="str">
        <f>_xll.BDH("ALNY US Equity","ARDR_DEFER_TAX_ASSET_LIAB_INTANG","FQ3 2022","FQ3 2022","Currency=USD","Period=FQ","BEST_FPERIOD_OVERRIDE=FQ","FILING_STATUS=MR","SCALING_FORMAT=MLN","Sort=A","Dates=H","DateFormat=P","Fill=—","Direction=H","UseDPDF=Y")</f>
        <v>—</v>
      </c>
      <c r="S168" s="13">
        <f>_xll.BDH("ALNY US Equity","ARDR_DEFER_TAX_ASSET_LIAB_INTANG","FQ4 2022","FQ4 2022","Currency=USD","Period=FQ","BEST_FPERIOD_OVERRIDE=FQ","FILING_STATUS=MR","SCALING_FORMAT=MLN","Sort=A","Dates=H","DateFormat=P","Fill=—","Direction=H","UseDPDF=Y")</f>
        <v>264.56400000000002</v>
      </c>
      <c r="T168" s="13" t="str">
        <f>_xll.BDH("ALNY US Equity","ARDR_DEFER_TAX_ASSET_LIAB_INTANG","FQ1 2023","FQ1 2023","Currency=USD","Period=FQ","BEST_FPERIOD_OVERRIDE=FQ","FILING_STATUS=MR","SCALING_FORMAT=MLN","Sort=A","Dates=H","DateFormat=P","Fill=—","Direction=H","UseDPDF=Y")</f>
        <v>—</v>
      </c>
      <c r="U168" s="13" t="str">
        <f>_xll.BDH("ALNY US Equity","ARDR_DEFER_TAX_ASSET_LIAB_INTANG","FQ2 2023","FQ2 2023","Currency=USD","Period=FQ","BEST_FPERIOD_OVERRIDE=FQ","FILING_STATUS=MR","SCALING_FORMAT=MLN","Sort=A","Dates=H","DateFormat=P","Fill=—","Direction=H","UseDPDF=Y")</f>
        <v>—</v>
      </c>
      <c r="V168" s="13" t="str">
        <f>_xll.BDH("ALNY US Equity","ARDR_DEFER_TAX_ASSET_LIAB_INTANG","FQ3 2023","FQ3 2023","Currency=USD","Period=FQ","BEST_FPERIOD_OVERRIDE=FQ","FILING_STATUS=MR","SCALING_FORMAT=MLN","Sort=A","Dates=H","DateFormat=P","Fill=—","Direction=H","UseDPDF=Y")</f>
        <v>—</v>
      </c>
      <c r="W168" s="13">
        <f>_xll.BDH("ALNY US Equity","ARDR_DEFER_TAX_ASSET_LIAB_INTANG","FQ4 2023","FQ4 2023","Currency=USD","Period=FQ","BEST_FPERIOD_OVERRIDE=FQ","FILING_STATUS=MR","SCALING_FORMAT=MLN","Sort=A","Dates=H","DateFormat=P","Fill=—","Direction=H","UseDPDF=Y")</f>
        <v>697.78399999999999</v>
      </c>
      <c r="X168" s="13" t="str">
        <f>_xll.BDH("ALNY US Equity","ARDR_DEFER_TAX_ASSET_LIAB_INTANG","FQ1 2024","FQ1 2024","Currency=USD","Period=FQ","BEST_FPERIOD_OVERRIDE=FQ","FILING_STATUS=MR","SCALING_FORMAT=MLN","Sort=A","Dates=H","DateFormat=P","Fill=—","Direction=H","UseDPDF=Y")</f>
        <v>—</v>
      </c>
      <c r="Y168" s="13" t="str">
        <f>_xll.BDH("ALNY US Equity","ARDR_DEFER_TAX_ASSET_LIAB_INTANG","FQ2 2024","FQ2 2024","Currency=USD","Period=FQ","BEST_FPERIOD_OVERRIDE=FQ","FILING_STATUS=MR","SCALING_FORMAT=MLN","Sort=A","Dates=H","DateFormat=P","Fill=—","Direction=H","UseDPDF=Y")</f>
        <v>—</v>
      </c>
      <c r="Z168" s="13" t="str">
        <f>_xll.BDH("ALNY US Equity","ARDR_DEFER_TAX_ASSET_LIAB_INTANG","FQ3 2024","FQ3 2024","Currency=USD","Period=FQ","BEST_FPERIOD_OVERRIDE=FQ","FILING_STATUS=MR","SCALING_FORMAT=MLN","Sort=A","Dates=H","DateFormat=P","Fill=—","Direction=H","UseDPDF=Y")</f>
        <v>—</v>
      </c>
      <c r="AA168" s="13">
        <f>_xll.BDH("ALNY US Equity","ARDR_DEFER_TAX_ASSET_LIAB_INTANG","FQ4 2024","FQ4 2024","Currency=USD","Period=FQ","BEST_FPERIOD_OVERRIDE=FQ","FILING_STATUS=MR","SCALING_FORMAT=MLN","Sort=A","Dates=H","DateFormat=P","Fill=—","Direction=H","UseDPDF=Y")</f>
        <v>634.32299999999998</v>
      </c>
    </row>
    <row r="169" spans="1:27" x14ac:dyDescent="0.25">
      <c r="A169" s="10" t="s">
        <v>1119</v>
      </c>
      <c r="B169" s="10" t="s">
        <v>1120</v>
      </c>
      <c r="C169" s="13" t="str">
        <f>_xll.BDH("ALNY US Equity","ARDR_RESTRICTED_STOCK_UNITS","FQ4 2018","FQ4 2018","Currency=USD","Period=FQ","BEST_FPERIOD_OVERRIDE=FQ","FILING_STATUS=MR","Sort=A","Dates=H","DateFormat=P","Fill=—","Direction=H","UseDPDF=Y")</f>
        <v>—</v>
      </c>
      <c r="D169" s="13" t="str">
        <f>_xll.BDH("ALNY US Equity","ARDR_RESTRICTED_STOCK_UNITS","FQ1 2019","FQ1 2019","Currency=USD","Period=FQ","BEST_FPERIOD_OVERRIDE=FQ","FILING_STATUS=MR","Sort=A","Dates=H","DateFormat=P","Fill=—","Direction=H","UseDPDF=Y")</f>
        <v>—</v>
      </c>
      <c r="E169" s="13" t="str">
        <f>_xll.BDH("ALNY US Equity","ARDR_RESTRICTED_STOCK_UNITS","FQ2 2019","FQ2 2019","Currency=USD","Period=FQ","BEST_FPERIOD_OVERRIDE=FQ","FILING_STATUS=MR","Sort=A","Dates=H","DateFormat=P","Fill=—","Direction=H","UseDPDF=Y")</f>
        <v>—</v>
      </c>
      <c r="F169" s="13" t="str">
        <f>_xll.BDH("ALNY US Equity","ARDR_RESTRICTED_STOCK_UNITS","FQ3 2019","FQ3 2019","Currency=USD","Period=FQ","BEST_FPERIOD_OVERRIDE=FQ","FILING_STATUS=MR","Sort=A","Dates=H","DateFormat=P","Fill=—","Direction=H","UseDPDF=Y")</f>
        <v>—</v>
      </c>
      <c r="G169" s="13" t="str">
        <f>_xll.BDH("ALNY US Equity","ARDR_RESTRICTED_STOCK_UNITS","FQ4 2019","FQ4 2019","Currency=USD","Period=FQ","BEST_FPERIOD_OVERRIDE=FQ","FILING_STATUS=MR","Sort=A","Dates=H","DateFormat=P","Fill=—","Direction=H","UseDPDF=Y")</f>
        <v>—</v>
      </c>
      <c r="H169" s="13" t="str">
        <f>_xll.BDH("ALNY US Equity","ARDR_RESTRICTED_STOCK_UNITS","FQ1 2020","FQ1 2020","Currency=USD","Period=FQ","BEST_FPERIOD_OVERRIDE=FQ","FILING_STATUS=MR","Sort=A","Dates=H","DateFormat=P","Fill=—","Direction=H","UseDPDF=Y")</f>
        <v>—</v>
      </c>
      <c r="I169" s="13" t="str">
        <f>_xll.BDH("ALNY US Equity","ARDR_RESTRICTED_STOCK_UNITS","FQ2 2020","FQ2 2020","Currency=USD","Period=FQ","BEST_FPERIOD_OVERRIDE=FQ","FILING_STATUS=MR","Sort=A","Dates=H","DateFormat=P","Fill=—","Direction=H","UseDPDF=Y")</f>
        <v>—</v>
      </c>
      <c r="J169" s="13" t="str">
        <f>_xll.BDH("ALNY US Equity","ARDR_RESTRICTED_STOCK_UNITS","FQ3 2020","FQ3 2020","Currency=USD","Period=FQ","BEST_FPERIOD_OVERRIDE=FQ","FILING_STATUS=MR","Sort=A","Dates=H","DateFormat=P","Fill=—","Direction=H","UseDPDF=Y")</f>
        <v>—</v>
      </c>
      <c r="K169" s="13" t="str">
        <f>_xll.BDH("ALNY US Equity","ARDR_RESTRICTED_STOCK_UNITS","FQ4 2020","FQ4 2020","Currency=USD","Period=FQ","BEST_FPERIOD_OVERRIDE=FQ","FILING_STATUS=MR","Sort=A","Dates=H","DateFormat=P","Fill=—","Direction=H","UseDPDF=Y")</f>
        <v>—</v>
      </c>
      <c r="L169" s="13" t="str">
        <f>_xll.BDH("ALNY US Equity","ARDR_RESTRICTED_STOCK_UNITS","FQ1 2021","FQ1 2021","Currency=USD","Period=FQ","BEST_FPERIOD_OVERRIDE=FQ","FILING_STATUS=MR","Sort=A","Dates=H","DateFormat=P","Fill=—","Direction=H","UseDPDF=Y")</f>
        <v>—</v>
      </c>
      <c r="M169" s="13" t="str">
        <f>_xll.BDH("ALNY US Equity","ARDR_RESTRICTED_STOCK_UNITS","FQ2 2021","FQ2 2021","Currency=USD","Period=FQ","BEST_FPERIOD_OVERRIDE=FQ","FILING_STATUS=MR","Sort=A","Dates=H","DateFormat=P","Fill=—","Direction=H","UseDPDF=Y")</f>
        <v>—</v>
      </c>
      <c r="N169" s="13" t="str">
        <f>_xll.BDH("ALNY US Equity","ARDR_RESTRICTED_STOCK_UNITS","FQ3 2021","FQ3 2021","Currency=USD","Period=FQ","BEST_FPERIOD_OVERRIDE=FQ","FILING_STATUS=MR","Sort=A","Dates=H","DateFormat=P","Fill=—","Direction=H","UseDPDF=Y")</f>
        <v>—</v>
      </c>
      <c r="O169" s="13" t="str">
        <f>_xll.BDH("ALNY US Equity","ARDR_RESTRICTED_STOCK_UNITS","FQ4 2021","FQ4 2021","Currency=USD","Period=FQ","BEST_FPERIOD_OVERRIDE=FQ","FILING_STATUS=MR","Sort=A","Dates=H","DateFormat=P","Fill=—","Direction=H","UseDPDF=Y")</f>
        <v>—</v>
      </c>
      <c r="P169" s="13" t="str">
        <f>_xll.BDH("ALNY US Equity","ARDR_RESTRICTED_STOCK_UNITS","FQ1 2022","FQ1 2022","Currency=USD","Period=FQ","BEST_FPERIOD_OVERRIDE=FQ","FILING_STATUS=MR","Sort=A","Dates=H","DateFormat=P","Fill=—","Direction=H","UseDPDF=Y")</f>
        <v>—</v>
      </c>
      <c r="Q169" s="13" t="str">
        <f>_xll.BDH("ALNY US Equity","ARDR_RESTRICTED_STOCK_UNITS","FQ2 2022","FQ2 2022","Currency=USD","Period=FQ","BEST_FPERIOD_OVERRIDE=FQ","FILING_STATUS=MR","Sort=A","Dates=H","DateFormat=P","Fill=—","Direction=H","UseDPDF=Y")</f>
        <v>—</v>
      </c>
      <c r="R169" s="13" t="str">
        <f>_xll.BDH("ALNY US Equity","ARDR_RESTRICTED_STOCK_UNITS","FQ3 2022","FQ3 2022","Currency=USD","Period=FQ","BEST_FPERIOD_OVERRIDE=FQ","FILING_STATUS=MR","Sort=A","Dates=H","DateFormat=P","Fill=—","Direction=H","UseDPDF=Y")</f>
        <v>—</v>
      </c>
      <c r="S169" s="13">
        <f>_xll.BDH("ALNY US Equity","ARDR_RESTRICTED_STOCK_UNITS","FQ4 2022","FQ4 2022","Currency=USD","Period=FQ","BEST_FPERIOD_OVERRIDE=FQ","FILING_STATUS=MR","Sort=A","Dates=H","DateFormat=P","Fill=—","Direction=H","UseDPDF=Y")</f>
        <v>0.29199999999999998</v>
      </c>
      <c r="T169" s="13" t="str">
        <f>_xll.BDH("ALNY US Equity","ARDR_RESTRICTED_STOCK_UNITS","FQ1 2023","FQ1 2023","Currency=USD","Period=FQ","BEST_FPERIOD_OVERRIDE=FQ","FILING_STATUS=MR","Sort=A","Dates=H","DateFormat=P","Fill=—","Direction=H","UseDPDF=Y")</f>
        <v>—</v>
      </c>
      <c r="U169" s="13" t="str">
        <f>_xll.BDH("ALNY US Equity","ARDR_RESTRICTED_STOCK_UNITS","FQ2 2023","FQ2 2023","Currency=USD","Period=FQ","BEST_FPERIOD_OVERRIDE=FQ","FILING_STATUS=MR","Sort=A","Dates=H","DateFormat=P","Fill=—","Direction=H","UseDPDF=Y")</f>
        <v>—</v>
      </c>
      <c r="V169" s="13" t="str">
        <f>_xll.BDH("ALNY US Equity","ARDR_RESTRICTED_STOCK_UNITS","FQ3 2023","FQ3 2023","Currency=USD","Period=FQ","BEST_FPERIOD_OVERRIDE=FQ","FILING_STATUS=MR","Sort=A","Dates=H","DateFormat=P","Fill=—","Direction=H","UseDPDF=Y")</f>
        <v>—</v>
      </c>
      <c r="W169" s="13">
        <f>_xll.BDH("ALNY US Equity","ARDR_RESTRICTED_STOCK_UNITS","FQ4 2023","FQ4 2023","Currency=USD","Period=FQ","BEST_FPERIOD_OVERRIDE=FQ","FILING_STATUS=MR","Sort=A","Dates=H","DateFormat=P","Fill=—","Direction=H","UseDPDF=Y")</f>
        <v>1.0249999999999999</v>
      </c>
      <c r="X169" s="13" t="str">
        <f>_xll.BDH("ALNY US Equity","ARDR_RESTRICTED_STOCK_UNITS","FQ1 2024","FQ1 2024","Currency=USD","Period=FQ","BEST_FPERIOD_OVERRIDE=FQ","FILING_STATUS=MR","Sort=A","Dates=H","DateFormat=P","Fill=—","Direction=H","UseDPDF=Y")</f>
        <v>—</v>
      </c>
      <c r="Y169" s="13" t="str">
        <f>_xll.BDH("ALNY US Equity","ARDR_RESTRICTED_STOCK_UNITS","FQ2 2024","FQ2 2024","Currency=USD","Period=FQ","BEST_FPERIOD_OVERRIDE=FQ","FILING_STATUS=MR","Sort=A","Dates=H","DateFormat=P","Fill=—","Direction=H","UseDPDF=Y")</f>
        <v>—</v>
      </c>
      <c r="Z169" s="13" t="str">
        <f>_xll.BDH("ALNY US Equity","ARDR_RESTRICTED_STOCK_UNITS","FQ3 2024","FQ3 2024","Currency=USD","Period=FQ","BEST_FPERIOD_OVERRIDE=FQ","FILING_STATUS=MR","Sort=A","Dates=H","DateFormat=P","Fill=—","Direction=H","UseDPDF=Y")</f>
        <v>—</v>
      </c>
      <c r="AA169" s="13">
        <f>_xll.BDH("ALNY US Equity","ARDR_RESTRICTED_STOCK_UNITS","FQ4 2024","FQ4 2024","Currency=USD","Period=FQ","BEST_FPERIOD_OVERRIDE=FQ","FILING_STATUS=MR","Sort=A","Dates=H","DateFormat=P","Fill=—","Direction=H","UseDPDF=Y")</f>
        <v>1.7250000000000001</v>
      </c>
    </row>
    <row r="170" spans="1:27" x14ac:dyDescent="0.25">
      <c r="A170" s="10" t="s">
        <v>1121</v>
      </c>
      <c r="B170" s="10" t="s">
        <v>1122</v>
      </c>
      <c r="C170" s="14" t="str">
        <f>_xll.BDH("ALNY US Equity","ARDR_RSTR_STK_UNIT_WAVG_FV_PS","FQ4 2018","FQ4 2018","Currency=USD","Period=FQ","BEST_FPERIOD_OVERRIDE=FQ","FILING_STATUS=MR","Sort=A","Dates=H","DateFormat=P","Fill=—","Direction=H","UseDPDF=Y")</f>
        <v>—</v>
      </c>
      <c r="D170" s="14" t="str">
        <f>_xll.BDH("ALNY US Equity","ARDR_RSTR_STK_UNIT_WAVG_FV_PS","FQ1 2019","FQ1 2019","Currency=USD","Period=FQ","BEST_FPERIOD_OVERRIDE=FQ","FILING_STATUS=MR","Sort=A","Dates=H","DateFormat=P","Fill=—","Direction=H","UseDPDF=Y")</f>
        <v>—</v>
      </c>
      <c r="E170" s="14" t="str">
        <f>_xll.BDH("ALNY US Equity","ARDR_RSTR_STK_UNIT_WAVG_FV_PS","FQ2 2019","FQ2 2019","Currency=USD","Period=FQ","BEST_FPERIOD_OVERRIDE=FQ","FILING_STATUS=MR","Sort=A","Dates=H","DateFormat=P","Fill=—","Direction=H","UseDPDF=Y")</f>
        <v>—</v>
      </c>
      <c r="F170" s="14" t="str">
        <f>_xll.BDH("ALNY US Equity","ARDR_RSTR_STK_UNIT_WAVG_FV_PS","FQ3 2019","FQ3 2019","Currency=USD","Period=FQ","BEST_FPERIOD_OVERRIDE=FQ","FILING_STATUS=MR","Sort=A","Dates=H","DateFormat=P","Fill=—","Direction=H","UseDPDF=Y")</f>
        <v>—</v>
      </c>
      <c r="G170" s="14" t="str">
        <f>_xll.BDH("ALNY US Equity","ARDR_RSTR_STK_UNIT_WAVG_FV_PS","FQ4 2019","FQ4 2019","Currency=USD","Period=FQ","BEST_FPERIOD_OVERRIDE=FQ","FILING_STATUS=MR","Sort=A","Dates=H","DateFormat=P","Fill=—","Direction=H","UseDPDF=Y")</f>
        <v>—</v>
      </c>
      <c r="H170" s="14" t="str">
        <f>_xll.BDH("ALNY US Equity","ARDR_RSTR_STK_UNIT_WAVG_FV_PS","FQ1 2020","FQ1 2020","Currency=USD","Period=FQ","BEST_FPERIOD_OVERRIDE=FQ","FILING_STATUS=MR","Sort=A","Dates=H","DateFormat=P","Fill=—","Direction=H","UseDPDF=Y")</f>
        <v>—</v>
      </c>
      <c r="I170" s="14" t="str">
        <f>_xll.BDH("ALNY US Equity","ARDR_RSTR_STK_UNIT_WAVG_FV_PS","FQ2 2020","FQ2 2020","Currency=USD","Period=FQ","BEST_FPERIOD_OVERRIDE=FQ","FILING_STATUS=MR","Sort=A","Dates=H","DateFormat=P","Fill=—","Direction=H","UseDPDF=Y")</f>
        <v>—</v>
      </c>
      <c r="J170" s="14" t="str">
        <f>_xll.BDH("ALNY US Equity","ARDR_RSTR_STK_UNIT_WAVG_FV_PS","FQ3 2020","FQ3 2020","Currency=USD","Period=FQ","BEST_FPERIOD_OVERRIDE=FQ","FILING_STATUS=MR","Sort=A","Dates=H","DateFormat=P","Fill=—","Direction=H","UseDPDF=Y")</f>
        <v>—</v>
      </c>
      <c r="K170" s="14" t="str">
        <f>_xll.BDH("ALNY US Equity","ARDR_RSTR_STK_UNIT_WAVG_FV_PS","FQ4 2020","FQ4 2020","Currency=USD","Period=FQ","BEST_FPERIOD_OVERRIDE=FQ","FILING_STATUS=MR","Sort=A","Dates=H","DateFormat=P","Fill=—","Direction=H","UseDPDF=Y")</f>
        <v>—</v>
      </c>
      <c r="L170" s="14" t="str">
        <f>_xll.BDH("ALNY US Equity","ARDR_RSTR_STK_UNIT_WAVG_FV_PS","FQ1 2021","FQ1 2021","Currency=USD","Period=FQ","BEST_FPERIOD_OVERRIDE=FQ","FILING_STATUS=MR","Sort=A","Dates=H","DateFormat=P","Fill=—","Direction=H","UseDPDF=Y")</f>
        <v>—</v>
      </c>
      <c r="M170" s="14" t="str">
        <f>_xll.BDH("ALNY US Equity","ARDR_RSTR_STK_UNIT_WAVG_FV_PS","FQ2 2021","FQ2 2021","Currency=USD","Period=FQ","BEST_FPERIOD_OVERRIDE=FQ","FILING_STATUS=MR","Sort=A","Dates=H","DateFormat=P","Fill=—","Direction=H","UseDPDF=Y")</f>
        <v>—</v>
      </c>
      <c r="N170" s="14" t="str">
        <f>_xll.BDH("ALNY US Equity","ARDR_RSTR_STK_UNIT_WAVG_FV_PS","FQ3 2021","FQ3 2021","Currency=USD","Period=FQ","BEST_FPERIOD_OVERRIDE=FQ","FILING_STATUS=MR","Sort=A","Dates=H","DateFormat=P","Fill=—","Direction=H","UseDPDF=Y")</f>
        <v>—</v>
      </c>
      <c r="O170" s="14">
        <f>_xll.BDH("ALNY US Equity","ARDR_RSTR_STK_UNIT_WAVG_FV_PS","FQ4 2021","FQ4 2021","Currency=USD","Period=FQ","BEST_FPERIOD_OVERRIDE=FQ","FILING_STATUS=MR","Sort=A","Dates=H","DateFormat=P","Fill=—","Direction=H","UseDPDF=Y")</f>
        <v>158.87</v>
      </c>
      <c r="P170" s="14" t="str">
        <f>_xll.BDH("ALNY US Equity","ARDR_RSTR_STK_UNIT_WAVG_FV_PS","FQ1 2022","FQ1 2022","Currency=USD","Period=FQ","BEST_FPERIOD_OVERRIDE=FQ","FILING_STATUS=MR","Sort=A","Dates=H","DateFormat=P","Fill=—","Direction=H","UseDPDF=Y")</f>
        <v>—</v>
      </c>
      <c r="Q170" s="14" t="str">
        <f>_xll.BDH("ALNY US Equity","ARDR_RSTR_STK_UNIT_WAVG_FV_PS","FQ2 2022","FQ2 2022","Currency=USD","Period=FQ","BEST_FPERIOD_OVERRIDE=FQ","FILING_STATUS=MR","Sort=A","Dates=H","DateFormat=P","Fill=—","Direction=H","UseDPDF=Y")</f>
        <v>—</v>
      </c>
      <c r="R170" s="14" t="str">
        <f>_xll.BDH("ALNY US Equity","ARDR_RSTR_STK_UNIT_WAVG_FV_PS","FQ3 2022","FQ3 2022","Currency=USD","Period=FQ","BEST_FPERIOD_OVERRIDE=FQ","FILING_STATUS=MR","Sort=A","Dates=H","DateFormat=P","Fill=—","Direction=H","UseDPDF=Y")</f>
        <v>—</v>
      </c>
      <c r="S170" s="14">
        <f>_xll.BDH("ALNY US Equity","ARDR_RSTR_STK_UNIT_WAVG_FV_PS","FQ4 2022","FQ4 2022","Currency=USD","Period=FQ","BEST_FPERIOD_OVERRIDE=FQ","FILING_STATUS=MR","Sort=A","Dates=H","DateFormat=P","Fill=—","Direction=H","UseDPDF=Y")</f>
        <v>165.27</v>
      </c>
      <c r="T170" s="14" t="str">
        <f>_xll.BDH("ALNY US Equity","ARDR_RSTR_STK_UNIT_WAVG_FV_PS","FQ1 2023","FQ1 2023","Currency=USD","Period=FQ","BEST_FPERIOD_OVERRIDE=FQ","FILING_STATUS=MR","Sort=A","Dates=H","DateFormat=P","Fill=—","Direction=H","UseDPDF=Y")</f>
        <v>—</v>
      </c>
      <c r="U170" s="14" t="str">
        <f>_xll.BDH("ALNY US Equity","ARDR_RSTR_STK_UNIT_WAVG_FV_PS","FQ2 2023","FQ2 2023","Currency=USD","Period=FQ","BEST_FPERIOD_OVERRIDE=FQ","FILING_STATUS=MR","Sort=A","Dates=H","DateFormat=P","Fill=—","Direction=H","UseDPDF=Y")</f>
        <v>—</v>
      </c>
      <c r="V170" s="14" t="str">
        <f>_xll.BDH("ALNY US Equity","ARDR_RSTR_STK_UNIT_WAVG_FV_PS","FQ3 2023","FQ3 2023","Currency=USD","Period=FQ","BEST_FPERIOD_OVERRIDE=FQ","FILING_STATUS=MR","Sort=A","Dates=H","DateFormat=P","Fill=—","Direction=H","UseDPDF=Y")</f>
        <v>—</v>
      </c>
      <c r="W170" s="14">
        <f>_xll.BDH("ALNY US Equity","ARDR_RSTR_STK_UNIT_WAVG_FV_PS","FQ4 2023","FQ4 2023","Currency=USD","Period=FQ","BEST_FPERIOD_OVERRIDE=FQ","FILING_STATUS=MR","Sort=A","Dates=H","DateFormat=P","Fill=—","Direction=H","UseDPDF=Y")</f>
        <v>185.24</v>
      </c>
      <c r="X170" s="14" t="str">
        <f>_xll.BDH("ALNY US Equity","ARDR_RSTR_STK_UNIT_WAVG_FV_PS","FQ1 2024","FQ1 2024","Currency=USD","Period=FQ","BEST_FPERIOD_OVERRIDE=FQ","FILING_STATUS=MR","Sort=A","Dates=H","DateFormat=P","Fill=—","Direction=H","UseDPDF=Y")</f>
        <v>—</v>
      </c>
      <c r="Y170" s="14" t="str">
        <f>_xll.BDH("ALNY US Equity","ARDR_RSTR_STK_UNIT_WAVG_FV_PS","FQ2 2024","FQ2 2024","Currency=USD","Period=FQ","BEST_FPERIOD_OVERRIDE=FQ","FILING_STATUS=MR","Sort=A","Dates=H","DateFormat=P","Fill=—","Direction=H","UseDPDF=Y")</f>
        <v>—</v>
      </c>
      <c r="Z170" s="14" t="str">
        <f>_xll.BDH("ALNY US Equity","ARDR_RSTR_STK_UNIT_WAVG_FV_PS","FQ3 2024","FQ3 2024","Currency=USD","Period=FQ","BEST_FPERIOD_OVERRIDE=FQ","FILING_STATUS=MR","Sort=A","Dates=H","DateFormat=P","Fill=—","Direction=H","UseDPDF=Y")</f>
        <v>—</v>
      </c>
      <c r="AA170" s="14">
        <f>_xll.BDH("ALNY US Equity","ARDR_RSTR_STK_UNIT_WAVG_FV_PS","FQ4 2024","FQ4 2024","Currency=USD","Period=FQ","BEST_FPERIOD_OVERRIDE=FQ","FILING_STATUS=MR","Sort=A","Dates=H","DateFormat=P","Fill=—","Direction=H","UseDPDF=Y")</f>
        <v>175.39</v>
      </c>
    </row>
    <row r="171" spans="1:27" x14ac:dyDescent="0.25">
      <c r="A171" s="10" t="s">
        <v>1123</v>
      </c>
      <c r="B171" s="10" t="s">
        <v>1124</v>
      </c>
      <c r="C171" s="14">
        <f>_xll.BDH("ALNY US Equity","ARDR_STK_OPT_VALN_RFR_PCT_LO","FQ4 2018","FQ4 2018","Currency=USD","Period=FQ","BEST_FPERIOD_OVERRIDE=FQ","FILING_STATUS=MR","Sort=A","Dates=H","DateFormat=P","Fill=—","Direction=H","UseDPDF=Y")</f>
        <v>2.7</v>
      </c>
      <c r="D171" s="14" t="str">
        <f>_xll.BDH("ALNY US Equity","ARDR_STK_OPT_VALN_RFR_PCT_LO","FQ1 2019","FQ1 2019","Currency=USD","Period=FQ","BEST_FPERIOD_OVERRIDE=FQ","FILING_STATUS=MR","Sort=A","Dates=H","DateFormat=P","Fill=—","Direction=H","UseDPDF=Y")</f>
        <v>—</v>
      </c>
      <c r="E171" s="14" t="str">
        <f>_xll.BDH("ALNY US Equity","ARDR_STK_OPT_VALN_RFR_PCT_LO","FQ2 2019","FQ2 2019","Currency=USD","Period=FQ","BEST_FPERIOD_OVERRIDE=FQ","FILING_STATUS=MR","Sort=A","Dates=H","DateFormat=P","Fill=—","Direction=H","UseDPDF=Y")</f>
        <v>—</v>
      </c>
      <c r="F171" s="14" t="str">
        <f>_xll.BDH("ALNY US Equity","ARDR_STK_OPT_VALN_RFR_PCT_LO","FQ3 2019","FQ3 2019","Currency=USD","Period=FQ","BEST_FPERIOD_OVERRIDE=FQ","FILING_STATUS=MR","Sort=A","Dates=H","DateFormat=P","Fill=—","Direction=H","UseDPDF=Y")</f>
        <v>—</v>
      </c>
      <c r="G171" s="14">
        <f>_xll.BDH("ALNY US Equity","ARDR_STK_OPT_VALN_RFR_PCT_LO","FQ4 2019","FQ4 2019","Currency=USD","Period=FQ","BEST_FPERIOD_OVERRIDE=FQ","FILING_STATUS=MR","Sort=A","Dates=H","DateFormat=P","Fill=—","Direction=H","UseDPDF=Y")</f>
        <v>1.4</v>
      </c>
      <c r="H171" s="14" t="str">
        <f>_xll.BDH("ALNY US Equity","ARDR_STK_OPT_VALN_RFR_PCT_LO","FQ1 2020","FQ1 2020","Currency=USD","Period=FQ","BEST_FPERIOD_OVERRIDE=FQ","FILING_STATUS=MR","Sort=A","Dates=H","DateFormat=P","Fill=—","Direction=H","UseDPDF=Y")</f>
        <v>—</v>
      </c>
      <c r="I171" s="14" t="str">
        <f>_xll.BDH("ALNY US Equity","ARDR_STK_OPT_VALN_RFR_PCT_LO","FQ2 2020","FQ2 2020","Currency=USD","Period=FQ","BEST_FPERIOD_OVERRIDE=FQ","FILING_STATUS=MR","Sort=A","Dates=H","DateFormat=P","Fill=—","Direction=H","UseDPDF=Y")</f>
        <v>—</v>
      </c>
      <c r="J171" s="14" t="str">
        <f>_xll.BDH("ALNY US Equity","ARDR_STK_OPT_VALN_RFR_PCT_LO","FQ3 2020","FQ3 2020","Currency=USD","Period=FQ","BEST_FPERIOD_OVERRIDE=FQ","FILING_STATUS=MR","Sort=A","Dates=H","DateFormat=P","Fill=—","Direction=H","UseDPDF=Y")</f>
        <v>—</v>
      </c>
      <c r="K171" s="14">
        <f>_xll.BDH("ALNY US Equity","ARDR_STK_OPT_VALN_RFR_PCT_LO","FQ4 2020","FQ4 2020","Currency=USD","Period=FQ","BEST_FPERIOD_OVERRIDE=FQ","FILING_STATUS=MR","Sort=A","Dates=H","DateFormat=P","Fill=—","Direction=H","UseDPDF=Y")</f>
        <v>0.3</v>
      </c>
      <c r="L171" s="14" t="str">
        <f>_xll.BDH("ALNY US Equity","ARDR_STK_OPT_VALN_RFR_PCT_LO","FQ1 2021","FQ1 2021","Currency=USD","Period=FQ","BEST_FPERIOD_OVERRIDE=FQ","FILING_STATUS=MR","Sort=A","Dates=H","DateFormat=P","Fill=—","Direction=H","UseDPDF=Y")</f>
        <v>—</v>
      </c>
      <c r="M171" s="14" t="str">
        <f>_xll.BDH("ALNY US Equity","ARDR_STK_OPT_VALN_RFR_PCT_LO","FQ2 2021","FQ2 2021","Currency=USD","Period=FQ","BEST_FPERIOD_OVERRIDE=FQ","FILING_STATUS=MR","Sort=A","Dates=H","DateFormat=P","Fill=—","Direction=H","UseDPDF=Y")</f>
        <v>—</v>
      </c>
      <c r="N171" s="14" t="str">
        <f>_xll.BDH("ALNY US Equity","ARDR_STK_OPT_VALN_RFR_PCT_LO","FQ3 2021","FQ3 2021","Currency=USD","Period=FQ","BEST_FPERIOD_OVERRIDE=FQ","FILING_STATUS=MR","Sort=A","Dates=H","DateFormat=P","Fill=—","Direction=H","UseDPDF=Y")</f>
        <v>—</v>
      </c>
      <c r="O171" s="14">
        <f>_xll.BDH("ALNY US Equity","ARDR_STK_OPT_VALN_RFR_PCT_LO","FQ4 2021","FQ4 2021","Currency=USD","Period=FQ","BEST_FPERIOD_OVERRIDE=FQ","FILING_STATUS=MR","Sort=A","Dates=H","DateFormat=P","Fill=—","Direction=H","UseDPDF=Y")</f>
        <v>0.4</v>
      </c>
      <c r="P171" s="14" t="str">
        <f>_xll.BDH("ALNY US Equity","ARDR_STK_OPT_VALN_RFR_PCT_LO","FQ1 2022","FQ1 2022","Currency=USD","Period=FQ","BEST_FPERIOD_OVERRIDE=FQ","FILING_STATUS=MR","Sort=A","Dates=H","DateFormat=P","Fill=—","Direction=H","UseDPDF=Y")</f>
        <v>—</v>
      </c>
      <c r="Q171" s="14" t="str">
        <f>_xll.BDH("ALNY US Equity","ARDR_STK_OPT_VALN_RFR_PCT_LO","FQ2 2022","FQ2 2022","Currency=USD","Period=FQ","BEST_FPERIOD_OVERRIDE=FQ","FILING_STATUS=MR","Sort=A","Dates=H","DateFormat=P","Fill=—","Direction=H","UseDPDF=Y")</f>
        <v>—</v>
      </c>
      <c r="R171" s="14" t="str">
        <f>_xll.BDH("ALNY US Equity","ARDR_STK_OPT_VALN_RFR_PCT_LO","FQ3 2022","FQ3 2022","Currency=USD","Period=FQ","BEST_FPERIOD_OVERRIDE=FQ","FILING_STATUS=MR","Sort=A","Dates=H","DateFormat=P","Fill=—","Direction=H","UseDPDF=Y")</f>
        <v>—</v>
      </c>
      <c r="S171" s="14">
        <f>_xll.BDH("ALNY US Equity","ARDR_STK_OPT_VALN_RFR_PCT_LO","FQ4 2022","FQ4 2022","Currency=USD","Period=FQ","BEST_FPERIOD_OVERRIDE=FQ","FILING_STATUS=MR","Sort=A","Dates=H","DateFormat=P","Fill=—","Direction=H","UseDPDF=Y")</f>
        <v>1.3</v>
      </c>
      <c r="T171" s="14" t="str">
        <f>_xll.BDH("ALNY US Equity","ARDR_STK_OPT_VALN_RFR_PCT_LO","FQ1 2023","FQ1 2023","Currency=USD","Period=FQ","BEST_FPERIOD_OVERRIDE=FQ","FILING_STATUS=MR","Sort=A","Dates=H","DateFormat=P","Fill=—","Direction=H","UseDPDF=Y")</f>
        <v>—</v>
      </c>
      <c r="U171" s="14" t="str">
        <f>_xll.BDH("ALNY US Equity","ARDR_STK_OPT_VALN_RFR_PCT_LO","FQ2 2023","FQ2 2023","Currency=USD","Period=FQ","BEST_FPERIOD_OVERRIDE=FQ","FILING_STATUS=MR","Sort=A","Dates=H","DateFormat=P","Fill=—","Direction=H","UseDPDF=Y")</f>
        <v>—</v>
      </c>
      <c r="V171" s="14" t="str">
        <f>_xll.BDH("ALNY US Equity","ARDR_STK_OPT_VALN_RFR_PCT_LO","FQ3 2023","FQ3 2023","Currency=USD","Period=FQ","BEST_FPERIOD_OVERRIDE=FQ","FILING_STATUS=MR","Sort=A","Dates=H","DateFormat=P","Fill=—","Direction=H","UseDPDF=Y")</f>
        <v>—</v>
      </c>
      <c r="W171" s="14">
        <f>_xll.BDH("ALNY US Equity","ARDR_STK_OPT_VALN_RFR_PCT_LO","FQ4 2023","FQ4 2023","Currency=USD","Period=FQ","BEST_FPERIOD_OVERRIDE=FQ","FILING_STATUS=MR","Sort=A","Dates=H","DateFormat=P","Fill=—","Direction=H","UseDPDF=Y")</f>
        <v>3.5</v>
      </c>
      <c r="X171" s="14" t="str">
        <f>_xll.BDH("ALNY US Equity","ARDR_STK_OPT_VALN_RFR_PCT_LO","FQ1 2024","FQ1 2024","Currency=USD","Period=FQ","BEST_FPERIOD_OVERRIDE=FQ","FILING_STATUS=MR","Sort=A","Dates=H","DateFormat=P","Fill=—","Direction=H","UseDPDF=Y")</f>
        <v>—</v>
      </c>
      <c r="Y171" s="14" t="str">
        <f>_xll.BDH("ALNY US Equity","ARDR_STK_OPT_VALN_RFR_PCT_LO","FQ2 2024","FQ2 2024","Currency=USD","Period=FQ","BEST_FPERIOD_OVERRIDE=FQ","FILING_STATUS=MR","Sort=A","Dates=H","DateFormat=P","Fill=—","Direction=H","UseDPDF=Y")</f>
        <v>—</v>
      </c>
      <c r="Z171" s="14" t="str">
        <f>_xll.BDH("ALNY US Equity","ARDR_STK_OPT_VALN_RFR_PCT_LO","FQ3 2024","FQ3 2024","Currency=USD","Period=FQ","BEST_FPERIOD_OVERRIDE=FQ","FILING_STATUS=MR","Sort=A","Dates=H","DateFormat=P","Fill=—","Direction=H","UseDPDF=Y")</f>
        <v>—</v>
      </c>
      <c r="AA171" s="14">
        <f>_xll.BDH("ALNY US Equity","ARDR_STK_OPT_VALN_RFR_PCT_LO","FQ4 2024","FQ4 2024","Currency=USD","Period=FQ","BEST_FPERIOD_OVERRIDE=FQ","FILING_STATUS=MR","Sort=A","Dates=H","DateFormat=P","Fill=—","Direction=H","UseDPDF=Y")</f>
        <v>4.2</v>
      </c>
    </row>
    <row r="172" spans="1:27" x14ac:dyDescent="0.25">
      <c r="A172" s="10" t="s">
        <v>1125</v>
      </c>
      <c r="B172" s="10" t="s">
        <v>1126</v>
      </c>
      <c r="C172" s="14">
        <f>_xll.BDH("ALNY US Equity","ARDR_STK_OPT_VALN_RFR_PCT_HI","FQ4 2018","FQ4 2018","Currency=USD","Period=FQ","BEST_FPERIOD_OVERRIDE=FQ","FILING_STATUS=MR","Sort=A","Dates=H","DateFormat=P","Fill=—","Direction=H","UseDPDF=Y")</f>
        <v>2.9</v>
      </c>
      <c r="D172" s="14" t="str">
        <f>_xll.BDH("ALNY US Equity","ARDR_STK_OPT_VALN_RFR_PCT_HI","FQ1 2019","FQ1 2019","Currency=USD","Period=FQ","BEST_FPERIOD_OVERRIDE=FQ","FILING_STATUS=MR","Sort=A","Dates=H","DateFormat=P","Fill=—","Direction=H","UseDPDF=Y")</f>
        <v>—</v>
      </c>
      <c r="E172" s="14" t="str">
        <f>_xll.BDH("ALNY US Equity","ARDR_STK_OPT_VALN_RFR_PCT_HI","FQ2 2019","FQ2 2019","Currency=USD","Period=FQ","BEST_FPERIOD_OVERRIDE=FQ","FILING_STATUS=MR","Sort=A","Dates=H","DateFormat=P","Fill=—","Direction=H","UseDPDF=Y")</f>
        <v>—</v>
      </c>
      <c r="F172" s="14" t="str">
        <f>_xll.BDH("ALNY US Equity","ARDR_STK_OPT_VALN_RFR_PCT_HI","FQ3 2019","FQ3 2019","Currency=USD","Period=FQ","BEST_FPERIOD_OVERRIDE=FQ","FILING_STATUS=MR","Sort=A","Dates=H","DateFormat=P","Fill=—","Direction=H","UseDPDF=Y")</f>
        <v>—</v>
      </c>
      <c r="G172" s="14">
        <f>_xll.BDH("ALNY US Equity","ARDR_STK_OPT_VALN_RFR_PCT_HI","FQ4 2019","FQ4 2019","Currency=USD","Period=FQ","BEST_FPERIOD_OVERRIDE=FQ","FILING_STATUS=MR","Sort=A","Dates=H","DateFormat=P","Fill=—","Direction=H","UseDPDF=Y")</f>
        <v>2.6</v>
      </c>
      <c r="H172" s="14" t="str">
        <f>_xll.BDH("ALNY US Equity","ARDR_STK_OPT_VALN_RFR_PCT_HI","FQ1 2020","FQ1 2020","Currency=USD","Period=FQ","BEST_FPERIOD_OVERRIDE=FQ","FILING_STATUS=MR","Sort=A","Dates=H","DateFormat=P","Fill=—","Direction=H","UseDPDF=Y")</f>
        <v>—</v>
      </c>
      <c r="I172" s="14" t="str">
        <f>_xll.BDH("ALNY US Equity","ARDR_STK_OPT_VALN_RFR_PCT_HI","FQ2 2020","FQ2 2020","Currency=USD","Period=FQ","BEST_FPERIOD_OVERRIDE=FQ","FILING_STATUS=MR","Sort=A","Dates=H","DateFormat=P","Fill=—","Direction=H","UseDPDF=Y")</f>
        <v>—</v>
      </c>
      <c r="J172" s="14" t="str">
        <f>_xll.BDH("ALNY US Equity","ARDR_STK_OPT_VALN_RFR_PCT_HI","FQ3 2020","FQ3 2020","Currency=USD","Period=FQ","BEST_FPERIOD_OVERRIDE=FQ","FILING_STATUS=MR","Sort=A","Dates=H","DateFormat=P","Fill=—","Direction=H","UseDPDF=Y")</f>
        <v>—</v>
      </c>
      <c r="K172" s="14">
        <f>_xll.BDH("ALNY US Equity","ARDR_STK_OPT_VALN_RFR_PCT_HI","FQ4 2020","FQ4 2020","Currency=USD","Period=FQ","BEST_FPERIOD_OVERRIDE=FQ","FILING_STATUS=MR","Sort=A","Dates=H","DateFormat=P","Fill=—","Direction=H","UseDPDF=Y")</f>
        <v>1.7</v>
      </c>
      <c r="L172" s="14" t="str">
        <f>_xll.BDH("ALNY US Equity","ARDR_STK_OPT_VALN_RFR_PCT_HI","FQ1 2021","FQ1 2021","Currency=USD","Period=FQ","BEST_FPERIOD_OVERRIDE=FQ","FILING_STATUS=MR","Sort=A","Dates=H","DateFormat=P","Fill=—","Direction=H","UseDPDF=Y")</f>
        <v>—</v>
      </c>
      <c r="M172" s="14" t="str">
        <f>_xll.BDH("ALNY US Equity","ARDR_STK_OPT_VALN_RFR_PCT_HI","FQ2 2021","FQ2 2021","Currency=USD","Period=FQ","BEST_FPERIOD_OVERRIDE=FQ","FILING_STATUS=MR","Sort=A","Dates=H","DateFormat=P","Fill=—","Direction=H","UseDPDF=Y")</f>
        <v>—</v>
      </c>
      <c r="N172" s="14" t="str">
        <f>_xll.BDH("ALNY US Equity","ARDR_STK_OPT_VALN_RFR_PCT_HI","FQ3 2021","FQ3 2021","Currency=USD","Period=FQ","BEST_FPERIOD_OVERRIDE=FQ","FILING_STATUS=MR","Sort=A","Dates=H","DateFormat=P","Fill=—","Direction=H","UseDPDF=Y")</f>
        <v>—</v>
      </c>
      <c r="O172" s="14">
        <f>_xll.BDH("ALNY US Equity","ARDR_STK_OPT_VALN_RFR_PCT_HI","FQ4 2021","FQ4 2021","Currency=USD","Period=FQ","BEST_FPERIOD_OVERRIDE=FQ","FILING_STATUS=MR","Sort=A","Dates=H","DateFormat=P","Fill=—","Direction=H","UseDPDF=Y")</f>
        <v>1.4</v>
      </c>
      <c r="P172" s="14" t="str">
        <f>_xll.BDH("ALNY US Equity","ARDR_STK_OPT_VALN_RFR_PCT_HI","FQ1 2022","FQ1 2022","Currency=USD","Period=FQ","BEST_FPERIOD_OVERRIDE=FQ","FILING_STATUS=MR","Sort=A","Dates=H","DateFormat=P","Fill=—","Direction=H","UseDPDF=Y")</f>
        <v>—</v>
      </c>
      <c r="Q172" s="14" t="str">
        <f>_xll.BDH("ALNY US Equity","ARDR_STK_OPT_VALN_RFR_PCT_HI","FQ2 2022","FQ2 2022","Currency=USD","Period=FQ","BEST_FPERIOD_OVERRIDE=FQ","FILING_STATUS=MR","Sort=A","Dates=H","DateFormat=P","Fill=—","Direction=H","UseDPDF=Y")</f>
        <v>—</v>
      </c>
      <c r="R172" s="14" t="str">
        <f>_xll.BDH("ALNY US Equity","ARDR_STK_OPT_VALN_RFR_PCT_HI","FQ3 2022","FQ3 2022","Currency=USD","Period=FQ","BEST_FPERIOD_OVERRIDE=FQ","FILING_STATUS=MR","Sort=A","Dates=H","DateFormat=P","Fill=—","Direction=H","UseDPDF=Y")</f>
        <v>—</v>
      </c>
      <c r="S172" s="14">
        <f>_xll.BDH("ALNY US Equity","ARDR_STK_OPT_VALN_RFR_PCT_HI","FQ4 2022","FQ4 2022","Currency=USD","Period=FQ","BEST_FPERIOD_OVERRIDE=FQ","FILING_STATUS=MR","Sort=A","Dates=H","DateFormat=P","Fill=—","Direction=H","UseDPDF=Y")</f>
        <v>4.2</v>
      </c>
      <c r="T172" s="14" t="str">
        <f>_xll.BDH("ALNY US Equity","ARDR_STK_OPT_VALN_RFR_PCT_HI","FQ1 2023","FQ1 2023","Currency=USD","Period=FQ","BEST_FPERIOD_OVERRIDE=FQ","FILING_STATUS=MR","Sort=A","Dates=H","DateFormat=P","Fill=—","Direction=H","UseDPDF=Y")</f>
        <v>—</v>
      </c>
      <c r="U172" s="14" t="str">
        <f>_xll.BDH("ALNY US Equity","ARDR_STK_OPT_VALN_RFR_PCT_HI","FQ2 2023","FQ2 2023","Currency=USD","Period=FQ","BEST_FPERIOD_OVERRIDE=FQ","FILING_STATUS=MR","Sort=A","Dates=H","DateFormat=P","Fill=—","Direction=H","UseDPDF=Y")</f>
        <v>—</v>
      </c>
      <c r="V172" s="14" t="str">
        <f>_xll.BDH("ALNY US Equity","ARDR_STK_OPT_VALN_RFR_PCT_HI","FQ3 2023","FQ3 2023","Currency=USD","Period=FQ","BEST_FPERIOD_OVERRIDE=FQ","FILING_STATUS=MR","Sort=A","Dates=H","DateFormat=P","Fill=—","Direction=H","UseDPDF=Y")</f>
        <v>—</v>
      </c>
      <c r="W172" s="14">
        <f>_xll.BDH("ALNY US Equity","ARDR_STK_OPT_VALN_RFR_PCT_HI","FQ4 2023","FQ4 2023","Currency=USD","Period=FQ","BEST_FPERIOD_OVERRIDE=FQ","FILING_STATUS=MR","Sort=A","Dates=H","DateFormat=P","Fill=—","Direction=H","UseDPDF=Y")</f>
        <v>4.0999999999999996</v>
      </c>
      <c r="X172" s="14" t="str">
        <f>_xll.BDH("ALNY US Equity","ARDR_STK_OPT_VALN_RFR_PCT_HI","FQ1 2024","FQ1 2024","Currency=USD","Period=FQ","BEST_FPERIOD_OVERRIDE=FQ","FILING_STATUS=MR","Sort=A","Dates=H","DateFormat=P","Fill=—","Direction=H","UseDPDF=Y")</f>
        <v>—</v>
      </c>
      <c r="Y172" s="14" t="str">
        <f>_xll.BDH("ALNY US Equity","ARDR_STK_OPT_VALN_RFR_PCT_HI","FQ2 2024","FQ2 2024","Currency=USD","Period=FQ","BEST_FPERIOD_OVERRIDE=FQ","FILING_STATUS=MR","Sort=A","Dates=H","DateFormat=P","Fill=—","Direction=H","UseDPDF=Y")</f>
        <v>—</v>
      </c>
      <c r="Z172" s="14" t="str">
        <f>_xll.BDH("ALNY US Equity","ARDR_STK_OPT_VALN_RFR_PCT_HI","FQ3 2024","FQ3 2024","Currency=USD","Period=FQ","BEST_FPERIOD_OVERRIDE=FQ","FILING_STATUS=MR","Sort=A","Dates=H","DateFormat=P","Fill=—","Direction=H","UseDPDF=Y")</f>
        <v>—</v>
      </c>
      <c r="AA172" s="14">
        <f>_xll.BDH("ALNY US Equity","ARDR_STK_OPT_VALN_RFR_PCT_HI","FQ4 2024","FQ4 2024","Currency=USD","Period=FQ","BEST_FPERIOD_OVERRIDE=FQ","FILING_STATUS=MR","Sort=A","Dates=H","DateFormat=P","Fill=—","Direction=H","UseDPDF=Y")</f>
        <v>4.3</v>
      </c>
    </row>
    <row r="173" spans="1:27" x14ac:dyDescent="0.25">
      <c r="A173" s="10" t="s">
        <v>1127</v>
      </c>
      <c r="B173" s="10" t="s">
        <v>1128</v>
      </c>
      <c r="C173" s="14">
        <f>_xll.BDH("ALNY US Equity","ARDR_STK_OPT_VALN_EXPCTD_LF_Y_LO","FQ4 2018","FQ4 2018","Currency=USD","Period=FQ","BEST_FPERIOD_OVERRIDE=FQ","FILING_STATUS=MR","Sort=A","Dates=H","DateFormat=P","Fill=—","Direction=H","UseDPDF=Y")</f>
        <v>5.7</v>
      </c>
      <c r="D173" s="14" t="str">
        <f>_xll.BDH("ALNY US Equity","ARDR_STK_OPT_VALN_EXPCTD_LF_Y_LO","FQ1 2019","FQ1 2019","Currency=USD","Period=FQ","BEST_FPERIOD_OVERRIDE=FQ","FILING_STATUS=MR","Sort=A","Dates=H","DateFormat=P","Fill=—","Direction=H","UseDPDF=Y")</f>
        <v>—</v>
      </c>
      <c r="E173" s="14" t="str">
        <f>_xll.BDH("ALNY US Equity","ARDR_STK_OPT_VALN_EXPCTD_LF_Y_LO","FQ2 2019","FQ2 2019","Currency=USD","Period=FQ","BEST_FPERIOD_OVERRIDE=FQ","FILING_STATUS=MR","Sort=A","Dates=H","DateFormat=P","Fill=—","Direction=H","UseDPDF=Y")</f>
        <v>—</v>
      </c>
      <c r="F173" s="14" t="str">
        <f>_xll.BDH("ALNY US Equity","ARDR_STK_OPT_VALN_EXPCTD_LF_Y_LO","FQ3 2019","FQ3 2019","Currency=USD","Period=FQ","BEST_FPERIOD_OVERRIDE=FQ","FILING_STATUS=MR","Sort=A","Dates=H","DateFormat=P","Fill=—","Direction=H","UseDPDF=Y")</f>
        <v>—</v>
      </c>
      <c r="G173" s="14">
        <f>_xll.BDH("ALNY US Equity","ARDR_STK_OPT_VALN_EXPCTD_LF_Y_LO","FQ4 2019","FQ4 2019","Currency=USD","Period=FQ","BEST_FPERIOD_OVERRIDE=FQ","FILING_STATUS=MR","Sort=A","Dates=H","DateFormat=P","Fill=—","Direction=H","UseDPDF=Y")</f>
        <v>5.6</v>
      </c>
      <c r="H173" s="14" t="str">
        <f>_xll.BDH("ALNY US Equity","ARDR_STK_OPT_VALN_EXPCTD_LF_Y_LO","FQ1 2020","FQ1 2020","Currency=USD","Period=FQ","BEST_FPERIOD_OVERRIDE=FQ","FILING_STATUS=MR","Sort=A","Dates=H","DateFormat=P","Fill=—","Direction=H","UseDPDF=Y")</f>
        <v>—</v>
      </c>
      <c r="I173" s="14" t="str">
        <f>_xll.BDH("ALNY US Equity","ARDR_STK_OPT_VALN_EXPCTD_LF_Y_LO","FQ2 2020","FQ2 2020","Currency=USD","Period=FQ","BEST_FPERIOD_OVERRIDE=FQ","FILING_STATUS=MR","Sort=A","Dates=H","DateFormat=P","Fill=—","Direction=H","UseDPDF=Y")</f>
        <v>—</v>
      </c>
      <c r="J173" s="14" t="str">
        <f>_xll.BDH("ALNY US Equity","ARDR_STK_OPT_VALN_EXPCTD_LF_Y_LO","FQ3 2020","FQ3 2020","Currency=USD","Period=FQ","BEST_FPERIOD_OVERRIDE=FQ","FILING_STATUS=MR","Sort=A","Dates=H","DateFormat=P","Fill=—","Direction=H","UseDPDF=Y")</f>
        <v>—</v>
      </c>
      <c r="K173" s="14">
        <f>_xll.BDH("ALNY US Equity","ARDR_STK_OPT_VALN_EXPCTD_LF_Y_LO","FQ4 2020","FQ4 2020","Currency=USD","Period=FQ","BEST_FPERIOD_OVERRIDE=FQ","FILING_STATUS=MR","Sort=A","Dates=H","DateFormat=P","Fill=—","Direction=H","UseDPDF=Y")</f>
        <v>5.4</v>
      </c>
      <c r="L173" s="14" t="str">
        <f>_xll.BDH("ALNY US Equity","ARDR_STK_OPT_VALN_EXPCTD_LF_Y_LO","FQ1 2021","FQ1 2021","Currency=USD","Period=FQ","BEST_FPERIOD_OVERRIDE=FQ","FILING_STATUS=MR","Sort=A","Dates=H","DateFormat=P","Fill=—","Direction=H","UseDPDF=Y")</f>
        <v>—</v>
      </c>
      <c r="M173" s="14" t="str">
        <f>_xll.BDH("ALNY US Equity","ARDR_STK_OPT_VALN_EXPCTD_LF_Y_LO","FQ2 2021","FQ2 2021","Currency=USD","Period=FQ","BEST_FPERIOD_OVERRIDE=FQ","FILING_STATUS=MR","Sort=A","Dates=H","DateFormat=P","Fill=—","Direction=H","UseDPDF=Y")</f>
        <v>—</v>
      </c>
      <c r="N173" s="14" t="str">
        <f>_xll.BDH("ALNY US Equity","ARDR_STK_OPT_VALN_EXPCTD_LF_Y_LO","FQ3 2021","FQ3 2021","Currency=USD","Period=FQ","BEST_FPERIOD_OVERRIDE=FQ","FILING_STATUS=MR","Sort=A","Dates=H","DateFormat=P","Fill=—","Direction=H","UseDPDF=Y")</f>
        <v>—</v>
      </c>
      <c r="O173" s="14">
        <f>_xll.BDH("ALNY US Equity","ARDR_STK_OPT_VALN_EXPCTD_LF_Y_LO","FQ4 2021","FQ4 2021","Currency=USD","Period=FQ","BEST_FPERIOD_OVERRIDE=FQ","FILING_STATUS=MR","Sort=A","Dates=H","DateFormat=P","Fill=—","Direction=H","UseDPDF=Y")</f>
        <v>5.4</v>
      </c>
      <c r="P173" s="14" t="str">
        <f>_xll.BDH("ALNY US Equity","ARDR_STK_OPT_VALN_EXPCTD_LF_Y_LO","FQ1 2022","FQ1 2022","Currency=USD","Period=FQ","BEST_FPERIOD_OVERRIDE=FQ","FILING_STATUS=MR","Sort=A","Dates=H","DateFormat=P","Fill=—","Direction=H","UseDPDF=Y")</f>
        <v>—</v>
      </c>
      <c r="Q173" s="14" t="str">
        <f>_xll.BDH("ALNY US Equity","ARDR_STK_OPT_VALN_EXPCTD_LF_Y_LO","FQ2 2022","FQ2 2022","Currency=USD","Period=FQ","BEST_FPERIOD_OVERRIDE=FQ","FILING_STATUS=MR","Sort=A","Dates=H","DateFormat=P","Fill=—","Direction=H","UseDPDF=Y")</f>
        <v>—</v>
      </c>
      <c r="R173" s="14" t="str">
        <f>_xll.BDH("ALNY US Equity","ARDR_STK_OPT_VALN_EXPCTD_LF_Y_LO","FQ3 2022","FQ3 2022","Currency=USD","Period=FQ","BEST_FPERIOD_OVERRIDE=FQ","FILING_STATUS=MR","Sort=A","Dates=H","DateFormat=P","Fill=—","Direction=H","UseDPDF=Y")</f>
        <v>—</v>
      </c>
      <c r="S173" s="14">
        <f>_xll.BDH("ALNY US Equity","ARDR_STK_OPT_VALN_EXPCTD_LF_Y_LO","FQ4 2022","FQ4 2022","Currency=USD","Period=FQ","BEST_FPERIOD_OVERRIDE=FQ","FILING_STATUS=MR","Sort=A","Dates=H","DateFormat=P","Fill=—","Direction=H","UseDPDF=Y")</f>
        <v>5.0999999999999996</v>
      </c>
      <c r="T173" s="14" t="str">
        <f>_xll.BDH("ALNY US Equity","ARDR_STK_OPT_VALN_EXPCTD_LF_Y_LO","FQ1 2023","FQ1 2023","Currency=USD","Period=FQ","BEST_FPERIOD_OVERRIDE=FQ","FILING_STATUS=MR","Sort=A","Dates=H","DateFormat=P","Fill=—","Direction=H","UseDPDF=Y")</f>
        <v>—</v>
      </c>
      <c r="U173" s="14" t="str">
        <f>_xll.BDH("ALNY US Equity","ARDR_STK_OPT_VALN_EXPCTD_LF_Y_LO","FQ2 2023","FQ2 2023","Currency=USD","Period=FQ","BEST_FPERIOD_OVERRIDE=FQ","FILING_STATUS=MR","Sort=A","Dates=H","DateFormat=P","Fill=—","Direction=H","UseDPDF=Y")</f>
        <v>—</v>
      </c>
      <c r="V173" s="14" t="str">
        <f>_xll.BDH("ALNY US Equity","ARDR_STK_OPT_VALN_EXPCTD_LF_Y_LO","FQ3 2023","FQ3 2023","Currency=USD","Period=FQ","BEST_FPERIOD_OVERRIDE=FQ","FILING_STATUS=MR","Sort=A","Dates=H","DateFormat=P","Fill=—","Direction=H","UseDPDF=Y")</f>
        <v>—</v>
      </c>
      <c r="W173" s="14">
        <f>_xll.BDH("ALNY US Equity","ARDR_STK_OPT_VALN_EXPCTD_LF_Y_LO","FQ4 2023","FQ4 2023","Currency=USD","Period=FQ","BEST_FPERIOD_OVERRIDE=FQ","FILING_STATUS=MR","Sort=A","Dates=H","DateFormat=P","Fill=—","Direction=H","UseDPDF=Y")</f>
        <v>5.0999999999999996</v>
      </c>
      <c r="X173" s="14" t="str">
        <f>_xll.BDH("ALNY US Equity","ARDR_STK_OPT_VALN_EXPCTD_LF_Y_LO","FQ1 2024","FQ1 2024","Currency=USD","Period=FQ","BEST_FPERIOD_OVERRIDE=FQ","FILING_STATUS=MR","Sort=A","Dates=H","DateFormat=P","Fill=—","Direction=H","UseDPDF=Y")</f>
        <v>—</v>
      </c>
      <c r="Y173" s="14" t="str">
        <f>_xll.BDH("ALNY US Equity","ARDR_STK_OPT_VALN_EXPCTD_LF_Y_LO","FQ2 2024","FQ2 2024","Currency=USD","Period=FQ","BEST_FPERIOD_OVERRIDE=FQ","FILING_STATUS=MR","Sort=A","Dates=H","DateFormat=P","Fill=—","Direction=H","UseDPDF=Y")</f>
        <v>—</v>
      </c>
      <c r="Z173" s="14" t="str">
        <f>_xll.BDH("ALNY US Equity","ARDR_STK_OPT_VALN_EXPCTD_LF_Y_LO","FQ3 2024","FQ3 2024","Currency=USD","Period=FQ","BEST_FPERIOD_OVERRIDE=FQ","FILING_STATUS=MR","Sort=A","Dates=H","DateFormat=P","Fill=—","Direction=H","UseDPDF=Y")</f>
        <v>—</v>
      </c>
      <c r="AA173" s="14" t="str">
        <f>_xll.BDH("ALNY US Equity","ARDR_STK_OPT_VALN_EXPCTD_LF_Y_LO","FQ4 2024","FQ4 2024","Currency=USD","Period=FQ","BEST_FPERIOD_OVERRIDE=FQ","FILING_STATUS=MR","Sort=A","Dates=H","DateFormat=P","Fill=—","Direction=H","UseDPDF=Y")</f>
        <v>—</v>
      </c>
    </row>
    <row r="174" spans="1:27" x14ac:dyDescent="0.25">
      <c r="A174" s="10" t="s">
        <v>1129</v>
      </c>
      <c r="B174" s="10" t="s">
        <v>1130</v>
      </c>
      <c r="C174" s="14">
        <f>_xll.BDH("ALNY US Equity","ARDR_STK_OPT_VALN_EXPCTD_LF_Y_HI","FQ4 2018","FQ4 2018","Currency=USD","Period=FQ","BEST_FPERIOD_OVERRIDE=FQ","FILING_STATUS=MR","Sort=A","Dates=H","DateFormat=P","Fill=—","Direction=H","UseDPDF=Y")</f>
        <v>7.2</v>
      </c>
      <c r="D174" s="14" t="str">
        <f>_xll.BDH("ALNY US Equity","ARDR_STK_OPT_VALN_EXPCTD_LF_Y_HI","FQ1 2019","FQ1 2019","Currency=USD","Period=FQ","BEST_FPERIOD_OVERRIDE=FQ","FILING_STATUS=MR","Sort=A","Dates=H","DateFormat=P","Fill=—","Direction=H","UseDPDF=Y")</f>
        <v>—</v>
      </c>
      <c r="E174" s="14" t="str">
        <f>_xll.BDH("ALNY US Equity","ARDR_STK_OPT_VALN_EXPCTD_LF_Y_HI","FQ2 2019","FQ2 2019","Currency=USD","Period=FQ","BEST_FPERIOD_OVERRIDE=FQ","FILING_STATUS=MR","Sort=A","Dates=H","DateFormat=P","Fill=—","Direction=H","UseDPDF=Y")</f>
        <v>—</v>
      </c>
      <c r="F174" s="14" t="str">
        <f>_xll.BDH("ALNY US Equity","ARDR_STK_OPT_VALN_EXPCTD_LF_Y_HI","FQ3 2019","FQ3 2019","Currency=USD","Period=FQ","BEST_FPERIOD_OVERRIDE=FQ","FILING_STATUS=MR","Sort=A","Dates=H","DateFormat=P","Fill=—","Direction=H","UseDPDF=Y")</f>
        <v>—</v>
      </c>
      <c r="G174" s="14">
        <f>_xll.BDH("ALNY US Equity","ARDR_STK_OPT_VALN_EXPCTD_LF_Y_HI","FQ4 2019","FQ4 2019","Currency=USD","Period=FQ","BEST_FPERIOD_OVERRIDE=FQ","FILING_STATUS=MR","Sort=A","Dates=H","DateFormat=P","Fill=—","Direction=H","UseDPDF=Y")</f>
        <v>7.3</v>
      </c>
      <c r="H174" s="14" t="str">
        <f>_xll.BDH("ALNY US Equity","ARDR_STK_OPT_VALN_EXPCTD_LF_Y_HI","FQ1 2020","FQ1 2020","Currency=USD","Period=FQ","BEST_FPERIOD_OVERRIDE=FQ","FILING_STATUS=MR","Sort=A","Dates=H","DateFormat=P","Fill=—","Direction=H","UseDPDF=Y")</f>
        <v>—</v>
      </c>
      <c r="I174" s="14" t="str">
        <f>_xll.BDH("ALNY US Equity","ARDR_STK_OPT_VALN_EXPCTD_LF_Y_HI","FQ2 2020","FQ2 2020","Currency=USD","Period=FQ","BEST_FPERIOD_OVERRIDE=FQ","FILING_STATUS=MR","Sort=A","Dates=H","DateFormat=P","Fill=—","Direction=H","UseDPDF=Y")</f>
        <v>—</v>
      </c>
      <c r="J174" s="14" t="str">
        <f>_xll.BDH("ALNY US Equity","ARDR_STK_OPT_VALN_EXPCTD_LF_Y_HI","FQ3 2020","FQ3 2020","Currency=USD","Period=FQ","BEST_FPERIOD_OVERRIDE=FQ","FILING_STATUS=MR","Sort=A","Dates=H","DateFormat=P","Fill=—","Direction=H","UseDPDF=Y")</f>
        <v>—</v>
      </c>
      <c r="K174" s="14">
        <f>_xll.BDH("ALNY US Equity","ARDR_STK_OPT_VALN_EXPCTD_LF_Y_HI","FQ4 2020","FQ4 2020","Currency=USD","Period=FQ","BEST_FPERIOD_OVERRIDE=FQ","FILING_STATUS=MR","Sort=A","Dates=H","DateFormat=P","Fill=—","Direction=H","UseDPDF=Y")</f>
        <v>7.2</v>
      </c>
      <c r="L174" s="14" t="str">
        <f>_xll.BDH("ALNY US Equity","ARDR_STK_OPT_VALN_EXPCTD_LF_Y_HI","FQ1 2021","FQ1 2021","Currency=USD","Period=FQ","BEST_FPERIOD_OVERRIDE=FQ","FILING_STATUS=MR","Sort=A","Dates=H","DateFormat=P","Fill=—","Direction=H","UseDPDF=Y")</f>
        <v>—</v>
      </c>
      <c r="M174" s="14" t="str">
        <f>_xll.BDH("ALNY US Equity","ARDR_STK_OPT_VALN_EXPCTD_LF_Y_HI","FQ2 2021","FQ2 2021","Currency=USD","Period=FQ","BEST_FPERIOD_OVERRIDE=FQ","FILING_STATUS=MR","Sort=A","Dates=H","DateFormat=P","Fill=—","Direction=H","UseDPDF=Y")</f>
        <v>—</v>
      </c>
      <c r="N174" s="14" t="str">
        <f>_xll.BDH("ALNY US Equity","ARDR_STK_OPT_VALN_EXPCTD_LF_Y_HI","FQ3 2021","FQ3 2021","Currency=USD","Period=FQ","BEST_FPERIOD_OVERRIDE=FQ","FILING_STATUS=MR","Sort=A","Dates=H","DateFormat=P","Fill=—","Direction=H","UseDPDF=Y")</f>
        <v>—</v>
      </c>
      <c r="O174" s="14">
        <f>_xll.BDH("ALNY US Equity","ARDR_STK_OPT_VALN_EXPCTD_LF_Y_HI","FQ4 2021","FQ4 2021","Currency=USD","Period=FQ","BEST_FPERIOD_OVERRIDE=FQ","FILING_STATUS=MR","Sort=A","Dates=H","DateFormat=P","Fill=—","Direction=H","UseDPDF=Y")</f>
        <v>6.8</v>
      </c>
      <c r="P174" s="14" t="str">
        <f>_xll.BDH("ALNY US Equity","ARDR_STK_OPT_VALN_EXPCTD_LF_Y_HI","FQ1 2022","FQ1 2022","Currency=USD","Period=FQ","BEST_FPERIOD_OVERRIDE=FQ","FILING_STATUS=MR","Sort=A","Dates=H","DateFormat=P","Fill=—","Direction=H","UseDPDF=Y")</f>
        <v>—</v>
      </c>
      <c r="Q174" s="14" t="str">
        <f>_xll.BDH("ALNY US Equity","ARDR_STK_OPT_VALN_EXPCTD_LF_Y_HI","FQ2 2022","FQ2 2022","Currency=USD","Period=FQ","BEST_FPERIOD_OVERRIDE=FQ","FILING_STATUS=MR","Sort=A","Dates=H","DateFormat=P","Fill=—","Direction=H","UseDPDF=Y")</f>
        <v>—</v>
      </c>
      <c r="R174" s="14" t="str">
        <f>_xll.BDH("ALNY US Equity","ARDR_STK_OPT_VALN_EXPCTD_LF_Y_HI","FQ3 2022","FQ3 2022","Currency=USD","Period=FQ","BEST_FPERIOD_OVERRIDE=FQ","FILING_STATUS=MR","Sort=A","Dates=H","DateFormat=P","Fill=—","Direction=H","UseDPDF=Y")</f>
        <v>—</v>
      </c>
      <c r="S174" s="14">
        <f>_xll.BDH("ALNY US Equity","ARDR_STK_OPT_VALN_EXPCTD_LF_Y_HI","FQ4 2022","FQ4 2022","Currency=USD","Period=FQ","BEST_FPERIOD_OVERRIDE=FQ","FILING_STATUS=MR","Sort=A","Dates=H","DateFormat=P","Fill=—","Direction=H","UseDPDF=Y")</f>
        <v>7</v>
      </c>
      <c r="T174" s="14" t="str">
        <f>_xll.BDH("ALNY US Equity","ARDR_STK_OPT_VALN_EXPCTD_LF_Y_HI","FQ1 2023","FQ1 2023","Currency=USD","Period=FQ","BEST_FPERIOD_OVERRIDE=FQ","FILING_STATUS=MR","Sort=A","Dates=H","DateFormat=P","Fill=—","Direction=H","UseDPDF=Y")</f>
        <v>—</v>
      </c>
      <c r="U174" s="14" t="str">
        <f>_xll.BDH("ALNY US Equity","ARDR_STK_OPT_VALN_EXPCTD_LF_Y_HI","FQ2 2023","FQ2 2023","Currency=USD","Period=FQ","BEST_FPERIOD_OVERRIDE=FQ","FILING_STATUS=MR","Sort=A","Dates=H","DateFormat=P","Fill=—","Direction=H","UseDPDF=Y")</f>
        <v>—</v>
      </c>
      <c r="V174" s="14" t="str">
        <f>_xll.BDH("ALNY US Equity","ARDR_STK_OPT_VALN_EXPCTD_LF_Y_HI","FQ3 2023","FQ3 2023","Currency=USD","Period=FQ","BEST_FPERIOD_OVERRIDE=FQ","FILING_STATUS=MR","Sort=A","Dates=H","DateFormat=P","Fill=—","Direction=H","UseDPDF=Y")</f>
        <v>—</v>
      </c>
      <c r="W174" s="14">
        <f>_xll.BDH("ALNY US Equity","ARDR_STK_OPT_VALN_EXPCTD_LF_Y_HI","FQ4 2023","FQ4 2023","Currency=USD","Period=FQ","BEST_FPERIOD_OVERRIDE=FQ","FILING_STATUS=MR","Sort=A","Dates=H","DateFormat=P","Fill=—","Direction=H","UseDPDF=Y")</f>
        <v>7</v>
      </c>
      <c r="X174" s="14" t="str">
        <f>_xll.BDH("ALNY US Equity","ARDR_STK_OPT_VALN_EXPCTD_LF_Y_HI","FQ1 2024","FQ1 2024","Currency=USD","Period=FQ","BEST_FPERIOD_OVERRIDE=FQ","FILING_STATUS=MR","Sort=A","Dates=H","DateFormat=P","Fill=—","Direction=H","UseDPDF=Y")</f>
        <v>—</v>
      </c>
      <c r="Y174" s="14" t="str">
        <f>_xll.BDH("ALNY US Equity","ARDR_STK_OPT_VALN_EXPCTD_LF_Y_HI","FQ2 2024","FQ2 2024","Currency=USD","Period=FQ","BEST_FPERIOD_OVERRIDE=FQ","FILING_STATUS=MR","Sort=A","Dates=H","DateFormat=P","Fill=—","Direction=H","UseDPDF=Y")</f>
        <v>—</v>
      </c>
      <c r="Z174" s="14" t="str">
        <f>_xll.BDH("ALNY US Equity","ARDR_STK_OPT_VALN_EXPCTD_LF_Y_HI","FQ3 2024","FQ3 2024","Currency=USD","Period=FQ","BEST_FPERIOD_OVERRIDE=FQ","FILING_STATUS=MR","Sort=A","Dates=H","DateFormat=P","Fill=—","Direction=H","UseDPDF=Y")</f>
        <v>—</v>
      </c>
      <c r="AA174" s="14" t="str">
        <f>_xll.BDH("ALNY US Equity","ARDR_STK_OPT_VALN_EXPCTD_LF_Y_HI","FQ4 2024","FQ4 2024","Currency=USD","Period=FQ","BEST_FPERIOD_OVERRIDE=FQ","FILING_STATUS=MR","Sort=A","Dates=H","DateFormat=P","Fill=—","Direction=H","UseDPDF=Y")</f>
        <v>—</v>
      </c>
    </row>
    <row r="175" spans="1:27" x14ac:dyDescent="0.25">
      <c r="A175" s="10" t="s">
        <v>1131</v>
      </c>
      <c r="B175" s="10" t="s">
        <v>1132</v>
      </c>
      <c r="C175" s="14">
        <f>_xll.BDH("ALNY US Equity","ARDR_STK_OPT_VALN_EXP_VOL_PCT_LO","FQ4 2018","FQ4 2018","Currency=USD","Period=FQ","BEST_FPERIOD_OVERRIDE=FQ","FILING_STATUS=MR","Sort=A","Dates=H","DateFormat=P","Fill=—","Direction=H","UseDPDF=Y")</f>
        <v>64</v>
      </c>
      <c r="D175" s="14" t="str">
        <f>_xll.BDH("ALNY US Equity","ARDR_STK_OPT_VALN_EXP_VOL_PCT_LO","FQ1 2019","FQ1 2019","Currency=USD","Period=FQ","BEST_FPERIOD_OVERRIDE=FQ","FILING_STATUS=MR","Sort=A","Dates=H","DateFormat=P","Fill=—","Direction=H","UseDPDF=Y")</f>
        <v>—</v>
      </c>
      <c r="E175" s="14" t="str">
        <f>_xll.BDH("ALNY US Equity","ARDR_STK_OPT_VALN_EXP_VOL_PCT_LO","FQ2 2019","FQ2 2019","Currency=USD","Period=FQ","BEST_FPERIOD_OVERRIDE=FQ","FILING_STATUS=MR","Sort=A","Dates=H","DateFormat=P","Fill=—","Direction=H","UseDPDF=Y")</f>
        <v>—</v>
      </c>
      <c r="F175" s="14" t="str">
        <f>_xll.BDH("ALNY US Equity","ARDR_STK_OPT_VALN_EXP_VOL_PCT_LO","FQ3 2019","FQ3 2019","Currency=USD","Period=FQ","BEST_FPERIOD_OVERRIDE=FQ","FILING_STATUS=MR","Sort=A","Dates=H","DateFormat=P","Fill=—","Direction=H","UseDPDF=Y")</f>
        <v>—</v>
      </c>
      <c r="G175" s="14">
        <f>_xll.BDH("ALNY US Equity","ARDR_STK_OPT_VALN_EXP_VOL_PCT_LO","FQ4 2019","FQ4 2019","Currency=USD","Period=FQ","BEST_FPERIOD_OVERRIDE=FQ","FILING_STATUS=MR","Sort=A","Dates=H","DateFormat=P","Fill=—","Direction=H","UseDPDF=Y")</f>
        <v>63</v>
      </c>
      <c r="H175" s="14" t="str">
        <f>_xll.BDH("ALNY US Equity","ARDR_STK_OPT_VALN_EXP_VOL_PCT_LO","FQ1 2020","FQ1 2020","Currency=USD","Period=FQ","BEST_FPERIOD_OVERRIDE=FQ","FILING_STATUS=MR","Sort=A","Dates=H","DateFormat=P","Fill=—","Direction=H","UseDPDF=Y")</f>
        <v>—</v>
      </c>
      <c r="I175" s="14" t="str">
        <f>_xll.BDH("ALNY US Equity","ARDR_STK_OPT_VALN_EXP_VOL_PCT_LO","FQ2 2020","FQ2 2020","Currency=USD","Period=FQ","BEST_FPERIOD_OVERRIDE=FQ","FILING_STATUS=MR","Sort=A","Dates=H","DateFormat=P","Fill=—","Direction=H","UseDPDF=Y")</f>
        <v>—</v>
      </c>
      <c r="J175" s="14" t="str">
        <f>_xll.BDH("ALNY US Equity","ARDR_STK_OPT_VALN_EXP_VOL_PCT_LO","FQ3 2020","FQ3 2020","Currency=USD","Period=FQ","BEST_FPERIOD_OVERRIDE=FQ","FILING_STATUS=MR","Sort=A","Dates=H","DateFormat=P","Fill=—","Direction=H","UseDPDF=Y")</f>
        <v>—</v>
      </c>
      <c r="K175" s="14">
        <f>_xll.BDH("ALNY US Equity","ARDR_STK_OPT_VALN_EXP_VOL_PCT_LO","FQ4 2020","FQ4 2020","Currency=USD","Period=FQ","BEST_FPERIOD_OVERRIDE=FQ","FILING_STATUS=MR","Sort=A","Dates=H","DateFormat=P","Fill=—","Direction=H","UseDPDF=Y")</f>
        <v>61</v>
      </c>
      <c r="L175" s="14" t="str">
        <f>_xll.BDH("ALNY US Equity","ARDR_STK_OPT_VALN_EXP_VOL_PCT_LO","FQ1 2021","FQ1 2021","Currency=USD","Period=FQ","BEST_FPERIOD_OVERRIDE=FQ","FILING_STATUS=MR","Sort=A","Dates=H","DateFormat=P","Fill=—","Direction=H","UseDPDF=Y")</f>
        <v>—</v>
      </c>
      <c r="M175" s="14" t="str">
        <f>_xll.BDH("ALNY US Equity","ARDR_STK_OPT_VALN_EXP_VOL_PCT_LO","FQ2 2021","FQ2 2021","Currency=USD","Period=FQ","BEST_FPERIOD_OVERRIDE=FQ","FILING_STATUS=MR","Sort=A","Dates=H","DateFormat=P","Fill=—","Direction=H","UseDPDF=Y")</f>
        <v>—</v>
      </c>
      <c r="N175" s="14" t="str">
        <f>_xll.BDH("ALNY US Equity","ARDR_STK_OPT_VALN_EXP_VOL_PCT_LO","FQ3 2021","FQ3 2021","Currency=USD","Period=FQ","BEST_FPERIOD_OVERRIDE=FQ","FILING_STATUS=MR","Sort=A","Dates=H","DateFormat=P","Fill=—","Direction=H","UseDPDF=Y")</f>
        <v>—</v>
      </c>
      <c r="O175" s="14">
        <f>_xll.BDH("ALNY US Equity","ARDR_STK_OPT_VALN_EXP_VOL_PCT_LO","FQ4 2021","FQ4 2021","Currency=USD","Period=FQ","BEST_FPERIOD_OVERRIDE=FQ","FILING_STATUS=MR","Sort=A","Dates=H","DateFormat=P","Fill=—","Direction=H","UseDPDF=Y")</f>
        <v>58</v>
      </c>
      <c r="P175" s="14" t="str">
        <f>_xll.BDH("ALNY US Equity","ARDR_STK_OPT_VALN_EXP_VOL_PCT_LO","FQ1 2022","FQ1 2022","Currency=USD","Period=FQ","BEST_FPERIOD_OVERRIDE=FQ","FILING_STATUS=MR","Sort=A","Dates=H","DateFormat=P","Fill=—","Direction=H","UseDPDF=Y")</f>
        <v>—</v>
      </c>
      <c r="Q175" s="14" t="str">
        <f>_xll.BDH("ALNY US Equity","ARDR_STK_OPT_VALN_EXP_VOL_PCT_LO","FQ2 2022","FQ2 2022","Currency=USD","Period=FQ","BEST_FPERIOD_OVERRIDE=FQ","FILING_STATUS=MR","Sort=A","Dates=H","DateFormat=P","Fill=—","Direction=H","UseDPDF=Y")</f>
        <v>—</v>
      </c>
      <c r="R175" s="14" t="str">
        <f>_xll.BDH("ALNY US Equity","ARDR_STK_OPT_VALN_EXP_VOL_PCT_LO","FQ3 2022","FQ3 2022","Currency=USD","Period=FQ","BEST_FPERIOD_OVERRIDE=FQ","FILING_STATUS=MR","Sort=A","Dates=H","DateFormat=P","Fill=—","Direction=H","UseDPDF=Y")</f>
        <v>—</v>
      </c>
      <c r="S175" s="14">
        <f>_xll.BDH("ALNY US Equity","ARDR_STK_OPT_VALN_EXP_VOL_PCT_LO","FQ4 2022","FQ4 2022","Currency=USD","Period=FQ","BEST_FPERIOD_OVERRIDE=FQ","FILING_STATUS=MR","Sort=A","Dates=H","DateFormat=P","Fill=—","Direction=H","UseDPDF=Y")</f>
        <v>50</v>
      </c>
      <c r="T175" s="14" t="str">
        <f>_xll.BDH("ALNY US Equity","ARDR_STK_OPT_VALN_EXP_VOL_PCT_LO","FQ1 2023","FQ1 2023","Currency=USD","Period=FQ","BEST_FPERIOD_OVERRIDE=FQ","FILING_STATUS=MR","Sort=A","Dates=H","DateFormat=P","Fill=—","Direction=H","UseDPDF=Y")</f>
        <v>—</v>
      </c>
      <c r="U175" s="14" t="str">
        <f>_xll.BDH("ALNY US Equity","ARDR_STK_OPT_VALN_EXP_VOL_PCT_LO","FQ2 2023","FQ2 2023","Currency=USD","Period=FQ","BEST_FPERIOD_OVERRIDE=FQ","FILING_STATUS=MR","Sort=A","Dates=H","DateFormat=P","Fill=—","Direction=H","UseDPDF=Y")</f>
        <v>—</v>
      </c>
      <c r="V175" s="14" t="str">
        <f>_xll.BDH("ALNY US Equity","ARDR_STK_OPT_VALN_EXP_VOL_PCT_LO","FQ3 2023","FQ3 2023","Currency=USD","Period=FQ","BEST_FPERIOD_OVERRIDE=FQ","FILING_STATUS=MR","Sort=A","Dates=H","DateFormat=P","Fill=—","Direction=H","UseDPDF=Y")</f>
        <v>—</v>
      </c>
      <c r="W175" s="14">
        <f>_xll.BDH("ALNY US Equity","ARDR_STK_OPT_VALN_EXP_VOL_PCT_LO","FQ4 2023","FQ4 2023","Currency=USD","Period=FQ","BEST_FPERIOD_OVERRIDE=FQ","FILING_STATUS=MR","Sort=A","Dates=H","DateFormat=P","Fill=—","Direction=H","UseDPDF=Y")</f>
        <v>49</v>
      </c>
      <c r="X175" s="14" t="str">
        <f>_xll.BDH("ALNY US Equity","ARDR_STK_OPT_VALN_EXP_VOL_PCT_LO","FQ1 2024","FQ1 2024","Currency=USD","Period=FQ","BEST_FPERIOD_OVERRIDE=FQ","FILING_STATUS=MR","Sort=A","Dates=H","DateFormat=P","Fill=—","Direction=H","UseDPDF=Y")</f>
        <v>—</v>
      </c>
      <c r="Y175" s="14" t="str">
        <f>_xll.BDH("ALNY US Equity","ARDR_STK_OPT_VALN_EXP_VOL_PCT_LO","FQ2 2024","FQ2 2024","Currency=USD","Period=FQ","BEST_FPERIOD_OVERRIDE=FQ","FILING_STATUS=MR","Sort=A","Dates=H","DateFormat=P","Fill=—","Direction=H","UseDPDF=Y")</f>
        <v>—</v>
      </c>
      <c r="Z175" s="14" t="str">
        <f>_xll.BDH("ALNY US Equity","ARDR_STK_OPT_VALN_EXP_VOL_PCT_LO","FQ3 2024","FQ3 2024","Currency=USD","Period=FQ","BEST_FPERIOD_OVERRIDE=FQ","FILING_STATUS=MR","Sort=A","Dates=H","DateFormat=P","Fill=—","Direction=H","UseDPDF=Y")</f>
        <v>—</v>
      </c>
      <c r="AA175" s="14">
        <f>_xll.BDH("ALNY US Equity","ARDR_STK_OPT_VALN_EXP_VOL_PCT_LO","FQ4 2024","FQ4 2024","Currency=USD","Period=FQ","BEST_FPERIOD_OVERRIDE=FQ","FILING_STATUS=MR","Sort=A","Dates=H","DateFormat=P","Fill=—","Direction=H","UseDPDF=Y")</f>
        <v>47</v>
      </c>
    </row>
    <row r="176" spans="1:27" x14ac:dyDescent="0.25">
      <c r="A176" s="10" t="s">
        <v>1133</v>
      </c>
      <c r="B176" s="10" t="s">
        <v>1134</v>
      </c>
      <c r="C176" s="14">
        <f>_xll.BDH("ALNY US Equity","ARDR_STK_OPT_VALN_EXP_VOL_PCT_HI","FQ4 2018","FQ4 2018","Currency=USD","Period=FQ","BEST_FPERIOD_OVERRIDE=FQ","FILING_STATUS=MR","Sort=A","Dates=H","DateFormat=P","Fill=—","Direction=H","UseDPDF=Y")</f>
        <v>67</v>
      </c>
      <c r="D176" s="14" t="str">
        <f>_xll.BDH("ALNY US Equity","ARDR_STK_OPT_VALN_EXP_VOL_PCT_HI","FQ1 2019","FQ1 2019","Currency=USD","Period=FQ","BEST_FPERIOD_OVERRIDE=FQ","FILING_STATUS=MR","Sort=A","Dates=H","DateFormat=P","Fill=—","Direction=H","UseDPDF=Y")</f>
        <v>—</v>
      </c>
      <c r="E176" s="14" t="str">
        <f>_xll.BDH("ALNY US Equity","ARDR_STK_OPT_VALN_EXP_VOL_PCT_HI","FQ2 2019","FQ2 2019","Currency=USD","Period=FQ","BEST_FPERIOD_OVERRIDE=FQ","FILING_STATUS=MR","Sort=A","Dates=H","DateFormat=P","Fill=—","Direction=H","UseDPDF=Y")</f>
        <v>—</v>
      </c>
      <c r="F176" s="14" t="str">
        <f>_xll.BDH("ALNY US Equity","ARDR_STK_OPT_VALN_EXP_VOL_PCT_HI","FQ3 2019","FQ3 2019","Currency=USD","Period=FQ","BEST_FPERIOD_OVERRIDE=FQ","FILING_STATUS=MR","Sort=A","Dates=H","DateFormat=P","Fill=—","Direction=H","UseDPDF=Y")</f>
        <v>—</v>
      </c>
      <c r="G176" s="14">
        <f>_xll.BDH("ALNY US Equity","ARDR_STK_OPT_VALN_EXP_VOL_PCT_HI","FQ4 2019","FQ4 2019","Currency=USD","Period=FQ","BEST_FPERIOD_OVERRIDE=FQ","FILING_STATUS=MR","Sort=A","Dates=H","DateFormat=P","Fill=—","Direction=H","UseDPDF=Y")</f>
        <v>66</v>
      </c>
      <c r="H176" s="14" t="str">
        <f>_xll.BDH("ALNY US Equity","ARDR_STK_OPT_VALN_EXP_VOL_PCT_HI","FQ1 2020","FQ1 2020","Currency=USD","Period=FQ","BEST_FPERIOD_OVERRIDE=FQ","FILING_STATUS=MR","Sort=A","Dates=H","DateFormat=P","Fill=—","Direction=H","UseDPDF=Y")</f>
        <v>—</v>
      </c>
      <c r="I176" s="14" t="str">
        <f>_xll.BDH("ALNY US Equity","ARDR_STK_OPT_VALN_EXP_VOL_PCT_HI","FQ2 2020","FQ2 2020","Currency=USD","Period=FQ","BEST_FPERIOD_OVERRIDE=FQ","FILING_STATUS=MR","Sort=A","Dates=H","DateFormat=P","Fill=—","Direction=H","UseDPDF=Y")</f>
        <v>—</v>
      </c>
      <c r="J176" s="14" t="str">
        <f>_xll.BDH("ALNY US Equity","ARDR_STK_OPT_VALN_EXP_VOL_PCT_HI","FQ3 2020","FQ3 2020","Currency=USD","Period=FQ","BEST_FPERIOD_OVERRIDE=FQ","FILING_STATUS=MR","Sort=A","Dates=H","DateFormat=P","Fill=—","Direction=H","UseDPDF=Y")</f>
        <v>—</v>
      </c>
      <c r="K176" s="14">
        <f>_xll.BDH("ALNY US Equity","ARDR_STK_OPT_VALN_EXP_VOL_PCT_HI","FQ4 2020","FQ4 2020","Currency=USD","Period=FQ","BEST_FPERIOD_OVERRIDE=FQ","FILING_STATUS=MR","Sort=A","Dates=H","DateFormat=P","Fill=—","Direction=H","UseDPDF=Y")</f>
        <v>63</v>
      </c>
      <c r="L176" s="14" t="str">
        <f>_xll.BDH("ALNY US Equity","ARDR_STK_OPT_VALN_EXP_VOL_PCT_HI","FQ1 2021","FQ1 2021","Currency=USD","Period=FQ","BEST_FPERIOD_OVERRIDE=FQ","FILING_STATUS=MR","Sort=A","Dates=H","DateFormat=P","Fill=—","Direction=H","UseDPDF=Y")</f>
        <v>—</v>
      </c>
      <c r="M176" s="14" t="str">
        <f>_xll.BDH("ALNY US Equity","ARDR_STK_OPT_VALN_EXP_VOL_PCT_HI","FQ2 2021","FQ2 2021","Currency=USD","Period=FQ","BEST_FPERIOD_OVERRIDE=FQ","FILING_STATUS=MR","Sort=A","Dates=H","DateFormat=P","Fill=—","Direction=H","UseDPDF=Y")</f>
        <v>—</v>
      </c>
      <c r="N176" s="14" t="str">
        <f>_xll.BDH("ALNY US Equity","ARDR_STK_OPT_VALN_EXP_VOL_PCT_HI","FQ3 2021","FQ3 2021","Currency=USD","Period=FQ","BEST_FPERIOD_OVERRIDE=FQ","FILING_STATUS=MR","Sort=A","Dates=H","DateFormat=P","Fill=—","Direction=H","UseDPDF=Y")</f>
        <v>—</v>
      </c>
      <c r="O176" s="14">
        <f>_xll.BDH("ALNY US Equity","ARDR_STK_OPT_VALN_EXP_VOL_PCT_HI","FQ4 2021","FQ4 2021","Currency=USD","Period=FQ","BEST_FPERIOD_OVERRIDE=FQ","FILING_STATUS=MR","Sort=A","Dates=H","DateFormat=P","Fill=—","Direction=H","UseDPDF=Y")</f>
        <v>63</v>
      </c>
      <c r="P176" s="14" t="str">
        <f>_xll.BDH("ALNY US Equity","ARDR_STK_OPT_VALN_EXP_VOL_PCT_HI","FQ1 2022","FQ1 2022","Currency=USD","Period=FQ","BEST_FPERIOD_OVERRIDE=FQ","FILING_STATUS=MR","Sort=A","Dates=H","DateFormat=P","Fill=—","Direction=H","UseDPDF=Y")</f>
        <v>—</v>
      </c>
      <c r="Q176" s="14" t="str">
        <f>_xll.BDH("ALNY US Equity","ARDR_STK_OPT_VALN_EXP_VOL_PCT_HI","FQ2 2022","FQ2 2022","Currency=USD","Period=FQ","BEST_FPERIOD_OVERRIDE=FQ","FILING_STATUS=MR","Sort=A","Dates=H","DateFormat=P","Fill=—","Direction=H","UseDPDF=Y")</f>
        <v>—</v>
      </c>
      <c r="R176" s="14" t="str">
        <f>_xll.BDH("ALNY US Equity","ARDR_STK_OPT_VALN_EXP_VOL_PCT_HI","FQ3 2022","FQ3 2022","Currency=USD","Period=FQ","BEST_FPERIOD_OVERRIDE=FQ","FILING_STATUS=MR","Sort=A","Dates=H","DateFormat=P","Fill=—","Direction=H","UseDPDF=Y")</f>
        <v>—</v>
      </c>
      <c r="S176" s="14">
        <f>_xll.BDH("ALNY US Equity","ARDR_STK_OPT_VALN_EXP_VOL_PCT_HI","FQ4 2022","FQ4 2022","Currency=USD","Period=FQ","BEST_FPERIOD_OVERRIDE=FQ","FILING_STATUS=MR","Sort=A","Dates=H","DateFormat=P","Fill=—","Direction=H","UseDPDF=Y")</f>
        <v>60</v>
      </c>
      <c r="T176" s="14" t="str">
        <f>_xll.BDH("ALNY US Equity","ARDR_STK_OPT_VALN_EXP_VOL_PCT_HI","FQ1 2023","FQ1 2023","Currency=USD","Period=FQ","BEST_FPERIOD_OVERRIDE=FQ","FILING_STATUS=MR","Sort=A","Dates=H","DateFormat=P","Fill=—","Direction=H","UseDPDF=Y")</f>
        <v>—</v>
      </c>
      <c r="U176" s="14" t="str">
        <f>_xll.BDH("ALNY US Equity","ARDR_STK_OPT_VALN_EXP_VOL_PCT_HI","FQ2 2023","FQ2 2023","Currency=USD","Period=FQ","BEST_FPERIOD_OVERRIDE=FQ","FILING_STATUS=MR","Sort=A","Dates=H","DateFormat=P","Fill=—","Direction=H","UseDPDF=Y")</f>
        <v>—</v>
      </c>
      <c r="V176" s="14" t="str">
        <f>_xll.BDH("ALNY US Equity","ARDR_STK_OPT_VALN_EXP_VOL_PCT_HI","FQ3 2023","FQ3 2023","Currency=USD","Period=FQ","BEST_FPERIOD_OVERRIDE=FQ","FILING_STATUS=MR","Sort=A","Dates=H","DateFormat=P","Fill=—","Direction=H","UseDPDF=Y")</f>
        <v>—</v>
      </c>
      <c r="W176" s="14">
        <f>_xll.BDH("ALNY US Equity","ARDR_STK_OPT_VALN_EXP_VOL_PCT_HI","FQ4 2023","FQ4 2023","Currency=USD","Period=FQ","BEST_FPERIOD_OVERRIDE=FQ","FILING_STATUS=MR","Sort=A","Dates=H","DateFormat=P","Fill=—","Direction=H","UseDPDF=Y")</f>
        <v>60</v>
      </c>
      <c r="X176" s="14" t="str">
        <f>_xll.BDH("ALNY US Equity","ARDR_STK_OPT_VALN_EXP_VOL_PCT_HI","FQ1 2024","FQ1 2024","Currency=USD","Period=FQ","BEST_FPERIOD_OVERRIDE=FQ","FILING_STATUS=MR","Sort=A","Dates=H","DateFormat=P","Fill=—","Direction=H","UseDPDF=Y")</f>
        <v>—</v>
      </c>
      <c r="Y176" s="14" t="str">
        <f>_xll.BDH("ALNY US Equity","ARDR_STK_OPT_VALN_EXP_VOL_PCT_HI","FQ2 2024","FQ2 2024","Currency=USD","Period=FQ","BEST_FPERIOD_OVERRIDE=FQ","FILING_STATUS=MR","Sort=A","Dates=H","DateFormat=P","Fill=—","Direction=H","UseDPDF=Y")</f>
        <v>—</v>
      </c>
      <c r="Z176" s="14" t="str">
        <f>_xll.BDH("ALNY US Equity","ARDR_STK_OPT_VALN_EXP_VOL_PCT_HI","FQ3 2024","FQ3 2024","Currency=USD","Period=FQ","BEST_FPERIOD_OVERRIDE=FQ","FILING_STATUS=MR","Sort=A","Dates=H","DateFormat=P","Fill=—","Direction=H","UseDPDF=Y")</f>
        <v>—</v>
      </c>
      <c r="AA176" s="14">
        <f>_xll.BDH("ALNY US Equity","ARDR_STK_OPT_VALN_EXP_VOL_PCT_HI","FQ4 2024","FQ4 2024","Currency=USD","Period=FQ","BEST_FPERIOD_OVERRIDE=FQ","FILING_STATUS=MR","Sort=A","Dates=H","DateFormat=P","Fill=—","Direction=H","UseDPDF=Y")</f>
        <v>48</v>
      </c>
    </row>
    <row r="177" spans="1:27" x14ac:dyDescent="0.25">
      <c r="A177" s="10" t="s">
        <v>1135</v>
      </c>
      <c r="B177" s="10" t="s">
        <v>1136</v>
      </c>
      <c r="C177" s="13" t="str">
        <f>_xll.BDH("ALNY US Equity","ARDR_VAL_SHS_REPURCH_FR_REP_PROG","FQ4 2018","FQ4 2018","Currency=USD","Period=FQ","BEST_FPERIOD_OVERRIDE=FQ","FILING_STATUS=MR","SCALING_FORMAT=MLN","Sort=A","Dates=H","DateFormat=P","Fill=—","Direction=H","UseDPDF=Y")</f>
        <v>—</v>
      </c>
      <c r="D177" s="13" t="str">
        <f>_xll.BDH("ALNY US Equity","ARDR_VAL_SHS_REPURCH_FR_REP_PROG","FQ1 2019","FQ1 2019","Currency=USD","Period=FQ","BEST_FPERIOD_OVERRIDE=FQ","FILING_STATUS=MR","SCALING_FORMAT=MLN","Sort=A","Dates=H","DateFormat=P","Fill=—","Direction=H","UseDPDF=Y")</f>
        <v>—</v>
      </c>
      <c r="E177" s="13" t="str">
        <f>_xll.BDH("ALNY US Equity","ARDR_VAL_SHS_REPURCH_FR_REP_PROG","FQ2 2019","FQ2 2019","Currency=USD","Period=FQ","BEST_FPERIOD_OVERRIDE=FQ","FILING_STATUS=MR","SCALING_FORMAT=MLN","Sort=A","Dates=H","DateFormat=P","Fill=—","Direction=H","UseDPDF=Y")</f>
        <v>—</v>
      </c>
      <c r="F177" s="13" t="str">
        <f>_xll.BDH("ALNY US Equity","ARDR_VAL_SHS_REPURCH_FR_REP_PROG","FQ3 2019","FQ3 2019","Currency=USD","Period=FQ","BEST_FPERIOD_OVERRIDE=FQ","FILING_STATUS=MR","SCALING_FORMAT=MLN","Sort=A","Dates=H","DateFormat=P","Fill=—","Direction=H","UseDPDF=Y")</f>
        <v>—</v>
      </c>
      <c r="G177" s="13" t="str">
        <f>_xll.BDH("ALNY US Equity","ARDR_VAL_SHS_REPURCH_FR_REP_PROG","FQ4 2019","FQ4 2019","Currency=USD","Period=FQ","BEST_FPERIOD_OVERRIDE=FQ","FILING_STATUS=MR","SCALING_FORMAT=MLN","Sort=A","Dates=H","DateFormat=P","Fill=—","Direction=H","UseDPDF=Y")</f>
        <v>—</v>
      </c>
      <c r="H177" s="13" t="str">
        <f>_xll.BDH("ALNY US Equity","ARDR_VAL_SHS_REPURCH_FR_REP_PROG","FQ1 2020","FQ1 2020","Currency=USD","Period=FQ","BEST_FPERIOD_OVERRIDE=FQ","FILING_STATUS=MR","SCALING_FORMAT=MLN","Sort=A","Dates=H","DateFormat=P","Fill=—","Direction=H","UseDPDF=Y")</f>
        <v>—</v>
      </c>
      <c r="I177" s="13" t="str">
        <f>_xll.BDH("ALNY US Equity","ARDR_VAL_SHS_REPURCH_FR_REP_PROG","FQ2 2020","FQ2 2020","Currency=USD","Period=FQ","BEST_FPERIOD_OVERRIDE=FQ","FILING_STATUS=MR","SCALING_FORMAT=MLN","Sort=A","Dates=H","DateFormat=P","Fill=—","Direction=H","UseDPDF=Y")</f>
        <v>—</v>
      </c>
      <c r="J177" s="13" t="str">
        <f>_xll.BDH("ALNY US Equity","ARDR_VAL_SHS_REPURCH_FR_REP_PROG","FQ3 2020","FQ3 2020","Currency=USD","Period=FQ","BEST_FPERIOD_OVERRIDE=FQ","FILING_STATUS=MR","SCALING_FORMAT=MLN","Sort=A","Dates=H","DateFormat=P","Fill=—","Direction=H","UseDPDF=Y")</f>
        <v>—</v>
      </c>
      <c r="K177" s="13" t="str">
        <f>_xll.BDH("ALNY US Equity","ARDR_VAL_SHS_REPURCH_FR_REP_PROG","FQ4 2020","FQ4 2020","Currency=USD","Period=FQ","BEST_FPERIOD_OVERRIDE=FQ","FILING_STATUS=MR","SCALING_FORMAT=MLN","Sort=A","Dates=H","DateFormat=P","Fill=—","Direction=H","UseDPDF=Y")</f>
        <v>—</v>
      </c>
      <c r="L177" s="13" t="str">
        <f>_xll.BDH("ALNY US Equity","ARDR_VAL_SHS_REPURCH_FR_REP_PROG","FQ1 2021","FQ1 2021","Currency=USD","Period=FQ","BEST_FPERIOD_OVERRIDE=FQ","FILING_STATUS=MR","SCALING_FORMAT=MLN","Sort=A","Dates=H","DateFormat=P","Fill=—","Direction=H","UseDPDF=Y")</f>
        <v>—</v>
      </c>
      <c r="M177" s="13" t="str">
        <f>_xll.BDH("ALNY US Equity","ARDR_VAL_SHS_REPURCH_FR_REP_PROG","FQ2 2021","FQ2 2021","Currency=USD","Period=FQ","BEST_FPERIOD_OVERRIDE=FQ","FILING_STATUS=MR","SCALING_FORMAT=MLN","Sort=A","Dates=H","DateFormat=P","Fill=—","Direction=H","UseDPDF=Y")</f>
        <v>—</v>
      </c>
      <c r="N177" s="13" t="str">
        <f>_xll.BDH("ALNY US Equity","ARDR_VAL_SHS_REPURCH_FR_REP_PROG","FQ3 2021","FQ3 2021","Currency=USD","Period=FQ","BEST_FPERIOD_OVERRIDE=FQ","FILING_STATUS=MR","SCALING_FORMAT=MLN","Sort=A","Dates=H","DateFormat=P","Fill=—","Direction=H","UseDPDF=Y")</f>
        <v>—</v>
      </c>
      <c r="O177" s="13" t="str">
        <f>_xll.BDH("ALNY US Equity","ARDR_VAL_SHS_REPURCH_FR_REP_PROG","FQ4 2021","FQ4 2021","Currency=USD","Period=FQ","BEST_FPERIOD_OVERRIDE=FQ","FILING_STATUS=MR","SCALING_FORMAT=MLN","Sort=A","Dates=H","DateFormat=P","Fill=—","Direction=H","UseDPDF=Y")</f>
        <v>—</v>
      </c>
      <c r="P177" s="13" t="str">
        <f>_xll.BDH("ALNY US Equity","ARDR_VAL_SHS_REPURCH_FR_REP_PROG","FQ1 2022","FQ1 2022","Currency=USD","Period=FQ","BEST_FPERIOD_OVERRIDE=FQ","FILING_STATUS=MR","SCALING_FORMAT=MLN","Sort=A","Dates=H","DateFormat=P","Fill=—","Direction=H","UseDPDF=Y")</f>
        <v>—</v>
      </c>
      <c r="Q177" s="13" t="str">
        <f>_xll.BDH("ALNY US Equity","ARDR_VAL_SHS_REPURCH_FR_REP_PROG","FQ2 2022","FQ2 2022","Currency=USD","Period=FQ","BEST_FPERIOD_OVERRIDE=FQ","FILING_STATUS=MR","SCALING_FORMAT=MLN","Sort=A","Dates=H","DateFormat=P","Fill=—","Direction=H","UseDPDF=Y")</f>
        <v>—</v>
      </c>
      <c r="R177" s="13" t="str">
        <f>_xll.BDH("ALNY US Equity","ARDR_VAL_SHS_REPURCH_FR_REP_PROG","FQ3 2022","FQ3 2022","Currency=USD","Period=FQ","BEST_FPERIOD_OVERRIDE=FQ","FILING_STATUS=MR","SCALING_FORMAT=MLN","Sort=A","Dates=H","DateFormat=P","Fill=—","Direction=H","UseDPDF=Y")</f>
        <v>—</v>
      </c>
      <c r="S177" s="13">
        <f>_xll.BDH("ALNY US Equity","ARDR_VAL_SHS_REPURCH_FR_REP_PROG","FQ4 2022","FQ4 2022","Currency=USD","Period=FQ","BEST_FPERIOD_OVERRIDE=FQ","FILING_STATUS=MR","SCALING_FORMAT=MLN","Sort=A","Dates=H","DateFormat=P","Fill=—","Direction=H","UseDPDF=Y")</f>
        <v>0</v>
      </c>
      <c r="T177" s="13" t="str">
        <f>_xll.BDH("ALNY US Equity","ARDR_VAL_SHS_REPURCH_FR_REP_PROG","FQ1 2023","FQ1 2023","Currency=USD","Period=FQ","BEST_FPERIOD_OVERRIDE=FQ","FILING_STATUS=MR","SCALING_FORMAT=MLN","Sort=A","Dates=H","DateFormat=P","Fill=—","Direction=H","UseDPDF=Y")</f>
        <v>—</v>
      </c>
      <c r="U177" s="13" t="str">
        <f>_xll.BDH("ALNY US Equity","ARDR_VAL_SHS_REPURCH_FR_REP_PROG","FQ2 2023","FQ2 2023","Currency=USD","Period=FQ","BEST_FPERIOD_OVERRIDE=FQ","FILING_STATUS=MR","SCALING_FORMAT=MLN","Sort=A","Dates=H","DateFormat=P","Fill=—","Direction=H","UseDPDF=Y")</f>
        <v>—</v>
      </c>
      <c r="V177" s="13" t="str">
        <f>_xll.BDH("ALNY US Equity","ARDR_VAL_SHS_REPURCH_FR_REP_PROG","FQ3 2023","FQ3 2023","Currency=USD","Period=FQ","BEST_FPERIOD_OVERRIDE=FQ","FILING_STATUS=MR","SCALING_FORMAT=MLN","Sort=A","Dates=H","DateFormat=P","Fill=—","Direction=H","UseDPDF=Y")</f>
        <v>—</v>
      </c>
      <c r="W177" s="13" t="str">
        <f>_xll.BDH("ALNY US Equity","ARDR_VAL_SHS_REPURCH_FR_REP_PROG","FQ4 2023","FQ4 2023","Currency=USD","Period=FQ","BEST_FPERIOD_OVERRIDE=FQ","FILING_STATUS=MR","SCALING_FORMAT=MLN","Sort=A","Dates=H","DateFormat=P","Fill=—","Direction=H","UseDPDF=Y")</f>
        <v>—</v>
      </c>
      <c r="X177" s="13" t="str">
        <f>_xll.BDH("ALNY US Equity","ARDR_VAL_SHS_REPURCH_FR_REP_PROG","FQ1 2024","FQ1 2024","Currency=USD","Period=FQ","BEST_FPERIOD_OVERRIDE=FQ","FILING_STATUS=MR","SCALING_FORMAT=MLN","Sort=A","Dates=H","DateFormat=P","Fill=—","Direction=H","UseDPDF=Y")</f>
        <v>—</v>
      </c>
      <c r="Y177" s="13" t="str">
        <f>_xll.BDH("ALNY US Equity","ARDR_VAL_SHS_REPURCH_FR_REP_PROG","FQ2 2024","FQ2 2024","Currency=USD","Period=FQ","BEST_FPERIOD_OVERRIDE=FQ","FILING_STATUS=MR","SCALING_FORMAT=MLN","Sort=A","Dates=H","DateFormat=P","Fill=—","Direction=H","UseDPDF=Y")</f>
        <v>—</v>
      </c>
      <c r="Z177" s="13" t="str">
        <f>_xll.BDH("ALNY US Equity","ARDR_VAL_SHS_REPURCH_FR_REP_PROG","FQ3 2024","FQ3 2024","Currency=USD","Period=FQ","BEST_FPERIOD_OVERRIDE=FQ","FILING_STATUS=MR","SCALING_FORMAT=MLN","Sort=A","Dates=H","DateFormat=P","Fill=—","Direction=H","UseDPDF=Y")</f>
        <v>—</v>
      </c>
      <c r="AA177" s="13" t="str">
        <f>_xll.BDH("ALNY US Equity","ARDR_VAL_SHS_REPURCH_FR_REP_PROG","FQ4 2024","FQ4 2024","Currency=USD","Period=FQ","BEST_FPERIOD_OVERRIDE=FQ","FILING_STATUS=MR","SCALING_FORMAT=MLN","Sort=A","Dates=H","DateFormat=P","Fill=—","Direction=H","UseDPDF=Y")</f>
        <v>—</v>
      </c>
    </row>
    <row r="178" spans="1:27" x14ac:dyDescent="0.25">
      <c r="A178" s="10" t="s">
        <v>1137</v>
      </c>
      <c r="B178" s="10" t="s">
        <v>1138</v>
      </c>
      <c r="C178" s="13" t="str">
        <f>_xll.BDH("ALNY US Equity","ARDR_#_SHS_REPURCH_FR_REP_PROG","FQ4 2018","FQ4 2018","Currency=USD","Period=FQ","BEST_FPERIOD_OVERRIDE=FQ","FILING_STATUS=MR","Sort=A","Dates=H","DateFormat=P","Fill=—","Direction=H","UseDPDF=Y")</f>
        <v>—</v>
      </c>
      <c r="D178" s="13" t="str">
        <f>_xll.BDH("ALNY US Equity","ARDR_#_SHS_REPURCH_FR_REP_PROG","FQ1 2019","FQ1 2019","Currency=USD","Period=FQ","BEST_FPERIOD_OVERRIDE=FQ","FILING_STATUS=MR","Sort=A","Dates=H","DateFormat=P","Fill=—","Direction=H","UseDPDF=Y")</f>
        <v>—</v>
      </c>
      <c r="E178" s="13" t="str">
        <f>_xll.BDH("ALNY US Equity","ARDR_#_SHS_REPURCH_FR_REP_PROG","FQ2 2019","FQ2 2019","Currency=USD","Period=FQ","BEST_FPERIOD_OVERRIDE=FQ","FILING_STATUS=MR","Sort=A","Dates=H","DateFormat=P","Fill=—","Direction=H","UseDPDF=Y")</f>
        <v>—</v>
      </c>
      <c r="F178" s="13" t="str">
        <f>_xll.BDH("ALNY US Equity","ARDR_#_SHS_REPURCH_FR_REP_PROG","FQ3 2019","FQ3 2019","Currency=USD","Period=FQ","BEST_FPERIOD_OVERRIDE=FQ","FILING_STATUS=MR","Sort=A","Dates=H","DateFormat=P","Fill=—","Direction=H","UseDPDF=Y")</f>
        <v>—</v>
      </c>
      <c r="G178" s="13" t="str">
        <f>_xll.BDH("ALNY US Equity","ARDR_#_SHS_REPURCH_FR_REP_PROG","FQ4 2019","FQ4 2019","Currency=USD","Period=FQ","BEST_FPERIOD_OVERRIDE=FQ","FILING_STATUS=MR","Sort=A","Dates=H","DateFormat=P","Fill=—","Direction=H","UseDPDF=Y")</f>
        <v>—</v>
      </c>
      <c r="H178" s="13" t="str">
        <f>_xll.BDH("ALNY US Equity","ARDR_#_SHS_REPURCH_FR_REP_PROG","FQ1 2020","FQ1 2020","Currency=USD","Period=FQ","BEST_FPERIOD_OVERRIDE=FQ","FILING_STATUS=MR","Sort=A","Dates=H","DateFormat=P","Fill=—","Direction=H","UseDPDF=Y")</f>
        <v>—</v>
      </c>
      <c r="I178" s="13" t="str">
        <f>_xll.BDH("ALNY US Equity","ARDR_#_SHS_REPURCH_FR_REP_PROG","FQ2 2020","FQ2 2020","Currency=USD","Period=FQ","BEST_FPERIOD_OVERRIDE=FQ","FILING_STATUS=MR","Sort=A","Dates=H","DateFormat=P","Fill=—","Direction=H","UseDPDF=Y")</f>
        <v>—</v>
      </c>
      <c r="J178" s="13" t="str">
        <f>_xll.BDH("ALNY US Equity","ARDR_#_SHS_REPURCH_FR_REP_PROG","FQ3 2020","FQ3 2020","Currency=USD","Period=FQ","BEST_FPERIOD_OVERRIDE=FQ","FILING_STATUS=MR","Sort=A","Dates=H","DateFormat=P","Fill=—","Direction=H","UseDPDF=Y")</f>
        <v>—</v>
      </c>
      <c r="K178" s="13" t="str">
        <f>_xll.BDH("ALNY US Equity","ARDR_#_SHS_REPURCH_FR_REP_PROG","FQ4 2020","FQ4 2020","Currency=USD","Period=FQ","BEST_FPERIOD_OVERRIDE=FQ","FILING_STATUS=MR","Sort=A","Dates=H","DateFormat=P","Fill=—","Direction=H","UseDPDF=Y")</f>
        <v>—</v>
      </c>
      <c r="L178" s="13" t="str">
        <f>_xll.BDH("ALNY US Equity","ARDR_#_SHS_REPURCH_FR_REP_PROG","FQ1 2021","FQ1 2021","Currency=USD","Period=FQ","BEST_FPERIOD_OVERRIDE=FQ","FILING_STATUS=MR","Sort=A","Dates=H","DateFormat=P","Fill=—","Direction=H","UseDPDF=Y")</f>
        <v>—</v>
      </c>
      <c r="M178" s="13" t="str">
        <f>_xll.BDH("ALNY US Equity","ARDR_#_SHS_REPURCH_FR_REP_PROG","FQ2 2021","FQ2 2021","Currency=USD","Period=FQ","BEST_FPERIOD_OVERRIDE=FQ","FILING_STATUS=MR","Sort=A","Dates=H","DateFormat=P","Fill=—","Direction=H","UseDPDF=Y")</f>
        <v>—</v>
      </c>
      <c r="N178" s="13" t="str">
        <f>_xll.BDH("ALNY US Equity","ARDR_#_SHS_REPURCH_FR_REP_PROG","FQ3 2021","FQ3 2021","Currency=USD","Period=FQ","BEST_FPERIOD_OVERRIDE=FQ","FILING_STATUS=MR","Sort=A","Dates=H","DateFormat=P","Fill=—","Direction=H","UseDPDF=Y")</f>
        <v>—</v>
      </c>
      <c r="O178" s="13" t="str">
        <f>_xll.BDH("ALNY US Equity","ARDR_#_SHS_REPURCH_FR_REP_PROG","FQ4 2021","FQ4 2021","Currency=USD","Period=FQ","BEST_FPERIOD_OVERRIDE=FQ","FILING_STATUS=MR","Sort=A","Dates=H","DateFormat=P","Fill=—","Direction=H","UseDPDF=Y")</f>
        <v>—</v>
      </c>
      <c r="P178" s="13" t="str">
        <f>_xll.BDH("ALNY US Equity","ARDR_#_SHS_REPURCH_FR_REP_PROG","FQ1 2022","FQ1 2022","Currency=USD","Period=FQ","BEST_FPERIOD_OVERRIDE=FQ","FILING_STATUS=MR","Sort=A","Dates=H","DateFormat=P","Fill=—","Direction=H","UseDPDF=Y")</f>
        <v>—</v>
      </c>
      <c r="Q178" s="13" t="str">
        <f>_xll.BDH("ALNY US Equity","ARDR_#_SHS_REPURCH_FR_REP_PROG","FQ2 2022","FQ2 2022","Currency=USD","Period=FQ","BEST_FPERIOD_OVERRIDE=FQ","FILING_STATUS=MR","Sort=A","Dates=H","DateFormat=P","Fill=—","Direction=H","UseDPDF=Y")</f>
        <v>—</v>
      </c>
      <c r="R178" s="13" t="str">
        <f>_xll.BDH("ALNY US Equity","ARDR_#_SHS_REPURCH_FR_REP_PROG","FQ3 2022","FQ3 2022","Currency=USD","Period=FQ","BEST_FPERIOD_OVERRIDE=FQ","FILING_STATUS=MR","Sort=A","Dates=H","DateFormat=P","Fill=—","Direction=H","UseDPDF=Y")</f>
        <v>—</v>
      </c>
      <c r="S178" s="13">
        <f>_xll.BDH("ALNY US Equity","ARDR_#_SHS_REPURCH_FR_REP_PROG","FQ4 2022","FQ4 2022","Currency=USD","Period=FQ","BEST_FPERIOD_OVERRIDE=FQ","FILING_STATUS=MR","Sort=A","Dates=H","DateFormat=P","Fill=—","Direction=H","UseDPDF=Y")</f>
        <v>0</v>
      </c>
      <c r="T178" s="13" t="str">
        <f>_xll.BDH("ALNY US Equity","ARDR_#_SHS_REPURCH_FR_REP_PROG","FQ1 2023","FQ1 2023","Currency=USD","Period=FQ","BEST_FPERIOD_OVERRIDE=FQ","FILING_STATUS=MR","Sort=A","Dates=H","DateFormat=P","Fill=—","Direction=H","UseDPDF=Y")</f>
        <v>—</v>
      </c>
      <c r="U178" s="13" t="str">
        <f>_xll.BDH("ALNY US Equity","ARDR_#_SHS_REPURCH_FR_REP_PROG","FQ2 2023","FQ2 2023","Currency=USD","Period=FQ","BEST_FPERIOD_OVERRIDE=FQ","FILING_STATUS=MR","Sort=A","Dates=H","DateFormat=P","Fill=—","Direction=H","UseDPDF=Y")</f>
        <v>—</v>
      </c>
      <c r="V178" s="13" t="str">
        <f>_xll.BDH("ALNY US Equity","ARDR_#_SHS_REPURCH_FR_REP_PROG","FQ3 2023","FQ3 2023","Currency=USD","Period=FQ","BEST_FPERIOD_OVERRIDE=FQ","FILING_STATUS=MR","Sort=A","Dates=H","DateFormat=P","Fill=—","Direction=H","UseDPDF=Y")</f>
        <v>—</v>
      </c>
      <c r="W178" s="13" t="str">
        <f>_xll.BDH("ALNY US Equity","ARDR_#_SHS_REPURCH_FR_REP_PROG","FQ4 2023","FQ4 2023","Currency=USD","Period=FQ","BEST_FPERIOD_OVERRIDE=FQ","FILING_STATUS=MR","Sort=A","Dates=H","DateFormat=P","Fill=—","Direction=H","UseDPDF=Y")</f>
        <v>—</v>
      </c>
      <c r="X178" s="13" t="str">
        <f>_xll.BDH("ALNY US Equity","ARDR_#_SHS_REPURCH_FR_REP_PROG","FQ1 2024","FQ1 2024","Currency=USD","Period=FQ","BEST_FPERIOD_OVERRIDE=FQ","FILING_STATUS=MR","Sort=A","Dates=H","DateFormat=P","Fill=—","Direction=H","UseDPDF=Y")</f>
        <v>—</v>
      </c>
      <c r="Y178" s="13" t="str">
        <f>_xll.BDH("ALNY US Equity","ARDR_#_SHS_REPURCH_FR_REP_PROG","FQ2 2024","FQ2 2024","Currency=USD","Period=FQ","BEST_FPERIOD_OVERRIDE=FQ","FILING_STATUS=MR","Sort=A","Dates=H","DateFormat=P","Fill=—","Direction=H","UseDPDF=Y")</f>
        <v>—</v>
      </c>
      <c r="Z178" s="13" t="str">
        <f>_xll.BDH("ALNY US Equity","ARDR_#_SHS_REPURCH_FR_REP_PROG","FQ3 2024","FQ3 2024","Currency=USD","Period=FQ","BEST_FPERIOD_OVERRIDE=FQ","FILING_STATUS=MR","Sort=A","Dates=H","DateFormat=P","Fill=—","Direction=H","UseDPDF=Y")</f>
        <v>—</v>
      </c>
      <c r="AA178" s="13" t="str">
        <f>_xll.BDH("ALNY US Equity","ARDR_#_SHS_REPURCH_FR_REP_PROG","FQ4 2024","FQ4 2024","Currency=USD","Period=FQ","BEST_FPERIOD_OVERRIDE=FQ","FILING_STATUS=MR","Sort=A","Dates=H","DateFormat=P","Fill=—","Direction=H","UseDPDF=Y")</f>
        <v>—</v>
      </c>
    </row>
    <row r="179" spans="1:27" x14ac:dyDescent="0.25">
      <c r="A179" s="7" t="s">
        <v>90</v>
      </c>
      <c r="B179" s="7"/>
      <c r="C179" s="7" t="s">
        <v>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6"/>
  <sheetViews>
    <sheetView workbookViewId="0">
      <selection activeCell="M18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1139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112</v>
      </c>
      <c r="B6" s="6" t="s">
        <v>113</v>
      </c>
      <c r="C6" s="19">
        <f>_xll.BDH("ALNY US Equity","BS_TOT_ASSET","FQ4 2018","FQ4 2018","Currency=USD","Period=FQ","BEST_FPERIOD_OVERRIDE=FQ","FILING_STATUS=MR","SCALING_FORMAT=MLN","Sort=A","Dates=H","DateFormat=P","Fill=—","Direction=H","UseDPDF=Y")</f>
        <v>1574.8019999999999</v>
      </c>
      <c r="D6" s="19">
        <f>_xll.BDH("ALNY US Equity","BS_TOT_ASSET","FQ1 2019","FQ1 2019","Currency=USD","Period=FQ","BEST_FPERIOD_OVERRIDE=FQ","FILING_STATUS=MR","SCALING_FORMAT=MLN","Sort=A","Dates=H","DateFormat=P","Fill=—","Direction=H","UseDPDF=Y")</f>
        <v>2013.999</v>
      </c>
      <c r="E6" s="19">
        <f>_xll.BDH("ALNY US Equity","BS_TOT_ASSET","FQ2 2019","FQ2 2019","Currency=USD","Period=FQ","BEST_FPERIOD_OVERRIDE=FQ","FILING_STATUS=MR","SCALING_FORMAT=MLN","Sort=A","Dates=H","DateFormat=P","Fill=—","Direction=H","UseDPDF=Y")</f>
        <v>2716.4110000000001</v>
      </c>
      <c r="F6" s="19">
        <f>_xll.BDH("ALNY US Equity","BS_TOT_ASSET","FQ3 2019","FQ3 2019","Currency=USD","Period=FQ","BEST_FPERIOD_OVERRIDE=FQ","FILING_STATUS=MR","SCALING_FORMAT=MLN","Sort=A","Dates=H","DateFormat=P","Fill=—","Direction=H","UseDPDF=Y")</f>
        <v>2541.6219999999998</v>
      </c>
      <c r="G6" s="19">
        <f>_xll.BDH("ALNY US Equity","BS_TOT_ASSET","FQ4 2019","FQ4 2019","Currency=USD","Period=FQ","BEST_FPERIOD_OVERRIDE=FQ","FILING_STATUS=MR","SCALING_FORMAT=MLN","Sort=A","Dates=H","DateFormat=P","Fill=—","Direction=H","UseDPDF=Y")</f>
        <v>2395.134</v>
      </c>
      <c r="H6" s="19">
        <f>_xll.BDH("ALNY US Equity","BS_TOT_ASSET","FQ1 2020","FQ1 2020","Currency=USD","Period=FQ","BEST_FPERIOD_OVERRIDE=FQ","FILING_STATUS=MR","SCALING_FORMAT=MLN","Sort=A","Dates=H","DateFormat=P","Fill=—","Direction=H","UseDPDF=Y")</f>
        <v>2279.6239999999998</v>
      </c>
      <c r="I6" s="19">
        <f>_xll.BDH("ALNY US Equity","BS_TOT_ASSET","FQ2 2020","FQ2 2020","Currency=USD","Period=FQ","BEST_FPERIOD_OVERRIDE=FQ","FILING_STATUS=MR","SCALING_FORMAT=MLN","Sort=A","Dates=H","DateFormat=P","Fill=—","Direction=H","UseDPDF=Y")</f>
        <v>3374.3670000000002</v>
      </c>
      <c r="J6" s="19">
        <f>_xll.BDH("ALNY US Equity","BS_TOT_ASSET","FQ3 2020","FQ3 2020","Currency=USD","Period=FQ","BEST_FPERIOD_OVERRIDE=FQ","FILING_STATUS=MR","SCALING_FORMAT=MLN","Sort=A","Dates=H","DateFormat=P","Fill=—","Direction=H","UseDPDF=Y")</f>
        <v>3307.2829999999999</v>
      </c>
      <c r="K6" s="19">
        <f>_xll.BDH("ALNY US Equity","BS_TOT_ASSET","FQ4 2020","FQ4 2020","Currency=USD","Period=FQ","BEST_FPERIOD_OVERRIDE=FQ","FILING_STATUS=MR","SCALING_FORMAT=MLN","Sort=A","Dates=H","DateFormat=P","Fill=—","Direction=H","UseDPDF=Y")</f>
        <v>3407.0610000000001</v>
      </c>
      <c r="L6" s="19">
        <f>_xll.BDH("ALNY US Equity","BS_TOT_ASSET","FQ1 2021","FQ1 2021","Currency=USD","Period=FQ","BEST_FPERIOD_OVERRIDE=FQ","FILING_STATUS=MR","SCALING_FORMAT=MLN","Sort=A","Dates=H","DateFormat=P","Fill=—","Direction=H","UseDPDF=Y")</f>
        <v>3255.2689999999998</v>
      </c>
      <c r="M6" s="19">
        <f>_xll.BDH("ALNY US Equity","BS_TOT_ASSET","FQ2 2021","FQ2 2021","Currency=USD","Period=FQ","BEST_FPERIOD_OVERRIDE=FQ","FILING_STATUS=MR","SCALING_FORMAT=MLN","Sort=A","Dates=H","DateFormat=P","Fill=—","Direction=H","UseDPDF=Y")</f>
        <v>3509.4290000000001</v>
      </c>
      <c r="N6" s="19">
        <f>_xll.BDH("ALNY US Equity","BS_TOT_ASSET","FQ3 2021","FQ3 2021","Currency=USD","Period=FQ","BEST_FPERIOD_OVERRIDE=FQ","FILING_STATUS=MR","SCALING_FORMAT=MLN","Sort=A","Dates=H","DateFormat=P","Fill=—","Direction=H","UseDPDF=Y")</f>
        <v>3472.3130000000001</v>
      </c>
      <c r="O6" s="19">
        <f>_xll.BDH("ALNY US Equity","BS_TOT_ASSET","FQ4 2021","FQ4 2021","Currency=USD","Period=FQ","BEST_FPERIOD_OVERRIDE=FQ","FILING_STATUS=MR","SCALING_FORMAT=MLN","Sort=A","Dates=H","DateFormat=P","Fill=—","Direction=H","UseDPDF=Y")</f>
        <v>3643.3040000000001</v>
      </c>
      <c r="P6" s="19">
        <f>_xll.BDH("ALNY US Equity","BS_TOT_ASSET","FQ1 2022","FQ1 2022","Currency=USD","Period=FQ","BEST_FPERIOD_OVERRIDE=FQ","FILING_STATUS=MR","SCALING_FORMAT=MLN","Sort=A","Dates=H","DateFormat=P","Fill=—","Direction=H","UseDPDF=Y")</f>
        <v>3433.5450000000001</v>
      </c>
      <c r="Q6" s="19">
        <f>_xll.BDH("ALNY US Equity","BS_TOT_ASSET","FQ2 2022","FQ2 2022","Currency=USD","Period=FQ","BEST_FPERIOD_OVERRIDE=FQ","FILING_STATUS=MR","SCALING_FORMAT=MLN","Sort=A","Dates=H","DateFormat=P","Fill=—","Direction=H","UseDPDF=Y")</f>
        <v>3330.4169999999999</v>
      </c>
      <c r="R6" s="19">
        <f>_xll.BDH("ALNY US Equity","BS_TOT_ASSET","FQ3 2022","FQ3 2022","Currency=USD","Period=FQ","BEST_FPERIOD_OVERRIDE=FQ","FILING_STATUS=MR","SCALING_FORMAT=MLN","Sort=A","Dates=H","DateFormat=P","Fill=—","Direction=H","UseDPDF=Y")</f>
        <v>3535.2550000000001</v>
      </c>
      <c r="S6" s="19">
        <f>_xll.BDH("ALNY US Equity","BS_TOT_ASSET","FQ4 2022","FQ4 2022","Currency=USD","Period=FQ","BEST_FPERIOD_OVERRIDE=FQ","FILING_STATUS=MR","SCALING_FORMAT=MLN","Sort=A","Dates=H","DateFormat=P","Fill=—","Direction=H","UseDPDF=Y")</f>
        <v>3546.3589999999999</v>
      </c>
      <c r="T6" s="19">
        <f>_xll.BDH("ALNY US Equity","BS_TOT_ASSET","FQ1 2023","FQ1 2023","Currency=USD","Period=FQ","BEST_FPERIOD_OVERRIDE=FQ","FILING_STATUS=MR","SCALING_FORMAT=MLN","Sort=A","Dates=H","DateFormat=P","Fill=—","Direction=H","UseDPDF=Y")</f>
        <v>3391.94</v>
      </c>
      <c r="U6" s="19">
        <f>_xll.BDH("ALNY US Equity","BS_TOT_ASSET","FQ2 2023","FQ2 2023","Currency=USD","Period=FQ","BEST_FPERIOD_OVERRIDE=FQ","FILING_STATUS=MR","SCALING_FORMAT=MLN","Sort=A","Dates=H","DateFormat=P","Fill=—","Direction=H","UseDPDF=Y")</f>
        <v>3402.3960000000002</v>
      </c>
      <c r="V6" s="19">
        <f>_xll.BDH("ALNY US Equity","BS_TOT_ASSET","FQ3 2023","FQ3 2023","Currency=USD","Period=FQ","BEST_FPERIOD_OVERRIDE=FQ","FILING_STATUS=MR","SCALING_FORMAT=MLN","Sort=A","Dates=H","DateFormat=P","Fill=—","Direction=H","UseDPDF=Y")</f>
        <v>3839.0729999999999</v>
      </c>
      <c r="W6" s="19">
        <f>_xll.BDH("ALNY US Equity","BS_TOT_ASSET","FQ4 2023","FQ4 2023","Currency=USD","Period=FQ","BEST_FPERIOD_OVERRIDE=FQ","FILING_STATUS=MR","SCALING_FORMAT=MLN","Sort=A","Dates=H","DateFormat=P","Fill=—","Direction=H","UseDPDF=Y")</f>
        <v>3829.88</v>
      </c>
      <c r="X6" s="19">
        <f>_xll.BDH("ALNY US Equity","BS_TOT_ASSET","FQ1 2024","FQ1 2024","Currency=USD","Period=FQ","BEST_FPERIOD_OVERRIDE=FQ","FILING_STATUS=MR","SCALING_FORMAT=MLN","Sort=A","Dates=H","DateFormat=P","Fill=—","Direction=H","UseDPDF=Y")</f>
        <v>3824.386</v>
      </c>
      <c r="Y6" s="19">
        <f>_xll.BDH("ALNY US Equity","BS_TOT_ASSET","FQ2 2024","FQ2 2024","Currency=USD","Period=FQ","BEST_FPERIOD_OVERRIDE=FQ","FILING_STATUS=MR","SCALING_FORMAT=MLN","Sort=A","Dates=H","DateFormat=P","Fill=—","Direction=H","UseDPDF=Y")</f>
        <v>4009.634</v>
      </c>
      <c r="Z6" s="19">
        <f>_xll.BDH("ALNY US Equity","BS_TOT_ASSET","FQ3 2024","FQ3 2024","Currency=USD","Period=FQ","BEST_FPERIOD_OVERRIDE=FQ","FILING_STATUS=MR","SCALING_FORMAT=MLN","Sort=A","Dates=H","DateFormat=P","Fill=—","Direction=H","UseDPDF=Y")</f>
        <v>4205.0389999999998</v>
      </c>
      <c r="AA6" s="19">
        <f>_xll.BDH("ALNY US Equity","BS_TOT_ASSET","FQ4 2024","FQ4 2024","Currency=USD","Period=FQ","BEST_FPERIOD_OVERRIDE=FQ","FILING_STATUS=MR","SCALING_FORMAT=MLN","Sort=A","Dates=H","DateFormat=P","Fill=—","Direction=H","UseDPDF=Y")</f>
        <v>4239.9830000000002</v>
      </c>
    </row>
    <row r="7" spans="1:27" x14ac:dyDescent="0.25">
      <c r="A7" s="6" t="s">
        <v>112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0" t="s">
        <v>674</v>
      </c>
      <c r="B8" s="10" t="s">
        <v>675</v>
      </c>
      <c r="C8" s="13">
        <v>68.843892756041697</v>
      </c>
      <c r="D8" s="13">
        <v>61.794320652592198</v>
      </c>
      <c r="E8" s="13">
        <v>70.932970010797305</v>
      </c>
      <c r="F8" s="13">
        <v>67.714947383993405</v>
      </c>
      <c r="G8" s="13">
        <v>64.136787336324403</v>
      </c>
      <c r="H8" s="13">
        <v>58.878262380111799</v>
      </c>
      <c r="I8" s="13">
        <v>57.064450902939697</v>
      </c>
      <c r="J8" s="13">
        <v>55.449624359330599</v>
      </c>
      <c r="K8" s="13">
        <v>55.015011471764097</v>
      </c>
      <c r="L8" s="13">
        <v>52.515997909850199</v>
      </c>
      <c r="M8" s="13">
        <v>54.142198061280098</v>
      </c>
      <c r="N8" s="13">
        <v>67.040759286389203</v>
      </c>
      <c r="O8" s="13">
        <v>66.850419289743598</v>
      </c>
      <c r="P8" s="13">
        <v>65.225969078605303</v>
      </c>
      <c r="Q8" s="13">
        <v>63.373835768914198</v>
      </c>
      <c r="R8" s="13">
        <v>64.078234809087306</v>
      </c>
      <c r="S8" s="13">
        <v>61.821321530053801</v>
      </c>
      <c r="T8" s="13">
        <v>61.046922999817198</v>
      </c>
      <c r="U8" s="13">
        <v>60.472296581585397</v>
      </c>
      <c r="V8" s="13">
        <v>62.678620594086098</v>
      </c>
      <c r="W8" s="13">
        <v>63.693431647989001</v>
      </c>
      <c r="X8" s="13">
        <v>62.004253754720402</v>
      </c>
      <c r="Y8" s="13">
        <v>65.458568038878397</v>
      </c>
      <c r="Z8" s="13">
        <v>66.116747074165104</v>
      </c>
      <c r="AA8" s="13">
        <v>63.549877440546297</v>
      </c>
    </row>
    <row r="9" spans="1:27" x14ac:dyDescent="0.25">
      <c r="A9" s="10" t="s">
        <v>676</v>
      </c>
      <c r="B9" s="10" t="s">
        <v>677</v>
      </c>
      <c r="C9" s="13">
        <v>26.679290475882102</v>
      </c>
      <c r="D9" s="13">
        <v>35.995996025817298</v>
      </c>
      <c r="E9" s="13">
        <v>41.830525645787802</v>
      </c>
      <c r="F9" s="13">
        <v>36.327353162665403</v>
      </c>
      <c r="G9" s="13">
        <v>22.845402386672301</v>
      </c>
      <c r="H9" s="13">
        <v>20.520006808140302</v>
      </c>
      <c r="I9" s="13">
        <v>17.2129765375254</v>
      </c>
      <c r="J9" s="13">
        <v>15.0184910090851</v>
      </c>
      <c r="K9" s="13">
        <v>14.5750252196835</v>
      </c>
      <c r="L9" s="13">
        <v>11.659343667143901</v>
      </c>
      <c r="M9" s="13">
        <v>21.2503800475804</v>
      </c>
      <c r="N9" s="13">
        <v>31.506117104074399</v>
      </c>
      <c r="O9" s="13">
        <v>22.506356867283099</v>
      </c>
      <c r="P9" s="13">
        <v>15.5547983206861</v>
      </c>
      <c r="Q9" s="13">
        <v>17.2818598992258</v>
      </c>
      <c r="R9" s="13">
        <v>30.357866688541598</v>
      </c>
      <c r="S9" s="13">
        <v>24.4305215574622</v>
      </c>
      <c r="T9" s="13">
        <v>19.818894202138001</v>
      </c>
      <c r="U9" s="13">
        <v>19.333434438554502</v>
      </c>
      <c r="V9" s="13">
        <v>26.9081624652618</v>
      </c>
      <c r="W9" s="13">
        <v>21.219672679039601</v>
      </c>
      <c r="X9" s="13">
        <v>17.829764045784099</v>
      </c>
      <c r="Y9" s="13">
        <v>24.1541247904422</v>
      </c>
      <c r="Z9" s="13">
        <v>26.157189029638001</v>
      </c>
      <c r="AA9" s="13">
        <v>22.7932045953958</v>
      </c>
    </row>
    <row r="10" spans="1:27" x14ac:dyDescent="0.25">
      <c r="A10" s="10" t="s">
        <v>678</v>
      </c>
      <c r="B10" s="10" t="s">
        <v>679</v>
      </c>
      <c r="C10" s="13">
        <v>42.164602280159698</v>
      </c>
      <c r="D10" s="13">
        <v>25.7983246267749</v>
      </c>
      <c r="E10" s="13">
        <v>29.1024443650096</v>
      </c>
      <c r="F10" s="13">
        <v>31.387594221328001</v>
      </c>
      <c r="G10" s="13">
        <v>41.291384949652098</v>
      </c>
      <c r="H10" s="13">
        <v>38.358255571971497</v>
      </c>
      <c r="I10" s="13">
        <v>39.851474365414298</v>
      </c>
      <c r="J10" s="13">
        <v>40.431133350245503</v>
      </c>
      <c r="K10" s="13">
        <v>40.439986252080601</v>
      </c>
      <c r="L10" s="13">
        <v>40.856654242706199</v>
      </c>
      <c r="M10" s="13">
        <v>32.891818013699698</v>
      </c>
      <c r="N10" s="13">
        <v>35.534642182314798</v>
      </c>
      <c r="O10" s="13">
        <v>44.344062422460503</v>
      </c>
      <c r="P10" s="13">
        <v>49.671170757919299</v>
      </c>
      <c r="Q10" s="13">
        <v>46.091975869688397</v>
      </c>
      <c r="R10" s="13">
        <v>33.7203681205458</v>
      </c>
      <c r="S10" s="13">
        <v>37.390799972591601</v>
      </c>
      <c r="T10" s="13">
        <v>41.228028797679201</v>
      </c>
      <c r="U10" s="13">
        <v>41.138862143030998</v>
      </c>
      <c r="V10" s="13">
        <v>35.770458128824302</v>
      </c>
      <c r="W10" s="13">
        <v>42.473758968949397</v>
      </c>
      <c r="X10" s="13">
        <v>44.174489708936299</v>
      </c>
      <c r="Y10" s="13">
        <v>41.304443248436101</v>
      </c>
      <c r="Z10" s="13">
        <v>39.9595580445271</v>
      </c>
      <c r="AA10" s="13">
        <v>40.756672845150597</v>
      </c>
    </row>
    <row r="11" spans="1:27" x14ac:dyDescent="0.25">
      <c r="A11" s="10" t="s">
        <v>680</v>
      </c>
      <c r="B11" s="10" t="s">
        <v>681</v>
      </c>
      <c r="C11" s="13">
        <v>1.1912608696204301</v>
      </c>
      <c r="D11" s="13">
        <v>1.67830272011059</v>
      </c>
      <c r="E11" s="13">
        <v>1.1316034281999301</v>
      </c>
      <c r="F11" s="13">
        <v>1.8928463792019401</v>
      </c>
      <c r="G11" s="13">
        <v>1.79576591539346</v>
      </c>
      <c r="H11" s="13">
        <v>3.31510810554723</v>
      </c>
      <c r="I11" s="13">
        <v>2.0482360098946</v>
      </c>
      <c r="J11" s="13">
        <v>2.3922355601259402</v>
      </c>
      <c r="K11" s="13">
        <v>3.0059045024436002</v>
      </c>
      <c r="L11" s="13">
        <v>3.39836738530671</v>
      </c>
      <c r="M11" s="13">
        <v>4.1769473039631198</v>
      </c>
      <c r="N11" s="13">
        <v>4.0625369890329601</v>
      </c>
      <c r="O11" s="13">
        <v>5.4503000573106197</v>
      </c>
      <c r="P11" s="13">
        <v>4.5589325318293499</v>
      </c>
      <c r="Q11" s="13">
        <v>4.27186745683799</v>
      </c>
      <c r="R11" s="13">
        <v>5.2192274673255499</v>
      </c>
      <c r="S11" s="13">
        <v>6.7100651682472101</v>
      </c>
      <c r="T11" s="13">
        <v>6.4692771688178397</v>
      </c>
      <c r="U11" s="13">
        <v>6.48469490323878</v>
      </c>
      <c r="V11" s="13">
        <v>8.4771766517594198</v>
      </c>
      <c r="W11" s="13">
        <v>8.55867546763867</v>
      </c>
      <c r="X11" s="13">
        <v>8.4033620037307895</v>
      </c>
      <c r="Y11" s="13">
        <v>7.7184351489437697</v>
      </c>
      <c r="Z11" s="13">
        <v>8.4149516805908302</v>
      </c>
      <c r="AA11" s="13">
        <v>9.5591892703343397</v>
      </c>
    </row>
    <row r="12" spans="1:27" x14ac:dyDescent="0.25">
      <c r="A12" s="10" t="s">
        <v>682</v>
      </c>
      <c r="B12" s="10" t="s">
        <v>683</v>
      </c>
      <c r="C12" s="13">
        <v>1.1912608696204301</v>
      </c>
      <c r="D12" s="13">
        <v>1.67830272011059</v>
      </c>
      <c r="E12" s="13">
        <v>1.1316034281999301</v>
      </c>
      <c r="F12" s="13">
        <v>1.8928463792019401</v>
      </c>
      <c r="G12" s="13">
        <v>1.79576591539346</v>
      </c>
      <c r="H12" s="13">
        <v>3.31510810554723</v>
      </c>
      <c r="I12" s="13">
        <v>2.0482360098946</v>
      </c>
      <c r="J12" s="13">
        <v>2.3922355601259402</v>
      </c>
      <c r="K12" s="13">
        <v>3.0059045024436002</v>
      </c>
      <c r="L12" s="13">
        <v>3.39836738530671</v>
      </c>
      <c r="M12" s="13">
        <v>4.1769473039631198</v>
      </c>
      <c r="N12" s="13">
        <v>4.0625369890329601</v>
      </c>
      <c r="O12" s="13">
        <v>5.4503000573106197</v>
      </c>
      <c r="P12" s="13">
        <v>4.5589325318293499</v>
      </c>
      <c r="Q12" s="13">
        <v>4.27186745683799</v>
      </c>
      <c r="R12" s="13">
        <v>5.2192274673255499</v>
      </c>
      <c r="S12" s="13">
        <v>6.7100651682472101</v>
      </c>
      <c r="T12" s="13">
        <v>6.4692771688178397</v>
      </c>
      <c r="U12" s="13">
        <v>6.48469490323878</v>
      </c>
      <c r="V12" s="13">
        <v>8.4771766517594198</v>
      </c>
      <c r="W12" s="13">
        <v>8.55867546763867</v>
      </c>
      <c r="X12" s="13">
        <v>8.4033620037307895</v>
      </c>
      <c r="Y12" s="13">
        <v>7.7184351489437697</v>
      </c>
      <c r="Z12" s="13">
        <v>8.4149516805908302</v>
      </c>
      <c r="AA12" s="13">
        <v>9.5591892703343397</v>
      </c>
    </row>
    <row r="13" spans="1:27" x14ac:dyDescent="0.25">
      <c r="A13" s="10" t="s">
        <v>684</v>
      </c>
      <c r="B13" s="10" t="s">
        <v>685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</row>
    <row r="14" spans="1:27" x14ac:dyDescent="0.25">
      <c r="A14" s="10" t="s">
        <v>686</v>
      </c>
      <c r="B14" s="10" t="s">
        <v>687</v>
      </c>
      <c r="C14" s="13">
        <v>1.5283191156729501</v>
      </c>
      <c r="D14" s="13">
        <v>1.58892829638942</v>
      </c>
      <c r="E14" s="13">
        <v>1.4941406142148601</v>
      </c>
      <c r="F14" s="13">
        <v>2.14673936564918</v>
      </c>
      <c r="G14" s="13">
        <v>2.3526032363951201</v>
      </c>
      <c r="H14" s="13">
        <v>2.9961081301126899</v>
      </c>
      <c r="I14" s="13">
        <v>2.2942969748103899</v>
      </c>
      <c r="J14" s="13">
        <v>2.0240783749077398</v>
      </c>
      <c r="K14" s="13">
        <v>2.2072396120879501</v>
      </c>
      <c r="L14" s="13">
        <v>2.2713944684755698</v>
      </c>
      <c r="M14" s="13">
        <v>2.4037528612204402</v>
      </c>
      <c r="N14" s="13">
        <v>2.8194174891491599</v>
      </c>
      <c r="O14" s="13">
        <v>2.3704582433966501</v>
      </c>
      <c r="P14" s="13">
        <v>2.28673280822008</v>
      </c>
      <c r="Q14" s="13">
        <v>2.6716173980615601</v>
      </c>
      <c r="R14" s="13">
        <v>3.2667799069656902</v>
      </c>
      <c r="S14" s="13">
        <v>3.6364620727907102</v>
      </c>
      <c r="T14" s="13">
        <v>3.8880109907604501</v>
      </c>
      <c r="U14" s="13">
        <v>2.9524194126727199</v>
      </c>
      <c r="V14" s="13">
        <v>2.4946386797021098</v>
      </c>
      <c r="W14" s="13">
        <v>2.3276447303832</v>
      </c>
      <c r="X14" s="13">
        <v>2.4575971149355702</v>
      </c>
      <c r="Y14" s="13">
        <v>2.0944804438509799</v>
      </c>
      <c r="Z14" s="13">
        <v>1.8070462604508499</v>
      </c>
      <c r="AA14" s="13">
        <v>1.85163478249795</v>
      </c>
    </row>
    <row r="15" spans="1:27" x14ac:dyDescent="0.25">
      <c r="A15" s="10" t="s">
        <v>688</v>
      </c>
      <c r="B15" s="10" t="s">
        <v>689</v>
      </c>
      <c r="C15" s="13">
        <v>0.55302190370599003</v>
      </c>
      <c r="D15" s="13">
        <v>0.45575990852031201</v>
      </c>
      <c r="E15" s="13">
        <v>0.31092496680362403</v>
      </c>
      <c r="F15" s="13">
        <v>0.45640146331751902</v>
      </c>
      <c r="G15" s="13">
        <v>0.64372181264179795</v>
      </c>
      <c r="H15" s="13">
        <v>1.3450463760690401</v>
      </c>
      <c r="I15" s="13">
        <v>1.28957520032646</v>
      </c>
      <c r="J15" s="13" t="s">
        <v>141</v>
      </c>
      <c r="K15" s="13">
        <v>1.3607035506555401</v>
      </c>
      <c r="L15" s="13">
        <v>1.64944893955</v>
      </c>
      <c r="M15" s="13">
        <v>1.5485140175225101</v>
      </c>
      <c r="N15" s="13">
        <v>1.8765013407489499</v>
      </c>
      <c r="O15" s="13">
        <v>0.404962089356255</v>
      </c>
      <c r="P15" s="13">
        <v>0.59332264467190599</v>
      </c>
      <c r="Q15" s="13">
        <v>0.57470280748627001</v>
      </c>
      <c r="R15" s="13">
        <v>0.50118025432394597</v>
      </c>
      <c r="S15" s="13">
        <v>0.62923691594675002</v>
      </c>
      <c r="T15" s="13">
        <v>0.67439282534478795</v>
      </c>
      <c r="U15" s="13">
        <v>0.51284447783267995</v>
      </c>
      <c r="V15" s="13">
        <v>0.52411089864662597</v>
      </c>
      <c r="W15" s="13">
        <v>0.60957523473320296</v>
      </c>
      <c r="X15" s="13">
        <v>0.66418504826657099</v>
      </c>
      <c r="Y15" s="13">
        <v>0.64896197508301301</v>
      </c>
      <c r="Z15" s="13">
        <v>0.53186189236294801</v>
      </c>
      <c r="AA15" s="13">
        <v>0.565214530341277</v>
      </c>
    </row>
    <row r="16" spans="1:27" x14ac:dyDescent="0.25">
      <c r="A16" s="10" t="s">
        <v>690</v>
      </c>
      <c r="B16" s="10" t="s">
        <v>691</v>
      </c>
      <c r="C16" s="13">
        <v>0.96913770747052697</v>
      </c>
      <c r="D16" s="13">
        <v>1.12646530609002</v>
      </c>
      <c r="E16" s="13">
        <v>1.1668337376045099</v>
      </c>
      <c r="F16" s="13">
        <v>1.6675571741195201</v>
      </c>
      <c r="G16" s="13">
        <v>1.5980316758895301</v>
      </c>
      <c r="H16" s="13">
        <v>1.46568030517313</v>
      </c>
      <c r="I16" s="13">
        <v>0.61303349635650195</v>
      </c>
      <c r="J16" s="13" t="s">
        <v>141</v>
      </c>
      <c r="K16" s="13">
        <v>0.47398623036100601</v>
      </c>
      <c r="L16" s="13">
        <v>0.72476345272848397</v>
      </c>
      <c r="M16" s="13">
        <v>0.72122843915634105</v>
      </c>
      <c r="N16" s="13">
        <v>0.95394626002897798</v>
      </c>
      <c r="O16" s="13">
        <v>1.7732256215786599</v>
      </c>
      <c r="P16" s="13">
        <v>2.6579526407838001</v>
      </c>
      <c r="Q16" s="13">
        <v>3.00836201592774</v>
      </c>
      <c r="R16" s="13">
        <v>2.8978673391311198</v>
      </c>
      <c r="S16" s="13">
        <v>3.20844561985969</v>
      </c>
      <c r="T16" s="13">
        <v>3.2717559862497598</v>
      </c>
      <c r="U16" s="13">
        <v>3.4287895941565898</v>
      </c>
      <c r="V16" s="13">
        <v>2.31021915967735</v>
      </c>
      <c r="W16" s="13">
        <v>2.0095407689013798</v>
      </c>
      <c r="X16" s="13">
        <v>1.9891036103573201</v>
      </c>
      <c r="Y16" s="13">
        <v>1.65937838715454</v>
      </c>
      <c r="Z16" s="13">
        <v>1.6614590257070101</v>
      </c>
      <c r="AA16" s="13">
        <v>1.5325061444821799</v>
      </c>
    </row>
    <row r="17" spans="1:27" x14ac:dyDescent="0.25">
      <c r="A17" s="10" t="s">
        <v>692</v>
      </c>
      <c r="B17" s="10" t="s">
        <v>693</v>
      </c>
      <c r="C17" s="13">
        <v>6.1595044964382799E-3</v>
      </c>
      <c r="D17" s="13">
        <v>6.7030817790872804E-3</v>
      </c>
      <c r="E17" s="13">
        <v>1.6381909806726599E-2</v>
      </c>
      <c r="F17" s="13">
        <v>2.27807282121417E-2</v>
      </c>
      <c r="G17" s="13">
        <v>0.11084974786379399</v>
      </c>
      <c r="H17" s="13">
        <v>0.185381448870515</v>
      </c>
      <c r="I17" s="13">
        <v>0.39168827812742402</v>
      </c>
      <c r="J17" s="13" t="s">
        <v>141</v>
      </c>
      <c r="K17" s="13">
        <v>0.37254983107141298</v>
      </c>
      <c r="L17" s="13">
        <v>0.42248428624485401</v>
      </c>
      <c r="M17" s="13">
        <v>0.46882270591597702</v>
      </c>
      <c r="N17" s="13">
        <v>0.36480006266716197</v>
      </c>
      <c r="O17" s="13">
        <v>0.192270532461744</v>
      </c>
      <c r="P17" s="13">
        <v>0.303709431505922</v>
      </c>
      <c r="Q17" s="13">
        <v>0.39610655362376501</v>
      </c>
      <c r="R17" s="13">
        <v>0.60767893688008401</v>
      </c>
      <c r="S17" s="13">
        <v>0.72203631950403202</v>
      </c>
      <c r="T17" s="13">
        <v>0.87071115644734298</v>
      </c>
      <c r="U17" s="13">
        <v>0.83779195602157996</v>
      </c>
      <c r="V17" s="13">
        <v>0.72043433401761303</v>
      </c>
      <c r="W17" s="13">
        <v>0.65597355530721602</v>
      </c>
      <c r="X17" s="13">
        <v>0.64896691913420901</v>
      </c>
      <c r="Y17" s="13">
        <v>0.69470181068895598</v>
      </c>
      <c r="Z17" s="13">
        <v>0.54995922748873405</v>
      </c>
      <c r="AA17" s="13">
        <v>0.62342231089134104</v>
      </c>
    </row>
    <row r="18" spans="1:27" x14ac:dyDescent="0.25">
      <c r="A18" s="10" t="s">
        <v>694</v>
      </c>
      <c r="B18" s="10" t="s">
        <v>695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-0.525302210047772</v>
      </c>
      <c r="M18" s="13">
        <v>-0.334812301374383</v>
      </c>
      <c r="N18" s="13">
        <v>-0.37583017429592303</v>
      </c>
      <c r="O18" s="13">
        <v>0</v>
      </c>
      <c r="P18" s="13">
        <v>-1.26825190874155</v>
      </c>
      <c r="Q18" s="13">
        <v>-1.3075539789762101</v>
      </c>
      <c r="R18" s="13">
        <v>-0.73994662336946004</v>
      </c>
      <c r="S18" s="13">
        <v>-0.92325678251976195</v>
      </c>
      <c r="T18" s="13">
        <v>-0.928848977281438</v>
      </c>
      <c r="U18" s="13">
        <v>-1.8270066153381299</v>
      </c>
      <c r="V18" s="13">
        <v>-1.0601257126394801</v>
      </c>
      <c r="W18" s="13">
        <v>-0.94744482855859702</v>
      </c>
      <c r="X18" s="13">
        <v>-0.84465846282252899</v>
      </c>
      <c r="Y18" s="13">
        <v>-0.90856172907552202</v>
      </c>
      <c r="Z18" s="13">
        <v>-0.936233885107843</v>
      </c>
      <c r="AA18" s="13">
        <v>-0.86950820321685196</v>
      </c>
    </row>
    <row r="19" spans="1:27" x14ac:dyDescent="0.25">
      <c r="A19" s="10" t="s">
        <v>696</v>
      </c>
      <c r="B19" s="10" t="s">
        <v>697</v>
      </c>
      <c r="C19" s="13">
        <v>4.6807789169686096</v>
      </c>
      <c r="D19" s="13">
        <v>4.0553148238901802</v>
      </c>
      <c r="E19" s="13">
        <v>2.41554021096219</v>
      </c>
      <c r="F19" s="13">
        <v>2.8932705178032001</v>
      </c>
      <c r="G19" s="13">
        <v>3.3544260989155501</v>
      </c>
      <c r="H19" s="13">
        <v>4.3295736489877301</v>
      </c>
      <c r="I19" s="13">
        <v>2.61823921345841</v>
      </c>
      <c r="J19" s="13">
        <v>17.3787970367217</v>
      </c>
      <c r="K19" s="13">
        <v>16.517667279805099</v>
      </c>
      <c r="L19" s="13">
        <v>17.693775844638299</v>
      </c>
      <c r="M19" s="13">
        <v>16.9297056586698</v>
      </c>
      <c r="N19" s="13">
        <v>3.12569748176504</v>
      </c>
      <c r="O19" s="13">
        <v>2.4175309005232601</v>
      </c>
      <c r="P19" s="13">
        <v>3.35120116381175</v>
      </c>
      <c r="Q19" s="13">
        <v>3.8967492659327601</v>
      </c>
      <c r="R19" s="13">
        <v>3.5504086692473402</v>
      </c>
      <c r="S19" s="13">
        <v>3.7479567071466802</v>
      </c>
      <c r="T19" s="13">
        <v>3.50920122407826</v>
      </c>
      <c r="U19" s="13">
        <v>4.27498739123841</v>
      </c>
      <c r="V19" s="13">
        <v>4.1144828452076796</v>
      </c>
      <c r="W19" s="13">
        <v>3.2998945136662199</v>
      </c>
      <c r="X19" s="13">
        <v>5.2808476968590501</v>
      </c>
      <c r="Y19" s="13">
        <v>3.8593298041666602</v>
      </c>
      <c r="Z19" s="13">
        <v>3.4565672280328399</v>
      </c>
      <c r="AA19" s="13">
        <v>2.75859596606873</v>
      </c>
    </row>
    <row r="20" spans="1:27" x14ac:dyDescent="0.25">
      <c r="A20" s="10" t="s">
        <v>698</v>
      </c>
      <c r="B20" s="10" t="s">
        <v>699</v>
      </c>
      <c r="C20" s="13">
        <v>0</v>
      </c>
      <c r="D20" s="13" t="s">
        <v>141</v>
      </c>
      <c r="E20" s="13" t="s">
        <v>141</v>
      </c>
      <c r="F20" s="13" t="s">
        <v>141</v>
      </c>
      <c r="G20" s="13">
        <v>0</v>
      </c>
      <c r="H20" s="13" t="s">
        <v>141</v>
      </c>
      <c r="I20" s="13" t="s">
        <v>141</v>
      </c>
      <c r="J20" s="13" t="s">
        <v>141</v>
      </c>
      <c r="K20" s="13">
        <v>0</v>
      </c>
      <c r="L20" s="13" t="s">
        <v>141</v>
      </c>
      <c r="M20" s="13" t="s">
        <v>141</v>
      </c>
      <c r="N20" s="13" t="s">
        <v>141</v>
      </c>
      <c r="O20" s="13">
        <v>0</v>
      </c>
      <c r="P20" s="13" t="s">
        <v>141</v>
      </c>
      <c r="Q20" s="13" t="s">
        <v>141</v>
      </c>
      <c r="R20" s="13" t="s">
        <v>141</v>
      </c>
      <c r="S20" s="13">
        <v>0</v>
      </c>
      <c r="T20" s="13" t="s">
        <v>141</v>
      </c>
      <c r="U20" s="13" t="s">
        <v>141</v>
      </c>
      <c r="V20" s="13" t="s">
        <v>141</v>
      </c>
      <c r="W20" s="13">
        <v>0</v>
      </c>
      <c r="X20" s="13" t="s">
        <v>141</v>
      </c>
      <c r="Y20" s="13" t="s">
        <v>141</v>
      </c>
      <c r="Z20" s="13" t="s">
        <v>141</v>
      </c>
      <c r="AA20" s="13">
        <v>0</v>
      </c>
    </row>
    <row r="21" spans="1:27" x14ac:dyDescent="0.25">
      <c r="A21" s="10" t="s">
        <v>700</v>
      </c>
      <c r="B21" s="10" t="s">
        <v>701</v>
      </c>
      <c r="C21" s="13">
        <v>4.6807789169686096</v>
      </c>
      <c r="D21" s="13">
        <v>4.0553148238901802</v>
      </c>
      <c r="E21" s="13">
        <v>2.41554021096219</v>
      </c>
      <c r="F21" s="13">
        <v>2.8932705178032001</v>
      </c>
      <c r="G21" s="13">
        <v>3.3544260989155501</v>
      </c>
      <c r="H21" s="13">
        <v>4.3295736489877301</v>
      </c>
      <c r="I21" s="13">
        <v>2.61823921345841</v>
      </c>
      <c r="J21" s="13">
        <v>17.3787970367217</v>
      </c>
      <c r="K21" s="13">
        <v>16.517667279805099</v>
      </c>
      <c r="L21" s="13">
        <v>17.693775844638299</v>
      </c>
      <c r="M21" s="13">
        <v>16.9297056586698</v>
      </c>
      <c r="N21" s="13">
        <v>3.12569748176504</v>
      </c>
      <c r="O21" s="13">
        <v>2.4175309005232601</v>
      </c>
      <c r="P21" s="13">
        <v>3.35120116381175</v>
      </c>
      <c r="Q21" s="13">
        <v>3.8967492659327601</v>
      </c>
      <c r="R21" s="13">
        <v>3.5504086692473402</v>
      </c>
      <c r="S21" s="13">
        <v>3.7479567071466802</v>
      </c>
      <c r="T21" s="13">
        <v>3.50920122407826</v>
      </c>
      <c r="U21" s="13">
        <v>4.27498739123841</v>
      </c>
      <c r="V21" s="13">
        <v>4.1144828452076796</v>
      </c>
      <c r="W21" s="13">
        <v>3.2998945136662199</v>
      </c>
      <c r="X21" s="13">
        <v>5.2808476968590501</v>
      </c>
      <c r="Y21" s="13">
        <v>3.8593298041666602</v>
      </c>
      <c r="Z21" s="13">
        <v>3.4565672280328399</v>
      </c>
      <c r="AA21" s="13">
        <v>2.75859596606873</v>
      </c>
    </row>
    <row r="22" spans="1:27" x14ac:dyDescent="0.25">
      <c r="A22" s="6" t="s">
        <v>110</v>
      </c>
      <c r="B22" s="6" t="s">
        <v>111</v>
      </c>
      <c r="C22" s="19">
        <v>76.244251658303696</v>
      </c>
      <c r="D22" s="19">
        <v>69.116866492982396</v>
      </c>
      <c r="E22" s="19">
        <v>75.974254264174306</v>
      </c>
      <c r="F22" s="19">
        <v>74.647803646647702</v>
      </c>
      <c r="G22" s="19">
        <v>71.639582587028499</v>
      </c>
      <c r="H22" s="19">
        <v>69.519052264759495</v>
      </c>
      <c r="I22" s="19">
        <v>64.025223101103094</v>
      </c>
      <c r="J22" s="19">
        <v>77.244735331086005</v>
      </c>
      <c r="K22" s="19">
        <v>76.745822866100696</v>
      </c>
      <c r="L22" s="19">
        <v>75.8795356082708</v>
      </c>
      <c r="M22" s="19">
        <v>77.652603885133502</v>
      </c>
      <c r="N22" s="19">
        <v>77.0484112463364</v>
      </c>
      <c r="O22" s="19">
        <v>77.088708490974099</v>
      </c>
      <c r="P22" s="19">
        <v>75.422835582466504</v>
      </c>
      <c r="Q22" s="19">
        <v>74.214069889746497</v>
      </c>
      <c r="R22" s="19">
        <v>76.1146508526259</v>
      </c>
      <c r="S22" s="19">
        <v>75.915805478238397</v>
      </c>
      <c r="T22" s="19">
        <v>74.913412383473798</v>
      </c>
      <c r="U22" s="19">
        <v>74.184398288735295</v>
      </c>
      <c r="V22" s="19">
        <v>77.764918770755301</v>
      </c>
      <c r="W22" s="19">
        <v>77.879646359677096</v>
      </c>
      <c r="X22" s="19">
        <v>78.146060570245794</v>
      </c>
      <c r="Y22" s="19">
        <v>79.130813435839798</v>
      </c>
      <c r="Z22" s="19">
        <v>79.795312243239593</v>
      </c>
      <c r="AA22" s="19">
        <v>77.719297459447404</v>
      </c>
    </row>
    <row r="23" spans="1:27" x14ac:dyDescent="0.25">
      <c r="A23" s="10" t="s">
        <v>702</v>
      </c>
      <c r="B23" s="10" t="s">
        <v>703</v>
      </c>
      <c r="C23" s="13">
        <v>20.3617978641124</v>
      </c>
      <c r="D23" s="13">
        <v>28.2087528345347</v>
      </c>
      <c r="E23" s="13">
        <v>22.0189801911419</v>
      </c>
      <c r="F23" s="13">
        <v>24.389936819873299</v>
      </c>
      <c r="G23" s="13">
        <v>26.987049576349399</v>
      </c>
      <c r="H23" s="13">
        <v>28.561464522219499</v>
      </c>
      <c r="I23" s="13">
        <v>19.8200136499675</v>
      </c>
      <c r="J23" s="13">
        <v>20.860748838245801</v>
      </c>
      <c r="K23" s="13">
        <v>20.7367581619466</v>
      </c>
      <c r="L23" s="13">
        <v>21.558433419787999</v>
      </c>
      <c r="M23" s="13">
        <v>20.196704364157199</v>
      </c>
      <c r="N23" s="13">
        <v>20.758324494364398</v>
      </c>
      <c r="O23" s="13">
        <v>20.136475023769599</v>
      </c>
      <c r="P23" s="13">
        <v>21.352800094363101</v>
      </c>
      <c r="Q23" s="13">
        <v>21.982892832939498</v>
      </c>
      <c r="R23" s="13">
        <v>20.751628948972598</v>
      </c>
      <c r="S23" s="13">
        <v>20.8278406106094</v>
      </c>
      <c r="T23" s="13">
        <v>21.759848346374099</v>
      </c>
      <c r="U23" s="13">
        <v>21.639897295905602</v>
      </c>
      <c r="V23" s="13">
        <v>18.990938697961699</v>
      </c>
      <c r="W23" s="13">
        <v>18.950698194199301</v>
      </c>
      <c r="X23" s="13">
        <v>18.798520860603499</v>
      </c>
      <c r="Y23" s="13">
        <v>17.843573752616798</v>
      </c>
      <c r="Z23" s="13">
        <v>16.727668875366</v>
      </c>
      <c r="AA23" s="13">
        <v>16.366386374662401</v>
      </c>
    </row>
    <row r="24" spans="1:27" x14ac:dyDescent="0.25">
      <c r="A24" s="10" t="s">
        <v>704</v>
      </c>
      <c r="B24" s="10" t="s">
        <v>705</v>
      </c>
      <c r="C24" s="13">
        <v>25.4090990486423</v>
      </c>
      <c r="D24" s="13" t="s">
        <v>141</v>
      </c>
      <c r="E24" s="13" t="s">
        <v>141</v>
      </c>
      <c r="F24" s="13" t="s">
        <v>141</v>
      </c>
      <c r="G24" s="13">
        <v>30.166746411683</v>
      </c>
      <c r="H24" s="13" t="s">
        <v>141</v>
      </c>
      <c r="I24" s="13" t="s">
        <v>141</v>
      </c>
      <c r="J24" s="13" t="s">
        <v>141</v>
      </c>
      <c r="K24" s="13">
        <v>23.799427130890798</v>
      </c>
      <c r="L24" s="13" t="s">
        <v>141</v>
      </c>
      <c r="M24" s="13" t="s">
        <v>141</v>
      </c>
      <c r="N24" s="13" t="s">
        <v>141</v>
      </c>
      <c r="O24" s="13">
        <v>23.990531671252199</v>
      </c>
      <c r="P24" s="13" t="s">
        <v>141</v>
      </c>
      <c r="Q24" s="13" t="s">
        <v>141</v>
      </c>
      <c r="R24" s="13" t="s">
        <v>141</v>
      </c>
      <c r="S24" s="13">
        <v>25.7187724085463</v>
      </c>
      <c r="T24" s="13" t="s">
        <v>141</v>
      </c>
      <c r="U24" s="13" t="s">
        <v>141</v>
      </c>
      <c r="V24" s="13" t="s">
        <v>141</v>
      </c>
      <c r="W24" s="13">
        <v>24.775319331154002</v>
      </c>
      <c r="X24" s="13" t="s">
        <v>141</v>
      </c>
      <c r="Y24" s="13" t="s">
        <v>141</v>
      </c>
      <c r="Z24" s="13" t="s">
        <v>141</v>
      </c>
      <c r="AA24" s="13">
        <v>22.742921374920599</v>
      </c>
    </row>
    <row r="25" spans="1:27" x14ac:dyDescent="0.25">
      <c r="A25" s="10" t="s">
        <v>706</v>
      </c>
      <c r="B25" s="10" t="s">
        <v>707</v>
      </c>
      <c r="C25" s="13">
        <v>5.0473011845298696</v>
      </c>
      <c r="D25" s="13" t="s">
        <v>141</v>
      </c>
      <c r="E25" s="13" t="s">
        <v>141</v>
      </c>
      <c r="F25" s="13" t="s">
        <v>141</v>
      </c>
      <c r="G25" s="13">
        <v>3.1796968353336399</v>
      </c>
      <c r="H25" s="13" t="s">
        <v>141</v>
      </c>
      <c r="I25" s="13" t="s">
        <v>141</v>
      </c>
      <c r="J25" s="13" t="s">
        <v>141</v>
      </c>
      <c r="K25" s="13">
        <v>3.0626689689441999</v>
      </c>
      <c r="L25" s="13" t="s">
        <v>141</v>
      </c>
      <c r="M25" s="13" t="s">
        <v>141</v>
      </c>
      <c r="N25" s="13" t="s">
        <v>141</v>
      </c>
      <c r="O25" s="13">
        <v>3.8540566474826101</v>
      </c>
      <c r="P25" s="13" t="s">
        <v>141</v>
      </c>
      <c r="Q25" s="13" t="s">
        <v>141</v>
      </c>
      <c r="R25" s="13" t="s">
        <v>141</v>
      </c>
      <c r="S25" s="13">
        <v>4.8909317979369797</v>
      </c>
      <c r="T25" s="13" t="s">
        <v>141</v>
      </c>
      <c r="U25" s="13" t="s">
        <v>141</v>
      </c>
      <c r="V25" s="13" t="s">
        <v>141</v>
      </c>
      <c r="W25" s="13">
        <v>5.8246211369546801</v>
      </c>
      <c r="X25" s="13" t="s">
        <v>141</v>
      </c>
      <c r="Y25" s="13" t="s">
        <v>141</v>
      </c>
      <c r="Z25" s="13" t="s">
        <v>141</v>
      </c>
      <c r="AA25" s="13">
        <v>6.3765350002582499</v>
      </c>
    </row>
    <row r="26" spans="1:27" x14ac:dyDescent="0.25">
      <c r="A26" s="10" t="s">
        <v>708</v>
      </c>
      <c r="B26" s="10" t="s">
        <v>709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</row>
    <row r="27" spans="1:27" x14ac:dyDescent="0.25">
      <c r="A27" s="10" t="s">
        <v>710</v>
      </c>
      <c r="B27" s="10" t="s">
        <v>711</v>
      </c>
      <c r="C27" s="13">
        <v>0</v>
      </c>
      <c r="D27" s="13" t="s">
        <v>141</v>
      </c>
      <c r="E27" s="13">
        <v>0</v>
      </c>
      <c r="F27" s="13" t="s">
        <v>141</v>
      </c>
      <c r="G27" s="13" t="s">
        <v>141</v>
      </c>
      <c r="H27" s="13" t="s">
        <v>141</v>
      </c>
      <c r="I27" s="13" t="s">
        <v>141</v>
      </c>
      <c r="J27" s="13" t="s">
        <v>141</v>
      </c>
      <c r="K27" s="13" t="s">
        <v>141</v>
      </c>
      <c r="L27" s="13" t="s">
        <v>141</v>
      </c>
      <c r="M27" s="13" t="s">
        <v>141</v>
      </c>
      <c r="N27" s="13" t="s">
        <v>141</v>
      </c>
      <c r="O27" s="13" t="s">
        <v>141</v>
      </c>
      <c r="P27" s="13" t="s">
        <v>141</v>
      </c>
      <c r="Q27" s="13" t="s">
        <v>141</v>
      </c>
      <c r="R27" s="13" t="s">
        <v>141</v>
      </c>
      <c r="S27" s="13" t="s">
        <v>141</v>
      </c>
      <c r="T27" s="13" t="s">
        <v>141</v>
      </c>
      <c r="U27" s="13" t="s">
        <v>141</v>
      </c>
      <c r="V27" s="13" t="s">
        <v>141</v>
      </c>
      <c r="W27" s="13" t="s">
        <v>141</v>
      </c>
      <c r="X27" s="13" t="s">
        <v>141</v>
      </c>
      <c r="Y27" s="13" t="s">
        <v>141</v>
      </c>
      <c r="Z27" s="13" t="s">
        <v>141</v>
      </c>
      <c r="AA27" s="13" t="s">
        <v>141</v>
      </c>
    </row>
    <row r="28" spans="1:27" x14ac:dyDescent="0.25">
      <c r="A28" s="10" t="s">
        <v>712</v>
      </c>
      <c r="B28" s="10" t="s">
        <v>713</v>
      </c>
      <c r="C28" s="13">
        <v>3.39395047758385</v>
      </c>
      <c r="D28" s="13">
        <v>2.6743806724829602</v>
      </c>
      <c r="E28" s="13">
        <v>2.00676554468378</v>
      </c>
      <c r="F28" s="13">
        <v>0.96225953347901505</v>
      </c>
      <c r="G28" s="13">
        <v>1.3733678366220801</v>
      </c>
      <c r="H28" s="13">
        <v>1.9194832130210899</v>
      </c>
      <c r="I28" s="13">
        <v>16.154763248929399</v>
      </c>
      <c r="J28" s="13">
        <v>1.8945158306682599</v>
      </c>
      <c r="K28" s="13">
        <v>2.5174189719526598</v>
      </c>
      <c r="L28" s="13">
        <v>2.56203097194118</v>
      </c>
      <c r="M28" s="13">
        <v>2.1506917507093002</v>
      </c>
      <c r="N28" s="13">
        <v>2.1932642592992</v>
      </c>
      <c r="O28" s="13">
        <v>2.77481648525624</v>
      </c>
      <c r="P28" s="13">
        <v>3.22436432317037</v>
      </c>
      <c r="Q28" s="13">
        <v>3.8030372773139201</v>
      </c>
      <c r="R28" s="13">
        <v>3.1337201984015302</v>
      </c>
      <c r="S28" s="13">
        <v>3.2563539111522601</v>
      </c>
      <c r="T28" s="13">
        <v>3.3267392701521801</v>
      </c>
      <c r="U28" s="13">
        <v>4.1757044153590597</v>
      </c>
      <c r="V28" s="13">
        <v>3.2441425312829399</v>
      </c>
      <c r="W28" s="13">
        <v>3.1696554461236399</v>
      </c>
      <c r="X28" s="13">
        <v>3.0554185691507101</v>
      </c>
      <c r="Y28" s="13">
        <v>3.0256128115433998</v>
      </c>
      <c r="Z28" s="13">
        <v>3.4770188813944398</v>
      </c>
      <c r="AA28" s="13">
        <v>5.9143161658902903</v>
      </c>
    </row>
    <row r="29" spans="1:27" x14ac:dyDescent="0.25">
      <c r="A29" s="10" t="s">
        <v>714</v>
      </c>
      <c r="B29" s="10" t="s">
        <v>715</v>
      </c>
      <c r="C29" s="13">
        <v>0</v>
      </c>
      <c r="D29" s="13" t="s">
        <v>141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</row>
    <row r="30" spans="1:27" x14ac:dyDescent="0.25">
      <c r="A30" s="11" t="s">
        <v>716</v>
      </c>
      <c r="B30" s="11" t="s">
        <v>717</v>
      </c>
      <c r="C30" s="25">
        <v>0</v>
      </c>
      <c r="D30" s="25" t="s">
        <v>141</v>
      </c>
      <c r="E30" s="25" t="s">
        <v>141</v>
      </c>
      <c r="F30" s="25" t="s">
        <v>141</v>
      </c>
      <c r="G30" s="25">
        <v>0</v>
      </c>
      <c r="H30" s="25" t="s">
        <v>141</v>
      </c>
      <c r="I30" s="25" t="s">
        <v>141</v>
      </c>
      <c r="J30" s="25" t="s">
        <v>141</v>
      </c>
      <c r="K30" s="25">
        <v>0</v>
      </c>
      <c r="L30" s="25" t="s">
        <v>141</v>
      </c>
      <c r="M30" s="25" t="s">
        <v>141</v>
      </c>
      <c r="N30" s="25" t="s">
        <v>141</v>
      </c>
      <c r="O30" s="25">
        <v>0</v>
      </c>
      <c r="P30" s="25" t="s">
        <v>141</v>
      </c>
      <c r="Q30" s="25" t="s">
        <v>141</v>
      </c>
      <c r="R30" s="25" t="s">
        <v>141</v>
      </c>
      <c r="S30" s="25">
        <v>0</v>
      </c>
      <c r="T30" s="25" t="s">
        <v>141</v>
      </c>
      <c r="U30" s="25" t="s">
        <v>141</v>
      </c>
      <c r="V30" s="25" t="s">
        <v>141</v>
      </c>
      <c r="W30" s="25">
        <v>0</v>
      </c>
      <c r="X30" s="25" t="s">
        <v>141</v>
      </c>
      <c r="Y30" s="25" t="s">
        <v>141</v>
      </c>
      <c r="Z30" s="25" t="s">
        <v>141</v>
      </c>
      <c r="AA30" s="25">
        <v>0</v>
      </c>
    </row>
    <row r="31" spans="1:27" x14ac:dyDescent="0.25">
      <c r="A31" s="11" t="s">
        <v>718</v>
      </c>
      <c r="B31" s="11" t="s">
        <v>719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</row>
    <row r="32" spans="1:27" x14ac:dyDescent="0.25">
      <c r="A32" s="10" t="s">
        <v>720</v>
      </c>
      <c r="B32" s="10" t="s">
        <v>721</v>
      </c>
      <c r="C32" s="13" t="s">
        <v>141</v>
      </c>
      <c r="D32" s="13" t="s">
        <v>141</v>
      </c>
      <c r="E32" s="13" t="s">
        <v>141</v>
      </c>
      <c r="F32" s="13" t="s">
        <v>141</v>
      </c>
      <c r="G32" s="13" t="s">
        <v>141</v>
      </c>
      <c r="H32" s="13" t="s">
        <v>141</v>
      </c>
      <c r="I32" s="13" t="s">
        <v>141</v>
      </c>
      <c r="J32" s="13" t="s">
        <v>141</v>
      </c>
      <c r="K32" s="13" t="s">
        <v>141</v>
      </c>
      <c r="L32" s="13" t="s">
        <v>141</v>
      </c>
      <c r="M32" s="13" t="s">
        <v>141</v>
      </c>
      <c r="N32" s="13" t="s">
        <v>141</v>
      </c>
      <c r="O32" s="13" t="s">
        <v>141</v>
      </c>
      <c r="P32" s="13" t="s">
        <v>141</v>
      </c>
      <c r="Q32" s="13" t="s">
        <v>141</v>
      </c>
      <c r="R32" s="13" t="s">
        <v>141</v>
      </c>
      <c r="S32" s="13" t="s">
        <v>141</v>
      </c>
      <c r="T32" s="13" t="s">
        <v>141</v>
      </c>
      <c r="U32" s="13" t="s">
        <v>141</v>
      </c>
      <c r="V32" s="13" t="s">
        <v>141</v>
      </c>
      <c r="W32" s="13" t="s">
        <v>141</v>
      </c>
      <c r="X32" s="13" t="s">
        <v>141</v>
      </c>
      <c r="Y32" s="13" t="s">
        <v>141</v>
      </c>
      <c r="Z32" s="13" t="s">
        <v>141</v>
      </c>
      <c r="AA32" s="13">
        <v>2.7562138810462198</v>
      </c>
    </row>
    <row r="33" spans="1:27" x14ac:dyDescent="0.25">
      <c r="A33" s="10" t="s">
        <v>698</v>
      </c>
      <c r="B33" s="10" t="s">
        <v>722</v>
      </c>
      <c r="C33" s="13">
        <v>0</v>
      </c>
      <c r="D33" s="13" t="s">
        <v>141</v>
      </c>
      <c r="E33" s="13" t="s">
        <v>141</v>
      </c>
      <c r="F33" s="13" t="s">
        <v>141</v>
      </c>
      <c r="G33" s="13">
        <v>0</v>
      </c>
      <c r="H33" s="13" t="s">
        <v>141</v>
      </c>
      <c r="I33" s="13" t="s">
        <v>141</v>
      </c>
      <c r="J33" s="13" t="s">
        <v>141</v>
      </c>
      <c r="K33" s="13">
        <v>0</v>
      </c>
      <c r="L33" s="13" t="s">
        <v>141</v>
      </c>
      <c r="M33" s="13" t="s">
        <v>141</v>
      </c>
      <c r="N33" s="13" t="s">
        <v>141</v>
      </c>
      <c r="O33" s="13">
        <v>0</v>
      </c>
      <c r="P33" s="13" t="s">
        <v>141</v>
      </c>
      <c r="Q33" s="13" t="s">
        <v>141</v>
      </c>
      <c r="R33" s="13" t="s">
        <v>141</v>
      </c>
      <c r="S33" s="13">
        <v>0</v>
      </c>
      <c r="T33" s="13" t="s">
        <v>141</v>
      </c>
      <c r="U33" s="13" t="s">
        <v>141</v>
      </c>
      <c r="V33" s="13" t="s">
        <v>141</v>
      </c>
      <c r="W33" s="13">
        <v>0</v>
      </c>
      <c r="X33" s="13" t="s">
        <v>141</v>
      </c>
      <c r="Y33" s="13" t="s">
        <v>141</v>
      </c>
      <c r="Z33" s="13" t="s">
        <v>141</v>
      </c>
      <c r="AA33" s="13">
        <v>0</v>
      </c>
    </row>
    <row r="34" spans="1:27" x14ac:dyDescent="0.25">
      <c r="A34" s="10" t="s">
        <v>723</v>
      </c>
      <c r="B34" s="10" t="s">
        <v>724</v>
      </c>
      <c r="C34" s="13">
        <v>3.39395047758385</v>
      </c>
      <c r="D34" s="13">
        <v>2.6743806724829602</v>
      </c>
      <c r="E34" s="13">
        <v>2.00676554468378</v>
      </c>
      <c r="F34" s="13">
        <v>0.96225953347901505</v>
      </c>
      <c r="G34" s="13">
        <v>1.3733678366220801</v>
      </c>
      <c r="H34" s="13">
        <v>1.9194832130210899</v>
      </c>
      <c r="I34" s="13">
        <v>16.154763248929399</v>
      </c>
      <c r="J34" s="13">
        <v>1.8945158306682599</v>
      </c>
      <c r="K34" s="13">
        <v>2.5174189719526598</v>
      </c>
      <c r="L34" s="13">
        <v>2.56203097194118</v>
      </c>
      <c r="M34" s="13">
        <v>2.1506917507093002</v>
      </c>
      <c r="N34" s="13">
        <v>2.1932642592992</v>
      </c>
      <c r="O34" s="13">
        <v>2.77481648525624</v>
      </c>
      <c r="P34" s="13">
        <v>3.22436432317037</v>
      </c>
      <c r="Q34" s="13">
        <v>3.8030372773139201</v>
      </c>
      <c r="R34" s="13">
        <v>3.1337201984015302</v>
      </c>
      <c r="S34" s="13">
        <v>3.2563539111522601</v>
      </c>
      <c r="T34" s="13">
        <v>3.3267392701521801</v>
      </c>
      <c r="U34" s="13">
        <v>4.1757044153590597</v>
      </c>
      <c r="V34" s="13">
        <v>3.2441425312829399</v>
      </c>
      <c r="W34" s="13">
        <v>3.1696554461236399</v>
      </c>
      <c r="X34" s="13">
        <v>3.0554185691507101</v>
      </c>
      <c r="Y34" s="13">
        <v>3.0256128115433998</v>
      </c>
      <c r="Z34" s="13">
        <v>3.4770188813944398</v>
      </c>
      <c r="AA34" s="13">
        <v>3.1581022848440701</v>
      </c>
    </row>
    <row r="35" spans="1:27" x14ac:dyDescent="0.25">
      <c r="A35" s="6" t="s">
        <v>725</v>
      </c>
      <c r="B35" s="6" t="s">
        <v>726</v>
      </c>
      <c r="C35" s="19">
        <v>23.7557483416963</v>
      </c>
      <c r="D35" s="19">
        <v>30.8831335070176</v>
      </c>
      <c r="E35" s="19">
        <v>24.025745735825701</v>
      </c>
      <c r="F35" s="19">
        <v>25.352196353352301</v>
      </c>
      <c r="G35" s="19">
        <v>28.360417412971501</v>
      </c>
      <c r="H35" s="19">
        <v>30.480947735240498</v>
      </c>
      <c r="I35" s="19">
        <v>35.974776898896899</v>
      </c>
      <c r="J35" s="19">
        <v>22.755264668913998</v>
      </c>
      <c r="K35" s="19">
        <v>23.254177133899301</v>
      </c>
      <c r="L35" s="19">
        <v>24.1204643917292</v>
      </c>
      <c r="M35" s="19">
        <v>22.347396114866498</v>
      </c>
      <c r="N35" s="19">
        <v>22.9515887536636</v>
      </c>
      <c r="O35" s="19">
        <v>22.911291509025901</v>
      </c>
      <c r="P35" s="19">
        <v>24.577164417533499</v>
      </c>
      <c r="Q35" s="19">
        <v>25.785930110253499</v>
      </c>
      <c r="R35" s="19">
        <v>23.8853491473741</v>
      </c>
      <c r="S35" s="19">
        <v>24.084194521761599</v>
      </c>
      <c r="T35" s="19">
        <v>25.086587616526199</v>
      </c>
      <c r="U35" s="19">
        <v>25.815601711264701</v>
      </c>
      <c r="V35" s="19">
        <v>22.235081229244699</v>
      </c>
      <c r="W35" s="19">
        <v>22.1203536403229</v>
      </c>
      <c r="X35" s="19">
        <v>21.853939429754199</v>
      </c>
      <c r="Y35" s="19">
        <v>20.869186564160199</v>
      </c>
      <c r="Z35" s="19">
        <v>20.2046877567604</v>
      </c>
      <c r="AA35" s="19">
        <v>22.2807025405526</v>
      </c>
    </row>
    <row r="36" spans="1:27" x14ac:dyDescent="0.25">
      <c r="A36" s="6" t="s">
        <v>112</v>
      </c>
      <c r="B36" s="6" t="s">
        <v>113</v>
      </c>
      <c r="C36" s="19">
        <v>100</v>
      </c>
      <c r="D36" s="19">
        <v>100</v>
      </c>
      <c r="E36" s="19">
        <v>100</v>
      </c>
      <c r="F36" s="19">
        <v>100</v>
      </c>
      <c r="G36" s="19">
        <v>100</v>
      </c>
      <c r="H36" s="19">
        <v>100</v>
      </c>
      <c r="I36" s="19">
        <v>100</v>
      </c>
      <c r="J36" s="19">
        <v>100</v>
      </c>
      <c r="K36" s="19">
        <v>100</v>
      </c>
      <c r="L36" s="19">
        <v>100</v>
      </c>
      <c r="M36" s="19">
        <v>100</v>
      </c>
      <c r="N36" s="19">
        <v>100</v>
      </c>
      <c r="O36" s="19">
        <v>100</v>
      </c>
      <c r="P36" s="19">
        <v>100</v>
      </c>
      <c r="Q36" s="19">
        <v>100</v>
      </c>
      <c r="R36" s="19">
        <v>100</v>
      </c>
      <c r="S36" s="19">
        <v>100</v>
      </c>
      <c r="T36" s="19">
        <v>100</v>
      </c>
      <c r="U36" s="19">
        <v>100</v>
      </c>
      <c r="V36" s="19">
        <v>100</v>
      </c>
      <c r="W36" s="19">
        <v>100</v>
      </c>
      <c r="X36" s="19">
        <v>100</v>
      </c>
      <c r="Y36" s="19">
        <v>100</v>
      </c>
      <c r="Z36" s="19">
        <v>100</v>
      </c>
      <c r="AA36" s="19">
        <v>100</v>
      </c>
    </row>
    <row r="37" spans="1:27" x14ac:dyDescent="0.25">
      <c r="A37" s="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5">
      <c r="A38" s="6" t="s">
        <v>727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5">
      <c r="A39" s="10" t="s">
        <v>728</v>
      </c>
      <c r="B39" s="10" t="s">
        <v>729</v>
      </c>
      <c r="C39" s="13">
        <v>10.9491224928594</v>
      </c>
      <c r="D39" s="13">
        <v>6.4321779702969097</v>
      </c>
      <c r="E39" s="13">
        <v>7.73134109676334</v>
      </c>
      <c r="F39" s="13">
        <v>8.5512322446060001</v>
      </c>
      <c r="G39" s="13">
        <v>10.316124275301499</v>
      </c>
      <c r="H39" s="13">
        <v>9.8132411309935303</v>
      </c>
      <c r="I39" s="13">
        <v>7.0327560695087401</v>
      </c>
      <c r="J39" s="13">
        <v>9.7703159965445998</v>
      </c>
      <c r="K39" s="13">
        <v>11.9714616204406</v>
      </c>
      <c r="L39" s="13">
        <v>10.011707173815701</v>
      </c>
      <c r="M39" s="13">
        <v>11.234477175631699</v>
      </c>
      <c r="N39" s="13">
        <v>12.344048477196599</v>
      </c>
      <c r="O39" s="13">
        <v>12.861951679025401</v>
      </c>
      <c r="P39" s="13">
        <v>11.965825407851099</v>
      </c>
      <c r="Q39" s="13">
        <v>14.2222730667061</v>
      </c>
      <c r="R39" s="13">
        <v>15.5901342335984</v>
      </c>
      <c r="S39" s="13">
        <v>18.146893757794999</v>
      </c>
      <c r="T39" s="13">
        <v>16.8291891955636</v>
      </c>
      <c r="U39" s="13">
        <v>19.347424579619801</v>
      </c>
      <c r="V39" s="13">
        <v>20.498021267113199</v>
      </c>
      <c r="W39" s="13">
        <v>20.066738383448001</v>
      </c>
      <c r="X39" s="13">
        <v>20.317326755196799</v>
      </c>
      <c r="Y39" s="13">
        <v>22.012557754647901</v>
      </c>
      <c r="Z39" s="13">
        <v>24.1846270629119</v>
      </c>
      <c r="AA39" s="13">
        <v>23.016295112504</v>
      </c>
    </row>
    <row r="40" spans="1:27" x14ac:dyDescent="0.25">
      <c r="A40" s="10" t="s">
        <v>730</v>
      </c>
      <c r="B40" s="10" t="s">
        <v>731</v>
      </c>
      <c r="C40" s="13">
        <v>3.7914607677663601</v>
      </c>
      <c r="D40" s="13">
        <v>1.1256708667680599</v>
      </c>
      <c r="E40" s="13">
        <v>2.6216577682832201</v>
      </c>
      <c r="F40" s="13">
        <v>1.5498764175003199</v>
      </c>
      <c r="G40" s="13">
        <v>2.0827227203154401</v>
      </c>
      <c r="H40" s="13">
        <v>1.7759069039455599</v>
      </c>
      <c r="I40" s="13">
        <v>0.77421928320185696</v>
      </c>
      <c r="J40" s="13">
        <v>0.84274614540092296</v>
      </c>
      <c r="K40" s="13">
        <v>1.5252441914013299</v>
      </c>
      <c r="L40" s="13">
        <v>1.39407833884081</v>
      </c>
      <c r="M40" s="13">
        <v>1.51246826762986</v>
      </c>
      <c r="N40" s="13">
        <v>1.1533522467588599</v>
      </c>
      <c r="O40" s="13">
        <v>2.0153684677424701</v>
      </c>
      <c r="P40" s="13">
        <v>1.59939654205784</v>
      </c>
      <c r="Q40" s="13">
        <v>1.5739170200007999</v>
      </c>
      <c r="R40" s="13">
        <v>1.1476399863659099</v>
      </c>
      <c r="S40" s="13">
        <v>2.7660482201604499</v>
      </c>
      <c r="T40" s="13">
        <v>1.83484967304846</v>
      </c>
      <c r="U40" s="13">
        <v>1.7559978321159599</v>
      </c>
      <c r="V40" s="13">
        <v>1.9233809828570601</v>
      </c>
      <c r="W40" s="13">
        <v>1.44962766457435</v>
      </c>
      <c r="X40" s="13">
        <v>2.04341298184859</v>
      </c>
      <c r="Y40" s="13">
        <v>1.8450561821852101</v>
      </c>
      <c r="Z40" s="13">
        <v>1.68381315845109</v>
      </c>
      <c r="AA40" s="13">
        <v>2.0852677947057798</v>
      </c>
    </row>
    <row r="41" spans="1:27" x14ac:dyDescent="0.25">
      <c r="A41" s="10" t="s">
        <v>732</v>
      </c>
      <c r="B41" s="10" t="s">
        <v>733</v>
      </c>
      <c r="C41" s="13">
        <v>0</v>
      </c>
      <c r="D41" s="13" t="s">
        <v>141</v>
      </c>
      <c r="E41" s="13" t="s">
        <v>141</v>
      </c>
      <c r="F41" s="13" t="s">
        <v>141</v>
      </c>
      <c r="G41" s="13">
        <v>0</v>
      </c>
      <c r="H41" s="13" t="s">
        <v>141</v>
      </c>
      <c r="I41" s="13" t="s">
        <v>141</v>
      </c>
      <c r="J41" s="13" t="s">
        <v>141</v>
      </c>
      <c r="K41" s="13">
        <v>0</v>
      </c>
      <c r="L41" s="13" t="s">
        <v>141</v>
      </c>
      <c r="M41" s="13" t="s">
        <v>141</v>
      </c>
      <c r="N41" s="13" t="s">
        <v>141</v>
      </c>
      <c r="O41" s="13">
        <v>0</v>
      </c>
      <c r="P41" s="13" t="s">
        <v>141</v>
      </c>
      <c r="Q41" s="13" t="s">
        <v>141</v>
      </c>
      <c r="R41" s="13" t="s">
        <v>141</v>
      </c>
      <c r="S41" s="13">
        <v>0</v>
      </c>
      <c r="T41" s="13" t="s">
        <v>141</v>
      </c>
      <c r="U41" s="13" t="s">
        <v>141</v>
      </c>
      <c r="V41" s="13" t="s">
        <v>141</v>
      </c>
      <c r="W41" s="13">
        <v>0</v>
      </c>
      <c r="X41" s="13" t="s">
        <v>141</v>
      </c>
      <c r="Y41" s="13" t="s">
        <v>141</v>
      </c>
      <c r="Z41" s="13" t="s">
        <v>141</v>
      </c>
      <c r="AA41" s="13">
        <v>0</v>
      </c>
    </row>
    <row r="42" spans="1:27" x14ac:dyDescent="0.25">
      <c r="A42" s="10" t="s">
        <v>734</v>
      </c>
      <c r="B42" s="10" t="s">
        <v>735</v>
      </c>
      <c r="C42" s="13">
        <v>0</v>
      </c>
      <c r="D42" s="13" t="s">
        <v>141</v>
      </c>
      <c r="E42" s="13" t="s">
        <v>141</v>
      </c>
      <c r="F42" s="13" t="s">
        <v>141</v>
      </c>
      <c r="G42" s="13">
        <v>0</v>
      </c>
      <c r="H42" s="13" t="s">
        <v>141</v>
      </c>
      <c r="I42" s="13" t="s">
        <v>141</v>
      </c>
      <c r="J42" s="13" t="s">
        <v>141</v>
      </c>
      <c r="K42" s="13">
        <v>0</v>
      </c>
      <c r="L42" s="13" t="s">
        <v>141</v>
      </c>
      <c r="M42" s="13" t="s">
        <v>141</v>
      </c>
      <c r="N42" s="13" t="s">
        <v>141</v>
      </c>
      <c r="O42" s="13">
        <v>0</v>
      </c>
      <c r="P42" s="13" t="s">
        <v>141</v>
      </c>
      <c r="Q42" s="13" t="s">
        <v>141</v>
      </c>
      <c r="R42" s="13" t="s">
        <v>141</v>
      </c>
      <c r="S42" s="13">
        <v>0</v>
      </c>
      <c r="T42" s="13" t="s">
        <v>141</v>
      </c>
      <c r="U42" s="13" t="s">
        <v>141</v>
      </c>
      <c r="V42" s="13" t="s">
        <v>141</v>
      </c>
      <c r="W42" s="13">
        <v>0</v>
      </c>
      <c r="X42" s="13" t="s">
        <v>141</v>
      </c>
      <c r="Y42" s="13" t="s">
        <v>141</v>
      </c>
      <c r="Z42" s="13" t="s">
        <v>141</v>
      </c>
      <c r="AA42" s="13">
        <v>0</v>
      </c>
    </row>
    <row r="43" spans="1:27" x14ac:dyDescent="0.25">
      <c r="A43" s="10" t="s">
        <v>736</v>
      </c>
      <c r="B43" s="10" t="s">
        <v>737</v>
      </c>
      <c r="C43" s="13">
        <v>7.1576617250930603</v>
      </c>
      <c r="D43" s="13">
        <v>5.3065071035288502</v>
      </c>
      <c r="E43" s="13">
        <v>5.10968332848012</v>
      </c>
      <c r="F43" s="13">
        <v>7.0013558271056802</v>
      </c>
      <c r="G43" s="13">
        <v>8.2334015549860702</v>
      </c>
      <c r="H43" s="13">
        <v>8.0373342270479693</v>
      </c>
      <c r="I43" s="13">
        <v>6.2585367863068804</v>
      </c>
      <c r="J43" s="13">
        <v>8.9275698511436694</v>
      </c>
      <c r="K43" s="13">
        <v>10.446217429039301</v>
      </c>
      <c r="L43" s="13">
        <v>8.6176288349749299</v>
      </c>
      <c r="M43" s="13">
        <v>9.7220089080018397</v>
      </c>
      <c r="N43" s="13">
        <v>11.190696230437799</v>
      </c>
      <c r="O43" s="13">
        <v>10.846583211282899</v>
      </c>
      <c r="P43" s="13">
        <v>10.3664288657932</v>
      </c>
      <c r="Q43" s="13">
        <v>12.648356046705301</v>
      </c>
      <c r="R43" s="13">
        <v>14.442494247232499</v>
      </c>
      <c r="S43" s="13">
        <v>15.380845537634499</v>
      </c>
      <c r="T43" s="13">
        <v>14.9943395225151</v>
      </c>
      <c r="U43" s="13">
        <v>17.5914267475038</v>
      </c>
      <c r="V43" s="13">
        <v>18.574640284256098</v>
      </c>
      <c r="W43" s="13">
        <v>18.6171107188737</v>
      </c>
      <c r="X43" s="13">
        <v>18.273913773348202</v>
      </c>
      <c r="Y43" s="13">
        <v>20.167501572462701</v>
      </c>
      <c r="Z43" s="13">
        <v>22.500813904460799</v>
      </c>
      <c r="AA43" s="13">
        <v>20.9310273177982</v>
      </c>
    </row>
    <row r="44" spans="1:27" x14ac:dyDescent="0.25">
      <c r="A44" s="10" t="s">
        <v>738</v>
      </c>
      <c r="B44" s="10" t="s">
        <v>739</v>
      </c>
      <c r="C44" s="13">
        <v>0</v>
      </c>
      <c r="D44" s="13">
        <v>0.84294977306344199</v>
      </c>
      <c r="E44" s="13">
        <v>1.08035934179327</v>
      </c>
      <c r="F44" s="13">
        <v>1.10815062192568</v>
      </c>
      <c r="G44" s="13">
        <v>1.1560104779106299</v>
      </c>
      <c r="H44" s="13">
        <v>1.27402589198921</v>
      </c>
      <c r="I44" s="13">
        <v>0.99120812881349296</v>
      </c>
      <c r="J44" s="13">
        <v>0.97336696013011303</v>
      </c>
      <c r="K44" s="13">
        <v>1.0822230655688301</v>
      </c>
      <c r="L44" s="13">
        <v>1.19550795955726</v>
      </c>
      <c r="M44" s="13">
        <v>1.12160696227221</v>
      </c>
      <c r="N44" s="13">
        <v>1.16959502210774</v>
      </c>
      <c r="O44" s="13">
        <v>1.11294583158584</v>
      </c>
      <c r="P44" s="13">
        <v>1.2025472216033299</v>
      </c>
      <c r="Q44" s="13">
        <v>1.23816326904409</v>
      </c>
      <c r="R44" s="13">
        <v>1.1761810675608999</v>
      </c>
      <c r="S44" s="13">
        <v>1.1833827314155201</v>
      </c>
      <c r="T44" s="13">
        <v>1.2693325943265501</v>
      </c>
      <c r="U44" s="13">
        <v>1.2365991495405</v>
      </c>
      <c r="V44" s="13">
        <v>1.08140689171579</v>
      </c>
      <c r="W44" s="13">
        <v>1.0838459690643001</v>
      </c>
      <c r="X44" s="13">
        <v>1.08963896426773</v>
      </c>
      <c r="Y44" s="13">
        <v>1.0388978146134999</v>
      </c>
      <c r="Z44" s="13">
        <v>1.0022261386874201</v>
      </c>
      <c r="AA44" s="13">
        <v>0.98788131933547896</v>
      </c>
    </row>
    <row r="45" spans="1:27" x14ac:dyDescent="0.25">
      <c r="A45" s="10" t="s">
        <v>740</v>
      </c>
      <c r="B45" s="10" t="s">
        <v>741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</row>
    <row r="46" spans="1:27" x14ac:dyDescent="0.25">
      <c r="A46" s="10" t="s">
        <v>742</v>
      </c>
      <c r="B46" s="10" t="s">
        <v>743</v>
      </c>
      <c r="C46" s="13">
        <v>0</v>
      </c>
      <c r="D46" s="13">
        <v>0.84294977306344199</v>
      </c>
      <c r="E46" s="13">
        <v>1.08035934179327</v>
      </c>
      <c r="F46" s="13">
        <v>1.10815062192568</v>
      </c>
      <c r="G46" s="13">
        <v>1.1560104779106299</v>
      </c>
      <c r="H46" s="13">
        <v>1.27402589198921</v>
      </c>
      <c r="I46" s="13">
        <v>0.99120812881349296</v>
      </c>
      <c r="J46" s="13">
        <v>0.97336696013011303</v>
      </c>
      <c r="K46" s="13">
        <v>1.0822230655688301</v>
      </c>
      <c r="L46" s="13">
        <v>1.19550795955726</v>
      </c>
      <c r="M46" s="13">
        <v>1.12160696227221</v>
      </c>
      <c r="N46" s="13">
        <v>1.16959502210774</v>
      </c>
      <c r="O46" s="13">
        <v>1.11294583158584</v>
      </c>
      <c r="P46" s="13">
        <v>1.2025472216033299</v>
      </c>
      <c r="Q46" s="13">
        <v>1.23816326904409</v>
      </c>
      <c r="R46" s="13">
        <v>1.1761810675608999</v>
      </c>
      <c r="S46" s="13">
        <v>1.1833827314155201</v>
      </c>
      <c r="T46" s="13">
        <v>1.2693325943265501</v>
      </c>
      <c r="U46" s="13">
        <v>1.2365991495405</v>
      </c>
      <c r="V46" s="13">
        <v>1.08140689171579</v>
      </c>
      <c r="W46" s="13">
        <v>1.0838459690643001</v>
      </c>
      <c r="X46" s="13">
        <v>1.08963896426773</v>
      </c>
      <c r="Y46" s="13">
        <v>1.0388978146134999</v>
      </c>
      <c r="Z46" s="13">
        <v>1.0022261386874201</v>
      </c>
      <c r="AA46" s="13">
        <v>0.98788131933547896</v>
      </c>
    </row>
    <row r="47" spans="1:27" x14ac:dyDescent="0.25">
      <c r="A47" s="11" t="s">
        <v>744</v>
      </c>
      <c r="B47" s="11" t="s">
        <v>745</v>
      </c>
      <c r="C47" s="25">
        <v>0</v>
      </c>
      <c r="D47" s="25" t="s">
        <v>141</v>
      </c>
      <c r="E47" s="25" t="s">
        <v>141</v>
      </c>
      <c r="F47" s="25" t="s">
        <v>141</v>
      </c>
      <c r="G47" s="25" t="s">
        <v>141</v>
      </c>
      <c r="H47" s="25" t="s">
        <v>141</v>
      </c>
      <c r="I47" s="25" t="s">
        <v>141</v>
      </c>
      <c r="J47" s="25" t="s">
        <v>141</v>
      </c>
      <c r="K47" s="25" t="s">
        <v>141</v>
      </c>
      <c r="L47" s="25" t="s">
        <v>141</v>
      </c>
      <c r="M47" s="25" t="s">
        <v>141</v>
      </c>
      <c r="N47" s="25" t="s">
        <v>141</v>
      </c>
      <c r="O47" s="25" t="s">
        <v>141</v>
      </c>
      <c r="P47" s="25" t="s">
        <v>141</v>
      </c>
      <c r="Q47" s="25" t="s">
        <v>141</v>
      </c>
      <c r="R47" s="25" t="s">
        <v>141</v>
      </c>
      <c r="S47" s="25" t="s">
        <v>141</v>
      </c>
      <c r="T47" s="25" t="s">
        <v>141</v>
      </c>
      <c r="U47" s="25" t="s">
        <v>141</v>
      </c>
      <c r="V47" s="25" t="s">
        <v>141</v>
      </c>
      <c r="W47" s="25" t="s">
        <v>141</v>
      </c>
      <c r="X47" s="25" t="s">
        <v>141</v>
      </c>
      <c r="Y47" s="25" t="s">
        <v>141</v>
      </c>
      <c r="Z47" s="25" t="s">
        <v>141</v>
      </c>
      <c r="AA47" s="25" t="s">
        <v>141</v>
      </c>
    </row>
    <row r="48" spans="1:27" x14ac:dyDescent="0.25">
      <c r="A48" s="11" t="s">
        <v>746</v>
      </c>
      <c r="B48" s="11" t="s">
        <v>747</v>
      </c>
      <c r="C48" s="25" t="s">
        <v>141</v>
      </c>
      <c r="D48" s="25">
        <v>0.84294977306344199</v>
      </c>
      <c r="E48" s="25">
        <v>1.08035934179327</v>
      </c>
      <c r="F48" s="25">
        <v>1.10815062192568</v>
      </c>
      <c r="G48" s="25">
        <v>1.1560104779106299</v>
      </c>
      <c r="H48" s="25">
        <v>1.27402589198921</v>
      </c>
      <c r="I48" s="25">
        <v>0.99120812881349296</v>
      </c>
      <c r="J48" s="25">
        <v>0.97336696013011303</v>
      </c>
      <c r="K48" s="25">
        <v>1.0822230655688301</v>
      </c>
      <c r="L48" s="25">
        <v>1.19550795955726</v>
      </c>
      <c r="M48" s="25">
        <v>1.12160696227221</v>
      </c>
      <c r="N48" s="25">
        <v>1.16959502210774</v>
      </c>
      <c r="O48" s="25">
        <v>1.11294583158584</v>
      </c>
      <c r="P48" s="25">
        <v>1.2025472216033299</v>
      </c>
      <c r="Q48" s="25">
        <v>1.23816326904409</v>
      </c>
      <c r="R48" s="25">
        <v>1.1761810675608999</v>
      </c>
      <c r="S48" s="25">
        <v>1.1833827314155201</v>
      </c>
      <c r="T48" s="25">
        <v>1.2693325943265501</v>
      </c>
      <c r="U48" s="25">
        <v>1.2365991495405</v>
      </c>
      <c r="V48" s="25">
        <v>1.08140689171579</v>
      </c>
      <c r="W48" s="25">
        <v>1.0838459690643001</v>
      </c>
      <c r="X48" s="25">
        <v>1.08963896426773</v>
      </c>
      <c r="Y48" s="25">
        <v>1.0388978146134999</v>
      </c>
      <c r="Z48" s="25">
        <v>1.0022261386874201</v>
      </c>
      <c r="AA48" s="25">
        <v>0.98788131933547896</v>
      </c>
    </row>
    <row r="49" spans="1:27" x14ac:dyDescent="0.25">
      <c r="A49" s="10" t="s">
        <v>748</v>
      </c>
      <c r="B49" s="10" t="s">
        <v>749</v>
      </c>
      <c r="C49" s="13">
        <v>0.44875482759102397</v>
      </c>
      <c r="D49" s="13">
        <v>0.13118179303961899</v>
      </c>
      <c r="E49" s="13">
        <v>3.28529077521774</v>
      </c>
      <c r="F49" s="13">
        <v>4.2240348879573704</v>
      </c>
      <c r="G49" s="13">
        <v>3.24912927627431</v>
      </c>
      <c r="H49" s="13">
        <v>3.77443824069233</v>
      </c>
      <c r="I49" s="13">
        <v>3.3648977719376698</v>
      </c>
      <c r="J49" s="13">
        <v>3.7770278503533001</v>
      </c>
      <c r="K49" s="13">
        <v>4.1244638707672099</v>
      </c>
      <c r="L49" s="13">
        <v>3.9935255734625899</v>
      </c>
      <c r="M49" s="13">
        <v>3.4484242308364101</v>
      </c>
      <c r="N49" s="13">
        <v>4.0727895209907601</v>
      </c>
      <c r="O49" s="13">
        <v>5.1206816669704196</v>
      </c>
      <c r="P49" s="13">
        <v>4.47994711005681</v>
      </c>
      <c r="Q49" s="13">
        <v>4.2873910384195097</v>
      </c>
      <c r="R49" s="13">
        <v>5.0932393844291299</v>
      </c>
      <c r="S49" s="13">
        <v>2.3233406431779802</v>
      </c>
      <c r="T49" s="13">
        <v>1.7541583872356199</v>
      </c>
      <c r="U49" s="13">
        <v>2.5949066481385499</v>
      </c>
      <c r="V49" s="13">
        <v>3.16052859635646</v>
      </c>
      <c r="W49" s="13">
        <v>4.1187713453162997</v>
      </c>
      <c r="X49" s="13">
        <v>3.2168301003089099</v>
      </c>
      <c r="Y49" s="13">
        <v>3.26643279660937</v>
      </c>
      <c r="Z49" s="13">
        <v>3.8417241790147498</v>
      </c>
      <c r="AA49" s="13">
        <v>3.9740489525547602</v>
      </c>
    </row>
    <row r="50" spans="1:27" x14ac:dyDescent="0.25">
      <c r="A50" s="10" t="s">
        <v>750</v>
      </c>
      <c r="B50" s="10" t="s">
        <v>751</v>
      </c>
      <c r="C50" s="13">
        <v>0.22199616205719799</v>
      </c>
      <c r="D50" s="13">
        <v>0.13118179303961899</v>
      </c>
      <c r="E50" s="13">
        <v>3.28529077521774</v>
      </c>
      <c r="F50" s="13">
        <v>4.2240348879573704</v>
      </c>
      <c r="G50" s="13">
        <v>3.24912927627431</v>
      </c>
      <c r="H50" s="13">
        <v>3.77443824069233</v>
      </c>
      <c r="I50" s="13">
        <v>3.18836095777371</v>
      </c>
      <c r="J50" s="13">
        <v>3.46511018258794</v>
      </c>
      <c r="K50" s="13">
        <v>3.7336284850784902</v>
      </c>
      <c r="L50" s="13">
        <v>3.5738981939741401</v>
      </c>
      <c r="M50" s="13">
        <v>2.79658029839042</v>
      </c>
      <c r="N50" s="13">
        <v>3.3131805802069101</v>
      </c>
      <c r="O50" s="13">
        <v>4.1029516065637104</v>
      </c>
      <c r="P50" s="13">
        <v>3.8397050278939102</v>
      </c>
      <c r="Q50" s="13">
        <v>3.4317624489665999</v>
      </c>
      <c r="R50" s="13">
        <v>4.0791399771727903</v>
      </c>
      <c r="S50" s="13">
        <v>1.18727404642339</v>
      </c>
      <c r="T50" s="13">
        <v>1.05526630777667</v>
      </c>
      <c r="U50" s="13">
        <v>1.6058977261906</v>
      </c>
      <c r="V50" s="13">
        <v>2.00933923371606</v>
      </c>
      <c r="W50" s="13">
        <v>2.6829300134730101</v>
      </c>
      <c r="X50" s="13">
        <v>2.0094728931650701</v>
      </c>
      <c r="Y50" s="13">
        <v>1.7210797793514301</v>
      </c>
      <c r="Z50" s="13">
        <v>1.6891638817143</v>
      </c>
      <c r="AA50" s="13">
        <v>1.30851939736551</v>
      </c>
    </row>
    <row r="51" spans="1:27" x14ac:dyDescent="0.25">
      <c r="A51" s="10" t="s">
        <v>752</v>
      </c>
      <c r="B51" s="10" t="s">
        <v>753</v>
      </c>
      <c r="C51" s="13">
        <v>0</v>
      </c>
      <c r="D51" s="13" t="s">
        <v>141</v>
      </c>
      <c r="E51" s="13" t="s">
        <v>141</v>
      </c>
      <c r="F51" s="13" t="s">
        <v>141</v>
      </c>
      <c r="G51" s="13">
        <v>0</v>
      </c>
      <c r="H51" s="13" t="s">
        <v>141</v>
      </c>
      <c r="I51" s="13" t="s">
        <v>141</v>
      </c>
      <c r="J51" s="13" t="s">
        <v>141</v>
      </c>
      <c r="K51" s="13">
        <v>0</v>
      </c>
      <c r="L51" s="13" t="s">
        <v>141</v>
      </c>
      <c r="M51" s="13" t="s">
        <v>141</v>
      </c>
      <c r="N51" s="13" t="s">
        <v>141</v>
      </c>
      <c r="O51" s="13">
        <v>0</v>
      </c>
      <c r="P51" s="13" t="s">
        <v>141</v>
      </c>
      <c r="Q51" s="13" t="s">
        <v>141</v>
      </c>
      <c r="R51" s="13" t="s">
        <v>141</v>
      </c>
      <c r="S51" s="13">
        <v>0</v>
      </c>
      <c r="T51" s="13" t="s">
        <v>141</v>
      </c>
      <c r="U51" s="13" t="s">
        <v>141</v>
      </c>
      <c r="V51" s="13" t="s">
        <v>141</v>
      </c>
      <c r="W51" s="13">
        <v>0</v>
      </c>
      <c r="X51" s="13" t="s">
        <v>141</v>
      </c>
      <c r="Y51" s="13" t="s">
        <v>141</v>
      </c>
      <c r="Z51" s="13" t="s">
        <v>141</v>
      </c>
      <c r="AA51" s="13">
        <v>0</v>
      </c>
    </row>
    <row r="52" spans="1:27" x14ac:dyDescent="0.25">
      <c r="A52" s="10" t="s">
        <v>754</v>
      </c>
      <c r="B52" s="10" t="s">
        <v>755</v>
      </c>
      <c r="C52" s="13">
        <v>0.22675866553382601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0.17653681416396</v>
      </c>
      <c r="J52" s="13">
        <v>0.31191766776535301</v>
      </c>
      <c r="K52" s="13">
        <v>0.390835385688721</v>
      </c>
      <c r="L52" s="13">
        <v>0.41962737948845402</v>
      </c>
      <c r="M52" s="13">
        <v>0.65184393244599004</v>
      </c>
      <c r="N52" s="13">
        <v>0.75960894078385199</v>
      </c>
      <c r="O52" s="13">
        <v>1.0177300604067101</v>
      </c>
      <c r="P52" s="13">
        <v>0.64024208216289602</v>
      </c>
      <c r="Q52" s="13">
        <v>0.85562858945291198</v>
      </c>
      <c r="R52" s="13">
        <v>1.0140994072563401</v>
      </c>
      <c r="S52" s="13">
        <v>1.13606659675459</v>
      </c>
      <c r="T52" s="13">
        <v>0.69889207945895304</v>
      </c>
      <c r="U52" s="13">
        <v>0.98900892194794499</v>
      </c>
      <c r="V52" s="13">
        <v>1.1511893626404099</v>
      </c>
      <c r="W52" s="13">
        <v>1.4358413318433001</v>
      </c>
      <c r="X52" s="13">
        <v>1.2073572071438401</v>
      </c>
      <c r="Y52" s="13">
        <v>1.54535301725793</v>
      </c>
      <c r="Z52" s="13">
        <v>2.1525602973004498</v>
      </c>
      <c r="AA52" s="13">
        <v>2.6655295551892499</v>
      </c>
    </row>
    <row r="53" spans="1:27" x14ac:dyDescent="0.25">
      <c r="A53" s="6" t="s">
        <v>114</v>
      </c>
      <c r="B53" s="6" t="s">
        <v>115</v>
      </c>
      <c r="C53" s="19">
        <v>11.3978773204504</v>
      </c>
      <c r="D53" s="19">
        <v>7.40630953639997</v>
      </c>
      <c r="E53" s="19">
        <v>12.0969912137744</v>
      </c>
      <c r="F53" s="19">
        <v>13.8834177544891</v>
      </c>
      <c r="G53" s="19">
        <v>14.7212640294865</v>
      </c>
      <c r="H53" s="19">
        <v>14.8617052636751</v>
      </c>
      <c r="I53" s="19">
        <v>11.388861970259899</v>
      </c>
      <c r="J53" s="19">
        <v>14.520710807027999</v>
      </c>
      <c r="K53" s="19">
        <v>17.178148556776598</v>
      </c>
      <c r="L53" s="19">
        <v>15.2007407068356</v>
      </c>
      <c r="M53" s="19">
        <v>15.804508368740301</v>
      </c>
      <c r="N53" s="19">
        <v>17.5864330202951</v>
      </c>
      <c r="O53" s="19">
        <v>19.095579177581701</v>
      </c>
      <c r="P53" s="19">
        <v>17.648319739511201</v>
      </c>
      <c r="Q53" s="19">
        <v>19.747827374169699</v>
      </c>
      <c r="R53" s="19">
        <v>21.859554685588499</v>
      </c>
      <c r="S53" s="19">
        <v>21.653617132388501</v>
      </c>
      <c r="T53" s="19">
        <v>19.852680177125801</v>
      </c>
      <c r="U53" s="19">
        <v>23.178930377298801</v>
      </c>
      <c r="V53" s="19">
        <v>24.7399567551854</v>
      </c>
      <c r="W53" s="19">
        <v>25.269355697828701</v>
      </c>
      <c r="X53" s="19">
        <v>24.623795819773399</v>
      </c>
      <c r="Y53" s="19">
        <v>26.3178883658708</v>
      </c>
      <c r="Z53" s="19">
        <v>29.028577380614099</v>
      </c>
      <c r="AA53" s="19">
        <v>27.9782253843942</v>
      </c>
    </row>
    <row r="54" spans="1:27" x14ac:dyDescent="0.25">
      <c r="A54" s="10" t="s">
        <v>756</v>
      </c>
      <c r="B54" s="10" t="s">
        <v>757</v>
      </c>
      <c r="C54" s="13">
        <v>1.9050013906510199</v>
      </c>
      <c r="D54" s="13">
        <v>15.5064625156219</v>
      </c>
      <c r="E54" s="13">
        <v>11.3094447047961</v>
      </c>
      <c r="F54" s="13">
        <v>10.877148529561</v>
      </c>
      <c r="G54" s="13">
        <v>11.529000047596501</v>
      </c>
      <c r="H54" s="13">
        <v>12.0976968131587</v>
      </c>
      <c r="I54" s="13">
        <v>8.3458023386312199</v>
      </c>
      <c r="J54" s="13">
        <v>8.9881029231547505</v>
      </c>
      <c r="K54" s="13">
        <v>14.2150962369033</v>
      </c>
      <c r="L54" s="13">
        <v>14.7331910204656</v>
      </c>
      <c r="M54" s="13">
        <v>20.564883917013301</v>
      </c>
      <c r="N54" s="13">
        <v>20.730533220939499</v>
      </c>
      <c r="O54" s="13">
        <v>26.2685738000452</v>
      </c>
      <c r="P54" s="13">
        <v>27.787549020036099</v>
      </c>
      <c r="Q54" s="13">
        <v>28.517119627962501</v>
      </c>
      <c r="R54" s="13">
        <v>42.3787251556111</v>
      </c>
      <c r="S54" s="13">
        <v>36.044884344760398</v>
      </c>
      <c r="T54" s="13">
        <v>37.656503357960297</v>
      </c>
      <c r="U54" s="13">
        <v>37.393031263850503</v>
      </c>
      <c r="V54" s="13">
        <v>33.0163036753925</v>
      </c>
      <c r="W54" s="13">
        <v>33.000433433945702</v>
      </c>
      <c r="X54" s="13">
        <v>32.934986165099403</v>
      </c>
      <c r="Y54" s="13">
        <v>64.959046137378095</v>
      </c>
      <c r="Z54" s="13">
        <v>29.9565354804081</v>
      </c>
      <c r="AA54" s="13">
        <v>29.579411049525401</v>
      </c>
    </row>
    <row r="55" spans="1:27" x14ac:dyDescent="0.25">
      <c r="A55" s="10" t="s">
        <v>758</v>
      </c>
      <c r="B55" s="10" t="s">
        <v>759</v>
      </c>
      <c r="C55" s="13">
        <v>1.9050013906510199</v>
      </c>
      <c r="D55" s="13">
        <v>1.48957372868606</v>
      </c>
      <c r="E55" s="13">
        <v>1.1043984139366201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5.6141642312832101</v>
      </c>
      <c r="L55" s="13">
        <v>5.8855351124592197</v>
      </c>
      <c r="M55" s="13">
        <v>12.342492183201299</v>
      </c>
      <c r="N55" s="13">
        <v>12.493084580796699</v>
      </c>
      <c r="O55" s="13">
        <v>18.546270088908301</v>
      </c>
      <c r="P55" s="13">
        <v>19.708784943840801</v>
      </c>
      <c r="Q55" s="13">
        <v>20.349493772101201</v>
      </c>
      <c r="R55" s="13">
        <v>34.845378904774897</v>
      </c>
      <c r="S55" s="13">
        <v>28.675664251701502</v>
      </c>
      <c r="T55" s="13">
        <v>30.008991904337901</v>
      </c>
      <c r="U55" s="13">
        <v>29.9448682634238</v>
      </c>
      <c r="V55" s="13">
        <v>26.563938742503701</v>
      </c>
      <c r="W55" s="13">
        <v>26.652949961878701</v>
      </c>
      <c r="X55" s="13">
        <v>26.716236279496901</v>
      </c>
      <c r="Y55" s="13">
        <v>58.989623491819998</v>
      </c>
      <c r="Z55" s="13">
        <v>24.343507872340801</v>
      </c>
      <c r="AA55" s="13">
        <v>24.165686513365699</v>
      </c>
    </row>
    <row r="56" spans="1:27" x14ac:dyDescent="0.25">
      <c r="A56" s="10" t="s">
        <v>760</v>
      </c>
      <c r="B56" s="10" t="s">
        <v>761</v>
      </c>
      <c r="C56" s="13">
        <v>0</v>
      </c>
      <c r="D56" s="13">
        <v>14.0168887869358</v>
      </c>
      <c r="E56" s="13">
        <v>10.205046290859499</v>
      </c>
      <c r="F56" s="13">
        <v>10.877148529561</v>
      </c>
      <c r="G56" s="13">
        <v>11.529000047596501</v>
      </c>
      <c r="H56" s="13">
        <v>12.0976968131587</v>
      </c>
      <c r="I56" s="13">
        <v>8.3458023386312199</v>
      </c>
      <c r="J56" s="13">
        <v>8.9881029231547505</v>
      </c>
      <c r="K56" s="13">
        <v>8.6009320056200895</v>
      </c>
      <c r="L56" s="13">
        <v>8.8476559080063701</v>
      </c>
      <c r="M56" s="13">
        <v>8.2223917338119694</v>
      </c>
      <c r="N56" s="13">
        <v>8.23744864014275</v>
      </c>
      <c r="O56" s="13">
        <v>7.7223037111369202</v>
      </c>
      <c r="P56" s="13">
        <v>8.0787640761953003</v>
      </c>
      <c r="Q56" s="13">
        <v>8.1676258558612904</v>
      </c>
      <c r="R56" s="13">
        <v>7.5333462508362201</v>
      </c>
      <c r="S56" s="13">
        <v>7.3692200930588196</v>
      </c>
      <c r="T56" s="13">
        <v>7.6475114536224096</v>
      </c>
      <c r="U56" s="13">
        <v>7.44816300042676</v>
      </c>
      <c r="V56" s="13">
        <v>6.4523649328887496</v>
      </c>
      <c r="W56" s="13">
        <v>6.3474834720670099</v>
      </c>
      <c r="X56" s="13">
        <v>6.2187498856025503</v>
      </c>
      <c r="Y56" s="13">
        <v>5.9694226455581703</v>
      </c>
      <c r="Z56" s="13">
        <v>5.6130276080673696</v>
      </c>
      <c r="AA56" s="13">
        <v>5.4137245361597</v>
      </c>
    </row>
    <row r="57" spans="1:27" x14ac:dyDescent="0.25">
      <c r="A57" s="11" t="s">
        <v>762</v>
      </c>
      <c r="B57" s="11" t="s">
        <v>763</v>
      </c>
      <c r="C57" s="25">
        <v>0</v>
      </c>
      <c r="D57" s="25" t="s">
        <v>141</v>
      </c>
      <c r="E57" s="25" t="s">
        <v>141</v>
      </c>
      <c r="F57" s="25" t="s">
        <v>141</v>
      </c>
      <c r="G57" s="25" t="s">
        <v>141</v>
      </c>
      <c r="H57" s="25" t="s">
        <v>141</v>
      </c>
      <c r="I57" s="25" t="s">
        <v>141</v>
      </c>
      <c r="J57" s="25" t="s">
        <v>141</v>
      </c>
      <c r="K57" s="25" t="s">
        <v>141</v>
      </c>
      <c r="L57" s="25" t="s">
        <v>141</v>
      </c>
      <c r="M57" s="25" t="s">
        <v>141</v>
      </c>
      <c r="N57" s="25" t="s">
        <v>141</v>
      </c>
      <c r="O57" s="25" t="s">
        <v>141</v>
      </c>
      <c r="P57" s="25" t="s">
        <v>141</v>
      </c>
      <c r="Q57" s="25" t="s">
        <v>141</v>
      </c>
      <c r="R57" s="25" t="s">
        <v>141</v>
      </c>
      <c r="S57" s="25" t="s">
        <v>141</v>
      </c>
      <c r="T57" s="25" t="s">
        <v>141</v>
      </c>
      <c r="U57" s="25" t="s">
        <v>141</v>
      </c>
      <c r="V57" s="25" t="s">
        <v>141</v>
      </c>
      <c r="W57" s="25" t="s">
        <v>141</v>
      </c>
      <c r="X57" s="25" t="s">
        <v>141</v>
      </c>
      <c r="Y57" s="25" t="s">
        <v>141</v>
      </c>
      <c r="Z57" s="25" t="s">
        <v>141</v>
      </c>
      <c r="AA57" s="25" t="s">
        <v>141</v>
      </c>
    </row>
    <row r="58" spans="1:27" x14ac:dyDescent="0.25">
      <c r="A58" s="11" t="s">
        <v>764</v>
      </c>
      <c r="B58" s="11" t="s">
        <v>765</v>
      </c>
      <c r="C58" s="25" t="s">
        <v>141</v>
      </c>
      <c r="D58" s="25">
        <v>14.0168887869358</v>
      </c>
      <c r="E58" s="25">
        <v>10.205046290859499</v>
      </c>
      <c r="F58" s="25">
        <v>10.877148529561</v>
      </c>
      <c r="G58" s="25">
        <v>11.529000047596501</v>
      </c>
      <c r="H58" s="25">
        <v>12.0976968131587</v>
      </c>
      <c r="I58" s="25">
        <v>8.3458023386312199</v>
      </c>
      <c r="J58" s="25">
        <v>8.9881029231547505</v>
      </c>
      <c r="K58" s="25">
        <v>8.6009320056200895</v>
      </c>
      <c r="L58" s="25">
        <v>8.8476559080063701</v>
      </c>
      <c r="M58" s="25">
        <v>8.2223917338119694</v>
      </c>
      <c r="N58" s="25">
        <v>8.23744864014275</v>
      </c>
      <c r="O58" s="25">
        <v>7.7223037111369202</v>
      </c>
      <c r="P58" s="25">
        <v>8.0787640761953003</v>
      </c>
      <c r="Q58" s="25">
        <v>8.1676258558612904</v>
      </c>
      <c r="R58" s="25">
        <v>7.5333462508362201</v>
      </c>
      <c r="S58" s="25">
        <v>7.3692200930588196</v>
      </c>
      <c r="T58" s="25">
        <v>7.6475114536224096</v>
      </c>
      <c r="U58" s="25">
        <v>7.44816300042676</v>
      </c>
      <c r="V58" s="25">
        <v>6.4523649328887496</v>
      </c>
      <c r="W58" s="25">
        <v>6.3474834720670099</v>
      </c>
      <c r="X58" s="25">
        <v>6.2187498856025503</v>
      </c>
      <c r="Y58" s="25">
        <v>5.9694226455581703</v>
      </c>
      <c r="Z58" s="25">
        <v>5.6130276080673696</v>
      </c>
      <c r="AA58" s="25">
        <v>5.4137245361597</v>
      </c>
    </row>
    <row r="59" spans="1:27" x14ac:dyDescent="0.25">
      <c r="A59" s="10" t="s">
        <v>766</v>
      </c>
      <c r="B59" s="10" t="s">
        <v>767</v>
      </c>
      <c r="C59" s="13">
        <v>4.0222834362669104</v>
      </c>
      <c r="D59" s="13">
        <v>0.27557113980692099</v>
      </c>
      <c r="E59" s="13">
        <v>11.9054517155173</v>
      </c>
      <c r="F59" s="13">
        <v>12.008670054004901</v>
      </c>
      <c r="G59" s="13">
        <v>13.682449499694</v>
      </c>
      <c r="H59" s="13">
        <v>13.832193379258999</v>
      </c>
      <c r="I59" s="13">
        <v>38.784192709328899</v>
      </c>
      <c r="J59" s="13">
        <v>39.753386692339298</v>
      </c>
      <c r="K59" s="13">
        <v>38.779082616953403</v>
      </c>
      <c r="L59" s="13">
        <v>41.6140417274271</v>
      </c>
      <c r="M59" s="13">
        <v>39.314344299314797</v>
      </c>
      <c r="N59" s="13">
        <v>39.913884491403898</v>
      </c>
      <c r="O59" s="13">
        <v>38.4910784277129</v>
      </c>
      <c r="P59" s="13">
        <v>42.880404945908701</v>
      </c>
      <c r="Q59" s="13">
        <v>46.449228429953401</v>
      </c>
      <c r="R59" s="13">
        <v>37.674962626458303</v>
      </c>
      <c r="S59" s="13">
        <v>46.763060366984803</v>
      </c>
      <c r="T59" s="13">
        <v>50.133640335619098</v>
      </c>
      <c r="U59" s="13">
        <v>51.423438071288601</v>
      </c>
      <c r="V59" s="13">
        <v>46.564209641233703</v>
      </c>
      <c r="W59" s="13">
        <v>47.491331321085802</v>
      </c>
      <c r="X59" s="13">
        <v>48.1747396837035</v>
      </c>
      <c r="Y59" s="13">
        <v>8.7995562687267697</v>
      </c>
      <c r="Z59" s="13">
        <v>40.245476914720697</v>
      </c>
      <c r="AA59" s="13">
        <v>40.860093071127899</v>
      </c>
    </row>
    <row r="60" spans="1:27" x14ac:dyDescent="0.25">
      <c r="A60" s="10" t="s">
        <v>768</v>
      </c>
      <c r="B60" s="10" t="s">
        <v>769</v>
      </c>
      <c r="C60" s="13">
        <v>0</v>
      </c>
      <c r="D60" s="13" t="s">
        <v>141</v>
      </c>
      <c r="E60" s="13" t="s">
        <v>141</v>
      </c>
      <c r="F60" s="13" t="s">
        <v>141</v>
      </c>
      <c r="G60" s="13">
        <v>0</v>
      </c>
      <c r="H60" s="13" t="s">
        <v>141</v>
      </c>
      <c r="I60" s="13" t="s">
        <v>141</v>
      </c>
      <c r="J60" s="13" t="s">
        <v>141</v>
      </c>
      <c r="K60" s="13">
        <v>0</v>
      </c>
      <c r="L60" s="13" t="s">
        <v>141</v>
      </c>
      <c r="M60" s="13" t="s">
        <v>141</v>
      </c>
      <c r="N60" s="13" t="s">
        <v>141</v>
      </c>
      <c r="O60" s="13">
        <v>0</v>
      </c>
      <c r="P60" s="13" t="s">
        <v>141</v>
      </c>
      <c r="Q60" s="13" t="s">
        <v>141</v>
      </c>
      <c r="R60" s="13" t="s">
        <v>141</v>
      </c>
      <c r="S60" s="13">
        <v>0</v>
      </c>
      <c r="T60" s="13" t="s">
        <v>141</v>
      </c>
      <c r="U60" s="13" t="s">
        <v>141</v>
      </c>
      <c r="V60" s="13" t="s">
        <v>141</v>
      </c>
      <c r="W60" s="13">
        <v>0</v>
      </c>
      <c r="X60" s="13" t="s">
        <v>141</v>
      </c>
      <c r="Y60" s="13" t="s">
        <v>141</v>
      </c>
      <c r="Z60" s="13" t="s">
        <v>141</v>
      </c>
      <c r="AA60" s="13">
        <v>0</v>
      </c>
    </row>
    <row r="61" spans="1:27" x14ac:dyDescent="0.25">
      <c r="A61" s="10" t="s">
        <v>770</v>
      </c>
      <c r="B61" s="10" t="s">
        <v>771</v>
      </c>
      <c r="C61" s="13">
        <v>0</v>
      </c>
      <c r="D61" s="13" t="s">
        <v>141</v>
      </c>
      <c r="E61" s="13" t="s">
        <v>141</v>
      </c>
      <c r="F61" s="13" t="s">
        <v>141</v>
      </c>
      <c r="G61" s="13">
        <v>0</v>
      </c>
      <c r="H61" s="13" t="s">
        <v>141</v>
      </c>
      <c r="I61" s="13" t="s">
        <v>141</v>
      </c>
      <c r="J61" s="13" t="s">
        <v>141</v>
      </c>
      <c r="K61" s="13">
        <v>0</v>
      </c>
      <c r="L61" s="13" t="s">
        <v>141</v>
      </c>
      <c r="M61" s="13" t="s">
        <v>141</v>
      </c>
      <c r="N61" s="13" t="s">
        <v>141</v>
      </c>
      <c r="O61" s="13">
        <v>0</v>
      </c>
      <c r="P61" s="13" t="s">
        <v>141</v>
      </c>
      <c r="Q61" s="13" t="s">
        <v>141</v>
      </c>
      <c r="R61" s="13" t="s">
        <v>141</v>
      </c>
      <c r="S61" s="13">
        <v>0</v>
      </c>
      <c r="T61" s="13" t="s">
        <v>141</v>
      </c>
      <c r="U61" s="13" t="s">
        <v>141</v>
      </c>
      <c r="V61" s="13" t="s">
        <v>141</v>
      </c>
      <c r="W61" s="13">
        <v>0</v>
      </c>
      <c r="X61" s="13" t="s">
        <v>141</v>
      </c>
      <c r="Y61" s="13" t="s">
        <v>141</v>
      </c>
      <c r="Z61" s="13" t="s">
        <v>141</v>
      </c>
      <c r="AA61" s="13">
        <v>0</v>
      </c>
    </row>
    <row r="62" spans="1:27" x14ac:dyDescent="0.25">
      <c r="A62" s="11" t="s">
        <v>772</v>
      </c>
      <c r="B62" s="11" t="s">
        <v>773</v>
      </c>
      <c r="C62" s="25">
        <v>0</v>
      </c>
      <c r="D62" s="25" t="s">
        <v>141</v>
      </c>
      <c r="E62" s="25" t="s">
        <v>141</v>
      </c>
      <c r="F62" s="25" t="s">
        <v>141</v>
      </c>
      <c r="G62" s="25">
        <v>0</v>
      </c>
      <c r="H62" s="25" t="s">
        <v>141</v>
      </c>
      <c r="I62" s="25" t="s">
        <v>141</v>
      </c>
      <c r="J62" s="25" t="s">
        <v>141</v>
      </c>
      <c r="K62" s="25">
        <v>0</v>
      </c>
      <c r="L62" s="25" t="s">
        <v>141</v>
      </c>
      <c r="M62" s="25" t="s">
        <v>141</v>
      </c>
      <c r="N62" s="25" t="s">
        <v>141</v>
      </c>
      <c r="O62" s="25">
        <v>0</v>
      </c>
      <c r="P62" s="25" t="s">
        <v>141</v>
      </c>
      <c r="Q62" s="25" t="s">
        <v>141</v>
      </c>
      <c r="R62" s="25" t="s">
        <v>141</v>
      </c>
      <c r="S62" s="25">
        <v>0</v>
      </c>
      <c r="T62" s="25" t="s">
        <v>141</v>
      </c>
      <c r="U62" s="25" t="s">
        <v>141</v>
      </c>
      <c r="V62" s="25" t="s">
        <v>141</v>
      </c>
      <c r="W62" s="25">
        <v>0</v>
      </c>
      <c r="X62" s="25" t="s">
        <v>141</v>
      </c>
      <c r="Y62" s="25" t="s">
        <v>141</v>
      </c>
      <c r="Z62" s="25" t="s">
        <v>141</v>
      </c>
      <c r="AA62" s="25">
        <v>0</v>
      </c>
    </row>
    <row r="63" spans="1:27" x14ac:dyDescent="0.25">
      <c r="A63" s="11" t="s">
        <v>774</v>
      </c>
      <c r="B63" s="11" t="s">
        <v>775</v>
      </c>
      <c r="C63" s="25">
        <v>0</v>
      </c>
      <c r="D63" s="25" t="s">
        <v>141</v>
      </c>
      <c r="E63" s="25" t="s">
        <v>141</v>
      </c>
      <c r="F63" s="25" t="s">
        <v>141</v>
      </c>
      <c r="G63" s="25">
        <v>0</v>
      </c>
      <c r="H63" s="25" t="s">
        <v>141</v>
      </c>
      <c r="I63" s="25" t="s">
        <v>141</v>
      </c>
      <c r="J63" s="25" t="s">
        <v>141</v>
      </c>
      <c r="K63" s="25">
        <v>0</v>
      </c>
      <c r="L63" s="25" t="s">
        <v>141</v>
      </c>
      <c r="M63" s="25" t="s">
        <v>141</v>
      </c>
      <c r="N63" s="25" t="s">
        <v>141</v>
      </c>
      <c r="O63" s="25">
        <v>0</v>
      </c>
      <c r="P63" s="25" t="s">
        <v>141</v>
      </c>
      <c r="Q63" s="25" t="s">
        <v>141</v>
      </c>
      <c r="R63" s="25" t="s">
        <v>141</v>
      </c>
      <c r="S63" s="25">
        <v>0</v>
      </c>
      <c r="T63" s="25" t="s">
        <v>141</v>
      </c>
      <c r="U63" s="25" t="s">
        <v>141</v>
      </c>
      <c r="V63" s="25" t="s">
        <v>141</v>
      </c>
      <c r="W63" s="25">
        <v>0</v>
      </c>
      <c r="X63" s="25" t="s">
        <v>141</v>
      </c>
      <c r="Y63" s="25" t="s">
        <v>141</v>
      </c>
      <c r="Z63" s="25" t="s">
        <v>141</v>
      </c>
      <c r="AA63" s="25">
        <v>0</v>
      </c>
    </row>
    <row r="64" spans="1:27" x14ac:dyDescent="0.25">
      <c r="A64" s="10" t="s">
        <v>750</v>
      </c>
      <c r="B64" s="10" t="s">
        <v>776</v>
      </c>
      <c r="C64" s="13">
        <v>2.9083021230605501E-2</v>
      </c>
      <c r="D64" s="13">
        <v>2.3733874743731301E-2</v>
      </c>
      <c r="E64" s="13">
        <v>11.555210165177501</v>
      </c>
      <c r="F64" s="13">
        <v>11.653149052062</v>
      </c>
      <c r="G64" s="13">
        <v>13.2929097077658</v>
      </c>
      <c r="H64" s="13">
        <v>13.428705786568299</v>
      </c>
      <c r="I64" s="13">
        <v>8.3431944420983193</v>
      </c>
      <c r="J64" s="13">
        <v>8.0340267222369608</v>
      </c>
      <c r="K64" s="13">
        <v>6.6066912215542901</v>
      </c>
      <c r="L64" s="13">
        <v>6.3934194071211898</v>
      </c>
      <c r="M64" s="13">
        <v>5.7670635308479001</v>
      </c>
      <c r="N64" s="13">
        <v>5.1010090392196803</v>
      </c>
      <c r="O64" s="13">
        <v>4.1819183905597797</v>
      </c>
      <c r="P64" s="13">
        <v>4.5919887463248603</v>
      </c>
      <c r="Q64" s="13">
        <v>5.2648362051959303</v>
      </c>
      <c r="R64" s="13">
        <v>3.76012480004978</v>
      </c>
      <c r="S64" s="13">
        <v>5.4645059905102702</v>
      </c>
      <c r="T64" s="13">
        <v>5.6385726162609</v>
      </c>
      <c r="U64" s="13">
        <v>5.7056556614809102</v>
      </c>
      <c r="V64" s="13">
        <v>5.1076392660415699</v>
      </c>
      <c r="W64" s="13">
        <v>4.9133393213364398</v>
      </c>
      <c r="X64" s="13">
        <v>4.8506086990173101</v>
      </c>
      <c r="Y64" s="13">
        <v>5.9905717080411799E-2</v>
      </c>
      <c r="Z64" s="13">
        <v>2.40663641882988E-2</v>
      </c>
      <c r="AA64" s="13">
        <v>0</v>
      </c>
    </row>
    <row r="65" spans="1:27" x14ac:dyDescent="0.25">
      <c r="A65" s="10" t="s">
        <v>752</v>
      </c>
      <c r="B65" s="10" t="s">
        <v>777</v>
      </c>
      <c r="C65" s="13">
        <v>0</v>
      </c>
      <c r="D65" s="13" t="s">
        <v>141</v>
      </c>
      <c r="E65" s="13" t="s">
        <v>141</v>
      </c>
      <c r="F65" s="13" t="s">
        <v>141</v>
      </c>
      <c r="G65" s="13">
        <v>0</v>
      </c>
      <c r="H65" s="13" t="s">
        <v>141</v>
      </c>
      <c r="I65" s="13" t="s">
        <v>141</v>
      </c>
      <c r="J65" s="13" t="s">
        <v>141</v>
      </c>
      <c r="K65" s="13">
        <v>0</v>
      </c>
      <c r="L65" s="13" t="s">
        <v>141</v>
      </c>
      <c r="M65" s="13" t="s">
        <v>141</v>
      </c>
      <c r="N65" s="13" t="s">
        <v>141</v>
      </c>
      <c r="O65" s="13">
        <v>0</v>
      </c>
      <c r="P65" s="13" t="s">
        <v>141</v>
      </c>
      <c r="Q65" s="13" t="s">
        <v>141</v>
      </c>
      <c r="R65" s="13" t="s">
        <v>141</v>
      </c>
      <c r="S65" s="13">
        <v>0</v>
      </c>
      <c r="T65" s="13" t="s">
        <v>141</v>
      </c>
      <c r="U65" s="13" t="s">
        <v>141</v>
      </c>
      <c r="V65" s="13" t="s">
        <v>141</v>
      </c>
      <c r="W65" s="13">
        <v>0</v>
      </c>
      <c r="X65" s="13" t="s">
        <v>141</v>
      </c>
      <c r="Y65" s="13" t="s">
        <v>141</v>
      </c>
      <c r="Z65" s="13" t="s">
        <v>141</v>
      </c>
      <c r="AA65" s="13">
        <v>0</v>
      </c>
    </row>
    <row r="66" spans="1:27" x14ac:dyDescent="0.25">
      <c r="A66" s="10" t="s">
        <v>778</v>
      </c>
      <c r="B66" s="10" t="s">
        <v>779</v>
      </c>
      <c r="C66" s="13">
        <v>3.9932004150362999</v>
      </c>
      <c r="D66" s="13">
        <v>0.25183726506318999</v>
      </c>
      <c r="E66" s="13">
        <v>0.350241550339768</v>
      </c>
      <c r="F66" s="13">
        <v>0.35552100194285402</v>
      </c>
      <c r="G66" s="13">
        <v>0.38953979192813398</v>
      </c>
      <c r="H66" s="13">
        <v>0.40348759269072398</v>
      </c>
      <c r="I66" s="13">
        <v>30.440998267230601</v>
      </c>
      <c r="J66" s="13">
        <v>31.7193599701023</v>
      </c>
      <c r="K66" s="13">
        <v>32.172391395399103</v>
      </c>
      <c r="L66" s="13">
        <v>35.2206223203059</v>
      </c>
      <c r="M66" s="13">
        <v>33.547280768466898</v>
      </c>
      <c r="N66" s="13">
        <v>34.812875452184201</v>
      </c>
      <c r="O66" s="13">
        <v>34.309160037153099</v>
      </c>
      <c r="P66" s="13">
        <v>38.2884161995838</v>
      </c>
      <c r="Q66" s="13">
        <v>41.184392224757403</v>
      </c>
      <c r="R66" s="13">
        <v>33.914837826408601</v>
      </c>
      <c r="S66" s="13">
        <v>41.298554376474598</v>
      </c>
      <c r="T66" s="13">
        <v>44.495067719358197</v>
      </c>
      <c r="U66" s="13">
        <v>45.717782409807697</v>
      </c>
      <c r="V66" s="13">
        <v>41.456570375192101</v>
      </c>
      <c r="W66" s="13">
        <v>42.577991999749301</v>
      </c>
      <c r="X66" s="13">
        <v>43.324130984686199</v>
      </c>
      <c r="Y66" s="13">
        <v>8.7396505516463598</v>
      </c>
      <c r="Z66" s="13">
        <v>40.221410550532397</v>
      </c>
      <c r="AA66" s="13">
        <v>40.860093071127899</v>
      </c>
    </row>
    <row r="67" spans="1:27" x14ac:dyDescent="0.25">
      <c r="A67" s="6" t="s">
        <v>780</v>
      </c>
      <c r="B67" s="6" t="s">
        <v>781</v>
      </c>
      <c r="C67" s="19">
        <v>5.9272848269179201</v>
      </c>
      <c r="D67" s="19">
        <v>15.782033655428799</v>
      </c>
      <c r="E67" s="19">
        <v>23.214896420313401</v>
      </c>
      <c r="F67" s="19">
        <v>22.8858185835659</v>
      </c>
      <c r="G67" s="19">
        <v>25.211449547290499</v>
      </c>
      <c r="H67" s="19">
        <v>25.929890192417702</v>
      </c>
      <c r="I67" s="19">
        <v>47.129995047960101</v>
      </c>
      <c r="J67" s="19">
        <v>48.741489615493997</v>
      </c>
      <c r="K67" s="19">
        <v>52.994178853856702</v>
      </c>
      <c r="L67" s="19">
        <v>56.347232747892697</v>
      </c>
      <c r="M67" s="19">
        <v>59.879228216328102</v>
      </c>
      <c r="N67" s="19">
        <v>60.644417712343298</v>
      </c>
      <c r="O67" s="19">
        <v>64.759652227758096</v>
      </c>
      <c r="P67" s="19">
        <v>70.667953965944804</v>
      </c>
      <c r="Q67" s="19">
        <v>74.966348057915894</v>
      </c>
      <c r="R67" s="19">
        <v>80.053687782069503</v>
      </c>
      <c r="S67" s="19">
        <v>82.807944711745193</v>
      </c>
      <c r="T67" s="19">
        <v>87.790143693579495</v>
      </c>
      <c r="U67" s="19">
        <v>88.816469335139104</v>
      </c>
      <c r="V67" s="19">
        <v>79.580513316626195</v>
      </c>
      <c r="W67" s="19">
        <v>80.491764755031497</v>
      </c>
      <c r="X67" s="19">
        <v>81.109725848802896</v>
      </c>
      <c r="Y67" s="19">
        <v>73.758602406104899</v>
      </c>
      <c r="Z67" s="19">
        <v>70.202012395128804</v>
      </c>
      <c r="AA67" s="19">
        <v>70.439504120653297</v>
      </c>
    </row>
    <row r="68" spans="1:27" x14ac:dyDescent="0.25">
      <c r="A68" s="6" t="s">
        <v>116</v>
      </c>
      <c r="B68" s="6" t="s">
        <v>117</v>
      </c>
      <c r="C68" s="19">
        <v>17.325162147368399</v>
      </c>
      <c r="D68" s="19">
        <v>23.1883431918288</v>
      </c>
      <c r="E68" s="19">
        <v>35.311887634087803</v>
      </c>
      <c r="F68" s="19">
        <v>36.769236338055002</v>
      </c>
      <c r="G68" s="19">
        <v>39.932713576776898</v>
      </c>
      <c r="H68" s="19">
        <v>40.7915954560928</v>
      </c>
      <c r="I68" s="19">
        <v>58.518857018219997</v>
      </c>
      <c r="J68" s="19">
        <v>63.262200422522099</v>
      </c>
      <c r="K68" s="19">
        <v>70.1723274106334</v>
      </c>
      <c r="L68" s="19">
        <v>71.547973454728293</v>
      </c>
      <c r="M68" s="19">
        <v>75.683736585068402</v>
      </c>
      <c r="N68" s="19">
        <v>78.230850732638402</v>
      </c>
      <c r="O68" s="19">
        <v>83.855231405339794</v>
      </c>
      <c r="P68" s="19">
        <v>88.316273705455998</v>
      </c>
      <c r="Q68" s="19">
        <v>94.714175432085497</v>
      </c>
      <c r="R68" s="19">
        <v>101.91324246765799</v>
      </c>
      <c r="S68" s="19">
        <v>104.461561844134</v>
      </c>
      <c r="T68" s="19">
        <v>107.642823870705</v>
      </c>
      <c r="U68" s="19">
        <v>111.995399712438</v>
      </c>
      <c r="V68" s="19">
        <v>104.320470071812</v>
      </c>
      <c r="W68" s="19">
        <v>105.76112045286</v>
      </c>
      <c r="X68" s="19">
        <v>105.733521668576</v>
      </c>
      <c r="Y68" s="19">
        <v>100.076490771976</v>
      </c>
      <c r="Z68" s="19">
        <v>99.230589775742899</v>
      </c>
      <c r="AA68" s="19">
        <v>98.417729505047504</v>
      </c>
    </row>
    <row r="69" spans="1:27" x14ac:dyDescent="0.25">
      <c r="A69" s="10" t="s">
        <v>782</v>
      </c>
      <c r="B69" s="10" t="s">
        <v>168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</row>
    <row r="70" spans="1:27" x14ac:dyDescent="0.25">
      <c r="A70" s="10" t="s">
        <v>783</v>
      </c>
      <c r="B70" s="10" t="s">
        <v>784</v>
      </c>
      <c r="C70" s="13">
        <v>265.18571858557499</v>
      </c>
      <c r="D70" s="13">
        <v>228.536657664676</v>
      </c>
      <c r="E70" s="13">
        <v>185.36937157153301</v>
      </c>
      <c r="F70" s="13">
        <v>200.35870794319499</v>
      </c>
      <c r="G70" s="13">
        <v>217.202795334207</v>
      </c>
      <c r="H70" s="13">
        <v>232.10393468396501</v>
      </c>
      <c r="I70" s="13">
        <v>163.629978600431</v>
      </c>
      <c r="J70" s="13">
        <v>169.14322118790599</v>
      </c>
      <c r="K70" s="13">
        <v>165.69230782777299</v>
      </c>
      <c r="L70" s="13">
        <v>176.59268711740901</v>
      </c>
      <c r="M70" s="13">
        <v>167.11157285131</v>
      </c>
      <c r="N70" s="13">
        <v>171.92735793115401</v>
      </c>
      <c r="O70" s="13">
        <v>166.32306829185799</v>
      </c>
      <c r="P70" s="13">
        <v>178.17634543889801</v>
      </c>
      <c r="Q70" s="13">
        <v>185.38819613279699</v>
      </c>
      <c r="R70" s="13">
        <v>179.279882215003</v>
      </c>
      <c r="S70" s="13">
        <v>182.03966377910399</v>
      </c>
      <c r="T70" s="13">
        <v>192.318673089736</v>
      </c>
      <c r="U70" s="13">
        <v>195.40415048689201</v>
      </c>
      <c r="V70" s="13">
        <v>175.51617278442001</v>
      </c>
      <c r="W70" s="13">
        <v>177.872988187619</v>
      </c>
      <c r="X70" s="13">
        <v>179.982930593303</v>
      </c>
      <c r="Y70" s="13">
        <v>177.67170270403699</v>
      </c>
      <c r="Z70" s="13">
        <v>172.67770881554301</v>
      </c>
      <c r="AA70" s="13">
        <v>174.27791573692599</v>
      </c>
    </row>
    <row r="71" spans="1:27" x14ac:dyDescent="0.25">
      <c r="A71" s="10" t="s">
        <v>785</v>
      </c>
      <c r="B71" s="10" t="s">
        <v>786</v>
      </c>
      <c r="C71" s="13">
        <v>6.4198546864939199E-2</v>
      </c>
      <c r="D71" s="13">
        <v>5.2830214910732302E-2</v>
      </c>
      <c r="E71" s="13">
        <v>4.08627413156551E-2</v>
      </c>
      <c r="F71" s="13">
        <v>4.3790933506241303E-2</v>
      </c>
      <c r="G71" s="13">
        <v>4.6844978193286903E-2</v>
      </c>
      <c r="H71" s="13">
        <v>4.9613445024267198E-2</v>
      </c>
      <c r="I71" s="13">
        <v>3.4258277182061099E-2</v>
      </c>
      <c r="J71" s="13">
        <v>3.51043439584698E-2</v>
      </c>
      <c r="K71" s="13">
        <v>3.4164342816286497E-2</v>
      </c>
      <c r="L71" s="13">
        <v>3.6033888443627898E-2</v>
      </c>
      <c r="M71" s="13">
        <v>3.3794671440852603E-2</v>
      </c>
      <c r="N71" s="13">
        <v>3.4415100251619E-2</v>
      </c>
      <c r="O71" s="13">
        <v>3.2992031408853102E-2</v>
      </c>
      <c r="P71" s="13">
        <v>3.51531725956701E-2</v>
      </c>
      <c r="Q71" s="13">
        <v>3.6331786680166497E-2</v>
      </c>
      <c r="R71" s="13">
        <v>3.4792398285272197E-2</v>
      </c>
      <c r="S71" s="13">
        <v>3.4965439201163802E-2</v>
      </c>
      <c r="T71" s="13">
        <v>3.6645695383762701E-2</v>
      </c>
      <c r="U71" s="13">
        <v>3.6738815822732002E-2</v>
      </c>
      <c r="V71" s="13">
        <v>3.2690183281224403E-2</v>
      </c>
      <c r="W71" s="13">
        <v>3.2873092629534098E-2</v>
      </c>
      <c r="X71" s="13">
        <v>3.3077205072918898E-2</v>
      </c>
      <c r="Y71" s="13">
        <v>3.1948053114074802E-2</v>
      </c>
      <c r="Z71" s="13">
        <v>3.06536990501158E-2</v>
      </c>
      <c r="AA71" s="13">
        <v>3.04954052881816E-2</v>
      </c>
    </row>
    <row r="72" spans="1:27" x14ac:dyDescent="0.25">
      <c r="A72" s="10" t="s">
        <v>787</v>
      </c>
      <c r="B72" s="10" t="s">
        <v>788</v>
      </c>
      <c r="C72" s="13">
        <v>265.12152003871</v>
      </c>
      <c r="D72" s="13">
        <v>228.48382744976499</v>
      </c>
      <c r="E72" s="13">
        <v>185.328508830217</v>
      </c>
      <c r="F72" s="13">
        <v>200.314917009689</v>
      </c>
      <c r="G72" s="13">
        <v>217.15595035601399</v>
      </c>
      <c r="H72" s="13">
        <v>232.05432123894099</v>
      </c>
      <c r="I72" s="13">
        <v>163.595720323249</v>
      </c>
      <c r="J72" s="13">
        <v>169.10811684394699</v>
      </c>
      <c r="K72" s="13">
        <v>165.65814348495701</v>
      </c>
      <c r="L72" s="13">
        <v>176.55665322896499</v>
      </c>
      <c r="M72" s="13">
        <v>167.077778179869</v>
      </c>
      <c r="N72" s="13">
        <v>171.892942830903</v>
      </c>
      <c r="O72" s="13">
        <v>166.29007626044901</v>
      </c>
      <c r="P72" s="13">
        <v>178.141192266302</v>
      </c>
      <c r="Q72" s="13">
        <v>185.351864346116</v>
      </c>
      <c r="R72" s="13">
        <v>179.24508981671801</v>
      </c>
      <c r="S72" s="13">
        <v>182.004698339903</v>
      </c>
      <c r="T72" s="13">
        <v>192.28202739435201</v>
      </c>
      <c r="U72" s="13">
        <v>195.36741167106899</v>
      </c>
      <c r="V72" s="13">
        <v>175.48348260113801</v>
      </c>
      <c r="W72" s="13">
        <v>177.84011509499001</v>
      </c>
      <c r="X72" s="13">
        <v>179.94985338823</v>
      </c>
      <c r="Y72" s="13">
        <v>177.63975465092301</v>
      </c>
      <c r="Z72" s="13">
        <v>172.647055116492</v>
      </c>
      <c r="AA72" s="13">
        <v>174.24742033163801</v>
      </c>
    </row>
    <row r="73" spans="1:27" x14ac:dyDescent="0.25">
      <c r="A73" s="10" t="s">
        <v>789</v>
      </c>
      <c r="B73" s="10" t="s">
        <v>790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</row>
    <row r="74" spans="1:27" x14ac:dyDescent="0.25">
      <c r="A74" s="10" t="s">
        <v>791</v>
      </c>
      <c r="B74" s="10" t="s">
        <v>792</v>
      </c>
      <c r="C74" s="13">
        <v>-180.40185369335299</v>
      </c>
      <c r="D74" s="13">
        <v>-150.093768666221</v>
      </c>
      <c r="E74" s="13">
        <v>-119.362202553296</v>
      </c>
      <c r="F74" s="13">
        <v>-135.77561887645001</v>
      </c>
      <c r="G74" s="13">
        <v>-155.61083429987599</v>
      </c>
      <c r="H74" s="13">
        <v>-171.48920172800399</v>
      </c>
      <c r="I74" s="13">
        <v>-121.164591758988</v>
      </c>
      <c r="J74" s="13">
        <v>-131.28084291546901</v>
      </c>
      <c r="K74" s="13">
        <v>-134.584294205475</v>
      </c>
      <c r="L74" s="13">
        <v>-147.01273535305401</v>
      </c>
      <c r="M74" s="13">
        <v>-141.76719346651501</v>
      </c>
      <c r="N74" s="13">
        <v>-149.17241043650199</v>
      </c>
      <c r="O74" s="13">
        <v>-149.26541952030399</v>
      </c>
      <c r="P74" s="13">
        <v>-165.38399817098701</v>
      </c>
      <c r="Q74" s="13">
        <v>-178.83454234109399</v>
      </c>
      <c r="R74" s="13">
        <v>-179.954656736218</v>
      </c>
      <c r="S74" s="13">
        <v>-185.24207504090799</v>
      </c>
      <c r="T74" s="13">
        <v>-198.80805674628701</v>
      </c>
      <c r="U74" s="13">
        <v>-206.30972996676499</v>
      </c>
      <c r="V74" s="13">
        <v>-178.994278045768</v>
      </c>
      <c r="W74" s="13">
        <v>-183.02377620186499</v>
      </c>
      <c r="X74" s="13">
        <v>-185.01077035634</v>
      </c>
      <c r="Y74" s="13">
        <v>-176.884349045324</v>
      </c>
      <c r="Z74" s="13">
        <v>-171.31791167691901</v>
      </c>
      <c r="AA74" s="13">
        <v>-171.88153820428099</v>
      </c>
    </row>
    <row r="75" spans="1:27" x14ac:dyDescent="0.25">
      <c r="A75" s="10" t="s">
        <v>793</v>
      </c>
      <c r="B75" s="10" t="s">
        <v>794</v>
      </c>
      <c r="C75" s="13">
        <v>-2.1090270395897401</v>
      </c>
      <c r="D75" s="13">
        <v>-1.63123219028411</v>
      </c>
      <c r="E75" s="13">
        <v>-1.3190566523254399</v>
      </c>
      <c r="F75" s="13">
        <v>-1.35232540480056</v>
      </c>
      <c r="G75" s="13">
        <v>-1.5246746111073499</v>
      </c>
      <c r="H75" s="13">
        <v>-1.4063284120539199</v>
      </c>
      <c r="I75" s="13">
        <v>-0.98424385966316097</v>
      </c>
      <c r="J75" s="13">
        <v>-1.12457869495897</v>
      </c>
      <c r="K75" s="13">
        <v>-1.2803410329313201</v>
      </c>
      <c r="L75" s="13">
        <v>-1.12792521908328</v>
      </c>
      <c r="M75" s="13">
        <v>-1.0281159698629001</v>
      </c>
      <c r="N75" s="13">
        <v>-0.98579822729114597</v>
      </c>
      <c r="O75" s="13">
        <v>-0.91288017689437895</v>
      </c>
      <c r="P75" s="13">
        <v>-1.1086209733671799</v>
      </c>
      <c r="Q75" s="13">
        <v>-1.2678292237878901</v>
      </c>
      <c r="R75" s="13">
        <v>-1.23846794644234</v>
      </c>
      <c r="S75" s="13">
        <v>-1.25915058232965</v>
      </c>
      <c r="T75" s="13">
        <v>-1.15344021415473</v>
      </c>
      <c r="U75" s="13">
        <v>-1.08982023256552</v>
      </c>
      <c r="V75" s="13">
        <v>-0.84236481046335898</v>
      </c>
      <c r="W75" s="13">
        <v>-0.610332438614265</v>
      </c>
      <c r="X75" s="13">
        <v>-0.70568190553986998</v>
      </c>
      <c r="Y75" s="13">
        <v>-0.86384443068868599</v>
      </c>
      <c r="Z75" s="13">
        <v>-0.59038691436631197</v>
      </c>
      <c r="AA75" s="13">
        <v>-0.81410703769331105</v>
      </c>
    </row>
    <row r="76" spans="1:27" x14ac:dyDescent="0.25">
      <c r="A76" s="6" t="s">
        <v>795</v>
      </c>
      <c r="B76" s="6" t="s">
        <v>796</v>
      </c>
      <c r="C76" s="19">
        <v>82.674837852631597</v>
      </c>
      <c r="D76" s="19">
        <v>76.811656808171193</v>
      </c>
      <c r="E76" s="19">
        <v>64.688112365912204</v>
      </c>
      <c r="F76" s="19">
        <v>63.230763661944998</v>
      </c>
      <c r="G76" s="19">
        <v>60.067286423223102</v>
      </c>
      <c r="H76" s="19">
        <v>59.2084045439072</v>
      </c>
      <c r="I76" s="19">
        <v>41.481142981780003</v>
      </c>
      <c r="J76" s="19">
        <v>36.737799577478</v>
      </c>
      <c r="K76" s="19">
        <v>29.8276725893666</v>
      </c>
      <c r="L76" s="19">
        <v>28.4520265452717</v>
      </c>
      <c r="M76" s="19">
        <v>24.316263414931601</v>
      </c>
      <c r="N76" s="19">
        <v>21.769149267361598</v>
      </c>
      <c r="O76" s="19">
        <v>16.144768594660199</v>
      </c>
      <c r="P76" s="19">
        <v>11.683726294544</v>
      </c>
      <c r="Q76" s="19">
        <v>5.28582456791447</v>
      </c>
      <c r="R76" s="19">
        <v>-1.9132424676579201</v>
      </c>
      <c r="S76" s="19">
        <v>-4.4615618441336604</v>
      </c>
      <c r="T76" s="19">
        <v>-7.6428238707052598</v>
      </c>
      <c r="U76" s="19">
        <v>-11.9953997124379</v>
      </c>
      <c r="V76" s="19">
        <v>-4.3204700718116102</v>
      </c>
      <c r="W76" s="19">
        <v>-5.7611204528601396</v>
      </c>
      <c r="X76" s="19">
        <v>-5.7335216685763397</v>
      </c>
      <c r="Y76" s="19">
        <v>-7.6490771975696495E-2</v>
      </c>
      <c r="Z76" s="19">
        <v>0.76941022425713501</v>
      </c>
      <c r="AA76" s="19">
        <v>1.58227049495246</v>
      </c>
    </row>
    <row r="77" spans="1:27" x14ac:dyDescent="0.25">
      <c r="A77" s="10" t="s">
        <v>797</v>
      </c>
      <c r="B77" s="10" t="s">
        <v>170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</row>
    <row r="78" spans="1:27" x14ac:dyDescent="0.25">
      <c r="A78" s="6" t="s">
        <v>118</v>
      </c>
      <c r="B78" s="6" t="s">
        <v>119</v>
      </c>
      <c r="C78" s="19">
        <v>82.674837852631597</v>
      </c>
      <c r="D78" s="19">
        <v>76.811656808171193</v>
      </c>
      <c r="E78" s="19">
        <v>64.688112365912204</v>
      </c>
      <c r="F78" s="19">
        <v>63.230763661944998</v>
      </c>
      <c r="G78" s="19">
        <v>60.067286423223102</v>
      </c>
      <c r="H78" s="19">
        <v>59.2084045439072</v>
      </c>
      <c r="I78" s="19">
        <v>41.481142981780003</v>
      </c>
      <c r="J78" s="19">
        <v>36.737799577478</v>
      </c>
      <c r="K78" s="19">
        <v>29.8276725893666</v>
      </c>
      <c r="L78" s="19">
        <v>28.4520265452717</v>
      </c>
      <c r="M78" s="19">
        <v>24.316263414931601</v>
      </c>
      <c r="N78" s="19">
        <v>21.769149267361598</v>
      </c>
      <c r="O78" s="19">
        <v>16.144768594660199</v>
      </c>
      <c r="P78" s="19">
        <v>11.683726294544</v>
      </c>
      <c r="Q78" s="19">
        <v>5.28582456791447</v>
      </c>
      <c r="R78" s="19">
        <v>-1.9132424676579201</v>
      </c>
      <c r="S78" s="19">
        <v>-4.4615618441336604</v>
      </c>
      <c r="T78" s="19">
        <v>-7.6428238707052598</v>
      </c>
      <c r="U78" s="19">
        <v>-11.9953997124379</v>
      </c>
      <c r="V78" s="19">
        <v>-4.3204700718116102</v>
      </c>
      <c r="W78" s="19">
        <v>-5.7611204528601396</v>
      </c>
      <c r="X78" s="19">
        <v>-5.7335216685763397</v>
      </c>
      <c r="Y78" s="19">
        <v>-7.6490771975696495E-2</v>
      </c>
      <c r="Z78" s="19">
        <v>0.76941022425713501</v>
      </c>
      <c r="AA78" s="19">
        <v>1.58227049495246</v>
      </c>
    </row>
    <row r="79" spans="1:27" x14ac:dyDescent="0.25">
      <c r="A79" s="6" t="s">
        <v>798</v>
      </c>
      <c r="B79" s="6" t="s">
        <v>799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  <c r="I79" s="19">
        <v>100</v>
      </c>
      <c r="J79" s="19">
        <v>100</v>
      </c>
      <c r="K79" s="19">
        <v>100</v>
      </c>
      <c r="L79" s="19">
        <v>100</v>
      </c>
      <c r="M79" s="19">
        <v>100</v>
      </c>
      <c r="N79" s="19">
        <v>100</v>
      </c>
      <c r="O79" s="19">
        <v>100</v>
      </c>
      <c r="P79" s="19">
        <v>100</v>
      </c>
      <c r="Q79" s="19">
        <v>100</v>
      </c>
      <c r="R79" s="19">
        <v>100</v>
      </c>
      <c r="S79" s="19">
        <v>100</v>
      </c>
      <c r="T79" s="19">
        <v>100</v>
      </c>
      <c r="U79" s="19">
        <v>100</v>
      </c>
      <c r="V79" s="19">
        <v>100</v>
      </c>
      <c r="W79" s="19">
        <v>100</v>
      </c>
      <c r="X79" s="19">
        <v>100</v>
      </c>
      <c r="Y79" s="19">
        <v>100</v>
      </c>
      <c r="Z79" s="19">
        <v>100</v>
      </c>
      <c r="AA79" s="19">
        <v>100</v>
      </c>
    </row>
    <row r="80" spans="1:27" x14ac:dyDescent="0.25">
      <c r="A80" s="6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x14ac:dyDescent="0.25">
      <c r="A81" s="6" t="s">
        <v>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x14ac:dyDescent="0.25">
      <c r="A82" s="10" t="s">
        <v>374</v>
      </c>
      <c r="B82" s="10" t="s">
        <v>375</v>
      </c>
      <c r="C82" s="12" t="s">
        <v>376</v>
      </c>
      <c r="D82" s="12" t="s">
        <v>376</v>
      </c>
      <c r="E82" s="12" t="s">
        <v>376</v>
      </c>
      <c r="F82" s="12" t="s">
        <v>376</v>
      </c>
      <c r="G82" s="12" t="s">
        <v>376</v>
      </c>
      <c r="H82" s="12" t="s">
        <v>376</v>
      </c>
      <c r="I82" s="12" t="s">
        <v>376</v>
      </c>
      <c r="J82" s="12" t="s">
        <v>376</v>
      </c>
      <c r="K82" s="12" t="s">
        <v>376</v>
      </c>
      <c r="L82" s="12" t="s">
        <v>376</v>
      </c>
      <c r="M82" s="12" t="s">
        <v>376</v>
      </c>
      <c r="N82" s="12" t="s">
        <v>376</v>
      </c>
      <c r="O82" s="12" t="s">
        <v>376</v>
      </c>
      <c r="P82" s="12" t="s">
        <v>376</v>
      </c>
      <c r="Q82" s="12" t="s">
        <v>376</v>
      </c>
      <c r="R82" s="12" t="s">
        <v>376</v>
      </c>
      <c r="S82" s="12" t="s">
        <v>376</v>
      </c>
      <c r="T82" s="12" t="s">
        <v>376</v>
      </c>
      <c r="U82" s="12" t="s">
        <v>376</v>
      </c>
      <c r="V82" s="12" t="s">
        <v>376</v>
      </c>
      <c r="W82" s="12" t="s">
        <v>376</v>
      </c>
      <c r="X82" s="12" t="s">
        <v>376</v>
      </c>
      <c r="Y82" s="12" t="s">
        <v>376</v>
      </c>
      <c r="Z82" s="12" t="s">
        <v>376</v>
      </c>
      <c r="AA82" s="12" t="s">
        <v>376</v>
      </c>
    </row>
    <row r="83" spans="1:27" x14ac:dyDescent="0.25">
      <c r="A83" s="10" t="s">
        <v>800</v>
      </c>
      <c r="B83" s="10" t="s">
        <v>121</v>
      </c>
      <c r="C83" s="13">
        <v>6.4247446345635799</v>
      </c>
      <c r="D83" s="13">
        <v>5.2830214910732298</v>
      </c>
      <c r="E83" s="13">
        <v>4.0904708455384702</v>
      </c>
      <c r="F83" s="13">
        <v>4.3800769744674897</v>
      </c>
      <c r="G83" s="13">
        <v>4.6839968035191397</v>
      </c>
      <c r="H83" s="13">
        <v>4.9643274504918402</v>
      </c>
      <c r="I83" s="13">
        <v>3.4272205720361799</v>
      </c>
      <c r="J83" s="13">
        <v>3.5117345567343299</v>
      </c>
      <c r="K83" s="13">
        <v>3.4172267534980998</v>
      </c>
      <c r="L83" s="13">
        <v>3.60403395234004</v>
      </c>
      <c r="M83" s="13">
        <v>3.3793531654294799</v>
      </c>
      <c r="N83" s="13">
        <v>3.44093404022045</v>
      </c>
      <c r="O83" s="13">
        <v>3.2987090838425801</v>
      </c>
      <c r="P83" s="13">
        <v>3.5161618676906801</v>
      </c>
      <c r="Q83" s="13">
        <v>3.6329384578567798</v>
      </c>
      <c r="R83" s="13">
        <v>3.4789852500031802</v>
      </c>
      <c r="S83" s="13">
        <v>3.4944290750034099</v>
      </c>
      <c r="T83" s="13">
        <v>3.66283012081582</v>
      </c>
      <c r="U83" s="13">
        <v>3.6515737733056399</v>
      </c>
      <c r="V83" s="13">
        <v>3.2678201222013801</v>
      </c>
      <c r="W83" s="13">
        <v>3.28454155221573</v>
      </c>
      <c r="X83" s="13">
        <v>3.3067530317284901</v>
      </c>
      <c r="Y83" s="13">
        <v>3.1928350567657802</v>
      </c>
      <c r="Z83" s="13">
        <v>3.0639668264670101</v>
      </c>
      <c r="AA83" s="13">
        <v>3.0493990188168199</v>
      </c>
    </row>
    <row r="84" spans="1:27" x14ac:dyDescent="0.25">
      <c r="A84" s="10" t="s">
        <v>801</v>
      </c>
      <c r="B84" s="10" t="s">
        <v>802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</row>
    <row r="85" spans="1:27" x14ac:dyDescent="0.25">
      <c r="A85" s="10" t="s">
        <v>803</v>
      </c>
      <c r="B85" s="10" t="s">
        <v>804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</row>
    <row r="86" spans="1:27" x14ac:dyDescent="0.25">
      <c r="A86" s="10" t="s">
        <v>805</v>
      </c>
      <c r="B86" s="10" t="s">
        <v>806</v>
      </c>
      <c r="C86" s="13">
        <v>35.687978552224301</v>
      </c>
      <c r="D86" s="13">
        <v>26.999566534044899</v>
      </c>
      <c r="E86" s="13">
        <v>20.0431009887679</v>
      </c>
      <c r="F86" s="13">
        <v>21.0997150638451</v>
      </c>
      <c r="G86" s="13">
        <v>22.2411773203503</v>
      </c>
      <c r="H86" s="13" t="s">
        <v>141</v>
      </c>
      <c r="I86" s="13" t="s">
        <v>141</v>
      </c>
      <c r="J86" s="13" t="s">
        <v>141</v>
      </c>
      <c r="K86" s="13">
        <v>15.7417199163737</v>
      </c>
      <c r="L86" s="13" t="s">
        <v>141</v>
      </c>
      <c r="M86" s="13" t="s">
        <v>141</v>
      </c>
      <c r="N86" s="13" t="s">
        <v>141</v>
      </c>
      <c r="O86" s="13">
        <v>13.8222613320217</v>
      </c>
      <c r="P86" s="13" t="s">
        <v>141</v>
      </c>
      <c r="Q86" s="13" t="s">
        <v>141</v>
      </c>
      <c r="R86" s="13" t="s">
        <v>141</v>
      </c>
      <c r="S86" s="13">
        <v>12.974772153637</v>
      </c>
      <c r="T86" s="13" t="s">
        <v>141</v>
      </c>
      <c r="U86" s="13" t="s">
        <v>141</v>
      </c>
      <c r="V86" s="13" t="s">
        <v>141</v>
      </c>
      <c r="W86" s="13">
        <v>10.915250608374199</v>
      </c>
      <c r="X86" s="13" t="s">
        <v>141</v>
      </c>
      <c r="Y86" s="13" t="s">
        <v>141</v>
      </c>
      <c r="Z86" s="13" t="s">
        <v>141</v>
      </c>
      <c r="AA86" s="13">
        <v>9.0681731506942391</v>
      </c>
    </row>
    <row r="87" spans="1:27" x14ac:dyDescent="0.25">
      <c r="A87" s="10" t="s">
        <v>807</v>
      </c>
      <c r="B87" s="10" t="s">
        <v>808</v>
      </c>
      <c r="C87" s="13">
        <v>0</v>
      </c>
      <c r="D87" s="13" t="s">
        <v>141</v>
      </c>
      <c r="E87" s="13" t="s">
        <v>141</v>
      </c>
      <c r="F87" s="13" t="s">
        <v>141</v>
      </c>
      <c r="G87" s="13" t="s">
        <v>141</v>
      </c>
      <c r="H87" s="13" t="s">
        <v>141</v>
      </c>
      <c r="I87" s="13" t="s">
        <v>141</v>
      </c>
      <c r="J87" s="13" t="s">
        <v>141</v>
      </c>
      <c r="K87" s="13" t="s">
        <v>141</v>
      </c>
      <c r="L87" s="13" t="s">
        <v>141</v>
      </c>
      <c r="M87" s="13" t="s">
        <v>141</v>
      </c>
      <c r="N87" s="13" t="s">
        <v>141</v>
      </c>
      <c r="O87" s="13" t="s">
        <v>141</v>
      </c>
      <c r="P87" s="13" t="s">
        <v>141</v>
      </c>
      <c r="Q87" s="13" t="s">
        <v>141</v>
      </c>
      <c r="R87" s="13" t="s">
        <v>141</v>
      </c>
      <c r="S87" s="13" t="s">
        <v>141</v>
      </c>
      <c r="T87" s="13" t="s">
        <v>141</v>
      </c>
      <c r="U87" s="13" t="s">
        <v>141</v>
      </c>
      <c r="V87" s="13" t="s">
        <v>141</v>
      </c>
      <c r="W87" s="13" t="s">
        <v>141</v>
      </c>
      <c r="X87" s="13" t="s">
        <v>141</v>
      </c>
      <c r="Y87" s="13" t="s">
        <v>141</v>
      </c>
      <c r="Z87" s="13" t="s">
        <v>141</v>
      </c>
      <c r="AA87" s="13" t="s">
        <v>141</v>
      </c>
    </row>
    <row r="88" spans="1:27" x14ac:dyDescent="0.25">
      <c r="A88" s="10" t="s">
        <v>809</v>
      </c>
      <c r="B88" s="10" t="s">
        <v>810</v>
      </c>
      <c r="C88" s="13" t="s">
        <v>141</v>
      </c>
      <c r="D88" s="13" t="s">
        <v>141</v>
      </c>
      <c r="E88" s="13" t="s">
        <v>141</v>
      </c>
      <c r="F88" s="13" t="s">
        <v>141</v>
      </c>
      <c r="G88" s="13" t="s">
        <v>141</v>
      </c>
      <c r="H88" s="13" t="s">
        <v>141</v>
      </c>
      <c r="I88" s="13" t="s">
        <v>141</v>
      </c>
      <c r="J88" s="13" t="s">
        <v>141</v>
      </c>
      <c r="K88" s="13" t="s">
        <v>141</v>
      </c>
      <c r="L88" s="13" t="s">
        <v>141</v>
      </c>
      <c r="M88" s="13" t="s">
        <v>141</v>
      </c>
      <c r="N88" s="13" t="s">
        <v>141</v>
      </c>
      <c r="O88" s="13">
        <v>5.1958332326920799E-2</v>
      </c>
      <c r="P88" s="13" t="s">
        <v>141</v>
      </c>
      <c r="Q88" s="13" t="s">
        <v>141</v>
      </c>
      <c r="R88" s="13" t="s">
        <v>141</v>
      </c>
      <c r="S88" s="13" t="s">
        <v>141</v>
      </c>
      <c r="T88" s="13" t="s">
        <v>141</v>
      </c>
      <c r="U88" s="13" t="s">
        <v>141</v>
      </c>
      <c r="V88" s="13" t="s">
        <v>141</v>
      </c>
      <c r="W88" s="13" t="s">
        <v>141</v>
      </c>
      <c r="X88" s="13" t="s">
        <v>141</v>
      </c>
      <c r="Y88" s="13" t="s">
        <v>141</v>
      </c>
      <c r="Z88" s="13" t="s">
        <v>141</v>
      </c>
      <c r="AA88" s="13" t="s">
        <v>141</v>
      </c>
    </row>
    <row r="89" spans="1:27" x14ac:dyDescent="0.25">
      <c r="A89" s="10" t="s">
        <v>811</v>
      </c>
      <c r="B89" s="10" t="s">
        <v>812</v>
      </c>
      <c r="C89" s="13">
        <v>0.62414195562362795</v>
      </c>
      <c r="D89" s="13" t="s">
        <v>141</v>
      </c>
      <c r="E89" s="13" t="s">
        <v>141</v>
      </c>
      <c r="F89" s="13" t="s">
        <v>141</v>
      </c>
      <c r="G89" s="13">
        <v>0.454170831360584</v>
      </c>
      <c r="H89" s="13" t="s">
        <v>141</v>
      </c>
      <c r="I89" s="13" t="s">
        <v>141</v>
      </c>
      <c r="J89" s="13" t="s">
        <v>141</v>
      </c>
      <c r="K89" s="13">
        <v>0.29550395487489101</v>
      </c>
      <c r="L89" s="13" t="s">
        <v>141</v>
      </c>
      <c r="M89" s="13" t="s">
        <v>141</v>
      </c>
      <c r="N89" s="13" t="s">
        <v>141</v>
      </c>
      <c r="O89" s="13">
        <v>0.24263690320653999</v>
      </c>
      <c r="P89" s="13" t="s">
        <v>141</v>
      </c>
      <c r="Q89" s="13" t="s">
        <v>141</v>
      </c>
      <c r="R89" s="13" t="s">
        <v>141</v>
      </c>
      <c r="S89" s="13">
        <v>0.221861351318352</v>
      </c>
      <c r="T89" s="13" t="s">
        <v>141</v>
      </c>
      <c r="U89" s="13" t="s">
        <v>141</v>
      </c>
      <c r="V89" s="13" t="s">
        <v>141</v>
      </c>
      <c r="W89" s="13">
        <v>0.18172893145477101</v>
      </c>
      <c r="X89" s="13" t="s">
        <v>141</v>
      </c>
      <c r="Y89" s="13" t="s">
        <v>141</v>
      </c>
      <c r="Z89" s="13" t="s">
        <v>141</v>
      </c>
      <c r="AA89" s="13">
        <v>0.114693856083857</v>
      </c>
    </row>
    <row r="90" spans="1:27" x14ac:dyDescent="0.25">
      <c r="A90" s="10" t="s">
        <v>813</v>
      </c>
      <c r="B90" s="10" t="s">
        <v>814</v>
      </c>
      <c r="C90" s="13">
        <v>-66.938891365390703</v>
      </c>
      <c r="D90" s="13">
        <v>-45.444908363906798</v>
      </c>
      <c r="E90" s="13">
        <v>-58.543165964207901</v>
      </c>
      <c r="F90" s="13">
        <v>-55.729648232506598</v>
      </c>
      <c r="G90" s="13">
        <v>-51.4517768108173</v>
      </c>
      <c r="H90" s="13">
        <v>-45.506539674963904</v>
      </c>
      <c r="I90" s="13">
        <v>-47.727440435494998</v>
      </c>
      <c r="J90" s="13">
        <v>-45.4881544760457</v>
      </c>
      <c r="K90" s="13">
        <v>-39.717692169291901</v>
      </c>
      <c r="L90" s="13">
        <v>-36.587298929827298</v>
      </c>
      <c r="M90" s="13">
        <v>-32.455707181994597</v>
      </c>
      <c r="N90" s="13">
        <v>-45.140631043341997</v>
      </c>
      <c r="O90" s="13">
        <v>-39.468899658112498</v>
      </c>
      <c r="P90" s="13">
        <v>-36.235872836965903</v>
      </c>
      <c r="Q90" s="13">
        <v>-33.618552871907603</v>
      </c>
      <c r="R90" s="13">
        <v>-20.523328585915301</v>
      </c>
      <c r="S90" s="13">
        <v>-24.593054453877901</v>
      </c>
      <c r="T90" s="13">
        <v>-22.121087047530299</v>
      </c>
      <c r="U90" s="13">
        <v>-21.842666168194398</v>
      </c>
      <c r="V90" s="13">
        <v>-28.5809100269779</v>
      </c>
      <c r="W90" s="13">
        <v>-29.609152244979001</v>
      </c>
      <c r="X90" s="13">
        <v>-27.9796286253532</v>
      </c>
      <c r="Y90" s="13">
        <v>0.53937591311326705</v>
      </c>
      <c r="Z90" s="13">
        <v>-35.1579854550695</v>
      </c>
      <c r="AA90" s="13">
        <v>-32.982585071685399</v>
      </c>
    </row>
    <row r="91" spans="1:27" x14ac:dyDescent="0.25">
      <c r="A91" s="10" t="s">
        <v>815</v>
      </c>
      <c r="B91" s="10" t="s">
        <v>816</v>
      </c>
      <c r="C91" s="13">
        <v>-5.1413740902030902</v>
      </c>
      <c r="D91" s="13">
        <v>-2.9376418756910998</v>
      </c>
      <c r="E91" s="13">
        <v>-3.3316260315541402</v>
      </c>
      <c r="F91" s="13">
        <v>-3.4677430790259098</v>
      </c>
      <c r="G91" s="13">
        <v>-3.5762885082838798</v>
      </c>
      <c r="H91" s="13">
        <v>-3.3715315771372798</v>
      </c>
      <c r="I91" s="13">
        <v>-3.4097702176437799</v>
      </c>
      <c r="J91" s="13">
        <v>-3.7438101607875698</v>
      </c>
      <c r="K91" s="13">
        <v>-3.90827152786522</v>
      </c>
      <c r="L91" s="13">
        <v>-3.9503016494182202</v>
      </c>
      <c r="M91" s="13">
        <v>-3.8032754331260201</v>
      </c>
      <c r="N91" s="13">
        <v>-5.9718281733242398</v>
      </c>
      <c r="O91" s="13">
        <v>-6.7100813162997097</v>
      </c>
      <c r="P91" s="13">
        <v>-9.03263807522546</v>
      </c>
      <c r="Q91" s="13">
        <v>-19.097110241750499</v>
      </c>
      <c r="R91" s="13" t="s">
        <v>141</v>
      </c>
      <c r="S91" s="13" t="s">
        <v>141</v>
      </c>
      <c r="T91" s="13" t="s">
        <v>141</v>
      </c>
      <c r="U91" s="13" t="s">
        <v>141</v>
      </c>
      <c r="V91" s="13" t="s">
        <v>141</v>
      </c>
      <c r="W91" s="13" t="s">
        <v>141</v>
      </c>
      <c r="X91" s="13" t="s">
        <v>141</v>
      </c>
      <c r="Y91" s="13" t="s">
        <v>141</v>
      </c>
      <c r="Z91" s="13">
        <v>-108.666580500205</v>
      </c>
      <c r="AA91" s="13">
        <v>-49.163166385336901</v>
      </c>
    </row>
    <row r="92" spans="1:27" x14ac:dyDescent="0.25">
      <c r="A92" s="10" t="s">
        <v>817</v>
      </c>
      <c r="B92" s="10" t="s">
        <v>818</v>
      </c>
      <c r="C92" s="13">
        <v>5.2498560453949104</v>
      </c>
      <c r="D92" s="13" t="s">
        <v>141</v>
      </c>
      <c r="E92" s="13">
        <v>2.3813816097784901</v>
      </c>
      <c r="F92" s="13">
        <v>2.4878114841624801</v>
      </c>
      <c r="G92" s="13">
        <v>2.5078883269161598</v>
      </c>
      <c r="H92" s="13">
        <v>2.5972881931406202</v>
      </c>
      <c r="I92" s="13">
        <v>1.2293014660231101</v>
      </c>
      <c r="J92" s="13">
        <v>1.11081513133288</v>
      </c>
      <c r="K92" s="13">
        <v>0.875466362357469</v>
      </c>
      <c r="L92" s="13">
        <v>0.874029980318063</v>
      </c>
      <c r="M92" s="13">
        <v>0.69288374262593699</v>
      </c>
      <c r="N92" s="13">
        <v>0.62693510060873003</v>
      </c>
      <c r="O92" s="13">
        <v>0.44313537931503899</v>
      </c>
      <c r="P92" s="13">
        <v>0.34028172049587202</v>
      </c>
      <c r="Q92" s="13">
        <v>0.158713608536108</v>
      </c>
      <c r="R92" s="13">
        <v>-5.4118924943179499E-2</v>
      </c>
      <c r="S92" s="13">
        <v>-0.12580683455905101</v>
      </c>
      <c r="T92" s="13">
        <v>-0.225323089441441</v>
      </c>
      <c r="U92" s="13">
        <v>-0.35255743305599901</v>
      </c>
      <c r="V92" s="13">
        <v>-0.112539407299627</v>
      </c>
      <c r="W92" s="13">
        <v>-0.15042560080211401</v>
      </c>
      <c r="X92" s="13">
        <v>-0.14992006560007301</v>
      </c>
      <c r="Y92" s="13">
        <v>-1.90768035187251E-3</v>
      </c>
      <c r="Z92" s="13">
        <v>1.8297333270868601E-2</v>
      </c>
      <c r="AA92" s="13">
        <v>3.7317838302653603E-2</v>
      </c>
    </row>
    <row r="93" spans="1:27" x14ac:dyDescent="0.25">
      <c r="A93" s="10" t="s">
        <v>819</v>
      </c>
      <c r="B93" s="10" t="s">
        <v>820</v>
      </c>
      <c r="C93" s="13">
        <v>0.42477327308448898</v>
      </c>
      <c r="D93" s="13">
        <v>0.46336467892983102</v>
      </c>
      <c r="E93" s="13">
        <v>0.231203083774878</v>
      </c>
      <c r="F93" s="13">
        <v>0.211548373440268</v>
      </c>
      <c r="G93" s="13">
        <v>0.203178694803715</v>
      </c>
      <c r="H93" s="13">
        <v>0.205197479935288</v>
      </c>
      <c r="I93" s="13">
        <v>0.166601321077405</v>
      </c>
      <c r="J93" s="13">
        <v>0.16084577582263099</v>
      </c>
      <c r="K93" s="13">
        <v>0.13112891139900301</v>
      </c>
      <c r="L93" s="13">
        <v>0.15334619043771799</v>
      </c>
      <c r="M93" s="13">
        <v>0.140003402262875</v>
      </c>
      <c r="N93" s="13">
        <v>0.12617318772818001</v>
      </c>
      <c r="O93" s="13">
        <v>0.110805796057644</v>
      </c>
      <c r="P93" s="13">
        <v>0.124467714854473</v>
      </c>
      <c r="Q93" s="13">
        <v>0.11284136491016</v>
      </c>
      <c r="R93" s="13">
        <v>9.8493178002718298E-2</v>
      </c>
      <c r="S93" s="13">
        <v>9.8859647317149801E-2</v>
      </c>
      <c r="T93" s="13">
        <v>0.111248017358798</v>
      </c>
      <c r="U93" s="13">
        <v>9.4066357943049503E-2</v>
      </c>
      <c r="V93" s="13">
        <v>8.1876327957295894E-2</v>
      </c>
      <c r="W93" s="13">
        <v>8.0471973012209305E-2</v>
      </c>
      <c r="X93" s="13">
        <v>8.2983229203328304E-2</v>
      </c>
      <c r="Y93" s="13">
        <v>7.4987667203540304E-2</v>
      </c>
      <c r="Z93" s="13">
        <v>6.5370475755397298E-2</v>
      </c>
      <c r="AA93" s="13">
        <v>6.5515569284122097E-2</v>
      </c>
    </row>
    <row r="94" spans="1:27" x14ac:dyDescent="0.25">
      <c r="A94" s="10" t="s">
        <v>821</v>
      </c>
      <c r="B94" s="10" t="s">
        <v>822</v>
      </c>
      <c r="C94" s="13" t="s">
        <v>141</v>
      </c>
      <c r="D94" s="13">
        <v>51.1155630166649</v>
      </c>
      <c r="E94" s="13">
        <v>19.655451881177001</v>
      </c>
      <c r="F94" s="13">
        <v>27.010315814074598</v>
      </c>
      <c r="G94" s="13">
        <v>12.0281702401619</v>
      </c>
      <c r="H94" s="13">
        <v>18.955665276378902</v>
      </c>
      <c r="I94" s="13">
        <v>8.1749568141224707</v>
      </c>
      <c r="J94" s="13">
        <v>7.0830437250153704</v>
      </c>
      <c r="K94" s="13">
        <v>4.9923246751379002</v>
      </c>
      <c r="L94" s="13">
        <v>5.4063567404106996</v>
      </c>
      <c r="M94" s="13">
        <v>5.5822692523484596</v>
      </c>
      <c r="N94" s="13">
        <v>6.1660477612473299</v>
      </c>
      <c r="O94" s="13">
        <v>3.4092952166494999</v>
      </c>
      <c r="P94" s="13">
        <v>3.6424181130580799</v>
      </c>
      <c r="Q94" s="13">
        <v>4.4431548061398898</v>
      </c>
      <c r="R94" s="13">
        <v>6.4377385789709702</v>
      </c>
      <c r="S94" s="13">
        <v>4.5542727343734803</v>
      </c>
      <c r="T94" s="13">
        <v>5.1776131653272204</v>
      </c>
      <c r="U94" s="13">
        <v>3.4763504306964901</v>
      </c>
      <c r="V94" s="13">
        <v>2.92385695713523</v>
      </c>
      <c r="W94" s="13">
        <v>2.1176345472965199</v>
      </c>
      <c r="X94" s="13">
        <v>2.2848573078135899</v>
      </c>
      <c r="Y94" s="13">
        <v>1.67688090733468</v>
      </c>
      <c r="Z94" s="13">
        <v>1.6545172827172401</v>
      </c>
      <c r="AA94" s="13">
        <v>1.65862028220396</v>
      </c>
    </row>
    <row r="95" spans="1:27" x14ac:dyDescent="0.25">
      <c r="A95" s="10" t="s">
        <v>823</v>
      </c>
      <c r="B95" s="10" t="s">
        <v>824</v>
      </c>
      <c r="C95" s="13">
        <v>1065</v>
      </c>
      <c r="D95" s="13" t="s">
        <v>141</v>
      </c>
      <c r="E95" s="13" t="s">
        <v>141</v>
      </c>
      <c r="F95" s="13" t="s">
        <v>141</v>
      </c>
      <c r="G95" s="13">
        <v>1323</v>
      </c>
      <c r="H95" s="13" t="s">
        <v>141</v>
      </c>
      <c r="I95" s="13" t="s">
        <v>141</v>
      </c>
      <c r="J95" s="13" t="s">
        <v>141</v>
      </c>
      <c r="K95" s="13">
        <v>1453</v>
      </c>
      <c r="L95" s="13" t="s">
        <v>141</v>
      </c>
      <c r="M95" s="13" t="s">
        <v>141</v>
      </c>
      <c r="N95" s="13" t="s">
        <v>141</v>
      </c>
      <c r="O95" s="13">
        <v>1665</v>
      </c>
      <c r="P95" s="13" t="s">
        <v>141</v>
      </c>
      <c r="Q95" s="13" t="s">
        <v>141</v>
      </c>
      <c r="R95" s="13" t="s">
        <v>141</v>
      </c>
      <c r="S95" s="13">
        <v>2002</v>
      </c>
      <c r="T95" s="13" t="s">
        <v>141</v>
      </c>
      <c r="U95" s="13" t="s">
        <v>141</v>
      </c>
      <c r="V95" s="13" t="s">
        <v>141</v>
      </c>
      <c r="W95" s="13">
        <v>2100</v>
      </c>
      <c r="X95" s="13" t="s">
        <v>141</v>
      </c>
      <c r="Y95" s="13" t="s">
        <v>141</v>
      </c>
      <c r="Z95" s="13" t="s">
        <v>141</v>
      </c>
      <c r="AA95" s="13">
        <v>2230</v>
      </c>
    </row>
    <row r="96" spans="1:27" x14ac:dyDescent="0.25">
      <c r="A96" s="7" t="s">
        <v>90</v>
      </c>
      <c r="B96" s="7"/>
      <c r="C96" s="7" t="s">
        <v>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25"/>
  <sheetViews>
    <sheetView workbookViewId="0">
      <selection activeCell="N21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1140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1141</v>
      </c>
      <c r="B6" s="10" t="s">
        <v>998</v>
      </c>
      <c r="C6" s="13">
        <f>_xll.BDH("ALNY US Equity","ARDR_FV_ASSETS_REC_LEVEL_1","FQ4 2018","FQ4 2018","Currency=USD","Period=FQ","BEST_FPERIOD_OVERRIDE=FQ","FILING_STATUS=MR","SCALING_FORMAT=MLN","Sort=A","Dates=H","DateFormat=P","Fill=—","Direction=H","UseDPDF=Y")</f>
        <v>105.128</v>
      </c>
      <c r="D6" s="13">
        <f>_xll.BDH("ALNY US Equity","ARDR_FV_ASSETS_REC_LEVEL_1","FQ1 2019","FQ1 2019","Currency=USD","Period=FQ","BEST_FPERIOD_OVERRIDE=FQ","FILING_STATUS=MR","SCALING_FORMAT=MLN","Sort=A","Dates=H","DateFormat=P","Fill=—","Direction=H","UseDPDF=Y")</f>
        <v>99.713999999999999</v>
      </c>
      <c r="E6" s="13">
        <f>_xll.BDH("ALNY US Equity","ARDR_FV_ASSETS_REC_LEVEL_1","FQ2 2019","FQ2 2019","Currency=USD","Period=FQ","BEST_FPERIOD_OVERRIDE=FQ","FILING_STATUS=MR","SCALING_FORMAT=MLN","Sort=A","Dates=H","DateFormat=P","Fill=—","Direction=H","UseDPDF=Y")</f>
        <v>95.975999999999999</v>
      </c>
      <c r="F6" s="13">
        <f>_xll.BDH("ALNY US Equity","ARDR_FV_ASSETS_REC_LEVEL_1","FQ3 2019","FQ3 2019","Currency=USD","Period=FQ","BEST_FPERIOD_OVERRIDE=FQ","FILING_STATUS=MR","SCALING_FORMAT=MLN","Sort=A","Dates=H","DateFormat=P","Fill=—","Direction=H","UseDPDF=Y")</f>
        <v>135.92099999999999</v>
      </c>
      <c r="G6" s="13">
        <f>_xll.BDH("ALNY US Equity","ARDR_FV_ASSETS_REC_LEVEL_1","FQ4 2019","FQ4 2019","Currency=USD","Period=FQ","BEST_FPERIOD_OVERRIDE=FQ","FILING_STATUS=MR","SCALING_FORMAT=MLN","Sort=A","Dates=H","DateFormat=P","Fill=—","Direction=H","UseDPDF=Y")</f>
        <v>135.33099999999999</v>
      </c>
      <c r="H6" s="13">
        <f>_xll.BDH("ALNY US Equity","ARDR_FV_ASSETS_REC_LEVEL_1","FQ1 2020","FQ1 2020","Currency=USD","Period=FQ","BEST_FPERIOD_OVERRIDE=FQ","FILING_STATUS=MR","SCALING_FORMAT=MLN","Sort=A","Dates=H","DateFormat=P","Fill=—","Direction=H","UseDPDF=Y")</f>
        <v>135.33099999999999</v>
      </c>
      <c r="I6" s="13">
        <f>_xll.BDH("ALNY US Equity","ARDR_FV_ASSETS_REC_LEVEL_1","FQ2 2020","FQ2 2020","Currency=USD","Period=FQ","BEST_FPERIOD_OVERRIDE=FQ","FILING_STATUS=MR","SCALING_FORMAT=MLN","Sort=A","Dates=H","DateFormat=P","Fill=—","Direction=H","UseDPDF=Y")</f>
        <v>472.774</v>
      </c>
      <c r="J6" s="13">
        <f>_xll.BDH("ALNY US Equity","ARDR_FV_ASSETS_REC_LEVEL_1","FQ3 2020","FQ3 2020","Currency=USD","Period=FQ","BEST_FPERIOD_OVERRIDE=FQ","FILING_STATUS=MR","SCALING_FORMAT=MLN","Sort=A","Dates=H","DateFormat=P","Fill=—","Direction=H","UseDPDF=Y")</f>
        <v>353.47</v>
      </c>
      <c r="K6" s="13">
        <f>_xll.BDH("ALNY US Equity","ARDR_FV_ASSETS_REC_LEVEL_1","FQ4 2020","FQ4 2020","Currency=USD","Period=FQ","BEST_FPERIOD_OVERRIDE=FQ","FILING_STATUS=MR","SCALING_FORMAT=MLN","Sort=A","Dates=H","DateFormat=P","Fill=—","Direction=H","UseDPDF=Y")</f>
        <v>121.842</v>
      </c>
      <c r="L6" s="13">
        <f>_xll.BDH("ALNY US Equity","ARDR_FV_ASSETS_REC_LEVEL_1","FQ1 2021","FQ1 2021","Currency=USD","Period=FQ","BEST_FPERIOD_OVERRIDE=FQ","FILING_STATUS=MR","SCALING_FORMAT=MLN","Sort=A","Dates=H","DateFormat=P","Fill=—","Direction=H","UseDPDF=Y")</f>
        <v>235.92</v>
      </c>
      <c r="M6" s="13">
        <f>_xll.BDH("ALNY US Equity","ARDR_FV_ASSETS_REC_LEVEL_1","FQ2 2021","FQ2 2021","Currency=USD","Period=FQ","BEST_FPERIOD_OVERRIDE=FQ","FILING_STATUS=MR","SCALING_FORMAT=MLN","Sort=A","Dates=H","DateFormat=P","Fill=—","Direction=H","UseDPDF=Y")</f>
        <v>293.10000000000002</v>
      </c>
      <c r="N6" s="13">
        <f>_xll.BDH("ALNY US Equity","ARDR_FV_ASSETS_REC_LEVEL_1","FQ3 2021","FQ3 2021","Currency=USD","Period=FQ","BEST_FPERIOD_OVERRIDE=FQ","FILING_STATUS=MR","SCALING_FORMAT=MLN","Sort=A","Dates=H","DateFormat=P","Fill=—","Direction=H","UseDPDF=Y")</f>
        <v>415.34800000000001</v>
      </c>
      <c r="O6" s="13">
        <f>_xll.BDH("ALNY US Equity","ARDR_FV_ASSETS_REC_LEVEL_1","FQ4 2021","FQ4 2021","Currency=USD","Period=FQ","BEST_FPERIOD_OVERRIDE=FQ","FILING_STATUS=MR","SCALING_FORMAT=MLN","Sort=A","Dates=H","DateFormat=P","Fill=—","Direction=H","UseDPDF=Y")</f>
        <v>324.036</v>
      </c>
      <c r="P6" s="13">
        <f>_xll.BDH("ALNY US Equity","ARDR_FV_ASSETS_REC_LEVEL_1","FQ1 2022","FQ1 2022","Currency=USD","Period=FQ","BEST_FPERIOD_OVERRIDE=FQ","FILING_STATUS=MR","SCALING_FORMAT=MLN","Sort=A","Dates=H","DateFormat=P","Fill=—","Direction=H","UseDPDF=Y")</f>
        <v>193.46100000000001</v>
      </c>
      <c r="Q6" s="13">
        <f>_xll.BDH("ALNY US Equity","ARDR_FV_ASSETS_REC_LEVEL_1","FQ2 2022","FQ2 2022","Currency=USD","Period=FQ","BEST_FPERIOD_OVERRIDE=FQ","FILING_STATUS=MR","SCALING_FORMAT=MLN","Sort=A","Dates=H","DateFormat=P","Fill=—","Direction=H","UseDPDF=Y")</f>
        <v>211.82599999999999</v>
      </c>
      <c r="R6" s="13">
        <f>_xll.BDH("ALNY US Equity","ARDR_FV_ASSETS_REC_LEVEL_1","FQ3 2022","FQ3 2022","Currency=USD","Period=FQ","BEST_FPERIOD_OVERRIDE=FQ","FILING_STATUS=MR","SCALING_FORMAT=MLN","Sort=A","Dates=H","DateFormat=P","Fill=—","Direction=H","UseDPDF=Y")</f>
        <v>454.71699999999998</v>
      </c>
      <c r="S6" s="13">
        <f>_xll.BDH("ALNY US Equity","ARDR_FV_ASSETS_REC_LEVEL_1","FQ4 2022","FQ4 2022","Currency=USD","Period=FQ","BEST_FPERIOD_OVERRIDE=FQ","FILING_STATUS=MR","SCALING_FORMAT=MLN","Sort=A","Dates=H","DateFormat=P","Fill=—","Direction=H","UseDPDF=Y")</f>
        <v>299.71300000000002</v>
      </c>
      <c r="T6" s="13">
        <f>_xll.BDH("ALNY US Equity","ARDR_FV_ASSETS_REC_LEVEL_1","FQ1 2023","FQ1 2023","Currency=USD","Period=FQ","BEST_FPERIOD_OVERRIDE=FQ","FILING_STATUS=MR","SCALING_FORMAT=MLN","Sort=A","Dates=H","DateFormat=P","Fill=—","Direction=H","UseDPDF=Y")</f>
        <v>241.31299999999999</v>
      </c>
      <c r="U6" s="13">
        <f>_xll.BDH("ALNY US Equity","ARDR_FV_ASSETS_REC_LEVEL_1","FQ2 2023","FQ2 2023","Currency=USD","Period=FQ","BEST_FPERIOD_OVERRIDE=FQ","FILING_STATUS=MR","SCALING_FORMAT=MLN","Sort=A","Dates=H","DateFormat=P","Fill=—","Direction=H","UseDPDF=Y")</f>
        <v>116.723</v>
      </c>
      <c r="V6" s="13">
        <f>_xll.BDH("ALNY US Equity","ARDR_FV_ASSETS_REC_LEVEL_1","FQ3 2023","FQ3 2023","Currency=USD","Period=FQ","BEST_FPERIOD_OVERRIDE=FQ","FILING_STATUS=MR","SCALING_FORMAT=MLN","Sort=A","Dates=H","DateFormat=P","Fill=—","Direction=H","UseDPDF=Y")</f>
        <v>73.417000000000002</v>
      </c>
      <c r="W6" s="13">
        <f>_xll.BDH("ALNY US Equity","ARDR_FV_ASSETS_REC_LEVEL_1","FQ4 2023","FQ4 2023","Currency=USD","Period=FQ","BEST_FPERIOD_OVERRIDE=FQ","FILING_STATUS=MR","SCALING_FORMAT=MLN","Sort=A","Dates=H","DateFormat=P","Fill=—","Direction=H","UseDPDF=Y")</f>
        <v>178.447</v>
      </c>
      <c r="X6" s="13">
        <f>_xll.BDH("ALNY US Equity","ARDR_FV_ASSETS_REC_LEVEL_1","FQ1 2024","FQ1 2024","Currency=USD","Period=FQ","BEST_FPERIOD_OVERRIDE=FQ","FILING_STATUS=MR","SCALING_FORMAT=MLN","Sort=A","Dates=H","DateFormat=P","Fill=—","Direction=H","UseDPDF=Y")</f>
        <v>139.02000000000001</v>
      </c>
      <c r="Y6" s="13">
        <f>_xll.BDH("ALNY US Equity","ARDR_FV_ASSETS_REC_LEVEL_1","FQ2 2024","FQ2 2024","Currency=USD","Period=FQ","BEST_FPERIOD_OVERRIDE=FQ","FILING_STATUS=MR","SCALING_FORMAT=MLN","Sort=A","Dates=H","DateFormat=P","Fill=—","Direction=H","UseDPDF=Y")</f>
        <v>169.57300000000001</v>
      </c>
      <c r="Z6" s="13">
        <f>_xll.BDH("ALNY US Equity","ARDR_FV_ASSETS_REC_LEVEL_1","FQ3 2024","FQ3 2024","Currency=USD","Period=FQ","BEST_FPERIOD_OVERRIDE=FQ","FILING_STATUS=MR","SCALING_FORMAT=MLN","Sort=A","Dates=H","DateFormat=P","Fill=—","Direction=H","UseDPDF=Y")</f>
        <v>191.82400000000001</v>
      </c>
      <c r="AA6" s="13">
        <f>_xll.BDH("ALNY US Equity","ARDR_FV_ASSETS_REC_LEVEL_1","FQ4 2024","FQ4 2024","Currency=USD","Period=FQ","BEST_FPERIOD_OVERRIDE=FQ","FILING_STATUS=MR","SCALING_FORMAT=MLN","Sort=A","Dates=H","DateFormat=P","Fill=—","Direction=H","UseDPDF=Y")</f>
        <v>199.845</v>
      </c>
    </row>
    <row r="7" spans="1:27" x14ac:dyDescent="0.25">
      <c r="A7" s="10" t="s">
        <v>1142</v>
      </c>
      <c r="B7" s="10" t="s">
        <v>1000</v>
      </c>
      <c r="C7" s="13">
        <f>_xll.BDH("ALNY US Equity","ARDR_FV_ASSETS_REC_LEVEL_2","FQ4 2018","FQ4 2018","Currency=USD","Period=FQ","BEST_FPERIOD_OVERRIDE=FQ","FILING_STATUS=MR","SCALING_FORMAT=MLN","Sort=A","Dates=H","DateFormat=P","Fill=—","Direction=H","UseDPDF=Y")</f>
        <v>884.08399999999995</v>
      </c>
      <c r="D7" s="13">
        <f>_xll.BDH("ALNY US Equity","ARDR_FV_ASSETS_REC_LEVEL_2","FQ1 2019","FQ1 2019","Currency=USD","Period=FQ","BEST_FPERIOD_OVERRIDE=FQ","FILING_STATUS=MR","SCALING_FORMAT=MLN","Sort=A","Dates=H","DateFormat=P","Fill=—","Direction=H","UseDPDF=Y")</f>
        <v>1049.809</v>
      </c>
      <c r="E7" s="13">
        <f>_xll.BDH("ALNY US Equity","ARDR_FV_ASSETS_REC_LEVEL_2","FQ2 2019","FQ2 2019","Currency=USD","Period=FQ","BEST_FPERIOD_OVERRIDE=FQ","FILING_STATUS=MR","SCALING_FORMAT=MLN","Sort=A","Dates=H","DateFormat=P","Fill=—","Direction=H","UseDPDF=Y")</f>
        <v>1589.326</v>
      </c>
      <c r="F7" s="13">
        <f>_xll.BDH("ALNY US Equity","ARDR_FV_ASSETS_REC_LEVEL_2","FQ3 2019","FQ3 2019","Currency=USD","Period=FQ","BEST_FPERIOD_OVERRIDE=FQ","FILING_STATUS=MR","SCALING_FORMAT=MLN","Sort=A","Dates=H","DateFormat=P","Fill=—","Direction=H","UseDPDF=Y")</f>
        <v>1471.8969999999999</v>
      </c>
      <c r="G7" s="13">
        <f>_xll.BDH("ALNY US Equity","ARDR_FV_ASSETS_REC_LEVEL_2","FQ4 2019","FQ4 2019","Currency=USD","Period=FQ","BEST_FPERIOD_OVERRIDE=FQ","FILING_STATUS=MR","SCALING_FORMAT=MLN","Sort=A","Dates=H","DateFormat=P","Fill=—","Direction=H","UseDPDF=Y")</f>
        <v>1310.848</v>
      </c>
      <c r="H7" s="13">
        <f>_xll.BDH("ALNY US Equity","ARDR_FV_ASSETS_REC_LEVEL_2","FQ1 2020","FQ1 2020","Currency=USD","Period=FQ","BEST_FPERIOD_OVERRIDE=FQ","FILING_STATUS=MR","SCALING_FORMAT=MLN","Sort=A","Dates=H","DateFormat=P","Fill=—","Direction=H","UseDPDF=Y")</f>
        <v>1315.1489999999999</v>
      </c>
      <c r="I7" s="13">
        <f>_xll.BDH("ALNY US Equity","ARDR_FV_ASSETS_REC_LEVEL_2","FQ2 2020","FQ2 2020","Currency=USD","Period=FQ","BEST_FPERIOD_OVERRIDE=FQ","FILING_STATUS=MR","SCALING_FORMAT=MLN","Sort=A","Dates=H","DateFormat=P","Fill=—","Direction=H","UseDPDF=Y")</f>
        <v>1309.212</v>
      </c>
      <c r="J7" s="13">
        <f>_xll.BDH("ALNY US Equity","ARDR_FV_ASSETS_REC_LEVEL_2","FQ3 2020","FQ3 2020","Currency=USD","Period=FQ","BEST_FPERIOD_OVERRIDE=FQ","FILING_STATUS=MR","SCALING_FORMAT=MLN","Sort=A","Dates=H","DateFormat=P","Fill=—","Direction=H","UseDPDF=Y")</f>
        <v>1294.9549999999999</v>
      </c>
      <c r="K7" s="13">
        <f>_xll.BDH("ALNY US Equity","ARDR_FV_ASSETS_REC_LEVEL_2","FQ4 2020","FQ4 2020","Currency=USD","Period=FQ","BEST_FPERIOD_OVERRIDE=FQ","FILING_STATUS=MR","SCALING_FORMAT=MLN","Sort=A","Dates=H","DateFormat=P","Fill=—","Direction=H","UseDPDF=Y")</f>
        <v>1353.182</v>
      </c>
      <c r="L7" s="13">
        <f>_xll.BDH("ALNY US Equity","ARDR_FV_ASSETS_REC_LEVEL_2","FQ1 2021","FQ1 2021","Currency=USD","Period=FQ","BEST_FPERIOD_OVERRIDE=FQ","FILING_STATUS=MR","SCALING_FORMAT=MLN","Sort=A","Dates=H","DateFormat=P","Fill=—","Direction=H","UseDPDF=Y")</f>
        <v>1273.027</v>
      </c>
      <c r="M7" s="13">
        <f>_xll.BDH("ALNY US Equity","ARDR_FV_ASSETS_REC_LEVEL_2","FQ2 2021","FQ2 2021","Currency=USD","Period=FQ","BEST_FPERIOD_OVERRIDE=FQ","FILING_STATUS=MR","SCALING_FORMAT=MLN","Sort=A","Dates=H","DateFormat=P","Fill=—","Direction=H","UseDPDF=Y")</f>
        <v>1101.7819999999999</v>
      </c>
      <c r="N7" s="13">
        <f>_xll.BDH("ALNY US Equity","ARDR_FV_ASSETS_REC_LEVEL_2","FQ3 2021","FQ3 2021","Currency=USD","Period=FQ","BEST_FPERIOD_OVERRIDE=FQ","FILING_STATUS=MR","SCALING_FORMAT=MLN","Sort=A","Dates=H","DateFormat=P","Fill=—","Direction=H","UseDPDF=Y")</f>
        <v>1171.3240000000001</v>
      </c>
      <c r="O7" s="13">
        <f>_xll.BDH("ALNY US Equity","ARDR_FV_ASSETS_REC_LEVEL_2","FQ4 2021","FQ4 2021","Currency=USD","Period=FQ","BEST_FPERIOD_OVERRIDE=FQ","FILING_STATUS=MR","SCALING_FORMAT=MLN","Sort=A","Dates=H","DateFormat=P","Fill=—","Direction=H","UseDPDF=Y")</f>
        <v>1603.615</v>
      </c>
      <c r="P7" s="13">
        <f>_xll.BDH("ALNY US Equity","ARDR_FV_ASSETS_REC_LEVEL_2","FQ1 2022","FQ1 2022","Currency=USD","Period=FQ","BEST_FPERIOD_OVERRIDE=FQ","FILING_STATUS=MR","SCALING_FORMAT=MLN","Sort=A","Dates=H","DateFormat=P","Fill=—","Direction=H","UseDPDF=Y")</f>
        <v>1727.451</v>
      </c>
      <c r="Q7" s="13">
        <f>_xll.BDH("ALNY US Equity","ARDR_FV_ASSETS_REC_LEVEL_2","FQ2 2022","FQ2 2022","Currency=USD","Period=FQ","BEST_FPERIOD_OVERRIDE=FQ","FILING_STATUS=MR","SCALING_FORMAT=MLN","Sort=A","Dates=H","DateFormat=P","Fill=—","Direction=H","UseDPDF=Y")</f>
        <v>1593.7280000000001</v>
      </c>
      <c r="R7" s="13">
        <f>_xll.BDH("ALNY US Equity","ARDR_FV_ASSETS_REC_LEVEL_2","FQ3 2022","FQ3 2022","Currency=USD","Period=FQ","BEST_FPERIOD_OVERRIDE=FQ","FILING_STATUS=MR","SCALING_FORMAT=MLN","Sort=A","Dates=H","DateFormat=P","Fill=—","Direction=H","UseDPDF=Y")</f>
        <v>1238.1279999999999</v>
      </c>
      <c r="S7" s="13">
        <f>_xll.BDH("ALNY US Equity","ARDR_FV_ASSETS_REC_LEVEL_2","FQ4 2022","FQ4 2022","Currency=USD","Period=FQ","BEST_FPERIOD_OVERRIDE=FQ","FILING_STATUS=MR","SCALING_FORMAT=MLN","Sort=A","Dates=H","DateFormat=P","Fill=—","Direction=H","UseDPDF=Y")</f>
        <v>1411.133</v>
      </c>
      <c r="T7" s="13">
        <f>_xll.BDH("ALNY US Equity","ARDR_FV_ASSETS_REC_LEVEL_2","FQ1 2023","FQ1 2023","Currency=USD","Period=FQ","BEST_FPERIOD_OVERRIDE=FQ","FILING_STATUS=MR","SCALING_FORMAT=MLN","Sort=A","Dates=H","DateFormat=P","Fill=—","Direction=H","UseDPDF=Y")</f>
        <v>1376.7619999999999</v>
      </c>
      <c r="U7" s="13">
        <f>_xll.BDH("ALNY US Equity","ARDR_FV_ASSETS_REC_LEVEL_2","FQ2 2023","FQ2 2023","Currency=USD","Period=FQ","BEST_FPERIOD_OVERRIDE=FQ","FILING_STATUS=MR","SCALING_FORMAT=MLN","Sort=A","Dates=H","DateFormat=P","Fill=—","Direction=H","UseDPDF=Y")</f>
        <v>1380.383</v>
      </c>
      <c r="V7" s="13">
        <f>_xll.BDH("ALNY US Equity","ARDR_FV_ASSETS_REC_LEVEL_2","FQ3 2023","FQ3 2023","Currency=USD","Period=FQ","BEST_FPERIOD_OVERRIDE=FQ","FILING_STATUS=MR","SCALING_FORMAT=MLN","Sort=A","Dates=H","DateFormat=P","Fill=—","Direction=H","UseDPDF=Y")</f>
        <v>1380.951</v>
      </c>
      <c r="W7" s="13">
        <f>_xll.BDH("ALNY US Equity","ARDR_FV_ASSETS_REC_LEVEL_2","FQ4 2023","FQ4 2023","Currency=USD","Period=FQ","BEST_FPERIOD_OVERRIDE=FQ","FILING_STATUS=MR","SCALING_FORMAT=MLN","Sort=A","Dates=H","DateFormat=P","Fill=—","Direction=H","UseDPDF=Y")</f>
        <v>1649.675</v>
      </c>
      <c r="X7" s="13">
        <f>_xll.BDH("ALNY US Equity","ARDR_FV_ASSETS_REC_LEVEL_2","FQ1 2024","FQ1 2024","Currency=USD","Period=FQ","BEST_FPERIOD_OVERRIDE=FQ","FILING_STATUS=MR","SCALING_FORMAT=MLN","Sort=A","Dates=H","DateFormat=P","Fill=—","Direction=H","UseDPDF=Y")</f>
        <v>1734.915</v>
      </c>
      <c r="Y7" s="13">
        <f>_xll.BDH("ALNY US Equity","ARDR_FV_ASSETS_REC_LEVEL_2","FQ2 2024","FQ2 2024","Currency=USD","Period=FQ","BEST_FPERIOD_OVERRIDE=FQ","FILING_STATUS=MR","SCALING_FORMAT=MLN","Sort=A","Dates=H","DateFormat=P","Fill=—","Direction=H","UseDPDF=Y")</f>
        <v>1688.883</v>
      </c>
      <c r="Z7" s="13">
        <f>_xll.BDH("ALNY US Equity","ARDR_FV_ASSETS_REC_LEVEL_2","FQ3 2024","FQ3 2024","Currency=USD","Period=FQ","BEST_FPERIOD_OVERRIDE=FQ","FILING_STATUS=MR","SCALING_FORMAT=MLN","Sort=A","Dates=H","DateFormat=P","Fill=—","Direction=H","UseDPDF=Y")</f>
        <v>1681.1769999999999</v>
      </c>
      <c r="AA7" s="13">
        <f>_xll.BDH("ALNY US Equity","ARDR_FV_ASSETS_REC_LEVEL_2","FQ4 2024","FQ4 2024","Currency=USD","Period=FQ","BEST_FPERIOD_OVERRIDE=FQ","FILING_STATUS=MR","SCALING_FORMAT=MLN","Sort=A","Dates=H","DateFormat=P","Fill=—","Direction=H","UseDPDF=Y")</f>
        <v>1789.009</v>
      </c>
    </row>
    <row r="8" spans="1:27" x14ac:dyDescent="0.25">
      <c r="A8" s="10" t="s">
        <v>1143</v>
      </c>
      <c r="B8" s="10" t="s">
        <v>1002</v>
      </c>
      <c r="C8" s="13">
        <f>_xll.BDH("ALNY US Equity","ARDR_FV_ASSETS_REC_LEVEL_3","FQ4 2018","FQ4 2018","Currency=USD","Period=FQ","BEST_FPERIOD_OVERRIDE=FQ","FILING_STATUS=MR","SCALING_FORMAT=MLN","Sort=A","Dates=H","DateFormat=P","Fill=—","Direction=H","UseDPDF=Y")</f>
        <v>0</v>
      </c>
      <c r="D8" s="13">
        <f>_xll.BDH("ALNY US Equity","ARDR_FV_ASSETS_REC_LEVEL_3","FQ1 2019","FQ1 2019","Currency=USD","Period=FQ","BEST_FPERIOD_OVERRIDE=FQ","FILING_STATUS=MR","SCALING_FORMAT=MLN","Sort=A","Dates=H","DateFormat=P","Fill=—","Direction=H","UseDPDF=Y")</f>
        <v>0</v>
      </c>
      <c r="E8" s="13">
        <f>_xll.BDH("ALNY US Equity","ARDR_FV_ASSETS_REC_LEVEL_3","FQ2 2019","FQ2 2019","Currency=USD","Period=FQ","BEST_FPERIOD_OVERRIDE=FQ","FILING_STATUS=MR","SCALING_FORMAT=MLN","Sort=A","Dates=H","DateFormat=P","Fill=—","Direction=H","UseDPDF=Y")</f>
        <v>0</v>
      </c>
      <c r="F8" s="13">
        <f>_xll.BDH("ALNY US Equity","ARDR_FV_ASSETS_REC_LEVEL_3","FQ3 2019","FQ3 2019","Currency=USD","Period=FQ","BEST_FPERIOD_OVERRIDE=FQ","FILING_STATUS=MR","SCALING_FORMAT=MLN","Sort=A","Dates=H","DateFormat=P","Fill=—","Direction=H","UseDPDF=Y")</f>
        <v>0</v>
      </c>
      <c r="G8" s="13">
        <f>_xll.BDH("ALNY US Equity","ARDR_FV_ASSETS_REC_LEVEL_3","FQ4 2019","FQ4 2019","Currency=USD","Period=FQ","BEST_FPERIOD_OVERRIDE=FQ","FILING_STATUS=MR","SCALING_FORMAT=MLN","Sort=A","Dates=H","DateFormat=P","Fill=—","Direction=H","UseDPDF=Y")</f>
        <v>0</v>
      </c>
      <c r="H8" s="13">
        <f>_xll.BDH("ALNY US Equity","ARDR_FV_ASSETS_REC_LEVEL_3","FQ1 2020","FQ1 2020","Currency=USD","Period=FQ","BEST_FPERIOD_OVERRIDE=FQ","FILING_STATUS=MR","SCALING_FORMAT=MLN","Sort=A","Dates=H","DateFormat=P","Fill=—","Direction=H","UseDPDF=Y")</f>
        <v>0</v>
      </c>
      <c r="I8" s="13">
        <f>_xll.BDH("ALNY US Equity","ARDR_FV_ASSETS_REC_LEVEL_3","FQ2 2020","FQ2 2020","Currency=USD","Period=FQ","BEST_FPERIOD_OVERRIDE=FQ","FILING_STATUS=MR","SCALING_FORMAT=MLN","Sort=A","Dates=H","DateFormat=P","Fill=—","Direction=H","UseDPDF=Y")</f>
        <v>0</v>
      </c>
      <c r="J8" s="13">
        <f>_xll.BDH("ALNY US Equity","ARDR_FV_ASSETS_REC_LEVEL_3","FQ3 2020","FQ3 2020","Currency=USD","Period=FQ","BEST_FPERIOD_OVERRIDE=FQ","FILING_STATUS=MR","SCALING_FORMAT=MLN","Sort=A","Dates=H","DateFormat=P","Fill=—","Direction=H","UseDPDF=Y")</f>
        <v>0</v>
      </c>
      <c r="K8" s="13">
        <f>_xll.BDH("ALNY US Equity","ARDR_FV_ASSETS_REC_LEVEL_3","FQ4 2020","FQ4 2020","Currency=USD","Period=FQ","BEST_FPERIOD_OVERRIDE=FQ","FILING_STATUS=MR","SCALING_FORMAT=MLN","Sort=A","Dates=H","DateFormat=P","Fill=—","Direction=H","UseDPDF=Y")</f>
        <v>0</v>
      </c>
      <c r="L8" s="13">
        <f>_xll.BDH("ALNY US Equity","ARDR_FV_ASSETS_REC_LEVEL_3","FQ1 2021","FQ1 2021","Currency=USD","Period=FQ","BEST_FPERIOD_OVERRIDE=FQ","FILING_STATUS=MR","SCALING_FORMAT=MLN","Sort=A","Dates=H","DateFormat=P","Fill=—","Direction=H","UseDPDF=Y")</f>
        <v>0</v>
      </c>
      <c r="M8" s="13">
        <f>_xll.BDH("ALNY US Equity","ARDR_FV_ASSETS_REC_LEVEL_3","FQ2 2021","FQ2 2021","Currency=USD","Period=FQ","BEST_FPERIOD_OVERRIDE=FQ","FILING_STATUS=MR","SCALING_FORMAT=MLN","Sort=A","Dates=H","DateFormat=P","Fill=—","Direction=H","UseDPDF=Y")</f>
        <v>0</v>
      </c>
      <c r="N8" s="13">
        <f>_xll.BDH("ALNY US Equity","ARDR_FV_ASSETS_REC_LEVEL_3","FQ3 2021","FQ3 2021","Currency=USD","Period=FQ","BEST_FPERIOD_OVERRIDE=FQ","FILING_STATUS=MR","SCALING_FORMAT=MLN","Sort=A","Dates=H","DateFormat=P","Fill=—","Direction=H","UseDPDF=Y")</f>
        <v>0</v>
      </c>
      <c r="O8" s="13">
        <f>_xll.BDH("ALNY US Equity","ARDR_FV_ASSETS_REC_LEVEL_3","FQ4 2021","FQ4 2021","Currency=USD","Period=FQ","BEST_FPERIOD_OVERRIDE=FQ","FILING_STATUS=MR","SCALING_FORMAT=MLN","Sort=A","Dates=H","DateFormat=P","Fill=—","Direction=H","UseDPDF=Y")</f>
        <v>0</v>
      </c>
      <c r="P8" s="13">
        <f>_xll.BDH("ALNY US Equity","ARDR_FV_ASSETS_REC_LEVEL_3","FQ1 2022","FQ1 2022","Currency=USD","Period=FQ","BEST_FPERIOD_OVERRIDE=FQ","FILING_STATUS=MR","SCALING_FORMAT=MLN","Sort=A","Dates=H","DateFormat=P","Fill=—","Direction=H","UseDPDF=Y")</f>
        <v>0</v>
      </c>
      <c r="Q8" s="13">
        <f>_xll.BDH("ALNY US Equity","ARDR_FV_ASSETS_REC_LEVEL_3","FQ2 2022","FQ2 2022","Currency=USD","Period=FQ","BEST_FPERIOD_OVERRIDE=FQ","FILING_STATUS=MR","SCALING_FORMAT=MLN","Sort=A","Dates=H","DateFormat=P","Fill=—","Direction=H","UseDPDF=Y")</f>
        <v>0</v>
      </c>
      <c r="R8" s="13">
        <f>_xll.BDH("ALNY US Equity","ARDR_FV_ASSETS_REC_LEVEL_3","FQ3 2022","FQ3 2022","Currency=USD","Period=FQ","BEST_FPERIOD_OVERRIDE=FQ","FILING_STATUS=MR","SCALING_FORMAT=MLN","Sort=A","Dates=H","DateFormat=P","Fill=—","Direction=H","UseDPDF=Y")</f>
        <v>0</v>
      </c>
      <c r="S8" s="13">
        <f>_xll.BDH("ALNY US Equity","ARDR_FV_ASSETS_REC_LEVEL_3","FQ4 2022","FQ4 2022","Currency=USD","Period=FQ","BEST_FPERIOD_OVERRIDE=FQ","FILING_STATUS=MR","SCALING_FORMAT=MLN","Sort=A","Dates=H","DateFormat=P","Fill=—","Direction=H","UseDPDF=Y")</f>
        <v>0</v>
      </c>
      <c r="T8" s="13">
        <f>_xll.BDH("ALNY US Equity","ARDR_FV_ASSETS_REC_LEVEL_3","FQ1 2023","FQ1 2023","Currency=USD","Period=FQ","BEST_FPERIOD_OVERRIDE=FQ","FILING_STATUS=MR","SCALING_FORMAT=MLN","Sort=A","Dates=H","DateFormat=P","Fill=—","Direction=H","UseDPDF=Y")</f>
        <v>0</v>
      </c>
      <c r="U8" s="13">
        <f>_xll.BDH("ALNY US Equity","ARDR_FV_ASSETS_REC_LEVEL_3","FQ2 2023","FQ2 2023","Currency=USD","Period=FQ","BEST_FPERIOD_OVERRIDE=FQ","FILING_STATUS=MR","SCALING_FORMAT=MLN","Sort=A","Dates=H","DateFormat=P","Fill=—","Direction=H","UseDPDF=Y")</f>
        <v>0</v>
      </c>
      <c r="V8" s="13">
        <f>_xll.BDH("ALNY US Equity","ARDR_FV_ASSETS_REC_LEVEL_3","FQ3 2023","FQ3 2023","Currency=USD","Period=FQ","BEST_FPERIOD_OVERRIDE=FQ","FILING_STATUS=MR","SCALING_FORMAT=MLN","Sort=A","Dates=H","DateFormat=P","Fill=—","Direction=H","UseDPDF=Y")</f>
        <v>0</v>
      </c>
      <c r="W8" s="13">
        <f>_xll.BDH("ALNY US Equity","ARDR_FV_ASSETS_REC_LEVEL_3","FQ4 2023","FQ4 2023","Currency=USD","Period=FQ","BEST_FPERIOD_OVERRIDE=FQ","FILING_STATUS=MR","SCALING_FORMAT=MLN","Sort=A","Dates=H","DateFormat=P","Fill=—","Direction=H","UseDPDF=Y")</f>
        <v>0</v>
      </c>
      <c r="X8" s="13">
        <f>_xll.BDH("ALNY US Equity","ARDR_FV_ASSETS_REC_LEVEL_3","FQ1 2024","FQ1 2024","Currency=USD","Period=FQ","BEST_FPERIOD_OVERRIDE=FQ","FILING_STATUS=MR","SCALING_FORMAT=MLN","Sort=A","Dates=H","DateFormat=P","Fill=—","Direction=H","UseDPDF=Y")</f>
        <v>0</v>
      </c>
      <c r="Y8" s="13">
        <f>_xll.BDH("ALNY US Equity","ARDR_FV_ASSETS_REC_LEVEL_3","FQ2 2024","FQ2 2024","Currency=USD","Period=FQ","BEST_FPERIOD_OVERRIDE=FQ","FILING_STATUS=MR","SCALING_FORMAT=MLN","Sort=A","Dates=H","DateFormat=P","Fill=—","Direction=H","UseDPDF=Y")</f>
        <v>0</v>
      </c>
      <c r="Z8" s="13">
        <f>_xll.BDH("ALNY US Equity","ARDR_FV_ASSETS_REC_LEVEL_3","FQ3 2024","FQ3 2024","Currency=USD","Period=FQ","BEST_FPERIOD_OVERRIDE=FQ","FILING_STATUS=MR","SCALING_FORMAT=MLN","Sort=A","Dates=H","DateFormat=P","Fill=—","Direction=H","UseDPDF=Y")</f>
        <v>0</v>
      </c>
      <c r="AA8" s="13">
        <f>_xll.BDH("ALNY US Equity","ARDR_FV_ASSETS_REC_LEVEL_3","FQ4 2024","FQ4 2024","Currency=USD","Period=FQ","BEST_FPERIOD_OVERRIDE=FQ","FILING_STATUS=MR","SCALING_FORMAT=MLN","Sort=A","Dates=H","DateFormat=P","Fill=—","Direction=H","UseDPDF=Y")</f>
        <v>0</v>
      </c>
    </row>
    <row r="9" spans="1:27" x14ac:dyDescent="0.25">
      <c r="A9" s="6" t="s">
        <v>1144</v>
      </c>
      <c r="B9" s="6" t="s">
        <v>1004</v>
      </c>
      <c r="C9" s="19">
        <f>_xll.BDH("ALNY US Equity","ARDR_FV_ASSETS_REC_TOTAL","FQ4 2018","FQ4 2018","Currency=USD","Period=FQ","BEST_FPERIOD_OVERRIDE=FQ","FILING_STATUS=MR","SCALING_FORMAT=MLN","Sort=A","Dates=H","DateFormat=P","Fill=—","Direction=H","UseDPDF=Y")</f>
        <v>989.21199999999999</v>
      </c>
      <c r="D9" s="19">
        <f>_xll.BDH("ALNY US Equity","ARDR_FV_ASSETS_REC_TOTAL","FQ1 2019","FQ1 2019","Currency=USD","Period=FQ","BEST_FPERIOD_OVERRIDE=FQ","FILING_STATUS=MR","SCALING_FORMAT=MLN","Sort=A","Dates=H","DateFormat=P","Fill=—","Direction=H","UseDPDF=Y")</f>
        <v>1149.5229999999999</v>
      </c>
      <c r="E9" s="19">
        <f>_xll.BDH("ALNY US Equity","ARDR_FV_ASSETS_REC_TOTAL","FQ2 2019","FQ2 2019","Currency=USD","Period=FQ","BEST_FPERIOD_OVERRIDE=FQ","FILING_STATUS=MR","SCALING_FORMAT=MLN","Sort=A","Dates=H","DateFormat=P","Fill=—","Direction=H","UseDPDF=Y")</f>
        <v>1685.3019999999999</v>
      </c>
      <c r="F9" s="19">
        <f>_xll.BDH("ALNY US Equity","ARDR_FV_ASSETS_REC_TOTAL","FQ3 2019","FQ3 2019","Currency=USD","Period=FQ","BEST_FPERIOD_OVERRIDE=FQ","FILING_STATUS=MR","SCALING_FORMAT=MLN","Sort=A","Dates=H","DateFormat=P","Fill=—","Direction=H","UseDPDF=Y")</f>
        <v>1607.818</v>
      </c>
      <c r="G9" s="19">
        <f>_xll.BDH("ALNY US Equity","ARDR_FV_ASSETS_REC_TOTAL","FQ4 2019","FQ4 2019","Currency=USD","Period=FQ","BEST_FPERIOD_OVERRIDE=FQ","FILING_STATUS=MR","SCALING_FORMAT=MLN","Sort=A","Dates=H","DateFormat=P","Fill=—","Direction=H","UseDPDF=Y")</f>
        <v>1446.1790000000001</v>
      </c>
      <c r="H9" s="19">
        <f>_xll.BDH("ALNY US Equity","ARDR_FV_ASSETS_REC_TOTAL","FQ1 2020","FQ1 2020","Currency=USD","Period=FQ","BEST_FPERIOD_OVERRIDE=FQ","FILING_STATUS=MR","SCALING_FORMAT=MLN","Sort=A","Dates=H","DateFormat=P","Fill=—","Direction=H","UseDPDF=Y")</f>
        <v>1450.48</v>
      </c>
      <c r="I9" s="19">
        <f>_xll.BDH("ALNY US Equity","ARDR_FV_ASSETS_REC_TOTAL","FQ2 2020","FQ2 2020","Currency=USD","Period=FQ","BEST_FPERIOD_OVERRIDE=FQ","FILING_STATUS=MR","SCALING_FORMAT=MLN","Sort=A","Dates=H","DateFormat=P","Fill=—","Direction=H","UseDPDF=Y")</f>
        <v>1781.9860000000001</v>
      </c>
      <c r="J9" s="19">
        <f>_xll.BDH("ALNY US Equity","ARDR_FV_ASSETS_REC_TOTAL","FQ3 2020","FQ3 2020","Currency=USD","Period=FQ","BEST_FPERIOD_OVERRIDE=FQ","FILING_STATUS=MR","SCALING_FORMAT=MLN","Sort=A","Dates=H","DateFormat=P","Fill=—","Direction=H","UseDPDF=Y")</f>
        <v>1648.425</v>
      </c>
      <c r="K9" s="19">
        <f>_xll.BDH("ALNY US Equity","ARDR_FV_ASSETS_REC_TOTAL","FQ4 2020","FQ4 2020","Currency=USD","Period=FQ","BEST_FPERIOD_OVERRIDE=FQ","FILING_STATUS=MR","SCALING_FORMAT=MLN","Sort=A","Dates=H","DateFormat=P","Fill=—","Direction=H","UseDPDF=Y")</f>
        <v>1475.0239999999999</v>
      </c>
      <c r="L9" s="19">
        <f>_xll.BDH("ALNY US Equity","ARDR_FV_ASSETS_REC_TOTAL","FQ1 2021","FQ1 2021","Currency=USD","Period=FQ","BEST_FPERIOD_OVERRIDE=FQ","FILING_STATUS=MR","SCALING_FORMAT=MLN","Sort=A","Dates=H","DateFormat=P","Fill=—","Direction=H","UseDPDF=Y")</f>
        <v>1508.9469999999999</v>
      </c>
      <c r="M9" s="19">
        <f>_xll.BDH("ALNY US Equity","ARDR_FV_ASSETS_REC_TOTAL","FQ2 2021","FQ2 2021","Currency=USD","Period=FQ","BEST_FPERIOD_OVERRIDE=FQ","FILING_STATUS=MR","SCALING_FORMAT=MLN","Sort=A","Dates=H","DateFormat=P","Fill=—","Direction=H","UseDPDF=Y")</f>
        <v>1394.8820000000001</v>
      </c>
      <c r="N9" s="19">
        <f>_xll.BDH("ALNY US Equity","ARDR_FV_ASSETS_REC_TOTAL","FQ3 2021","FQ3 2021","Currency=USD","Period=FQ","BEST_FPERIOD_OVERRIDE=FQ","FILING_STATUS=MR","SCALING_FORMAT=MLN","Sort=A","Dates=H","DateFormat=P","Fill=—","Direction=H","UseDPDF=Y")</f>
        <v>1586.672</v>
      </c>
      <c r="O9" s="19">
        <f>_xll.BDH("ALNY US Equity","ARDR_FV_ASSETS_REC_TOTAL","FQ4 2021","FQ4 2021","Currency=USD","Period=FQ","BEST_FPERIOD_OVERRIDE=FQ","FILING_STATUS=MR","SCALING_FORMAT=MLN","Sort=A","Dates=H","DateFormat=P","Fill=—","Direction=H","UseDPDF=Y")</f>
        <v>1927.6510000000001</v>
      </c>
      <c r="P9" s="19">
        <f>_xll.BDH("ALNY US Equity","ARDR_FV_ASSETS_REC_TOTAL","FQ1 2022","FQ1 2022","Currency=USD","Period=FQ","BEST_FPERIOD_OVERRIDE=FQ","FILING_STATUS=MR","SCALING_FORMAT=MLN","Sort=A","Dates=H","DateFormat=P","Fill=—","Direction=H","UseDPDF=Y")</f>
        <v>1920.912</v>
      </c>
      <c r="Q9" s="19">
        <f>_xll.BDH("ALNY US Equity","ARDR_FV_ASSETS_REC_TOTAL","FQ2 2022","FQ2 2022","Currency=USD","Period=FQ","BEST_FPERIOD_OVERRIDE=FQ","FILING_STATUS=MR","SCALING_FORMAT=MLN","Sort=A","Dates=H","DateFormat=P","Fill=—","Direction=H","UseDPDF=Y")</f>
        <v>1805.5540000000001</v>
      </c>
      <c r="R9" s="19">
        <f>_xll.BDH("ALNY US Equity","ARDR_FV_ASSETS_REC_TOTAL","FQ3 2022","FQ3 2022","Currency=USD","Period=FQ","BEST_FPERIOD_OVERRIDE=FQ","FILING_STATUS=MR","SCALING_FORMAT=MLN","Sort=A","Dates=H","DateFormat=P","Fill=—","Direction=H","UseDPDF=Y")</f>
        <v>1692.845</v>
      </c>
      <c r="S9" s="19">
        <f>_xll.BDH("ALNY US Equity","ARDR_FV_ASSETS_REC_TOTAL","FQ4 2022","FQ4 2022","Currency=USD","Period=FQ","BEST_FPERIOD_OVERRIDE=FQ","FILING_STATUS=MR","SCALING_FORMAT=MLN","Sort=A","Dates=H","DateFormat=P","Fill=—","Direction=H","UseDPDF=Y")</f>
        <v>1710.846</v>
      </c>
      <c r="T9" s="19">
        <f>_xll.BDH("ALNY US Equity","ARDR_FV_ASSETS_REC_TOTAL","FQ1 2023","FQ1 2023","Currency=USD","Period=FQ","BEST_FPERIOD_OVERRIDE=FQ","FILING_STATUS=MR","SCALING_FORMAT=MLN","Sort=A","Dates=H","DateFormat=P","Fill=—","Direction=H","UseDPDF=Y")</f>
        <v>1618.075</v>
      </c>
      <c r="U9" s="19">
        <f>_xll.BDH("ALNY US Equity","ARDR_FV_ASSETS_REC_TOTAL","FQ2 2023","FQ2 2023","Currency=USD","Period=FQ","BEST_FPERIOD_OVERRIDE=FQ","FILING_STATUS=MR","SCALING_FORMAT=MLN","Sort=A","Dates=H","DateFormat=P","Fill=—","Direction=H","UseDPDF=Y")</f>
        <v>1497.106</v>
      </c>
      <c r="V9" s="19">
        <f>_xll.BDH("ALNY US Equity","ARDR_FV_ASSETS_REC_TOTAL","FQ3 2023","FQ3 2023","Currency=USD","Period=FQ","BEST_FPERIOD_OVERRIDE=FQ","FILING_STATUS=MR","SCALING_FORMAT=MLN","Sort=A","Dates=H","DateFormat=P","Fill=—","Direction=H","UseDPDF=Y")</f>
        <v>1454.3679999999999</v>
      </c>
      <c r="W9" s="19">
        <f>_xll.BDH("ALNY US Equity","ARDR_FV_ASSETS_REC_TOTAL","FQ4 2023","FQ4 2023","Currency=USD","Period=FQ","BEST_FPERIOD_OVERRIDE=FQ","FILING_STATUS=MR","SCALING_FORMAT=MLN","Sort=A","Dates=H","DateFormat=P","Fill=—","Direction=H","UseDPDF=Y")</f>
        <v>1828.1220000000001</v>
      </c>
      <c r="X9" s="19">
        <f>_xll.BDH("ALNY US Equity","ARDR_FV_ASSETS_REC_TOTAL","FQ1 2024","FQ1 2024","Currency=USD","Period=FQ","BEST_FPERIOD_OVERRIDE=FQ","FILING_STATUS=MR","SCALING_FORMAT=MLN","Sort=A","Dates=H","DateFormat=P","Fill=—","Direction=H","UseDPDF=Y")</f>
        <v>1873.9349999999999</v>
      </c>
      <c r="Y9" s="19">
        <f>_xll.BDH("ALNY US Equity","ARDR_FV_ASSETS_REC_TOTAL","FQ2 2024","FQ2 2024","Currency=USD","Period=FQ","BEST_FPERIOD_OVERRIDE=FQ","FILING_STATUS=MR","SCALING_FORMAT=MLN","Sort=A","Dates=H","DateFormat=P","Fill=—","Direction=H","UseDPDF=Y")</f>
        <v>1858.4559999999999</v>
      </c>
      <c r="Z9" s="19">
        <f>_xll.BDH("ALNY US Equity","ARDR_FV_ASSETS_REC_TOTAL","FQ3 2024","FQ3 2024","Currency=USD","Period=FQ","BEST_FPERIOD_OVERRIDE=FQ","FILING_STATUS=MR","SCALING_FORMAT=MLN","Sort=A","Dates=H","DateFormat=P","Fill=—","Direction=H","UseDPDF=Y")</f>
        <v>1873.001</v>
      </c>
      <c r="AA9" s="19">
        <f>_xll.BDH("ALNY US Equity","ARDR_FV_ASSETS_REC_TOTAL","FQ4 2024","FQ4 2024","Currency=USD","Period=FQ","BEST_FPERIOD_OVERRIDE=FQ","FILING_STATUS=MR","SCALING_FORMAT=MLN","Sort=A","Dates=H","DateFormat=P","Fill=—","Direction=H","UseDPDF=Y")</f>
        <v>1988.854</v>
      </c>
    </row>
    <row r="10" spans="1:27" x14ac:dyDescent="0.25">
      <c r="A10" s="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0" t="s">
        <v>1145</v>
      </c>
      <c r="B11" s="10" t="s">
        <v>1006</v>
      </c>
      <c r="C11" s="13" t="str">
        <f>_xll.BDH("ALNY US Equity","ARDR_FV_LIAB_REC_LEVEL_1","FQ4 2018","FQ4 2018","Currency=USD","Period=FQ","BEST_FPERIOD_OVERRIDE=FQ","FILING_STATUS=MR","SCALING_FORMAT=MLN","Sort=A","Dates=H","DateFormat=P","Fill=—","Direction=H","UseDPDF=Y")</f>
        <v>—</v>
      </c>
      <c r="D11" s="13" t="str">
        <f>_xll.BDH("ALNY US Equity","ARDR_FV_LIAB_REC_LEVEL_1","FQ1 2019","FQ1 2019","Currency=USD","Period=FQ","BEST_FPERIOD_OVERRIDE=FQ","FILING_STATUS=MR","SCALING_FORMAT=MLN","Sort=A","Dates=H","DateFormat=P","Fill=—","Direction=H","UseDPDF=Y")</f>
        <v>—</v>
      </c>
      <c r="E11" s="13" t="str">
        <f>_xll.BDH("ALNY US Equity","ARDR_FV_LIAB_REC_LEVEL_1","FQ2 2019","FQ2 2019","Currency=USD","Period=FQ","BEST_FPERIOD_OVERRIDE=FQ","FILING_STATUS=MR","SCALING_FORMAT=MLN","Sort=A","Dates=H","DateFormat=P","Fill=—","Direction=H","UseDPDF=Y")</f>
        <v>—</v>
      </c>
      <c r="F11" s="13" t="str">
        <f>_xll.BDH("ALNY US Equity","ARDR_FV_LIAB_REC_LEVEL_1","FQ3 2019","FQ3 2019","Currency=USD","Period=FQ","BEST_FPERIOD_OVERRIDE=FQ","FILING_STATUS=MR","SCALING_FORMAT=MLN","Sort=A","Dates=H","DateFormat=P","Fill=—","Direction=H","UseDPDF=Y")</f>
        <v>—</v>
      </c>
      <c r="G11" s="13" t="str">
        <f>_xll.BDH("ALNY US Equity","ARDR_FV_LIAB_REC_LEVEL_1","FQ4 2019","FQ4 2019","Currency=USD","Period=FQ","BEST_FPERIOD_OVERRIDE=FQ","FILING_STATUS=MR","SCALING_FORMAT=MLN","Sort=A","Dates=H","DateFormat=P","Fill=—","Direction=H","UseDPDF=Y")</f>
        <v>—</v>
      </c>
      <c r="H11" s="13" t="str">
        <f>_xll.BDH("ALNY US Equity","ARDR_FV_LIAB_REC_LEVEL_1","FQ1 2020","FQ1 2020","Currency=USD","Period=FQ","BEST_FPERIOD_OVERRIDE=FQ","FILING_STATUS=MR","SCALING_FORMAT=MLN","Sort=A","Dates=H","DateFormat=P","Fill=—","Direction=H","UseDPDF=Y")</f>
        <v>—</v>
      </c>
      <c r="I11" s="13" t="str">
        <f>_xll.BDH("ALNY US Equity","ARDR_FV_LIAB_REC_LEVEL_1","FQ2 2020","FQ2 2020","Currency=USD","Period=FQ","BEST_FPERIOD_OVERRIDE=FQ","FILING_STATUS=MR","SCALING_FORMAT=MLN","Sort=A","Dates=H","DateFormat=P","Fill=—","Direction=H","UseDPDF=Y")</f>
        <v>—</v>
      </c>
      <c r="J11" s="13">
        <f>_xll.BDH("ALNY US Equity","ARDR_FV_LIAB_REC_LEVEL_1","FQ3 2020","FQ3 2020","Currency=USD","Period=FQ","BEST_FPERIOD_OVERRIDE=FQ","FILING_STATUS=MR","SCALING_FORMAT=MLN","Sort=A","Dates=H","DateFormat=P","Fill=—","Direction=H","UseDPDF=Y")</f>
        <v>0</v>
      </c>
      <c r="K11" s="13">
        <f>_xll.BDH("ALNY US Equity","ARDR_FV_LIAB_REC_LEVEL_1","FQ4 2020","FQ4 2020","Currency=USD","Period=FQ","BEST_FPERIOD_OVERRIDE=FQ","FILING_STATUS=MR","SCALING_FORMAT=MLN","Sort=A","Dates=H","DateFormat=P","Fill=—","Direction=H","UseDPDF=Y")</f>
        <v>0</v>
      </c>
      <c r="L11" s="13">
        <f>_xll.BDH("ALNY US Equity","ARDR_FV_LIAB_REC_LEVEL_1","FQ1 2021","FQ1 2021","Currency=USD","Period=FQ","BEST_FPERIOD_OVERRIDE=FQ","FILING_STATUS=MR","SCALING_FORMAT=MLN","Sort=A","Dates=H","DateFormat=P","Fill=—","Direction=H","UseDPDF=Y")</f>
        <v>0</v>
      </c>
      <c r="M11" s="13">
        <f>_xll.BDH("ALNY US Equity","ARDR_FV_LIAB_REC_LEVEL_1","FQ2 2021","FQ2 2021","Currency=USD","Period=FQ","BEST_FPERIOD_OVERRIDE=FQ","FILING_STATUS=MR","SCALING_FORMAT=MLN","Sort=A","Dates=H","DateFormat=P","Fill=—","Direction=H","UseDPDF=Y")</f>
        <v>0</v>
      </c>
      <c r="N11" s="13">
        <f>_xll.BDH("ALNY US Equity","ARDR_FV_LIAB_REC_LEVEL_1","FQ3 2021","FQ3 2021","Currency=USD","Period=FQ","BEST_FPERIOD_OVERRIDE=FQ","FILING_STATUS=MR","SCALING_FORMAT=MLN","Sort=A","Dates=H","DateFormat=P","Fill=—","Direction=H","UseDPDF=Y")</f>
        <v>0</v>
      </c>
      <c r="O11" s="13">
        <f>_xll.BDH("ALNY US Equity","ARDR_FV_LIAB_REC_LEVEL_1","FQ4 2021","FQ4 2021","Currency=USD","Period=FQ","BEST_FPERIOD_OVERRIDE=FQ","FILING_STATUS=MR","SCALING_FORMAT=MLN","Sort=A","Dates=H","DateFormat=P","Fill=—","Direction=H","UseDPDF=Y")</f>
        <v>0</v>
      </c>
      <c r="P11" s="13" t="str">
        <f>_xll.BDH("ALNY US Equity","ARDR_FV_LIAB_REC_LEVEL_1","FQ1 2022","FQ1 2022","Currency=USD","Period=FQ","BEST_FPERIOD_OVERRIDE=FQ","FILING_STATUS=MR","SCALING_FORMAT=MLN","Sort=A","Dates=H","DateFormat=P","Fill=—","Direction=H","UseDPDF=Y")</f>
        <v>—</v>
      </c>
      <c r="Q11" s="13">
        <f>_xll.BDH("ALNY US Equity","ARDR_FV_LIAB_REC_LEVEL_1","FQ2 2022","FQ2 2022","Currency=USD","Period=FQ","BEST_FPERIOD_OVERRIDE=FQ","FILING_STATUS=MR","SCALING_FORMAT=MLN","Sort=A","Dates=H","DateFormat=P","Fill=—","Direction=H","UseDPDF=Y")</f>
        <v>0</v>
      </c>
      <c r="R11" s="13">
        <f>_xll.BDH("ALNY US Equity","ARDR_FV_LIAB_REC_LEVEL_1","FQ3 2022","FQ3 2022","Currency=USD","Period=FQ","BEST_FPERIOD_OVERRIDE=FQ","FILING_STATUS=MR","SCALING_FORMAT=MLN","Sort=A","Dates=H","DateFormat=P","Fill=—","Direction=H","UseDPDF=Y")</f>
        <v>0</v>
      </c>
      <c r="S11" s="13">
        <f>_xll.BDH("ALNY US Equity","ARDR_FV_LIAB_REC_LEVEL_1","FQ4 2022","FQ4 2022","Currency=USD","Period=FQ","BEST_FPERIOD_OVERRIDE=FQ","FILING_STATUS=MR","SCALING_FORMAT=MLN","Sort=A","Dates=H","DateFormat=P","Fill=—","Direction=H","UseDPDF=Y")</f>
        <v>0</v>
      </c>
      <c r="T11" s="13" t="str">
        <f>_xll.BDH("ALNY US Equity","ARDR_FV_LIAB_REC_LEVEL_1","FQ1 2023","FQ1 2023","Currency=USD","Period=FQ","BEST_FPERIOD_OVERRIDE=FQ","FILING_STATUS=MR","SCALING_FORMAT=MLN","Sort=A","Dates=H","DateFormat=P","Fill=—","Direction=H","UseDPDF=Y")</f>
        <v>—</v>
      </c>
      <c r="U11" s="13">
        <f>_xll.BDH("ALNY US Equity","ARDR_FV_LIAB_REC_LEVEL_1","FQ2 2023","FQ2 2023","Currency=USD","Period=FQ","BEST_FPERIOD_OVERRIDE=FQ","FILING_STATUS=MR","SCALING_FORMAT=MLN","Sort=A","Dates=H","DateFormat=P","Fill=—","Direction=H","UseDPDF=Y")</f>
        <v>0</v>
      </c>
      <c r="V11" s="13">
        <f>_xll.BDH("ALNY US Equity","ARDR_FV_LIAB_REC_LEVEL_1","FQ3 2023","FQ3 2023","Currency=USD","Period=FQ","BEST_FPERIOD_OVERRIDE=FQ","FILING_STATUS=MR","SCALING_FORMAT=MLN","Sort=A","Dates=H","DateFormat=P","Fill=—","Direction=H","UseDPDF=Y")</f>
        <v>0</v>
      </c>
      <c r="W11" s="13">
        <f>_xll.BDH("ALNY US Equity","ARDR_FV_LIAB_REC_LEVEL_1","FQ4 2023","FQ4 2023","Currency=USD","Period=FQ","BEST_FPERIOD_OVERRIDE=FQ","FILING_STATUS=MR","SCALING_FORMAT=MLN","Sort=A","Dates=H","DateFormat=P","Fill=—","Direction=H","UseDPDF=Y")</f>
        <v>0</v>
      </c>
      <c r="X11" s="13">
        <f>_xll.BDH("ALNY US Equity","ARDR_FV_LIAB_REC_LEVEL_1","FQ1 2024","FQ1 2024","Currency=USD","Period=FQ","BEST_FPERIOD_OVERRIDE=FQ","FILING_STATUS=MR","SCALING_FORMAT=MLN","Sort=A","Dates=H","DateFormat=P","Fill=—","Direction=H","UseDPDF=Y")</f>
        <v>0</v>
      </c>
      <c r="Y11" s="13">
        <f>_xll.BDH("ALNY US Equity","ARDR_FV_LIAB_REC_LEVEL_1","FQ2 2024","FQ2 2024","Currency=USD","Period=FQ","BEST_FPERIOD_OVERRIDE=FQ","FILING_STATUS=MR","SCALING_FORMAT=MLN","Sort=A","Dates=H","DateFormat=P","Fill=—","Direction=H","UseDPDF=Y")</f>
        <v>0</v>
      </c>
      <c r="Z11" s="13">
        <f>_xll.BDH("ALNY US Equity","ARDR_FV_LIAB_REC_LEVEL_1","FQ3 2024","FQ3 2024","Currency=USD","Period=FQ","BEST_FPERIOD_OVERRIDE=FQ","FILING_STATUS=MR","SCALING_FORMAT=MLN","Sort=A","Dates=H","DateFormat=P","Fill=—","Direction=H","UseDPDF=Y")</f>
        <v>0</v>
      </c>
      <c r="AA11" s="13">
        <f>_xll.BDH("ALNY US Equity","ARDR_FV_LIAB_REC_LEVEL_1","FQ4 2024","FQ4 2024","Currency=USD","Period=FQ","BEST_FPERIOD_OVERRIDE=FQ","FILING_STATUS=MR","SCALING_FORMAT=MLN","Sort=A","Dates=H","DateFormat=P","Fill=—","Direction=H","UseDPDF=Y")</f>
        <v>0</v>
      </c>
    </row>
    <row r="12" spans="1:27" x14ac:dyDescent="0.25">
      <c r="A12" s="10" t="s">
        <v>1146</v>
      </c>
      <c r="B12" s="10" t="s">
        <v>1008</v>
      </c>
      <c r="C12" s="13" t="str">
        <f>_xll.BDH("ALNY US Equity","ARDR_FV_LIAB_REC_LEVEL_2","FQ4 2018","FQ4 2018","Currency=USD","Period=FQ","BEST_FPERIOD_OVERRIDE=FQ","FILING_STATUS=MR","SCALING_FORMAT=MLN","Sort=A","Dates=H","DateFormat=P","Fill=—","Direction=H","UseDPDF=Y")</f>
        <v>—</v>
      </c>
      <c r="D12" s="13" t="str">
        <f>_xll.BDH("ALNY US Equity","ARDR_FV_LIAB_REC_LEVEL_2","FQ1 2019","FQ1 2019","Currency=USD","Period=FQ","BEST_FPERIOD_OVERRIDE=FQ","FILING_STATUS=MR","SCALING_FORMAT=MLN","Sort=A","Dates=H","DateFormat=P","Fill=—","Direction=H","UseDPDF=Y")</f>
        <v>—</v>
      </c>
      <c r="E12" s="13" t="str">
        <f>_xll.BDH("ALNY US Equity","ARDR_FV_LIAB_REC_LEVEL_2","FQ2 2019","FQ2 2019","Currency=USD","Period=FQ","BEST_FPERIOD_OVERRIDE=FQ","FILING_STATUS=MR","SCALING_FORMAT=MLN","Sort=A","Dates=H","DateFormat=P","Fill=—","Direction=H","UseDPDF=Y")</f>
        <v>—</v>
      </c>
      <c r="F12" s="13" t="str">
        <f>_xll.BDH("ALNY US Equity","ARDR_FV_LIAB_REC_LEVEL_2","FQ3 2019","FQ3 2019","Currency=USD","Period=FQ","BEST_FPERIOD_OVERRIDE=FQ","FILING_STATUS=MR","SCALING_FORMAT=MLN","Sort=A","Dates=H","DateFormat=P","Fill=—","Direction=H","UseDPDF=Y")</f>
        <v>—</v>
      </c>
      <c r="G12" s="13" t="str">
        <f>_xll.BDH("ALNY US Equity","ARDR_FV_LIAB_REC_LEVEL_2","FQ4 2019","FQ4 2019","Currency=USD","Period=FQ","BEST_FPERIOD_OVERRIDE=FQ","FILING_STATUS=MR","SCALING_FORMAT=MLN","Sort=A","Dates=H","DateFormat=P","Fill=—","Direction=H","UseDPDF=Y")</f>
        <v>—</v>
      </c>
      <c r="H12" s="13" t="str">
        <f>_xll.BDH("ALNY US Equity","ARDR_FV_LIAB_REC_LEVEL_2","FQ1 2020","FQ1 2020","Currency=USD","Period=FQ","BEST_FPERIOD_OVERRIDE=FQ","FILING_STATUS=MR","SCALING_FORMAT=MLN","Sort=A","Dates=H","DateFormat=P","Fill=—","Direction=H","UseDPDF=Y")</f>
        <v>—</v>
      </c>
      <c r="I12" s="13" t="str">
        <f>_xll.BDH("ALNY US Equity","ARDR_FV_LIAB_REC_LEVEL_2","FQ2 2020","FQ2 2020","Currency=USD","Period=FQ","BEST_FPERIOD_OVERRIDE=FQ","FILING_STATUS=MR","SCALING_FORMAT=MLN","Sort=A","Dates=H","DateFormat=P","Fill=—","Direction=H","UseDPDF=Y")</f>
        <v>—</v>
      </c>
      <c r="J12" s="13">
        <f>_xll.BDH("ALNY US Equity","ARDR_FV_LIAB_REC_LEVEL_2","FQ3 2020","FQ3 2020","Currency=USD","Period=FQ","BEST_FPERIOD_OVERRIDE=FQ","FILING_STATUS=MR","SCALING_FORMAT=MLN","Sort=A","Dates=H","DateFormat=P","Fill=—","Direction=H","UseDPDF=Y")</f>
        <v>0</v>
      </c>
      <c r="K12" s="13">
        <f>_xll.BDH("ALNY US Equity","ARDR_FV_LIAB_REC_LEVEL_2","FQ4 2020","FQ4 2020","Currency=USD","Period=FQ","BEST_FPERIOD_OVERRIDE=FQ","FILING_STATUS=MR","SCALING_FORMAT=MLN","Sort=A","Dates=H","DateFormat=P","Fill=—","Direction=H","UseDPDF=Y")</f>
        <v>0</v>
      </c>
      <c r="L12" s="13">
        <f>_xll.BDH("ALNY US Equity","ARDR_FV_LIAB_REC_LEVEL_2","FQ1 2021","FQ1 2021","Currency=USD","Period=FQ","BEST_FPERIOD_OVERRIDE=FQ","FILING_STATUS=MR","SCALING_FORMAT=MLN","Sort=A","Dates=H","DateFormat=P","Fill=—","Direction=H","UseDPDF=Y")</f>
        <v>0</v>
      </c>
      <c r="M12" s="13">
        <f>_xll.BDH("ALNY US Equity","ARDR_FV_LIAB_REC_LEVEL_2","FQ2 2021","FQ2 2021","Currency=USD","Period=FQ","BEST_FPERIOD_OVERRIDE=FQ","FILING_STATUS=MR","SCALING_FORMAT=MLN","Sort=A","Dates=H","DateFormat=P","Fill=—","Direction=H","UseDPDF=Y")</f>
        <v>0</v>
      </c>
      <c r="N12" s="13">
        <f>_xll.BDH("ALNY US Equity","ARDR_FV_LIAB_REC_LEVEL_2","FQ3 2021","FQ3 2021","Currency=USD","Period=FQ","BEST_FPERIOD_OVERRIDE=FQ","FILING_STATUS=MR","SCALING_FORMAT=MLN","Sort=A","Dates=H","DateFormat=P","Fill=—","Direction=H","UseDPDF=Y")</f>
        <v>0</v>
      </c>
      <c r="O12" s="13">
        <f>_xll.BDH("ALNY US Equity","ARDR_FV_LIAB_REC_LEVEL_2","FQ4 2021","FQ4 2021","Currency=USD","Period=FQ","BEST_FPERIOD_OVERRIDE=FQ","FILING_STATUS=MR","SCALING_FORMAT=MLN","Sort=A","Dates=H","DateFormat=P","Fill=—","Direction=H","UseDPDF=Y")</f>
        <v>0</v>
      </c>
      <c r="P12" s="13" t="str">
        <f>_xll.BDH("ALNY US Equity","ARDR_FV_LIAB_REC_LEVEL_2","FQ1 2022","FQ1 2022","Currency=USD","Period=FQ","BEST_FPERIOD_OVERRIDE=FQ","FILING_STATUS=MR","SCALING_FORMAT=MLN","Sort=A","Dates=H","DateFormat=P","Fill=—","Direction=H","UseDPDF=Y")</f>
        <v>—</v>
      </c>
      <c r="Q12" s="13">
        <f>_xll.BDH("ALNY US Equity","ARDR_FV_LIAB_REC_LEVEL_2","FQ2 2022","FQ2 2022","Currency=USD","Period=FQ","BEST_FPERIOD_OVERRIDE=FQ","FILING_STATUS=MR","SCALING_FORMAT=MLN","Sort=A","Dates=H","DateFormat=P","Fill=—","Direction=H","UseDPDF=Y")</f>
        <v>0</v>
      </c>
      <c r="R12" s="13">
        <f>_xll.BDH("ALNY US Equity","ARDR_FV_LIAB_REC_LEVEL_2","FQ3 2022","FQ3 2022","Currency=USD","Period=FQ","BEST_FPERIOD_OVERRIDE=FQ","FILING_STATUS=MR","SCALING_FORMAT=MLN","Sort=A","Dates=H","DateFormat=P","Fill=—","Direction=H","UseDPDF=Y")</f>
        <v>0</v>
      </c>
      <c r="S12" s="13">
        <f>_xll.BDH("ALNY US Equity","ARDR_FV_LIAB_REC_LEVEL_2","FQ4 2022","FQ4 2022","Currency=USD","Period=FQ","BEST_FPERIOD_OVERRIDE=FQ","FILING_STATUS=MR","SCALING_FORMAT=MLN","Sort=A","Dates=H","DateFormat=P","Fill=—","Direction=H","UseDPDF=Y")</f>
        <v>0</v>
      </c>
      <c r="T12" s="13" t="str">
        <f>_xll.BDH("ALNY US Equity","ARDR_FV_LIAB_REC_LEVEL_2","FQ1 2023","FQ1 2023","Currency=USD","Period=FQ","BEST_FPERIOD_OVERRIDE=FQ","FILING_STATUS=MR","SCALING_FORMAT=MLN","Sort=A","Dates=H","DateFormat=P","Fill=—","Direction=H","UseDPDF=Y")</f>
        <v>—</v>
      </c>
      <c r="U12" s="13">
        <f>_xll.BDH("ALNY US Equity","ARDR_FV_LIAB_REC_LEVEL_2","FQ2 2023","FQ2 2023","Currency=USD","Period=FQ","BEST_FPERIOD_OVERRIDE=FQ","FILING_STATUS=MR","SCALING_FORMAT=MLN","Sort=A","Dates=H","DateFormat=P","Fill=—","Direction=H","UseDPDF=Y")</f>
        <v>0</v>
      </c>
      <c r="V12" s="13">
        <f>_xll.BDH("ALNY US Equity","ARDR_FV_LIAB_REC_LEVEL_2","FQ3 2023","FQ3 2023","Currency=USD","Period=FQ","BEST_FPERIOD_OVERRIDE=FQ","FILING_STATUS=MR","SCALING_FORMAT=MLN","Sort=A","Dates=H","DateFormat=P","Fill=—","Direction=H","UseDPDF=Y")</f>
        <v>0</v>
      </c>
      <c r="W12" s="13">
        <f>_xll.BDH("ALNY US Equity","ARDR_FV_LIAB_REC_LEVEL_2","FQ4 2023","FQ4 2023","Currency=USD","Period=FQ","BEST_FPERIOD_OVERRIDE=FQ","FILING_STATUS=MR","SCALING_FORMAT=MLN","Sort=A","Dates=H","DateFormat=P","Fill=—","Direction=H","UseDPDF=Y")</f>
        <v>0</v>
      </c>
      <c r="X12" s="13">
        <f>_xll.BDH("ALNY US Equity","ARDR_FV_LIAB_REC_LEVEL_2","FQ1 2024","FQ1 2024","Currency=USD","Period=FQ","BEST_FPERIOD_OVERRIDE=FQ","FILING_STATUS=MR","SCALING_FORMAT=MLN","Sort=A","Dates=H","DateFormat=P","Fill=—","Direction=H","UseDPDF=Y")</f>
        <v>0</v>
      </c>
      <c r="Y12" s="13">
        <f>_xll.BDH("ALNY US Equity","ARDR_FV_LIAB_REC_LEVEL_2","FQ2 2024","FQ2 2024","Currency=USD","Period=FQ","BEST_FPERIOD_OVERRIDE=FQ","FILING_STATUS=MR","SCALING_FORMAT=MLN","Sort=A","Dates=H","DateFormat=P","Fill=—","Direction=H","UseDPDF=Y")</f>
        <v>0</v>
      </c>
      <c r="Z12" s="13">
        <f>_xll.BDH("ALNY US Equity","ARDR_FV_LIAB_REC_LEVEL_2","FQ3 2024","FQ3 2024","Currency=USD","Period=FQ","BEST_FPERIOD_OVERRIDE=FQ","FILING_STATUS=MR","SCALING_FORMAT=MLN","Sort=A","Dates=H","DateFormat=P","Fill=—","Direction=H","UseDPDF=Y")</f>
        <v>0</v>
      </c>
      <c r="AA12" s="13">
        <f>_xll.BDH("ALNY US Equity","ARDR_FV_LIAB_REC_LEVEL_2","FQ4 2024","FQ4 2024","Currency=USD","Period=FQ","BEST_FPERIOD_OVERRIDE=FQ","FILING_STATUS=MR","SCALING_FORMAT=MLN","Sort=A","Dates=H","DateFormat=P","Fill=—","Direction=H","UseDPDF=Y")</f>
        <v>0</v>
      </c>
    </row>
    <row r="13" spans="1:27" x14ac:dyDescent="0.25">
      <c r="A13" s="10" t="s">
        <v>1147</v>
      </c>
      <c r="B13" s="10" t="s">
        <v>1010</v>
      </c>
      <c r="C13" s="13" t="str">
        <f>_xll.BDH("ALNY US Equity","ARDR_FV_LIAB_REC_LEVEL_3","FQ4 2018","FQ4 2018","Currency=USD","Period=FQ","BEST_FPERIOD_OVERRIDE=FQ","FILING_STATUS=MR","SCALING_FORMAT=MLN","Sort=A","Dates=H","DateFormat=P","Fill=—","Direction=H","UseDPDF=Y")</f>
        <v>—</v>
      </c>
      <c r="D13" s="13" t="str">
        <f>_xll.BDH("ALNY US Equity","ARDR_FV_LIAB_REC_LEVEL_3","FQ1 2019","FQ1 2019","Currency=USD","Period=FQ","BEST_FPERIOD_OVERRIDE=FQ","FILING_STATUS=MR","SCALING_FORMAT=MLN","Sort=A","Dates=H","DateFormat=P","Fill=—","Direction=H","UseDPDF=Y")</f>
        <v>—</v>
      </c>
      <c r="E13" s="13" t="str">
        <f>_xll.BDH("ALNY US Equity","ARDR_FV_LIAB_REC_LEVEL_3","FQ2 2019","FQ2 2019","Currency=USD","Period=FQ","BEST_FPERIOD_OVERRIDE=FQ","FILING_STATUS=MR","SCALING_FORMAT=MLN","Sort=A","Dates=H","DateFormat=P","Fill=—","Direction=H","UseDPDF=Y")</f>
        <v>—</v>
      </c>
      <c r="F13" s="13" t="str">
        <f>_xll.BDH("ALNY US Equity","ARDR_FV_LIAB_REC_LEVEL_3","FQ3 2019","FQ3 2019","Currency=USD","Period=FQ","BEST_FPERIOD_OVERRIDE=FQ","FILING_STATUS=MR","SCALING_FORMAT=MLN","Sort=A","Dates=H","DateFormat=P","Fill=—","Direction=H","UseDPDF=Y")</f>
        <v>—</v>
      </c>
      <c r="G13" s="13" t="str">
        <f>_xll.BDH("ALNY US Equity","ARDR_FV_LIAB_REC_LEVEL_3","FQ4 2019","FQ4 2019","Currency=USD","Period=FQ","BEST_FPERIOD_OVERRIDE=FQ","FILING_STATUS=MR","SCALING_FORMAT=MLN","Sort=A","Dates=H","DateFormat=P","Fill=—","Direction=H","UseDPDF=Y")</f>
        <v>—</v>
      </c>
      <c r="H13" s="13" t="str">
        <f>_xll.BDH("ALNY US Equity","ARDR_FV_LIAB_REC_LEVEL_3","FQ1 2020","FQ1 2020","Currency=USD","Period=FQ","BEST_FPERIOD_OVERRIDE=FQ","FILING_STATUS=MR","SCALING_FORMAT=MLN","Sort=A","Dates=H","DateFormat=P","Fill=—","Direction=H","UseDPDF=Y")</f>
        <v>—</v>
      </c>
      <c r="I13" s="13" t="str">
        <f>_xll.BDH("ALNY US Equity","ARDR_FV_LIAB_REC_LEVEL_3","FQ2 2020","FQ2 2020","Currency=USD","Period=FQ","BEST_FPERIOD_OVERRIDE=FQ","FILING_STATUS=MR","SCALING_FORMAT=MLN","Sort=A","Dates=H","DateFormat=P","Fill=—","Direction=H","UseDPDF=Y")</f>
        <v>—</v>
      </c>
      <c r="J13" s="13">
        <f>_xll.BDH("ALNY US Equity","ARDR_FV_LIAB_REC_LEVEL_3","FQ3 2020","FQ3 2020","Currency=USD","Period=FQ","BEST_FPERIOD_OVERRIDE=FQ","FILING_STATUS=MR","SCALING_FORMAT=MLN","Sort=A","Dates=H","DateFormat=P","Fill=—","Direction=H","UseDPDF=Y")</f>
        <v>5.43</v>
      </c>
      <c r="K13" s="13">
        <f>_xll.BDH("ALNY US Equity","ARDR_FV_LIAB_REC_LEVEL_3","FQ4 2020","FQ4 2020","Currency=USD","Period=FQ","BEST_FPERIOD_OVERRIDE=FQ","FILING_STATUS=MR","SCALING_FORMAT=MLN","Sort=A","Dates=H","DateFormat=P","Fill=—","Direction=H","UseDPDF=Y")</f>
        <v>25.585000000000001</v>
      </c>
      <c r="L13" s="13">
        <f>_xll.BDH("ALNY US Equity","ARDR_FV_LIAB_REC_LEVEL_3","FQ1 2021","FQ1 2021","Currency=USD","Period=FQ","BEST_FPERIOD_OVERRIDE=FQ","FILING_STATUS=MR","SCALING_FORMAT=MLN","Sort=A","Dates=H","DateFormat=P","Fill=—","Direction=H","UseDPDF=Y")</f>
        <v>48.037999999999997</v>
      </c>
      <c r="M13" s="13">
        <f>_xll.BDH("ALNY US Equity","ARDR_FV_LIAB_REC_LEVEL_3","FQ2 2021","FQ2 2021","Currency=USD","Period=FQ","BEST_FPERIOD_OVERRIDE=FQ","FILING_STATUS=MR","SCALING_FORMAT=MLN","Sort=A","Dates=H","DateFormat=P","Fill=—","Direction=H","UseDPDF=Y")</f>
        <v>56.828000000000003</v>
      </c>
      <c r="N13" s="13">
        <f>_xll.BDH("ALNY US Equity","ARDR_FV_LIAB_REC_LEVEL_3","FQ3 2021","FQ3 2021","Currency=USD","Period=FQ","BEST_FPERIOD_OVERRIDE=FQ","FILING_STATUS=MR","SCALING_FORMAT=MLN","Sort=A","Dates=H","DateFormat=P","Fill=—","Direction=H","UseDPDF=Y")</f>
        <v>61.34</v>
      </c>
      <c r="O13" s="13">
        <f>_xll.BDH("ALNY US Equity","ARDR_FV_LIAB_REC_LEVEL_3","FQ4 2021","FQ4 2021","Currency=USD","Period=FQ","BEST_FPERIOD_OVERRIDE=FQ","FILING_STATUS=MR","SCALING_FORMAT=MLN","Sort=A","Dates=H","DateFormat=P","Fill=—","Direction=H","UseDPDF=Y")</f>
        <v>83.617999999999995</v>
      </c>
      <c r="P13" s="13">
        <f>_xll.BDH("ALNY US Equity","ARDR_FV_LIAB_REC_LEVEL_3","FQ1 2022","FQ1 2022","Currency=USD","Period=FQ","BEST_FPERIOD_OVERRIDE=FQ","FILING_STATUS=MR","SCALING_FORMAT=MLN","Sort=A","Dates=H","DateFormat=P","Fill=—","Direction=H","UseDPDF=Y")</f>
        <v>105.233</v>
      </c>
      <c r="Q13" s="13">
        <f>_xll.BDH("ALNY US Equity","ARDR_FV_LIAB_REC_LEVEL_3","FQ2 2022","FQ2 2022","Currency=USD","Period=FQ","BEST_FPERIOD_OVERRIDE=FQ","FILING_STATUS=MR","SCALING_FORMAT=MLN","Sort=A","Dates=H","DateFormat=P","Fill=—","Direction=H","UseDPDF=Y")</f>
        <v>144.977</v>
      </c>
      <c r="R13" s="13">
        <f>_xll.BDH("ALNY US Equity","ARDR_FV_LIAB_REC_LEVEL_3","FQ3 2022","FQ3 2022","Currency=USD","Period=FQ","BEST_FPERIOD_OVERRIDE=FQ","FILING_STATUS=MR","SCALING_FORMAT=MLN","Sort=A","Dates=H","DateFormat=P","Fill=—","Direction=H","UseDPDF=Y")</f>
        <v>177.89400000000001</v>
      </c>
      <c r="S13" s="13">
        <f>_xll.BDH("ALNY US Equity","ARDR_FV_LIAB_REC_LEVEL_3","FQ4 2022","FQ4 2022","Currency=USD","Period=FQ","BEST_FPERIOD_OVERRIDE=FQ","FILING_STATUS=MR","SCALING_FORMAT=MLN","Sort=A","Dates=H","DateFormat=P","Fill=—","Direction=H","UseDPDF=Y")</f>
        <v>209.27699999999999</v>
      </c>
      <c r="T13" s="13">
        <f>_xll.BDH("ALNY US Equity","ARDR_FV_LIAB_REC_LEVEL_3","FQ1 2023","FQ1 2023","Currency=USD","Period=FQ","BEST_FPERIOD_OVERRIDE=FQ","FILING_STATUS=MR","SCALING_FORMAT=MLN","Sort=A","Dates=H","DateFormat=P","Fill=—","Direction=H","UseDPDF=Y")</f>
        <v>219.74799999999999</v>
      </c>
      <c r="U13" s="13">
        <f>_xll.BDH("ALNY US Equity","ARDR_FV_LIAB_REC_LEVEL_3","FQ2 2023","FQ2 2023","Currency=USD","Period=FQ","BEST_FPERIOD_OVERRIDE=FQ","FILING_STATUS=MR","SCALING_FORMAT=MLN","Sort=A","Dates=H","DateFormat=P","Fill=—","Direction=H","UseDPDF=Y")</f>
        <v>253.96299999999999</v>
      </c>
      <c r="V13" s="13">
        <f>_xll.BDH("ALNY US Equity","ARDR_FV_LIAB_REC_LEVEL_3","FQ3 2023","FQ3 2023","Currency=USD","Period=FQ","BEST_FPERIOD_OVERRIDE=FQ","FILING_STATUS=MR","SCALING_FORMAT=MLN","Sort=A","Dates=H","DateFormat=P","Fill=—","Direction=H","UseDPDF=Y")</f>
        <v>293.505</v>
      </c>
      <c r="W13" s="13">
        <f>_xll.BDH("ALNY US Equity","ARDR_FV_LIAB_REC_LEVEL_3","FQ4 2023","FQ4 2023","Currency=USD","Period=FQ","BEST_FPERIOD_OVERRIDE=FQ","FILING_STATUS=MR","SCALING_FORMAT=MLN","Sort=A","Dates=H","DateFormat=P","Fill=—","Direction=H","UseDPDF=Y")</f>
        <v>324.94099999999997</v>
      </c>
      <c r="X13" s="13">
        <f>_xll.BDH("ALNY US Equity","ARDR_FV_LIAB_REC_LEVEL_3","FQ1 2024","FQ1 2024","Currency=USD","Period=FQ","BEST_FPERIOD_OVERRIDE=FQ","FILING_STATUS=MR","SCALING_FORMAT=MLN","Sort=A","Dates=H","DateFormat=P","Fill=—","Direction=H","UseDPDF=Y")</f>
        <v>336.57900000000001</v>
      </c>
      <c r="Y13" s="13">
        <f>_xll.BDH("ALNY US Equity","ARDR_FV_LIAB_REC_LEVEL_3","FQ2 2024","FQ2 2024","Currency=USD","Period=FQ","BEST_FPERIOD_OVERRIDE=FQ","FILING_STATUS=MR","SCALING_FORMAT=MLN","Sort=A","Dates=H","DateFormat=P","Fill=—","Direction=H","UseDPDF=Y")</f>
        <v>390.93900000000002</v>
      </c>
      <c r="Z13" s="13">
        <f>_xll.BDH("ALNY US Equity","ARDR_FV_LIAB_REC_LEVEL_3","FQ3 2024","FQ3 2024","Currency=USD","Period=FQ","BEST_FPERIOD_OVERRIDE=FQ","FILING_STATUS=MR","SCALING_FORMAT=MLN","Sort=A","Dates=H","DateFormat=P","Fill=—","Direction=H","UseDPDF=Y")</f>
        <v>421.92899999999997</v>
      </c>
      <c r="AA13" s="13">
        <f>_xll.BDH("ALNY US Equity","ARDR_FV_LIAB_REC_LEVEL_3","FQ4 2024","FQ4 2024","Currency=USD","Period=FQ","BEST_FPERIOD_OVERRIDE=FQ","FILING_STATUS=MR","SCALING_FORMAT=MLN","Sort=A","Dates=H","DateFormat=P","Fill=—","Direction=H","UseDPDF=Y")</f>
        <v>486.91899999999998</v>
      </c>
    </row>
    <row r="14" spans="1:27" x14ac:dyDescent="0.25">
      <c r="A14" s="6" t="s">
        <v>1148</v>
      </c>
      <c r="B14" s="6" t="s">
        <v>1012</v>
      </c>
      <c r="C14" s="19" t="str">
        <f>_xll.BDH("ALNY US Equity","ARDR_FV_LIAB_REC_TOTAL","FQ4 2018","FQ4 2018","Currency=USD","Period=FQ","BEST_FPERIOD_OVERRIDE=FQ","FILING_STATUS=MR","SCALING_FORMAT=MLN","Sort=A","Dates=H","DateFormat=P","Fill=—","Direction=H","UseDPDF=Y")</f>
        <v>—</v>
      </c>
      <c r="D14" s="19" t="str">
        <f>_xll.BDH("ALNY US Equity","ARDR_FV_LIAB_REC_TOTAL","FQ1 2019","FQ1 2019","Currency=USD","Period=FQ","BEST_FPERIOD_OVERRIDE=FQ","FILING_STATUS=MR","SCALING_FORMAT=MLN","Sort=A","Dates=H","DateFormat=P","Fill=—","Direction=H","UseDPDF=Y")</f>
        <v>—</v>
      </c>
      <c r="E14" s="19" t="str">
        <f>_xll.BDH("ALNY US Equity","ARDR_FV_LIAB_REC_TOTAL","FQ2 2019","FQ2 2019","Currency=USD","Period=FQ","BEST_FPERIOD_OVERRIDE=FQ","FILING_STATUS=MR","SCALING_FORMAT=MLN","Sort=A","Dates=H","DateFormat=P","Fill=—","Direction=H","UseDPDF=Y")</f>
        <v>—</v>
      </c>
      <c r="F14" s="19" t="str">
        <f>_xll.BDH("ALNY US Equity","ARDR_FV_LIAB_REC_TOTAL","FQ3 2019","FQ3 2019","Currency=USD","Period=FQ","BEST_FPERIOD_OVERRIDE=FQ","FILING_STATUS=MR","SCALING_FORMAT=MLN","Sort=A","Dates=H","DateFormat=P","Fill=—","Direction=H","UseDPDF=Y")</f>
        <v>—</v>
      </c>
      <c r="G14" s="19" t="str">
        <f>_xll.BDH("ALNY US Equity","ARDR_FV_LIAB_REC_TOTAL","FQ4 2019","FQ4 2019","Currency=USD","Period=FQ","BEST_FPERIOD_OVERRIDE=FQ","FILING_STATUS=MR","SCALING_FORMAT=MLN","Sort=A","Dates=H","DateFormat=P","Fill=—","Direction=H","UseDPDF=Y")</f>
        <v>—</v>
      </c>
      <c r="H14" s="19" t="str">
        <f>_xll.BDH("ALNY US Equity","ARDR_FV_LIAB_REC_TOTAL","FQ1 2020","FQ1 2020","Currency=USD","Period=FQ","BEST_FPERIOD_OVERRIDE=FQ","FILING_STATUS=MR","SCALING_FORMAT=MLN","Sort=A","Dates=H","DateFormat=P","Fill=—","Direction=H","UseDPDF=Y")</f>
        <v>—</v>
      </c>
      <c r="I14" s="19" t="str">
        <f>_xll.BDH("ALNY US Equity","ARDR_FV_LIAB_REC_TOTAL","FQ2 2020","FQ2 2020","Currency=USD","Period=FQ","BEST_FPERIOD_OVERRIDE=FQ","FILING_STATUS=MR","SCALING_FORMAT=MLN","Sort=A","Dates=H","DateFormat=P","Fill=—","Direction=H","UseDPDF=Y")</f>
        <v>—</v>
      </c>
      <c r="J14" s="19">
        <f>_xll.BDH("ALNY US Equity","ARDR_FV_LIAB_REC_TOTAL","FQ3 2020","FQ3 2020","Currency=USD","Period=FQ","BEST_FPERIOD_OVERRIDE=FQ","FILING_STATUS=MR","SCALING_FORMAT=MLN","Sort=A","Dates=H","DateFormat=P","Fill=—","Direction=H","UseDPDF=Y")</f>
        <v>5.43</v>
      </c>
      <c r="K14" s="19">
        <f>_xll.BDH("ALNY US Equity","ARDR_FV_LIAB_REC_TOTAL","FQ4 2020","FQ4 2020","Currency=USD","Period=FQ","BEST_FPERIOD_OVERRIDE=FQ","FILING_STATUS=MR","SCALING_FORMAT=MLN","Sort=A","Dates=H","DateFormat=P","Fill=—","Direction=H","UseDPDF=Y")</f>
        <v>25.585000000000001</v>
      </c>
      <c r="L14" s="19">
        <f>_xll.BDH("ALNY US Equity","ARDR_FV_LIAB_REC_TOTAL","FQ1 2021","FQ1 2021","Currency=USD","Period=FQ","BEST_FPERIOD_OVERRIDE=FQ","FILING_STATUS=MR","SCALING_FORMAT=MLN","Sort=A","Dates=H","DateFormat=P","Fill=—","Direction=H","UseDPDF=Y")</f>
        <v>48.037999999999997</v>
      </c>
      <c r="M14" s="19">
        <f>_xll.BDH("ALNY US Equity","ARDR_FV_LIAB_REC_TOTAL","FQ2 2021","FQ2 2021","Currency=USD","Period=FQ","BEST_FPERIOD_OVERRIDE=FQ","FILING_STATUS=MR","SCALING_FORMAT=MLN","Sort=A","Dates=H","DateFormat=P","Fill=—","Direction=H","UseDPDF=Y")</f>
        <v>56.828000000000003</v>
      </c>
      <c r="N14" s="19">
        <f>_xll.BDH("ALNY US Equity","ARDR_FV_LIAB_REC_TOTAL","FQ3 2021","FQ3 2021","Currency=USD","Period=FQ","BEST_FPERIOD_OVERRIDE=FQ","FILING_STATUS=MR","SCALING_FORMAT=MLN","Sort=A","Dates=H","DateFormat=P","Fill=—","Direction=H","UseDPDF=Y")</f>
        <v>61.34</v>
      </c>
      <c r="O14" s="19">
        <f>_xll.BDH("ALNY US Equity","ARDR_FV_LIAB_REC_TOTAL","FQ4 2021","FQ4 2021","Currency=USD","Period=FQ","BEST_FPERIOD_OVERRIDE=FQ","FILING_STATUS=MR","SCALING_FORMAT=MLN","Sort=A","Dates=H","DateFormat=P","Fill=—","Direction=H","UseDPDF=Y")</f>
        <v>83.617999999999995</v>
      </c>
      <c r="P14" s="19">
        <f>_xll.BDH("ALNY US Equity","ARDR_FV_LIAB_REC_TOTAL","FQ1 2022","FQ1 2022","Currency=USD","Period=FQ","BEST_FPERIOD_OVERRIDE=FQ","FILING_STATUS=MR","SCALING_FORMAT=MLN","Sort=A","Dates=H","DateFormat=P","Fill=—","Direction=H","UseDPDF=Y")</f>
        <v>105.233</v>
      </c>
      <c r="Q14" s="19">
        <f>_xll.BDH("ALNY US Equity","ARDR_FV_LIAB_REC_TOTAL","FQ2 2022","FQ2 2022","Currency=USD","Period=FQ","BEST_FPERIOD_OVERRIDE=FQ","FILING_STATUS=MR","SCALING_FORMAT=MLN","Sort=A","Dates=H","DateFormat=P","Fill=—","Direction=H","UseDPDF=Y")</f>
        <v>144.977</v>
      </c>
      <c r="R14" s="19">
        <f>_xll.BDH("ALNY US Equity","ARDR_FV_LIAB_REC_TOTAL","FQ3 2022","FQ3 2022","Currency=USD","Period=FQ","BEST_FPERIOD_OVERRIDE=FQ","FILING_STATUS=MR","SCALING_FORMAT=MLN","Sort=A","Dates=H","DateFormat=P","Fill=—","Direction=H","UseDPDF=Y")</f>
        <v>177.89400000000001</v>
      </c>
      <c r="S14" s="19">
        <f>_xll.BDH("ALNY US Equity","ARDR_FV_LIAB_REC_TOTAL","FQ4 2022","FQ4 2022","Currency=USD","Period=FQ","BEST_FPERIOD_OVERRIDE=FQ","FILING_STATUS=MR","SCALING_FORMAT=MLN","Sort=A","Dates=H","DateFormat=P","Fill=—","Direction=H","UseDPDF=Y")</f>
        <v>209.27699999999999</v>
      </c>
      <c r="T14" s="19">
        <f>_xll.BDH("ALNY US Equity","ARDR_FV_LIAB_REC_TOTAL","FQ1 2023","FQ1 2023","Currency=USD","Period=FQ","BEST_FPERIOD_OVERRIDE=FQ","FILING_STATUS=MR","SCALING_FORMAT=MLN","Sort=A","Dates=H","DateFormat=P","Fill=—","Direction=H","UseDPDF=Y")</f>
        <v>219.74799999999999</v>
      </c>
      <c r="U14" s="19">
        <f>_xll.BDH("ALNY US Equity","ARDR_FV_LIAB_REC_TOTAL","FQ2 2023","FQ2 2023","Currency=USD","Period=FQ","BEST_FPERIOD_OVERRIDE=FQ","FILING_STATUS=MR","SCALING_FORMAT=MLN","Sort=A","Dates=H","DateFormat=P","Fill=—","Direction=H","UseDPDF=Y")</f>
        <v>253.96299999999999</v>
      </c>
      <c r="V14" s="19">
        <f>_xll.BDH("ALNY US Equity","ARDR_FV_LIAB_REC_TOTAL","FQ3 2023","FQ3 2023","Currency=USD","Period=FQ","BEST_FPERIOD_OVERRIDE=FQ","FILING_STATUS=MR","SCALING_FORMAT=MLN","Sort=A","Dates=H","DateFormat=P","Fill=—","Direction=H","UseDPDF=Y")</f>
        <v>293.505</v>
      </c>
      <c r="W14" s="19">
        <f>_xll.BDH("ALNY US Equity","ARDR_FV_LIAB_REC_TOTAL","FQ4 2023","FQ4 2023","Currency=USD","Period=FQ","BEST_FPERIOD_OVERRIDE=FQ","FILING_STATUS=MR","SCALING_FORMAT=MLN","Sort=A","Dates=H","DateFormat=P","Fill=—","Direction=H","UseDPDF=Y")</f>
        <v>324.94099999999997</v>
      </c>
      <c r="X14" s="19">
        <f>_xll.BDH("ALNY US Equity","ARDR_FV_LIAB_REC_TOTAL","FQ1 2024","FQ1 2024","Currency=USD","Period=FQ","BEST_FPERIOD_OVERRIDE=FQ","FILING_STATUS=MR","SCALING_FORMAT=MLN","Sort=A","Dates=H","DateFormat=P","Fill=—","Direction=H","UseDPDF=Y")</f>
        <v>336.57900000000001</v>
      </c>
      <c r="Y14" s="19">
        <f>_xll.BDH("ALNY US Equity","ARDR_FV_LIAB_REC_TOTAL","FQ2 2024","FQ2 2024","Currency=USD","Period=FQ","BEST_FPERIOD_OVERRIDE=FQ","FILING_STATUS=MR","SCALING_FORMAT=MLN","Sort=A","Dates=H","DateFormat=P","Fill=—","Direction=H","UseDPDF=Y")</f>
        <v>390.93900000000002</v>
      </c>
      <c r="Z14" s="19">
        <f>_xll.BDH("ALNY US Equity","ARDR_FV_LIAB_REC_TOTAL","FQ3 2024","FQ3 2024","Currency=USD","Period=FQ","BEST_FPERIOD_OVERRIDE=FQ","FILING_STATUS=MR","SCALING_FORMAT=MLN","Sort=A","Dates=H","DateFormat=P","Fill=—","Direction=H","UseDPDF=Y")</f>
        <v>421.92899999999997</v>
      </c>
      <c r="AA14" s="19">
        <f>_xll.BDH("ALNY US Equity","ARDR_FV_LIAB_REC_TOTAL","FQ4 2024","FQ4 2024","Currency=USD","Period=FQ","BEST_FPERIOD_OVERRIDE=FQ","FILING_STATUS=MR","SCALING_FORMAT=MLN","Sort=A","Dates=H","DateFormat=P","Fill=—","Direction=H","UseDPDF=Y")</f>
        <v>486.91899999999998</v>
      </c>
    </row>
    <row r="15" spans="1:27" x14ac:dyDescent="0.25">
      <c r="A15" s="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0" t="s">
        <v>1149</v>
      </c>
      <c r="B16" s="10" t="s">
        <v>1150</v>
      </c>
      <c r="C16" s="14">
        <f>_xll.BDH("ALNY US Equity","LEVEL_1_ASSETS_TO_TOTAL_EQUITY","FQ4 2018","FQ4 2018","Currency=USD","Period=FQ","BEST_FPERIOD_OVERRIDE=FQ","FILING_STATUS=MR","Sort=A","Dates=H","DateFormat=P","Fill=—","Direction=H","UseDPDF=Y")</f>
        <v>8.0746000000000002</v>
      </c>
      <c r="D16" s="14">
        <f>_xll.BDH("ALNY US Equity","LEVEL_1_ASSETS_TO_TOTAL_EQUITY","FQ1 2019","FQ1 2019","Currency=USD","Period=FQ","BEST_FPERIOD_OVERRIDE=FQ","FILING_STATUS=MR","Sort=A","Dates=H","DateFormat=P","Fill=—","Direction=H","UseDPDF=Y")</f>
        <v>6.4457000000000004</v>
      </c>
      <c r="E16" s="14">
        <f>_xll.BDH("ALNY US Equity","LEVEL_1_ASSETS_TO_TOTAL_EQUITY","FQ2 2019","FQ2 2019","Currency=USD","Period=FQ","BEST_FPERIOD_OVERRIDE=FQ","FILING_STATUS=MR","Sort=A","Dates=H","DateFormat=P","Fill=—","Direction=H","UseDPDF=Y")</f>
        <v>5.4619</v>
      </c>
      <c r="F16" s="14">
        <f>_xll.BDH("ALNY US Equity","LEVEL_1_ASSETS_TO_TOTAL_EQUITY","FQ3 2019","FQ3 2019","Currency=USD","Period=FQ","BEST_FPERIOD_OVERRIDE=FQ","FILING_STATUS=MR","Sort=A","Dates=H","DateFormat=P","Fill=—","Direction=H","UseDPDF=Y")</f>
        <v>8.4575999999999993</v>
      </c>
      <c r="G16" s="14">
        <f>_xll.BDH("ALNY US Equity","LEVEL_1_ASSETS_TO_TOTAL_EQUITY","FQ4 2019","FQ4 2019","Currency=USD","Period=FQ","BEST_FPERIOD_OVERRIDE=FQ","FILING_STATUS=MR","Sort=A","Dates=H","DateFormat=P","Fill=—","Direction=H","UseDPDF=Y")</f>
        <v>9.4064999999999994</v>
      </c>
      <c r="H16" s="14">
        <f>_xll.BDH("ALNY US Equity","LEVEL_1_ASSETS_TO_TOTAL_EQUITY","FQ1 2020","FQ1 2020","Currency=USD","Period=FQ","BEST_FPERIOD_OVERRIDE=FQ","FILING_STATUS=MR","Sort=A","Dates=H","DateFormat=P","Fill=—","Direction=H","UseDPDF=Y")</f>
        <v>10.0265</v>
      </c>
      <c r="I16" s="14">
        <f>_xll.BDH("ALNY US Equity","LEVEL_1_ASSETS_TO_TOTAL_EQUITY","FQ2 2020","FQ2 2020","Currency=USD","Period=FQ","BEST_FPERIOD_OVERRIDE=FQ","FILING_STATUS=MR","Sort=A","Dates=H","DateFormat=P","Fill=—","Direction=H","UseDPDF=Y")</f>
        <v>33.776200000000003</v>
      </c>
      <c r="J16" s="14">
        <f>_xll.BDH("ALNY US Equity","LEVEL_1_ASSETS_TO_TOTAL_EQUITY","FQ3 2020","FQ3 2020","Currency=USD","Period=FQ","BEST_FPERIOD_OVERRIDE=FQ","FILING_STATUS=MR","Sort=A","Dates=H","DateFormat=P","Fill=—","Direction=H","UseDPDF=Y")</f>
        <v>29.0916</v>
      </c>
      <c r="K16" s="14">
        <f>_xll.BDH("ALNY US Equity","LEVEL_1_ASSETS_TO_TOTAL_EQUITY","FQ4 2020","FQ4 2020","Currency=USD","Period=FQ","BEST_FPERIOD_OVERRIDE=FQ","FILING_STATUS=MR","Sort=A","Dates=H","DateFormat=P","Fill=—","Direction=H","UseDPDF=Y")</f>
        <v>11.9894</v>
      </c>
      <c r="L16" s="14">
        <f>_xll.BDH("ALNY US Equity","LEVEL_1_ASSETS_TO_TOTAL_EQUITY","FQ1 2021","FQ1 2021","Currency=USD","Period=FQ","BEST_FPERIOD_OVERRIDE=FQ","FILING_STATUS=MR","Sort=A","Dates=H","DateFormat=P","Fill=—","Direction=H","UseDPDF=Y")</f>
        <v>25.472100000000001</v>
      </c>
      <c r="M16" s="14">
        <f>_xll.BDH("ALNY US Equity","LEVEL_1_ASSETS_TO_TOTAL_EQUITY","FQ2 2021","FQ2 2021","Currency=USD","Period=FQ","BEST_FPERIOD_OVERRIDE=FQ","FILING_STATUS=MR","Sort=A","Dates=H","DateFormat=P","Fill=—","Direction=H","UseDPDF=Y")</f>
        <v>34.346499999999999</v>
      </c>
      <c r="N16" s="14">
        <f>_xll.BDH("ALNY US Equity","LEVEL_1_ASSETS_TO_TOTAL_EQUITY","FQ3 2021","FQ3 2021","Currency=USD","Period=FQ","BEST_FPERIOD_OVERRIDE=FQ","FILING_STATUS=MR","Sort=A","Dates=H","DateFormat=P","Fill=—","Direction=H","UseDPDF=Y")</f>
        <v>54.948</v>
      </c>
      <c r="O16" s="14">
        <f>_xll.BDH("ALNY US Equity","LEVEL_1_ASSETS_TO_TOTAL_EQUITY","FQ4 2021","FQ4 2021","Currency=USD","Period=FQ","BEST_FPERIOD_OVERRIDE=FQ","FILING_STATUS=MR","Sort=A","Dates=H","DateFormat=P","Fill=—","Direction=H","UseDPDF=Y")</f>
        <v>55.089100000000002</v>
      </c>
      <c r="P16" s="14">
        <f>_xll.BDH("ALNY US Equity","LEVEL_1_ASSETS_TO_TOTAL_EQUITY","FQ1 2022","FQ1 2022","Currency=USD","Period=FQ","BEST_FPERIOD_OVERRIDE=FQ","FILING_STATUS=MR","Sort=A","Dates=H","DateFormat=P","Fill=—","Direction=H","UseDPDF=Y")</f>
        <v>48.224699999999999</v>
      </c>
      <c r="Q16" s="14">
        <f>_xll.BDH("ALNY US Equity","LEVEL_1_ASSETS_TO_TOTAL_EQUITY","FQ2 2022","FQ2 2022","Currency=USD","Period=FQ","BEST_FPERIOD_OVERRIDE=FQ","FILING_STATUS=MR","Sort=A","Dates=H","DateFormat=P","Fill=—","Direction=H","UseDPDF=Y")</f>
        <v>120.3283</v>
      </c>
      <c r="R16" s="14">
        <f>_xll.BDH("ALNY US Equity","LEVEL_1_ASSETS_TO_TOTAL_EQUITY","FQ3 2022","FQ3 2022","Currency=USD","Period=FQ","BEST_FPERIOD_OVERRIDE=FQ","FILING_STATUS=MR","Sort=A","Dates=H","DateFormat=P","Fill=—","Direction=H","UseDPDF=Y")</f>
        <v>-672.28039999999999</v>
      </c>
      <c r="S16" s="14">
        <f>_xll.BDH("ALNY US Equity","LEVEL_1_ASSETS_TO_TOTAL_EQUITY","FQ4 2022","FQ4 2022","Currency=USD","Period=FQ","BEST_FPERIOD_OVERRIDE=FQ","FILING_STATUS=MR","Sort=A","Dates=H","DateFormat=P","Fill=—","Direction=H","UseDPDF=Y")</f>
        <v>-189.42439999999999</v>
      </c>
      <c r="T16" s="14">
        <f>_xll.BDH("ALNY US Equity","LEVEL_1_ASSETS_TO_TOTAL_EQUITY","FQ1 2023","FQ1 2023","Currency=USD","Period=FQ","BEST_FPERIOD_OVERRIDE=FQ","FILING_STATUS=MR","Sort=A","Dates=H","DateFormat=P","Fill=—","Direction=H","UseDPDF=Y")</f>
        <v>-93.084800000000001</v>
      </c>
      <c r="U16" s="14">
        <f>_xll.BDH("ALNY US Equity","LEVEL_1_ASSETS_TO_TOTAL_EQUITY","FQ2 2023","FQ2 2023","Currency=USD","Period=FQ","BEST_FPERIOD_OVERRIDE=FQ","FILING_STATUS=MR","Sort=A","Dates=H","DateFormat=P","Fill=—","Direction=H","UseDPDF=Y")</f>
        <v>-28.599399999999999</v>
      </c>
      <c r="V16" s="14">
        <f>_xll.BDH("ALNY US Equity","LEVEL_1_ASSETS_TO_TOTAL_EQUITY","FQ3 2023","FQ3 2023","Currency=USD","Period=FQ","BEST_FPERIOD_OVERRIDE=FQ","FILING_STATUS=MR","Sort=A","Dates=H","DateFormat=P","Fill=—","Direction=H","UseDPDF=Y")</f>
        <v>-44.262799999999999</v>
      </c>
      <c r="W16" s="14">
        <f>_xll.BDH("ALNY US Equity","LEVEL_1_ASSETS_TO_TOTAL_EQUITY","FQ4 2023","FQ4 2023","Currency=USD","Period=FQ","BEST_FPERIOD_OVERRIDE=FQ","FILING_STATUS=MR","Sort=A","Dates=H","DateFormat=P","Fill=—","Direction=H","UseDPDF=Y")</f>
        <v>-80.875500000000002</v>
      </c>
      <c r="X16" s="14">
        <f>_xll.BDH("ALNY US Equity","LEVEL_1_ASSETS_TO_TOTAL_EQUITY","FQ1 2024","FQ1 2024","Currency=USD","Period=FQ","BEST_FPERIOD_OVERRIDE=FQ","FILING_STATUS=MR","Sort=A","Dates=H","DateFormat=P","Fill=—","Direction=H","UseDPDF=Y")</f>
        <v>-63.400700000000001</v>
      </c>
      <c r="Y16" s="14">
        <f>_xll.BDH("ALNY US Equity","LEVEL_1_ASSETS_TO_TOTAL_EQUITY","FQ2 2024","FQ2 2024","Currency=USD","Period=FQ","BEST_FPERIOD_OVERRIDE=FQ","FILING_STATUS=MR","Sort=A","Dates=H","DateFormat=P","Fill=—","Direction=H","UseDPDF=Y")</f>
        <v>-5528.9534000000003</v>
      </c>
      <c r="Z16" s="14">
        <f>_xll.BDH("ALNY US Equity","LEVEL_1_ASSETS_TO_TOTAL_EQUITY","FQ3 2024","FQ3 2024","Currency=USD","Period=FQ","BEST_FPERIOD_OVERRIDE=FQ","FILING_STATUS=MR","Sort=A","Dates=H","DateFormat=P","Fill=—","Direction=H","UseDPDF=Y")</f>
        <v>592.89110000000005</v>
      </c>
      <c r="AA16" s="14">
        <f>_xll.BDH("ALNY US Equity","LEVEL_1_ASSETS_TO_TOTAL_EQUITY","FQ4 2024","FQ4 2024","Currency=USD","Period=FQ","BEST_FPERIOD_OVERRIDE=FQ","FILING_STATUS=MR","Sort=A","Dates=H","DateFormat=P","Fill=—","Direction=H","UseDPDF=Y")</f>
        <v>297.88490000000002</v>
      </c>
    </row>
    <row r="17" spans="1:27" x14ac:dyDescent="0.25">
      <c r="A17" s="10" t="s">
        <v>1151</v>
      </c>
      <c r="B17" s="10" t="s">
        <v>1152</v>
      </c>
      <c r="C17" s="14">
        <f>_xll.BDH("ALNY US Equity","LEVEL_2_ASSETS_TO_TOTAL_EQUITY","FQ4 2018","FQ4 2018","Currency=USD","Period=FQ","BEST_FPERIOD_OVERRIDE=FQ","FILING_STATUS=MR","Sort=A","Dates=H","DateFormat=P","Fill=—","Direction=H","UseDPDF=Y")</f>
        <v>67.903800000000004</v>
      </c>
      <c r="D17" s="14">
        <f>_xll.BDH("ALNY US Equity","LEVEL_2_ASSETS_TO_TOTAL_EQUITY","FQ1 2019","FQ1 2019","Currency=USD","Period=FQ","BEST_FPERIOD_OVERRIDE=FQ","FILING_STATUS=MR","Sort=A","Dates=H","DateFormat=P","Fill=—","Direction=H","UseDPDF=Y")</f>
        <v>67.861599999999996</v>
      </c>
      <c r="E17" s="14">
        <f>_xll.BDH("ALNY US Equity","LEVEL_2_ASSETS_TO_TOTAL_EQUITY","FQ2 2019","FQ2 2019","Currency=USD","Period=FQ","BEST_FPERIOD_OVERRIDE=FQ","FILING_STATUS=MR","Sort=A","Dates=H","DateFormat=P","Fill=—","Direction=H","UseDPDF=Y")</f>
        <v>90.446799999999996</v>
      </c>
      <c r="F17" s="14">
        <f>_xll.BDH("ALNY US Equity","LEVEL_2_ASSETS_TO_TOTAL_EQUITY","FQ3 2019","FQ3 2019","Currency=USD","Period=FQ","BEST_FPERIOD_OVERRIDE=FQ","FILING_STATUS=MR","Sort=A","Dates=H","DateFormat=P","Fill=—","Direction=H","UseDPDF=Y")</f>
        <v>91.587900000000005</v>
      </c>
      <c r="G17" s="14">
        <f>_xll.BDH("ALNY US Equity","LEVEL_2_ASSETS_TO_TOTAL_EQUITY","FQ4 2019","FQ4 2019","Currency=USD","Period=FQ","BEST_FPERIOD_OVERRIDE=FQ","FILING_STATUS=MR","Sort=A","Dates=H","DateFormat=P","Fill=—","Direction=H","UseDPDF=Y")</f>
        <v>91.113900000000001</v>
      </c>
      <c r="H17" s="14">
        <f>_xll.BDH("ALNY US Equity","LEVEL_2_ASSETS_TO_TOTAL_EQUITY","FQ1 2020","FQ1 2020","Currency=USD","Period=FQ","BEST_FPERIOD_OVERRIDE=FQ","FILING_STATUS=MR","Sort=A","Dates=H","DateFormat=P","Fill=—","Direction=H","UseDPDF=Y")</f>
        <v>97.438000000000002</v>
      </c>
      <c r="I17" s="14">
        <f>_xll.BDH("ALNY US Equity","LEVEL_2_ASSETS_TO_TOTAL_EQUITY","FQ2 2020","FQ2 2020","Currency=USD","Period=FQ","BEST_FPERIOD_OVERRIDE=FQ","FILING_STATUS=MR","Sort=A","Dates=H","DateFormat=P","Fill=—","Direction=H","UseDPDF=Y")</f>
        <v>93.5334</v>
      </c>
      <c r="J17" s="14">
        <f>_xll.BDH("ALNY US Equity","LEVEL_2_ASSETS_TO_TOTAL_EQUITY","FQ3 2020","FQ3 2020","Currency=USD","Period=FQ","BEST_FPERIOD_OVERRIDE=FQ","FILING_STATUS=MR","Sort=A","Dates=H","DateFormat=P","Fill=—","Direction=H","UseDPDF=Y")</f>
        <v>106.57859999999999</v>
      </c>
      <c r="K17" s="14">
        <f>_xll.BDH("ALNY US Equity","LEVEL_2_ASSETS_TO_TOTAL_EQUITY","FQ4 2020","FQ4 2020","Currency=USD","Period=FQ","BEST_FPERIOD_OVERRIDE=FQ","FILING_STATUS=MR","Sort=A","Dates=H","DateFormat=P","Fill=—","Direction=H","UseDPDF=Y")</f>
        <v>133.15479999999999</v>
      </c>
      <c r="L17" s="14">
        <f>_xll.BDH("ALNY US Equity","LEVEL_2_ASSETS_TO_TOTAL_EQUITY","FQ1 2021","FQ1 2021","Currency=USD","Period=FQ","BEST_FPERIOD_OVERRIDE=FQ","FILING_STATUS=MR","Sort=A","Dates=H","DateFormat=P","Fill=—","Direction=H","UseDPDF=Y")</f>
        <v>137.4477</v>
      </c>
      <c r="M17" s="14">
        <f>_xll.BDH("ALNY US Equity","LEVEL_2_ASSETS_TO_TOTAL_EQUITY","FQ2 2021","FQ2 2021","Currency=USD","Period=FQ","BEST_FPERIOD_OVERRIDE=FQ","FILING_STATUS=MR","Sort=A","Dates=H","DateFormat=P","Fill=—","Direction=H","UseDPDF=Y")</f>
        <v>129.11070000000001</v>
      </c>
      <c r="N17" s="14">
        <f>_xll.BDH("ALNY US Equity","LEVEL_2_ASSETS_TO_TOTAL_EQUITY","FQ3 2021","FQ3 2021","Currency=USD","Period=FQ","BEST_FPERIOD_OVERRIDE=FQ","FILING_STATUS=MR","Sort=A","Dates=H","DateFormat=P","Fill=—","Direction=H","UseDPDF=Y")</f>
        <v>154.959</v>
      </c>
      <c r="O17" s="14">
        <f>_xll.BDH("ALNY US Equity","LEVEL_2_ASSETS_TO_TOTAL_EQUITY","FQ4 2021","FQ4 2021","Currency=USD","Period=FQ","BEST_FPERIOD_OVERRIDE=FQ","FILING_STATUS=MR","Sort=A","Dates=H","DateFormat=P","Fill=—","Direction=H","UseDPDF=Y")</f>
        <v>272.62950000000001</v>
      </c>
      <c r="P17" s="14">
        <f>_xll.BDH("ALNY US Equity","LEVEL_2_ASSETS_TO_TOTAL_EQUITY","FQ1 2022","FQ1 2022","Currency=USD","Period=FQ","BEST_FPERIOD_OVERRIDE=FQ","FILING_STATUS=MR","Sort=A","Dates=H","DateFormat=P","Fill=—","Direction=H","UseDPDF=Y")</f>
        <v>430.60750000000002</v>
      </c>
      <c r="Q17" s="14">
        <f>_xll.BDH("ALNY US Equity","LEVEL_2_ASSETS_TO_TOTAL_EQUITY","FQ2 2022","FQ2 2022","Currency=USD","Period=FQ","BEST_FPERIOD_OVERRIDE=FQ","FILING_STATUS=MR","Sort=A","Dates=H","DateFormat=P","Fill=—","Direction=H","UseDPDF=Y")</f>
        <v>905.32150000000001</v>
      </c>
      <c r="R17" s="14">
        <f>_xll.BDH("ALNY US Equity","LEVEL_2_ASSETS_TO_TOTAL_EQUITY","FQ3 2022","FQ3 2022","Currency=USD","Period=FQ","BEST_FPERIOD_OVERRIDE=FQ","FILING_STATUS=MR","Sort=A","Dates=H","DateFormat=P","Fill=—","Direction=H","UseDPDF=Y")</f>
        <v>-1830.5213000000001</v>
      </c>
      <c r="S17" s="14">
        <f>_xll.BDH("ALNY US Equity","LEVEL_2_ASSETS_TO_TOTAL_EQUITY","FQ4 2022","FQ4 2022","Currency=USD","Period=FQ","BEST_FPERIOD_OVERRIDE=FQ","FILING_STATUS=MR","Sort=A","Dates=H","DateFormat=P","Fill=—","Direction=H","UseDPDF=Y")</f>
        <v>-891.86339999999996</v>
      </c>
      <c r="T17" s="14">
        <f>_xll.BDH("ALNY US Equity","LEVEL_2_ASSETS_TO_TOTAL_EQUITY","FQ1 2023","FQ1 2023","Currency=USD","Period=FQ","BEST_FPERIOD_OVERRIDE=FQ","FILING_STATUS=MR","Sort=A","Dates=H","DateFormat=P","Fill=—","Direction=H","UseDPDF=Y")</f>
        <v>-531.07619999999997</v>
      </c>
      <c r="U17" s="14">
        <f>_xll.BDH("ALNY US Equity","LEVEL_2_ASSETS_TO_TOTAL_EQUITY","FQ2 2023","FQ2 2023","Currency=USD","Period=FQ","BEST_FPERIOD_OVERRIDE=FQ","FILING_STATUS=MR","Sort=A","Dates=H","DateFormat=P","Fill=—","Direction=H","UseDPDF=Y")</f>
        <v>-338.22059999999999</v>
      </c>
      <c r="V17" s="14">
        <f>_xll.BDH("ALNY US Equity","LEVEL_2_ASSETS_TO_TOTAL_EQUITY","FQ3 2023","FQ3 2023","Currency=USD","Period=FQ","BEST_FPERIOD_OVERRIDE=FQ","FILING_STATUS=MR","Sort=A","Dates=H","DateFormat=P","Fill=—","Direction=H","UseDPDF=Y")</f>
        <v>-832.57029999999997</v>
      </c>
      <c r="W17" s="14">
        <f>_xll.BDH("ALNY US Equity","LEVEL_2_ASSETS_TO_TOTAL_EQUITY","FQ4 2023","FQ4 2023","Currency=USD","Period=FQ","BEST_FPERIOD_OVERRIDE=FQ","FILING_STATUS=MR","Sort=A","Dates=H","DateFormat=P","Fill=—","Direction=H","UseDPDF=Y")</f>
        <v>-747.66369999999995</v>
      </c>
      <c r="X17" s="14">
        <f>_xll.BDH("ALNY US Equity","LEVEL_2_ASSETS_TO_TOTAL_EQUITY","FQ1 2024","FQ1 2024","Currency=USD","Period=FQ","BEST_FPERIOD_OVERRIDE=FQ","FILING_STATUS=MR","Sort=A","Dates=H","DateFormat=P","Fill=—","Direction=H","UseDPDF=Y")</f>
        <v>-791.21590000000003</v>
      </c>
      <c r="Y17" s="14">
        <f>_xll.BDH("ALNY US Equity","LEVEL_2_ASSETS_TO_TOTAL_EQUITY","FQ2 2024","FQ2 2024","Currency=USD","Period=FQ","BEST_FPERIOD_OVERRIDE=FQ","FILING_STATUS=MR","Sort=A","Dates=H","DateFormat=P","Fill=—","Direction=H","UseDPDF=Y")</f>
        <v>-55066.2863</v>
      </c>
      <c r="Z17" s="14">
        <f>_xll.BDH("ALNY US Equity","LEVEL_2_ASSETS_TO_TOTAL_EQUITY","FQ3 2024","FQ3 2024","Currency=USD","Period=FQ","BEST_FPERIOD_OVERRIDE=FQ","FILING_STATUS=MR","Sort=A","Dates=H","DateFormat=P","Fill=—","Direction=H","UseDPDF=Y")</f>
        <v>5196.1952000000001</v>
      </c>
      <c r="AA17" s="14">
        <f>_xll.BDH("ALNY US Equity","LEVEL_2_ASSETS_TO_TOTAL_EQUITY","FQ4 2024","FQ4 2024","Currency=USD","Period=FQ","BEST_FPERIOD_OVERRIDE=FQ","FILING_STATUS=MR","Sort=A","Dates=H","DateFormat=P","Fill=—","Direction=H","UseDPDF=Y")</f>
        <v>2666.6601999999998</v>
      </c>
    </row>
    <row r="18" spans="1:27" x14ac:dyDescent="0.25">
      <c r="A18" s="10" t="s">
        <v>1153</v>
      </c>
      <c r="B18" s="10" t="s">
        <v>1154</v>
      </c>
      <c r="C18" s="14">
        <f>_xll.BDH("ALNY US Equity","LEVEL_3_ASSETS_TO_TOTAL_EQUITY","FQ4 2018","FQ4 2018","Currency=USD","Period=FQ","BEST_FPERIOD_OVERRIDE=FQ","FILING_STATUS=MR","Sort=A","Dates=H","DateFormat=P","Fill=—","Direction=H","UseDPDF=Y")</f>
        <v>0</v>
      </c>
      <c r="D18" s="14">
        <f>_xll.BDH("ALNY US Equity","LEVEL_3_ASSETS_TO_TOTAL_EQUITY","FQ1 2019","FQ1 2019","Currency=USD","Period=FQ","BEST_FPERIOD_OVERRIDE=FQ","FILING_STATUS=MR","Sort=A","Dates=H","DateFormat=P","Fill=—","Direction=H","UseDPDF=Y")</f>
        <v>0</v>
      </c>
      <c r="E18" s="14">
        <f>_xll.BDH("ALNY US Equity","LEVEL_3_ASSETS_TO_TOTAL_EQUITY","FQ2 2019","FQ2 2019","Currency=USD","Period=FQ","BEST_FPERIOD_OVERRIDE=FQ","FILING_STATUS=MR","Sort=A","Dates=H","DateFormat=P","Fill=—","Direction=H","UseDPDF=Y")</f>
        <v>0</v>
      </c>
      <c r="F18" s="14">
        <f>_xll.BDH("ALNY US Equity","LEVEL_3_ASSETS_TO_TOTAL_EQUITY","FQ3 2019","FQ3 2019","Currency=USD","Period=FQ","BEST_FPERIOD_OVERRIDE=FQ","FILING_STATUS=MR","Sort=A","Dates=H","DateFormat=P","Fill=—","Direction=H","UseDPDF=Y")</f>
        <v>0</v>
      </c>
      <c r="G18" s="14">
        <f>_xll.BDH("ALNY US Equity","LEVEL_3_ASSETS_TO_TOTAL_EQUITY","FQ4 2019","FQ4 2019","Currency=USD","Period=FQ","BEST_FPERIOD_OVERRIDE=FQ","FILING_STATUS=MR","Sort=A","Dates=H","DateFormat=P","Fill=—","Direction=H","UseDPDF=Y")</f>
        <v>0</v>
      </c>
      <c r="H18" s="14">
        <f>_xll.BDH("ALNY US Equity","LEVEL_3_ASSETS_TO_TOTAL_EQUITY","FQ1 2020","FQ1 2020","Currency=USD","Period=FQ","BEST_FPERIOD_OVERRIDE=FQ","FILING_STATUS=MR","Sort=A","Dates=H","DateFormat=P","Fill=—","Direction=H","UseDPDF=Y")</f>
        <v>0</v>
      </c>
      <c r="I18" s="14">
        <f>_xll.BDH("ALNY US Equity","LEVEL_3_ASSETS_TO_TOTAL_EQUITY","FQ2 2020","FQ2 2020","Currency=USD","Period=FQ","BEST_FPERIOD_OVERRIDE=FQ","FILING_STATUS=MR","Sort=A","Dates=H","DateFormat=P","Fill=—","Direction=H","UseDPDF=Y")</f>
        <v>0</v>
      </c>
      <c r="J18" s="14">
        <f>_xll.BDH("ALNY US Equity","LEVEL_3_ASSETS_TO_TOTAL_EQUITY","FQ3 2020","FQ3 2020","Currency=USD","Period=FQ","BEST_FPERIOD_OVERRIDE=FQ","FILING_STATUS=MR","Sort=A","Dates=H","DateFormat=P","Fill=—","Direction=H","UseDPDF=Y")</f>
        <v>0</v>
      </c>
      <c r="K18" s="14">
        <f>_xll.BDH("ALNY US Equity","LEVEL_3_ASSETS_TO_TOTAL_EQUITY","FQ4 2020","FQ4 2020","Currency=USD","Period=FQ","BEST_FPERIOD_OVERRIDE=FQ","FILING_STATUS=MR","Sort=A","Dates=H","DateFormat=P","Fill=—","Direction=H","UseDPDF=Y")</f>
        <v>0</v>
      </c>
      <c r="L18" s="14">
        <f>_xll.BDH("ALNY US Equity","LEVEL_3_ASSETS_TO_TOTAL_EQUITY","FQ1 2021","FQ1 2021","Currency=USD","Period=FQ","BEST_FPERIOD_OVERRIDE=FQ","FILING_STATUS=MR","Sort=A","Dates=H","DateFormat=P","Fill=—","Direction=H","UseDPDF=Y")</f>
        <v>0</v>
      </c>
      <c r="M18" s="14">
        <f>_xll.BDH("ALNY US Equity","LEVEL_3_ASSETS_TO_TOTAL_EQUITY","FQ2 2021","FQ2 2021","Currency=USD","Period=FQ","BEST_FPERIOD_OVERRIDE=FQ","FILING_STATUS=MR","Sort=A","Dates=H","DateFormat=P","Fill=—","Direction=H","UseDPDF=Y")</f>
        <v>0</v>
      </c>
      <c r="N18" s="14">
        <f>_xll.BDH("ALNY US Equity","LEVEL_3_ASSETS_TO_TOTAL_EQUITY","FQ3 2021","FQ3 2021","Currency=USD","Period=FQ","BEST_FPERIOD_OVERRIDE=FQ","FILING_STATUS=MR","Sort=A","Dates=H","DateFormat=P","Fill=—","Direction=H","UseDPDF=Y")</f>
        <v>0</v>
      </c>
      <c r="O18" s="14">
        <f>_xll.BDH("ALNY US Equity","LEVEL_3_ASSETS_TO_TOTAL_EQUITY","FQ4 2021","FQ4 2021","Currency=USD","Period=FQ","BEST_FPERIOD_OVERRIDE=FQ","FILING_STATUS=MR","Sort=A","Dates=H","DateFormat=P","Fill=—","Direction=H","UseDPDF=Y")</f>
        <v>0</v>
      </c>
      <c r="P18" s="14">
        <f>_xll.BDH("ALNY US Equity","LEVEL_3_ASSETS_TO_TOTAL_EQUITY","FQ1 2022","FQ1 2022","Currency=USD","Period=FQ","BEST_FPERIOD_OVERRIDE=FQ","FILING_STATUS=MR","Sort=A","Dates=H","DateFormat=P","Fill=—","Direction=H","UseDPDF=Y")</f>
        <v>0</v>
      </c>
      <c r="Q18" s="14">
        <f>_xll.BDH("ALNY US Equity","LEVEL_3_ASSETS_TO_TOTAL_EQUITY","FQ2 2022","FQ2 2022","Currency=USD","Period=FQ","BEST_FPERIOD_OVERRIDE=FQ","FILING_STATUS=MR","Sort=A","Dates=H","DateFormat=P","Fill=—","Direction=H","UseDPDF=Y")</f>
        <v>0</v>
      </c>
      <c r="R18" s="14">
        <f>_xll.BDH("ALNY US Equity","LEVEL_3_ASSETS_TO_TOTAL_EQUITY","FQ3 2022","FQ3 2022","Currency=USD","Period=FQ","BEST_FPERIOD_OVERRIDE=FQ","FILING_STATUS=MR","Sort=A","Dates=H","DateFormat=P","Fill=—","Direction=H","UseDPDF=Y")</f>
        <v>0</v>
      </c>
      <c r="S18" s="14">
        <f>_xll.BDH("ALNY US Equity","LEVEL_3_ASSETS_TO_TOTAL_EQUITY","FQ4 2022","FQ4 2022","Currency=USD","Period=FQ","BEST_FPERIOD_OVERRIDE=FQ","FILING_STATUS=MR","Sort=A","Dates=H","DateFormat=P","Fill=—","Direction=H","UseDPDF=Y")</f>
        <v>0</v>
      </c>
      <c r="T18" s="14">
        <f>_xll.BDH("ALNY US Equity","LEVEL_3_ASSETS_TO_TOTAL_EQUITY","FQ1 2023","FQ1 2023","Currency=USD","Period=FQ","BEST_FPERIOD_OVERRIDE=FQ","FILING_STATUS=MR","Sort=A","Dates=H","DateFormat=P","Fill=—","Direction=H","UseDPDF=Y")</f>
        <v>0</v>
      </c>
      <c r="U18" s="14">
        <f>_xll.BDH("ALNY US Equity","LEVEL_3_ASSETS_TO_TOTAL_EQUITY","FQ2 2023","FQ2 2023","Currency=USD","Period=FQ","BEST_FPERIOD_OVERRIDE=FQ","FILING_STATUS=MR","Sort=A","Dates=H","DateFormat=P","Fill=—","Direction=H","UseDPDF=Y")</f>
        <v>0</v>
      </c>
      <c r="V18" s="14">
        <f>_xll.BDH("ALNY US Equity","LEVEL_3_ASSETS_TO_TOTAL_EQUITY","FQ3 2023","FQ3 2023","Currency=USD","Period=FQ","BEST_FPERIOD_OVERRIDE=FQ","FILING_STATUS=MR","Sort=A","Dates=H","DateFormat=P","Fill=—","Direction=H","UseDPDF=Y")</f>
        <v>0</v>
      </c>
      <c r="W18" s="14">
        <f>_xll.BDH("ALNY US Equity","LEVEL_3_ASSETS_TO_TOTAL_EQUITY","FQ4 2023","FQ4 2023","Currency=USD","Period=FQ","BEST_FPERIOD_OVERRIDE=FQ","FILING_STATUS=MR","Sort=A","Dates=H","DateFormat=P","Fill=—","Direction=H","UseDPDF=Y")</f>
        <v>0</v>
      </c>
      <c r="X18" s="14">
        <f>_xll.BDH("ALNY US Equity","LEVEL_3_ASSETS_TO_TOTAL_EQUITY","FQ1 2024","FQ1 2024","Currency=USD","Period=FQ","BEST_FPERIOD_OVERRIDE=FQ","FILING_STATUS=MR","Sort=A","Dates=H","DateFormat=P","Fill=—","Direction=H","UseDPDF=Y")</f>
        <v>0</v>
      </c>
      <c r="Y18" s="14">
        <f>_xll.BDH("ALNY US Equity","LEVEL_3_ASSETS_TO_TOTAL_EQUITY","FQ2 2024","FQ2 2024","Currency=USD","Period=FQ","BEST_FPERIOD_OVERRIDE=FQ","FILING_STATUS=MR","Sort=A","Dates=H","DateFormat=P","Fill=—","Direction=H","UseDPDF=Y")</f>
        <v>0</v>
      </c>
      <c r="Z18" s="14">
        <f>_xll.BDH("ALNY US Equity","LEVEL_3_ASSETS_TO_TOTAL_EQUITY","FQ3 2024","FQ3 2024","Currency=USD","Period=FQ","BEST_FPERIOD_OVERRIDE=FQ","FILING_STATUS=MR","Sort=A","Dates=H","DateFormat=P","Fill=—","Direction=H","UseDPDF=Y")</f>
        <v>0</v>
      </c>
      <c r="AA18" s="14">
        <f>_xll.BDH("ALNY US Equity","LEVEL_3_ASSETS_TO_TOTAL_EQUITY","FQ4 2024","FQ4 2024","Currency=USD","Period=FQ","BEST_FPERIOD_OVERRIDE=FQ","FILING_STATUS=MR","Sort=A","Dates=H","DateFormat=P","Fill=—","Direction=H","UseDPDF=Y")</f>
        <v>0</v>
      </c>
    </row>
    <row r="19" spans="1:27" x14ac:dyDescent="0.25">
      <c r="A19" s="6" t="s">
        <v>1155</v>
      </c>
      <c r="B19" s="6" t="s">
        <v>1156</v>
      </c>
      <c r="C19" s="20">
        <f>_xll.BDH("ALNY US Equity","TOT_FAIR_VAL_ASSETS_TO_TOT_EQTY","FQ4 2018","FQ4 2018","Currency=USD","Period=FQ","BEST_FPERIOD_OVERRIDE=FQ","FILING_STATUS=MR","Sort=A","Dates=H","DateFormat=P","Fill=—","Direction=H","UseDPDF=Y")</f>
        <v>75.978399999999993</v>
      </c>
      <c r="D19" s="20">
        <f>_xll.BDH("ALNY US Equity","TOT_FAIR_VAL_ASSETS_TO_TOT_EQTY","FQ1 2019","FQ1 2019","Currency=USD","Period=FQ","BEST_FPERIOD_OVERRIDE=FQ","FILING_STATUS=MR","Sort=A","Dates=H","DateFormat=P","Fill=—","Direction=H","UseDPDF=Y")</f>
        <v>74.307299999999998</v>
      </c>
      <c r="E19" s="20">
        <f>_xll.BDH("ALNY US Equity","TOT_FAIR_VAL_ASSETS_TO_TOT_EQTY","FQ2 2019","FQ2 2019","Currency=USD","Period=FQ","BEST_FPERIOD_OVERRIDE=FQ","FILING_STATUS=MR","Sort=A","Dates=H","DateFormat=P","Fill=—","Direction=H","UseDPDF=Y")</f>
        <v>95.908600000000007</v>
      </c>
      <c r="F19" s="20">
        <f>_xll.BDH("ALNY US Equity","TOT_FAIR_VAL_ASSETS_TO_TOT_EQTY","FQ3 2019","FQ3 2019","Currency=USD","Period=FQ","BEST_FPERIOD_OVERRIDE=FQ","FILING_STATUS=MR","Sort=A","Dates=H","DateFormat=P","Fill=—","Direction=H","UseDPDF=Y")</f>
        <v>100.0455</v>
      </c>
      <c r="G19" s="20">
        <f>_xll.BDH("ALNY US Equity","TOT_FAIR_VAL_ASSETS_TO_TOT_EQTY","FQ4 2019","FQ4 2019","Currency=USD","Period=FQ","BEST_FPERIOD_OVERRIDE=FQ","FILING_STATUS=MR","Sort=A","Dates=H","DateFormat=P","Fill=—","Direction=H","UseDPDF=Y")</f>
        <v>100.5204</v>
      </c>
      <c r="H19" s="20">
        <f>_xll.BDH("ALNY US Equity","TOT_FAIR_VAL_ASSETS_TO_TOT_EQTY","FQ1 2020","FQ1 2020","Currency=USD","Period=FQ","BEST_FPERIOD_OVERRIDE=FQ","FILING_STATUS=MR","Sort=A","Dates=H","DateFormat=P","Fill=—","Direction=H","UseDPDF=Y")</f>
        <v>107.4645</v>
      </c>
      <c r="I19" s="20">
        <f>_xll.BDH("ALNY US Equity","TOT_FAIR_VAL_ASSETS_TO_TOT_EQTY","FQ2 2020","FQ2 2020","Currency=USD","Period=FQ","BEST_FPERIOD_OVERRIDE=FQ","FILING_STATUS=MR","Sort=A","Dates=H","DateFormat=P","Fill=—","Direction=H","UseDPDF=Y")</f>
        <v>127.3096</v>
      </c>
      <c r="J19" s="20">
        <f>_xll.BDH("ALNY US Equity","TOT_FAIR_VAL_ASSETS_TO_TOT_EQTY","FQ3 2020","FQ3 2020","Currency=USD","Period=FQ","BEST_FPERIOD_OVERRIDE=FQ","FILING_STATUS=MR","Sort=A","Dates=H","DateFormat=P","Fill=—","Direction=H","UseDPDF=Y")</f>
        <v>135.6703</v>
      </c>
      <c r="K19" s="20">
        <f>_xll.BDH("ALNY US Equity","TOT_FAIR_VAL_ASSETS_TO_TOT_EQTY","FQ4 2020","FQ4 2020","Currency=USD","Period=FQ","BEST_FPERIOD_OVERRIDE=FQ","FILING_STATUS=MR","Sort=A","Dates=H","DateFormat=P","Fill=—","Direction=H","UseDPDF=Y")</f>
        <v>145.14420000000001</v>
      </c>
      <c r="L19" s="20">
        <f>_xll.BDH("ALNY US Equity","TOT_FAIR_VAL_ASSETS_TO_TOT_EQTY","FQ1 2021","FQ1 2021","Currency=USD","Period=FQ","BEST_FPERIOD_OVERRIDE=FQ","FILING_STATUS=MR","Sort=A","Dates=H","DateFormat=P","Fill=—","Direction=H","UseDPDF=Y")</f>
        <v>162.91980000000001</v>
      </c>
      <c r="M19" s="20">
        <f>_xll.BDH("ALNY US Equity","TOT_FAIR_VAL_ASSETS_TO_TOT_EQTY","FQ2 2021","FQ2 2021","Currency=USD","Period=FQ","BEST_FPERIOD_OVERRIDE=FQ","FILING_STATUS=MR","Sort=A","Dates=H","DateFormat=P","Fill=—","Direction=H","UseDPDF=Y")</f>
        <v>163.4572</v>
      </c>
      <c r="N19" s="20">
        <f>_xll.BDH("ALNY US Equity","TOT_FAIR_VAL_ASSETS_TO_TOT_EQTY","FQ3 2021","FQ3 2021","Currency=USD","Period=FQ","BEST_FPERIOD_OVERRIDE=FQ","FILING_STATUS=MR","Sort=A","Dates=H","DateFormat=P","Fill=—","Direction=H","UseDPDF=Y")</f>
        <v>209.90700000000001</v>
      </c>
      <c r="O19" s="20">
        <f>_xll.BDH("ALNY US Equity","TOT_FAIR_VAL_ASSETS_TO_TOT_EQTY","FQ4 2021","FQ4 2021","Currency=USD","Period=FQ","BEST_FPERIOD_OVERRIDE=FQ","FILING_STATUS=MR","Sort=A","Dates=H","DateFormat=P","Fill=—","Direction=H","UseDPDF=Y")</f>
        <v>327.71870000000001</v>
      </c>
      <c r="P19" s="20">
        <f>_xll.BDH("ALNY US Equity","TOT_FAIR_VAL_ASSETS_TO_TOT_EQTY","FQ1 2022","FQ1 2022","Currency=USD","Period=FQ","BEST_FPERIOD_OVERRIDE=FQ","FILING_STATUS=MR","Sort=A","Dates=H","DateFormat=P","Fill=—","Direction=H","UseDPDF=Y")</f>
        <v>478.8322</v>
      </c>
      <c r="Q19" s="20">
        <f>_xll.BDH("ALNY US Equity","TOT_FAIR_VAL_ASSETS_TO_TOT_EQTY","FQ2 2022","FQ2 2022","Currency=USD","Period=FQ","BEST_FPERIOD_OVERRIDE=FQ","FILING_STATUS=MR","Sort=A","Dates=H","DateFormat=P","Fill=—","Direction=H","UseDPDF=Y")</f>
        <v>1025.6498999999999</v>
      </c>
      <c r="R19" s="20">
        <f>_xll.BDH("ALNY US Equity","TOT_FAIR_VAL_ASSETS_TO_TOT_EQTY","FQ3 2022","FQ3 2022","Currency=USD","Period=FQ","BEST_FPERIOD_OVERRIDE=FQ","FILING_STATUS=MR","Sort=A","Dates=H","DateFormat=P","Fill=—","Direction=H","UseDPDF=Y")</f>
        <v>-2502.8017</v>
      </c>
      <c r="S19" s="20">
        <f>_xll.BDH("ALNY US Equity","TOT_FAIR_VAL_ASSETS_TO_TOT_EQTY","FQ4 2022","FQ4 2022","Currency=USD","Period=FQ","BEST_FPERIOD_OVERRIDE=FQ","FILING_STATUS=MR","Sort=A","Dates=H","DateFormat=P","Fill=—","Direction=H","UseDPDF=Y")</f>
        <v>-1081.2878000000001</v>
      </c>
      <c r="T19" s="20">
        <f>_xll.BDH("ALNY US Equity","TOT_FAIR_VAL_ASSETS_TO_TOT_EQTY","FQ1 2023","FQ1 2023","Currency=USD","Period=FQ","BEST_FPERIOD_OVERRIDE=FQ","FILING_STATUS=MR","Sort=A","Dates=H","DateFormat=P","Fill=—","Direction=H","UseDPDF=Y")</f>
        <v>-624.16099999999994</v>
      </c>
      <c r="U19" s="20">
        <f>_xll.BDH("ALNY US Equity","TOT_FAIR_VAL_ASSETS_TO_TOT_EQTY","FQ2 2023","FQ2 2023","Currency=USD","Period=FQ","BEST_FPERIOD_OVERRIDE=FQ","FILING_STATUS=MR","Sort=A","Dates=H","DateFormat=P","Fill=—","Direction=H","UseDPDF=Y")</f>
        <v>-366.82</v>
      </c>
      <c r="V19" s="20">
        <f>_xll.BDH("ALNY US Equity","TOT_FAIR_VAL_ASSETS_TO_TOT_EQTY","FQ3 2023","FQ3 2023","Currency=USD","Period=FQ","BEST_FPERIOD_OVERRIDE=FQ","FILING_STATUS=MR","Sort=A","Dates=H","DateFormat=P","Fill=—","Direction=H","UseDPDF=Y")</f>
        <v>-876.83309999999994</v>
      </c>
      <c r="W19" s="20">
        <f>_xll.BDH("ALNY US Equity","TOT_FAIR_VAL_ASSETS_TO_TOT_EQTY","FQ4 2023","FQ4 2023","Currency=USD","Period=FQ","BEST_FPERIOD_OVERRIDE=FQ","FILING_STATUS=MR","Sort=A","Dates=H","DateFormat=P","Fill=—","Direction=H","UseDPDF=Y")</f>
        <v>-828.53920000000005</v>
      </c>
      <c r="X19" s="20">
        <f>_xll.BDH("ALNY US Equity","TOT_FAIR_VAL_ASSETS_TO_TOT_EQTY","FQ1 2024","FQ1 2024","Currency=USD","Period=FQ","BEST_FPERIOD_OVERRIDE=FQ","FILING_STATUS=MR","Sort=A","Dates=H","DateFormat=P","Fill=—","Direction=H","UseDPDF=Y")</f>
        <v>-854.61659999999995</v>
      </c>
      <c r="Y19" s="20">
        <f>_xll.BDH("ALNY US Equity","TOT_FAIR_VAL_ASSETS_TO_TOT_EQTY","FQ2 2024","FQ2 2024","Currency=USD","Period=FQ","BEST_FPERIOD_OVERRIDE=FQ","FILING_STATUS=MR","Sort=A","Dates=H","DateFormat=P","Fill=—","Direction=H","UseDPDF=Y")</f>
        <v>-60595.239600000001</v>
      </c>
      <c r="Z19" s="20">
        <f>_xll.BDH("ALNY US Equity","TOT_FAIR_VAL_ASSETS_TO_TOT_EQTY","FQ3 2024","FQ3 2024","Currency=USD","Period=FQ","BEST_FPERIOD_OVERRIDE=FQ","FILING_STATUS=MR","Sort=A","Dates=H","DateFormat=P","Fill=—","Direction=H","UseDPDF=Y")</f>
        <v>5789.0864000000001</v>
      </c>
      <c r="AA19" s="20">
        <f>_xll.BDH("ALNY US Equity","TOT_FAIR_VAL_ASSETS_TO_TOT_EQTY","FQ4 2024","FQ4 2024","Currency=USD","Period=FQ","BEST_FPERIOD_OVERRIDE=FQ","FILING_STATUS=MR","Sort=A","Dates=H","DateFormat=P","Fill=—","Direction=H","UseDPDF=Y")</f>
        <v>2964.5450999999998</v>
      </c>
    </row>
    <row r="20" spans="1:27" x14ac:dyDescent="0.25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0" t="s">
        <v>1157</v>
      </c>
      <c r="B21" s="10" t="s">
        <v>1158</v>
      </c>
      <c r="C21" s="14">
        <f>_xll.BDH("ALNY US Equity","LEVEL_1_ASSETS_TO_TOTAL_ASSETS","FQ4 2018","FQ4 2018","Currency=USD","Period=FQ","BEST_FPERIOD_OVERRIDE=FQ","FILING_STATUS=MR","Sort=A","Dates=H","DateFormat=P","Fill=—","Direction=H","UseDPDF=Y")</f>
        <v>6.6756000000000002</v>
      </c>
      <c r="D21" s="14">
        <f>_xll.BDH("ALNY US Equity","LEVEL_1_ASSETS_TO_TOTAL_ASSETS","FQ1 2019","FQ1 2019","Currency=USD","Period=FQ","BEST_FPERIOD_OVERRIDE=FQ","FILING_STATUS=MR","Sort=A","Dates=H","DateFormat=P","Fill=—","Direction=H","UseDPDF=Y")</f>
        <v>4.9509999999999996</v>
      </c>
      <c r="E21" s="14">
        <f>_xll.BDH("ALNY US Equity","LEVEL_1_ASSETS_TO_TOTAL_ASSETS","FQ2 2019","FQ2 2019","Currency=USD","Period=FQ","BEST_FPERIOD_OVERRIDE=FQ","FILING_STATUS=MR","Sort=A","Dates=H","DateFormat=P","Fill=—","Direction=H","UseDPDF=Y")</f>
        <v>3.5331999999999999</v>
      </c>
      <c r="F21" s="14">
        <f>_xll.BDH("ALNY US Equity","LEVEL_1_ASSETS_TO_TOTAL_ASSETS","FQ3 2019","FQ3 2019","Currency=USD","Period=FQ","BEST_FPERIOD_OVERRIDE=FQ","FILING_STATUS=MR","Sort=A","Dates=H","DateFormat=P","Fill=—","Direction=H","UseDPDF=Y")</f>
        <v>5.3478000000000003</v>
      </c>
      <c r="G21" s="14">
        <f>_xll.BDH("ALNY US Equity","LEVEL_1_ASSETS_TO_TOTAL_ASSETS","FQ4 2019","FQ4 2019","Currency=USD","Period=FQ","BEST_FPERIOD_OVERRIDE=FQ","FILING_STATUS=MR","Sort=A","Dates=H","DateFormat=P","Fill=—","Direction=H","UseDPDF=Y")</f>
        <v>5.6501999999999999</v>
      </c>
      <c r="H21" s="14">
        <f>_xll.BDH("ALNY US Equity","LEVEL_1_ASSETS_TO_TOTAL_ASSETS","FQ1 2020","FQ1 2020","Currency=USD","Period=FQ","BEST_FPERIOD_OVERRIDE=FQ","FILING_STATUS=MR","Sort=A","Dates=H","DateFormat=P","Fill=—","Direction=H","UseDPDF=Y")</f>
        <v>5.9364999999999997</v>
      </c>
      <c r="I21" s="14">
        <f>_xll.BDH("ALNY US Equity","LEVEL_1_ASSETS_TO_TOTAL_ASSETS","FQ2 2020","FQ2 2020","Currency=USD","Period=FQ","BEST_FPERIOD_OVERRIDE=FQ","FILING_STATUS=MR","Sort=A","Dates=H","DateFormat=P","Fill=—","Direction=H","UseDPDF=Y")</f>
        <v>14.0107</v>
      </c>
      <c r="J21" s="14">
        <f>_xll.BDH("ALNY US Equity","LEVEL_1_ASSETS_TO_TOTAL_ASSETS","FQ3 2020","FQ3 2020","Currency=USD","Period=FQ","BEST_FPERIOD_OVERRIDE=FQ","FILING_STATUS=MR","Sort=A","Dates=H","DateFormat=P","Fill=—","Direction=H","UseDPDF=Y")</f>
        <v>10.6876</v>
      </c>
      <c r="K21" s="14">
        <f>_xll.BDH("ALNY US Equity","LEVEL_1_ASSETS_TO_TOTAL_ASSETS","FQ4 2020","FQ4 2020","Currency=USD","Period=FQ","BEST_FPERIOD_OVERRIDE=FQ","FILING_STATUS=MR","Sort=A","Dates=H","DateFormat=P","Fill=—","Direction=H","UseDPDF=Y")</f>
        <v>3.5762</v>
      </c>
      <c r="L21" s="14">
        <f>_xll.BDH("ALNY US Equity","LEVEL_1_ASSETS_TO_TOTAL_ASSETS","FQ1 2021","FQ1 2021","Currency=USD","Period=FQ","BEST_FPERIOD_OVERRIDE=FQ","FILING_STATUS=MR","Sort=A","Dates=H","DateFormat=P","Fill=—","Direction=H","UseDPDF=Y")</f>
        <v>7.2473000000000001</v>
      </c>
      <c r="M21" s="14">
        <f>_xll.BDH("ALNY US Equity","LEVEL_1_ASSETS_TO_TOTAL_ASSETS","FQ2 2021","FQ2 2021","Currency=USD","Period=FQ","BEST_FPERIOD_OVERRIDE=FQ","FILING_STATUS=MR","Sort=A","Dates=H","DateFormat=P","Fill=—","Direction=H","UseDPDF=Y")</f>
        <v>8.3518000000000008</v>
      </c>
      <c r="N21" s="14">
        <f>_xll.BDH("ALNY US Equity","LEVEL_1_ASSETS_TO_TOTAL_ASSETS","FQ3 2021","FQ3 2021","Currency=USD","Period=FQ","BEST_FPERIOD_OVERRIDE=FQ","FILING_STATUS=MR","Sort=A","Dates=H","DateFormat=P","Fill=—","Direction=H","UseDPDF=Y")</f>
        <v>11.9617</v>
      </c>
      <c r="O21" s="14">
        <f>_xll.BDH("ALNY US Equity","LEVEL_1_ASSETS_TO_TOTAL_ASSETS","FQ4 2021","FQ4 2021","Currency=USD","Period=FQ","BEST_FPERIOD_OVERRIDE=FQ","FILING_STATUS=MR","Sort=A","Dates=H","DateFormat=P","Fill=—","Direction=H","UseDPDF=Y")</f>
        <v>8.8940000000000001</v>
      </c>
      <c r="P21" s="14">
        <f>_xll.BDH("ALNY US Equity","LEVEL_1_ASSETS_TO_TOTAL_ASSETS","FQ1 2022","FQ1 2022","Currency=USD","Period=FQ","BEST_FPERIOD_OVERRIDE=FQ","FILING_STATUS=MR","Sort=A","Dates=H","DateFormat=P","Fill=—","Direction=H","UseDPDF=Y")</f>
        <v>5.6344000000000003</v>
      </c>
      <c r="Q21" s="14">
        <f>_xll.BDH("ALNY US Equity","LEVEL_1_ASSETS_TO_TOTAL_ASSETS","FQ2 2022","FQ2 2022","Currency=USD","Period=FQ","BEST_FPERIOD_OVERRIDE=FQ","FILING_STATUS=MR","Sort=A","Dates=H","DateFormat=P","Fill=—","Direction=H","UseDPDF=Y")</f>
        <v>6.3602999999999996</v>
      </c>
      <c r="R21" s="14">
        <f>_xll.BDH("ALNY US Equity","LEVEL_1_ASSETS_TO_TOTAL_ASSETS","FQ3 2022","FQ3 2022","Currency=USD","Period=FQ","BEST_FPERIOD_OVERRIDE=FQ","FILING_STATUS=MR","Sort=A","Dates=H","DateFormat=P","Fill=—","Direction=H","UseDPDF=Y")</f>
        <v>12.862399999999999</v>
      </c>
      <c r="S21" s="14">
        <f>_xll.BDH("ALNY US Equity","LEVEL_1_ASSETS_TO_TOTAL_ASSETS","FQ4 2022","FQ4 2022","Currency=USD","Period=FQ","BEST_FPERIOD_OVERRIDE=FQ","FILING_STATUS=MR","Sort=A","Dates=H","DateFormat=P","Fill=—","Direction=H","UseDPDF=Y")</f>
        <v>8.4512999999999998</v>
      </c>
      <c r="T21" s="14">
        <f>_xll.BDH("ALNY US Equity","LEVEL_1_ASSETS_TO_TOTAL_ASSETS","FQ1 2023","FQ1 2023","Currency=USD","Period=FQ","BEST_FPERIOD_OVERRIDE=FQ","FILING_STATUS=MR","Sort=A","Dates=H","DateFormat=P","Fill=—","Direction=H","UseDPDF=Y")</f>
        <v>7.1143000000000001</v>
      </c>
      <c r="U21" s="14">
        <f>_xll.BDH("ALNY US Equity","LEVEL_1_ASSETS_TO_TOTAL_ASSETS","FQ2 2023","FQ2 2023","Currency=USD","Period=FQ","BEST_FPERIOD_OVERRIDE=FQ","FILING_STATUS=MR","Sort=A","Dates=H","DateFormat=P","Fill=—","Direction=H","UseDPDF=Y")</f>
        <v>3.4306000000000001</v>
      </c>
      <c r="V21" s="14">
        <f>_xll.BDH("ALNY US Equity","LEVEL_1_ASSETS_TO_TOTAL_ASSETS","FQ3 2023","FQ3 2023","Currency=USD","Period=FQ","BEST_FPERIOD_OVERRIDE=FQ","FILING_STATUS=MR","Sort=A","Dates=H","DateFormat=P","Fill=—","Direction=H","UseDPDF=Y")</f>
        <v>1.9124000000000001</v>
      </c>
      <c r="W21" s="14">
        <f>_xll.BDH("ALNY US Equity","LEVEL_1_ASSETS_TO_TOTAL_ASSETS","FQ4 2023","FQ4 2023","Currency=USD","Period=FQ","BEST_FPERIOD_OVERRIDE=FQ","FILING_STATUS=MR","Sort=A","Dates=H","DateFormat=P","Fill=—","Direction=H","UseDPDF=Y")</f>
        <v>4.6593</v>
      </c>
      <c r="X21" s="14">
        <f>_xll.BDH("ALNY US Equity","LEVEL_1_ASSETS_TO_TOTAL_ASSETS","FQ1 2024","FQ1 2024","Currency=USD","Period=FQ","BEST_FPERIOD_OVERRIDE=FQ","FILING_STATUS=MR","Sort=A","Dates=H","DateFormat=P","Fill=—","Direction=H","UseDPDF=Y")</f>
        <v>3.6351</v>
      </c>
      <c r="Y21" s="14">
        <f>_xll.BDH("ALNY US Equity","LEVEL_1_ASSETS_TO_TOTAL_ASSETS","FQ2 2024","FQ2 2024","Currency=USD","Period=FQ","BEST_FPERIOD_OVERRIDE=FQ","FILING_STATUS=MR","Sort=A","Dates=H","DateFormat=P","Fill=—","Direction=H","UseDPDF=Y")</f>
        <v>4.2290999999999999</v>
      </c>
      <c r="Z21" s="14">
        <f>_xll.BDH("ALNY US Equity","LEVEL_1_ASSETS_TO_TOTAL_ASSETS","FQ3 2024","FQ3 2024","Currency=USD","Period=FQ","BEST_FPERIOD_OVERRIDE=FQ","FILING_STATUS=MR","Sort=A","Dates=H","DateFormat=P","Fill=—","Direction=H","UseDPDF=Y")</f>
        <v>4.5617999999999999</v>
      </c>
      <c r="AA21" s="14">
        <f>_xll.BDH("ALNY US Equity","LEVEL_1_ASSETS_TO_TOTAL_ASSETS","FQ4 2024","FQ4 2024","Currency=USD","Period=FQ","BEST_FPERIOD_OVERRIDE=FQ","FILING_STATUS=MR","Sort=A","Dates=H","DateFormat=P","Fill=—","Direction=H","UseDPDF=Y")</f>
        <v>4.7133000000000003</v>
      </c>
    </row>
    <row r="22" spans="1:27" x14ac:dyDescent="0.25">
      <c r="A22" s="10" t="s">
        <v>1159</v>
      </c>
      <c r="B22" s="10" t="s">
        <v>1160</v>
      </c>
      <c r="C22" s="14">
        <f>_xll.BDH("ALNY US Equity","LEVEL_2_ASSETS_TO_TOTAL_ASSETS","FQ4 2018","FQ4 2018","Currency=USD","Period=FQ","BEST_FPERIOD_OVERRIDE=FQ","FILING_STATUS=MR","Sort=A","Dates=H","DateFormat=P","Fill=—","Direction=H","UseDPDF=Y")</f>
        <v>56.139400000000002</v>
      </c>
      <c r="D22" s="14">
        <f>_xll.BDH("ALNY US Equity","LEVEL_2_ASSETS_TO_TOTAL_ASSETS","FQ1 2019","FQ1 2019","Currency=USD","Period=FQ","BEST_FPERIOD_OVERRIDE=FQ","FILING_STATUS=MR","Sort=A","Dates=H","DateFormat=P","Fill=—","Direction=H","UseDPDF=Y")</f>
        <v>52.125599999999999</v>
      </c>
      <c r="E22" s="14">
        <f>_xll.BDH("ALNY US Equity","LEVEL_2_ASSETS_TO_TOTAL_ASSETS","FQ2 2019","FQ2 2019","Currency=USD","Period=FQ","BEST_FPERIOD_OVERRIDE=FQ","FILING_STATUS=MR","Sort=A","Dates=H","DateFormat=P","Fill=—","Direction=H","UseDPDF=Y")</f>
        <v>58.508299999999998</v>
      </c>
      <c r="F22" s="14">
        <f>_xll.BDH("ALNY US Equity","LEVEL_2_ASSETS_TO_TOTAL_ASSETS","FQ3 2019","FQ3 2019","Currency=USD","Period=FQ","BEST_FPERIOD_OVERRIDE=FQ","FILING_STATUS=MR","Sort=A","Dates=H","DateFormat=P","Fill=—","Direction=H","UseDPDF=Y")</f>
        <v>57.911700000000003</v>
      </c>
      <c r="G22" s="14">
        <f>_xll.BDH("ALNY US Equity","LEVEL_2_ASSETS_TO_TOTAL_ASSETS","FQ4 2019","FQ4 2019","Currency=USD","Period=FQ","BEST_FPERIOD_OVERRIDE=FQ","FILING_STATUS=MR","Sort=A","Dates=H","DateFormat=P","Fill=—","Direction=H","UseDPDF=Y")</f>
        <v>54.729599999999998</v>
      </c>
      <c r="H22" s="14">
        <f>_xll.BDH("ALNY US Equity","LEVEL_2_ASSETS_TO_TOTAL_ASSETS","FQ1 2020","FQ1 2020","Currency=USD","Period=FQ","BEST_FPERIOD_OVERRIDE=FQ","FILING_STATUS=MR","Sort=A","Dates=H","DateFormat=P","Fill=—","Direction=H","UseDPDF=Y")</f>
        <v>57.691499999999998</v>
      </c>
      <c r="I22" s="14">
        <f>_xll.BDH("ALNY US Equity","LEVEL_2_ASSETS_TO_TOTAL_ASSETS","FQ2 2020","FQ2 2020","Currency=USD","Period=FQ","BEST_FPERIOD_OVERRIDE=FQ","FILING_STATUS=MR","Sort=A","Dates=H","DateFormat=P","Fill=—","Direction=H","UseDPDF=Y")</f>
        <v>38.798699999999997</v>
      </c>
      <c r="J22" s="14">
        <f>_xll.BDH("ALNY US Equity","LEVEL_2_ASSETS_TO_TOTAL_ASSETS","FQ3 2020","FQ3 2020","Currency=USD","Period=FQ","BEST_FPERIOD_OVERRIDE=FQ","FILING_STATUS=MR","Sort=A","Dates=H","DateFormat=P","Fill=—","Direction=H","UseDPDF=Y")</f>
        <v>39.154600000000002</v>
      </c>
      <c r="K22" s="14">
        <f>_xll.BDH("ALNY US Equity","LEVEL_2_ASSETS_TO_TOTAL_ASSETS","FQ4 2020","FQ4 2020","Currency=USD","Period=FQ","BEST_FPERIOD_OVERRIDE=FQ","FILING_STATUS=MR","Sort=A","Dates=H","DateFormat=P","Fill=—","Direction=H","UseDPDF=Y")</f>
        <v>39.716999999999999</v>
      </c>
      <c r="L22" s="14">
        <f>_xll.BDH("ALNY US Equity","LEVEL_2_ASSETS_TO_TOTAL_ASSETS","FQ1 2021","FQ1 2021","Currency=USD","Period=FQ","BEST_FPERIOD_OVERRIDE=FQ","FILING_STATUS=MR","Sort=A","Dates=H","DateFormat=P","Fill=—","Direction=H","UseDPDF=Y")</f>
        <v>39.106699999999996</v>
      </c>
      <c r="M22" s="14">
        <f>_xll.BDH("ALNY US Equity","LEVEL_2_ASSETS_TO_TOTAL_ASSETS","FQ2 2021","FQ2 2021","Currency=USD","Period=FQ","BEST_FPERIOD_OVERRIDE=FQ","FILING_STATUS=MR","Sort=A","Dates=H","DateFormat=P","Fill=—","Direction=H","UseDPDF=Y")</f>
        <v>31.3949</v>
      </c>
      <c r="N22" s="14">
        <f>_xll.BDH("ALNY US Equity","LEVEL_2_ASSETS_TO_TOTAL_ASSETS","FQ3 2021","FQ3 2021","Currency=USD","Period=FQ","BEST_FPERIOD_OVERRIDE=FQ","FILING_STATUS=MR","Sort=A","Dates=H","DateFormat=P","Fill=—","Direction=H","UseDPDF=Y")</f>
        <v>33.733199999999997</v>
      </c>
      <c r="O22" s="14">
        <f>_xll.BDH("ALNY US Equity","LEVEL_2_ASSETS_TO_TOTAL_ASSETS","FQ4 2021","FQ4 2021","Currency=USD","Period=FQ","BEST_FPERIOD_OVERRIDE=FQ","FILING_STATUS=MR","Sort=A","Dates=H","DateFormat=P","Fill=—","Direction=H","UseDPDF=Y")</f>
        <v>44.0154</v>
      </c>
      <c r="P22" s="14">
        <f>_xll.BDH("ALNY US Equity","LEVEL_2_ASSETS_TO_TOTAL_ASSETS","FQ1 2022","FQ1 2022","Currency=USD","Period=FQ","BEST_FPERIOD_OVERRIDE=FQ","FILING_STATUS=MR","Sort=A","Dates=H","DateFormat=P","Fill=—","Direction=H","UseDPDF=Y")</f>
        <v>50.311</v>
      </c>
      <c r="Q22" s="14">
        <f>_xll.BDH("ALNY US Equity","LEVEL_2_ASSETS_TO_TOTAL_ASSETS","FQ2 2022","FQ2 2022","Currency=USD","Period=FQ","BEST_FPERIOD_OVERRIDE=FQ","FILING_STATUS=MR","Sort=A","Dates=H","DateFormat=P","Fill=—","Direction=H","UseDPDF=Y")</f>
        <v>47.853700000000003</v>
      </c>
      <c r="R22" s="14">
        <f>_xll.BDH("ALNY US Equity","LEVEL_2_ASSETS_TO_TOTAL_ASSETS","FQ3 2022","FQ3 2022","Currency=USD","Period=FQ","BEST_FPERIOD_OVERRIDE=FQ","FILING_STATUS=MR","Sort=A","Dates=H","DateFormat=P","Fill=—","Direction=H","UseDPDF=Y")</f>
        <v>35.022300000000001</v>
      </c>
      <c r="S22" s="14">
        <f>_xll.BDH("ALNY US Equity","LEVEL_2_ASSETS_TO_TOTAL_ASSETS","FQ4 2022","FQ4 2022","Currency=USD","Period=FQ","BEST_FPERIOD_OVERRIDE=FQ","FILING_STATUS=MR","Sort=A","Dates=H","DateFormat=P","Fill=—","Direction=H","UseDPDF=Y")</f>
        <v>39.790999999999997</v>
      </c>
      <c r="T22" s="14">
        <f>_xll.BDH("ALNY US Equity","LEVEL_2_ASSETS_TO_TOTAL_ASSETS","FQ1 2023","FQ1 2023","Currency=USD","Period=FQ","BEST_FPERIOD_OVERRIDE=FQ","FILING_STATUS=MR","Sort=A","Dates=H","DateFormat=P","Fill=—","Direction=H","UseDPDF=Y")</f>
        <v>40.589199999999998</v>
      </c>
      <c r="U22" s="14">
        <f>_xll.BDH("ALNY US Equity","LEVEL_2_ASSETS_TO_TOTAL_ASSETS","FQ2 2023","FQ2 2023","Currency=USD","Period=FQ","BEST_FPERIOD_OVERRIDE=FQ","FILING_STATUS=MR","Sort=A","Dates=H","DateFormat=P","Fill=—","Direction=H","UseDPDF=Y")</f>
        <v>40.570900000000002</v>
      </c>
      <c r="V22" s="14">
        <f>_xll.BDH("ALNY US Equity","LEVEL_2_ASSETS_TO_TOTAL_ASSETS","FQ3 2023","FQ3 2023","Currency=USD","Period=FQ","BEST_FPERIOD_OVERRIDE=FQ","FILING_STATUS=MR","Sort=A","Dates=H","DateFormat=P","Fill=—","Direction=H","UseDPDF=Y")</f>
        <v>35.9709</v>
      </c>
      <c r="W22" s="14">
        <f>_xll.BDH("ALNY US Equity","LEVEL_2_ASSETS_TO_TOTAL_ASSETS","FQ4 2023","FQ4 2023","Currency=USD","Period=FQ","BEST_FPERIOD_OVERRIDE=FQ","FILING_STATUS=MR","Sort=A","Dates=H","DateFormat=P","Fill=—","Direction=H","UseDPDF=Y")</f>
        <v>43.073799999999999</v>
      </c>
      <c r="X22" s="14">
        <f>_xll.BDH("ALNY US Equity","LEVEL_2_ASSETS_TO_TOTAL_ASSETS","FQ1 2024","FQ1 2024","Currency=USD","Period=FQ","BEST_FPERIOD_OVERRIDE=FQ","FILING_STATUS=MR","Sort=A","Dates=H","DateFormat=P","Fill=—","Direction=H","UseDPDF=Y")</f>
        <v>45.3645</v>
      </c>
      <c r="Y22" s="14">
        <f>_xll.BDH("ALNY US Equity","LEVEL_2_ASSETS_TO_TOTAL_ASSETS","FQ2 2024","FQ2 2024","Currency=USD","Period=FQ","BEST_FPERIOD_OVERRIDE=FQ","FILING_STATUS=MR","Sort=A","Dates=H","DateFormat=P","Fill=—","Direction=H","UseDPDF=Y")</f>
        <v>42.120600000000003</v>
      </c>
      <c r="Z22" s="14">
        <f>_xll.BDH("ALNY US Equity","LEVEL_2_ASSETS_TO_TOTAL_ASSETS","FQ3 2024","FQ3 2024","Currency=USD","Period=FQ","BEST_FPERIOD_OVERRIDE=FQ","FILING_STATUS=MR","Sort=A","Dates=H","DateFormat=P","Fill=—","Direction=H","UseDPDF=Y")</f>
        <v>39.9801</v>
      </c>
      <c r="AA22" s="14">
        <f>_xll.BDH("ALNY US Equity","LEVEL_2_ASSETS_TO_TOTAL_ASSETS","FQ4 2024","FQ4 2024","Currency=USD","Period=FQ","BEST_FPERIOD_OVERRIDE=FQ","FILING_STATUS=MR","Sort=A","Dates=H","DateFormat=P","Fill=—","Direction=H","UseDPDF=Y")</f>
        <v>42.193800000000003</v>
      </c>
    </row>
    <row r="23" spans="1:27" x14ac:dyDescent="0.25">
      <c r="A23" s="10" t="s">
        <v>1161</v>
      </c>
      <c r="B23" s="10" t="s">
        <v>1162</v>
      </c>
      <c r="C23" s="14">
        <f>_xll.BDH("ALNY US Equity","LEVEL_3_ASSETS_TO_TOTAL_ASSETS","FQ4 2018","FQ4 2018","Currency=USD","Period=FQ","BEST_FPERIOD_OVERRIDE=FQ","FILING_STATUS=MR","Sort=A","Dates=H","DateFormat=P","Fill=—","Direction=H","UseDPDF=Y")</f>
        <v>0</v>
      </c>
      <c r="D23" s="14">
        <f>_xll.BDH("ALNY US Equity","LEVEL_3_ASSETS_TO_TOTAL_ASSETS","FQ1 2019","FQ1 2019","Currency=USD","Period=FQ","BEST_FPERIOD_OVERRIDE=FQ","FILING_STATUS=MR","Sort=A","Dates=H","DateFormat=P","Fill=—","Direction=H","UseDPDF=Y")</f>
        <v>0</v>
      </c>
      <c r="E23" s="14">
        <f>_xll.BDH("ALNY US Equity","LEVEL_3_ASSETS_TO_TOTAL_ASSETS","FQ2 2019","FQ2 2019","Currency=USD","Period=FQ","BEST_FPERIOD_OVERRIDE=FQ","FILING_STATUS=MR","Sort=A","Dates=H","DateFormat=P","Fill=—","Direction=H","UseDPDF=Y")</f>
        <v>0</v>
      </c>
      <c r="F23" s="14">
        <f>_xll.BDH("ALNY US Equity","LEVEL_3_ASSETS_TO_TOTAL_ASSETS","FQ3 2019","FQ3 2019","Currency=USD","Period=FQ","BEST_FPERIOD_OVERRIDE=FQ","FILING_STATUS=MR","Sort=A","Dates=H","DateFormat=P","Fill=—","Direction=H","UseDPDF=Y")</f>
        <v>0</v>
      </c>
      <c r="G23" s="14">
        <f>_xll.BDH("ALNY US Equity","LEVEL_3_ASSETS_TO_TOTAL_ASSETS","FQ4 2019","FQ4 2019","Currency=USD","Period=FQ","BEST_FPERIOD_OVERRIDE=FQ","FILING_STATUS=MR","Sort=A","Dates=H","DateFormat=P","Fill=—","Direction=H","UseDPDF=Y")</f>
        <v>0</v>
      </c>
      <c r="H23" s="14">
        <f>_xll.BDH("ALNY US Equity","LEVEL_3_ASSETS_TO_TOTAL_ASSETS","FQ1 2020","FQ1 2020","Currency=USD","Period=FQ","BEST_FPERIOD_OVERRIDE=FQ","FILING_STATUS=MR","Sort=A","Dates=H","DateFormat=P","Fill=—","Direction=H","UseDPDF=Y")</f>
        <v>0</v>
      </c>
      <c r="I23" s="14">
        <f>_xll.BDH("ALNY US Equity","LEVEL_3_ASSETS_TO_TOTAL_ASSETS","FQ2 2020","FQ2 2020","Currency=USD","Period=FQ","BEST_FPERIOD_OVERRIDE=FQ","FILING_STATUS=MR","Sort=A","Dates=H","DateFormat=P","Fill=—","Direction=H","UseDPDF=Y")</f>
        <v>0</v>
      </c>
      <c r="J23" s="14">
        <f>_xll.BDH("ALNY US Equity","LEVEL_3_ASSETS_TO_TOTAL_ASSETS","FQ3 2020","FQ3 2020","Currency=USD","Period=FQ","BEST_FPERIOD_OVERRIDE=FQ","FILING_STATUS=MR","Sort=A","Dates=H","DateFormat=P","Fill=—","Direction=H","UseDPDF=Y")</f>
        <v>0</v>
      </c>
      <c r="K23" s="14">
        <f>_xll.BDH("ALNY US Equity","LEVEL_3_ASSETS_TO_TOTAL_ASSETS","FQ4 2020","FQ4 2020","Currency=USD","Period=FQ","BEST_FPERIOD_OVERRIDE=FQ","FILING_STATUS=MR","Sort=A","Dates=H","DateFormat=P","Fill=—","Direction=H","UseDPDF=Y")</f>
        <v>0</v>
      </c>
      <c r="L23" s="14">
        <f>_xll.BDH("ALNY US Equity","LEVEL_3_ASSETS_TO_TOTAL_ASSETS","FQ1 2021","FQ1 2021","Currency=USD","Period=FQ","BEST_FPERIOD_OVERRIDE=FQ","FILING_STATUS=MR","Sort=A","Dates=H","DateFormat=P","Fill=—","Direction=H","UseDPDF=Y")</f>
        <v>0</v>
      </c>
      <c r="M23" s="14">
        <f>_xll.BDH("ALNY US Equity","LEVEL_3_ASSETS_TO_TOTAL_ASSETS","FQ2 2021","FQ2 2021","Currency=USD","Period=FQ","BEST_FPERIOD_OVERRIDE=FQ","FILING_STATUS=MR","Sort=A","Dates=H","DateFormat=P","Fill=—","Direction=H","UseDPDF=Y")</f>
        <v>0</v>
      </c>
      <c r="N23" s="14">
        <f>_xll.BDH("ALNY US Equity","LEVEL_3_ASSETS_TO_TOTAL_ASSETS","FQ3 2021","FQ3 2021","Currency=USD","Period=FQ","BEST_FPERIOD_OVERRIDE=FQ","FILING_STATUS=MR","Sort=A","Dates=H","DateFormat=P","Fill=—","Direction=H","UseDPDF=Y")</f>
        <v>0</v>
      </c>
      <c r="O23" s="14">
        <f>_xll.BDH("ALNY US Equity","LEVEL_3_ASSETS_TO_TOTAL_ASSETS","FQ4 2021","FQ4 2021","Currency=USD","Period=FQ","BEST_FPERIOD_OVERRIDE=FQ","FILING_STATUS=MR","Sort=A","Dates=H","DateFormat=P","Fill=—","Direction=H","UseDPDF=Y")</f>
        <v>0</v>
      </c>
      <c r="P23" s="14">
        <f>_xll.BDH("ALNY US Equity","LEVEL_3_ASSETS_TO_TOTAL_ASSETS","FQ1 2022","FQ1 2022","Currency=USD","Period=FQ","BEST_FPERIOD_OVERRIDE=FQ","FILING_STATUS=MR","Sort=A","Dates=H","DateFormat=P","Fill=—","Direction=H","UseDPDF=Y")</f>
        <v>0</v>
      </c>
      <c r="Q23" s="14">
        <f>_xll.BDH("ALNY US Equity","LEVEL_3_ASSETS_TO_TOTAL_ASSETS","FQ2 2022","FQ2 2022","Currency=USD","Period=FQ","BEST_FPERIOD_OVERRIDE=FQ","FILING_STATUS=MR","Sort=A","Dates=H","DateFormat=P","Fill=—","Direction=H","UseDPDF=Y")</f>
        <v>0</v>
      </c>
      <c r="R23" s="14">
        <f>_xll.BDH("ALNY US Equity","LEVEL_3_ASSETS_TO_TOTAL_ASSETS","FQ3 2022","FQ3 2022","Currency=USD","Period=FQ","BEST_FPERIOD_OVERRIDE=FQ","FILING_STATUS=MR","Sort=A","Dates=H","DateFormat=P","Fill=—","Direction=H","UseDPDF=Y")</f>
        <v>0</v>
      </c>
      <c r="S23" s="14">
        <f>_xll.BDH("ALNY US Equity","LEVEL_3_ASSETS_TO_TOTAL_ASSETS","FQ4 2022","FQ4 2022","Currency=USD","Period=FQ","BEST_FPERIOD_OVERRIDE=FQ","FILING_STATUS=MR","Sort=A","Dates=H","DateFormat=P","Fill=—","Direction=H","UseDPDF=Y")</f>
        <v>0</v>
      </c>
      <c r="T23" s="14">
        <f>_xll.BDH("ALNY US Equity","LEVEL_3_ASSETS_TO_TOTAL_ASSETS","FQ1 2023","FQ1 2023","Currency=USD","Period=FQ","BEST_FPERIOD_OVERRIDE=FQ","FILING_STATUS=MR","Sort=A","Dates=H","DateFormat=P","Fill=—","Direction=H","UseDPDF=Y")</f>
        <v>0</v>
      </c>
      <c r="U23" s="14">
        <f>_xll.BDH("ALNY US Equity","LEVEL_3_ASSETS_TO_TOTAL_ASSETS","FQ2 2023","FQ2 2023","Currency=USD","Period=FQ","BEST_FPERIOD_OVERRIDE=FQ","FILING_STATUS=MR","Sort=A","Dates=H","DateFormat=P","Fill=—","Direction=H","UseDPDF=Y")</f>
        <v>0</v>
      </c>
      <c r="V23" s="14">
        <f>_xll.BDH("ALNY US Equity","LEVEL_3_ASSETS_TO_TOTAL_ASSETS","FQ3 2023","FQ3 2023","Currency=USD","Period=FQ","BEST_FPERIOD_OVERRIDE=FQ","FILING_STATUS=MR","Sort=A","Dates=H","DateFormat=P","Fill=—","Direction=H","UseDPDF=Y")</f>
        <v>0</v>
      </c>
      <c r="W23" s="14">
        <f>_xll.BDH("ALNY US Equity","LEVEL_3_ASSETS_TO_TOTAL_ASSETS","FQ4 2023","FQ4 2023","Currency=USD","Period=FQ","BEST_FPERIOD_OVERRIDE=FQ","FILING_STATUS=MR","Sort=A","Dates=H","DateFormat=P","Fill=—","Direction=H","UseDPDF=Y")</f>
        <v>0</v>
      </c>
      <c r="X23" s="14">
        <f>_xll.BDH("ALNY US Equity","LEVEL_3_ASSETS_TO_TOTAL_ASSETS","FQ1 2024","FQ1 2024","Currency=USD","Period=FQ","BEST_FPERIOD_OVERRIDE=FQ","FILING_STATUS=MR","Sort=A","Dates=H","DateFormat=P","Fill=—","Direction=H","UseDPDF=Y")</f>
        <v>0</v>
      </c>
      <c r="Y23" s="14">
        <f>_xll.BDH("ALNY US Equity","LEVEL_3_ASSETS_TO_TOTAL_ASSETS","FQ2 2024","FQ2 2024","Currency=USD","Period=FQ","BEST_FPERIOD_OVERRIDE=FQ","FILING_STATUS=MR","Sort=A","Dates=H","DateFormat=P","Fill=—","Direction=H","UseDPDF=Y")</f>
        <v>0</v>
      </c>
      <c r="Z23" s="14">
        <f>_xll.BDH("ALNY US Equity","LEVEL_3_ASSETS_TO_TOTAL_ASSETS","FQ3 2024","FQ3 2024","Currency=USD","Period=FQ","BEST_FPERIOD_OVERRIDE=FQ","FILING_STATUS=MR","Sort=A","Dates=H","DateFormat=P","Fill=—","Direction=H","UseDPDF=Y")</f>
        <v>0</v>
      </c>
      <c r="AA23" s="14">
        <f>_xll.BDH("ALNY US Equity","LEVEL_3_ASSETS_TO_TOTAL_ASSETS","FQ4 2024","FQ4 2024","Currency=USD","Period=FQ","BEST_FPERIOD_OVERRIDE=FQ","FILING_STATUS=MR","Sort=A","Dates=H","DateFormat=P","Fill=—","Direction=H","UseDPDF=Y")</f>
        <v>0</v>
      </c>
    </row>
    <row r="24" spans="1:27" x14ac:dyDescent="0.25">
      <c r="A24" s="6" t="s">
        <v>1163</v>
      </c>
      <c r="B24" s="6" t="s">
        <v>1164</v>
      </c>
      <c r="C24" s="20">
        <f>_xll.BDH("ALNY US Equity","TOT_FAIR_VAL_ASSET_TO_TOT_ASSETS","FQ4 2018","FQ4 2018","Currency=USD","Period=FQ","BEST_FPERIOD_OVERRIDE=FQ","FILING_STATUS=MR","Sort=A","Dates=H","DateFormat=P","Fill=—","Direction=H","UseDPDF=Y")</f>
        <v>62.814999999999998</v>
      </c>
      <c r="D24" s="20">
        <f>_xll.BDH("ALNY US Equity","TOT_FAIR_VAL_ASSET_TO_TOT_ASSETS","FQ1 2019","FQ1 2019","Currency=USD","Period=FQ","BEST_FPERIOD_OVERRIDE=FQ","FILING_STATUS=MR","Sort=A","Dates=H","DateFormat=P","Fill=—","Direction=H","UseDPDF=Y")</f>
        <v>57.076599999999999</v>
      </c>
      <c r="E24" s="20">
        <f>_xll.BDH("ALNY US Equity","TOT_FAIR_VAL_ASSET_TO_TOT_ASSETS","FQ2 2019","FQ2 2019","Currency=USD","Period=FQ","BEST_FPERIOD_OVERRIDE=FQ","FILING_STATUS=MR","Sort=A","Dates=H","DateFormat=P","Fill=—","Direction=H","UseDPDF=Y")</f>
        <v>62.041499999999999</v>
      </c>
      <c r="F24" s="20">
        <f>_xll.BDH("ALNY US Equity","TOT_FAIR_VAL_ASSET_TO_TOT_ASSETS","FQ3 2019","FQ3 2019","Currency=USD","Period=FQ","BEST_FPERIOD_OVERRIDE=FQ","FILING_STATUS=MR","Sort=A","Dates=H","DateFormat=P","Fill=—","Direction=H","UseDPDF=Y")</f>
        <v>63.259500000000003</v>
      </c>
      <c r="G24" s="20">
        <f>_xll.BDH("ALNY US Equity","TOT_FAIR_VAL_ASSET_TO_TOT_ASSETS","FQ4 2019","FQ4 2019","Currency=USD","Period=FQ","BEST_FPERIOD_OVERRIDE=FQ","FILING_STATUS=MR","Sort=A","Dates=H","DateFormat=P","Fill=—","Direction=H","UseDPDF=Y")</f>
        <v>60.379899999999999</v>
      </c>
      <c r="H24" s="20">
        <f>_xll.BDH("ALNY US Equity","TOT_FAIR_VAL_ASSET_TO_TOT_ASSETS","FQ1 2020","FQ1 2020","Currency=USD","Period=FQ","BEST_FPERIOD_OVERRIDE=FQ","FILING_STATUS=MR","Sort=A","Dates=H","DateFormat=P","Fill=—","Direction=H","UseDPDF=Y")</f>
        <v>63.628</v>
      </c>
      <c r="I24" s="20">
        <f>_xll.BDH("ALNY US Equity","TOT_FAIR_VAL_ASSET_TO_TOT_ASSETS","FQ2 2020","FQ2 2020","Currency=USD","Period=FQ","BEST_FPERIOD_OVERRIDE=FQ","FILING_STATUS=MR","Sort=A","Dates=H","DateFormat=P","Fill=—","Direction=H","UseDPDF=Y")</f>
        <v>52.8095</v>
      </c>
      <c r="J24" s="20">
        <f>_xll.BDH("ALNY US Equity","TOT_FAIR_VAL_ASSET_TO_TOT_ASSETS","FQ3 2020","FQ3 2020","Currency=USD","Period=FQ","BEST_FPERIOD_OVERRIDE=FQ","FILING_STATUS=MR","Sort=A","Dates=H","DateFormat=P","Fill=—","Direction=H","UseDPDF=Y")</f>
        <v>49.842300000000002</v>
      </c>
      <c r="K24" s="20">
        <f>_xll.BDH("ALNY US Equity","TOT_FAIR_VAL_ASSET_TO_TOT_ASSETS","FQ4 2020","FQ4 2020","Currency=USD","Period=FQ","BEST_FPERIOD_OVERRIDE=FQ","FILING_STATUS=MR","Sort=A","Dates=H","DateFormat=P","Fill=—","Direction=H","UseDPDF=Y")</f>
        <v>43.293100000000003</v>
      </c>
      <c r="L24" s="20">
        <f>_xll.BDH("ALNY US Equity","TOT_FAIR_VAL_ASSET_TO_TOT_ASSETS","FQ1 2021","FQ1 2021","Currency=USD","Period=FQ","BEST_FPERIOD_OVERRIDE=FQ","FILING_STATUS=MR","Sort=A","Dates=H","DateFormat=P","Fill=—","Direction=H","UseDPDF=Y")</f>
        <v>46.353999999999999</v>
      </c>
      <c r="M24" s="20">
        <f>_xll.BDH("ALNY US Equity","TOT_FAIR_VAL_ASSET_TO_TOT_ASSETS","FQ2 2021","FQ2 2021","Currency=USD","Period=FQ","BEST_FPERIOD_OVERRIDE=FQ","FILING_STATUS=MR","Sort=A","Dates=H","DateFormat=P","Fill=—","Direction=H","UseDPDF=Y")</f>
        <v>39.746699999999997</v>
      </c>
      <c r="N24" s="20">
        <f>_xll.BDH("ALNY US Equity","TOT_FAIR_VAL_ASSET_TO_TOT_ASSETS","FQ3 2021","FQ3 2021","Currency=USD","Period=FQ","BEST_FPERIOD_OVERRIDE=FQ","FILING_STATUS=MR","Sort=A","Dates=H","DateFormat=P","Fill=—","Direction=H","UseDPDF=Y")</f>
        <v>45.695</v>
      </c>
      <c r="O24" s="20">
        <f>_xll.BDH("ALNY US Equity","TOT_FAIR_VAL_ASSET_TO_TOT_ASSETS","FQ4 2021","FQ4 2021","Currency=USD","Period=FQ","BEST_FPERIOD_OVERRIDE=FQ","FILING_STATUS=MR","Sort=A","Dates=H","DateFormat=P","Fill=—","Direction=H","UseDPDF=Y")</f>
        <v>52.909399999999998</v>
      </c>
      <c r="P24" s="20">
        <f>_xll.BDH("ALNY US Equity","TOT_FAIR_VAL_ASSET_TO_TOT_ASSETS","FQ1 2022","FQ1 2022","Currency=USD","Period=FQ","BEST_FPERIOD_OVERRIDE=FQ","FILING_STATUS=MR","Sort=A","Dates=H","DateFormat=P","Fill=—","Direction=H","UseDPDF=Y")</f>
        <v>55.945399999999999</v>
      </c>
      <c r="Q24" s="20">
        <f>_xll.BDH("ALNY US Equity","TOT_FAIR_VAL_ASSET_TO_TOT_ASSETS","FQ2 2022","FQ2 2022","Currency=USD","Period=FQ","BEST_FPERIOD_OVERRIDE=FQ","FILING_STATUS=MR","Sort=A","Dates=H","DateFormat=P","Fill=—","Direction=H","UseDPDF=Y")</f>
        <v>54.214100000000002</v>
      </c>
      <c r="R24" s="20">
        <f>_xll.BDH("ALNY US Equity","TOT_FAIR_VAL_ASSET_TO_TOT_ASSETS","FQ3 2022","FQ3 2022","Currency=USD","Period=FQ","BEST_FPERIOD_OVERRIDE=FQ","FILING_STATUS=MR","Sort=A","Dates=H","DateFormat=P","Fill=—","Direction=H","UseDPDF=Y")</f>
        <v>47.884700000000002</v>
      </c>
      <c r="S24" s="20">
        <f>_xll.BDH("ALNY US Equity","TOT_FAIR_VAL_ASSET_TO_TOT_ASSETS","FQ4 2022","FQ4 2022","Currency=USD","Period=FQ","BEST_FPERIOD_OVERRIDE=FQ","FILING_STATUS=MR","Sort=A","Dates=H","DateFormat=P","Fill=—","Direction=H","UseDPDF=Y")</f>
        <v>48.2423</v>
      </c>
      <c r="T24" s="20">
        <f>_xll.BDH("ALNY US Equity","TOT_FAIR_VAL_ASSET_TO_TOT_ASSETS","FQ1 2023","FQ1 2023","Currency=USD","Period=FQ","BEST_FPERIOD_OVERRIDE=FQ","FILING_STATUS=MR","Sort=A","Dates=H","DateFormat=P","Fill=—","Direction=H","UseDPDF=Y")</f>
        <v>47.703499999999998</v>
      </c>
      <c r="U24" s="20">
        <f>_xll.BDH("ALNY US Equity","TOT_FAIR_VAL_ASSET_TO_TOT_ASSETS","FQ2 2023","FQ2 2023","Currency=USD","Period=FQ","BEST_FPERIOD_OVERRIDE=FQ","FILING_STATUS=MR","Sort=A","Dates=H","DateFormat=P","Fill=—","Direction=H","UseDPDF=Y")</f>
        <v>44.0015</v>
      </c>
      <c r="V24" s="20">
        <f>_xll.BDH("ALNY US Equity","TOT_FAIR_VAL_ASSET_TO_TOT_ASSETS","FQ3 2023","FQ3 2023","Currency=USD","Period=FQ","BEST_FPERIOD_OVERRIDE=FQ","FILING_STATUS=MR","Sort=A","Dates=H","DateFormat=P","Fill=—","Direction=H","UseDPDF=Y")</f>
        <v>37.883299999999998</v>
      </c>
      <c r="W24" s="20">
        <f>_xll.BDH("ALNY US Equity","TOT_FAIR_VAL_ASSET_TO_TOT_ASSETS","FQ4 2023","FQ4 2023","Currency=USD","Period=FQ","BEST_FPERIOD_OVERRIDE=FQ","FILING_STATUS=MR","Sort=A","Dates=H","DateFormat=P","Fill=—","Direction=H","UseDPDF=Y")</f>
        <v>47.7331</v>
      </c>
      <c r="X24" s="20">
        <f>_xll.BDH("ALNY US Equity","TOT_FAIR_VAL_ASSET_TO_TOT_ASSETS","FQ1 2024","FQ1 2024","Currency=USD","Period=FQ","BEST_FPERIOD_OVERRIDE=FQ","FILING_STATUS=MR","Sort=A","Dates=H","DateFormat=P","Fill=—","Direction=H","UseDPDF=Y")</f>
        <v>48.999600000000001</v>
      </c>
      <c r="Y24" s="20">
        <f>_xll.BDH("ALNY US Equity","TOT_FAIR_VAL_ASSET_TO_TOT_ASSETS","FQ2 2024","FQ2 2024","Currency=USD","Period=FQ","BEST_FPERIOD_OVERRIDE=FQ","FILING_STATUS=MR","Sort=A","Dates=H","DateFormat=P","Fill=—","Direction=H","UseDPDF=Y")</f>
        <v>46.349800000000002</v>
      </c>
      <c r="Z24" s="20">
        <f>_xll.BDH("ALNY US Equity","TOT_FAIR_VAL_ASSET_TO_TOT_ASSETS","FQ3 2024","FQ3 2024","Currency=USD","Period=FQ","BEST_FPERIOD_OVERRIDE=FQ","FILING_STATUS=MR","Sort=A","Dates=H","DateFormat=P","Fill=—","Direction=H","UseDPDF=Y")</f>
        <v>44.541800000000002</v>
      </c>
      <c r="AA24" s="20">
        <f>_xll.BDH("ALNY US Equity","TOT_FAIR_VAL_ASSET_TO_TOT_ASSETS","FQ4 2024","FQ4 2024","Currency=USD","Period=FQ","BEST_FPERIOD_OVERRIDE=FQ","FILING_STATUS=MR","Sort=A","Dates=H","DateFormat=P","Fill=—","Direction=H","UseDPDF=Y")</f>
        <v>46.9071</v>
      </c>
    </row>
    <row r="25" spans="1:27" x14ac:dyDescent="0.25">
      <c r="A25" s="7" t="s">
        <v>90</v>
      </c>
      <c r="B25" s="7"/>
      <c r="C25" s="7" t="s">
        <v>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67"/>
  <sheetViews>
    <sheetView topLeftCell="A5" workbookViewId="0">
      <selection activeCell="M2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673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1165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1166</v>
      </c>
      <c r="B7" s="10" t="s">
        <v>1167</v>
      </c>
      <c r="C7" s="13">
        <f>_xll.BDH("ALNY US Equity","CF_NET_INC","FQ4 2018","FQ4 2018","Currency=USD","Period=FQ","BEST_FPERIOD_OVERRIDE=FQ","FILING_STATUS=MR","SCALING_FORMAT=MLN","Sort=A","Dates=H","DateFormat=P","Fill=—","Direction=H","UseDPDF=Y")</f>
        <v>-211.441</v>
      </c>
      <c r="D7" s="13">
        <f>_xll.BDH("ALNY US Equity","CF_NET_INC","FQ1 2019","FQ1 2019","Currency=USD","Period=FQ","BEST_FPERIOD_OVERRIDE=FQ","FILING_STATUS=MR","SCALING_FORMAT=MLN","Sort=A","Dates=H","DateFormat=P","Fill=—","Direction=H","UseDPDF=Y")</f>
        <v>-181.91499999999999</v>
      </c>
      <c r="E7" s="13">
        <f>_xll.BDH("ALNY US Equity","CF_NET_INC","FQ2 2019","FQ2 2019","Currency=USD","Period=FQ","BEST_FPERIOD_OVERRIDE=FQ","FILING_STATUS=MR","SCALING_FORMAT=MLN","Sort=A","Dates=H","DateFormat=P","Fill=—","Direction=H","UseDPDF=Y")</f>
        <v>-219.48099999999999</v>
      </c>
      <c r="F7" s="13">
        <f>_xll.BDH("ALNY US Equity","CF_NET_INC","FQ3 2019","FQ3 2019","Currency=USD","Period=FQ","BEST_FPERIOD_OVERRIDE=FQ","FILING_STATUS=MR","SCALING_FORMAT=MLN","Sort=A","Dates=H","DateFormat=P","Fill=—","Direction=H","UseDPDF=Y")</f>
        <v>-208.535</v>
      </c>
      <c r="G7" s="13">
        <f>_xll.BDH("ALNY US Equity","CF_NET_INC","FQ4 2019","FQ4 2019","Currency=USD","Period=FQ","BEST_FPERIOD_OVERRIDE=FQ","FILING_STATUS=MR","SCALING_FORMAT=MLN","Sort=A","Dates=H","DateFormat=P","Fill=—","Direction=H","UseDPDF=Y")</f>
        <v>-276.185</v>
      </c>
      <c r="H7" s="13">
        <f>_xll.BDH("ALNY US Equity","CF_NET_INC","FQ1 2020","FQ1 2020","Currency=USD","Period=FQ","BEST_FPERIOD_OVERRIDE=FQ","FILING_STATUS=MR","SCALING_FORMAT=MLN","Sort=A","Dates=H","DateFormat=P","Fill=—","Direction=H","UseDPDF=Y")</f>
        <v>-182.221</v>
      </c>
      <c r="I7" s="13">
        <f>_xll.BDH("ALNY US Equity","CF_NET_INC","FQ2 2020","FQ2 2020","Currency=USD","Period=FQ","BEST_FPERIOD_OVERRIDE=FQ","FILING_STATUS=MR","SCALING_FORMAT=MLN","Sort=A","Dates=H","DateFormat=P","Fill=—","Direction=H","UseDPDF=Y")</f>
        <v>-179.22900000000001</v>
      </c>
      <c r="J7" s="13">
        <f>_xll.BDH("ALNY US Equity","CF_NET_INC","FQ3 2020","FQ3 2020","Currency=USD","Period=FQ","BEST_FPERIOD_OVERRIDE=FQ","FILING_STATUS=MR","SCALING_FORMAT=MLN","Sort=A","Dates=H","DateFormat=P","Fill=—","Direction=H","UseDPDF=Y")</f>
        <v>-253.291</v>
      </c>
      <c r="K7" s="13">
        <f>_xll.BDH("ALNY US Equity","CF_NET_INC","FQ4 2020","FQ4 2020","Currency=USD","Period=FQ","BEST_FPERIOD_OVERRIDE=FQ","FILING_STATUS=MR","SCALING_FORMAT=MLN","Sort=A","Dates=H","DateFormat=P","Fill=—","Direction=H","UseDPDF=Y")</f>
        <v>-243.54</v>
      </c>
      <c r="L7" s="13">
        <f>_xll.BDH("ALNY US Equity","CF_NET_INC","FQ1 2021","FQ1 2021","Currency=USD","Period=FQ","BEST_FPERIOD_OVERRIDE=FQ","FILING_STATUS=MR","SCALING_FORMAT=MLN","Sort=A","Dates=H","DateFormat=P","Fill=—","Direction=H","UseDPDF=Y")</f>
        <v>-200.291</v>
      </c>
      <c r="M7" s="13">
        <f>_xll.BDH("ALNY US Equity","CF_NET_INC","FQ2 2021","FQ2 2021","Currency=USD","Period=FQ","BEST_FPERIOD_OVERRIDE=FQ","FILING_STATUS=MR","SCALING_FORMAT=MLN","Sort=A","Dates=H","DateFormat=P","Fill=—","Direction=H","UseDPDF=Y")</f>
        <v>-189.559</v>
      </c>
      <c r="N7" s="13">
        <f>_xll.BDH("ALNY US Equity","CF_NET_INC","FQ3 2021","FQ3 2021","Currency=USD","Period=FQ","BEST_FPERIOD_OVERRIDE=FQ","FILING_STATUS=MR","SCALING_FORMAT=MLN","Sort=A","Dates=H","DateFormat=P","Fill=—","Direction=H","UseDPDF=Y")</f>
        <v>-204.51400000000001</v>
      </c>
      <c r="O7" s="13">
        <f>_xll.BDH("ALNY US Equity","CF_NET_INC","FQ4 2021","FQ4 2021","Currency=USD","Period=FQ","BEST_FPERIOD_OVERRIDE=FQ","FILING_STATUS=MR","SCALING_FORMAT=MLN","Sort=A","Dates=H","DateFormat=P","Fill=—","Direction=H","UseDPDF=Y")</f>
        <v>-258.45999999999998</v>
      </c>
      <c r="P7" s="13">
        <f>_xll.BDH("ALNY US Equity","CF_NET_INC","FQ1 2022","FQ1 2022","Currency=USD","Period=FQ","BEST_FPERIOD_OVERRIDE=FQ","FILING_STATUS=MR","SCALING_FORMAT=MLN","Sort=A","Dates=H","DateFormat=P","Fill=—","Direction=H","UseDPDF=Y")</f>
        <v>-240.34100000000001</v>
      </c>
      <c r="Q7" s="13">
        <f>_xll.BDH("ALNY US Equity","CF_NET_INC","FQ2 2022","FQ2 2022","Currency=USD","Period=FQ","BEST_FPERIOD_OVERRIDE=FQ","FILING_STATUS=MR","SCALING_FORMAT=MLN","Sort=A","Dates=H","DateFormat=P","Fill=—","Direction=H","UseDPDF=Y")</f>
        <v>-277.40199999999999</v>
      </c>
      <c r="R7" s="13">
        <f>_xll.BDH("ALNY US Equity","CF_NET_INC","FQ3 2022","FQ3 2022","Currency=USD","Period=FQ","BEST_FPERIOD_OVERRIDE=FQ","FILING_STATUS=MR","SCALING_FORMAT=MLN","Sort=A","Dates=H","DateFormat=P","Fill=—","Direction=H","UseDPDF=Y")</f>
        <v>-405.92</v>
      </c>
      <c r="S7" s="13">
        <f>_xll.BDH("ALNY US Equity","CF_NET_INC","FQ4 2022","FQ4 2022","Currency=USD","Period=FQ","BEST_FPERIOD_OVERRIDE=FQ","FILING_STATUS=MR","SCALING_FORMAT=MLN","Sort=A","Dates=H","DateFormat=P","Fill=—","Direction=H","UseDPDF=Y")</f>
        <v>-207.49299999999999</v>
      </c>
      <c r="T7" s="13">
        <f>_xll.BDH("ALNY US Equity","CF_NET_INC","FQ1 2023","FQ1 2023","Currency=USD","Period=FQ","BEST_FPERIOD_OVERRIDE=FQ","FILING_STATUS=MR","SCALING_FORMAT=MLN","Sort=A","Dates=H","DateFormat=P","Fill=—","Direction=H","UseDPDF=Y")</f>
        <v>-174.101</v>
      </c>
      <c r="U7" s="13">
        <f>_xll.BDH("ALNY US Equity","CF_NET_INC","FQ2 2023","FQ2 2023","Currency=USD","Period=FQ","BEST_FPERIOD_OVERRIDE=FQ","FILING_STATUS=MR","SCALING_FORMAT=MLN","Sort=A","Dates=H","DateFormat=P","Fill=—","Direction=H","UseDPDF=Y")</f>
        <v>-276.024</v>
      </c>
      <c r="V7" s="13">
        <f>_xll.BDH("ALNY US Equity","CF_NET_INC","FQ3 2023","FQ3 2023","Currency=USD","Period=FQ","BEST_FPERIOD_OVERRIDE=FQ","FILING_STATUS=MR","SCALING_FORMAT=MLN","Sort=A","Dates=H","DateFormat=P","Fill=—","Direction=H","UseDPDF=Y")</f>
        <v>147.75299999999999</v>
      </c>
      <c r="W7" s="13">
        <f>_xll.BDH("ALNY US Equity","CF_NET_INC","FQ4 2023","FQ4 2023","Currency=USD","Period=FQ","BEST_FPERIOD_OVERRIDE=FQ","FILING_STATUS=MR","SCALING_FORMAT=MLN","Sort=A","Dates=H","DateFormat=P","Fill=—","Direction=H","UseDPDF=Y")</f>
        <v>-137.87</v>
      </c>
      <c r="X7" s="13">
        <f>_xll.BDH("ALNY US Equity","CF_NET_INC","FQ1 2024","FQ1 2024","Currency=USD","Period=FQ","BEST_FPERIOD_OVERRIDE=FQ","FILING_STATUS=MR","SCALING_FORMAT=MLN","Sort=A","Dates=H","DateFormat=P","Fill=—","Direction=H","UseDPDF=Y")</f>
        <v>-65.935000000000002</v>
      </c>
      <c r="Y7" s="13">
        <f>_xll.BDH("ALNY US Equity","CF_NET_INC","FQ2 2024","FQ2 2024","Currency=USD","Period=FQ","BEST_FPERIOD_OVERRIDE=FQ","FILING_STATUS=MR","SCALING_FORMAT=MLN","Sort=A","Dates=H","DateFormat=P","Fill=—","Direction=H","UseDPDF=Y")</f>
        <v>-16.888999999999999</v>
      </c>
      <c r="Z7" s="13">
        <f>_xll.BDH("ALNY US Equity","CF_NET_INC","FQ3 2024","FQ3 2024","Currency=USD","Period=FQ","BEST_FPERIOD_OVERRIDE=FQ","FILING_STATUS=MR","SCALING_FORMAT=MLN","Sort=A","Dates=H","DateFormat=P","Fill=—","Direction=H","UseDPDF=Y")</f>
        <v>-111.57</v>
      </c>
      <c r="AA7" s="13">
        <f>_xll.BDH("ALNY US Equity","CF_NET_INC","FQ4 2024","FQ4 2024","Currency=USD","Period=FQ","BEST_FPERIOD_OVERRIDE=FQ","FILING_STATUS=MR","SCALING_FORMAT=MLN","Sort=A","Dates=H","DateFormat=P","Fill=—","Direction=H","UseDPDF=Y")</f>
        <v>-83.763000000000005</v>
      </c>
    </row>
    <row r="8" spans="1:27" x14ac:dyDescent="0.25">
      <c r="A8" s="10" t="s">
        <v>608</v>
      </c>
      <c r="B8" s="10" t="s">
        <v>1168</v>
      </c>
      <c r="C8" s="13">
        <f>_xll.BDH("ALNY US Equity","CF_DEPR_AMORT","FQ4 2018","FQ4 2018","Currency=USD","Period=FQ","BEST_FPERIOD_OVERRIDE=FQ","FILING_STATUS=MR","SCALING_FORMAT=MLN","Sort=A","Dates=H","DateFormat=P","Fill=—","Direction=H","UseDPDF=Y")</f>
        <v>-2.2280000000000002</v>
      </c>
      <c r="D8" s="13">
        <f>_xll.BDH("ALNY US Equity","CF_DEPR_AMORT","FQ1 2019","FQ1 2019","Currency=USD","Period=FQ","BEST_FPERIOD_OVERRIDE=FQ","FILING_STATUS=MR","SCALING_FORMAT=MLN","Sort=A","Dates=H","DateFormat=P","Fill=—","Direction=H","UseDPDF=Y")</f>
        <v>12.21</v>
      </c>
      <c r="E8" s="13">
        <f>_xll.BDH("ALNY US Equity","CF_DEPR_AMORT","FQ2 2019","FQ2 2019","Currency=USD","Period=FQ","BEST_FPERIOD_OVERRIDE=FQ","FILING_STATUS=MR","SCALING_FORMAT=MLN","Sort=A","Dates=H","DateFormat=P","Fill=—","Direction=H","UseDPDF=Y")</f>
        <v>9.7449999999999992</v>
      </c>
      <c r="F8" s="13">
        <f>_xll.BDH("ALNY US Equity","CF_DEPR_AMORT","FQ3 2019","FQ3 2019","Currency=USD","Period=FQ","BEST_FPERIOD_OVERRIDE=FQ","FILING_STATUS=MR","SCALING_FORMAT=MLN","Sort=A","Dates=H","DateFormat=P","Fill=—","Direction=H","UseDPDF=Y")</f>
        <v>17.651</v>
      </c>
      <c r="G8" s="13">
        <f>_xll.BDH("ALNY US Equity","CF_DEPR_AMORT","FQ4 2019","FQ4 2019","Currency=USD","Period=FQ","BEST_FPERIOD_OVERRIDE=FQ","FILING_STATUS=MR","SCALING_FORMAT=MLN","Sort=A","Dates=H","DateFormat=P","Fill=—","Direction=H","UseDPDF=Y")</f>
        <v>14.762</v>
      </c>
      <c r="H8" s="13">
        <f>_xll.BDH("ALNY US Equity","CF_DEPR_AMORT","FQ1 2020","FQ1 2020","Currency=USD","Period=FQ","BEST_FPERIOD_OVERRIDE=FQ","FILING_STATUS=MR","SCALING_FORMAT=MLN","Sort=A","Dates=H","DateFormat=P","Fill=—","Direction=H","UseDPDF=Y")</f>
        <v>17.006</v>
      </c>
      <c r="I8" s="13">
        <f>_xll.BDH("ALNY US Equity","CF_DEPR_AMORT","FQ2 2020","FQ2 2020","Currency=USD","Period=FQ","BEST_FPERIOD_OVERRIDE=FQ","FILING_STATUS=MR","SCALING_FORMAT=MLN","Sort=A","Dates=H","DateFormat=P","Fill=—","Direction=H","UseDPDF=Y")</f>
        <v>17.777999999999999</v>
      </c>
      <c r="J8" s="13">
        <f>_xll.BDH("ALNY US Equity","CF_DEPR_AMORT","FQ3 2020","FQ3 2020","Currency=USD","Period=FQ","BEST_FPERIOD_OVERRIDE=FQ","FILING_STATUS=MR","SCALING_FORMAT=MLN","Sort=A","Dates=H","DateFormat=P","Fill=—","Direction=H","UseDPDF=Y")</f>
        <v>18.771000000000001</v>
      </c>
      <c r="K8" s="13">
        <f>_xll.BDH("ALNY US Equity","CF_DEPR_AMORT","FQ4 2020","FQ4 2020","Currency=USD","Period=FQ","BEST_FPERIOD_OVERRIDE=FQ","FILING_STATUS=MR","SCALING_FORMAT=MLN","Sort=A","Dates=H","DateFormat=P","Fill=—","Direction=H","UseDPDF=Y")</f>
        <v>20.88</v>
      </c>
      <c r="L8" s="13">
        <f>_xll.BDH("ALNY US Equity","CF_DEPR_AMORT","FQ1 2021","FQ1 2021","Currency=USD","Period=FQ","BEST_FPERIOD_OVERRIDE=FQ","FILING_STATUS=MR","SCALING_FORMAT=MLN","Sort=A","Dates=H","DateFormat=P","Fill=—","Direction=H","UseDPDF=Y")</f>
        <v>22.861999999999998</v>
      </c>
      <c r="M8" s="13">
        <f>_xll.BDH("ALNY US Equity","CF_DEPR_AMORT","FQ2 2021","FQ2 2021","Currency=USD","Period=FQ","BEST_FPERIOD_OVERRIDE=FQ","FILING_STATUS=MR","SCALING_FORMAT=MLN","Sort=A","Dates=H","DateFormat=P","Fill=—","Direction=H","UseDPDF=Y")</f>
        <v>22.161000000000001</v>
      </c>
      <c r="N8" s="13">
        <f>_xll.BDH("ALNY US Equity","CF_DEPR_AMORT","FQ3 2021","FQ3 2021","Currency=USD","Period=FQ","BEST_FPERIOD_OVERRIDE=FQ","FILING_STATUS=MR","SCALING_FORMAT=MLN","Sort=A","Dates=H","DateFormat=P","Fill=—","Direction=H","UseDPDF=Y")</f>
        <v>23.22</v>
      </c>
      <c r="O8" s="13">
        <f>_xll.BDH("ALNY US Equity","CF_DEPR_AMORT","FQ4 2021","FQ4 2021","Currency=USD","Period=FQ","BEST_FPERIOD_OVERRIDE=FQ","FILING_STATUS=MR","SCALING_FORMAT=MLN","Sort=A","Dates=H","DateFormat=P","Fill=—","Direction=H","UseDPDF=Y")</f>
        <v>21.451000000000001</v>
      </c>
      <c r="P8" s="13">
        <f>_xll.BDH("ALNY US Equity","CF_DEPR_AMORT","FQ1 2022","FQ1 2022","Currency=USD","Period=FQ","BEST_FPERIOD_OVERRIDE=FQ","FILING_STATUS=MR","SCALING_FORMAT=MLN","Sort=A","Dates=H","DateFormat=P","Fill=—","Direction=H","UseDPDF=Y")</f>
        <v>19.777999999999999</v>
      </c>
      <c r="Q8" s="13">
        <f>_xll.BDH("ALNY US Equity","CF_DEPR_AMORT","FQ2 2022","FQ2 2022","Currency=USD","Period=FQ","BEST_FPERIOD_OVERRIDE=FQ","FILING_STATUS=MR","SCALING_FORMAT=MLN","Sort=A","Dates=H","DateFormat=P","Fill=—","Direction=H","UseDPDF=Y")</f>
        <v>20.236999999999998</v>
      </c>
      <c r="R8" s="13">
        <f>_xll.BDH("ALNY US Equity","CF_DEPR_AMORT","FQ3 2022","FQ3 2022","Currency=USD","Period=FQ","BEST_FPERIOD_OVERRIDE=FQ","FILING_STATUS=MR","SCALING_FORMAT=MLN","Sort=A","Dates=H","DateFormat=P","Fill=—","Direction=H","UseDPDF=Y")</f>
        <v>20.65</v>
      </c>
      <c r="S8" s="13">
        <f>_xll.BDH("ALNY US Equity","CF_DEPR_AMORT","FQ4 2022","FQ4 2022","Currency=USD","Period=FQ","BEST_FPERIOD_OVERRIDE=FQ","FILING_STATUS=MR","SCALING_FORMAT=MLN","Sort=A","Dates=H","DateFormat=P","Fill=—","Direction=H","UseDPDF=Y")</f>
        <v>24.885000000000002</v>
      </c>
      <c r="T8" s="13">
        <f>_xll.BDH("ALNY US Equity","CF_DEPR_AMORT","FQ1 2023","FQ1 2023","Currency=USD","Period=FQ","BEST_FPERIOD_OVERRIDE=FQ","FILING_STATUS=MR","SCALING_FORMAT=MLN","Sort=A","Dates=H","DateFormat=P","Fill=—","Direction=H","UseDPDF=Y")</f>
        <v>26.079000000000001</v>
      </c>
      <c r="U8" s="13">
        <f>_xll.BDH("ALNY US Equity","CF_DEPR_AMORT","FQ2 2023","FQ2 2023","Currency=USD","Period=FQ","BEST_FPERIOD_OVERRIDE=FQ","FILING_STATUS=MR","SCALING_FORMAT=MLN","Sort=A","Dates=H","DateFormat=P","Fill=—","Direction=H","UseDPDF=Y")</f>
        <v>23.446999999999999</v>
      </c>
      <c r="V8" s="13">
        <f>_xll.BDH("ALNY US Equity","CF_DEPR_AMORT","FQ3 2023","FQ3 2023","Currency=USD","Period=FQ","BEST_FPERIOD_OVERRIDE=FQ","FILING_STATUS=MR","SCALING_FORMAT=MLN","Sort=A","Dates=H","DateFormat=P","Fill=—","Direction=H","UseDPDF=Y")</f>
        <v>23.532</v>
      </c>
      <c r="W8" s="13">
        <f>_xll.BDH("ALNY US Equity","CF_DEPR_AMORT","FQ4 2023","FQ4 2023","Currency=USD","Period=FQ","BEST_FPERIOD_OVERRIDE=FQ","FILING_STATUS=MR","SCALING_FORMAT=MLN","Sort=A","Dates=H","DateFormat=P","Fill=—","Direction=H","UseDPDF=Y")</f>
        <v>23.972999999999999</v>
      </c>
      <c r="X8" s="13">
        <f>_xll.BDH("ALNY US Equity","CF_DEPR_AMORT","FQ1 2024","FQ1 2024","Currency=USD","Period=FQ","BEST_FPERIOD_OVERRIDE=FQ","FILING_STATUS=MR","SCALING_FORMAT=MLN","Sort=A","Dates=H","DateFormat=P","Fill=—","Direction=H","UseDPDF=Y")</f>
        <v>25.486000000000001</v>
      </c>
      <c r="Y8" s="13">
        <f>_xll.BDH("ALNY US Equity","CF_DEPR_AMORT","FQ2 2024","FQ2 2024","Currency=USD","Period=FQ","BEST_FPERIOD_OVERRIDE=FQ","FILING_STATUS=MR","SCALING_FORMAT=MLN","Sort=A","Dates=H","DateFormat=P","Fill=—","Direction=H","UseDPDF=Y")</f>
        <v>24.692</v>
      </c>
      <c r="Z8" s="13">
        <f>_xll.BDH("ALNY US Equity","CF_DEPR_AMORT","FQ3 2024","FQ3 2024","Currency=USD","Period=FQ","BEST_FPERIOD_OVERRIDE=FQ","FILING_STATUS=MR","SCALING_FORMAT=MLN","Sort=A","Dates=H","DateFormat=P","Fill=—","Direction=H","UseDPDF=Y")</f>
        <v>27.038</v>
      </c>
      <c r="AA8" s="13">
        <f>_xll.BDH("ALNY US Equity","CF_DEPR_AMORT","FQ4 2024","FQ4 2024","Currency=USD","Period=FQ","BEST_FPERIOD_OVERRIDE=FQ","FILING_STATUS=MR","SCALING_FORMAT=MLN","Sort=A","Dates=H","DateFormat=P","Fill=—","Direction=H","UseDPDF=Y")</f>
        <v>14.167999999999999</v>
      </c>
    </row>
    <row r="9" spans="1:27" x14ac:dyDescent="0.25">
      <c r="A9" s="10" t="s">
        <v>1169</v>
      </c>
      <c r="B9" s="10" t="s">
        <v>1170</v>
      </c>
      <c r="C9" s="13">
        <f>_xll.BDH("ALNY US Equity","NON_CASH_ITEMS_DETAILED","FQ4 2018","FQ4 2018","Currency=USD","Period=FQ","BEST_FPERIOD_OVERRIDE=FQ","FILING_STATUS=MR","SCALING_FORMAT=MLN","Sort=A","Dates=H","DateFormat=P","Fill=—","Direction=H","UseDPDF=Y")</f>
        <v>42.713000000000001</v>
      </c>
      <c r="D9" s="13">
        <f>_xll.BDH("ALNY US Equity","NON_CASH_ITEMS_DETAILED","FQ1 2019","FQ1 2019","Currency=USD","Period=FQ","BEST_FPERIOD_OVERRIDE=FQ","FILING_STATUS=MR","SCALING_FORMAT=MLN","Sort=A","Dates=H","DateFormat=P","Fill=—","Direction=H","UseDPDF=Y")</f>
        <v>45.485999999999997</v>
      </c>
      <c r="E9" s="13">
        <f>_xll.BDH("ALNY US Equity","NON_CASH_ITEMS_DETAILED","FQ2 2019","FQ2 2019","Currency=USD","Period=FQ","BEST_FPERIOD_OVERRIDE=FQ","FILING_STATUS=MR","SCALING_FORMAT=MLN","Sort=A","Dates=H","DateFormat=P","Fill=—","Direction=H","UseDPDF=Y")</f>
        <v>38.704000000000001</v>
      </c>
      <c r="F9" s="13">
        <f>_xll.BDH("ALNY US Equity","NON_CASH_ITEMS_DETAILED","FQ3 2019","FQ3 2019","Currency=USD","Period=FQ","BEST_FPERIOD_OVERRIDE=FQ","FILING_STATUS=MR","SCALING_FORMAT=MLN","Sort=A","Dates=H","DateFormat=P","Fill=—","Direction=H","UseDPDF=Y")</f>
        <v>42.948999999999998</v>
      </c>
      <c r="G9" s="13">
        <f>_xll.BDH("ALNY US Equity","NON_CASH_ITEMS_DETAILED","FQ4 2019","FQ4 2019","Currency=USD","Period=FQ","BEST_FPERIOD_OVERRIDE=FQ","FILING_STATUS=MR","SCALING_FORMAT=MLN","Sort=A","Dates=H","DateFormat=P","Fill=—","Direction=H","UseDPDF=Y")</f>
        <v>112.622</v>
      </c>
      <c r="H9" s="13">
        <f>_xll.BDH("ALNY US Equity","NON_CASH_ITEMS_DETAILED","FQ1 2020","FQ1 2020","Currency=USD","Period=FQ","BEST_FPERIOD_OVERRIDE=FQ","FILING_STATUS=MR","SCALING_FORMAT=MLN","Sort=A","Dates=H","DateFormat=P","Fill=—","Direction=H","UseDPDF=Y")</f>
        <v>-12.124000000000001</v>
      </c>
      <c r="I9" s="13">
        <f>_xll.BDH("ALNY US Equity","NON_CASH_ITEMS_DETAILED","FQ2 2020","FQ2 2020","Currency=USD","Period=FQ","BEST_FPERIOD_OVERRIDE=FQ","FILING_STATUS=MR","SCALING_FORMAT=MLN","Sort=A","Dates=H","DateFormat=P","Fill=—","Direction=H","UseDPDF=Y")</f>
        <v>28.225999999999999</v>
      </c>
      <c r="J9" s="13">
        <f>_xll.BDH("ALNY US Equity","NON_CASH_ITEMS_DETAILED","FQ3 2020","FQ3 2020","Currency=USD","Period=FQ","BEST_FPERIOD_OVERRIDE=FQ","FILING_STATUS=MR","SCALING_FORMAT=MLN","Sort=A","Dates=H","DateFormat=P","Fill=—","Direction=H","UseDPDF=Y")</f>
        <v>127.458</v>
      </c>
      <c r="K9" s="13">
        <f>_xll.BDH("ALNY US Equity","NON_CASH_ITEMS_DETAILED","FQ4 2020","FQ4 2020","Currency=USD","Period=FQ","BEST_FPERIOD_OVERRIDE=FQ","FILING_STATUS=MR","SCALING_FORMAT=MLN","Sort=A","Dates=H","DateFormat=P","Fill=—","Direction=H","UseDPDF=Y")</f>
        <v>145.72200000000001</v>
      </c>
      <c r="L9" s="13">
        <f>_xll.BDH("ALNY US Equity","NON_CASH_ITEMS_DETAILED","FQ1 2021","FQ1 2021","Currency=USD","Period=FQ","BEST_FPERIOD_OVERRIDE=FQ","FILING_STATUS=MR","SCALING_FORMAT=MLN","Sort=A","Dates=H","DateFormat=P","Fill=—","Direction=H","UseDPDF=Y")</f>
        <v>58.575000000000003</v>
      </c>
      <c r="M9" s="13">
        <f>_xll.BDH("ALNY US Equity","NON_CASH_ITEMS_DETAILED","FQ2 2021","FQ2 2021","Currency=USD","Period=FQ","BEST_FPERIOD_OVERRIDE=FQ","FILING_STATUS=MR","SCALING_FORMAT=MLN","Sort=A","Dates=H","DateFormat=P","Fill=—","Direction=H","UseDPDF=Y")</f>
        <v>59.14</v>
      </c>
      <c r="N9" s="13">
        <f>_xll.BDH("ALNY US Equity","NON_CASH_ITEMS_DETAILED","FQ3 2021","FQ3 2021","Currency=USD","Period=FQ","BEST_FPERIOD_OVERRIDE=FQ","FILING_STATUS=MR","SCALING_FORMAT=MLN","Sort=A","Dates=H","DateFormat=P","Fill=—","Direction=H","UseDPDF=Y")</f>
        <v>83.718000000000004</v>
      </c>
      <c r="O9" s="13">
        <f>_xll.BDH("ALNY US Equity","NON_CASH_ITEMS_DETAILED","FQ4 2021","FQ4 2021","Currency=USD","Period=FQ","BEST_FPERIOD_OVERRIDE=FQ","FILING_STATUS=MR","SCALING_FORMAT=MLN","Sort=A","Dates=H","DateFormat=P","Fill=—","Direction=H","UseDPDF=Y")</f>
        <v>130.715</v>
      </c>
      <c r="P9" s="13">
        <f>_xll.BDH("ALNY US Equity","NON_CASH_ITEMS_DETAILED","FQ1 2022","FQ1 2022","Currency=USD","Period=FQ","BEST_FPERIOD_OVERRIDE=FQ","FILING_STATUS=MR","SCALING_FORMAT=MLN","Sort=A","Dates=H","DateFormat=P","Fill=—","Direction=H","UseDPDF=Y")</f>
        <v>49.924999999999997</v>
      </c>
      <c r="Q9" s="13">
        <f>_xll.BDH("ALNY US Equity","NON_CASH_ITEMS_DETAILED","FQ2 2022","FQ2 2022","Currency=USD","Period=FQ","BEST_FPERIOD_OVERRIDE=FQ","FILING_STATUS=MR","SCALING_FORMAT=MLN","Sort=A","Dates=H","DateFormat=P","Fill=—","Direction=H","UseDPDF=Y")</f>
        <v>90.153000000000006</v>
      </c>
      <c r="R9" s="13">
        <f>_xll.BDH("ALNY US Equity","NON_CASH_ITEMS_DETAILED","FQ3 2022","FQ3 2022","Currency=USD","Period=FQ","BEST_FPERIOD_OVERRIDE=FQ","FILING_STATUS=MR","SCALING_FORMAT=MLN","Sort=A","Dates=H","DateFormat=P","Fill=—","Direction=H","UseDPDF=Y")</f>
        <v>392.93599999999998</v>
      </c>
      <c r="S9" s="13">
        <f>_xll.BDH("ALNY US Equity","NON_CASH_ITEMS_DETAILED","FQ4 2022","FQ4 2022","Currency=USD","Period=FQ","BEST_FPERIOD_OVERRIDE=FQ","FILING_STATUS=MR","SCALING_FORMAT=MLN","Sort=A","Dates=H","DateFormat=P","Fill=—","Direction=H","UseDPDF=Y")</f>
        <v>155.46899999999999</v>
      </c>
      <c r="T9" s="13">
        <f>_xll.BDH("ALNY US Equity","NON_CASH_ITEMS_DETAILED","FQ1 2023","FQ1 2023","Currency=USD","Period=FQ","BEST_FPERIOD_OVERRIDE=FQ","FILING_STATUS=MR","SCALING_FORMAT=MLN","Sort=A","Dates=H","DateFormat=P","Fill=—","Direction=H","UseDPDF=Y")</f>
        <v>-27.117999999999999</v>
      </c>
      <c r="U9" s="13">
        <f>_xll.BDH("ALNY US Equity","NON_CASH_ITEMS_DETAILED","FQ2 2023","FQ2 2023","Currency=USD","Period=FQ","BEST_FPERIOD_OVERRIDE=FQ","FILING_STATUS=MR","SCALING_FORMAT=MLN","Sort=A","Dates=H","DateFormat=P","Fill=—","Direction=H","UseDPDF=Y")</f>
        <v>199.96799999999999</v>
      </c>
      <c r="V9" s="13">
        <f>_xll.BDH("ALNY US Equity","NON_CASH_ITEMS_DETAILED","FQ3 2023","FQ3 2023","Currency=USD","Period=FQ","BEST_FPERIOD_OVERRIDE=FQ","FILING_STATUS=MR","SCALING_FORMAT=MLN","Sort=A","Dates=H","DateFormat=P","Fill=—","Direction=H","UseDPDF=Y")</f>
        <v>151.434</v>
      </c>
      <c r="W9" s="13">
        <f>_xll.BDH("ALNY US Equity","NON_CASH_ITEMS_DETAILED","FQ4 2023","FQ4 2023","Currency=USD","Period=FQ","BEST_FPERIOD_OVERRIDE=FQ","FILING_STATUS=MR","SCALING_FORMAT=MLN","Sort=A","Dates=H","DateFormat=P","Fill=—","Direction=H","UseDPDF=Y")</f>
        <v>146.66200000000001</v>
      </c>
      <c r="X9" s="13">
        <f>_xll.BDH("ALNY US Equity","NON_CASH_ITEMS_DETAILED","FQ1 2024","FQ1 2024","Currency=USD","Period=FQ","BEST_FPERIOD_OVERRIDE=FQ","FILING_STATUS=MR","SCALING_FORMAT=MLN","Sort=A","Dates=H","DateFormat=P","Fill=—","Direction=H","UseDPDF=Y")</f>
        <v>62.527000000000001</v>
      </c>
      <c r="Y9" s="13">
        <f>_xll.BDH("ALNY US Equity","NON_CASH_ITEMS_DETAILED","FQ2 2024","FQ2 2024","Currency=USD","Period=FQ","BEST_FPERIOD_OVERRIDE=FQ","FILING_STATUS=MR","SCALING_FORMAT=MLN","Sort=A","Dates=H","DateFormat=P","Fill=—","Direction=H","UseDPDF=Y")</f>
        <v>159.572</v>
      </c>
      <c r="Z9" s="13">
        <f>_xll.BDH("ALNY US Equity","NON_CASH_ITEMS_DETAILED","FQ3 2024","FQ3 2024","Currency=USD","Period=FQ","BEST_FPERIOD_OVERRIDE=FQ","FILING_STATUS=MR","SCALING_FORMAT=MLN","Sort=A","Dates=H","DateFormat=P","Fill=—","Direction=H","UseDPDF=Y")</f>
        <v>83.463999999999999</v>
      </c>
      <c r="AA9" s="13">
        <f>_xll.BDH("ALNY US Equity","NON_CASH_ITEMS_DETAILED","FQ4 2024","FQ4 2024","Currency=USD","Period=FQ","BEST_FPERIOD_OVERRIDE=FQ","FILING_STATUS=MR","SCALING_FORMAT=MLN","Sort=A","Dates=H","DateFormat=P","Fill=—","Direction=H","UseDPDF=Y")</f>
        <v>178.07499999999999</v>
      </c>
    </row>
    <row r="10" spans="1:27" x14ac:dyDescent="0.25">
      <c r="A10" s="10" t="s">
        <v>1171</v>
      </c>
      <c r="B10" s="10" t="s">
        <v>1172</v>
      </c>
      <c r="C10" s="13">
        <f>_xll.BDH("ALNY US Equity","CF_STOCK_BASED_COMPENSATION","FQ4 2018","FQ4 2018","Currency=USD","Period=FQ","BEST_FPERIOD_OVERRIDE=FQ","FILING_STATUS=MR","SCALING_FORMAT=MLN","Sort=A","Dates=H","DateFormat=P","Fill=—","Direction=H","UseDPDF=Y")</f>
        <v>27.972999999999999</v>
      </c>
      <c r="D10" s="13">
        <f>_xll.BDH("ALNY US Equity","CF_STOCK_BASED_COMPENSATION","FQ1 2019","FQ1 2019","Currency=USD","Period=FQ","BEST_FPERIOD_OVERRIDE=FQ","FILING_STATUS=MR","SCALING_FORMAT=MLN","Sort=A","Dates=H","DateFormat=P","Fill=—","Direction=H","UseDPDF=Y")</f>
        <v>32.031999999999996</v>
      </c>
      <c r="E10" s="13">
        <f>_xll.BDH("ALNY US Equity","CF_STOCK_BASED_COMPENSATION","FQ2 2019","FQ2 2019","Currency=USD","Period=FQ","BEST_FPERIOD_OVERRIDE=FQ","FILING_STATUS=MR","SCALING_FORMAT=MLN","Sort=A","Dates=H","DateFormat=P","Fill=—","Direction=H","UseDPDF=Y")</f>
        <v>30.603000000000002</v>
      </c>
      <c r="F10" s="13">
        <f>_xll.BDH("ALNY US Equity","CF_STOCK_BASED_COMPENSATION","FQ3 2019","FQ3 2019","Currency=USD","Period=FQ","BEST_FPERIOD_OVERRIDE=FQ","FILING_STATUS=MR","SCALING_FORMAT=MLN","Sort=A","Dates=H","DateFormat=P","Fill=—","Direction=H","UseDPDF=Y")</f>
        <v>46.009</v>
      </c>
      <c r="G10" s="13">
        <f>_xll.BDH("ALNY US Equity","CF_STOCK_BASED_COMPENSATION","FQ4 2019","FQ4 2019","Currency=USD","Period=FQ","BEST_FPERIOD_OVERRIDE=FQ","FILING_STATUS=MR","SCALING_FORMAT=MLN","Sort=A","Dates=H","DateFormat=P","Fill=—","Direction=H","UseDPDF=Y")</f>
        <v>66.197000000000003</v>
      </c>
      <c r="H10" s="13">
        <f>_xll.BDH("ALNY US Equity","CF_STOCK_BASED_COMPENSATION","FQ1 2020","FQ1 2020","Currency=USD","Period=FQ","BEST_FPERIOD_OVERRIDE=FQ","FILING_STATUS=MR","SCALING_FORMAT=MLN","Sort=A","Dates=H","DateFormat=P","Fill=—","Direction=H","UseDPDF=Y")</f>
        <v>34.578000000000003</v>
      </c>
      <c r="I10" s="13">
        <f>_xll.BDH("ALNY US Equity","CF_STOCK_BASED_COMPENSATION","FQ2 2020","FQ2 2020","Currency=USD","Period=FQ","BEST_FPERIOD_OVERRIDE=FQ","FILING_STATUS=MR","SCALING_FORMAT=MLN","Sort=A","Dates=H","DateFormat=P","Fill=—","Direction=H","UseDPDF=Y")</f>
        <v>33.755000000000003</v>
      </c>
      <c r="J10" s="13">
        <f>_xll.BDH("ALNY US Equity","CF_STOCK_BASED_COMPENSATION","FQ3 2020","FQ3 2020","Currency=USD","Period=FQ","BEST_FPERIOD_OVERRIDE=FQ","FILING_STATUS=MR","SCALING_FORMAT=MLN","Sort=A","Dates=H","DateFormat=P","Fill=—","Direction=H","UseDPDF=Y")</f>
        <v>37.264000000000003</v>
      </c>
      <c r="K10" s="13">
        <f>_xll.BDH("ALNY US Equity","CF_STOCK_BASED_COMPENSATION","FQ4 2020","FQ4 2020","Currency=USD","Period=FQ","BEST_FPERIOD_OVERRIDE=FQ","FILING_STATUS=MR","SCALING_FORMAT=MLN","Sort=A","Dates=H","DateFormat=P","Fill=—","Direction=H","UseDPDF=Y")</f>
        <v>34.276000000000003</v>
      </c>
      <c r="L10" s="13">
        <f>_xll.BDH("ALNY US Equity","CF_STOCK_BASED_COMPENSATION","FQ1 2021","FQ1 2021","Currency=USD","Period=FQ","BEST_FPERIOD_OVERRIDE=FQ","FILING_STATUS=MR","SCALING_FORMAT=MLN","Sort=A","Dates=H","DateFormat=P","Fill=—","Direction=H","UseDPDF=Y")</f>
        <v>55.69</v>
      </c>
      <c r="M10" s="13">
        <f>_xll.BDH("ALNY US Equity","CF_STOCK_BASED_COMPENSATION","FQ2 2021","FQ2 2021","Currency=USD","Period=FQ","BEST_FPERIOD_OVERRIDE=FQ","FILING_STATUS=MR","SCALING_FORMAT=MLN","Sort=A","Dates=H","DateFormat=P","Fill=—","Direction=H","UseDPDF=Y")</f>
        <v>32.078000000000003</v>
      </c>
      <c r="N10" s="13">
        <f>_xll.BDH("ALNY US Equity","CF_STOCK_BASED_COMPENSATION","FQ3 2021","FQ3 2021","Currency=USD","Period=FQ","BEST_FPERIOD_OVERRIDE=FQ","FILING_STATUS=MR","SCALING_FORMAT=MLN","Sort=A","Dates=H","DateFormat=P","Fill=—","Direction=H","UseDPDF=Y")</f>
        <v>33.366999999999997</v>
      </c>
      <c r="O10" s="13">
        <f>_xll.BDH("ALNY US Equity","CF_STOCK_BASED_COMPENSATION","FQ4 2021","FQ4 2021","Currency=USD","Period=FQ","BEST_FPERIOD_OVERRIDE=FQ","FILING_STATUS=MR","SCALING_FORMAT=MLN","Sort=A","Dates=H","DateFormat=P","Fill=—","Direction=H","UseDPDF=Y")</f>
        <v>44.582000000000001</v>
      </c>
      <c r="P10" s="13">
        <f>_xll.BDH("ALNY US Equity","CF_STOCK_BASED_COMPENSATION","FQ1 2022","FQ1 2022","Currency=USD","Period=FQ","BEST_FPERIOD_OVERRIDE=FQ","FILING_STATUS=MR","SCALING_FORMAT=MLN","Sort=A","Dates=H","DateFormat=P","Fill=—","Direction=H","UseDPDF=Y")</f>
        <v>29.292999999999999</v>
      </c>
      <c r="Q10" s="13">
        <f>_xll.BDH("ALNY US Equity","CF_STOCK_BASED_COMPENSATION","FQ2 2022","FQ2 2022","Currency=USD","Period=FQ","BEST_FPERIOD_OVERRIDE=FQ","FILING_STATUS=MR","SCALING_FORMAT=MLN","Sort=A","Dates=H","DateFormat=P","Fill=—","Direction=H","UseDPDF=Y")</f>
        <v>30.471</v>
      </c>
      <c r="R10" s="13">
        <f>_xll.BDH("ALNY US Equity","CF_STOCK_BASED_COMPENSATION","FQ3 2022","FQ3 2022","Currency=USD","Period=FQ","BEST_FPERIOD_OVERRIDE=FQ","FILING_STATUS=MR","SCALING_FORMAT=MLN","Sort=A","Dates=H","DateFormat=P","Fill=—","Direction=H","UseDPDF=Y")</f>
        <v>128.11799999999999</v>
      </c>
      <c r="S10" s="13">
        <f>_xll.BDH("ALNY US Equity","CF_STOCK_BASED_COMPENSATION","FQ4 2022","FQ4 2022","Currency=USD","Period=FQ","BEST_FPERIOD_OVERRIDE=FQ","FILING_STATUS=MR","SCALING_FORMAT=MLN","Sort=A","Dates=H","DateFormat=P","Fill=—","Direction=H","UseDPDF=Y")</f>
        <v>42.767000000000003</v>
      </c>
      <c r="T10" s="13">
        <f>_xll.BDH("ALNY US Equity","CF_STOCK_BASED_COMPENSATION","FQ1 2023","FQ1 2023","Currency=USD","Period=FQ","BEST_FPERIOD_OVERRIDE=FQ","FILING_STATUS=MR","SCALING_FORMAT=MLN","Sort=A","Dates=H","DateFormat=P","Fill=—","Direction=H","UseDPDF=Y")</f>
        <v>39.947000000000003</v>
      </c>
      <c r="U10" s="13">
        <f>_xll.BDH("ALNY US Equity","CF_STOCK_BASED_COMPENSATION","FQ2 2023","FQ2 2023","Currency=USD","Period=FQ","BEST_FPERIOD_OVERRIDE=FQ","FILING_STATUS=MR","SCALING_FORMAT=MLN","Sort=A","Dates=H","DateFormat=P","Fill=—","Direction=H","UseDPDF=Y")</f>
        <v>75.802000000000007</v>
      </c>
      <c r="V10" s="13">
        <f>_xll.BDH("ALNY US Equity","CF_STOCK_BASED_COMPENSATION","FQ3 2023","FQ3 2023","Currency=USD","Period=FQ","BEST_FPERIOD_OVERRIDE=FQ","FILING_STATUS=MR","SCALING_FORMAT=MLN","Sort=A","Dates=H","DateFormat=P","Fill=—","Direction=H","UseDPDF=Y")</f>
        <v>63.936999999999998</v>
      </c>
      <c r="W10" s="13">
        <f>_xll.BDH("ALNY US Equity","CF_STOCK_BASED_COMPENSATION","FQ4 2023","FQ4 2023","Currency=USD","Period=FQ","BEST_FPERIOD_OVERRIDE=FQ","FILING_STATUS=MR","SCALING_FORMAT=MLN","Sort=A","Dates=H","DateFormat=P","Fill=—","Direction=H","UseDPDF=Y")</f>
        <v>41.994</v>
      </c>
      <c r="X10" s="13">
        <f>_xll.BDH("ALNY US Equity","CF_STOCK_BASED_COMPENSATION","FQ1 2024","FQ1 2024","Currency=USD","Period=FQ","BEST_FPERIOD_OVERRIDE=FQ","FILING_STATUS=MR","SCALING_FORMAT=MLN","Sort=A","Dates=H","DateFormat=P","Fill=—","Direction=H","UseDPDF=Y")</f>
        <v>45.347000000000001</v>
      </c>
      <c r="Y10" s="13">
        <f>_xll.BDH("ALNY US Equity","CF_STOCK_BASED_COMPENSATION","FQ2 2024","FQ2 2024","Currency=USD","Period=FQ","BEST_FPERIOD_OVERRIDE=FQ","FILING_STATUS=MR","SCALING_FORMAT=MLN","Sort=A","Dates=H","DateFormat=P","Fill=—","Direction=H","UseDPDF=Y")</f>
        <v>89.287999999999997</v>
      </c>
      <c r="Z10" s="13">
        <f>_xll.BDH("ALNY US Equity","CF_STOCK_BASED_COMPENSATION","FQ3 2024","FQ3 2024","Currency=USD","Period=FQ","BEST_FPERIOD_OVERRIDE=FQ","FILING_STATUS=MR","SCALING_FORMAT=MLN","Sort=A","Dates=H","DateFormat=P","Fill=—","Direction=H","UseDPDF=Y")</f>
        <v>45.804000000000002</v>
      </c>
      <c r="AA10" s="13">
        <f>_xll.BDH("ALNY US Equity","CF_STOCK_BASED_COMPENSATION","FQ4 2024","FQ4 2024","Currency=USD","Period=FQ","BEST_FPERIOD_OVERRIDE=FQ","FILING_STATUS=MR","SCALING_FORMAT=MLN","Sort=A","Dates=H","DateFormat=P","Fill=—","Direction=H","UseDPDF=Y")</f>
        <v>91.644999999999996</v>
      </c>
    </row>
    <row r="11" spans="1:27" x14ac:dyDescent="0.25">
      <c r="A11" s="10" t="s">
        <v>1173</v>
      </c>
      <c r="B11" s="10" t="s">
        <v>1174</v>
      </c>
      <c r="C11" s="13">
        <f>_xll.BDH("ALNY US Equity","OTHER_NON_CASH_ADJ_LESS_DETAILED","FQ4 2018","FQ4 2018","Currency=USD","Period=FQ","BEST_FPERIOD_OVERRIDE=FQ","FILING_STATUS=MR","SCALING_FORMAT=MLN","Sort=A","Dates=H","DateFormat=P","Fill=—","Direction=H","UseDPDF=Y")</f>
        <v>14.74</v>
      </c>
      <c r="D11" s="13">
        <f>_xll.BDH("ALNY US Equity","OTHER_NON_CASH_ADJ_LESS_DETAILED","FQ1 2019","FQ1 2019","Currency=USD","Period=FQ","BEST_FPERIOD_OVERRIDE=FQ","FILING_STATUS=MR","SCALING_FORMAT=MLN","Sort=A","Dates=H","DateFormat=P","Fill=—","Direction=H","UseDPDF=Y")</f>
        <v>13.454000000000001</v>
      </c>
      <c r="E11" s="13">
        <f>_xll.BDH("ALNY US Equity","OTHER_NON_CASH_ADJ_LESS_DETAILED","FQ2 2019","FQ2 2019","Currency=USD","Period=FQ","BEST_FPERIOD_OVERRIDE=FQ","FILING_STATUS=MR","SCALING_FORMAT=MLN","Sort=A","Dates=H","DateFormat=P","Fill=—","Direction=H","UseDPDF=Y")</f>
        <v>8.1010000000000009</v>
      </c>
      <c r="F11" s="13">
        <f>_xll.BDH("ALNY US Equity","OTHER_NON_CASH_ADJ_LESS_DETAILED","FQ3 2019","FQ3 2019","Currency=USD","Period=FQ","BEST_FPERIOD_OVERRIDE=FQ","FILING_STATUS=MR","SCALING_FORMAT=MLN","Sort=A","Dates=H","DateFormat=P","Fill=—","Direction=H","UseDPDF=Y")</f>
        <v>-3.06</v>
      </c>
      <c r="G11" s="13">
        <f>_xll.BDH("ALNY US Equity","OTHER_NON_CASH_ADJ_LESS_DETAILED","FQ4 2019","FQ4 2019","Currency=USD","Period=FQ","BEST_FPERIOD_OVERRIDE=FQ","FILING_STATUS=MR","SCALING_FORMAT=MLN","Sort=A","Dates=H","DateFormat=P","Fill=—","Direction=H","UseDPDF=Y")</f>
        <v>46.424999999999997</v>
      </c>
      <c r="H11" s="13">
        <f>_xll.BDH("ALNY US Equity","OTHER_NON_CASH_ADJ_LESS_DETAILED","FQ1 2020","FQ1 2020","Currency=USD","Period=FQ","BEST_FPERIOD_OVERRIDE=FQ","FILING_STATUS=MR","SCALING_FORMAT=MLN","Sort=A","Dates=H","DateFormat=P","Fill=—","Direction=H","UseDPDF=Y")</f>
        <v>-46.701999999999998</v>
      </c>
      <c r="I11" s="13">
        <f>_xll.BDH("ALNY US Equity","OTHER_NON_CASH_ADJ_LESS_DETAILED","FQ2 2020","FQ2 2020","Currency=USD","Period=FQ","BEST_FPERIOD_OVERRIDE=FQ","FILING_STATUS=MR","SCALING_FORMAT=MLN","Sort=A","Dates=H","DateFormat=P","Fill=—","Direction=H","UseDPDF=Y")</f>
        <v>-5.5289999999999999</v>
      </c>
      <c r="J11" s="13">
        <f>_xll.BDH("ALNY US Equity","OTHER_NON_CASH_ADJ_LESS_DETAILED","FQ3 2020","FQ3 2020","Currency=USD","Period=FQ","BEST_FPERIOD_OVERRIDE=FQ","FILING_STATUS=MR","SCALING_FORMAT=MLN","Sort=A","Dates=H","DateFormat=P","Fill=—","Direction=H","UseDPDF=Y")</f>
        <v>90.194000000000003</v>
      </c>
      <c r="K11" s="13">
        <f>_xll.BDH("ALNY US Equity","OTHER_NON_CASH_ADJ_LESS_DETAILED","FQ4 2020","FQ4 2020","Currency=USD","Period=FQ","BEST_FPERIOD_OVERRIDE=FQ","FILING_STATUS=MR","SCALING_FORMAT=MLN","Sort=A","Dates=H","DateFormat=P","Fill=—","Direction=H","UseDPDF=Y")</f>
        <v>111.446</v>
      </c>
      <c r="L11" s="13">
        <f>_xll.BDH("ALNY US Equity","OTHER_NON_CASH_ADJ_LESS_DETAILED","FQ1 2021","FQ1 2021","Currency=USD","Period=FQ","BEST_FPERIOD_OVERRIDE=FQ","FILING_STATUS=MR","SCALING_FORMAT=MLN","Sort=A","Dates=H","DateFormat=P","Fill=—","Direction=H","UseDPDF=Y")</f>
        <v>2.8849999999999998</v>
      </c>
      <c r="M11" s="13">
        <f>_xll.BDH("ALNY US Equity","OTHER_NON_CASH_ADJ_LESS_DETAILED","FQ2 2021","FQ2 2021","Currency=USD","Period=FQ","BEST_FPERIOD_OVERRIDE=FQ","FILING_STATUS=MR","SCALING_FORMAT=MLN","Sort=A","Dates=H","DateFormat=P","Fill=—","Direction=H","UseDPDF=Y")</f>
        <v>27.062000000000001</v>
      </c>
      <c r="N11" s="13">
        <f>_xll.BDH("ALNY US Equity","OTHER_NON_CASH_ADJ_LESS_DETAILED","FQ3 2021","FQ3 2021","Currency=USD","Period=FQ","BEST_FPERIOD_OVERRIDE=FQ","FILING_STATUS=MR","SCALING_FORMAT=MLN","Sort=A","Dates=H","DateFormat=P","Fill=—","Direction=H","UseDPDF=Y")</f>
        <v>50.350999999999999</v>
      </c>
      <c r="O11" s="13">
        <f>_xll.BDH("ALNY US Equity","OTHER_NON_CASH_ADJ_LESS_DETAILED","FQ4 2021","FQ4 2021","Currency=USD","Period=FQ","BEST_FPERIOD_OVERRIDE=FQ","FILING_STATUS=MR","SCALING_FORMAT=MLN","Sort=A","Dates=H","DateFormat=P","Fill=—","Direction=H","UseDPDF=Y")</f>
        <v>86.132999999999996</v>
      </c>
      <c r="P11" s="13">
        <f>_xll.BDH("ALNY US Equity","OTHER_NON_CASH_ADJ_LESS_DETAILED","FQ1 2022","FQ1 2022","Currency=USD","Period=FQ","BEST_FPERIOD_OVERRIDE=FQ","FILING_STATUS=MR","SCALING_FORMAT=MLN","Sort=A","Dates=H","DateFormat=P","Fill=—","Direction=H","UseDPDF=Y")</f>
        <v>20.632000000000001</v>
      </c>
      <c r="Q11" s="13">
        <f>_xll.BDH("ALNY US Equity","OTHER_NON_CASH_ADJ_LESS_DETAILED","FQ2 2022","FQ2 2022","Currency=USD","Period=FQ","BEST_FPERIOD_OVERRIDE=FQ","FILING_STATUS=MR","SCALING_FORMAT=MLN","Sort=A","Dates=H","DateFormat=P","Fill=—","Direction=H","UseDPDF=Y")</f>
        <v>59.682000000000002</v>
      </c>
      <c r="R11" s="13">
        <f>_xll.BDH("ALNY US Equity","OTHER_NON_CASH_ADJ_LESS_DETAILED","FQ3 2022","FQ3 2022","Currency=USD","Period=FQ","BEST_FPERIOD_OVERRIDE=FQ","FILING_STATUS=MR","SCALING_FORMAT=MLN","Sort=A","Dates=H","DateFormat=P","Fill=—","Direction=H","UseDPDF=Y")</f>
        <v>264.81799999999998</v>
      </c>
      <c r="S11" s="13">
        <f>_xll.BDH("ALNY US Equity","OTHER_NON_CASH_ADJ_LESS_DETAILED","FQ4 2022","FQ4 2022","Currency=USD","Period=FQ","BEST_FPERIOD_OVERRIDE=FQ","FILING_STATUS=MR","SCALING_FORMAT=MLN","Sort=A","Dates=H","DateFormat=P","Fill=—","Direction=H","UseDPDF=Y")</f>
        <v>112.702</v>
      </c>
      <c r="T11" s="13">
        <f>_xll.BDH("ALNY US Equity","OTHER_NON_CASH_ADJ_LESS_DETAILED","FQ1 2023","FQ1 2023","Currency=USD","Period=FQ","BEST_FPERIOD_OVERRIDE=FQ","FILING_STATUS=MR","SCALING_FORMAT=MLN","Sort=A","Dates=H","DateFormat=P","Fill=—","Direction=H","UseDPDF=Y")</f>
        <v>-67.064999999999998</v>
      </c>
      <c r="U11" s="13">
        <f>_xll.BDH("ALNY US Equity","OTHER_NON_CASH_ADJ_LESS_DETAILED","FQ2 2023","FQ2 2023","Currency=USD","Period=FQ","BEST_FPERIOD_OVERRIDE=FQ","FILING_STATUS=MR","SCALING_FORMAT=MLN","Sort=A","Dates=H","DateFormat=P","Fill=—","Direction=H","UseDPDF=Y")</f>
        <v>124.166</v>
      </c>
      <c r="V11" s="13">
        <f>_xll.BDH("ALNY US Equity","OTHER_NON_CASH_ADJ_LESS_DETAILED","FQ3 2023","FQ3 2023","Currency=USD","Period=FQ","BEST_FPERIOD_OVERRIDE=FQ","FILING_STATUS=MR","SCALING_FORMAT=MLN","Sort=A","Dates=H","DateFormat=P","Fill=—","Direction=H","UseDPDF=Y")</f>
        <v>87.497</v>
      </c>
      <c r="W11" s="13">
        <f>_xll.BDH("ALNY US Equity","OTHER_NON_CASH_ADJ_LESS_DETAILED","FQ4 2023","FQ4 2023","Currency=USD","Period=FQ","BEST_FPERIOD_OVERRIDE=FQ","FILING_STATUS=MR","SCALING_FORMAT=MLN","Sort=A","Dates=H","DateFormat=P","Fill=—","Direction=H","UseDPDF=Y")</f>
        <v>104.66800000000001</v>
      </c>
      <c r="X11" s="13">
        <f>_xll.BDH("ALNY US Equity","OTHER_NON_CASH_ADJ_LESS_DETAILED","FQ1 2024","FQ1 2024","Currency=USD","Period=FQ","BEST_FPERIOD_OVERRIDE=FQ","FILING_STATUS=MR","SCALING_FORMAT=MLN","Sort=A","Dates=H","DateFormat=P","Fill=—","Direction=H","UseDPDF=Y")</f>
        <v>17.18</v>
      </c>
      <c r="Y11" s="13">
        <f>_xll.BDH("ALNY US Equity","OTHER_NON_CASH_ADJ_LESS_DETAILED","FQ2 2024","FQ2 2024","Currency=USD","Period=FQ","BEST_FPERIOD_OVERRIDE=FQ","FILING_STATUS=MR","SCALING_FORMAT=MLN","Sort=A","Dates=H","DateFormat=P","Fill=—","Direction=H","UseDPDF=Y")</f>
        <v>70.284000000000006</v>
      </c>
      <c r="Z11" s="13">
        <f>_xll.BDH("ALNY US Equity","OTHER_NON_CASH_ADJ_LESS_DETAILED","FQ3 2024","FQ3 2024","Currency=USD","Period=FQ","BEST_FPERIOD_OVERRIDE=FQ","FILING_STATUS=MR","SCALING_FORMAT=MLN","Sort=A","Dates=H","DateFormat=P","Fill=—","Direction=H","UseDPDF=Y")</f>
        <v>37.659999999999997</v>
      </c>
      <c r="AA11" s="13">
        <f>_xll.BDH("ALNY US Equity","OTHER_NON_CASH_ADJ_LESS_DETAILED","FQ4 2024","FQ4 2024","Currency=USD","Period=FQ","BEST_FPERIOD_OVERRIDE=FQ","FILING_STATUS=MR","SCALING_FORMAT=MLN","Sort=A","Dates=H","DateFormat=P","Fill=—","Direction=H","UseDPDF=Y")</f>
        <v>86.43</v>
      </c>
    </row>
    <row r="12" spans="1:27" x14ac:dyDescent="0.25">
      <c r="A12" s="10" t="s">
        <v>1175</v>
      </c>
      <c r="B12" s="10" t="s">
        <v>1176</v>
      </c>
      <c r="C12" s="13">
        <f>_xll.BDH("ALNY US Equity","CF_CHNG_NON_CASH_WORK_CAP","FQ4 2018","FQ4 2018","Currency=USD","Period=FQ","BEST_FPERIOD_OVERRIDE=FQ","FILING_STATUS=MR","SCALING_FORMAT=MLN","Sort=A","Dates=H","DateFormat=P","Fill=—","Direction=H","UseDPDF=Y")</f>
        <v>20.498999999999999</v>
      </c>
      <c r="D12" s="13">
        <f>_xll.BDH("ALNY US Equity","CF_CHNG_NON_CASH_WORK_CAP","FQ1 2019","FQ1 2019","Currency=USD","Period=FQ","BEST_FPERIOD_OVERRIDE=FQ","FILING_STATUS=MR","SCALING_FORMAT=MLN","Sort=A","Dates=H","DateFormat=P","Fill=—","Direction=H","UseDPDF=Y")</f>
        <v>-64.290999999999997</v>
      </c>
      <c r="E12" s="13">
        <f>_xll.BDH("ALNY US Equity","CF_CHNG_NON_CASH_WORK_CAP","FQ2 2019","FQ2 2019","Currency=USD","Period=FQ","BEST_FPERIOD_OVERRIDE=FQ","FILING_STATUS=MR","SCALING_FORMAT=MLN","Sort=A","Dates=H","DateFormat=P","Fill=—","Direction=H","UseDPDF=Y")</f>
        <v>459.72699999999998</v>
      </c>
      <c r="F12" s="13">
        <f>_xll.BDH("ALNY US Equity","CF_CHNG_NON_CASH_WORK_CAP","FQ3 2019","FQ3 2019","Currency=USD","Period=FQ","BEST_FPERIOD_OVERRIDE=FQ","FILING_STATUS=MR","SCALING_FORMAT=MLN","Sort=A","Dates=H","DateFormat=P","Fill=—","Direction=H","UseDPDF=Y")</f>
        <v>-34.697000000000003</v>
      </c>
      <c r="G12" s="13">
        <f>_xll.BDH("ALNY US Equity","CF_CHNG_NON_CASH_WORK_CAP","FQ4 2019","FQ4 2019","Currency=USD","Period=FQ","BEST_FPERIOD_OVERRIDE=FQ","FILING_STATUS=MR","SCALING_FORMAT=MLN","Sort=A","Dates=H","DateFormat=P","Fill=—","Direction=H","UseDPDF=Y")</f>
        <v>-47.179000000000002</v>
      </c>
      <c r="H12" s="13">
        <f>_xll.BDH("ALNY US Equity","CF_CHNG_NON_CASH_WORK_CAP","FQ1 2020","FQ1 2020","Currency=USD","Period=FQ","BEST_FPERIOD_OVERRIDE=FQ","FILING_STATUS=MR","SCALING_FORMAT=MLN","Sort=A","Dates=H","DateFormat=P","Fill=—","Direction=H","UseDPDF=Y")</f>
        <v>-68.822000000000003</v>
      </c>
      <c r="I12" s="13">
        <f>_xll.BDH("ALNY US Equity","CF_CHNG_NON_CASH_WORK_CAP","FQ2 2020","FQ2 2020","Currency=USD","Period=FQ","BEST_FPERIOD_OVERRIDE=FQ","FILING_STATUS=MR","SCALING_FORMAT=MLN","Sort=A","Dates=H","DateFormat=P","Fill=—","Direction=H","UseDPDF=Y")</f>
        <v>-2.105</v>
      </c>
      <c r="J12" s="13">
        <f>_xll.BDH("ALNY US Equity","CF_CHNG_NON_CASH_WORK_CAP","FQ3 2020","FQ3 2020","Currency=USD","Period=FQ","BEST_FPERIOD_OVERRIDE=FQ","FILING_STATUS=MR","SCALING_FORMAT=MLN","Sort=A","Dates=H","DateFormat=P","Fill=—","Direction=H","UseDPDF=Y")</f>
        <v>-3.2639999999999998</v>
      </c>
      <c r="K12" s="13">
        <f>_xll.BDH("ALNY US Equity","CF_CHNG_NON_CASH_WORK_CAP","FQ4 2020","FQ4 2020","Currency=USD","Period=FQ","BEST_FPERIOD_OVERRIDE=FQ","FILING_STATUS=MR","SCALING_FORMAT=MLN","Sort=A","Dates=H","DateFormat=P","Fill=—","Direction=H","UseDPDF=Y")</f>
        <v>-46.206000000000003</v>
      </c>
      <c r="L12" s="13">
        <f>_xll.BDH("ALNY US Equity","CF_CHNG_NON_CASH_WORK_CAP","FQ1 2021","FQ1 2021","Currency=USD","Period=FQ","BEST_FPERIOD_OVERRIDE=FQ","FILING_STATUS=MR","SCALING_FORMAT=MLN","Sort=A","Dates=H","DateFormat=P","Fill=—","Direction=H","UseDPDF=Y")</f>
        <v>-116.806</v>
      </c>
      <c r="M12" s="13">
        <f>_xll.BDH("ALNY US Equity","CF_CHNG_NON_CASH_WORK_CAP","FQ2 2021","FQ2 2021","Currency=USD","Period=FQ","BEST_FPERIOD_OVERRIDE=FQ","FILING_STATUS=MR","SCALING_FORMAT=MLN","Sort=A","Dates=H","DateFormat=P","Fill=—","Direction=H","UseDPDF=Y")</f>
        <v>-13.598000000000001</v>
      </c>
      <c r="N12" s="13">
        <f>_xll.BDH("ALNY US Equity","CF_CHNG_NON_CASH_WORK_CAP","FQ3 2021","FQ3 2021","Currency=USD","Period=FQ","BEST_FPERIOD_OVERRIDE=FQ","FILING_STATUS=MR","SCALING_FORMAT=MLN","Sort=A","Dates=H","DateFormat=P","Fill=—","Direction=H","UseDPDF=Y")</f>
        <v>-36.46</v>
      </c>
      <c r="O12" s="13">
        <f>_xll.BDH("ALNY US Equity","CF_CHNG_NON_CASH_WORK_CAP","FQ4 2021","FQ4 2021","Currency=USD","Period=FQ","BEST_FPERIOD_OVERRIDE=FQ","FILING_STATUS=MR","SCALING_FORMAT=MLN","Sort=A","Dates=H","DateFormat=P","Fill=—","Direction=H","UseDPDF=Y")</f>
        <v>-43.847000000000001</v>
      </c>
      <c r="P12" s="13">
        <f>_xll.BDH("ALNY US Equity","CF_CHNG_NON_CASH_WORK_CAP","FQ1 2022","FQ1 2022","Currency=USD","Period=FQ","BEST_FPERIOD_OVERRIDE=FQ","FILING_STATUS=MR","SCALING_FORMAT=MLN","Sort=A","Dates=H","DateFormat=P","Fill=—","Direction=H","UseDPDF=Y")</f>
        <v>-0.55500000000000005</v>
      </c>
      <c r="Q12" s="13">
        <f>_xll.BDH("ALNY US Equity","CF_CHNG_NON_CASH_WORK_CAP","FQ2 2022","FQ2 2022","Currency=USD","Period=FQ","BEST_FPERIOD_OVERRIDE=FQ","FILING_STATUS=MR","SCALING_FORMAT=MLN","Sort=A","Dates=H","DateFormat=P","Fill=—","Direction=H","UseDPDF=Y")</f>
        <v>44.192999999999998</v>
      </c>
      <c r="R12" s="13">
        <f>_xll.BDH("ALNY US Equity","CF_CHNG_NON_CASH_WORK_CAP","FQ3 2022","FQ3 2022","Currency=USD","Period=FQ","BEST_FPERIOD_OVERRIDE=FQ","FILING_STATUS=MR","SCALING_FORMAT=MLN","Sort=A","Dates=H","DateFormat=P","Fill=—","Direction=H","UseDPDF=Y")</f>
        <v>-122.95</v>
      </c>
      <c r="S12" s="13">
        <f>_xll.BDH("ALNY US Equity","CF_CHNG_NON_CASH_WORK_CAP","FQ4 2022","FQ4 2022","Currency=USD","Period=FQ","BEST_FPERIOD_OVERRIDE=FQ","FILING_STATUS=MR","SCALING_FORMAT=MLN","Sort=A","Dates=H","DateFormat=P","Fill=—","Direction=H","UseDPDF=Y")</f>
        <v>-104.839</v>
      </c>
      <c r="T12" s="13">
        <f>_xll.BDH("ALNY US Equity","CF_CHNG_NON_CASH_WORK_CAP","FQ1 2023","FQ1 2023","Currency=USD","Period=FQ","BEST_FPERIOD_OVERRIDE=FQ","FILING_STATUS=MR","SCALING_FORMAT=MLN","Sort=A","Dates=H","DateFormat=P","Fill=—","Direction=H","UseDPDF=Y")</f>
        <v>8.6649999999999991</v>
      </c>
      <c r="U12" s="13">
        <f>_xll.BDH("ALNY US Equity","CF_CHNG_NON_CASH_WORK_CAP","FQ2 2023","FQ2 2023","Currency=USD","Period=FQ","BEST_FPERIOD_OVERRIDE=FQ","FILING_STATUS=MR","SCALING_FORMAT=MLN","Sort=A","Dates=H","DateFormat=P","Fill=—","Direction=H","UseDPDF=Y")</f>
        <v>-6.3769999999999998</v>
      </c>
      <c r="V12" s="13">
        <f>_xll.BDH("ALNY US Equity","CF_CHNG_NON_CASH_WORK_CAP","FQ3 2023","FQ3 2023","Currency=USD","Period=FQ","BEST_FPERIOD_OVERRIDE=FQ","FILING_STATUS=MR","SCALING_FORMAT=MLN","Sort=A","Dates=H","DateFormat=P","Fill=—","Direction=H","UseDPDF=Y")</f>
        <v>36.692999999999998</v>
      </c>
      <c r="W12" s="13">
        <f>_xll.BDH("ALNY US Equity","CF_CHNG_NON_CASH_WORK_CAP","FQ4 2023","FQ4 2023","Currency=USD","Period=FQ","BEST_FPERIOD_OVERRIDE=FQ","FILING_STATUS=MR","SCALING_FORMAT=MLN","Sort=A","Dates=H","DateFormat=P","Fill=—","Direction=H","UseDPDF=Y")</f>
        <v>-62.56</v>
      </c>
      <c r="X12" s="13">
        <f>_xll.BDH("ALNY US Equity","CF_CHNG_NON_CASH_WORK_CAP","FQ1 2024","FQ1 2024","Currency=USD","Period=FQ","BEST_FPERIOD_OVERRIDE=FQ","FILING_STATUS=MR","SCALING_FORMAT=MLN","Sort=A","Dates=H","DateFormat=P","Fill=—","Direction=H","UseDPDF=Y")</f>
        <v>-103.593</v>
      </c>
      <c r="Y12" s="13">
        <f>_xll.BDH("ALNY US Equity","CF_CHNG_NON_CASH_WORK_CAP","FQ2 2024","FQ2 2024","Currency=USD","Period=FQ","BEST_FPERIOD_OVERRIDE=FQ","FILING_STATUS=MR","SCALING_FORMAT=MLN","Sort=A","Dates=H","DateFormat=P","Fill=—","Direction=H","UseDPDF=Y")</f>
        <v>-43.216999999999999</v>
      </c>
      <c r="Z12" s="13">
        <f>_xll.BDH("ALNY US Equity","CF_CHNG_NON_CASH_WORK_CAP","FQ3 2024","FQ3 2024","Currency=USD","Period=FQ","BEST_FPERIOD_OVERRIDE=FQ","FILING_STATUS=MR","SCALING_FORMAT=MLN","Sort=A","Dates=H","DateFormat=P","Fill=—","Direction=H","UseDPDF=Y")</f>
        <v>44.774999999999999</v>
      </c>
      <c r="AA12" s="13">
        <f>_xll.BDH("ALNY US Equity","CF_CHNG_NON_CASH_WORK_CAP","FQ4 2024","FQ4 2024","Currency=USD","Period=FQ","BEST_FPERIOD_OVERRIDE=FQ","FILING_STATUS=MR","SCALING_FORMAT=MLN","Sort=A","Dates=H","DateFormat=P","Fill=—","Direction=H","UseDPDF=Y")</f>
        <v>-203.142</v>
      </c>
    </row>
    <row r="13" spans="1:27" x14ac:dyDescent="0.25">
      <c r="A13" s="10" t="s">
        <v>1177</v>
      </c>
      <c r="B13" s="10" t="s">
        <v>1178</v>
      </c>
      <c r="C13" s="13">
        <f>_xll.BDH("ALNY US Equity","CF_ACCT_RCV_UNBILLED_REV","FQ4 2018","FQ4 2018","Currency=USD","Period=FQ","BEST_FPERIOD_OVERRIDE=FQ","FILING_STATUS=MR","SCALING_FORMAT=MLN","Sort=A","Dates=H","DateFormat=P","Fill=—","Direction=H","UseDPDF=Y")</f>
        <v>-15.398</v>
      </c>
      <c r="D13" s="13">
        <f>_xll.BDH("ALNY US Equity","CF_ACCT_RCV_UNBILLED_REV","FQ1 2019","FQ1 2019","Currency=USD","Period=FQ","BEST_FPERIOD_OVERRIDE=FQ","FILING_STATUS=MR","SCALING_FORMAT=MLN","Sort=A","Dates=H","DateFormat=P","Fill=—","Direction=H","UseDPDF=Y")</f>
        <v>-15.041</v>
      </c>
      <c r="E13" s="13">
        <f>_xll.BDH("ALNY US Equity","CF_ACCT_RCV_UNBILLED_REV","FQ2 2019","FQ2 2019","Currency=USD","Period=FQ","BEST_FPERIOD_OVERRIDE=FQ","FILING_STATUS=MR","SCALING_FORMAT=MLN","Sort=A","Dates=H","DateFormat=P","Fill=—","Direction=H","UseDPDF=Y")</f>
        <v>3.1070000000000002</v>
      </c>
      <c r="F13" s="13">
        <f>_xll.BDH("ALNY US Equity","CF_ACCT_RCV_UNBILLED_REV","FQ3 2019","FQ3 2019","Currency=USD","Period=FQ","BEST_FPERIOD_OVERRIDE=FQ","FILING_STATUS=MR","SCALING_FORMAT=MLN","Sort=A","Dates=H","DateFormat=P","Fill=—","Direction=H","UseDPDF=Y")</f>
        <v>-17.783000000000001</v>
      </c>
      <c r="G13" s="13">
        <f>_xll.BDH("ALNY US Equity","CF_ACCT_RCV_UNBILLED_REV","FQ4 2019","FQ4 2019","Currency=USD","Period=FQ","BEST_FPERIOD_OVERRIDE=FQ","FILING_STATUS=MR","SCALING_FORMAT=MLN","Sort=A","Dates=H","DateFormat=P","Fill=—","Direction=H","UseDPDF=Y")</f>
        <v>5.4790000000000001</v>
      </c>
      <c r="H13" s="13">
        <f>_xll.BDH("ALNY US Equity","CF_ACCT_RCV_UNBILLED_REV","FQ1 2020","FQ1 2020","Currency=USD","Period=FQ","BEST_FPERIOD_OVERRIDE=FQ","FILING_STATUS=MR","SCALING_FORMAT=MLN","Sort=A","Dates=H","DateFormat=P","Fill=—","Direction=H","UseDPDF=Y")</f>
        <v>-32.881999999999998</v>
      </c>
      <c r="I13" s="13">
        <f>_xll.BDH("ALNY US Equity","CF_ACCT_RCV_UNBILLED_REV","FQ2 2020","FQ2 2020","Currency=USD","Period=FQ","BEST_FPERIOD_OVERRIDE=FQ","FILING_STATUS=MR","SCALING_FORMAT=MLN","Sort=A","Dates=H","DateFormat=P","Fill=—","Direction=H","UseDPDF=Y")</f>
        <v>6.7830000000000004</v>
      </c>
      <c r="J13" s="13">
        <f>_xll.BDH("ALNY US Equity","CF_ACCT_RCV_UNBILLED_REV","FQ3 2020","FQ3 2020","Currency=USD","Period=FQ","BEST_FPERIOD_OVERRIDE=FQ","FILING_STATUS=MR","SCALING_FORMAT=MLN","Sort=A","Dates=H","DateFormat=P","Fill=—","Direction=H","UseDPDF=Y")</f>
        <v>-8.9710000000000001</v>
      </c>
      <c r="K13" s="13">
        <f>_xll.BDH("ALNY US Equity","CF_ACCT_RCV_UNBILLED_REV","FQ4 2020","FQ4 2020","Currency=USD","Period=FQ","BEST_FPERIOD_OVERRIDE=FQ","FILING_STATUS=MR","SCALING_FORMAT=MLN","Sort=A","Dates=H","DateFormat=P","Fill=—","Direction=H","UseDPDF=Y")</f>
        <v>-21.166</v>
      </c>
      <c r="L13" s="13">
        <f>_xll.BDH("ALNY US Equity","CF_ACCT_RCV_UNBILLED_REV","FQ1 2021","FQ1 2021","Currency=USD","Period=FQ","BEST_FPERIOD_OVERRIDE=FQ","FILING_STATUS=MR","SCALING_FORMAT=MLN","Sort=A","Dates=H","DateFormat=P","Fill=—","Direction=H","UseDPDF=Y")</f>
        <v>-10.709</v>
      </c>
      <c r="M13" s="13">
        <f>_xll.BDH("ALNY US Equity","CF_ACCT_RCV_UNBILLED_REV","FQ2 2021","FQ2 2021","Currency=USD","Period=FQ","BEST_FPERIOD_OVERRIDE=FQ","FILING_STATUS=MR","SCALING_FORMAT=MLN","Sort=A","Dates=H","DateFormat=P","Fill=—","Direction=H","UseDPDF=Y")</f>
        <v>-35.311</v>
      </c>
      <c r="N13" s="13">
        <f>_xll.BDH("ALNY US Equity","CF_ACCT_RCV_UNBILLED_REV","FQ3 2021","FQ3 2021","Currency=USD","Period=FQ","BEST_FPERIOD_OVERRIDE=FQ","FILING_STATUS=MR","SCALING_FORMAT=MLN","Sort=A","Dates=H","DateFormat=P","Fill=—","Direction=H","UseDPDF=Y")</f>
        <v>3.67</v>
      </c>
      <c r="O13" s="13">
        <f>_xll.BDH("ALNY US Equity","CF_ACCT_RCV_UNBILLED_REV","FQ4 2021","FQ4 2021","Currency=USD","Period=FQ","BEST_FPERIOD_OVERRIDE=FQ","FILING_STATUS=MR","SCALING_FORMAT=MLN","Sort=A","Dates=H","DateFormat=P","Fill=—","Direction=H","UseDPDF=Y")</f>
        <v>-59.448999999999998</v>
      </c>
      <c r="P13" s="13">
        <f>_xll.BDH("ALNY US Equity","CF_ACCT_RCV_UNBILLED_REV","FQ1 2022","FQ1 2022","Currency=USD","Period=FQ","BEST_FPERIOD_OVERRIDE=FQ","FILING_STATUS=MR","SCALING_FORMAT=MLN","Sort=A","Dates=H","DateFormat=P","Fill=—","Direction=H","UseDPDF=Y")</f>
        <v>39.695999999999998</v>
      </c>
      <c r="Q13" s="13">
        <f>_xll.BDH("ALNY US Equity","CF_ACCT_RCV_UNBILLED_REV","FQ2 2022","FQ2 2022","Currency=USD","Period=FQ","BEST_FPERIOD_OVERRIDE=FQ","FILING_STATUS=MR","SCALING_FORMAT=MLN","Sort=A","Dates=H","DateFormat=P","Fill=—","Direction=H","UseDPDF=Y")</f>
        <v>6.399</v>
      </c>
      <c r="R13" s="13">
        <f>_xll.BDH("ALNY US Equity","CF_ACCT_RCV_UNBILLED_REV","FQ3 2022","FQ3 2022","Currency=USD","Period=FQ","BEST_FPERIOD_OVERRIDE=FQ","FILING_STATUS=MR","SCALING_FORMAT=MLN","Sort=A","Dates=H","DateFormat=P","Fill=—","Direction=H","UseDPDF=Y")</f>
        <v>-38.423000000000002</v>
      </c>
      <c r="S13" s="13">
        <f>_xll.BDH("ALNY US Equity","CF_ACCT_RCV_UNBILLED_REV","FQ4 2022","FQ4 2022","Currency=USD","Period=FQ","BEST_FPERIOD_OVERRIDE=FQ","FILING_STATUS=MR","SCALING_FORMAT=MLN","Sort=A","Dates=H","DateFormat=P","Fill=—","Direction=H","UseDPDF=Y")</f>
        <v>-53.268999999999998</v>
      </c>
      <c r="T13" s="13">
        <f>_xll.BDH("ALNY US Equity","CF_ACCT_RCV_UNBILLED_REV","FQ1 2023","FQ1 2023","Currency=USD","Period=FQ","BEST_FPERIOD_OVERRIDE=FQ","FILING_STATUS=MR","SCALING_FORMAT=MLN","Sort=A","Dates=H","DateFormat=P","Fill=—","Direction=H","UseDPDF=Y")</f>
        <v>19.152999999999999</v>
      </c>
      <c r="U13" s="13">
        <f>_xll.BDH("ALNY US Equity","CF_ACCT_RCV_UNBILLED_REV","FQ2 2023","FQ2 2023","Currency=USD","Period=FQ","BEST_FPERIOD_OVERRIDE=FQ","FILING_STATUS=MR","SCALING_FORMAT=MLN","Sort=A","Dates=H","DateFormat=P","Fill=—","Direction=H","UseDPDF=Y")</f>
        <v>-2.97</v>
      </c>
      <c r="V13" s="13">
        <f>_xll.BDH("ALNY US Equity","CF_ACCT_RCV_UNBILLED_REV","FQ3 2023","FQ3 2023","Currency=USD","Period=FQ","BEST_FPERIOD_OVERRIDE=FQ","FILING_STATUS=MR","SCALING_FORMAT=MLN","Sort=A","Dates=H","DateFormat=P","Fill=—","Direction=H","UseDPDF=Y")</f>
        <v>-107.991</v>
      </c>
      <c r="W13" s="13">
        <f>_xll.BDH("ALNY US Equity","CF_ACCT_RCV_UNBILLED_REV","FQ4 2023","FQ4 2023","Currency=USD","Period=FQ","BEST_FPERIOD_OVERRIDE=FQ","FILING_STATUS=MR","SCALING_FORMAT=MLN","Sort=A","Dates=H","DateFormat=P","Fill=—","Direction=H","UseDPDF=Y")</f>
        <v>3.8690000000000002</v>
      </c>
      <c r="X13" s="13">
        <f>_xll.BDH("ALNY US Equity","CF_ACCT_RCV_UNBILLED_REV","FQ1 2024","FQ1 2024","Currency=USD","Period=FQ","BEST_FPERIOD_OVERRIDE=FQ","FILING_STATUS=MR","SCALING_FORMAT=MLN","Sort=A","Dates=H","DateFormat=P","Fill=—","Direction=H","UseDPDF=Y")</f>
        <v>0.41</v>
      </c>
      <c r="Y13" s="13">
        <f>_xll.BDH("ALNY US Equity","CF_ACCT_RCV_UNBILLED_REV","FQ2 2024","FQ2 2024","Currency=USD","Period=FQ","BEST_FPERIOD_OVERRIDE=FQ","FILING_STATUS=MR","SCALING_FORMAT=MLN","Sort=A","Dates=H","DateFormat=P","Fill=—","Direction=H","UseDPDF=Y")</f>
        <v>9.64</v>
      </c>
      <c r="Z13" s="13">
        <f>_xll.BDH("ALNY US Equity","CF_ACCT_RCV_UNBILLED_REV","FQ3 2024","FQ3 2024","Currency=USD","Period=FQ","BEST_FPERIOD_OVERRIDE=FQ","FILING_STATUS=MR","SCALING_FORMAT=MLN","Sort=A","Dates=H","DateFormat=P","Fill=—","Direction=H","UseDPDF=Y")</f>
        <v>-37.091999999999999</v>
      </c>
      <c r="AA13" s="13">
        <f>_xll.BDH("ALNY US Equity","CF_ACCT_RCV_UNBILLED_REV","FQ4 2024","FQ4 2024","Currency=USD","Period=FQ","BEST_FPERIOD_OVERRIDE=FQ","FILING_STATUS=MR","SCALING_FORMAT=MLN","Sort=A","Dates=H","DateFormat=P","Fill=—","Direction=H","UseDPDF=Y")</f>
        <v>-59.508000000000003</v>
      </c>
    </row>
    <row r="14" spans="1:27" x14ac:dyDescent="0.25">
      <c r="A14" s="10" t="s">
        <v>1179</v>
      </c>
      <c r="B14" s="10" t="s">
        <v>1180</v>
      </c>
      <c r="C14" s="13">
        <f>_xll.BDH("ALNY US Equity","CF_CHANGE_IN_INVENTORIES","FQ4 2018","FQ4 2018","Currency=USD","Period=FQ","BEST_FPERIOD_OVERRIDE=FQ","FILING_STATUS=MR","SCALING_FORMAT=MLN","Sort=A","Dates=H","DateFormat=P","Fill=—","Direction=H","UseDPDF=Y")</f>
        <v>-12.291</v>
      </c>
      <c r="D14" s="13">
        <f>_xll.BDH("ALNY US Equity","CF_CHANGE_IN_INVENTORIES","FQ1 2019","FQ1 2019","Currency=USD","Period=FQ","BEST_FPERIOD_OVERRIDE=FQ","FILING_STATUS=MR","SCALING_FORMAT=MLN","Sort=A","Dates=H","DateFormat=P","Fill=—","Direction=H","UseDPDF=Y")</f>
        <v>-7.1340000000000003</v>
      </c>
      <c r="E14" s="13">
        <f>_xll.BDH("ALNY US Equity","CF_CHANGE_IN_INVENTORIES","FQ2 2019","FQ2 2019","Currency=USD","Period=FQ","BEST_FPERIOD_OVERRIDE=FQ","FILING_STATUS=MR","SCALING_FORMAT=MLN","Sort=A","Dates=H","DateFormat=P","Fill=—","Direction=H","UseDPDF=Y")</f>
        <v>-7.9059999999999997</v>
      </c>
      <c r="F14" s="13">
        <f>_xll.BDH("ALNY US Equity","CF_CHANGE_IN_INVENTORIES","FQ3 2019","FQ3 2019","Currency=USD","Period=FQ","BEST_FPERIOD_OVERRIDE=FQ","FILING_STATUS=MR","SCALING_FORMAT=MLN","Sort=A","Dates=H","DateFormat=P","Fill=—","Direction=H","UseDPDF=Y")</f>
        <v>-13.055</v>
      </c>
      <c r="G14" s="13">
        <f>_xll.BDH("ALNY US Equity","CF_CHANGE_IN_INVENTORIES","FQ4 2019","FQ4 2019","Currency=USD","Period=FQ","BEST_FPERIOD_OVERRIDE=FQ","FILING_STATUS=MR","SCALING_FORMAT=MLN","Sort=A","Dates=H","DateFormat=P","Fill=—","Direction=H","UseDPDF=Y")</f>
        <v>-4.3159999999999998</v>
      </c>
      <c r="H14" s="13">
        <f>_xll.BDH("ALNY US Equity","CF_CHANGE_IN_INVENTORIES","FQ1 2020","FQ1 2020","Currency=USD","Period=FQ","BEST_FPERIOD_OVERRIDE=FQ","FILING_STATUS=MR","SCALING_FORMAT=MLN","Sort=A","Dates=H","DateFormat=P","Fill=—","Direction=H","UseDPDF=Y")</f>
        <v>-11.952</v>
      </c>
      <c r="I14" s="13">
        <f>_xll.BDH("ALNY US Equity","CF_CHANGE_IN_INVENTORIES","FQ2 2020","FQ2 2020","Currency=USD","Period=FQ","BEST_FPERIOD_OVERRIDE=FQ","FILING_STATUS=MR","SCALING_FORMAT=MLN","Sort=A","Dates=H","DateFormat=P","Fill=—","Direction=H","UseDPDF=Y")</f>
        <v>-12.226000000000001</v>
      </c>
      <c r="J14" s="13">
        <f>_xll.BDH("ALNY US Equity","CF_CHANGE_IN_INVENTORIES","FQ3 2020","FQ3 2020","Currency=USD","Period=FQ","BEST_FPERIOD_OVERRIDE=FQ","FILING_STATUS=MR","SCALING_FORMAT=MLN","Sort=A","Dates=H","DateFormat=P","Fill=—","Direction=H","UseDPDF=Y")</f>
        <v>-2.7839999999999998</v>
      </c>
      <c r="K14" s="13">
        <f>_xll.BDH("ALNY US Equity","CF_CHANGE_IN_INVENTORIES","FQ4 2020","FQ4 2020","Currency=USD","Period=FQ","BEST_FPERIOD_OVERRIDE=FQ","FILING_STATUS=MR","SCALING_FORMAT=MLN","Sort=A","Dates=H","DateFormat=P","Fill=—","Direction=H","UseDPDF=Y")</f>
        <v>-8.4640000000000004</v>
      </c>
      <c r="L14" s="13">
        <f>_xll.BDH("ALNY US Equity","CF_CHANGE_IN_INVENTORIES","FQ1 2021","FQ1 2021","Currency=USD","Period=FQ","BEST_FPERIOD_OVERRIDE=FQ","FILING_STATUS=MR","SCALING_FORMAT=MLN","Sort=A","Dates=H","DateFormat=P","Fill=—","Direction=H","UseDPDF=Y")</f>
        <v>1.9339999999999999</v>
      </c>
      <c r="M14" s="13">
        <f>_xll.BDH("ALNY US Equity","CF_CHANGE_IN_INVENTORIES","FQ2 2021","FQ2 2021","Currency=USD","Period=FQ","BEST_FPERIOD_OVERRIDE=FQ","FILING_STATUS=MR","SCALING_FORMAT=MLN","Sort=A","Dates=H","DateFormat=P","Fill=—","Direction=H","UseDPDF=Y")</f>
        <v>-3.9550000000000001</v>
      </c>
      <c r="N14" s="13">
        <f>_xll.BDH("ALNY US Equity","CF_CHANGE_IN_INVENTORIES","FQ3 2021","FQ3 2021","Currency=USD","Period=FQ","BEST_FPERIOD_OVERRIDE=FQ","FILING_STATUS=MR","SCALING_FORMAT=MLN","Sort=A","Dates=H","DateFormat=P","Fill=—","Direction=H","UseDPDF=Y")</f>
        <v>-13.634</v>
      </c>
      <c r="O14" s="13">
        <f>_xll.BDH("ALNY US Equity","CF_CHANGE_IN_INVENTORIES","FQ4 2021","FQ4 2021","Currency=USD","Period=FQ","BEST_FPERIOD_OVERRIDE=FQ","FILING_STATUS=MR","SCALING_FORMAT=MLN","Sort=A","Dates=H","DateFormat=P","Fill=—","Direction=H","UseDPDF=Y")</f>
        <v>-10.76</v>
      </c>
      <c r="P14" s="13">
        <f>_xll.BDH("ALNY US Equity","CF_CHANGE_IN_INVENTORIES","FQ1 2022","FQ1 2022","Currency=USD","Period=FQ","BEST_FPERIOD_OVERRIDE=FQ","FILING_STATUS=MR","SCALING_FORMAT=MLN","Sort=A","Dates=H","DateFormat=P","Fill=—","Direction=H","UseDPDF=Y")</f>
        <v>1.9259999999999999</v>
      </c>
      <c r="Q14" s="13">
        <f>_xll.BDH("ALNY US Equity","CF_CHANGE_IN_INVENTORIES","FQ2 2022","FQ2 2022","Currency=USD","Period=FQ","BEST_FPERIOD_OVERRIDE=FQ","FILING_STATUS=MR","SCALING_FORMAT=MLN","Sort=A","Dates=H","DateFormat=P","Fill=—","Direction=H","UseDPDF=Y")</f>
        <v>-9.1999999999999993</v>
      </c>
      <c r="R14" s="13">
        <f>_xll.BDH("ALNY US Equity","CF_CHANGE_IN_INVENTORIES","FQ3 2022","FQ3 2022","Currency=USD","Period=FQ","BEST_FPERIOD_OVERRIDE=FQ","FILING_STATUS=MR","SCALING_FORMAT=MLN","Sort=A","Dates=H","DateFormat=P","Fill=—","Direction=H","UseDPDF=Y")</f>
        <v>-7.8840000000000003</v>
      </c>
      <c r="S14" s="13">
        <f>_xll.BDH("ALNY US Equity","CF_CHANGE_IN_INVENTORIES","FQ4 2022","FQ4 2022","Currency=USD","Period=FQ","BEST_FPERIOD_OVERRIDE=FQ","FILING_STATUS=MR","SCALING_FORMAT=MLN","Sort=A","Dates=H","DateFormat=P","Fill=—","Direction=H","UseDPDF=Y")</f>
        <v>-18.978000000000002</v>
      </c>
      <c r="T14" s="13">
        <f>_xll.BDH("ALNY US Equity","CF_CHANGE_IN_INVENTORIES","FQ1 2023","FQ1 2023","Currency=USD","Period=FQ","BEST_FPERIOD_OVERRIDE=FQ","FILING_STATUS=MR","SCALING_FORMAT=MLN","Sort=A","Dates=H","DateFormat=P","Fill=—","Direction=H","UseDPDF=Y")</f>
        <v>-0.40300000000000002</v>
      </c>
      <c r="U14" s="13">
        <f>_xll.BDH("ALNY US Equity","CF_CHANGE_IN_INVENTORIES","FQ2 2023","FQ2 2023","Currency=USD","Period=FQ","BEST_FPERIOD_OVERRIDE=FQ","FILING_STATUS=MR","SCALING_FORMAT=MLN","Sort=A","Dates=H","DateFormat=P","Fill=—","Direction=H","UseDPDF=Y")</f>
        <v>1.9850000000000001</v>
      </c>
      <c r="V14" s="13">
        <f>_xll.BDH("ALNY US Equity","CF_CHANGE_IN_INVENTORIES","FQ3 2023","FQ3 2023","Currency=USD","Period=FQ","BEST_FPERIOD_OVERRIDE=FQ","FILING_STATUS=MR","SCALING_FORMAT=MLN","Sort=A","Dates=H","DateFormat=P","Fill=—","Direction=H","UseDPDF=Y")</f>
        <v>4.7949999999999999</v>
      </c>
      <c r="W14" s="13">
        <f>_xll.BDH("ALNY US Equity","CF_CHANGE_IN_INVENTORIES","FQ4 2023","FQ4 2023","Currency=USD","Period=FQ","BEST_FPERIOD_OVERRIDE=FQ","FILING_STATUS=MR","SCALING_FORMAT=MLN","Sort=A","Dates=H","DateFormat=P","Fill=—","Direction=H","UseDPDF=Y")</f>
        <v>11.99</v>
      </c>
      <c r="X14" s="13">
        <f>_xll.BDH("ALNY US Equity","CF_CHANGE_IN_INVENTORIES","FQ1 2024","FQ1 2024","Currency=USD","Period=FQ","BEST_FPERIOD_OVERRIDE=FQ","FILING_STATUS=MR","SCALING_FORMAT=MLN","Sort=A","Dates=H","DateFormat=P","Fill=—","Direction=H","UseDPDF=Y")</f>
        <v>2.1999999999999999E-2</v>
      </c>
      <c r="Y14" s="13">
        <f>_xll.BDH("ALNY US Equity","CF_CHANGE_IN_INVENTORIES","FQ2 2024","FQ2 2024","Currency=USD","Period=FQ","BEST_FPERIOD_OVERRIDE=FQ","FILING_STATUS=MR","SCALING_FORMAT=MLN","Sort=A","Dates=H","DateFormat=P","Fill=—","Direction=H","UseDPDF=Y")</f>
        <v>6.7939999999999996</v>
      </c>
      <c r="Z14" s="13">
        <f>_xll.BDH("ALNY US Equity","CF_CHANGE_IN_INVENTORIES","FQ3 2024","FQ3 2024","Currency=USD","Period=FQ","BEST_FPERIOD_OVERRIDE=FQ","FILING_STATUS=MR","SCALING_FORMAT=MLN","Sort=A","Dates=H","DateFormat=P","Fill=—","Direction=H","UseDPDF=Y")</f>
        <v>5.9249999999999998</v>
      </c>
      <c r="AA14" s="13">
        <f>_xll.BDH("ALNY US Equity","CF_CHANGE_IN_INVENTORIES","FQ4 2024","FQ4 2024","Currency=USD","Period=FQ","BEST_FPERIOD_OVERRIDE=FQ","FILING_STATUS=MR","SCALING_FORMAT=MLN","Sort=A","Dates=H","DateFormat=P","Fill=—","Direction=H","UseDPDF=Y")</f>
        <v>0.84899999999999998</v>
      </c>
    </row>
    <row r="15" spans="1:27" x14ac:dyDescent="0.25">
      <c r="A15" s="10" t="s">
        <v>1181</v>
      </c>
      <c r="B15" s="10" t="s">
        <v>1182</v>
      </c>
      <c r="C15" s="13">
        <f>_xll.BDH("ALNY US Equity","CF_CHANGE_IN_ACCOUNTS_PAYABLE","FQ4 2018","FQ4 2018","Currency=USD","Period=FQ","BEST_FPERIOD_OVERRIDE=FQ","FILING_STATUS=MR","SCALING_FORMAT=MLN","Sort=A","Dates=H","DateFormat=P","Fill=—","Direction=H","UseDPDF=Y")</f>
        <v>16.128</v>
      </c>
      <c r="D15" s="13">
        <f>_xll.BDH("ALNY US Equity","CF_CHANGE_IN_ACCOUNTS_PAYABLE","FQ1 2019","FQ1 2019","Currency=USD","Period=FQ","BEST_FPERIOD_OVERRIDE=FQ","FILING_STATUS=MR","SCALING_FORMAT=MLN","Sort=A","Dates=H","DateFormat=P","Fill=—","Direction=H","UseDPDF=Y")</f>
        <v>-17.132999999999999</v>
      </c>
      <c r="E15" s="13">
        <f>_xll.BDH("ALNY US Equity","CF_CHANGE_IN_ACCOUNTS_PAYABLE","FQ2 2019","FQ2 2019","Currency=USD","Period=FQ","BEST_FPERIOD_OVERRIDE=FQ","FILING_STATUS=MR","SCALING_FORMAT=MLN","Sort=A","Dates=H","DateFormat=P","Fill=—","Direction=H","UseDPDF=Y")</f>
        <v>43.502000000000002</v>
      </c>
      <c r="F15" s="13">
        <f>_xll.BDH("ALNY US Equity","CF_CHANGE_IN_ACCOUNTS_PAYABLE","FQ3 2019","FQ3 2019","Currency=USD","Period=FQ","BEST_FPERIOD_OVERRIDE=FQ","FILING_STATUS=MR","SCALING_FORMAT=MLN","Sort=A","Dates=H","DateFormat=P","Fill=—","Direction=H","UseDPDF=Y")</f>
        <v>-30.088000000000001</v>
      </c>
      <c r="G15" s="13" t="str">
        <f>_xll.BDH("ALNY US Equity","CF_CHANGE_IN_ACCOUNTS_PAYABLE","FQ4 2019","FQ4 2019","Currency=USD","Period=FQ","BEST_FPERIOD_OVERRIDE=FQ","FILING_STATUS=MR","SCALING_FORMAT=MLN","Sort=A","Dates=H","DateFormat=P","Fill=—","Direction=H","UseDPDF=Y")</f>
        <v>—</v>
      </c>
      <c r="H15" s="13" t="str">
        <f>_xll.BDH("ALNY US Equity","CF_CHANGE_IN_ACCOUNTS_PAYABLE","FQ1 2020","FQ1 2020","Currency=USD","Period=FQ","BEST_FPERIOD_OVERRIDE=FQ","FILING_STATUS=MR","SCALING_FORMAT=MLN","Sort=A","Dates=H","DateFormat=P","Fill=—","Direction=H","UseDPDF=Y")</f>
        <v>—</v>
      </c>
      <c r="I15" s="13" t="str">
        <f>_xll.BDH("ALNY US Equity","CF_CHANGE_IN_ACCOUNTS_PAYABLE","FQ2 2020","FQ2 2020","Currency=USD","Period=FQ","BEST_FPERIOD_OVERRIDE=FQ","FILING_STATUS=MR","SCALING_FORMAT=MLN","Sort=A","Dates=H","DateFormat=P","Fill=—","Direction=H","UseDPDF=Y")</f>
        <v>—</v>
      </c>
      <c r="J15" s="13" t="str">
        <f>_xll.BDH("ALNY US Equity","CF_CHANGE_IN_ACCOUNTS_PAYABLE","FQ3 2020","FQ3 2020","Currency=USD","Period=FQ","BEST_FPERIOD_OVERRIDE=FQ","FILING_STATUS=MR","SCALING_FORMAT=MLN","Sort=A","Dates=H","DateFormat=P","Fill=—","Direction=H","UseDPDF=Y")</f>
        <v>—</v>
      </c>
      <c r="K15" s="13" t="str">
        <f>_xll.BDH("ALNY US Equity","CF_CHANGE_IN_ACCOUNTS_PAYABLE","FQ4 2020","FQ4 2020","Currency=USD","Period=FQ","BEST_FPERIOD_OVERRIDE=FQ","FILING_STATUS=MR","SCALING_FORMAT=MLN","Sort=A","Dates=H","DateFormat=P","Fill=—","Direction=H","UseDPDF=Y")</f>
        <v>—</v>
      </c>
      <c r="L15" s="13" t="str">
        <f>_xll.BDH("ALNY US Equity","CF_CHANGE_IN_ACCOUNTS_PAYABLE","FQ1 2021","FQ1 2021","Currency=USD","Period=FQ","BEST_FPERIOD_OVERRIDE=FQ","FILING_STATUS=MR","SCALING_FORMAT=MLN","Sort=A","Dates=H","DateFormat=P","Fill=—","Direction=H","UseDPDF=Y")</f>
        <v>—</v>
      </c>
      <c r="M15" s="13" t="str">
        <f>_xll.BDH("ALNY US Equity","CF_CHANGE_IN_ACCOUNTS_PAYABLE","FQ2 2021","FQ2 2021","Currency=USD","Period=FQ","BEST_FPERIOD_OVERRIDE=FQ","FILING_STATUS=MR","SCALING_FORMAT=MLN","Sort=A","Dates=H","DateFormat=P","Fill=—","Direction=H","UseDPDF=Y")</f>
        <v>—</v>
      </c>
      <c r="N15" s="13" t="str">
        <f>_xll.BDH("ALNY US Equity","CF_CHANGE_IN_ACCOUNTS_PAYABLE","FQ3 2021","FQ3 2021","Currency=USD","Period=FQ","BEST_FPERIOD_OVERRIDE=FQ","FILING_STATUS=MR","SCALING_FORMAT=MLN","Sort=A","Dates=H","DateFormat=P","Fill=—","Direction=H","UseDPDF=Y")</f>
        <v>—</v>
      </c>
      <c r="O15" s="13" t="str">
        <f>_xll.BDH("ALNY US Equity","CF_CHANGE_IN_ACCOUNTS_PAYABLE","FQ4 2021","FQ4 2021","Currency=USD","Period=FQ","BEST_FPERIOD_OVERRIDE=FQ","FILING_STATUS=MR","SCALING_FORMAT=MLN","Sort=A","Dates=H","DateFormat=P","Fill=—","Direction=H","UseDPDF=Y")</f>
        <v>—</v>
      </c>
      <c r="P15" s="13" t="str">
        <f>_xll.BDH("ALNY US Equity","CF_CHANGE_IN_ACCOUNTS_PAYABLE","FQ1 2022","FQ1 2022","Currency=USD","Period=FQ","BEST_FPERIOD_OVERRIDE=FQ","FILING_STATUS=MR","SCALING_FORMAT=MLN","Sort=A","Dates=H","DateFormat=P","Fill=—","Direction=H","UseDPDF=Y")</f>
        <v>—</v>
      </c>
      <c r="Q15" s="13" t="str">
        <f>_xll.BDH("ALNY US Equity","CF_CHANGE_IN_ACCOUNTS_PAYABLE","FQ2 2022","FQ2 2022","Currency=USD","Period=FQ","BEST_FPERIOD_OVERRIDE=FQ","FILING_STATUS=MR","SCALING_FORMAT=MLN","Sort=A","Dates=H","DateFormat=P","Fill=—","Direction=H","UseDPDF=Y")</f>
        <v>—</v>
      </c>
      <c r="R15" s="13" t="str">
        <f>_xll.BDH("ALNY US Equity","CF_CHANGE_IN_ACCOUNTS_PAYABLE","FQ3 2022","FQ3 2022","Currency=USD","Period=FQ","BEST_FPERIOD_OVERRIDE=FQ","FILING_STATUS=MR","SCALING_FORMAT=MLN","Sort=A","Dates=H","DateFormat=P","Fill=—","Direction=H","UseDPDF=Y")</f>
        <v>—</v>
      </c>
      <c r="S15" s="13" t="str">
        <f>_xll.BDH("ALNY US Equity","CF_CHANGE_IN_ACCOUNTS_PAYABLE","FQ4 2022","FQ4 2022","Currency=USD","Period=FQ","BEST_FPERIOD_OVERRIDE=FQ","FILING_STATUS=MR","SCALING_FORMAT=MLN","Sort=A","Dates=H","DateFormat=P","Fill=—","Direction=H","UseDPDF=Y")</f>
        <v>—</v>
      </c>
      <c r="T15" s="13" t="str">
        <f>_xll.BDH("ALNY US Equity","CF_CHANGE_IN_ACCOUNTS_PAYABLE","FQ1 2023","FQ1 2023","Currency=USD","Period=FQ","BEST_FPERIOD_OVERRIDE=FQ","FILING_STATUS=MR","SCALING_FORMAT=MLN","Sort=A","Dates=H","DateFormat=P","Fill=—","Direction=H","UseDPDF=Y")</f>
        <v>—</v>
      </c>
      <c r="U15" s="13" t="str">
        <f>_xll.BDH("ALNY US Equity","CF_CHANGE_IN_ACCOUNTS_PAYABLE","FQ2 2023","FQ2 2023","Currency=USD","Period=FQ","BEST_FPERIOD_OVERRIDE=FQ","FILING_STATUS=MR","SCALING_FORMAT=MLN","Sort=A","Dates=H","DateFormat=P","Fill=—","Direction=H","UseDPDF=Y")</f>
        <v>—</v>
      </c>
      <c r="V15" s="13" t="str">
        <f>_xll.BDH("ALNY US Equity","CF_CHANGE_IN_ACCOUNTS_PAYABLE","FQ3 2023","FQ3 2023","Currency=USD","Period=FQ","BEST_FPERIOD_OVERRIDE=FQ","FILING_STATUS=MR","SCALING_FORMAT=MLN","Sort=A","Dates=H","DateFormat=P","Fill=—","Direction=H","UseDPDF=Y")</f>
        <v>—</v>
      </c>
      <c r="W15" s="13" t="str">
        <f>_xll.BDH("ALNY US Equity","CF_CHANGE_IN_ACCOUNTS_PAYABLE","FQ4 2023","FQ4 2023","Currency=USD","Period=FQ","BEST_FPERIOD_OVERRIDE=FQ","FILING_STATUS=MR","SCALING_FORMAT=MLN","Sort=A","Dates=H","DateFormat=P","Fill=—","Direction=H","UseDPDF=Y")</f>
        <v>—</v>
      </c>
      <c r="X15" s="13" t="str">
        <f>_xll.BDH("ALNY US Equity","CF_CHANGE_IN_ACCOUNTS_PAYABLE","FQ1 2024","FQ1 2024","Currency=USD","Period=FQ","BEST_FPERIOD_OVERRIDE=FQ","FILING_STATUS=MR","SCALING_FORMAT=MLN","Sort=A","Dates=H","DateFormat=P","Fill=—","Direction=H","UseDPDF=Y")</f>
        <v>—</v>
      </c>
      <c r="Y15" s="13" t="str">
        <f>_xll.BDH("ALNY US Equity","CF_CHANGE_IN_ACCOUNTS_PAYABLE","FQ2 2024","FQ2 2024","Currency=USD","Period=FQ","BEST_FPERIOD_OVERRIDE=FQ","FILING_STATUS=MR","SCALING_FORMAT=MLN","Sort=A","Dates=H","DateFormat=P","Fill=—","Direction=H","UseDPDF=Y")</f>
        <v>—</v>
      </c>
      <c r="Z15" s="13" t="str">
        <f>_xll.BDH("ALNY US Equity","CF_CHANGE_IN_ACCOUNTS_PAYABLE","FQ3 2024","FQ3 2024","Currency=USD","Period=FQ","BEST_FPERIOD_OVERRIDE=FQ","FILING_STATUS=MR","SCALING_FORMAT=MLN","Sort=A","Dates=H","DateFormat=P","Fill=—","Direction=H","UseDPDF=Y")</f>
        <v>—</v>
      </c>
      <c r="AA15" s="13" t="str">
        <f>_xll.BDH("ALNY US Equity","CF_CHANGE_IN_ACCOUNTS_PAYABLE","FQ4 2024","FQ4 2024","Currency=USD","Period=FQ","BEST_FPERIOD_OVERRIDE=FQ","FILING_STATUS=MR","SCALING_FORMAT=MLN","Sort=A","Dates=H","DateFormat=P","Fill=—","Direction=H","UseDPDF=Y")</f>
        <v>—</v>
      </c>
    </row>
    <row r="16" spans="1:27" x14ac:dyDescent="0.25">
      <c r="A16" s="10" t="s">
        <v>1183</v>
      </c>
      <c r="B16" s="10" t="s">
        <v>1184</v>
      </c>
      <c r="C16" s="13">
        <f>_xll.BDH("ALNY US Equity","INC_DEC_IN_OT_OP_AST_LIAB_DETAIL","FQ4 2018","FQ4 2018","Currency=USD","Period=FQ","BEST_FPERIOD_OVERRIDE=FQ","FILING_STATUS=MR","SCALING_FORMAT=MLN","Sort=A","Dates=H","DateFormat=P","Fill=—","Direction=H","UseDPDF=Y")</f>
        <v>32.06</v>
      </c>
      <c r="D16" s="13">
        <f>_xll.BDH("ALNY US Equity","INC_DEC_IN_OT_OP_AST_LIAB_DETAIL","FQ1 2019","FQ1 2019","Currency=USD","Period=FQ","BEST_FPERIOD_OVERRIDE=FQ","FILING_STATUS=MR","SCALING_FORMAT=MLN","Sort=A","Dates=H","DateFormat=P","Fill=—","Direction=H","UseDPDF=Y")</f>
        <v>-24.983000000000001</v>
      </c>
      <c r="E16" s="13">
        <f>_xll.BDH("ALNY US Equity","INC_DEC_IN_OT_OP_AST_LIAB_DETAIL","FQ2 2019","FQ2 2019","Currency=USD","Period=FQ","BEST_FPERIOD_OVERRIDE=FQ","FILING_STATUS=MR","SCALING_FORMAT=MLN","Sort=A","Dates=H","DateFormat=P","Fill=—","Direction=H","UseDPDF=Y")</f>
        <v>421.024</v>
      </c>
      <c r="F16" s="13">
        <f>_xll.BDH("ALNY US Equity","INC_DEC_IN_OT_OP_AST_LIAB_DETAIL","FQ3 2019","FQ3 2019","Currency=USD","Period=FQ","BEST_FPERIOD_OVERRIDE=FQ","FILING_STATUS=MR","SCALING_FORMAT=MLN","Sort=A","Dates=H","DateFormat=P","Fill=—","Direction=H","UseDPDF=Y")</f>
        <v>26.228999999999999</v>
      </c>
      <c r="G16" s="13">
        <f>_xll.BDH("ALNY US Equity","INC_DEC_IN_OT_OP_AST_LIAB_DETAIL","FQ4 2019","FQ4 2019","Currency=USD","Period=FQ","BEST_FPERIOD_OVERRIDE=FQ","FILING_STATUS=MR","SCALING_FORMAT=MLN","Sort=A","Dates=H","DateFormat=P","Fill=—","Direction=H","UseDPDF=Y")</f>
        <v>-52.061</v>
      </c>
      <c r="H16" s="13">
        <f>_xll.BDH("ALNY US Equity","INC_DEC_IN_OT_OP_AST_LIAB_DETAIL","FQ1 2020","FQ1 2020","Currency=USD","Period=FQ","BEST_FPERIOD_OVERRIDE=FQ","FILING_STATUS=MR","SCALING_FORMAT=MLN","Sort=A","Dates=H","DateFormat=P","Fill=—","Direction=H","UseDPDF=Y")</f>
        <v>-23.988</v>
      </c>
      <c r="I16" s="13">
        <f>_xll.BDH("ALNY US Equity","INC_DEC_IN_OT_OP_AST_LIAB_DETAIL","FQ2 2020","FQ2 2020","Currency=USD","Period=FQ","BEST_FPERIOD_OVERRIDE=FQ","FILING_STATUS=MR","SCALING_FORMAT=MLN","Sort=A","Dates=H","DateFormat=P","Fill=—","Direction=H","UseDPDF=Y")</f>
        <v>3.3380000000000001</v>
      </c>
      <c r="J16" s="13">
        <f>_xll.BDH("ALNY US Equity","INC_DEC_IN_OT_OP_AST_LIAB_DETAIL","FQ3 2020","FQ3 2020","Currency=USD","Period=FQ","BEST_FPERIOD_OVERRIDE=FQ","FILING_STATUS=MR","SCALING_FORMAT=MLN","Sort=A","Dates=H","DateFormat=P","Fill=—","Direction=H","UseDPDF=Y")</f>
        <v>8.4909999999999997</v>
      </c>
      <c r="K16" s="13">
        <f>_xll.BDH("ALNY US Equity","INC_DEC_IN_OT_OP_AST_LIAB_DETAIL","FQ4 2020","FQ4 2020","Currency=USD","Period=FQ","BEST_FPERIOD_OVERRIDE=FQ","FILING_STATUS=MR","SCALING_FORMAT=MLN","Sort=A","Dates=H","DateFormat=P","Fill=—","Direction=H","UseDPDF=Y")</f>
        <v>-16.576000000000001</v>
      </c>
      <c r="L16" s="13">
        <f>_xll.BDH("ALNY US Equity","INC_DEC_IN_OT_OP_AST_LIAB_DETAIL","FQ1 2021","FQ1 2021","Currency=USD","Period=FQ","BEST_FPERIOD_OVERRIDE=FQ","FILING_STATUS=MR","SCALING_FORMAT=MLN","Sort=A","Dates=H","DateFormat=P","Fill=—","Direction=H","UseDPDF=Y")</f>
        <v>-108.03100000000001</v>
      </c>
      <c r="M16" s="13">
        <f>_xll.BDH("ALNY US Equity","INC_DEC_IN_OT_OP_AST_LIAB_DETAIL","FQ2 2021","FQ2 2021","Currency=USD","Period=FQ","BEST_FPERIOD_OVERRIDE=FQ","FILING_STATUS=MR","SCALING_FORMAT=MLN","Sort=A","Dates=H","DateFormat=P","Fill=—","Direction=H","UseDPDF=Y")</f>
        <v>25.667999999999999</v>
      </c>
      <c r="N16" s="13">
        <f>_xll.BDH("ALNY US Equity","INC_DEC_IN_OT_OP_AST_LIAB_DETAIL","FQ3 2021","FQ3 2021","Currency=USD","Period=FQ","BEST_FPERIOD_OVERRIDE=FQ","FILING_STATUS=MR","SCALING_FORMAT=MLN","Sort=A","Dates=H","DateFormat=P","Fill=—","Direction=H","UseDPDF=Y")</f>
        <v>-26.495999999999999</v>
      </c>
      <c r="O16" s="13">
        <f>_xll.BDH("ALNY US Equity","INC_DEC_IN_OT_OP_AST_LIAB_DETAIL","FQ4 2021","FQ4 2021","Currency=USD","Period=FQ","BEST_FPERIOD_OVERRIDE=FQ","FILING_STATUS=MR","SCALING_FORMAT=MLN","Sort=A","Dates=H","DateFormat=P","Fill=—","Direction=H","UseDPDF=Y")</f>
        <v>26.361999999999998</v>
      </c>
      <c r="P16" s="13">
        <f>_xll.BDH("ALNY US Equity","INC_DEC_IN_OT_OP_AST_LIAB_DETAIL","FQ1 2022","FQ1 2022","Currency=USD","Period=FQ","BEST_FPERIOD_OVERRIDE=FQ","FILING_STATUS=MR","SCALING_FORMAT=MLN","Sort=A","Dates=H","DateFormat=P","Fill=—","Direction=H","UseDPDF=Y")</f>
        <v>-42.177</v>
      </c>
      <c r="Q16" s="13">
        <f>_xll.BDH("ALNY US Equity","INC_DEC_IN_OT_OP_AST_LIAB_DETAIL","FQ2 2022","FQ2 2022","Currency=USD","Period=FQ","BEST_FPERIOD_OVERRIDE=FQ","FILING_STATUS=MR","SCALING_FORMAT=MLN","Sort=A","Dates=H","DateFormat=P","Fill=—","Direction=H","UseDPDF=Y")</f>
        <v>46.994</v>
      </c>
      <c r="R16" s="13">
        <f>_xll.BDH("ALNY US Equity","INC_DEC_IN_OT_OP_AST_LIAB_DETAIL","FQ3 2022","FQ3 2022","Currency=USD","Period=FQ","BEST_FPERIOD_OVERRIDE=FQ","FILING_STATUS=MR","SCALING_FORMAT=MLN","Sort=A","Dates=H","DateFormat=P","Fill=—","Direction=H","UseDPDF=Y")</f>
        <v>-76.643000000000001</v>
      </c>
      <c r="S16" s="13">
        <f>_xll.BDH("ALNY US Equity","INC_DEC_IN_OT_OP_AST_LIAB_DETAIL","FQ4 2022","FQ4 2022","Currency=USD","Period=FQ","BEST_FPERIOD_OVERRIDE=FQ","FILING_STATUS=MR","SCALING_FORMAT=MLN","Sort=A","Dates=H","DateFormat=P","Fill=—","Direction=H","UseDPDF=Y")</f>
        <v>-32.591999999999999</v>
      </c>
      <c r="T16" s="13">
        <f>_xll.BDH("ALNY US Equity","INC_DEC_IN_OT_OP_AST_LIAB_DETAIL","FQ1 2023","FQ1 2023","Currency=USD","Period=FQ","BEST_FPERIOD_OVERRIDE=FQ","FILING_STATUS=MR","SCALING_FORMAT=MLN","Sort=A","Dates=H","DateFormat=P","Fill=—","Direction=H","UseDPDF=Y")</f>
        <v>-10.085000000000001</v>
      </c>
      <c r="U16" s="13">
        <f>_xll.BDH("ALNY US Equity","INC_DEC_IN_OT_OP_AST_LIAB_DETAIL","FQ2 2023","FQ2 2023","Currency=USD","Period=FQ","BEST_FPERIOD_OVERRIDE=FQ","FILING_STATUS=MR","SCALING_FORMAT=MLN","Sort=A","Dates=H","DateFormat=P","Fill=—","Direction=H","UseDPDF=Y")</f>
        <v>-5.3920000000000003</v>
      </c>
      <c r="V16" s="13">
        <f>_xll.BDH("ALNY US Equity","INC_DEC_IN_OT_OP_AST_LIAB_DETAIL","FQ3 2023","FQ3 2023","Currency=USD","Period=FQ","BEST_FPERIOD_OVERRIDE=FQ","FILING_STATUS=MR","SCALING_FORMAT=MLN","Sort=A","Dates=H","DateFormat=P","Fill=—","Direction=H","UseDPDF=Y")</f>
        <v>139.88900000000001</v>
      </c>
      <c r="W16" s="13">
        <f>_xll.BDH("ALNY US Equity","INC_DEC_IN_OT_OP_AST_LIAB_DETAIL","FQ4 2023","FQ4 2023","Currency=USD","Period=FQ","BEST_FPERIOD_OVERRIDE=FQ","FILING_STATUS=MR","SCALING_FORMAT=MLN","Sort=A","Dates=H","DateFormat=P","Fill=—","Direction=H","UseDPDF=Y")</f>
        <v>-78.418999999999997</v>
      </c>
      <c r="X16" s="13">
        <f>_xll.BDH("ALNY US Equity","INC_DEC_IN_OT_OP_AST_LIAB_DETAIL","FQ1 2024","FQ1 2024","Currency=USD","Period=FQ","BEST_FPERIOD_OVERRIDE=FQ","FILING_STATUS=MR","SCALING_FORMAT=MLN","Sort=A","Dates=H","DateFormat=P","Fill=—","Direction=H","UseDPDF=Y")</f>
        <v>-104.02500000000001</v>
      </c>
      <c r="Y16" s="13">
        <f>_xll.BDH("ALNY US Equity","INC_DEC_IN_OT_OP_AST_LIAB_DETAIL","FQ2 2024","FQ2 2024","Currency=USD","Period=FQ","BEST_FPERIOD_OVERRIDE=FQ","FILING_STATUS=MR","SCALING_FORMAT=MLN","Sort=A","Dates=H","DateFormat=P","Fill=—","Direction=H","UseDPDF=Y")</f>
        <v>-59.651000000000003</v>
      </c>
      <c r="Z16" s="13">
        <f>_xll.BDH("ALNY US Equity","INC_DEC_IN_OT_OP_AST_LIAB_DETAIL","FQ3 2024","FQ3 2024","Currency=USD","Period=FQ","BEST_FPERIOD_OVERRIDE=FQ","FILING_STATUS=MR","SCALING_FORMAT=MLN","Sort=A","Dates=H","DateFormat=P","Fill=—","Direction=H","UseDPDF=Y")</f>
        <v>75.941999999999993</v>
      </c>
      <c r="AA16" s="13">
        <f>_xll.BDH("ALNY US Equity","INC_DEC_IN_OT_OP_AST_LIAB_DETAIL","FQ4 2024","FQ4 2024","Currency=USD","Period=FQ","BEST_FPERIOD_OVERRIDE=FQ","FILING_STATUS=MR","SCALING_FORMAT=MLN","Sort=A","Dates=H","DateFormat=P","Fill=—","Direction=H","UseDPDF=Y")</f>
        <v>-144.483</v>
      </c>
    </row>
    <row r="17" spans="1:27" x14ac:dyDescent="0.25">
      <c r="A17" s="10" t="s">
        <v>1185</v>
      </c>
      <c r="B17" s="10" t="s">
        <v>1186</v>
      </c>
      <c r="C17" s="13">
        <f>_xll.BDH("ALNY US Equity","CF_NET_CASH_DISCONT_OPS_OPER","FQ4 2018","FQ4 2018","Currency=USD","Period=FQ","BEST_FPERIOD_OVERRIDE=FQ","FILING_STATUS=MR","SCALING_FORMAT=MLN","Sort=A","Dates=H","DateFormat=P","Fill=—","Direction=H","UseDPDF=Y")</f>
        <v>0</v>
      </c>
      <c r="D17" s="13">
        <f>_xll.BDH("ALNY US Equity","CF_NET_CASH_DISCONT_OPS_OPER","FQ1 2019","FQ1 2019","Currency=USD","Period=FQ","BEST_FPERIOD_OVERRIDE=FQ","FILING_STATUS=MR","SCALING_FORMAT=MLN","Sort=A","Dates=H","DateFormat=P","Fill=—","Direction=H","UseDPDF=Y")</f>
        <v>0</v>
      </c>
      <c r="E17" s="13">
        <f>_xll.BDH("ALNY US Equity","CF_NET_CASH_DISCONT_OPS_OPER","FQ2 2019","FQ2 2019","Currency=USD","Period=FQ","BEST_FPERIOD_OVERRIDE=FQ","FILING_STATUS=MR","SCALING_FORMAT=MLN","Sort=A","Dates=H","DateFormat=P","Fill=—","Direction=H","UseDPDF=Y")</f>
        <v>0</v>
      </c>
      <c r="F17" s="13">
        <f>_xll.BDH("ALNY US Equity","CF_NET_CASH_DISCONT_OPS_OPER","FQ3 2019","FQ3 2019","Currency=USD","Period=FQ","BEST_FPERIOD_OVERRIDE=FQ","FILING_STATUS=MR","SCALING_FORMAT=MLN","Sort=A","Dates=H","DateFormat=P","Fill=—","Direction=H","UseDPDF=Y")</f>
        <v>0</v>
      </c>
      <c r="G17" s="13">
        <f>_xll.BDH("ALNY US Equity","CF_NET_CASH_DISCONT_OPS_OPER","FQ4 2019","FQ4 2019","Currency=USD","Period=FQ","BEST_FPERIOD_OVERRIDE=FQ","FILING_STATUS=MR","SCALING_FORMAT=MLN","Sort=A","Dates=H","DateFormat=P","Fill=—","Direction=H","UseDPDF=Y")</f>
        <v>0</v>
      </c>
      <c r="H17" s="13">
        <f>_xll.BDH("ALNY US Equity","CF_NET_CASH_DISCONT_OPS_OPER","FQ1 2020","FQ1 2020","Currency=USD","Period=FQ","BEST_FPERIOD_OVERRIDE=FQ","FILING_STATUS=MR","SCALING_FORMAT=MLN","Sort=A","Dates=H","DateFormat=P","Fill=—","Direction=H","UseDPDF=Y")</f>
        <v>0</v>
      </c>
      <c r="I17" s="13">
        <f>_xll.BDH("ALNY US Equity","CF_NET_CASH_DISCONT_OPS_OPER","FQ2 2020","FQ2 2020","Currency=USD","Period=FQ","BEST_FPERIOD_OVERRIDE=FQ","FILING_STATUS=MR","SCALING_FORMAT=MLN","Sort=A","Dates=H","DateFormat=P","Fill=—","Direction=H","UseDPDF=Y")</f>
        <v>0</v>
      </c>
      <c r="J17" s="13">
        <f>_xll.BDH("ALNY US Equity","CF_NET_CASH_DISCONT_OPS_OPER","FQ3 2020","FQ3 2020","Currency=USD","Period=FQ","BEST_FPERIOD_OVERRIDE=FQ","FILING_STATUS=MR","SCALING_FORMAT=MLN","Sort=A","Dates=H","DateFormat=P","Fill=—","Direction=H","UseDPDF=Y")</f>
        <v>0</v>
      </c>
      <c r="K17" s="13">
        <f>_xll.BDH("ALNY US Equity","CF_NET_CASH_DISCONT_OPS_OPER","FQ4 2020","FQ4 2020","Currency=USD","Period=FQ","BEST_FPERIOD_OVERRIDE=FQ","FILING_STATUS=MR","SCALING_FORMAT=MLN","Sort=A","Dates=H","DateFormat=P","Fill=—","Direction=H","UseDPDF=Y")</f>
        <v>0</v>
      </c>
      <c r="L17" s="13">
        <f>_xll.BDH("ALNY US Equity","CF_NET_CASH_DISCONT_OPS_OPER","FQ1 2021","FQ1 2021","Currency=USD","Period=FQ","BEST_FPERIOD_OVERRIDE=FQ","FILING_STATUS=MR","SCALING_FORMAT=MLN","Sort=A","Dates=H","DateFormat=P","Fill=—","Direction=H","UseDPDF=Y")</f>
        <v>0</v>
      </c>
      <c r="M17" s="13">
        <f>_xll.BDH("ALNY US Equity","CF_NET_CASH_DISCONT_OPS_OPER","FQ2 2021","FQ2 2021","Currency=USD","Period=FQ","BEST_FPERIOD_OVERRIDE=FQ","FILING_STATUS=MR","SCALING_FORMAT=MLN","Sort=A","Dates=H","DateFormat=P","Fill=—","Direction=H","UseDPDF=Y")</f>
        <v>0</v>
      </c>
      <c r="N17" s="13">
        <f>_xll.BDH("ALNY US Equity","CF_NET_CASH_DISCONT_OPS_OPER","FQ3 2021","FQ3 2021","Currency=USD","Period=FQ","BEST_FPERIOD_OVERRIDE=FQ","FILING_STATUS=MR","SCALING_FORMAT=MLN","Sort=A","Dates=H","DateFormat=P","Fill=—","Direction=H","UseDPDF=Y")</f>
        <v>0</v>
      </c>
      <c r="O17" s="13">
        <f>_xll.BDH("ALNY US Equity","CF_NET_CASH_DISCONT_OPS_OPER","FQ4 2021","FQ4 2021","Currency=USD","Period=FQ","BEST_FPERIOD_OVERRIDE=FQ","FILING_STATUS=MR","SCALING_FORMAT=MLN","Sort=A","Dates=H","DateFormat=P","Fill=—","Direction=H","UseDPDF=Y")</f>
        <v>0</v>
      </c>
      <c r="P17" s="13">
        <f>_xll.BDH("ALNY US Equity","CF_NET_CASH_DISCONT_OPS_OPER","FQ1 2022","FQ1 2022","Currency=USD","Period=FQ","BEST_FPERIOD_OVERRIDE=FQ","FILING_STATUS=MR","SCALING_FORMAT=MLN","Sort=A","Dates=H","DateFormat=P","Fill=—","Direction=H","UseDPDF=Y")</f>
        <v>0</v>
      </c>
      <c r="Q17" s="13">
        <f>_xll.BDH("ALNY US Equity","CF_NET_CASH_DISCONT_OPS_OPER","FQ2 2022","FQ2 2022","Currency=USD","Period=FQ","BEST_FPERIOD_OVERRIDE=FQ","FILING_STATUS=MR","SCALING_FORMAT=MLN","Sort=A","Dates=H","DateFormat=P","Fill=—","Direction=H","UseDPDF=Y")</f>
        <v>0</v>
      </c>
      <c r="R17" s="13">
        <f>_xll.BDH("ALNY US Equity","CF_NET_CASH_DISCONT_OPS_OPER","FQ3 2022","FQ3 2022","Currency=USD","Period=FQ","BEST_FPERIOD_OVERRIDE=FQ","FILING_STATUS=MR","SCALING_FORMAT=MLN","Sort=A","Dates=H","DateFormat=P","Fill=—","Direction=H","UseDPDF=Y")</f>
        <v>0</v>
      </c>
      <c r="S17" s="13">
        <f>_xll.BDH("ALNY US Equity","CF_NET_CASH_DISCONT_OPS_OPER","FQ4 2022","FQ4 2022","Currency=USD","Period=FQ","BEST_FPERIOD_OVERRIDE=FQ","FILING_STATUS=MR","SCALING_FORMAT=MLN","Sort=A","Dates=H","DateFormat=P","Fill=—","Direction=H","UseDPDF=Y")</f>
        <v>0</v>
      </c>
      <c r="T17" s="13">
        <f>_xll.BDH("ALNY US Equity","CF_NET_CASH_DISCONT_OPS_OPER","FQ1 2023","FQ1 2023","Currency=USD","Period=FQ","BEST_FPERIOD_OVERRIDE=FQ","FILING_STATUS=MR","SCALING_FORMAT=MLN","Sort=A","Dates=H","DateFormat=P","Fill=—","Direction=H","UseDPDF=Y")</f>
        <v>0</v>
      </c>
      <c r="U17" s="13">
        <f>_xll.BDH("ALNY US Equity","CF_NET_CASH_DISCONT_OPS_OPER","FQ2 2023","FQ2 2023","Currency=USD","Period=FQ","BEST_FPERIOD_OVERRIDE=FQ","FILING_STATUS=MR","SCALING_FORMAT=MLN","Sort=A","Dates=H","DateFormat=P","Fill=—","Direction=H","UseDPDF=Y")</f>
        <v>0</v>
      </c>
      <c r="V17" s="13">
        <f>_xll.BDH("ALNY US Equity","CF_NET_CASH_DISCONT_OPS_OPER","FQ3 2023","FQ3 2023","Currency=USD","Period=FQ","BEST_FPERIOD_OVERRIDE=FQ","FILING_STATUS=MR","SCALING_FORMAT=MLN","Sort=A","Dates=H","DateFormat=P","Fill=—","Direction=H","UseDPDF=Y")</f>
        <v>0</v>
      </c>
      <c r="W17" s="13">
        <f>_xll.BDH("ALNY US Equity","CF_NET_CASH_DISCONT_OPS_OPER","FQ4 2023","FQ4 2023","Currency=USD","Period=FQ","BEST_FPERIOD_OVERRIDE=FQ","FILING_STATUS=MR","SCALING_FORMAT=MLN","Sort=A","Dates=H","DateFormat=P","Fill=—","Direction=H","UseDPDF=Y")</f>
        <v>0</v>
      </c>
      <c r="X17" s="13">
        <f>_xll.BDH("ALNY US Equity","CF_NET_CASH_DISCONT_OPS_OPER","FQ1 2024","FQ1 2024","Currency=USD","Period=FQ","BEST_FPERIOD_OVERRIDE=FQ","FILING_STATUS=MR","SCALING_FORMAT=MLN","Sort=A","Dates=H","DateFormat=P","Fill=—","Direction=H","UseDPDF=Y")</f>
        <v>0</v>
      </c>
      <c r="Y17" s="13">
        <f>_xll.BDH("ALNY US Equity","CF_NET_CASH_DISCONT_OPS_OPER","FQ2 2024","FQ2 2024","Currency=USD","Period=FQ","BEST_FPERIOD_OVERRIDE=FQ","FILING_STATUS=MR","SCALING_FORMAT=MLN","Sort=A","Dates=H","DateFormat=P","Fill=—","Direction=H","UseDPDF=Y")</f>
        <v>0</v>
      </c>
      <c r="Z17" s="13">
        <f>_xll.BDH("ALNY US Equity","CF_NET_CASH_DISCONT_OPS_OPER","FQ3 2024","FQ3 2024","Currency=USD","Period=FQ","BEST_FPERIOD_OVERRIDE=FQ","FILING_STATUS=MR","SCALING_FORMAT=MLN","Sort=A","Dates=H","DateFormat=P","Fill=—","Direction=H","UseDPDF=Y")</f>
        <v>0</v>
      </c>
      <c r="AA17" s="13">
        <f>_xll.BDH("ALNY US Equity","CF_NET_CASH_DISCONT_OPS_OPER","FQ4 2024","FQ4 2024","Currency=USD","Period=FQ","BEST_FPERIOD_OVERRIDE=FQ","FILING_STATUS=MR","SCALING_FORMAT=MLN","Sort=A","Dates=H","DateFormat=P","Fill=—","Direction=H","UseDPDF=Y")</f>
        <v>0</v>
      </c>
    </row>
    <row r="18" spans="1:27" x14ac:dyDescent="0.25">
      <c r="A18" s="6" t="s">
        <v>1165</v>
      </c>
      <c r="B18" s="6" t="s">
        <v>85</v>
      </c>
      <c r="C18" s="19">
        <f>_xll.BDH("ALNY US Equity","CF_CASH_FROM_OPER","FQ4 2018","FQ4 2018","Currency=USD","Period=FQ","BEST_FPERIOD_OVERRIDE=FQ","FILING_STATUS=MR","SCALING_FORMAT=MLN","Sort=A","Dates=H","DateFormat=P","Fill=—","Direction=H","UseDPDF=Y")</f>
        <v>-150.45699999999999</v>
      </c>
      <c r="D18" s="19">
        <f>_xll.BDH("ALNY US Equity","CF_CASH_FROM_OPER","FQ1 2019","FQ1 2019","Currency=USD","Period=FQ","BEST_FPERIOD_OVERRIDE=FQ","FILING_STATUS=MR","SCALING_FORMAT=MLN","Sort=A","Dates=H","DateFormat=P","Fill=—","Direction=H","UseDPDF=Y")</f>
        <v>-188.51</v>
      </c>
      <c r="E18" s="19">
        <f>_xll.BDH("ALNY US Equity","CF_CASH_FROM_OPER","FQ2 2019","FQ2 2019","Currency=USD","Period=FQ","BEST_FPERIOD_OVERRIDE=FQ","FILING_STATUS=MR","SCALING_FORMAT=MLN","Sort=A","Dates=H","DateFormat=P","Fill=—","Direction=H","UseDPDF=Y")</f>
        <v>288.69499999999999</v>
      </c>
      <c r="F18" s="19">
        <f>_xll.BDH("ALNY US Equity","CF_CASH_FROM_OPER","FQ3 2019","FQ3 2019","Currency=USD","Period=FQ","BEST_FPERIOD_OVERRIDE=FQ","FILING_STATUS=MR","SCALING_FORMAT=MLN","Sort=A","Dates=H","DateFormat=P","Fill=—","Direction=H","UseDPDF=Y")</f>
        <v>-182.63200000000001</v>
      </c>
      <c r="G18" s="19">
        <f>_xll.BDH("ALNY US Equity","CF_CASH_FROM_OPER","FQ4 2019","FQ4 2019","Currency=USD","Period=FQ","BEST_FPERIOD_OVERRIDE=FQ","FILING_STATUS=MR","SCALING_FORMAT=MLN","Sort=A","Dates=H","DateFormat=P","Fill=—","Direction=H","UseDPDF=Y")</f>
        <v>-195.98</v>
      </c>
      <c r="H18" s="19">
        <f>_xll.BDH("ALNY US Equity","CF_CASH_FROM_OPER","FQ1 2020","FQ1 2020","Currency=USD","Period=FQ","BEST_FPERIOD_OVERRIDE=FQ","FILING_STATUS=MR","SCALING_FORMAT=MLN","Sort=A","Dates=H","DateFormat=P","Fill=—","Direction=H","UseDPDF=Y")</f>
        <v>-246.161</v>
      </c>
      <c r="I18" s="19">
        <f>_xll.BDH("ALNY US Equity","CF_CASH_FROM_OPER","FQ2 2020","FQ2 2020","Currency=USD","Period=FQ","BEST_FPERIOD_OVERRIDE=FQ","FILING_STATUS=MR","SCALING_FORMAT=MLN","Sort=A","Dates=H","DateFormat=P","Fill=—","Direction=H","UseDPDF=Y")</f>
        <v>-135.33000000000001</v>
      </c>
      <c r="J18" s="19">
        <f>_xll.BDH("ALNY US Equity","CF_CASH_FROM_OPER","FQ3 2020","FQ3 2020","Currency=USD","Period=FQ","BEST_FPERIOD_OVERRIDE=FQ","FILING_STATUS=MR","SCALING_FORMAT=MLN","Sort=A","Dates=H","DateFormat=P","Fill=—","Direction=H","UseDPDF=Y")</f>
        <v>-110.32599999999999</v>
      </c>
      <c r="K18" s="19">
        <f>_xll.BDH("ALNY US Equity","CF_CASH_FROM_OPER","FQ4 2020","FQ4 2020","Currency=USD","Period=FQ","BEST_FPERIOD_OVERRIDE=FQ","FILING_STATUS=MR","SCALING_FORMAT=MLN","Sort=A","Dates=H","DateFormat=P","Fill=—","Direction=H","UseDPDF=Y")</f>
        <v>-123.14400000000001</v>
      </c>
      <c r="L18" s="19">
        <f>_xll.BDH("ALNY US Equity","CF_CASH_FROM_OPER","FQ1 2021","FQ1 2021","Currency=USD","Period=FQ","BEST_FPERIOD_OVERRIDE=FQ","FILING_STATUS=MR","SCALING_FORMAT=MLN","Sort=A","Dates=H","DateFormat=P","Fill=—","Direction=H","UseDPDF=Y")</f>
        <v>-235.66</v>
      </c>
      <c r="M18" s="19">
        <f>_xll.BDH("ALNY US Equity","CF_CASH_FROM_OPER","FQ2 2021","FQ2 2021","Currency=USD","Period=FQ","BEST_FPERIOD_OVERRIDE=FQ","FILING_STATUS=MR","SCALING_FORMAT=MLN","Sort=A","Dates=H","DateFormat=P","Fill=—","Direction=H","UseDPDF=Y")</f>
        <v>-121.85599999999999</v>
      </c>
      <c r="N18" s="19">
        <f>_xll.BDH("ALNY US Equity","CF_CASH_FROM_OPER","FQ3 2021","FQ3 2021","Currency=USD","Period=FQ","BEST_FPERIOD_OVERRIDE=FQ","FILING_STATUS=MR","SCALING_FORMAT=MLN","Sort=A","Dates=H","DateFormat=P","Fill=—","Direction=H","UseDPDF=Y")</f>
        <v>-134.036</v>
      </c>
      <c r="O18" s="19">
        <f>_xll.BDH("ALNY US Equity","CF_CASH_FROM_OPER","FQ4 2021","FQ4 2021","Currency=USD","Period=FQ","BEST_FPERIOD_OVERRIDE=FQ","FILING_STATUS=MR","SCALING_FORMAT=MLN","Sort=A","Dates=H","DateFormat=P","Fill=—","Direction=H","UseDPDF=Y")</f>
        <v>-150.14099999999999</v>
      </c>
      <c r="P18" s="19">
        <f>_xll.BDH("ALNY US Equity","CF_CASH_FROM_OPER","FQ1 2022","FQ1 2022","Currency=USD","Period=FQ","BEST_FPERIOD_OVERRIDE=FQ","FILING_STATUS=MR","SCALING_FORMAT=MLN","Sort=A","Dates=H","DateFormat=P","Fill=—","Direction=H","UseDPDF=Y")</f>
        <v>-171.19300000000001</v>
      </c>
      <c r="Q18" s="19">
        <f>_xll.BDH("ALNY US Equity","CF_CASH_FROM_OPER","FQ2 2022","FQ2 2022","Currency=USD","Period=FQ","BEST_FPERIOD_OVERRIDE=FQ","FILING_STATUS=MR","SCALING_FORMAT=MLN","Sort=A","Dates=H","DateFormat=P","Fill=—","Direction=H","UseDPDF=Y")</f>
        <v>-122.819</v>
      </c>
      <c r="R18" s="19">
        <f>_xll.BDH("ALNY US Equity","CF_CASH_FROM_OPER","FQ3 2022","FQ3 2022","Currency=USD","Period=FQ","BEST_FPERIOD_OVERRIDE=FQ","FILING_STATUS=MR","SCALING_FORMAT=MLN","Sort=A","Dates=H","DateFormat=P","Fill=—","Direction=H","UseDPDF=Y")</f>
        <v>-115.28400000000001</v>
      </c>
      <c r="S18" s="19">
        <f>_xll.BDH("ALNY US Equity","CF_CASH_FROM_OPER","FQ4 2022","FQ4 2022","Currency=USD","Period=FQ","BEST_FPERIOD_OVERRIDE=FQ","FILING_STATUS=MR","SCALING_FORMAT=MLN","Sort=A","Dates=H","DateFormat=P","Fill=—","Direction=H","UseDPDF=Y")</f>
        <v>-131.97800000000001</v>
      </c>
      <c r="T18" s="19">
        <f>_xll.BDH("ALNY US Equity","CF_CASH_FROM_OPER","FQ1 2023","FQ1 2023","Currency=USD","Period=FQ","BEST_FPERIOD_OVERRIDE=FQ","FILING_STATUS=MR","SCALING_FORMAT=MLN","Sort=A","Dates=H","DateFormat=P","Fill=—","Direction=H","UseDPDF=Y")</f>
        <v>-166.47499999999999</v>
      </c>
      <c r="U18" s="19">
        <f>_xll.BDH("ALNY US Equity","CF_CASH_FROM_OPER","FQ2 2023","FQ2 2023","Currency=USD","Period=FQ","BEST_FPERIOD_OVERRIDE=FQ","FILING_STATUS=MR","SCALING_FORMAT=MLN","Sort=A","Dates=H","DateFormat=P","Fill=—","Direction=H","UseDPDF=Y")</f>
        <v>-58.985999999999997</v>
      </c>
      <c r="V18" s="19">
        <f>_xll.BDH("ALNY US Equity","CF_CASH_FROM_OPER","FQ3 2023","FQ3 2023","Currency=USD","Period=FQ","BEST_FPERIOD_OVERRIDE=FQ","FILING_STATUS=MR","SCALING_FORMAT=MLN","Sort=A","Dates=H","DateFormat=P","Fill=—","Direction=H","UseDPDF=Y")</f>
        <v>359.41199999999998</v>
      </c>
      <c r="W18" s="19">
        <f>_xll.BDH("ALNY US Equity","CF_CASH_FROM_OPER","FQ4 2023","FQ4 2023","Currency=USD","Period=FQ","BEST_FPERIOD_OVERRIDE=FQ","FILING_STATUS=MR","SCALING_FORMAT=MLN","Sort=A","Dates=H","DateFormat=P","Fill=—","Direction=H","UseDPDF=Y")</f>
        <v>-29.795000000000002</v>
      </c>
      <c r="X18" s="19">
        <f>_xll.BDH("ALNY US Equity","CF_CASH_FROM_OPER","FQ1 2024","FQ1 2024","Currency=USD","Period=FQ","BEST_FPERIOD_OVERRIDE=FQ","FILING_STATUS=MR","SCALING_FORMAT=MLN","Sort=A","Dates=H","DateFormat=P","Fill=—","Direction=H","UseDPDF=Y")</f>
        <v>-81.515000000000001</v>
      </c>
      <c r="Y18" s="19">
        <f>_xll.BDH("ALNY US Equity","CF_CASH_FROM_OPER","FQ2 2024","FQ2 2024","Currency=USD","Period=FQ","BEST_FPERIOD_OVERRIDE=FQ","FILING_STATUS=MR","SCALING_FORMAT=MLN","Sort=A","Dates=H","DateFormat=P","Fill=—","Direction=H","UseDPDF=Y")</f>
        <v>124.158</v>
      </c>
      <c r="Z18" s="19">
        <f>_xll.BDH("ALNY US Equity","CF_CASH_FROM_OPER","FQ3 2024","FQ3 2024","Currency=USD","Period=FQ","BEST_FPERIOD_OVERRIDE=FQ","FILING_STATUS=MR","SCALING_FORMAT=MLN","Sort=A","Dates=H","DateFormat=P","Fill=—","Direction=H","UseDPDF=Y")</f>
        <v>43.707000000000001</v>
      </c>
      <c r="AA18" s="19">
        <f>_xll.BDH("ALNY US Equity","CF_CASH_FROM_OPER","FQ4 2024","FQ4 2024","Currency=USD","Period=FQ","BEST_FPERIOD_OVERRIDE=FQ","FILING_STATUS=MR","SCALING_FORMAT=MLN","Sort=A","Dates=H","DateFormat=P","Fill=—","Direction=H","UseDPDF=Y")</f>
        <v>-94.662000000000006</v>
      </c>
    </row>
    <row r="19" spans="1:27" x14ac:dyDescent="0.25">
      <c r="A19" s="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6" t="s">
        <v>1187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0" t="s">
        <v>1188</v>
      </c>
      <c r="B21" s="10" t="s">
        <v>1189</v>
      </c>
      <c r="C21" s="13">
        <f>_xll.BDH("ALNY US Equity","FIXED_INTANG_ASST_CHANGE","FQ4 2018","FQ4 2018","Currency=USD","Period=FQ","BEST_FPERIOD_OVERRIDE=FQ","FILING_STATUS=MR","SCALING_FORMAT=MLN","Sort=A","Dates=H","DateFormat=P","Fill=—","Direction=H","UseDPDF=Y")</f>
        <v>-37.512999999999998</v>
      </c>
      <c r="D21" s="13">
        <f>_xll.BDH("ALNY US Equity","FIXED_INTANG_ASST_CHANGE","FQ1 2019","FQ1 2019","Currency=USD","Period=FQ","BEST_FPERIOD_OVERRIDE=FQ","FILING_STATUS=MR","SCALING_FORMAT=MLN","Sort=A","Dates=H","DateFormat=P","Fill=—","Direction=H","UseDPDF=Y")</f>
        <v>-44.048999999999999</v>
      </c>
      <c r="E21" s="13">
        <f>_xll.BDH("ALNY US Equity","FIXED_INTANG_ASST_CHANGE","FQ2 2019","FQ2 2019","Currency=USD","Period=FQ","BEST_FPERIOD_OVERRIDE=FQ","FILING_STATUS=MR","SCALING_FORMAT=MLN","Sort=A","Dates=H","DateFormat=P","Fill=—","Direction=H","UseDPDF=Y")</f>
        <v>-21.244</v>
      </c>
      <c r="F21" s="13">
        <f>_xll.BDH("ALNY US Equity","FIXED_INTANG_ASST_CHANGE","FQ3 2019","FQ3 2019","Currency=USD","Period=FQ","BEST_FPERIOD_OVERRIDE=FQ","FILING_STATUS=MR","SCALING_FORMAT=MLN","Sort=A","Dates=H","DateFormat=P","Fill=—","Direction=H","UseDPDF=Y")</f>
        <v>-36.058</v>
      </c>
      <c r="G21" s="13">
        <f>_xll.BDH("ALNY US Equity","FIXED_INTANG_ASST_CHANGE","FQ4 2019","FQ4 2019","Currency=USD","Period=FQ","BEST_FPERIOD_OVERRIDE=FQ","FILING_STATUS=MR","SCALING_FORMAT=MLN","Sort=A","Dates=H","DateFormat=P","Fill=—","Direction=H","UseDPDF=Y")</f>
        <v>-38.805</v>
      </c>
      <c r="H21" s="13">
        <f>_xll.BDH("ALNY US Equity","FIXED_INTANG_ASST_CHANGE","FQ1 2020","FQ1 2020","Currency=USD","Period=FQ","BEST_FPERIOD_OVERRIDE=FQ","FILING_STATUS=MR","SCALING_FORMAT=MLN","Sort=A","Dates=H","DateFormat=P","Fill=—","Direction=H","UseDPDF=Y")</f>
        <v>-19.617000000000001</v>
      </c>
      <c r="I21" s="13">
        <f>_xll.BDH("ALNY US Equity","FIXED_INTANG_ASST_CHANGE","FQ2 2020","FQ2 2020","Currency=USD","Period=FQ","BEST_FPERIOD_OVERRIDE=FQ","FILING_STATUS=MR","SCALING_FORMAT=MLN","Sort=A","Dates=H","DateFormat=P","Fill=—","Direction=H","UseDPDF=Y")</f>
        <v>-16.658000000000001</v>
      </c>
      <c r="J21" s="13">
        <f>_xll.BDH("ALNY US Equity","FIXED_INTANG_ASST_CHANGE","FQ3 2020","FQ3 2020","Currency=USD","Period=FQ","BEST_FPERIOD_OVERRIDE=FQ","FILING_STATUS=MR","SCALING_FORMAT=MLN","Sort=A","Dates=H","DateFormat=P","Fill=—","Direction=H","UseDPDF=Y")</f>
        <v>-12.417999999999999</v>
      </c>
      <c r="K21" s="13">
        <f>_xll.BDH("ALNY US Equity","FIXED_INTANG_ASST_CHANGE","FQ4 2020","FQ4 2020","Currency=USD","Period=FQ","BEST_FPERIOD_OVERRIDE=FQ","FILING_STATUS=MR","SCALING_FORMAT=MLN","Sort=A","Dates=H","DateFormat=P","Fill=—","Direction=H","UseDPDF=Y")</f>
        <v>-21.667999999999999</v>
      </c>
      <c r="L21" s="13">
        <f>_xll.BDH("ALNY US Equity","FIXED_INTANG_ASST_CHANGE","FQ1 2021","FQ1 2021","Currency=USD","Period=FQ","BEST_FPERIOD_OVERRIDE=FQ","FILING_STATUS=MR","SCALING_FORMAT=MLN","Sort=A","Dates=H","DateFormat=P","Fill=—","Direction=H","UseDPDF=Y")</f>
        <v>-17.178000000000001</v>
      </c>
      <c r="M21" s="13">
        <f>_xll.BDH("ALNY US Equity","FIXED_INTANG_ASST_CHANGE","FQ2 2021","FQ2 2021","Currency=USD","Period=FQ","BEST_FPERIOD_OVERRIDE=FQ","FILING_STATUS=MR","SCALING_FORMAT=MLN","Sort=A","Dates=H","DateFormat=P","Fill=—","Direction=H","UseDPDF=Y")</f>
        <v>-11.246</v>
      </c>
      <c r="N21" s="13">
        <f>_xll.BDH("ALNY US Equity","FIXED_INTANG_ASST_CHANGE","FQ3 2021","FQ3 2021","Currency=USD","Period=FQ","BEST_FPERIOD_OVERRIDE=FQ","FILING_STATUS=MR","SCALING_FORMAT=MLN","Sort=A","Dates=H","DateFormat=P","Fill=—","Direction=H","UseDPDF=Y")</f>
        <v>-26.062000000000001</v>
      </c>
      <c r="O21" s="13">
        <f>_xll.BDH("ALNY US Equity","FIXED_INTANG_ASST_CHANGE","FQ4 2021","FQ4 2021","Currency=USD","Period=FQ","BEST_FPERIOD_OVERRIDE=FQ","FILING_STATUS=MR","SCALING_FORMAT=MLN","Sort=A","Dates=H","DateFormat=P","Fill=—","Direction=H","UseDPDF=Y")</f>
        <v>-21.885999999999999</v>
      </c>
      <c r="P21" s="13">
        <f>_xll.BDH("ALNY US Equity","FIXED_INTANG_ASST_CHANGE","FQ1 2022","FQ1 2022","Currency=USD","Period=FQ","BEST_FPERIOD_OVERRIDE=FQ","FILING_STATUS=MR","SCALING_FORMAT=MLN","Sort=A","Dates=H","DateFormat=P","Fill=—","Direction=H","UseDPDF=Y")</f>
        <v>-17.859000000000002</v>
      </c>
      <c r="Q21" s="13">
        <f>_xll.BDH("ALNY US Equity","FIXED_INTANG_ASST_CHANGE","FQ2 2022","FQ2 2022","Currency=USD","Period=FQ","BEST_FPERIOD_OVERRIDE=FQ","FILING_STATUS=MR","SCALING_FORMAT=MLN","Sort=A","Dates=H","DateFormat=P","Fill=—","Direction=H","UseDPDF=Y")</f>
        <v>-16.055</v>
      </c>
      <c r="R21" s="13">
        <f>_xll.BDH("ALNY US Equity","FIXED_INTANG_ASST_CHANGE","FQ3 2022","FQ3 2022","Currency=USD","Period=FQ","BEST_FPERIOD_OVERRIDE=FQ","FILING_STATUS=MR","SCALING_FORMAT=MLN","Sort=A","Dates=H","DateFormat=P","Fill=—","Direction=H","UseDPDF=Y")</f>
        <v>-16.510000000000002</v>
      </c>
      <c r="S21" s="13">
        <f>_xll.BDH("ALNY US Equity","FIXED_INTANG_ASST_CHANGE","FQ4 2022","FQ4 2022","Currency=USD","Period=FQ","BEST_FPERIOD_OVERRIDE=FQ","FILING_STATUS=MR","SCALING_FORMAT=MLN","Sort=A","Dates=H","DateFormat=P","Fill=—","Direction=H","UseDPDF=Y")</f>
        <v>-21.635000000000002</v>
      </c>
      <c r="T21" s="13">
        <f>_xll.BDH("ALNY US Equity","FIXED_INTANG_ASST_CHANGE","FQ1 2023","FQ1 2023","Currency=USD","Period=FQ","BEST_FPERIOD_OVERRIDE=FQ","FILING_STATUS=MR","SCALING_FORMAT=MLN","Sort=A","Dates=H","DateFormat=P","Fill=—","Direction=H","UseDPDF=Y")</f>
        <v>-13.891</v>
      </c>
      <c r="U21" s="13">
        <f>_xll.BDH("ALNY US Equity","FIXED_INTANG_ASST_CHANGE","FQ2 2023","FQ2 2023","Currency=USD","Period=FQ","BEST_FPERIOD_OVERRIDE=FQ","FILING_STATUS=MR","SCALING_FORMAT=MLN","Sort=A","Dates=H","DateFormat=P","Fill=—","Direction=H","UseDPDF=Y")</f>
        <v>-15.919</v>
      </c>
      <c r="V21" s="13">
        <f>_xll.BDH("ALNY US Equity","FIXED_INTANG_ASST_CHANGE","FQ3 2023","FQ3 2023","Currency=USD","Period=FQ","BEST_FPERIOD_OVERRIDE=FQ","FILING_STATUS=MR","SCALING_FORMAT=MLN","Sort=A","Dates=H","DateFormat=P","Fill=—","Direction=H","UseDPDF=Y")</f>
        <v>-17.091999999999999</v>
      </c>
      <c r="W21" s="13">
        <f>_xll.BDH("ALNY US Equity","FIXED_INTANG_ASST_CHANGE","FQ4 2023","FQ4 2023","Currency=USD","Period=FQ","BEST_FPERIOD_OVERRIDE=FQ","FILING_STATUS=MR","SCALING_FORMAT=MLN","Sort=A","Dates=H","DateFormat=P","Fill=—","Direction=H","UseDPDF=Y")</f>
        <v>-15.308999999999999</v>
      </c>
      <c r="X21" s="13">
        <f>_xll.BDH("ALNY US Equity","FIXED_INTANG_ASST_CHANGE","FQ1 2024","FQ1 2024","Currency=USD","Period=FQ","BEST_FPERIOD_OVERRIDE=FQ","FILING_STATUS=MR","SCALING_FORMAT=MLN","Sort=A","Dates=H","DateFormat=P","Fill=—","Direction=H","UseDPDF=Y")</f>
        <v>-12.973000000000001</v>
      </c>
      <c r="Y21" s="13">
        <f>_xll.BDH("ALNY US Equity","FIXED_INTANG_ASST_CHANGE","FQ2 2024","FQ2 2024","Currency=USD","Period=FQ","BEST_FPERIOD_OVERRIDE=FQ","FILING_STATUS=MR","SCALING_FORMAT=MLN","Sort=A","Dates=H","DateFormat=P","Fill=—","Direction=H","UseDPDF=Y")</f>
        <v>-8.0180000000000007</v>
      </c>
      <c r="Z21" s="13">
        <f>_xll.BDH("ALNY US Equity","FIXED_INTANG_ASST_CHANGE","FQ3 2024","FQ3 2024","Currency=USD","Period=FQ","BEST_FPERIOD_OVERRIDE=FQ","FILING_STATUS=MR","SCALING_FORMAT=MLN","Sort=A","Dates=H","DateFormat=P","Fill=—","Direction=H","UseDPDF=Y")</f>
        <v>-4.1920000000000002</v>
      </c>
      <c r="AA21" s="13">
        <f>_xll.BDH("ALNY US Equity","FIXED_INTANG_ASST_CHANGE","FQ4 2024","FQ4 2024","Currency=USD","Period=FQ","BEST_FPERIOD_OVERRIDE=FQ","FILING_STATUS=MR","SCALING_FORMAT=MLN","Sort=A","Dates=H","DateFormat=P","Fill=—","Direction=H","UseDPDF=Y")</f>
        <v>-9.0939999999999994</v>
      </c>
    </row>
    <row r="22" spans="1:27" x14ac:dyDescent="0.25">
      <c r="A22" s="10" t="s">
        <v>1190</v>
      </c>
      <c r="B22" s="10" t="s">
        <v>1191</v>
      </c>
      <c r="C22" s="13">
        <f>_xll.BDH("ALNY US Equity","DISPOSAL_OF_FIXED_INTANG","FQ4 2018","FQ4 2018","Currency=USD","Period=FQ","BEST_FPERIOD_OVERRIDE=FQ","FILING_STATUS=MR","SCALING_FORMAT=MLN","Sort=A","Dates=H","DateFormat=P","Fill=—","Direction=H","UseDPDF=Y")</f>
        <v>0</v>
      </c>
      <c r="D22" s="13">
        <f>_xll.BDH("ALNY US Equity","DISPOSAL_OF_FIXED_INTANG","FQ1 2019","FQ1 2019","Currency=USD","Period=FQ","BEST_FPERIOD_OVERRIDE=FQ","FILING_STATUS=MR","SCALING_FORMAT=MLN","Sort=A","Dates=H","DateFormat=P","Fill=—","Direction=H","UseDPDF=Y")</f>
        <v>0</v>
      </c>
      <c r="E22" s="13">
        <f>_xll.BDH("ALNY US Equity","DISPOSAL_OF_FIXED_INTANG","FQ2 2019","FQ2 2019","Currency=USD","Period=FQ","BEST_FPERIOD_OVERRIDE=FQ","FILING_STATUS=MR","SCALING_FORMAT=MLN","Sort=A","Dates=H","DateFormat=P","Fill=—","Direction=H","UseDPDF=Y")</f>
        <v>0</v>
      </c>
      <c r="F22" s="13">
        <f>_xll.BDH("ALNY US Equity","DISPOSAL_OF_FIXED_INTANG","FQ3 2019","FQ3 2019","Currency=USD","Period=FQ","BEST_FPERIOD_OVERRIDE=FQ","FILING_STATUS=MR","SCALING_FORMAT=MLN","Sort=A","Dates=H","DateFormat=P","Fill=—","Direction=H","UseDPDF=Y")</f>
        <v>0</v>
      </c>
      <c r="G22" s="13">
        <f>_xll.BDH("ALNY US Equity","DISPOSAL_OF_FIXED_INTANG","FQ4 2019","FQ4 2019","Currency=USD","Period=FQ","BEST_FPERIOD_OVERRIDE=FQ","FILING_STATUS=MR","SCALING_FORMAT=MLN","Sort=A","Dates=H","DateFormat=P","Fill=—","Direction=H","UseDPDF=Y")</f>
        <v>0</v>
      </c>
      <c r="H22" s="13">
        <f>_xll.BDH("ALNY US Equity","DISPOSAL_OF_FIXED_INTANG","FQ1 2020","FQ1 2020","Currency=USD","Period=FQ","BEST_FPERIOD_OVERRIDE=FQ","FILING_STATUS=MR","SCALING_FORMAT=MLN","Sort=A","Dates=H","DateFormat=P","Fill=—","Direction=H","UseDPDF=Y")</f>
        <v>0</v>
      </c>
      <c r="I22" s="13">
        <f>_xll.BDH("ALNY US Equity","DISPOSAL_OF_FIXED_INTANG","FQ2 2020","FQ2 2020","Currency=USD","Period=FQ","BEST_FPERIOD_OVERRIDE=FQ","FILING_STATUS=MR","SCALING_FORMAT=MLN","Sort=A","Dates=H","DateFormat=P","Fill=—","Direction=H","UseDPDF=Y")</f>
        <v>0</v>
      </c>
      <c r="J22" s="13">
        <f>_xll.BDH("ALNY US Equity","DISPOSAL_OF_FIXED_INTANG","FQ3 2020","FQ3 2020","Currency=USD","Period=FQ","BEST_FPERIOD_OVERRIDE=FQ","FILING_STATUS=MR","SCALING_FORMAT=MLN","Sort=A","Dates=H","DateFormat=P","Fill=—","Direction=H","UseDPDF=Y")</f>
        <v>0</v>
      </c>
      <c r="K22" s="13">
        <f>_xll.BDH("ALNY US Equity","DISPOSAL_OF_FIXED_INTANG","FQ4 2020","FQ4 2020","Currency=USD","Period=FQ","BEST_FPERIOD_OVERRIDE=FQ","FILING_STATUS=MR","SCALING_FORMAT=MLN","Sort=A","Dates=H","DateFormat=P","Fill=—","Direction=H","UseDPDF=Y")</f>
        <v>0</v>
      </c>
      <c r="L22" s="13">
        <f>_xll.BDH("ALNY US Equity","DISPOSAL_OF_FIXED_INTANG","FQ1 2021","FQ1 2021","Currency=USD","Period=FQ","BEST_FPERIOD_OVERRIDE=FQ","FILING_STATUS=MR","SCALING_FORMAT=MLN","Sort=A","Dates=H","DateFormat=P","Fill=—","Direction=H","UseDPDF=Y")</f>
        <v>0</v>
      </c>
      <c r="M22" s="13">
        <f>_xll.BDH("ALNY US Equity","DISPOSAL_OF_FIXED_INTANG","FQ2 2021","FQ2 2021","Currency=USD","Period=FQ","BEST_FPERIOD_OVERRIDE=FQ","FILING_STATUS=MR","SCALING_FORMAT=MLN","Sort=A","Dates=H","DateFormat=P","Fill=—","Direction=H","UseDPDF=Y")</f>
        <v>0</v>
      </c>
      <c r="N22" s="13">
        <f>_xll.BDH("ALNY US Equity","DISPOSAL_OF_FIXED_INTANG","FQ3 2021","FQ3 2021","Currency=USD","Period=FQ","BEST_FPERIOD_OVERRIDE=FQ","FILING_STATUS=MR","SCALING_FORMAT=MLN","Sort=A","Dates=H","DateFormat=P","Fill=—","Direction=H","UseDPDF=Y")</f>
        <v>0</v>
      </c>
      <c r="O22" s="13">
        <f>_xll.BDH("ALNY US Equity","DISPOSAL_OF_FIXED_INTANG","FQ4 2021","FQ4 2021","Currency=USD","Period=FQ","BEST_FPERIOD_OVERRIDE=FQ","FILING_STATUS=MR","SCALING_FORMAT=MLN","Sort=A","Dates=H","DateFormat=P","Fill=—","Direction=H","UseDPDF=Y")</f>
        <v>0</v>
      </c>
      <c r="P22" s="13">
        <f>_xll.BDH("ALNY US Equity","DISPOSAL_OF_FIXED_INTANG","FQ1 2022","FQ1 2022","Currency=USD","Period=FQ","BEST_FPERIOD_OVERRIDE=FQ","FILING_STATUS=MR","SCALING_FORMAT=MLN","Sort=A","Dates=H","DateFormat=P","Fill=—","Direction=H","UseDPDF=Y")</f>
        <v>0</v>
      </c>
      <c r="Q22" s="13">
        <f>_xll.BDH("ALNY US Equity","DISPOSAL_OF_FIXED_INTANG","FQ2 2022","FQ2 2022","Currency=USD","Period=FQ","BEST_FPERIOD_OVERRIDE=FQ","FILING_STATUS=MR","SCALING_FORMAT=MLN","Sort=A","Dates=H","DateFormat=P","Fill=—","Direction=H","UseDPDF=Y")</f>
        <v>0</v>
      </c>
      <c r="R22" s="13">
        <f>_xll.BDH("ALNY US Equity","DISPOSAL_OF_FIXED_INTANG","FQ3 2022","FQ3 2022","Currency=USD","Period=FQ","BEST_FPERIOD_OVERRIDE=FQ","FILING_STATUS=MR","SCALING_FORMAT=MLN","Sort=A","Dates=H","DateFormat=P","Fill=—","Direction=H","UseDPDF=Y")</f>
        <v>0</v>
      </c>
      <c r="S22" s="13">
        <f>_xll.BDH("ALNY US Equity","DISPOSAL_OF_FIXED_INTANG","FQ4 2022","FQ4 2022","Currency=USD","Period=FQ","BEST_FPERIOD_OVERRIDE=FQ","FILING_STATUS=MR","SCALING_FORMAT=MLN","Sort=A","Dates=H","DateFormat=P","Fill=—","Direction=H","UseDPDF=Y")</f>
        <v>0</v>
      </c>
      <c r="T22" s="13">
        <f>_xll.BDH("ALNY US Equity","DISPOSAL_OF_FIXED_INTANG","FQ1 2023","FQ1 2023","Currency=USD","Period=FQ","BEST_FPERIOD_OVERRIDE=FQ","FILING_STATUS=MR","SCALING_FORMAT=MLN","Sort=A","Dates=H","DateFormat=P","Fill=—","Direction=H","UseDPDF=Y")</f>
        <v>0</v>
      </c>
      <c r="U22" s="13">
        <f>_xll.BDH("ALNY US Equity","DISPOSAL_OF_FIXED_INTANG","FQ2 2023","FQ2 2023","Currency=USD","Period=FQ","BEST_FPERIOD_OVERRIDE=FQ","FILING_STATUS=MR","SCALING_FORMAT=MLN","Sort=A","Dates=H","DateFormat=P","Fill=—","Direction=H","UseDPDF=Y")</f>
        <v>0</v>
      </c>
      <c r="V22" s="13">
        <f>_xll.BDH("ALNY US Equity","DISPOSAL_OF_FIXED_INTANG","FQ3 2023","FQ3 2023","Currency=USD","Period=FQ","BEST_FPERIOD_OVERRIDE=FQ","FILING_STATUS=MR","SCALING_FORMAT=MLN","Sort=A","Dates=H","DateFormat=P","Fill=—","Direction=H","UseDPDF=Y")</f>
        <v>0</v>
      </c>
      <c r="W22" s="13">
        <f>_xll.BDH("ALNY US Equity","DISPOSAL_OF_FIXED_INTANG","FQ4 2023","FQ4 2023","Currency=USD","Period=FQ","BEST_FPERIOD_OVERRIDE=FQ","FILING_STATUS=MR","SCALING_FORMAT=MLN","Sort=A","Dates=H","DateFormat=P","Fill=—","Direction=H","UseDPDF=Y")</f>
        <v>0</v>
      </c>
      <c r="X22" s="13">
        <f>_xll.BDH("ALNY US Equity","DISPOSAL_OF_FIXED_INTANG","FQ1 2024","FQ1 2024","Currency=USD","Period=FQ","BEST_FPERIOD_OVERRIDE=FQ","FILING_STATUS=MR","SCALING_FORMAT=MLN","Sort=A","Dates=H","DateFormat=P","Fill=—","Direction=H","UseDPDF=Y")</f>
        <v>0</v>
      </c>
      <c r="Y22" s="13">
        <f>_xll.BDH("ALNY US Equity","DISPOSAL_OF_FIXED_INTANG","FQ2 2024","FQ2 2024","Currency=USD","Period=FQ","BEST_FPERIOD_OVERRIDE=FQ","FILING_STATUS=MR","SCALING_FORMAT=MLN","Sort=A","Dates=H","DateFormat=P","Fill=—","Direction=H","UseDPDF=Y")</f>
        <v>0</v>
      </c>
      <c r="Z22" s="13">
        <f>_xll.BDH("ALNY US Equity","DISPOSAL_OF_FIXED_INTANG","FQ3 2024","FQ3 2024","Currency=USD","Period=FQ","BEST_FPERIOD_OVERRIDE=FQ","FILING_STATUS=MR","SCALING_FORMAT=MLN","Sort=A","Dates=H","DateFormat=P","Fill=—","Direction=H","UseDPDF=Y")</f>
        <v>0</v>
      </c>
      <c r="AA22" s="13">
        <f>_xll.BDH("ALNY US Equity","DISPOSAL_OF_FIXED_INTANG","FQ4 2024","FQ4 2024","Currency=USD","Period=FQ","BEST_FPERIOD_OVERRIDE=FQ","FILING_STATUS=MR","SCALING_FORMAT=MLN","Sort=A","Dates=H","DateFormat=P","Fill=—","Direction=H","UseDPDF=Y")</f>
        <v>0</v>
      </c>
    </row>
    <row r="23" spans="1:27" x14ac:dyDescent="0.25">
      <c r="A23" s="11" t="s">
        <v>1192</v>
      </c>
      <c r="B23" s="11" t="s">
        <v>1193</v>
      </c>
      <c r="C23" s="25">
        <f>_xll.BDH("ALNY US Equity","CF_DISPOSAL_OF_FIXED_PROD_ASSETS","FQ4 2018","FQ4 2018","Currency=USD","Period=FQ","BEST_FPERIOD_OVERRIDE=FQ","FILING_STATUS=MR","SCALING_FORMAT=MLN","Sort=A","Dates=H","DateFormat=P","Fill=—","Direction=H","UseDPDF=Y")</f>
        <v>0</v>
      </c>
      <c r="D23" s="25">
        <f>_xll.BDH("ALNY US Equity","CF_DISPOSAL_OF_FIXED_PROD_ASSETS","FQ1 2019","FQ1 2019","Currency=USD","Period=FQ","BEST_FPERIOD_OVERRIDE=FQ","FILING_STATUS=MR","SCALING_FORMAT=MLN","Sort=A","Dates=H","DateFormat=P","Fill=—","Direction=H","UseDPDF=Y")</f>
        <v>0</v>
      </c>
      <c r="E23" s="25">
        <f>_xll.BDH("ALNY US Equity","CF_DISPOSAL_OF_FIXED_PROD_ASSETS","FQ2 2019","FQ2 2019","Currency=USD","Period=FQ","BEST_FPERIOD_OVERRIDE=FQ","FILING_STATUS=MR","SCALING_FORMAT=MLN","Sort=A","Dates=H","DateFormat=P","Fill=—","Direction=H","UseDPDF=Y")</f>
        <v>0</v>
      </c>
      <c r="F23" s="25">
        <f>_xll.BDH("ALNY US Equity","CF_DISPOSAL_OF_FIXED_PROD_ASSETS","FQ3 2019","FQ3 2019","Currency=USD","Period=FQ","BEST_FPERIOD_OVERRIDE=FQ","FILING_STATUS=MR","SCALING_FORMAT=MLN","Sort=A","Dates=H","DateFormat=P","Fill=—","Direction=H","UseDPDF=Y")</f>
        <v>0</v>
      </c>
      <c r="G23" s="25">
        <f>_xll.BDH("ALNY US Equity","CF_DISPOSAL_OF_FIXED_PROD_ASSETS","FQ4 2019","FQ4 2019","Currency=USD","Period=FQ","BEST_FPERIOD_OVERRIDE=FQ","FILING_STATUS=MR","SCALING_FORMAT=MLN","Sort=A","Dates=H","DateFormat=P","Fill=—","Direction=H","UseDPDF=Y")</f>
        <v>0</v>
      </c>
      <c r="H23" s="25">
        <f>_xll.BDH("ALNY US Equity","CF_DISPOSAL_OF_FIXED_PROD_ASSETS","FQ1 2020","FQ1 2020","Currency=USD","Period=FQ","BEST_FPERIOD_OVERRIDE=FQ","FILING_STATUS=MR","SCALING_FORMAT=MLN","Sort=A","Dates=H","DateFormat=P","Fill=—","Direction=H","UseDPDF=Y")</f>
        <v>0</v>
      </c>
      <c r="I23" s="25">
        <f>_xll.BDH("ALNY US Equity","CF_DISPOSAL_OF_FIXED_PROD_ASSETS","FQ2 2020","FQ2 2020","Currency=USD","Period=FQ","BEST_FPERIOD_OVERRIDE=FQ","FILING_STATUS=MR","SCALING_FORMAT=MLN","Sort=A","Dates=H","DateFormat=P","Fill=—","Direction=H","UseDPDF=Y")</f>
        <v>0</v>
      </c>
      <c r="J23" s="25">
        <f>_xll.BDH("ALNY US Equity","CF_DISPOSAL_OF_FIXED_PROD_ASSETS","FQ3 2020","FQ3 2020","Currency=USD","Period=FQ","BEST_FPERIOD_OVERRIDE=FQ","FILING_STATUS=MR","SCALING_FORMAT=MLN","Sort=A","Dates=H","DateFormat=P","Fill=—","Direction=H","UseDPDF=Y")</f>
        <v>0</v>
      </c>
      <c r="K23" s="25">
        <f>_xll.BDH("ALNY US Equity","CF_DISPOSAL_OF_FIXED_PROD_ASSETS","FQ4 2020","FQ4 2020","Currency=USD","Period=FQ","BEST_FPERIOD_OVERRIDE=FQ","FILING_STATUS=MR","SCALING_FORMAT=MLN","Sort=A","Dates=H","DateFormat=P","Fill=—","Direction=H","UseDPDF=Y")</f>
        <v>0</v>
      </c>
      <c r="L23" s="25">
        <f>_xll.BDH("ALNY US Equity","CF_DISPOSAL_OF_FIXED_PROD_ASSETS","FQ1 2021","FQ1 2021","Currency=USD","Period=FQ","BEST_FPERIOD_OVERRIDE=FQ","FILING_STATUS=MR","SCALING_FORMAT=MLN","Sort=A","Dates=H","DateFormat=P","Fill=—","Direction=H","UseDPDF=Y")</f>
        <v>0</v>
      </c>
      <c r="M23" s="25">
        <f>_xll.BDH("ALNY US Equity","CF_DISPOSAL_OF_FIXED_PROD_ASSETS","FQ2 2021","FQ2 2021","Currency=USD","Period=FQ","BEST_FPERIOD_OVERRIDE=FQ","FILING_STATUS=MR","SCALING_FORMAT=MLN","Sort=A","Dates=H","DateFormat=P","Fill=—","Direction=H","UseDPDF=Y")</f>
        <v>0</v>
      </c>
      <c r="N23" s="25">
        <f>_xll.BDH("ALNY US Equity","CF_DISPOSAL_OF_FIXED_PROD_ASSETS","FQ3 2021","FQ3 2021","Currency=USD","Period=FQ","BEST_FPERIOD_OVERRIDE=FQ","FILING_STATUS=MR","SCALING_FORMAT=MLN","Sort=A","Dates=H","DateFormat=P","Fill=—","Direction=H","UseDPDF=Y")</f>
        <v>0</v>
      </c>
      <c r="O23" s="25">
        <f>_xll.BDH("ALNY US Equity","CF_DISPOSAL_OF_FIXED_PROD_ASSETS","FQ4 2021","FQ4 2021","Currency=USD","Period=FQ","BEST_FPERIOD_OVERRIDE=FQ","FILING_STATUS=MR","SCALING_FORMAT=MLN","Sort=A","Dates=H","DateFormat=P","Fill=—","Direction=H","UseDPDF=Y")</f>
        <v>0</v>
      </c>
      <c r="P23" s="25">
        <f>_xll.BDH("ALNY US Equity","CF_DISPOSAL_OF_FIXED_PROD_ASSETS","FQ1 2022","FQ1 2022","Currency=USD","Period=FQ","BEST_FPERIOD_OVERRIDE=FQ","FILING_STATUS=MR","SCALING_FORMAT=MLN","Sort=A","Dates=H","DateFormat=P","Fill=—","Direction=H","UseDPDF=Y")</f>
        <v>0</v>
      </c>
      <c r="Q23" s="25">
        <f>_xll.BDH("ALNY US Equity","CF_DISPOSAL_OF_FIXED_PROD_ASSETS","FQ2 2022","FQ2 2022","Currency=USD","Period=FQ","BEST_FPERIOD_OVERRIDE=FQ","FILING_STATUS=MR","SCALING_FORMAT=MLN","Sort=A","Dates=H","DateFormat=P","Fill=—","Direction=H","UseDPDF=Y")</f>
        <v>0</v>
      </c>
      <c r="R23" s="25">
        <f>_xll.BDH("ALNY US Equity","CF_DISPOSAL_OF_FIXED_PROD_ASSETS","FQ3 2022","FQ3 2022","Currency=USD","Period=FQ","BEST_FPERIOD_OVERRIDE=FQ","FILING_STATUS=MR","SCALING_FORMAT=MLN","Sort=A","Dates=H","DateFormat=P","Fill=—","Direction=H","UseDPDF=Y")</f>
        <v>0</v>
      </c>
      <c r="S23" s="25">
        <f>_xll.BDH("ALNY US Equity","CF_DISPOSAL_OF_FIXED_PROD_ASSETS","FQ4 2022","FQ4 2022","Currency=USD","Period=FQ","BEST_FPERIOD_OVERRIDE=FQ","FILING_STATUS=MR","SCALING_FORMAT=MLN","Sort=A","Dates=H","DateFormat=P","Fill=—","Direction=H","UseDPDF=Y")</f>
        <v>0</v>
      </c>
      <c r="T23" s="25">
        <f>_xll.BDH("ALNY US Equity","CF_DISPOSAL_OF_FIXED_PROD_ASSETS","FQ1 2023","FQ1 2023","Currency=USD","Period=FQ","BEST_FPERIOD_OVERRIDE=FQ","FILING_STATUS=MR","SCALING_FORMAT=MLN","Sort=A","Dates=H","DateFormat=P","Fill=—","Direction=H","UseDPDF=Y")</f>
        <v>0</v>
      </c>
      <c r="U23" s="25">
        <f>_xll.BDH("ALNY US Equity","CF_DISPOSAL_OF_FIXED_PROD_ASSETS","FQ2 2023","FQ2 2023","Currency=USD","Period=FQ","BEST_FPERIOD_OVERRIDE=FQ","FILING_STATUS=MR","SCALING_FORMAT=MLN","Sort=A","Dates=H","DateFormat=P","Fill=—","Direction=H","UseDPDF=Y")</f>
        <v>0</v>
      </c>
      <c r="V23" s="25">
        <f>_xll.BDH("ALNY US Equity","CF_DISPOSAL_OF_FIXED_PROD_ASSETS","FQ3 2023","FQ3 2023","Currency=USD","Period=FQ","BEST_FPERIOD_OVERRIDE=FQ","FILING_STATUS=MR","SCALING_FORMAT=MLN","Sort=A","Dates=H","DateFormat=P","Fill=—","Direction=H","UseDPDF=Y")</f>
        <v>0</v>
      </c>
      <c r="W23" s="25">
        <f>_xll.BDH("ALNY US Equity","CF_DISPOSAL_OF_FIXED_PROD_ASSETS","FQ4 2023","FQ4 2023","Currency=USD","Period=FQ","BEST_FPERIOD_OVERRIDE=FQ","FILING_STATUS=MR","SCALING_FORMAT=MLN","Sort=A","Dates=H","DateFormat=P","Fill=—","Direction=H","UseDPDF=Y")</f>
        <v>0</v>
      </c>
      <c r="X23" s="25">
        <f>_xll.BDH("ALNY US Equity","CF_DISPOSAL_OF_FIXED_PROD_ASSETS","FQ1 2024","FQ1 2024","Currency=USD","Period=FQ","BEST_FPERIOD_OVERRIDE=FQ","FILING_STATUS=MR","SCALING_FORMAT=MLN","Sort=A","Dates=H","DateFormat=P","Fill=—","Direction=H","UseDPDF=Y")</f>
        <v>0</v>
      </c>
      <c r="Y23" s="25" t="str">
        <f>_xll.BDH("ALNY US Equity","CF_DISPOSAL_OF_FIXED_PROD_ASSETS","FQ2 2024","FQ2 2024","Currency=USD","Period=FQ","BEST_FPERIOD_OVERRIDE=FQ","FILING_STATUS=MR","SCALING_FORMAT=MLN","Sort=A","Dates=H","DateFormat=P","Fill=—","Direction=H","UseDPDF=Y")</f>
        <v>—</v>
      </c>
      <c r="Z23" s="25" t="str">
        <f>_xll.BDH("ALNY US Equity","CF_DISPOSAL_OF_FIXED_PROD_ASSETS","FQ3 2024","FQ3 2024","Currency=USD","Period=FQ","BEST_FPERIOD_OVERRIDE=FQ","FILING_STATUS=MR","SCALING_FORMAT=MLN","Sort=A","Dates=H","DateFormat=P","Fill=—","Direction=H","UseDPDF=Y")</f>
        <v>—</v>
      </c>
      <c r="AA23" s="25">
        <f>_xll.BDH("ALNY US Equity","CF_DISPOSAL_OF_FIXED_PROD_ASSETS","FQ4 2024","FQ4 2024","Currency=USD","Period=FQ","BEST_FPERIOD_OVERRIDE=FQ","FILING_STATUS=MR","SCALING_FORMAT=MLN","Sort=A","Dates=H","DateFormat=P","Fill=—","Direction=H","UseDPDF=Y")</f>
        <v>0</v>
      </c>
    </row>
    <row r="24" spans="1:27" x14ac:dyDescent="0.25">
      <c r="A24" s="11" t="s">
        <v>1194</v>
      </c>
      <c r="B24" s="11" t="s">
        <v>1195</v>
      </c>
      <c r="C24" s="25">
        <f>_xll.BDH("ALNY US Equity","CF_DISPOSAL_OF_INTANGIBLE_ASSETS","FQ4 2018","FQ4 2018","Currency=USD","Period=FQ","BEST_FPERIOD_OVERRIDE=FQ","FILING_STATUS=MR","SCALING_FORMAT=MLN","Sort=A","Dates=H","DateFormat=P","Fill=—","Direction=H","UseDPDF=Y")</f>
        <v>0</v>
      </c>
      <c r="D24" s="25">
        <f>_xll.BDH("ALNY US Equity","CF_DISPOSAL_OF_INTANGIBLE_ASSETS","FQ1 2019","FQ1 2019","Currency=USD","Period=FQ","BEST_FPERIOD_OVERRIDE=FQ","FILING_STATUS=MR","SCALING_FORMAT=MLN","Sort=A","Dates=H","DateFormat=P","Fill=—","Direction=H","UseDPDF=Y")</f>
        <v>0</v>
      </c>
      <c r="E24" s="25">
        <f>_xll.BDH("ALNY US Equity","CF_DISPOSAL_OF_INTANGIBLE_ASSETS","FQ2 2019","FQ2 2019","Currency=USD","Period=FQ","BEST_FPERIOD_OVERRIDE=FQ","FILING_STATUS=MR","SCALING_FORMAT=MLN","Sort=A","Dates=H","DateFormat=P","Fill=—","Direction=H","UseDPDF=Y")</f>
        <v>0</v>
      </c>
      <c r="F24" s="25">
        <f>_xll.BDH("ALNY US Equity","CF_DISPOSAL_OF_INTANGIBLE_ASSETS","FQ3 2019","FQ3 2019","Currency=USD","Period=FQ","BEST_FPERIOD_OVERRIDE=FQ","FILING_STATUS=MR","SCALING_FORMAT=MLN","Sort=A","Dates=H","DateFormat=P","Fill=—","Direction=H","UseDPDF=Y")</f>
        <v>0</v>
      </c>
      <c r="G24" s="25">
        <f>_xll.BDH("ALNY US Equity","CF_DISPOSAL_OF_INTANGIBLE_ASSETS","FQ4 2019","FQ4 2019","Currency=USD","Period=FQ","BEST_FPERIOD_OVERRIDE=FQ","FILING_STATUS=MR","SCALING_FORMAT=MLN","Sort=A","Dates=H","DateFormat=P","Fill=—","Direction=H","UseDPDF=Y")</f>
        <v>0</v>
      </c>
      <c r="H24" s="25">
        <f>_xll.BDH("ALNY US Equity","CF_DISPOSAL_OF_INTANGIBLE_ASSETS","FQ1 2020","FQ1 2020","Currency=USD","Period=FQ","BEST_FPERIOD_OVERRIDE=FQ","FILING_STATUS=MR","SCALING_FORMAT=MLN","Sort=A","Dates=H","DateFormat=P","Fill=—","Direction=H","UseDPDF=Y")</f>
        <v>0</v>
      </c>
      <c r="I24" s="25">
        <f>_xll.BDH("ALNY US Equity","CF_DISPOSAL_OF_INTANGIBLE_ASSETS","FQ2 2020","FQ2 2020","Currency=USD","Period=FQ","BEST_FPERIOD_OVERRIDE=FQ","FILING_STATUS=MR","SCALING_FORMAT=MLN","Sort=A","Dates=H","DateFormat=P","Fill=—","Direction=H","UseDPDF=Y")</f>
        <v>0</v>
      </c>
      <c r="J24" s="25">
        <f>_xll.BDH("ALNY US Equity","CF_DISPOSAL_OF_INTANGIBLE_ASSETS","FQ3 2020","FQ3 2020","Currency=USD","Period=FQ","BEST_FPERIOD_OVERRIDE=FQ","FILING_STATUS=MR","SCALING_FORMAT=MLN","Sort=A","Dates=H","DateFormat=P","Fill=—","Direction=H","UseDPDF=Y")</f>
        <v>0</v>
      </c>
      <c r="K24" s="25">
        <f>_xll.BDH("ALNY US Equity","CF_DISPOSAL_OF_INTANGIBLE_ASSETS","FQ4 2020","FQ4 2020","Currency=USD","Period=FQ","BEST_FPERIOD_OVERRIDE=FQ","FILING_STATUS=MR","SCALING_FORMAT=MLN","Sort=A","Dates=H","DateFormat=P","Fill=—","Direction=H","UseDPDF=Y")</f>
        <v>0</v>
      </c>
      <c r="L24" s="25">
        <f>_xll.BDH("ALNY US Equity","CF_DISPOSAL_OF_INTANGIBLE_ASSETS","FQ1 2021","FQ1 2021","Currency=USD","Period=FQ","BEST_FPERIOD_OVERRIDE=FQ","FILING_STATUS=MR","SCALING_FORMAT=MLN","Sort=A","Dates=H","DateFormat=P","Fill=—","Direction=H","UseDPDF=Y")</f>
        <v>0</v>
      </c>
      <c r="M24" s="25">
        <f>_xll.BDH("ALNY US Equity","CF_DISPOSAL_OF_INTANGIBLE_ASSETS","FQ2 2021","FQ2 2021","Currency=USD","Period=FQ","BEST_FPERIOD_OVERRIDE=FQ","FILING_STATUS=MR","SCALING_FORMAT=MLN","Sort=A","Dates=H","DateFormat=P","Fill=—","Direction=H","UseDPDF=Y")</f>
        <v>0</v>
      </c>
      <c r="N24" s="25">
        <f>_xll.BDH("ALNY US Equity","CF_DISPOSAL_OF_INTANGIBLE_ASSETS","FQ3 2021","FQ3 2021","Currency=USD","Period=FQ","BEST_FPERIOD_OVERRIDE=FQ","FILING_STATUS=MR","SCALING_FORMAT=MLN","Sort=A","Dates=H","DateFormat=P","Fill=—","Direction=H","UseDPDF=Y")</f>
        <v>0</v>
      </c>
      <c r="O24" s="25">
        <f>_xll.BDH("ALNY US Equity","CF_DISPOSAL_OF_INTANGIBLE_ASSETS","FQ4 2021","FQ4 2021","Currency=USD","Period=FQ","BEST_FPERIOD_OVERRIDE=FQ","FILING_STATUS=MR","SCALING_FORMAT=MLN","Sort=A","Dates=H","DateFormat=P","Fill=—","Direction=H","UseDPDF=Y")</f>
        <v>0</v>
      </c>
      <c r="P24" s="25">
        <f>_xll.BDH("ALNY US Equity","CF_DISPOSAL_OF_INTANGIBLE_ASSETS","FQ1 2022","FQ1 2022","Currency=USD","Period=FQ","BEST_FPERIOD_OVERRIDE=FQ","FILING_STATUS=MR","SCALING_FORMAT=MLN","Sort=A","Dates=H","DateFormat=P","Fill=—","Direction=H","UseDPDF=Y")</f>
        <v>0</v>
      </c>
      <c r="Q24" s="25">
        <f>_xll.BDH("ALNY US Equity","CF_DISPOSAL_OF_INTANGIBLE_ASSETS","FQ2 2022","FQ2 2022","Currency=USD","Period=FQ","BEST_FPERIOD_OVERRIDE=FQ","FILING_STATUS=MR","SCALING_FORMAT=MLN","Sort=A","Dates=H","DateFormat=P","Fill=—","Direction=H","UseDPDF=Y")</f>
        <v>0</v>
      </c>
      <c r="R24" s="25">
        <f>_xll.BDH("ALNY US Equity","CF_DISPOSAL_OF_INTANGIBLE_ASSETS","FQ3 2022","FQ3 2022","Currency=USD","Period=FQ","BEST_FPERIOD_OVERRIDE=FQ","FILING_STATUS=MR","SCALING_FORMAT=MLN","Sort=A","Dates=H","DateFormat=P","Fill=—","Direction=H","UseDPDF=Y")</f>
        <v>0</v>
      </c>
      <c r="S24" s="25">
        <f>_xll.BDH("ALNY US Equity","CF_DISPOSAL_OF_INTANGIBLE_ASSETS","FQ4 2022","FQ4 2022","Currency=USD","Period=FQ","BEST_FPERIOD_OVERRIDE=FQ","FILING_STATUS=MR","SCALING_FORMAT=MLN","Sort=A","Dates=H","DateFormat=P","Fill=—","Direction=H","UseDPDF=Y")</f>
        <v>0</v>
      </c>
      <c r="T24" s="25">
        <f>_xll.BDH("ALNY US Equity","CF_DISPOSAL_OF_INTANGIBLE_ASSETS","FQ1 2023","FQ1 2023","Currency=USD","Period=FQ","BEST_FPERIOD_OVERRIDE=FQ","FILING_STATUS=MR","SCALING_FORMAT=MLN","Sort=A","Dates=H","DateFormat=P","Fill=—","Direction=H","UseDPDF=Y")</f>
        <v>0</v>
      </c>
      <c r="U24" s="25">
        <f>_xll.BDH("ALNY US Equity","CF_DISPOSAL_OF_INTANGIBLE_ASSETS","FQ2 2023","FQ2 2023","Currency=USD","Period=FQ","BEST_FPERIOD_OVERRIDE=FQ","FILING_STATUS=MR","SCALING_FORMAT=MLN","Sort=A","Dates=H","DateFormat=P","Fill=—","Direction=H","UseDPDF=Y")</f>
        <v>0</v>
      </c>
      <c r="V24" s="25">
        <f>_xll.BDH("ALNY US Equity","CF_DISPOSAL_OF_INTANGIBLE_ASSETS","FQ3 2023","FQ3 2023","Currency=USD","Period=FQ","BEST_FPERIOD_OVERRIDE=FQ","FILING_STATUS=MR","SCALING_FORMAT=MLN","Sort=A","Dates=H","DateFormat=P","Fill=—","Direction=H","UseDPDF=Y")</f>
        <v>0</v>
      </c>
      <c r="W24" s="25">
        <f>_xll.BDH("ALNY US Equity","CF_DISPOSAL_OF_INTANGIBLE_ASSETS","FQ4 2023","FQ4 2023","Currency=USD","Period=FQ","BEST_FPERIOD_OVERRIDE=FQ","FILING_STATUS=MR","SCALING_FORMAT=MLN","Sort=A","Dates=H","DateFormat=P","Fill=—","Direction=H","UseDPDF=Y")</f>
        <v>0</v>
      </c>
      <c r="X24" s="25">
        <f>_xll.BDH("ALNY US Equity","CF_DISPOSAL_OF_INTANGIBLE_ASSETS","FQ1 2024","FQ1 2024","Currency=USD","Period=FQ","BEST_FPERIOD_OVERRIDE=FQ","FILING_STATUS=MR","SCALING_FORMAT=MLN","Sort=A","Dates=H","DateFormat=P","Fill=—","Direction=H","UseDPDF=Y")</f>
        <v>0</v>
      </c>
      <c r="Y24" s="25" t="str">
        <f>_xll.BDH("ALNY US Equity","CF_DISPOSAL_OF_INTANGIBLE_ASSETS","FQ2 2024","FQ2 2024","Currency=USD","Period=FQ","BEST_FPERIOD_OVERRIDE=FQ","FILING_STATUS=MR","SCALING_FORMAT=MLN","Sort=A","Dates=H","DateFormat=P","Fill=—","Direction=H","UseDPDF=Y")</f>
        <v>—</v>
      </c>
      <c r="Z24" s="25" t="str">
        <f>_xll.BDH("ALNY US Equity","CF_DISPOSAL_OF_INTANGIBLE_ASSETS","FQ3 2024","FQ3 2024","Currency=USD","Period=FQ","BEST_FPERIOD_OVERRIDE=FQ","FILING_STATUS=MR","SCALING_FORMAT=MLN","Sort=A","Dates=H","DateFormat=P","Fill=—","Direction=H","UseDPDF=Y")</f>
        <v>—</v>
      </c>
      <c r="AA24" s="25">
        <f>_xll.BDH("ALNY US Equity","CF_DISPOSAL_OF_INTANGIBLE_ASSETS","FQ4 2024","FQ4 2024","Currency=USD","Period=FQ","BEST_FPERIOD_OVERRIDE=FQ","FILING_STATUS=MR","SCALING_FORMAT=MLN","Sort=A","Dates=H","DateFormat=P","Fill=—","Direction=H","UseDPDF=Y")</f>
        <v>0</v>
      </c>
    </row>
    <row r="25" spans="1:27" x14ac:dyDescent="0.25">
      <c r="A25" s="10" t="s">
        <v>1196</v>
      </c>
      <c r="B25" s="10" t="s">
        <v>1197</v>
      </c>
      <c r="C25" s="13">
        <f>_xll.BDH("ALNY US Equity","ACQUIS_OF_FIXED_INTANG","FQ4 2018","FQ4 2018","Currency=USD","Period=FQ","BEST_FPERIOD_OVERRIDE=FQ","FILING_STATUS=MR","SCALING_FORMAT=MLN","Sort=A","Dates=H","DateFormat=P","Fill=—","Direction=H","UseDPDF=Y")</f>
        <v>-37.512999999999998</v>
      </c>
      <c r="D25" s="13">
        <f>_xll.BDH("ALNY US Equity","ACQUIS_OF_FIXED_INTANG","FQ1 2019","FQ1 2019","Currency=USD","Period=FQ","BEST_FPERIOD_OVERRIDE=FQ","FILING_STATUS=MR","SCALING_FORMAT=MLN","Sort=A","Dates=H","DateFormat=P","Fill=—","Direction=H","UseDPDF=Y")</f>
        <v>-44.048999999999999</v>
      </c>
      <c r="E25" s="13">
        <f>_xll.BDH("ALNY US Equity","ACQUIS_OF_FIXED_INTANG","FQ2 2019","FQ2 2019","Currency=USD","Period=FQ","BEST_FPERIOD_OVERRIDE=FQ","FILING_STATUS=MR","SCALING_FORMAT=MLN","Sort=A","Dates=H","DateFormat=P","Fill=—","Direction=H","UseDPDF=Y")</f>
        <v>-21.244</v>
      </c>
      <c r="F25" s="13">
        <f>_xll.BDH("ALNY US Equity","ACQUIS_OF_FIXED_INTANG","FQ3 2019","FQ3 2019","Currency=USD","Period=FQ","BEST_FPERIOD_OVERRIDE=FQ","FILING_STATUS=MR","SCALING_FORMAT=MLN","Sort=A","Dates=H","DateFormat=P","Fill=—","Direction=H","UseDPDF=Y")</f>
        <v>-36.058</v>
      </c>
      <c r="G25" s="13">
        <f>_xll.BDH("ALNY US Equity","ACQUIS_OF_FIXED_INTANG","FQ4 2019","FQ4 2019","Currency=USD","Period=FQ","BEST_FPERIOD_OVERRIDE=FQ","FILING_STATUS=MR","SCALING_FORMAT=MLN","Sort=A","Dates=H","DateFormat=P","Fill=—","Direction=H","UseDPDF=Y")</f>
        <v>-38.805</v>
      </c>
      <c r="H25" s="13">
        <f>_xll.BDH("ALNY US Equity","ACQUIS_OF_FIXED_INTANG","FQ1 2020","FQ1 2020","Currency=USD","Period=FQ","BEST_FPERIOD_OVERRIDE=FQ","FILING_STATUS=MR","SCALING_FORMAT=MLN","Sort=A","Dates=H","DateFormat=P","Fill=—","Direction=H","UseDPDF=Y")</f>
        <v>-19.617000000000001</v>
      </c>
      <c r="I25" s="13">
        <f>_xll.BDH("ALNY US Equity","ACQUIS_OF_FIXED_INTANG","FQ2 2020","FQ2 2020","Currency=USD","Period=FQ","BEST_FPERIOD_OVERRIDE=FQ","FILING_STATUS=MR","SCALING_FORMAT=MLN","Sort=A","Dates=H","DateFormat=P","Fill=—","Direction=H","UseDPDF=Y")</f>
        <v>-16.658000000000001</v>
      </c>
      <c r="J25" s="13">
        <f>_xll.BDH("ALNY US Equity","ACQUIS_OF_FIXED_INTANG","FQ3 2020","FQ3 2020","Currency=USD","Period=FQ","BEST_FPERIOD_OVERRIDE=FQ","FILING_STATUS=MR","SCALING_FORMAT=MLN","Sort=A","Dates=H","DateFormat=P","Fill=—","Direction=H","UseDPDF=Y")</f>
        <v>-12.417999999999999</v>
      </c>
      <c r="K25" s="13">
        <f>_xll.BDH("ALNY US Equity","ACQUIS_OF_FIXED_INTANG","FQ4 2020","FQ4 2020","Currency=USD","Period=FQ","BEST_FPERIOD_OVERRIDE=FQ","FILING_STATUS=MR","SCALING_FORMAT=MLN","Sort=A","Dates=H","DateFormat=P","Fill=—","Direction=H","UseDPDF=Y")</f>
        <v>-21.667999999999999</v>
      </c>
      <c r="L25" s="13">
        <f>_xll.BDH("ALNY US Equity","ACQUIS_OF_FIXED_INTANG","FQ1 2021","FQ1 2021","Currency=USD","Period=FQ","BEST_FPERIOD_OVERRIDE=FQ","FILING_STATUS=MR","SCALING_FORMAT=MLN","Sort=A","Dates=H","DateFormat=P","Fill=—","Direction=H","UseDPDF=Y")</f>
        <v>-17.178000000000001</v>
      </c>
      <c r="M25" s="13">
        <f>_xll.BDH("ALNY US Equity","ACQUIS_OF_FIXED_INTANG","FQ2 2021","FQ2 2021","Currency=USD","Period=FQ","BEST_FPERIOD_OVERRIDE=FQ","FILING_STATUS=MR","SCALING_FORMAT=MLN","Sort=A","Dates=H","DateFormat=P","Fill=—","Direction=H","UseDPDF=Y")</f>
        <v>-11.246</v>
      </c>
      <c r="N25" s="13">
        <f>_xll.BDH("ALNY US Equity","ACQUIS_OF_FIXED_INTANG","FQ3 2021","FQ3 2021","Currency=USD","Period=FQ","BEST_FPERIOD_OVERRIDE=FQ","FILING_STATUS=MR","SCALING_FORMAT=MLN","Sort=A","Dates=H","DateFormat=P","Fill=—","Direction=H","UseDPDF=Y")</f>
        <v>-26.062000000000001</v>
      </c>
      <c r="O25" s="13">
        <f>_xll.BDH("ALNY US Equity","ACQUIS_OF_FIXED_INTANG","FQ4 2021","FQ4 2021","Currency=USD","Period=FQ","BEST_FPERIOD_OVERRIDE=FQ","FILING_STATUS=MR","SCALING_FORMAT=MLN","Sort=A","Dates=H","DateFormat=P","Fill=—","Direction=H","UseDPDF=Y")</f>
        <v>-21.885999999999999</v>
      </c>
      <c r="P25" s="13">
        <f>_xll.BDH("ALNY US Equity","ACQUIS_OF_FIXED_INTANG","FQ1 2022","FQ1 2022","Currency=USD","Period=FQ","BEST_FPERIOD_OVERRIDE=FQ","FILING_STATUS=MR","SCALING_FORMAT=MLN","Sort=A","Dates=H","DateFormat=P","Fill=—","Direction=H","UseDPDF=Y")</f>
        <v>-17.859000000000002</v>
      </c>
      <c r="Q25" s="13">
        <f>_xll.BDH("ALNY US Equity","ACQUIS_OF_FIXED_INTANG","FQ2 2022","FQ2 2022","Currency=USD","Period=FQ","BEST_FPERIOD_OVERRIDE=FQ","FILING_STATUS=MR","SCALING_FORMAT=MLN","Sort=A","Dates=H","DateFormat=P","Fill=—","Direction=H","UseDPDF=Y")</f>
        <v>-16.055</v>
      </c>
      <c r="R25" s="13">
        <f>_xll.BDH("ALNY US Equity","ACQUIS_OF_FIXED_INTANG","FQ3 2022","FQ3 2022","Currency=USD","Period=FQ","BEST_FPERIOD_OVERRIDE=FQ","FILING_STATUS=MR","SCALING_FORMAT=MLN","Sort=A","Dates=H","DateFormat=P","Fill=—","Direction=H","UseDPDF=Y")</f>
        <v>-16.510000000000002</v>
      </c>
      <c r="S25" s="13">
        <f>_xll.BDH("ALNY US Equity","ACQUIS_OF_FIXED_INTANG","FQ4 2022","FQ4 2022","Currency=USD","Period=FQ","BEST_FPERIOD_OVERRIDE=FQ","FILING_STATUS=MR","SCALING_FORMAT=MLN","Sort=A","Dates=H","DateFormat=P","Fill=—","Direction=H","UseDPDF=Y")</f>
        <v>-21.635000000000002</v>
      </c>
      <c r="T25" s="13">
        <f>_xll.BDH("ALNY US Equity","ACQUIS_OF_FIXED_INTANG","FQ1 2023","FQ1 2023","Currency=USD","Period=FQ","BEST_FPERIOD_OVERRIDE=FQ","FILING_STATUS=MR","SCALING_FORMAT=MLN","Sort=A","Dates=H","DateFormat=P","Fill=—","Direction=H","UseDPDF=Y")</f>
        <v>-13.891</v>
      </c>
      <c r="U25" s="13">
        <f>_xll.BDH("ALNY US Equity","ACQUIS_OF_FIXED_INTANG","FQ2 2023","FQ2 2023","Currency=USD","Period=FQ","BEST_FPERIOD_OVERRIDE=FQ","FILING_STATUS=MR","SCALING_FORMAT=MLN","Sort=A","Dates=H","DateFormat=P","Fill=—","Direction=H","UseDPDF=Y")</f>
        <v>-15.919</v>
      </c>
      <c r="V25" s="13">
        <f>_xll.BDH("ALNY US Equity","ACQUIS_OF_FIXED_INTANG","FQ3 2023","FQ3 2023","Currency=USD","Period=FQ","BEST_FPERIOD_OVERRIDE=FQ","FILING_STATUS=MR","SCALING_FORMAT=MLN","Sort=A","Dates=H","DateFormat=P","Fill=—","Direction=H","UseDPDF=Y")</f>
        <v>-17.091999999999999</v>
      </c>
      <c r="W25" s="13">
        <f>_xll.BDH("ALNY US Equity","ACQUIS_OF_FIXED_INTANG","FQ4 2023","FQ4 2023","Currency=USD","Period=FQ","BEST_FPERIOD_OVERRIDE=FQ","FILING_STATUS=MR","SCALING_FORMAT=MLN","Sort=A","Dates=H","DateFormat=P","Fill=—","Direction=H","UseDPDF=Y")</f>
        <v>-15.308999999999999</v>
      </c>
      <c r="X25" s="13">
        <f>_xll.BDH("ALNY US Equity","ACQUIS_OF_FIXED_INTANG","FQ1 2024","FQ1 2024","Currency=USD","Period=FQ","BEST_FPERIOD_OVERRIDE=FQ","FILING_STATUS=MR","SCALING_FORMAT=MLN","Sort=A","Dates=H","DateFormat=P","Fill=—","Direction=H","UseDPDF=Y")</f>
        <v>-12.973000000000001</v>
      </c>
      <c r="Y25" s="13">
        <f>_xll.BDH("ALNY US Equity","ACQUIS_OF_FIXED_INTANG","FQ2 2024","FQ2 2024","Currency=USD","Period=FQ","BEST_FPERIOD_OVERRIDE=FQ","FILING_STATUS=MR","SCALING_FORMAT=MLN","Sort=A","Dates=H","DateFormat=P","Fill=—","Direction=H","UseDPDF=Y")</f>
        <v>-8.0180000000000007</v>
      </c>
      <c r="Z25" s="13">
        <f>_xll.BDH("ALNY US Equity","ACQUIS_OF_FIXED_INTANG","FQ3 2024","FQ3 2024","Currency=USD","Period=FQ","BEST_FPERIOD_OVERRIDE=FQ","FILING_STATUS=MR","SCALING_FORMAT=MLN","Sort=A","Dates=H","DateFormat=P","Fill=—","Direction=H","UseDPDF=Y")</f>
        <v>-4.1920000000000002</v>
      </c>
      <c r="AA25" s="13">
        <f>_xll.BDH("ALNY US Equity","ACQUIS_OF_FIXED_INTANG","FQ4 2024","FQ4 2024","Currency=USD","Period=FQ","BEST_FPERIOD_OVERRIDE=FQ","FILING_STATUS=MR","SCALING_FORMAT=MLN","Sort=A","Dates=H","DateFormat=P","Fill=—","Direction=H","UseDPDF=Y")</f>
        <v>-9.0939999999999994</v>
      </c>
    </row>
    <row r="26" spans="1:27" x14ac:dyDescent="0.25">
      <c r="A26" s="11" t="s">
        <v>1198</v>
      </c>
      <c r="B26" s="11" t="s">
        <v>1199</v>
      </c>
      <c r="C26" s="25">
        <f>_xll.BDH("ALNY US Equity","CF_PURCHASE_OF_FIXED_PROD_ASSETS","FQ4 2018","FQ4 2018","Currency=USD","Period=FQ","BEST_FPERIOD_OVERRIDE=FQ","FILING_STATUS=MR","SCALING_FORMAT=MLN","Sort=A","Dates=H","DateFormat=P","Fill=—","Direction=H","UseDPDF=Y")</f>
        <v>-37.512999999999998</v>
      </c>
      <c r="D26" s="25">
        <f>_xll.BDH("ALNY US Equity","CF_PURCHASE_OF_FIXED_PROD_ASSETS","FQ1 2019","FQ1 2019","Currency=USD","Period=FQ","BEST_FPERIOD_OVERRIDE=FQ","FILING_STATUS=MR","SCALING_FORMAT=MLN","Sort=A","Dates=H","DateFormat=P","Fill=—","Direction=H","UseDPDF=Y")</f>
        <v>-44.048999999999999</v>
      </c>
      <c r="E26" s="25">
        <f>_xll.BDH("ALNY US Equity","CF_PURCHASE_OF_FIXED_PROD_ASSETS","FQ2 2019","FQ2 2019","Currency=USD","Period=FQ","BEST_FPERIOD_OVERRIDE=FQ","FILING_STATUS=MR","SCALING_FORMAT=MLN","Sort=A","Dates=H","DateFormat=P","Fill=—","Direction=H","UseDPDF=Y")</f>
        <v>-21.244</v>
      </c>
      <c r="F26" s="25">
        <f>_xll.BDH("ALNY US Equity","CF_PURCHASE_OF_FIXED_PROD_ASSETS","FQ3 2019","FQ3 2019","Currency=USD","Period=FQ","BEST_FPERIOD_OVERRIDE=FQ","FILING_STATUS=MR","SCALING_FORMAT=MLN","Sort=A","Dates=H","DateFormat=P","Fill=—","Direction=H","UseDPDF=Y")</f>
        <v>-36.058</v>
      </c>
      <c r="G26" s="25">
        <f>_xll.BDH("ALNY US Equity","CF_PURCHASE_OF_FIXED_PROD_ASSETS","FQ4 2019","FQ4 2019","Currency=USD","Period=FQ","BEST_FPERIOD_OVERRIDE=FQ","FILING_STATUS=MR","SCALING_FORMAT=MLN","Sort=A","Dates=H","DateFormat=P","Fill=—","Direction=H","UseDPDF=Y")</f>
        <v>-38.805</v>
      </c>
      <c r="H26" s="25">
        <f>_xll.BDH("ALNY US Equity","CF_PURCHASE_OF_FIXED_PROD_ASSETS","FQ1 2020","FQ1 2020","Currency=USD","Period=FQ","BEST_FPERIOD_OVERRIDE=FQ","FILING_STATUS=MR","SCALING_FORMAT=MLN","Sort=A","Dates=H","DateFormat=P","Fill=—","Direction=H","UseDPDF=Y")</f>
        <v>-19.617000000000001</v>
      </c>
      <c r="I26" s="25">
        <f>_xll.BDH("ALNY US Equity","CF_PURCHASE_OF_FIXED_PROD_ASSETS","FQ2 2020","FQ2 2020","Currency=USD","Period=FQ","BEST_FPERIOD_OVERRIDE=FQ","FILING_STATUS=MR","SCALING_FORMAT=MLN","Sort=A","Dates=H","DateFormat=P","Fill=—","Direction=H","UseDPDF=Y")</f>
        <v>-16.658000000000001</v>
      </c>
      <c r="J26" s="25">
        <f>_xll.BDH("ALNY US Equity","CF_PURCHASE_OF_FIXED_PROD_ASSETS","FQ3 2020","FQ3 2020","Currency=USD","Period=FQ","BEST_FPERIOD_OVERRIDE=FQ","FILING_STATUS=MR","SCALING_FORMAT=MLN","Sort=A","Dates=H","DateFormat=P","Fill=—","Direction=H","UseDPDF=Y")</f>
        <v>-12.417999999999999</v>
      </c>
      <c r="K26" s="25">
        <f>_xll.BDH("ALNY US Equity","CF_PURCHASE_OF_FIXED_PROD_ASSETS","FQ4 2020","FQ4 2020","Currency=USD","Period=FQ","BEST_FPERIOD_OVERRIDE=FQ","FILING_STATUS=MR","SCALING_FORMAT=MLN","Sort=A","Dates=H","DateFormat=P","Fill=—","Direction=H","UseDPDF=Y")</f>
        <v>-21.667999999999999</v>
      </c>
      <c r="L26" s="25">
        <f>_xll.BDH("ALNY US Equity","CF_PURCHASE_OF_FIXED_PROD_ASSETS","FQ1 2021","FQ1 2021","Currency=USD","Period=FQ","BEST_FPERIOD_OVERRIDE=FQ","FILING_STATUS=MR","SCALING_FORMAT=MLN","Sort=A","Dates=H","DateFormat=P","Fill=—","Direction=H","UseDPDF=Y")</f>
        <v>-17.178000000000001</v>
      </c>
      <c r="M26" s="25">
        <f>_xll.BDH("ALNY US Equity","CF_PURCHASE_OF_FIXED_PROD_ASSETS","FQ2 2021","FQ2 2021","Currency=USD","Period=FQ","BEST_FPERIOD_OVERRIDE=FQ","FILING_STATUS=MR","SCALING_FORMAT=MLN","Sort=A","Dates=H","DateFormat=P","Fill=—","Direction=H","UseDPDF=Y")</f>
        <v>-11.246</v>
      </c>
      <c r="N26" s="25">
        <f>_xll.BDH("ALNY US Equity","CF_PURCHASE_OF_FIXED_PROD_ASSETS","FQ3 2021","FQ3 2021","Currency=USD","Period=FQ","BEST_FPERIOD_OVERRIDE=FQ","FILING_STATUS=MR","SCALING_FORMAT=MLN","Sort=A","Dates=H","DateFormat=P","Fill=—","Direction=H","UseDPDF=Y")</f>
        <v>-26.062000000000001</v>
      </c>
      <c r="O26" s="25">
        <f>_xll.BDH("ALNY US Equity","CF_PURCHASE_OF_FIXED_PROD_ASSETS","FQ4 2021","FQ4 2021","Currency=USD","Period=FQ","BEST_FPERIOD_OVERRIDE=FQ","FILING_STATUS=MR","SCALING_FORMAT=MLN","Sort=A","Dates=H","DateFormat=P","Fill=—","Direction=H","UseDPDF=Y")</f>
        <v>-21.885999999999999</v>
      </c>
      <c r="P26" s="25">
        <f>_xll.BDH("ALNY US Equity","CF_PURCHASE_OF_FIXED_PROD_ASSETS","FQ1 2022","FQ1 2022","Currency=USD","Period=FQ","BEST_FPERIOD_OVERRIDE=FQ","FILING_STATUS=MR","SCALING_FORMAT=MLN","Sort=A","Dates=H","DateFormat=P","Fill=—","Direction=H","UseDPDF=Y")</f>
        <v>-17.859000000000002</v>
      </c>
      <c r="Q26" s="25">
        <f>_xll.BDH("ALNY US Equity","CF_PURCHASE_OF_FIXED_PROD_ASSETS","FQ2 2022","FQ2 2022","Currency=USD","Period=FQ","BEST_FPERIOD_OVERRIDE=FQ","FILING_STATUS=MR","SCALING_FORMAT=MLN","Sort=A","Dates=H","DateFormat=P","Fill=—","Direction=H","UseDPDF=Y")</f>
        <v>-16.055</v>
      </c>
      <c r="R26" s="25">
        <f>_xll.BDH("ALNY US Equity","CF_PURCHASE_OF_FIXED_PROD_ASSETS","FQ3 2022","FQ3 2022","Currency=USD","Period=FQ","BEST_FPERIOD_OVERRIDE=FQ","FILING_STATUS=MR","SCALING_FORMAT=MLN","Sort=A","Dates=H","DateFormat=P","Fill=—","Direction=H","UseDPDF=Y")</f>
        <v>-16.510000000000002</v>
      </c>
      <c r="S26" s="25">
        <f>_xll.BDH("ALNY US Equity","CF_PURCHASE_OF_FIXED_PROD_ASSETS","FQ4 2022","FQ4 2022","Currency=USD","Period=FQ","BEST_FPERIOD_OVERRIDE=FQ","FILING_STATUS=MR","SCALING_FORMAT=MLN","Sort=A","Dates=H","DateFormat=P","Fill=—","Direction=H","UseDPDF=Y")</f>
        <v>-21.635000000000002</v>
      </c>
      <c r="T26" s="25">
        <f>_xll.BDH("ALNY US Equity","CF_PURCHASE_OF_FIXED_PROD_ASSETS","FQ1 2023","FQ1 2023","Currency=USD","Period=FQ","BEST_FPERIOD_OVERRIDE=FQ","FILING_STATUS=MR","SCALING_FORMAT=MLN","Sort=A","Dates=H","DateFormat=P","Fill=—","Direction=H","UseDPDF=Y")</f>
        <v>-13.891</v>
      </c>
      <c r="U26" s="25">
        <f>_xll.BDH("ALNY US Equity","CF_PURCHASE_OF_FIXED_PROD_ASSETS","FQ2 2023","FQ2 2023","Currency=USD","Period=FQ","BEST_FPERIOD_OVERRIDE=FQ","FILING_STATUS=MR","SCALING_FORMAT=MLN","Sort=A","Dates=H","DateFormat=P","Fill=—","Direction=H","UseDPDF=Y")</f>
        <v>-15.919</v>
      </c>
      <c r="V26" s="25">
        <f>_xll.BDH("ALNY US Equity","CF_PURCHASE_OF_FIXED_PROD_ASSETS","FQ3 2023","FQ3 2023","Currency=USD","Period=FQ","BEST_FPERIOD_OVERRIDE=FQ","FILING_STATUS=MR","SCALING_FORMAT=MLN","Sort=A","Dates=H","DateFormat=P","Fill=—","Direction=H","UseDPDF=Y")</f>
        <v>-17.091999999999999</v>
      </c>
      <c r="W26" s="25">
        <f>_xll.BDH("ALNY US Equity","CF_PURCHASE_OF_FIXED_PROD_ASSETS","FQ4 2023","FQ4 2023","Currency=USD","Period=FQ","BEST_FPERIOD_OVERRIDE=FQ","FILING_STATUS=MR","SCALING_FORMAT=MLN","Sort=A","Dates=H","DateFormat=P","Fill=—","Direction=H","UseDPDF=Y")</f>
        <v>-15.308999999999999</v>
      </c>
      <c r="X26" s="25">
        <f>_xll.BDH("ALNY US Equity","CF_PURCHASE_OF_FIXED_PROD_ASSETS","FQ1 2024","FQ1 2024","Currency=USD","Period=FQ","BEST_FPERIOD_OVERRIDE=FQ","FILING_STATUS=MR","SCALING_FORMAT=MLN","Sort=A","Dates=H","DateFormat=P","Fill=—","Direction=H","UseDPDF=Y")</f>
        <v>-12.973000000000001</v>
      </c>
      <c r="Y26" s="25">
        <f>_xll.BDH("ALNY US Equity","CF_PURCHASE_OF_FIXED_PROD_ASSETS","FQ2 2024","FQ2 2024","Currency=USD","Period=FQ","BEST_FPERIOD_OVERRIDE=FQ","FILING_STATUS=MR","SCALING_FORMAT=MLN","Sort=A","Dates=H","DateFormat=P","Fill=—","Direction=H","UseDPDF=Y")</f>
        <v>-8.0180000000000007</v>
      </c>
      <c r="Z26" s="25">
        <f>_xll.BDH("ALNY US Equity","CF_PURCHASE_OF_FIXED_PROD_ASSETS","FQ3 2024","FQ3 2024","Currency=USD","Period=FQ","BEST_FPERIOD_OVERRIDE=FQ","FILING_STATUS=MR","SCALING_FORMAT=MLN","Sort=A","Dates=H","DateFormat=P","Fill=—","Direction=H","UseDPDF=Y")</f>
        <v>-4.1920000000000002</v>
      </c>
      <c r="AA26" s="25">
        <f>_xll.BDH("ALNY US Equity","CF_PURCHASE_OF_FIXED_PROD_ASSETS","FQ4 2024","FQ4 2024","Currency=USD","Period=FQ","BEST_FPERIOD_OVERRIDE=FQ","FILING_STATUS=MR","SCALING_FORMAT=MLN","Sort=A","Dates=H","DateFormat=P","Fill=—","Direction=H","UseDPDF=Y")</f>
        <v>-9.0939999999999994</v>
      </c>
    </row>
    <row r="27" spans="1:27" x14ac:dyDescent="0.25">
      <c r="A27" s="11" t="s">
        <v>1200</v>
      </c>
      <c r="B27" s="11" t="s">
        <v>1201</v>
      </c>
      <c r="C27" s="25">
        <f>_xll.BDH("ALNY US Equity","CF_ACQUISITION_OF_INTANG_ASSETS","FQ4 2018","FQ4 2018","Currency=USD","Period=FQ","BEST_FPERIOD_OVERRIDE=FQ","FILING_STATUS=MR","SCALING_FORMAT=MLN","Sort=A","Dates=H","DateFormat=P","Fill=—","Direction=H","UseDPDF=Y")</f>
        <v>0</v>
      </c>
      <c r="D27" s="25">
        <f>_xll.BDH("ALNY US Equity","CF_ACQUISITION_OF_INTANG_ASSETS","FQ1 2019","FQ1 2019","Currency=USD","Period=FQ","BEST_FPERIOD_OVERRIDE=FQ","FILING_STATUS=MR","SCALING_FORMAT=MLN","Sort=A","Dates=H","DateFormat=P","Fill=—","Direction=H","UseDPDF=Y")</f>
        <v>0</v>
      </c>
      <c r="E27" s="25">
        <f>_xll.BDH("ALNY US Equity","CF_ACQUISITION_OF_INTANG_ASSETS","FQ2 2019","FQ2 2019","Currency=USD","Period=FQ","BEST_FPERIOD_OVERRIDE=FQ","FILING_STATUS=MR","SCALING_FORMAT=MLN","Sort=A","Dates=H","DateFormat=P","Fill=—","Direction=H","UseDPDF=Y")</f>
        <v>0</v>
      </c>
      <c r="F27" s="25">
        <f>_xll.BDH("ALNY US Equity","CF_ACQUISITION_OF_INTANG_ASSETS","FQ3 2019","FQ3 2019","Currency=USD","Period=FQ","BEST_FPERIOD_OVERRIDE=FQ","FILING_STATUS=MR","SCALING_FORMAT=MLN","Sort=A","Dates=H","DateFormat=P","Fill=—","Direction=H","UseDPDF=Y")</f>
        <v>0</v>
      </c>
      <c r="G27" s="25">
        <f>_xll.BDH("ALNY US Equity","CF_ACQUISITION_OF_INTANG_ASSETS","FQ4 2019","FQ4 2019","Currency=USD","Period=FQ","BEST_FPERIOD_OVERRIDE=FQ","FILING_STATUS=MR","SCALING_FORMAT=MLN","Sort=A","Dates=H","DateFormat=P","Fill=—","Direction=H","UseDPDF=Y")</f>
        <v>0</v>
      </c>
      <c r="H27" s="25">
        <f>_xll.BDH("ALNY US Equity","CF_ACQUISITION_OF_INTANG_ASSETS","FQ1 2020","FQ1 2020","Currency=USD","Period=FQ","BEST_FPERIOD_OVERRIDE=FQ","FILING_STATUS=MR","SCALING_FORMAT=MLN","Sort=A","Dates=H","DateFormat=P","Fill=—","Direction=H","UseDPDF=Y")</f>
        <v>0</v>
      </c>
      <c r="I27" s="25">
        <f>_xll.BDH("ALNY US Equity","CF_ACQUISITION_OF_INTANG_ASSETS","FQ2 2020","FQ2 2020","Currency=USD","Period=FQ","BEST_FPERIOD_OVERRIDE=FQ","FILING_STATUS=MR","SCALING_FORMAT=MLN","Sort=A","Dates=H","DateFormat=P","Fill=—","Direction=H","UseDPDF=Y")</f>
        <v>0</v>
      </c>
      <c r="J27" s="25">
        <f>_xll.BDH("ALNY US Equity","CF_ACQUISITION_OF_INTANG_ASSETS","FQ3 2020","FQ3 2020","Currency=USD","Period=FQ","BEST_FPERIOD_OVERRIDE=FQ","FILING_STATUS=MR","SCALING_FORMAT=MLN","Sort=A","Dates=H","DateFormat=P","Fill=—","Direction=H","UseDPDF=Y")</f>
        <v>0</v>
      </c>
      <c r="K27" s="25">
        <f>_xll.BDH("ALNY US Equity","CF_ACQUISITION_OF_INTANG_ASSETS","FQ4 2020","FQ4 2020","Currency=USD","Period=FQ","BEST_FPERIOD_OVERRIDE=FQ","FILING_STATUS=MR","SCALING_FORMAT=MLN","Sort=A","Dates=H","DateFormat=P","Fill=—","Direction=H","UseDPDF=Y")</f>
        <v>0</v>
      </c>
      <c r="L27" s="25">
        <f>_xll.BDH("ALNY US Equity","CF_ACQUISITION_OF_INTANG_ASSETS","FQ1 2021","FQ1 2021","Currency=USD","Period=FQ","BEST_FPERIOD_OVERRIDE=FQ","FILING_STATUS=MR","SCALING_FORMAT=MLN","Sort=A","Dates=H","DateFormat=P","Fill=—","Direction=H","UseDPDF=Y")</f>
        <v>0</v>
      </c>
      <c r="M27" s="25">
        <f>_xll.BDH("ALNY US Equity","CF_ACQUISITION_OF_INTANG_ASSETS","FQ2 2021","FQ2 2021","Currency=USD","Period=FQ","BEST_FPERIOD_OVERRIDE=FQ","FILING_STATUS=MR","SCALING_FORMAT=MLN","Sort=A","Dates=H","DateFormat=P","Fill=—","Direction=H","UseDPDF=Y")</f>
        <v>0</v>
      </c>
      <c r="N27" s="25">
        <f>_xll.BDH("ALNY US Equity","CF_ACQUISITION_OF_INTANG_ASSETS","FQ3 2021","FQ3 2021","Currency=USD","Period=FQ","BEST_FPERIOD_OVERRIDE=FQ","FILING_STATUS=MR","SCALING_FORMAT=MLN","Sort=A","Dates=H","DateFormat=P","Fill=—","Direction=H","UseDPDF=Y")</f>
        <v>0</v>
      </c>
      <c r="O27" s="25">
        <f>_xll.BDH("ALNY US Equity","CF_ACQUISITION_OF_INTANG_ASSETS","FQ4 2021","FQ4 2021","Currency=USD","Period=FQ","BEST_FPERIOD_OVERRIDE=FQ","FILING_STATUS=MR","SCALING_FORMAT=MLN","Sort=A","Dates=H","DateFormat=P","Fill=—","Direction=H","UseDPDF=Y")</f>
        <v>0</v>
      </c>
      <c r="P27" s="25">
        <f>_xll.BDH("ALNY US Equity","CF_ACQUISITION_OF_INTANG_ASSETS","FQ1 2022","FQ1 2022","Currency=USD","Period=FQ","BEST_FPERIOD_OVERRIDE=FQ","FILING_STATUS=MR","SCALING_FORMAT=MLN","Sort=A","Dates=H","DateFormat=P","Fill=—","Direction=H","UseDPDF=Y")</f>
        <v>0</v>
      </c>
      <c r="Q27" s="25">
        <f>_xll.BDH("ALNY US Equity","CF_ACQUISITION_OF_INTANG_ASSETS","FQ2 2022","FQ2 2022","Currency=USD","Period=FQ","BEST_FPERIOD_OVERRIDE=FQ","FILING_STATUS=MR","SCALING_FORMAT=MLN","Sort=A","Dates=H","DateFormat=P","Fill=—","Direction=H","UseDPDF=Y")</f>
        <v>0</v>
      </c>
      <c r="R27" s="25">
        <f>_xll.BDH("ALNY US Equity","CF_ACQUISITION_OF_INTANG_ASSETS","FQ3 2022","FQ3 2022","Currency=USD","Period=FQ","BEST_FPERIOD_OVERRIDE=FQ","FILING_STATUS=MR","SCALING_FORMAT=MLN","Sort=A","Dates=H","DateFormat=P","Fill=—","Direction=H","UseDPDF=Y")</f>
        <v>0</v>
      </c>
      <c r="S27" s="25">
        <f>_xll.BDH("ALNY US Equity","CF_ACQUISITION_OF_INTANG_ASSETS","FQ4 2022","FQ4 2022","Currency=USD","Period=FQ","BEST_FPERIOD_OVERRIDE=FQ","FILING_STATUS=MR","SCALING_FORMAT=MLN","Sort=A","Dates=H","DateFormat=P","Fill=—","Direction=H","UseDPDF=Y")</f>
        <v>0</v>
      </c>
      <c r="T27" s="25">
        <f>_xll.BDH("ALNY US Equity","CF_ACQUISITION_OF_INTANG_ASSETS","FQ1 2023","FQ1 2023","Currency=USD","Period=FQ","BEST_FPERIOD_OVERRIDE=FQ","FILING_STATUS=MR","SCALING_FORMAT=MLN","Sort=A","Dates=H","DateFormat=P","Fill=—","Direction=H","UseDPDF=Y")</f>
        <v>0</v>
      </c>
      <c r="U27" s="25">
        <f>_xll.BDH("ALNY US Equity","CF_ACQUISITION_OF_INTANG_ASSETS","FQ2 2023","FQ2 2023","Currency=USD","Period=FQ","BEST_FPERIOD_OVERRIDE=FQ","FILING_STATUS=MR","SCALING_FORMAT=MLN","Sort=A","Dates=H","DateFormat=P","Fill=—","Direction=H","UseDPDF=Y")</f>
        <v>0</v>
      </c>
      <c r="V27" s="25">
        <f>_xll.BDH("ALNY US Equity","CF_ACQUISITION_OF_INTANG_ASSETS","FQ3 2023","FQ3 2023","Currency=USD","Period=FQ","BEST_FPERIOD_OVERRIDE=FQ","FILING_STATUS=MR","SCALING_FORMAT=MLN","Sort=A","Dates=H","DateFormat=P","Fill=—","Direction=H","UseDPDF=Y")</f>
        <v>0</v>
      </c>
      <c r="W27" s="25">
        <f>_xll.BDH("ALNY US Equity","CF_ACQUISITION_OF_INTANG_ASSETS","FQ4 2023","FQ4 2023","Currency=USD","Period=FQ","BEST_FPERIOD_OVERRIDE=FQ","FILING_STATUS=MR","SCALING_FORMAT=MLN","Sort=A","Dates=H","DateFormat=P","Fill=—","Direction=H","UseDPDF=Y")</f>
        <v>0</v>
      </c>
      <c r="X27" s="25">
        <f>_xll.BDH("ALNY US Equity","CF_ACQUISITION_OF_INTANG_ASSETS","FQ1 2024","FQ1 2024","Currency=USD","Period=FQ","BEST_FPERIOD_OVERRIDE=FQ","FILING_STATUS=MR","SCALING_FORMAT=MLN","Sort=A","Dates=H","DateFormat=P","Fill=—","Direction=H","UseDPDF=Y")</f>
        <v>0</v>
      </c>
      <c r="Y27" s="25">
        <f>_xll.BDH("ALNY US Equity","CF_ACQUISITION_OF_INTANG_ASSETS","FQ2 2024","FQ2 2024","Currency=USD","Period=FQ","BEST_FPERIOD_OVERRIDE=FQ","FILING_STATUS=MR","SCALING_FORMAT=MLN","Sort=A","Dates=H","DateFormat=P","Fill=—","Direction=H","UseDPDF=Y")</f>
        <v>0</v>
      </c>
      <c r="Z27" s="25">
        <f>_xll.BDH("ALNY US Equity","CF_ACQUISITION_OF_INTANG_ASSETS","FQ3 2024","FQ3 2024","Currency=USD","Period=FQ","BEST_FPERIOD_OVERRIDE=FQ","FILING_STATUS=MR","SCALING_FORMAT=MLN","Sort=A","Dates=H","DateFormat=P","Fill=—","Direction=H","UseDPDF=Y")</f>
        <v>0</v>
      </c>
      <c r="AA27" s="25">
        <f>_xll.BDH("ALNY US Equity","CF_ACQUISITION_OF_INTANG_ASSETS","FQ4 2024","FQ4 2024","Currency=USD","Period=FQ","BEST_FPERIOD_OVERRIDE=FQ","FILING_STATUS=MR","SCALING_FORMAT=MLN","Sort=A","Dates=H","DateFormat=P","Fill=—","Direction=H","UseDPDF=Y")</f>
        <v>0</v>
      </c>
    </row>
    <row r="28" spans="1:27" x14ac:dyDescent="0.25">
      <c r="A28" s="10" t="s">
        <v>1202</v>
      </c>
      <c r="B28" s="10" t="s">
        <v>1203</v>
      </c>
      <c r="C28" s="13">
        <f>_xll.BDH("ALNY US Equity","NET_CHG_IN_LT_INVEST_DETAILED","FQ4 2018","FQ4 2018","Currency=USD","Period=FQ","BEST_FPERIOD_OVERRIDE=FQ","FILING_STATUS=MR","SCALING_FORMAT=MLN","Sort=A","Dates=H","DateFormat=P","Fill=—","Direction=H","UseDPDF=Y")</f>
        <v>0</v>
      </c>
      <c r="D28" s="13">
        <f>_xll.BDH("ALNY US Equity","NET_CHG_IN_LT_INVEST_DETAILED","FQ1 2019","FQ1 2019","Currency=USD","Period=FQ","BEST_FPERIOD_OVERRIDE=FQ","FILING_STATUS=MR","SCALING_FORMAT=MLN","Sort=A","Dates=H","DateFormat=P","Fill=—","Direction=H","UseDPDF=Y")</f>
        <v>0</v>
      </c>
      <c r="E28" s="13">
        <f>_xll.BDH("ALNY US Equity","NET_CHG_IN_LT_INVEST_DETAILED","FQ2 2019","FQ2 2019","Currency=USD","Period=FQ","BEST_FPERIOD_OVERRIDE=FQ","FILING_STATUS=MR","SCALING_FORMAT=MLN","Sort=A","Dates=H","DateFormat=P","Fill=—","Direction=H","UseDPDF=Y")</f>
        <v>0</v>
      </c>
      <c r="F28" s="13">
        <f>_xll.BDH("ALNY US Equity","NET_CHG_IN_LT_INVEST_DETAILED","FQ3 2019","FQ3 2019","Currency=USD","Period=FQ","BEST_FPERIOD_OVERRIDE=FQ","FILING_STATUS=MR","SCALING_FORMAT=MLN","Sort=A","Dates=H","DateFormat=P","Fill=—","Direction=H","UseDPDF=Y")</f>
        <v>30</v>
      </c>
      <c r="G28" s="13">
        <f>_xll.BDH("ALNY US Equity","NET_CHG_IN_LT_INVEST_DETAILED","FQ4 2019","FQ4 2019","Currency=USD","Period=FQ","BEST_FPERIOD_OVERRIDE=FQ","FILING_STATUS=MR","SCALING_FORMAT=MLN","Sort=A","Dates=H","DateFormat=P","Fill=—","Direction=H","UseDPDF=Y")</f>
        <v>0</v>
      </c>
      <c r="H28" s="13">
        <f>_xll.BDH("ALNY US Equity","NET_CHG_IN_LT_INVEST_DETAILED","FQ1 2020","FQ1 2020","Currency=USD","Period=FQ","BEST_FPERIOD_OVERRIDE=FQ","FILING_STATUS=MR","SCALING_FORMAT=MLN","Sort=A","Dates=H","DateFormat=P","Fill=—","Direction=H","UseDPDF=Y")</f>
        <v>0</v>
      </c>
      <c r="I28" s="13">
        <f>_xll.BDH("ALNY US Equity","NET_CHG_IN_LT_INVEST_DETAILED","FQ2 2020","FQ2 2020","Currency=USD","Period=FQ","BEST_FPERIOD_OVERRIDE=FQ","FILING_STATUS=MR","SCALING_FORMAT=MLN","Sort=A","Dates=H","DateFormat=P","Fill=—","Direction=H","UseDPDF=Y")</f>
        <v>0</v>
      </c>
      <c r="J28" s="13">
        <f>_xll.BDH("ALNY US Equity","NET_CHG_IN_LT_INVEST_DETAILED","FQ3 2020","FQ3 2020","Currency=USD","Period=FQ","BEST_FPERIOD_OVERRIDE=FQ","FILING_STATUS=MR","SCALING_FORMAT=MLN","Sort=A","Dates=H","DateFormat=P","Fill=—","Direction=H","UseDPDF=Y")</f>
        <v>0</v>
      </c>
      <c r="K28" s="13">
        <f>_xll.BDH("ALNY US Equity","NET_CHG_IN_LT_INVEST_DETAILED","FQ4 2020","FQ4 2020","Currency=USD","Period=FQ","BEST_FPERIOD_OVERRIDE=FQ","FILING_STATUS=MR","SCALING_FORMAT=MLN","Sort=A","Dates=H","DateFormat=P","Fill=—","Direction=H","UseDPDF=Y")</f>
        <v>0</v>
      </c>
      <c r="L28" s="13">
        <f>_xll.BDH("ALNY US Equity","NET_CHG_IN_LT_INVEST_DETAILED","FQ1 2021","FQ1 2021","Currency=USD","Period=FQ","BEST_FPERIOD_OVERRIDE=FQ","FILING_STATUS=MR","SCALING_FORMAT=MLN","Sort=A","Dates=H","DateFormat=P","Fill=—","Direction=H","UseDPDF=Y")</f>
        <v>0</v>
      </c>
      <c r="M28" s="13">
        <f>_xll.BDH("ALNY US Equity","NET_CHG_IN_LT_INVEST_DETAILED","FQ2 2021","FQ2 2021","Currency=USD","Period=FQ","BEST_FPERIOD_OVERRIDE=FQ","FILING_STATUS=MR","SCALING_FORMAT=MLN","Sort=A","Dates=H","DateFormat=P","Fill=—","Direction=H","UseDPDF=Y")</f>
        <v>10.65</v>
      </c>
      <c r="N28" s="13">
        <f>_xll.BDH("ALNY US Equity","NET_CHG_IN_LT_INVEST_DETAILED","FQ3 2021","FQ3 2021","Currency=USD","Period=FQ","BEST_FPERIOD_OVERRIDE=FQ","FILING_STATUS=MR","SCALING_FORMAT=MLN","Sort=A","Dates=H","DateFormat=P","Fill=—","Direction=H","UseDPDF=Y")</f>
        <v>15.324999999999999</v>
      </c>
      <c r="O28" s="13">
        <f>_xll.BDH("ALNY US Equity","NET_CHG_IN_LT_INVEST_DETAILED","FQ4 2021","FQ4 2021","Currency=USD","Period=FQ","BEST_FPERIOD_OVERRIDE=FQ","FILING_STATUS=MR","SCALING_FORMAT=MLN","Sort=A","Dates=H","DateFormat=P","Fill=—","Direction=H","UseDPDF=Y")</f>
        <v>16</v>
      </c>
      <c r="P28" s="13">
        <f>_xll.BDH("ALNY US Equity","NET_CHG_IN_LT_INVEST_DETAILED","FQ1 2022","FQ1 2022","Currency=USD","Period=FQ","BEST_FPERIOD_OVERRIDE=FQ","FILING_STATUS=MR","SCALING_FORMAT=MLN","Sort=A","Dates=H","DateFormat=P","Fill=—","Direction=H","UseDPDF=Y")</f>
        <v>0</v>
      </c>
      <c r="Q28" s="13">
        <f>_xll.BDH("ALNY US Equity","NET_CHG_IN_LT_INVEST_DETAILED","FQ2 2022","FQ2 2022","Currency=USD","Period=FQ","BEST_FPERIOD_OVERRIDE=FQ","FILING_STATUS=MR","SCALING_FORMAT=MLN","Sort=A","Dates=H","DateFormat=P","Fill=—","Direction=H","UseDPDF=Y")</f>
        <v>0</v>
      </c>
      <c r="R28" s="13">
        <f>_xll.BDH("ALNY US Equity","NET_CHG_IN_LT_INVEST_DETAILED","FQ3 2022","FQ3 2022","Currency=USD","Period=FQ","BEST_FPERIOD_OVERRIDE=FQ","FILING_STATUS=MR","SCALING_FORMAT=MLN","Sort=A","Dates=H","DateFormat=P","Fill=—","Direction=H","UseDPDF=Y")</f>
        <v>89.950999999999993</v>
      </c>
      <c r="S28" s="13">
        <f>_xll.BDH("ALNY US Equity","NET_CHG_IN_LT_INVEST_DETAILED","FQ4 2022","FQ4 2022","Currency=USD","Period=FQ","BEST_FPERIOD_OVERRIDE=FQ","FILING_STATUS=MR","SCALING_FORMAT=MLN","Sort=A","Dates=H","DateFormat=P","Fill=—","Direction=H","UseDPDF=Y")</f>
        <v>0</v>
      </c>
      <c r="T28" s="13">
        <f>_xll.BDH("ALNY US Equity","NET_CHG_IN_LT_INVEST_DETAILED","FQ1 2023","FQ1 2023","Currency=USD","Period=FQ","BEST_FPERIOD_OVERRIDE=FQ","FILING_STATUS=MR","SCALING_FORMAT=MLN","Sort=A","Dates=H","DateFormat=P","Fill=—","Direction=H","UseDPDF=Y")</f>
        <v>0</v>
      </c>
      <c r="U28" s="13">
        <f>_xll.BDH("ALNY US Equity","NET_CHG_IN_LT_INVEST_DETAILED","FQ2 2023","FQ2 2023","Currency=USD","Period=FQ","BEST_FPERIOD_OVERRIDE=FQ","FILING_STATUS=MR","SCALING_FORMAT=MLN","Sort=A","Dates=H","DateFormat=P","Fill=—","Direction=H","UseDPDF=Y")</f>
        <v>0</v>
      </c>
      <c r="V28" s="13">
        <f>_xll.BDH("ALNY US Equity","NET_CHG_IN_LT_INVEST_DETAILED","FQ3 2023","FQ3 2023","Currency=USD","Period=FQ","BEST_FPERIOD_OVERRIDE=FQ","FILING_STATUS=MR","SCALING_FORMAT=MLN","Sort=A","Dates=H","DateFormat=P","Fill=—","Direction=H","UseDPDF=Y")</f>
        <v>0</v>
      </c>
      <c r="W28" s="13">
        <f>_xll.BDH("ALNY US Equity","NET_CHG_IN_LT_INVEST_DETAILED","FQ4 2023","FQ4 2023","Currency=USD","Period=FQ","BEST_FPERIOD_OVERRIDE=FQ","FILING_STATUS=MR","SCALING_FORMAT=MLN","Sort=A","Dates=H","DateFormat=P","Fill=—","Direction=H","UseDPDF=Y")</f>
        <v>58.475000000000001</v>
      </c>
      <c r="X28" s="13">
        <f>_xll.BDH("ALNY US Equity","NET_CHG_IN_LT_INVEST_DETAILED","FQ1 2024","FQ1 2024","Currency=USD","Period=FQ","BEST_FPERIOD_OVERRIDE=FQ","FILING_STATUS=MR","SCALING_FORMAT=MLN","Sort=A","Dates=H","DateFormat=P","Fill=—","Direction=H","UseDPDF=Y")</f>
        <v>0</v>
      </c>
      <c r="Y28" s="13">
        <f>_xll.BDH("ALNY US Equity","NET_CHG_IN_LT_INVEST_DETAILED","FQ2 2024","FQ2 2024","Currency=USD","Period=FQ","BEST_FPERIOD_OVERRIDE=FQ","FILING_STATUS=MR","SCALING_FORMAT=MLN","Sort=A","Dates=H","DateFormat=P","Fill=—","Direction=H","UseDPDF=Y")</f>
        <v>0</v>
      </c>
      <c r="Z28" s="13">
        <f>_xll.BDH("ALNY US Equity","NET_CHG_IN_LT_INVEST_DETAILED","FQ3 2024","FQ3 2024","Currency=USD","Period=FQ","BEST_FPERIOD_OVERRIDE=FQ","FILING_STATUS=MR","SCALING_FORMAT=MLN","Sort=A","Dates=H","DateFormat=P","Fill=—","Direction=H","UseDPDF=Y")</f>
        <v>0</v>
      </c>
      <c r="AA28" s="13">
        <f>_xll.BDH("ALNY US Equity","NET_CHG_IN_LT_INVEST_DETAILED","FQ4 2024","FQ4 2024","Currency=USD","Period=FQ","BEST_FPERIOD_OVERRIDE=FQ","FILING_STATUS=MR","SCALING_FORMAT=MLN","Sort=A","Dates=H","DateFormat=P","Fill=—","Direction=H","UseDPDF=Y")</f>
        <v>57.874000000000002</v>
      </c>
    </row>
    <row r="29" spans="1:27" x14ac:dyDescent="0.25">
      <c r="A29" s="10" t="s">
        <v>1204</v>
      </c>
      <c r="B29" s="10" t="s">
        <v>1205</v>
      </c>
      <c r="C29" s="13">
        <f>_xll.BDH("ALNY US Equity","CF_DECR_INVEST","FQ4 2018","FQ4 2018","Currency=USD","Period=FQ","BEST_FPERIOD_OVERRIDE=FQ","FILING_STATUS=MR","SCALING_FORMAT=MLN","Sort=A","Dates=H","DateFormat=P","Fill=—","Direction=H","UseDPDF=Y")</f>
        <v>0</v>
      </c>
      <c r="D29" s="13">
        <f>_xll.BDH("ALNY US Equity","CF_DECR_INVEST","FQ1 2019","FQ1 2019","Currency=USD","Period=FQ","BEST_FPERIOD_OVERRIDE=FQ","FILING_STATUS=MR","SCALING_FORMAT=MLN","Sort=A","Dates=H","DateFormat=P","Fill=—","Direction=H","UseDPDF=Y")</f>
        <v>0</v>
      </c>
      <c r="E29" s="13">
        <f>_xll.BDH("ALNY US Equity","CF_DECR_INVEST","FQ2 2019","FQ2 2019","Currency=USD","Period=FQ","BEST_FPERIOD_OVERRIDE=FQ","FILING_STATUS=MR","SCALING_FORMAT=MLN","Sort=A","Dates=H","DateFormat=P","Fill=—","Direction=H","UseDPDF=Y")</f>
        <v>0</v>
      </c>
      <c r="F29" s="13">
        <f>_xll.BDH("ALNY US Equity","CF_DECR_INVEST","FQ3 2019","FQ3 2019","Currency=USD","Period=FQ","BEST_FPERIOD_OVERRIDE=FQ","FILING_STATUS=MR","SCALING_FORMAT=MLN","Sort=A","Dates=H","DateFormat=P","Fill=—","Direction=H","UseDPDF=Y")</f>
        <v>30</v>
      </c>
      <c r="G29" s="13">
        <f>_xll.BDH("ALNY US Equity","CF_DECR_INVEST","FQ4 2019","FQ4 2019","Currency=USD","Period=FQ","BEST_FPERIOD_OVERRIDE=FQ","FILING_STATUS=MR","SCALING_FORMAT=MLN","Sort=A","Dates=H","DateFormat=P","Fill=—","Direction=H","UseDPDF=Y")</f>
        <v>0</v>
      </c>
      <c r="H29" s="13">
        <f>_xll.BDH("ALNY US Equity","CF_DECR_INVEST","FQ1 2020","FQ1 2020","Currency=USD","Period=FQ","BEST_FPERIOD_OVERRIDE=FQ","FILING_STATUS=MR","SCALING_FORMAT=MLN","Sort=A","Dates=H","DateFormat=P","Fill=—","Direction=H","UseDPDF=Y")</f>
        <v>0</v>
      </c>
      <c r="I29" s="13">
        <f>_xll.BDH("ALNY US Equity","CF_DECR_INVEST","FQ2 2020","FQ2 2020","Currency=USD","Period=FQ","BEST_FPERIOD_OVERRIDE=FQ","FILING_STATUS=MR","SCALING_FORMAT=MLN","Sort=A","Dates=H","DateFormat=P","Fill=—","Direction=H","UseDPDF=Y")</f>
        <v>0</v>
      </c>
      <c r="J29" s="13">
        <f>_xll.BDH("ALNY US Equity","CF_DECR_INVEST","FQ3 2020","FQ3 2020","Currency=USD","Period=FQ","BEST_FPERIOD_OVERRIDE=FQ","FILING_STATUS=MR","SCALING_FORMAT=MLN","Sort=A","Dates=H","DateFormat=P","Fill=—","Direction=H","UseDPDF=Y")</f>
        <v>0</v>
      </c>
      <c r="K29" s="13">
        <f>_xll.BDH("ALNY US Equity","CF_DECR_INVEST","FQ4 2020","FQ4 2020","Currency=USD","Period=FQ","BEST_FPERIOD_OVERRIDE=FQ","FILING_STATUS=MR","SCALING_FORMAT=MLN","Sort=A","Dates=H","DateFormat=P","Fill=—","Direction=H","UseDPDF=Y")</f>
        <v>0</v>
      </c>
      <c r="L29" s="13">
        <f>_xll.BDH("ALNY US Equity","CF_DECR_INVEST","FQ1 2021","FQ1 2021","Currency=USD","Period=FQ","BEST_FPERIOD_OVERRIDE=FQ","FILING_STATUS=MR","SCALING_FORMAT=MLN","Sort=A","Dates=H","DateFormat=P","Fill=—","Direction=H","UseDPDF=Y")</f>
        <v>0</v>
      </c>
      <c r="M29" s="13">
        <f>_xll.BDH("ALNY US Equity","CF_DECR_INVEST","FQ2 2021","FQ2 2021","Currency=USD","Period=FQ","BEST_FPERIOD_OVERRIDE=FQ","FILING_STATUS=MR","SCALING_FORMAT=MLN","Sort=A","Dates=H","DateFormat=P","Fill=—","Direction=H","UseDPDF=Y")</f>
        <v>10.65</v>
      </c>
      <c r="N29" s="13">
        <f>_xll.BDH("ALNY US Equity","CF_DECR_INVEST","FQ3 2021","FQ3 2021","Currency=USD","Period=FQ","BEST_FPERIOD_OVERRIDE=FQ","FILING_STATUS=MR","SCALING_FORMAT=MLN","Sort=A","Dates=H","DateFormat=P","Fill=—","Direction=H","UseDPDF=Y")</f>
        <v>15.324999999999999</v>
      </c>
      <c r="O29" s="13">
        <f>_xll.BDH("ALNY US Equity","CF_DECR_INVEST","FQ4 2021","FQ4 2021","Currency=USD","Period=FQ","BEST_FPERIOD_OVERRIDE=FQ","FILING_STATUS=MR","SCALING_FORMAT=MLN","Sort=A","Dates=H","DateFormat=P","Fill=—","Direction=H","UseDPDF=Y")</f>
        <v>16</v>
      </c>
      <c r="P29" s="13">
        <f>_xll.BDH("ALNY US Equity","CF_DECR_INVEST","FQ1 2022","FQ1 2022","Currency=USD","Period=FQ","BEST_FPERIOD_OVERRIDE=FQ","FILING_STATUS=MR","SCALING_FORMAT=MLN","Sort=A","Dates=H","DateFormat=P","Fill=—","Direction=H","UseDPDF=Y")</f>
        <v>0</v>
      </c>
      <c r="Q29" s="13">
        <f>_xll.BDH("ALNY US Equity","CF_DECR_INVEST","FQ2 2022","FQ2 2022","Currency=USD","Period=FQ","BEST_FPERIOD_OVERRIDE=FQ","FILING_STATUS=MR","SCALING_FORMAT=MLN","Sort=A","Dates=H","DateFormat=P","Fill=—","Direction=H","UseDPDF=Y")</f>
        <v>0</v>
      </c>
      <c r="R29" s="13">
        <f>_xll.BDH("ALNY US Equity","CF_DECR_INVEST","FQ3 2022","FQ3 2022","Currency=USD","Period=FQ","BEST_FPERIOD_OVERRIDE=FQ","FILING_STATUS=MR","SCALING_FORMAT=MLN","Sort=A","Dates=H","DateFormat=P","Fill=—","Direction=H","UseDPDF=Y")</f>
        <v>89.950999999999993</v>
      </c>
      <c r="S29" s="13">
        <f>_xll.BDH("ALNY US Equity","CF_DECR_INVEST","FQ4 2022","FQ4 2022","Currency=USD","Period=FQ","BEST_FPERIOD_OVERRIDE=FQ","FILING_STATUS=MR","SCALING_FORMAT=MLN","Sort=A","Dates=H","DateFormat=P","Fill=—","Direction=H","UseDPDF=Y")</f>
        <v>0</v>
      </c>
      <c r="T29" s="13">
        <f>_xll.BDH("ALNY US Equity","CF_DECR_INVEST","FQ1 2023","FQ1 2023","Currency=USD","Period=FQ","BEST_FPERIOD_OVERRIDE=FQ","FILING_STATUS=MR","SCALING_FORMAT=MLN","Sort=A","Dates=H","DateFormat=P","Fill=—","Direction=H","UseDPDF=Y")</f>
        <v>0</v>
      </c>
      <c r="U29" s="13">
        <f>_xll.BDH("ALNY US Equity","CF_DECR_INVEST","FQ2 2023","FQ2 2023","Currency=USD","Period=FQ","BEST_FPERIOD_OVERRIDE=FQ","FILING_STATUS=MR","SCALING_FORMAT=MLN","Sort=A","Dates=H","DateFormat=P","Fill=—","Direction=H","UseDPDF=Y")</f>
        <v>0</v>
      </c>
      <c r="V29" s="13">
        <f>_xll.BDH("ALNY US Equity","CF_DECR_INVEST","FQ3 2023","FQ3 2023","Currency=USD","Period=FQ","BEST_FPERIOD_OVERRIDE=FQ","FILING_STATUS=MR","SCALING_FORMAT=MLN","Sort=A","Dates=H","DateFormat=P","Fill=—","Direction=H","UseDPDF=Y")</f>
        <v>0</v>
      </c>
      <c r="W29" s="13">
        <f>_xll.BDH("ALNY US Equity","CF_DECR_INVEST","FQ4 2023","FQ4 2023","Currency=USD","Period=FQ","BEST_FPERIOD_OVERRIDE=FQ","FILING_STATUS=MR","SCALING_FORMAT=MLN","Sort=A","Dates=H","DateFormat=P","Fill=—","Direction=H","UseDPDF=Y")</f>
        <v>58.475000000000001</v>
      </c>
      <c r="X29" s="13">
        <f>_xll.BDH("ALNY US Equity","CF_DECR_INVEST","FQ1 2024","FQ1 2024","Currency=USD","Period=FQ","BEST_FPERIOD_OVERRIDE=FQ","FILING_STATUS=MR","SCALING_FORMAT=MLN","Sort=A","Dates=H","DateFormat=P","Fill=—","Direction=H","UseDPDF=Y")</f>
        <v>0</v>
      </c>
      <c r="Y29" s="13">
        <f>_xll.BDH("ALNY US Equity","CF_DECR_INVEST","FQ2 2024","FQ2 2024","Currency=USD","Period=FQ","BEST_FPERIOD_OVERRIDE=FQ","FILING_STATUS=MR","SCALING_FORMAT=MLN","Sort=A","Dates=H","DateFormat=P","Fill=—","Direction=H","UseDPDF=Y")</f>
        <v>0</v>
      </c>
      <c r="Z29" s="13">
        <f>_xll.BDH("ALNY US Equity","CF_DECR_INVEST","FQ3 2024","FQ3 2024","Currency=USD","Period=FQ","BEST_FPERIOD_OVERRIDE=FQ","FILING_STATUS=MR","SCALING_FORMAT=MLN","Sort=A","Dates=H","DateFormat=P","Fill=—","Direction=H","UseDPDF=Y")</f>
        <v>0</v>
      </c>
      <c r="AA29" s="13">
        <f>_xll.BDH("ALNY US Equity","CF_DECR_INVEST","FQ4 2024","FQ4 2024","Currency=USD","Period=FQ","BEST_FPERIOD_OVERRIDE=FQ","FILING_STATUS=MR","SCALING_FORMAT=MLN","Sort=A","Dates=H","DateFormat=P","Fill=—","Direction=H","UseDPDF=Y")</f>
        <v>57.874000000000002</v>
      </c>
    </row>
    <row r="30" spans="1:27" x14ac:dyDescent="0.25">
      <c r="A30" s="10" t="s">
        <v>1206</v>
      </c>
      <c r="B30" s="10" t="s">
        <v>1207</v>
      </c>
      <c r="C30" s="13">
        <f>_xll.BDH("ALNY US Equity","CF_INCR_INVEST","FQ4 2018","FQ4 2018","Currency=USD","Period=FQ","BEST_FPERIOD_OVERRIDE=FQ","FILING_STATUS=MR","SCALING_FORMAT=MLN","Sort=A","Dates=H","DateFormat=P","Fill=—","Direction=H","UseDPDF=Y")</f>
        <v>0</v>
      </c>
      <c r="D30" s="13">
        <f>_xll.BDH("ALNY US Equity","CF_INCR_INVEST","FQ1 2019","FQ1 2019","Currency=USD","Period=FQ","BEST_FPERIOD_OVERRIDE=FQ","FILING_STATUS=MR","SCALING_FORMAT=MLN","Sort=A","Dates=H","DateFormat=P","Fill=—","Direction=H","UseDPDF=Y")</f>
        <v>0</v>
      </c>
      <c r="E30" s="13">
        <f>_xll.BDH("ALNY US Equity","CF_INCR_INVEST","FQ2 2019","FQ2 2019","Currency=USD","Period=FQ","BEST_FPERIOD_OVERRIDE=FQ","FILING_STATUS=MR","SCALING_FORMAT=MLN","Sort=A","Dates=H","DateFormat=P","Fill=—","Direction=H","UseDPDF=Y")</f>
        <v>0</v>
      </c>
      <c r="F30" s="13">
        <f>_xll.BDH("ALNY US Equity","CF_INCR_INVEST","FQ3 2019","FQ3 2019","Currency=USD","Period=FQ","BEST_FPERIOD_OVERRIDE=FQ","FILING_STATUS=MR","SCALING_FORMAT=MLN","Sort=A","Dates=H","DateFormat=P","Fill=—","Direction=H","UseDPDF=Y")</f>
        <v>0</v>
      </c>
      <c r="G30" s="13">
        <f>_xll.BDH("ALNY US Equity","CF_INCR_INVEST","FQ4 2019","FQ4 2019","Currency=USD","Period=FQ","BEST_FPERIOD_OVERRIDE=FQ","FILING_STATUS=MR","SCALING_FORMAT=MLN","Sort=A","Dates=H","DateFormat=P","Fill=—","Direction=H","UseDPDF=Y")</f>
        <v>0</v>
      </c>
      <c r="H30" s="13">
        <f>_xll.BDH("ALNY US Equity","CF_INCR_INVEST","FQ1 2020","FQ1 2020","Currency=USD","Period=FQ","BEST_FPERIOD_OVERRIDE=FQ","FILING_STATUS=MR","SCALING_FORMAT=MLN","Sort=A","Dates=H","DateFormat=P","Fill=—","Direction=H","UseDPDF=Y")</f>
        <v>0</v>
      </c>
      <c r="I30" s="13">
        <f>_xll.BDH("ALNY US Equity","CF_INCR_INVEST","FQ2 2020","FQ2 2020","Currency=USD","Period=FQ","BEST_FPERIOD_OVERRIDE=FQ","FILING_STATUS=MR","SCALING_FORMAT=MLN","Sort=A","Dates=H","DateFormat=P","Fill=—","Direction=H","UseDPDF=Y")</f>
        <v>0</v>
      </c>
      <c r="J30" s="13">
        <f>_xll.BDH("ALNY US Equity","CF_INCR_INVEST","FQ3 2020","FQ3 2020","Currency=USD","Period=FQ","BEST_FPERIOD_OVERRIDE=FQ","FILING_STATUS=MR","SCALING_FORMAT=MLN","Sort=A","Dates=H","DateFormat=P","Fill=—","Direction=H","UseDPDF=Y")</f>
        <v>0</v>
      </c>
      <c r="K30" s="13">
        <f>_xll.BDH("ALNY US Equity","CF_INCR_INVEST","FQ4 2020","FQ4 2020","Currency=USD","Period=FQ","BEST_FPERIOD_OVERRIDE=FQ","FILING_STATUS=MR","SCALING_FORMAT=MLN","Sort=A","Dates=H","DateFormat=P","Fill=—","Direction=H","UseDPDF=Y")</f>
        <v>0</v>
      </c>
      <c r="L30" s="13">
        <f>_xll.BDH("ALNY US Equity","CF_INCR_INVEST","FQ1 2021","FQ1 2021","Currency=USD","Period=FQ","BEST_FPERIOD_OVERRIDE=FQ","FILING_STATUS=MR","SCALING_FORMAT=MLN","Sort=A","Dates=H","DateFormat=P","Fill=—","Direction=H","UseDPDF=Y")</f>
        <v>0</v>
      </c>
      <c r="M30" s="13">
        <f>_xll.BDH("ALNY US Equity","CF_INCR_INVEST","FQ2 2021","FQ2 2021","Currency=USD","Period=FQ","BEST_FPERIOD_OVERRIDE=FQ","FILING_STATUS=MR","SCALING_FORMAT=MLN","Sort=A","Dates=H","DateFormat=P","Fill=—","Direction=H","UseDPDF=Y")</f>
        <v>0</v>
      </c>
      <c r="N30" s="13">
        <f>_xll.BDH("ALNY US Equity","CF_INCR_INVEST","FQ3 2021","FQ3 2021","Currency=USD","Period=FQ","BEST_FPERIOD_OVERRIDE=FQ","FILING_STATUS=MR","SCALING_FORMAT=MLN","Sort=A","Dates=H","DateFormat=P","Fill=—","Direction=H","UseDPDF=Y")</f>
        <v>0</v>
      </c>
      <c r="O30" s="13">
        <f>_xll.BDH("ALNY US Equity","CF_INCR_INVEST","FQ4 2021","FQ4 2021","Currency=USD","Period=FQ","BEST_FPERIOD_OVERRIDE=FQ","FILING_STATUS=MR","SCALING_FORMAT=MLN","Sort=A","Dates=H","DateFormat=P","Fill=—","Direction=H","UseDPDF=Y")</f>
        <v>0</v>
      </c>
      <c r="P30" s="13">
        <f>_xll.BDH("ALNY US Equity","CF_INCR_INVEST","FQ1 2022","FQ1 2022","Currency=USD","Period=FQ","BEST_FPERIOD_OVERRIDE=FQ","FILING_STATUS=MR","SCALING_FORMAT=MLN","Sort=A","Dates=H","DateFormat=P","Fill=—","Direction=H","UseDPDF=Y")</f>
        <v>0</v>
      </c>
      <c r="Q30" s="13">
        <f>_xll.BDH("ALNY US Equity","CF_INCR_INVEST","FQ2 2022","FQ2 2022","Currency=USD","Period=FQ","BEST_FPERIOD_OVERRIDE=FQ","FILING_STATUS=MR","SCALING_FORMAT=MLN","Sort=A","Dates=H","DateFormat=P","Fill=—","Direction=H","UseDPDF=Y")</f>
        <v>0</v>
      </c>
      <c r="R30" s="13">
        <f>_xll.BDH("ALNY US Equity","CF_INCR_INVEST","FQ3 2022","FQ3 2022","Currency=USD","Period=FQ","BEST_FPERIOD_OVERRIDE=FQ","FILING_STATUS=MR","SCALING_FORMAT=MLN","Sort=A","Dates=H","DateFormat=P","Fill=—","Direction=H","UseDPDF=Y")</f>
        <v>0</v>
      </c>
      <c r="S30" s="13">
        <f>_xll.BDH("ALNY US Equity","CF_INCR_INVEST","FQ4 2022","FQ4 2022","Currency=USD","Period=FQ","BEST_FPERIOD_OVERRIDE=FQ","FILING_STATUS=MR","SCALING_FORMAT=MLN","Sort=A","Dates=H","DateFormat=P","Fill=—","Direction=H","UseDPDF=Y")</f>
        <v>0</v>
      </c>
      <c r="T30" s="13">
        <f>_xll.BDH("ALNY US Equity","CF_INCR_INVEST","FQ1 2023","FQ1 2023","Currency=USD","Period=FQ","BEST_FPERIOD_OVERRIDE=FQ","FILING_STATUS=MR","SCALING_FORMAT=MLN","Sort=A","Dates=H","DateFormat=P","Fill=—","Direction=H","UseDPDF=Y")</f>
        <v>0</v>
      </c>
      <c r="U30" s="13">
        <f>_xll.BDH("ALNY US Equity","CF_INCR_INVEST","FQ2 2023","FQ2 2023","Currency=USD","Period=FQ","BEST_FPERIOD_OVERRIDE=FQ","FILING_STATUS=MR","SCALING_FORMAT=MLN","Sort=A","Dates=H","DateFormat=P","Fill=—","Direction=H","UseDPDF=Y")</f>
        <v>0</v>
      </c>
      <c r="V30" s="13">
        <f>_xll.BDH("ALNY US Equity","CF_INCR_INVEST","FQ3 2023","FQ3 2023","Currency=USD","Period=FQ","BEST_FPERIOD_OVERRIDE=FQ","FILING_STATUS=MR","SCALING_FORMAT=MLN","Sort=A","Dates=H","DateFormat=P","Fill=—","Direction=H","UseDPDF=Y")</f>
        <v>0</v>
      </c>
      <c r="W30" s="13">
        <f>_xll.BDH("ALNY US Equity","CF_INCR_INVEST","FQ4 2023","FQ4 2023","Currency=USD","Period=FQ","BEST_FPERIOD_OVERRIDE=FQ","FILING_STATUS=MR","SCALING_FORMAT=MLN","Sort=A","Dates=H","DateFormat=P","Fill=—","Direction=H","UseDPDF=Y")</f>
        <v>0</v>
      </c>
      <c r="X30" s="13">
        <f>_xll.BDH("ALNY US Equity","CF_INCR_INVEST","FQ1 2024","FQ1 2024","Currency=USD","Period=FQ","BEST_FPERIOD_OVERRIDE=FQ","FILING_STATUS=MR","SCALING_FORMAT=MLN","Sort=A","Dates=H","DateFormat=P","Fill=—","Direction=H","UseDPDF=Y")</f>
        <v>0</v>
      </c>
      <c r="Y30" s="13">
        <f>_xll.BDH("ALNY US Equity","CF_INCR_INVEST","FQ2 2024","FQ2 2024","Currency=USD","Period=FQ","BEST_FPERIOD_OVERRIDE=FQ","FILING_STATUS=MR","SCALING_FORMAT=MLN","Sort=A","Dates=H","DateFormat=P","Fill=—","Direction=H","UseDPDF=Y")</f>
        <v>0</v>
      </c>
      <c r="Z30" s="13">
        <f>_xll.BDH("ALNY US Equity","CF_INCR_INVEST","FQ3 2024","FQ3 2024","Currency=USD","Period=FQ","BEST_FPERIOD_OVERRIDE=FQ","FILING_STATUS=MR","SCALING_FORMAT=MLN","Sort=A","Dates=H","DateFormat=P","Fill=—","Direction=H","UseDPDF=Y")</f>
        <v>0</v>
      </c>
      <c r="AA30" s="13">
        <f>_xll.BDH("ALNY US Equity","CF_INCR_INVEST","FQ4 2024","FQ4 2024","Currency=USD","Period=FQ","BEST_FPERIOD_OVERRIDE=FQ","FILING_STATUS=MR","SCALING_FORMAT=MLN","Sort=A","Dates=H","DateFormat=P","Fill=—","Direction=H","UseDPDF=Y")</f>
        <v>0</v>
      </c>
    </row>
    <row r="31" spans="1:27" x14ac:dyDescent="0.25">
      <c r="A31" s="10" t="s">
        <v>1208</v>
      </c>
      <c r="B31" s="10" t="s">
        <v>1209</v>
      </c>
      <c r="C31" s="13">
        <f>_xll.BDH("ALNY US Equity","CF_NT_CSH_RCVD_PD_FOR_ACQUIS_DIV","FQ4 2018","FQ4 2018","Currency=USD","Period=FQ","BEST_FPERIOD_OVERRIDE=FQ","FILING_STATUS=MR","SCALING_FORMAT=MLN","Sort=A","Dates=H","DateFormat=P","Fill=—","Direction=H","UseDPDF=Y")</f>
        <v>0</v>
      </c>
      <c r="D31" s="13">
        <f>_xll.BDH("ALNY US Equity","CF_NT_CSH_RCVD_PD_FOR_ACQUIS_DIV","FQ1 2019","FQ1 2019","Currency=USD","Period=FQ","BEST_FPERIOD_OVERRIDE=FQ","FILING_STATUS=MR","SCALING_FORMAT=MLN","Sort=A","Dates=H","DateFormat=P","Fill=—","Direction=H","UseDPDF=Y")</f>
        <v>0</v>
      </c>
      <c r="E31" s="13">
        <f>_xll.BDH("ALNY US Equity","CF_NT_CSH_RCVD_PD_FOR_ACQUIS_DIV","FQ2 2019","FQ2 2019","Currency=USD","Period=FQ","BEST_FPERIOD_OVERRIDE=FQ","FILING_STATUS=MR","SCALING_FORMAT=MLN","Sort=A","Dates=H","DateFormat=P","Fill=—","Direction=H","UseDPDF=Y")</f>
        <v>0</v>
      </c>
      <c r="F31" s="13">
        <f>_xll.BDH("ALNY US Equity","CF_NT_CSH_RCVD_PD_FOR_ACQUIS_DIV","FQ3 2019","FQ3 2019","Currency=USD","Period=FQ","BEST_FPERIOD_OVERRIDE=FQ","FILING_STATUS=MR","SCALING_FORMAT=MLN","Sort=A","Dates=H","DateFormat=P","Fill=—","Direction=H","UseDPDF=Y")</f>
        <v>0</v>
      </c>
      <c r="G31" s="13">
        <f>_xll.BDH("ALNY US Equity","CF_NT_CSH_RCVD_PD_FOR_ACQUIS_DIV","FQ4 2019","FQ4 2019","Currency=USD","Period=FQ","BEST_FPERIOD_OVERRIDE=FQ","FILING_STATUS=MR","SCALING_FORMAT=MLN","Sort=A","Dates=H","DateFormat=P","Fill=—","Direction=H","UseDPDF=Y")</f>
        <v>0</v>
      </c>
      <c r="H31" s="13">
        <f>_xll.BDH("ALNY US Equity","CF_NT_CSH_RCVD_PD_FOR_ACQUIS_DIV","FQ1 2020","FQ1 2020","Currency=USD","Period=FQ","BEST_FPERIOD_OVERRIDE=FQ","FILING_STATUS=MR","SCALING_FORMAT=MLN","Sort=A","Dates=H","DateFormat=P","Fill=—","Direction=H","UseDPDF=Y")</f>
        <v>0</v>
      </c>
      <c r="I31" s="13">
        <f>_xll.BDH("ALNY US Equity","CF_NT_CSH_RCVD_PD_FOR_ACQUIS_DIV","FQ2 2020","FQ2 2020","Currency=USD","Period=FQ","BEST_FPERIOD_OVERRIDE=FQ","FILING_STATUS=MR","SCALING_FORMAT=MLN","Sort=A","Dates=H","DateFormat=P","Fill=—","Direction=H","UseDPDF=Y")</f>
        <v>0</v>
      </c>
      <c r="J31" s="13">
        <f>_xll.BDH("ALNY US Equity","CF_NT_CSH_RCVD_PD_FOR_ACQUIS_DIV","FQ3 2020","FQ3 2020","Currency=USD","Period=FQ","BEST_FPERIOD_OVERRIDE=FQ","FILING_STATUS=MR","SCALING_FORMAT=MLN","Sort=A","Dates=H","DateFormat=P","Fill=—","Direction=H","UseDPDF=Y")</f>
        <v>0</v>
      </c>
      <c r="K31" s="13">
        <f>_xll.BDH("ALNY US Equity","CF_NT_CSH_RCVD_PD_FOR_ACQUIS_DIV","FQ4 2020","FQ4 2020","Currency=USD","Period=FQ","BEST_FPERIOD_OVERRIDE=FQ","FILING_STATUS=MR","SCALING_FORMAT=MLN","Sort=A","Dates=H","DateFormat=P","Fill=—","Direction=H","UseDPDF=Y")</f>
        <v>0</v>
      </c>
      <c r="L31" s="13">
        <f>_xll.BDH("ALNY US Equity","CF_NT_CSH_RCVD_PD_FOR_ACQUIS_DIV","FQ1 2021","FQ1 2021","Currency=USD","Period=FQ","BEST_FPERIOD_OVERRIDE=FQ","FILING_STATUS=MR","SCALING_FORMAT=MLN","Sort=A","Dates=H","DateFormat=P","Fill=—","Direction=H","UseDPDF=Y")</f>
        <v>0</v>
      </c>
      <c r="M31" s="13">
        <f>_xll.BDH("ALNY US Equity","CF_NT_CSH_RCVD_PD_FOR_ACQUIS_DIV","FQ2 2021","FQ2 2021","Currency=USD","Period=FQ","BEST_FPERIOD_OVERRIDE=FQ","FILING_STATUS=MR","SCALING_FORMAT=MLN","Sort=A","Dates=H","DateFormat=P","Fill=—","Direction=H","UseDPDF=Y")</f>
        <v>0</v>
      </c>
      <c r="N31" s="13">
        <f>_xll.BDH("ALNY US Equity","CF_NT_CSH_RCVD_PD_FOR_ACQUIS_DIV","FQ3 2021","FQ3 2021","Currency=USD","Period=FQ","BEST_FPERIOD_OVERRIDE=FQ","FILING_STATUS=MR","SCALING_FORMAT=MLN","Sort=A","Dates=H","DateFormat=P","Fill=—","Direction=H","UseDPDF=Y")</f>
        <v>0</v>
      </c>
      <c r="O31" s="13">
        <f>_xll.BDH("ALNY US Equity","CF_NT_CSH_RCVD_PD_FOR_ACQUIS_DIV","FQ4 2021","FQ4 2021","Currency=USD","Period=FQ","BEST_FPERIOD_OVERRIDE=FQ","FILING_STATUS=MR","SCALING_FORMAT=MLN","Sort=A","Dates=H","DateFormat=P","Fill=—","Direction=H","UseDPDF=Y")</f>
        <v>0</v>
      </c>
      <c r="P31" s="13">
        <f>_xll.BDH("ALNY US Equity","CF_NT_CSH_RCVD_PD_FOR_ACQUIS_DIV","FQ1 2022","FQ1 2022","Currency=USD","Period=FQ","BEST_FPERIOD_OVERRIDE=FQ","FILING_STATUS=MR","SCALING_FORMAT=MLN","Sort=A","Dates=H","DateFormat=P","Fill=—","Direction=H","UseDPDF=Y")</f>
        <v>0</v>
      </c>
      <c r="Q31" s="13">
        <f>_xll.BDH("ALNY US Equity","CF_NT_CSH_RCVD_PD_FOR_ACQUIS_DIV","FQ2 2022","FQ2 2022","Currency=USD","Period=FQ","BEST_FPERIOD_OVERRIDE=FQ","FILING_STATUS=MR","SCALING_FORMAT=MLN","Sort=A","Dates=H","DateFormat=P","Fill=—","Direction=H","UseDPDF=Y")</f>
        <v>0</v>
      </c>
      <c r="R31" s="13">
        <f>_xll.BDH("ALNY US Equity","CF_NT_CSH_RCVD_PD_FOR_ACQUIS_DIV","FQ3 2022","FQ3 2022","Currency=USD","Period=FQ","BEST_FPERIOD_OVERRIDE=FQ","FILING_STATUS=MR","SCALING_FORMAT=MLN","Sort=A","Dates=H","DateFormat=P","Fill=—","Direction=H","UseDPDF=Y")</f>
        <v>0</v>
      </c>
      <c r="S31" s="13">
        <f>_xll.BDH("ALNY US Equity","CF_NT_CSH_RCVD_PD_FOR_ACQUIS_DIV","FQ4 2022","FQ4 2022","Currency=USD","Period=FQ","BEST_FPERIOD_OVERRIDE=FQ","FILING_STATUS=MR","SCALING_FORMAT=MLN","Sort=A","Dates=H","DateFormat=P","Fill=—","Direction=H","UseDPDF=Y")</f>
        <v>0</v>
      </c>
      <c r="T31" s="13">
        <f>_xll.BDH("ALNY US Equity","CF_NT_CSH_RCVD_PD_FOR_ACQUIS_DIV","FQ1 2023","FQ1 2023","Currency=USD","Period=FQ","BEST_FPERIOD_OVERRIDE=FQ","FILING_STATUS=MR","SCALING_FORMAT=MLN","Sort=A","Dates=H","DateFormat=P","Fill=—","Direction=H","UseDPDF=Y")</f>
        <v>0</v>
      </c>
      <c r="U31" s="13">
        <f>_xll.BDH("ALNY US Equity","CF_NT_CSH_RCVD_PD_FOR_ACQUIS_DIV","FQ2 2023","FQ2 2023","Currency=USD","Period=FQ","BEST_FPERIOD_OVERRIDE=FQ","FILING_STATUS=MR","SCALING_FORMAT=MLN","Sort=A","Dates=H","DateFormat=P","Fill=—","Direction=H","UseDPDF=Y")</f>
        <v>0</v>
      </c>
      <c r="V31" s="13">
        <f>_xll.BDH("ALNY US Equity","CF_NT_CSH_RCVD_PD_FOR_ACQUIS_DIV","FQ3 2023","FQ3 2023","Currency=USD","Period=FQ","BEST_FPERIOD_OVERRIDE=FQ","FILING_STATUS=MR","SCALING_FORMAT=MLN","Sort=A","Dates=H","DateFormat=P","Fill=—","Direction=H","UseDPDF=Y")</f>
        <v>0</v>
      </c>
      <c r="W31" s="13">
        <f>_xll.BDH("ALNY US Equity","CF_NT_CSH_RCVD_PD_FOR_ACQUIS_DIV","FQ4 2023","FQ4 2023","Currency=USD","Period=FQ","BEST_FPERIOD_OVERRIDE=FQ","FILING_STATUS=MR","SCALING_FORMAT=MLN","Sort=A","Dates=H","DateFormat=P","Fill=—","Direction=H","UseDPDF=Y")</f>
        <v>0</v>
      </c>
      <c r="X31" s="13">
        <f>_xll.BDH("ALNY US Equity","CF_NT_CSH_RCVD_PD_FOR_ACQUIS_DIV","FQ1 2024","FQ1 2024","Currency=USD","Period=FQ","BEST_FPERIOD_OVERRIDE=FQ","FILING_STATUS=MR","SCALING_FORMAT=MLN","Sort=A","Dates=H","DateFormat=P","Fill=—","Direction=H","UseDPDF=Y")</f>
        <v>0</v>
      </c>
      <c r="Y31" s="13">
        <f>_xll.BDH("ALNY US Equity","CF_NT_CSH_RCVD_PD_FOR_ACQUIS_DIV","FQ2 2024","FQ2 2024","Currency=USD","Period=FQ","BEST_FPERIOD_OVERRIDE=FQ","FILING_STATUS=MR","SCALING_FORMAT=MLN","Sort=A","Dates=H","DateFormat=P","Fill=—","Direction=H","UseDPDF=Y")</f>
        <v>0</v>
      </c>
      <c r="Z31" s="13">
        <f>_xll.BDH("ALNY US Equity","CF_NT_CSH_RCVD_PD_FOR_ACQUIS_DIV","FQ3 2024","FQ3 2024","Currency=USD","Period=FQ","BEST_FPERIOD_OVERRIDE=FQ","FILING_STATUS=MR","SCALING_FORMAT=MLN","Sort=A","Dates=H","DateFormat=P","Fill=—","Direction=H","UseDPDF=Y")</f>
        <v>0</v>
      </c>
      <c r="AA31" s="13">
        <f>_xll.BDH("ALNY US Equity","CF_NT_CSH_RCVD_PD_FOR_ACQUIS_DIV","FQ4 2024","FQ4 2024","Currency=USD","Period=FQ","BEST_FPERIOD_OVERRIDE=FQ","FILING_STATUS=MR","SCALING_FORMAT=MLN","Sort=A","Dates=H","DateFormat=P","Fill=—","Direction=H","UseDPDF=Y")</f>
        <v>0</v>
      </c>
    </row>
    <row r="32" spans="1:27" x14ac:dyDescent="0.25">
      <c r="A32" s="10" t="s">
        <v>1210</v>
      </c>
      <c r="B32" s="10" t="s">
        <v>1211</v>
      </c>
      <c r="C32" s="13">
        <f>_xll.BDH("ALNY US Equity","CF_CASH_FOR_DIVESTITURES","FQ4 2018","FQ4 2018","Currency=USD","Period=FQ","BEST_FPERIOD_OVERRIDE=FQ","FILING_STATUS=MR","SCALING_FORMAT=MLN","Sort=A","Dates=H","DateFormat=P","Fill=—","Direction=H","UseDPDF=Y")</f>
        <v>0</v>
      </c>
      <c r="D32" s="13">
        <f>_xll.BDH("ALNY US Equity","CF_CASH_FOR_DIVESTITURES","FQ1 2019","FQ1 2019","Currency=USD","Period=FQ","BEST_FPERIOD_OVERRIDE=FQ","FILING_STATUS=MR","SCALING_FORMAT=MLN","Sort=A","Dates=H","DateFormat=P","Fill=—","Direction=H","UseDPDF=Y")</f>
        <v>0</v>
      </c>
      <c r="E32" s="13">
        <f>_xll.BDH("ALNY US Equity","CF_CASH_FOR_DIVESTITURES","FQ2 2019","FQ2 2019","Currency=USD","Period=FQ","BEST_FPERIOD_OVERRIDE=FQ","FILING_STATUS=MR","SCALING_FORMAT=MLN","Sort=A","Dates=H","DateFormat=P","Fill=—","Direction=H","UseDPDF=Y")</f>
        <v>0</v>
      </c>
      <c r="F32" s="13">
        <f>_xll.BDH("ALNY US Equity","CF_CASH_FOR_DIVESTITURES","FQ3 2019","FQ3 2019","Currency=USD","Period=FQ","BEST_FPERIOD_OVERRIDE=FQ","FILING_STATUS=MR","SCALING_FORMAT=MLN","Sort=A","Dates=H","DateFormat=P","Fill=—","Direction=H","UseDPDF=Y")</f>
        <v>0</v>
      </c>
      <c r="G32" s="13">
        <f>_xll.BDH("ALNY US Equity","CF_CASH_FOR_DIVESTITURES","FQ4 2019","FQ4 2019","Currency=USD","Period=FQ","BEST_FPERIOD_OVERRIDE=FQ","FILING_STATUS=MR","SCALING_FORMAT=MLN","Sort=A","Dates=H","DateFormat=P","Fill=—","Direction=H","UseDPDF=Y")</f>
        <v>0</v>
      </c>
      <c r="H32" s="13">
        <f>_xll.BDH("ALNY US Equity","CF_CASH_FOR_DIVESTITURES","FQ1 2020","FQ1 2020","Currency=USD","Period=FQ","BEST_FPERIOD_OVERRIDE=FQ","FILING_STATUS=MR","SCALING_FORMAT=MLN","Sort=A","Dates=H","DateFormat=P","Fill=—","Direction=H","UseDPDF=Y")</f>
        <v>0</v>
      </c>
      <c r="I32" s="13">
        <f>_xll.BDH("ALNY US Equity","CF_CASH_FOR_DIVESTITURES","FQ2 2020","FQ2 2020","Currency=USD","Period=FQ","BEST_FPERIOD_OVERRIDE=FQ","FILING_STATUS=MR","SCALING_FORMAT=MLN","Sort=A","Dates=H","DateFormat=P","Fill=—","Direction=H","UseDPDF=Y")</f>
        <v>0</v>
      </c>
      <c r="J32" s="13">
        <f>_xll.BDH("ALNY US Equity","CF_CASH_FOR_DIVESTITURES","FQ3 2020","FQ3 2020","Currency=USD","Period=FQ","BEST_FPERIOD_OVERRIDE=FQ","FILING_STATUS=MR","SCALING_FORMAT=MLN","Sort=A","Dates=H","DateFormat=P","Fill=—","Direction=H","UseDPDF=Y")</f>
        <v>0</v>
      </c>
      <c r="K32" s="13">
        <f>_xll.BDH("ALNY US Equity","CF_CASH_FOR_DIVESTITURES","FQ4 2020","FQ4 2020","Currency=USD","Period=FQ","BEST_FPERIOD_OVERRIDE=FQ","FILING_STATUS=MR","SCALING_FORMAT=MLN","Sort=A","Dates=H","DateFormat=P","Fill=—","Direction=H","UseDPDF=Y")</f>
        <v>0</v>
      </c>
      <c r="L32" s="13">
        <f>_xll.BDH("ALNY US Equity","CF_CASH_FOR_DIVESTITURES","FQ1 2021","FQ1 2021","Currency=USD","Period=FQ","BEST_FPERIOD_OVERRIDE=FQ","FILING_STATUS=MR","SCALING_FORMAT=MLN","Sort=A","Dates=H","DateFormat=P","Fill=—","Direction=H","UseDPDF=Y")</f>
        <v>0</v>
      </c>
      <c r="M32" s="13">
        <f>_xll.BDH("ALNY US Equity","CF_CASH_FOR_DIVESTITURES","FQ2 2021","FQ2 2021","Currency=USD","Period=FQ","BEST_FPERIOD_OVERRIDE=FQ","FILING_STATUS=MR","SCALING_FORMAT=MLN","Sort=A","Dates=H","DateFormat=P","Fill=—","Direction=H","UseDPDF=Y")</f>
        <v>0</v>
      </c>
      <c r="N32" s="13">
        <f>_xll.BDH("ALNY US Equity","CF_CASH_FOR_DIVESTITURES","FQ3 2021","FQ3 2021","Currency=USD","Period=FQ","BEST_FPERIOD_OVERRIDE=FQ","FILING_STATUS=MR","SCALING_FORMAT=MLN","Sort=A","Dates=H","DateFormat=P","Fill=—","Direction=H","UseDPDF=Y")</f>
        <v>0</v>
      </c>
      <c r="O32" s="13">
        <f>_xll.BDH("ALNY US Equity","CF_CASH_FOR_DIVESTITURES","FQ4 2021","FQ4 2021","Currency=USD","Period=FQ","BEST_FPERIOD_OVERRIDE=FQ","FILING_STATUS=MR","SCALING_FORMAT=MLN","Sort=A","Dates=H","DateFormat=P","Fill=—","Direction=H","UseDPDF=Y")</f>
        <v>0</v>
      </c>
      <c r="P32" s="13">
        <f>_xll.BDH("ALNY US Equity","CF_CASH_FOR_DIVESTITURES","FQ1 2022","FQ1 2022","Currency=USD","Period=FQ","BEST_FPERIOD_OVERRIDE=FQ","FILING_STATUS=MR","SCALING_FORMAT=MLN","Sort=A","Dates=H","DateFormat=P","Fill=—","Direction=H","UseDPDF=Y")</f>
        <v>0</v>
      </c>
      <c r="Q32" s="13">
        <f>_xll.BDH("ALNY US Equity","CF_CASH_FOR_DIVESTITURES","FQ2 2022","FQ2 2022","Currency=USD","Period=FQ","BEST_FPERIOD_OVERRIDE=FQ","FILING_STATUS=MR","SCALING_FORMAT=MLN","Sort=A","Dates=H","DateFormat=P","Fill=—","Direction=H","UseDPDF=Y")</f>
        <v>0</v>
      </c>
      <c r="R32" s="13">
        <f>_xll.BDH("ALNY US Equity","CF_CASH_FOR_DIVESTITURES","FQ3 2022","FQ3 2022","Currency=USD","Period=FQ","BEST_FPERIOD_OVERRIDE=FQ","FILING_STATUS=MR","SCALING_FORMAT=MLN","Sort=A","Dates=H","DateFormat=P","Fill=—","Direction=H","UseDPDF=Y")</f>
        <v>0</v>
      </c>
      <c r="S32" s="13">
        <f>_xll.BDH("ALNY US Equity","CF_CASH_FOR_DIVESTITURES","FQ4 2022","FQ4 2022","Currency=USD","Period=FQ","BEST_FPERIOD_OVERRIDE=FQ","FILING_STATUS=MR","SCALING_FORMAT=MLN","Sort=A","Dates=H","DateFormat=P","Fill=—","Direction=H","UseDPDF=Y")</f>
        <v>0</v>
      </c>
      <c r="T32" s="13">
        <f>_xll.BDH("ALNY US Equity","CF_CASH_FOR_DIVESTITURES","FQ1 2023","FQ1 2023","Currency=USD","Period=FQ","BEST_FPERIOD_OVERRIDE=FQ","FILING_STATUS=MR","SCALING_FORMAT=MLN","Sort=A","Dates=H","DateFormat=P","Fill=—","Direction=H","UseDPDF=Y")</f>
        <v>0</v>
      </c>
      <c r="U32" s="13">
        <f>_xll.BDH("ALNY US Equity","CF_CASH_FOR_DIVESTITURES","FQ2 2023","FQ2 2023","Currency=USD","Period=FQ","BEST_FPERIOD_OVERRIDE=FQ","FILING_STATUS=MR","SCALING_FORMAT=MLN","Sort=A","Dates=H","DateFormat=P","Fill=—","Direction=H","UseDPDF=Y")</f>
        <v>0</v>
      </c>
      <c r="V32" s="13">
        <f>_xll.BDH("ALNY US Equity","CF_CASH_FOR_DIVESTITURES","FQ3 2023","FQ3 2023","Currency=USD","Period=FQ","BEST_FPERIOD_OVERRIDE=FQ","FILING_STATUS=MR","SCALING_FORMAT=MLN","Sort=A","Dates=H","DateFormat=P","Fill=—","Direction=H","UseDPDF=Y")</f>
        <v>0</v>
      </c>
      <c r="W32" s="13">
        <f>_xll.BDH("ALNY US Equity","CF_CASH_FOR_DIVESTITURES","FQ4 2023","FQ4 2023","Currency=USD","Period=FQ","BEST_FPERIOD_OVERRIDE=FQ","FILING_STATUS=MR","SCALING_FORMAT=MLN","Sort=A","Dates=H","DateFormat=P","Fill=—","Direction=H","UseDPDF=Y")</f>
        <v>0</v>
      </c>
      <c r="X32" s="13">
        <f>_xll.BDH("ALNY US Equity","CF_CASH_FOR_DIVESTITURES","FQ1 2024","FQ1 2024","Currency=USD","Period=FQ","BEST_FPERIOD_OVERRIDE=FQ","FILING_STATUS=MR","SCALING_FORMAT=MLN","Sort=A","Dates=H","DateFormat=P","Fill=—","Direction=H","UseDPDF=Y")</f>
        <v>0</v>
      </c>
      <c r="Y32" s="13">
        <f>_xll.BDH("ALNY US Equity","CF_CASH_FOR_DIVESTITURES","FQ2 2024","FQ2 2024","Currency=USD","Period=FQ","BEST_FPERIOD_OVERRIDE=FQ","FILING_STATUS=MR","SCALING_FORMAT=MLN","Sort=A","Dates=H","DateFormat=P","Fill=—","Direction=H","UseDPDF=Y")</f>
        <v>0</v>
      </c>
      <c r="Z32" s="13">
        <f>_xll.BDH("ALNY US Equity","CF_CASH_FOR_DIVESTITURES","FQ3 2024","FQ3 2024","Currency=USD","Period=FQ","BEST_FPERIOD_OVERRIDE=FQ","FILING_STATUS=MR","SCALING_FORMAT=MLN","Sort=A","Dates=H","DateFormat=P","Fill=—","Direction=H","UseDPDF=Y")</f>
        <v>0</v>
      </c>
      <c r="AA32" s="13">
        <f>_xll.BDH("ALNY US Equity","CF_CASH_FOR_DIVESTITURES","FQ4 2024","FQ4 2024","Currency=USD","Period=FQ","BEST_FPERIOD_OVERRIDE=FQ","FILING_STATUS=MR","SCALING_FORMAT=MLN","Sort=A","Dates=H","DateFormat=P","Fill=—","Direction=H","UseDPDF=Y")</f>
        <v>0</v>
      </c>
    </row>
    <row r="33" spans="1:27" x14ac:dyDescent="0.25">
      <c r="A33" s="10" t="s">
        <v>1212</v>
      </c>
      <c r="B33" s="10" t="s">
        <v>1213</v>
      </c>
      <c r="C33" s="13">
        <f>_xll.BDH("ALNY US Equity","CF_CASH_FOR_ACQUIS_SUBSIDIARIES","FQ4 2018","FQ4 2018","Currency=USD","Period=FQ","BEST_FPERIOD_OVERRIDE=FQ","FILING_STATUS=MR","SCALING_FORMAT=MLN","Sort=A","Dates=H","DateFormat=P","Fill=—","Direction=H","UseDPDF=Y")</f>
        <v>0</v>
      </c>
      <c r="D33" s="13">
        <f>_xll.BDH("ALNY US Equity","CF_CASH_FOR_ACQUIS_SUBSIDIARIES","FQ1 2019","FQ1 2019","Currency=USD","Period=FQ","BEST_FPERIOD_OVERRIDE=FQ","FILING_STATUS=MR","SCALING_FORMAT=MLN","Sort=A","Dates=H","DateFormat=P","Fill=—","Direction=H","UseDPDF=Y")</f>
        <v>0</v>
      </c>
      <c r="E33" s="13">
        <f>_xll.BDH("ALNY US Equity","CF_CASH_FOR_ACQUIS_SUBSIDIARIES","FQ2 2019","FQ2 2019","Currency=USD","Period=FQ","BEST_FPERIOD_OVERRIDE=FQ","FILING_STATUS=MR","SCALING_FORMAT=MLN","Sort=A","Dates=H","DateFormat=P","Fill=—","Direction=H","UseDPDF=Y")</f>
        <v>0</v>
      </c>
      <c r="F33" s="13">
        <f>_xll.BDH("ALNY US Equity","CF_CASH_FOR_ACQUIS_SUBSIDIARIES","FQ3 2019","FQ3 2019","Currency=USD","Period=FQ","BEST_FPERIOD_OVERRIDE=FQ","FILING_STATUS=MR","SCALING_FORMAT=MLN","Sort=A","Dates=H","DateFormat=P","Fill=—","Direction=H","UseDPDF=Y")</f>
        <v>0</v>
      </c>
      <c r="G33" s="13">
        <f>_xll.BDH("ALNY US Equity","CF_CASH_FOR_ACQUIS_SUBSIDIARIES","FQ4 2019","FQ4 2019","Currency=USD","Period=FQ","BEST_FPERIOD_OVERRIDE=FQ","FILING_STATUS=MR","SCALING_FORMAT=MLN","Sort=A","Dates=H","DateFormat=P","Fill=—","Direction=H","UseDPDF=Y")</f>
        <v>0</v>
      </c>
      <c r="H33" s="13">
        <f>_xll.BDH("ALNY US Equity","CF_CASH_FOR_ACQUIS_SUBSIDIARIES","FQ1 2020","FQ1 2020","Currency=USD","Period=FQ","BEST_FPERIOD_OVERRIDE=FQ","FILING_STATUS=MR","SCALING_FORMAT=MLN","Sort=A","Dates=H","DateFormat=P","Fill=—","Direction=H","UseDPDF=Y")</f>
        <v>0</v>
      </c>
      <c r="I33" s="13">
        <f>_xll.BDH("ALNY US Equity","CF_CASH_FOR_ACQUIS_SUBSIDIARIES","FQ2 2020","FQ2 2020","Currency=USD","Period=FQ","BEST_FPERIOD_OVERRIDE=FQ","FILING_STATUS=MR","SCALING_FORMAT=MLN","Sort=A","Dates=H","DateFormat=P","Fill=—","Direction=H","UseDPDF=Y")</f>
        <v>0</v>
      </c>
      <c r="J33" s="13">
        <f>_xll.BDH("ALNY US Equity","CF_CASH_FOR_ACQUIS_SUBSIDIARIES","FQ3 2020","FQ3 2020","Currency=USD","Period=FQ","BEST_FPERIOD_OVERRIDE=FQ","FILING_STATUS=MR","SCALING_FORMAT=MLN","Sort=A","Dates=H","DateFormat=P","Fill=—","Direction=H","UseDPDF=Y")</f>
        <v>0</v>
      </c>
      <c r="K33" s="13">
        <f>_xll.BDH("ALNY US Equity","CF_CASH_FOR_ACQUIS_SUBSIDIARIES","FQ4 2020","FQ4 2020","Currency=USD","Period=FQ","BEST_FPERIOD_OVERRIDE=FQ","FILING_STATUS=MR","SCALING_FORMAT=MLN","Sort=A","Dates=H","DateFormat=P","Fill=—","Direction=H","UseDPDF=Y")</f>
        <v>0</v>
      </c>
      <c r="L33" s="13">
        <f>_xll.BDH("ALNY US Equity","CF_CASH_FOR_ACQUIS_SUBSIDIARIES","FQ1 2021","FQ1 2021","Currency=USD","Period=FQ","BEST_FPERIOD_OVERRIDE=FQ","FILING_STATUS=MR","SCALING_FORMAT=MLN","Sort=A","Dates=H","DateFormat=P","Fill=—","Direction=H","UseDPDF=Y")</f>
        <v>0</v>
      </c>
      <c r="M33" s="13">
        <f>_xll.BDH("ALNY US Equity","CF_CASH_FOR_ACQUIS_SUBSIDIARIES","FQ2 2021","FQ2 2021","Currency=USD","Period=FQ","BEST_FPERIOD_OVERRIDE=FQ","FILING_STATUS=MR","SCALING_FORMAT=MLN","Sort=A","Dates=H","DateFormat=P","Fill=—","Direction=H","UseDPDF=Y")</f>
        <v>0</v>
      </c>
      <c r="N33" s="13">
        <f>_xll.BDH("ALNY US Equity","CF_CASH_FOR_ACQUIS_SUBSIDIARIES","FQ3 2021","FQ3 2021","Currency=USD","Period=FQ","BEST_FPERIOD_OVERRIDE=FQ","FILING_STATUS=MR","SCALING_FORMAT=MLN","Sort=A","Dates=H","DateFormat=P","Fill=—","Direction=H","UseDPDF=Y")</f>
        <v>0</v>
      </c>
      <c r="O33" s="13">
        <f>_xll.BDH("ALNY US Equity","CF_CASH_FOR_ACQUIS_SUBSIDIARIES","FQ4 2021","FQ4 2021","Currency=USD","Period=FQ","BEST_FPERIOD_OVERRIDE=FQ","FILING_STATUS=MR","SCALING_FORMAT=MLN","Sort=A","Dates=H","DateFormat=P","Fill=—","Direction=H","UseDPDF=Y")</f>
        <v>0</v>
      </c>
      <c r="P33" s="13">
        <f>_xll.BDH("ALNY US Equity","CF_CASH_FOR_ACQUIS_SUBSIDIARIES","FQ1 2022","FQ1 2022","Currency=USD","Period=FQ","BEST_FPERIOD_OVERRIDE=FQ","FILING_STATUS=MR","SCALING_FORMAT=MLN","Sort=A","Dates=H","DateFormat=P","Fill=—","Direction=H","UseDPDF=Y")</f>
        <v>0</v>
      </c>
      <c r="Q33" s="13">
        <f>_xll.BDH("ALNY US Equity","CF_CASH_FOR_ACQUIS_SUBSIDIARIES","FQ2 2022","FQ2 2022","Currency=USD","Period=FQ","BEST_FPERIOD_OVERRIDE=FQ","FILING_STATUS=MR","SCALING_FORMAT=MLN","Sort=A","Dates=H","DateFormat=P","Fill=—","Direction=H","UseDPDF=Y")</f>
        <v>0</v>
      </c>
      <c r="R33" s="13">
        <f>_xll.BDH("ALNY US Equity","CF_CASH_FOR_ACQUIS_SUBSIDIARIES","FQ3 2022","FQ3 2022","Currency=USD","Period=FQ","BEST_FPERIOD_OVERRIDE=FQ","FILING_STATUS=MR","SCALING_FORMAT=MLN","Sort=A","Dates=H","DateFormat=P","Fill=—","Direction=H","UseDPDF=Y")</f>
        <v>0</v>
      </c>
      <c r="S33" s="13">
        <f>_xll.BDH("ALNY US Equity","CF_CASH_FOR_ACQUIS_SUBSIDIARIES","FQ4 2022","FQ4 2022","Currency=USD","Period=FQ","BEST_FPERIOD_OVERRIDE=FQ","FILING_STATUS=MR","SCALING_FORMAT=MLN","Sort=A","Dates=H","DateFormat=P","Fill=—","Direction=H","UseDPDF=Y")</f>
        <v>0</v>
      </c>
      <c r="T33" s="13">
        <f>_xll.BDH("ALNY US Equity","CF_CASH_FOR_ACQUIS_SUBSIDIARIES","FQ1 2023","FQ1 2023","Currency=USD","Period=FQ","BEST_FPERIOD_OVERRIDE=FQ","FILING_STATUS=MR","SCALING_FORMAT=MLN","Sort=A","Dates=H","DateFormat=P","Fill=—","Direction=H","UseDPDF=Y")</f>
        <v>0</v>
      </c>
      <c r="U33" s="13">
        <f>_xll.BDH("ALNY US Equity","CF_CASH_FOR_ACQUIS_SUBSIDIARIES","FQ2 2023","FQ2 2023","Currency=USD","Period=FQ","BEST_FPERIOD_OVERRIDE=FQ","FILING_STATUS=MR","SCALING_FORMAT=MLN","Sort=A","Dates=H","DateFormat=P","Fill=—","Direction=H","UseDPDF=Y")</f>
        <v>0</v>
      </c>
      <c r="V33" s="13">
        <f>_xll.BDH("ALNY US Equity","CF_CASH_FOR_ACQUIS_SUBSIDIARIES","FQ3 2023","FQ3 2023","Currency=USD","Period=FQ","BEST_FPERIOD_OVERRIDE=FQ","FILING_STATUS=MR","SCALING_FORMAT=MLN","Sort=A","Dates=H","DateFormat=P","Fill=—","Direction=H","UseDPDF=Y")</f>
        <v>0</v>
      </c>
      <c r="W33" s="13">
        <f>_xll.BDH("ALNY US Equity","CF_CASH_FOR_ACQUIS_SUBSIDIARIES","FQ4 2023","FQ4 2023","Currency=USD","Period=FQ","BEST_FPERIOD_OVERRIDE=FQ","FILING_STATUS=MR","SCALING_FORMAT=MLN","Sort=A","Dates=H","DateFormat=P","Fill=—","Direction=H","UseDPDF=Y")</f>
        <v>0</v>
      </c>
      <c r="X33" s="13">
        <f>_xll.BDH("ALNY US Equity","CF_CASH_FOR_ACQUIS_SUBSIDIARIES","FQ1 2024","FQ1 2024","Currency=USD","Period=FQ","BEST_FPERIOD_OVERRIDE=FQ","FILING_STATUS=MR","SCALING_FORMAT=MLN","Sort=A","Dates=H","DateFormat=P","Fill=—","Direction=H","UseDPDF=Y")</f>
        <v>0</v>
      </c>
      <c r="Y33" s="13">
        <f>_xll.BDH("ALNY US Equity","CF_CASH_FOR_ACQUIS_SUBSIDIARIES","FQ2 2024","FQ2 2024","Currency=USD","Period=FQ","BEST_FPERIOD_OVERRIDE=FQ","FILING_STATUS=MR","SCALING_FORMAT=MLN","Sort=A","Dates=H","DateFormat=P","Fill=—","Direction=H","UseDPDF=Y")</f>
        <v>0</v>
      </c>
      <c r="Z33" s="13">
        <f>_xll.BDH("ALNY US Equity","CF_CASH_FOR_ACQUIS_SUBSIDIARIES","FQ3 2024","FQ3 2024","Currency=USD","Period=FQ","BEST_FPERIOD_OVERRIDE=FQ","FILING_STATUS=MR","SCALING_FORMAT=MLN","Sort=A","Dates=H","DateFormat=P","Fill=—","Direction=H","UseDPDF=Y")</f>
        <v>0</v>
      </c>
      <c r="AA33" s="13">
        <f>_xll.BDH("ALNY US Equity","CF_CASH_FOR_ACQUIS_SUBSIDIARIES","FQ4 2024","FQ4 2024","Currency=USD","Period=FQ","BEST_FPERIOD_OVERRIDE=FQ","FILING_STATUS=MR","SCALING_FORMAT=MLN","Sort=A","Dates=H","DateFormat=P","Fill=—","Direction=H","UseDPDF=Y")</f>
        <v>0</v>
      </c>
    </row>
    <row r="34" spans="1:27" x14ac:dyDescent="0.25">
      <c r="A34" s="10" t="s">
        <v>1214</v>
      </c>
      <c r="B34" s="10" t="s">
        <v>1215</v>
      </c>
      <c r="C34" s="13">
        <f>_xll.BDH("ALNY US Equity","CF_CASH_FOR_JOINT_VENTURES_ASSOC","FQ4 2018","FQ4 2018","Currency=USD","Period=FQ","BEST_FPERIOD_OVERRIDE=FQ","FILING_STATUS=MR","SCALING_FORMAT=MLN","Sort=A","Dates=H","DateFormat=P","Fill=—","Direction=H","UseDPDF=Y")</f>
        <v>0</v>
      </c>
      <c r="D34" s="13">
        <f>_xll.BDH("ALNY US Equity","CF_CASH_FOR_JOINT_VENTURES_ASSOC","FQ1 2019","FQ1 2019","Currency=USD","Period=FQ","BEST_FPERIOD_OVERRIDE=FQ","FILING_STATUS=MR","SCALING_FORMAT=MLN","Sort=A","Dates=H","DateFormat=P","Fill=—","Direction=H","UseDPDF=Y")</f>
        <v>0</v>
      </c>
      <c r="E34" s="13">
        <f>_xll.BDH("ALNY US Equity","CF_CASH_FOR_JOINT_VENTURES_ASSOC","FQ2 2019","FQ2 2019","Currency=USD","Period=FQ","BEST_FPERIOD_OVERRIDE=FQ","FILING_STATUS=MR","SCALING_FORMAT=MLN","Sort=A","Dates=H","DateFormat=P","Fill=—","Direction=H","UseDPDF=Y")</f>
        <v>0</v>
      </c>
      <c r="F34" s="13">
        <f>_xll.BDH("ALNY US Equity","CF_CASH_FOR_JOINT_VENTURES_ASSOC","FQ3 2019","FQ3 2019","Currency=USD","Period=FQ","BEST_FPERIOD_OVERRIDE=FQ","FILING_STATUS=MR","SCALING_FORMAT=MLN","Sort=A","Dates=H","DateFormat=P","Fill=—","Direction=H","UseDPDF=Y")</f>
        <v>0</v>
      </c>
      <c r="G34" s="13">
        <f>_xll.BDH("ALNY US Equity","CF_CASH_FOR_JOINT_VENTURES_ASSOC","FQ4 2019","FQ4 2019","Currency=USD","Period=FQ","BEST_FPERIOD_OVERRIDE=FQ","FILING_STATUS=MR","SCALING_FORMAT=MLN","Sort=A","Dates=H","DateFormat=P","Fill=—","Direction=H","UseDPDF=Y")</f>
        <v>0</v>
      </c>
      <c r="H34" s="13">
        <f>_xll.BDH("ALNY US Equity","CF_CASH_FOR_JOINT_VENTURES_ASSOC","FQ1 2020","FQ1 2020","Currency=USD","Period=FQ","BEST_FPERIOD_OVERRIDE=FQ","FILING_STATUS=MR","SCALING_FORMAT=MLN","Sort=A","Dates=H","DateFormat=P","Fill=—","Direction=H","UseDPDF=Y")</f>
        <v>0</v>
      </c>
      <c r="I34" s="13">
        <f>_xll.BDH("ALNY US Equity","CF_CASH_FOR_JOINT_VENTURES_ASSOC","FQ2 2020","FQ2 2020","Currency=USD","Period=FQ","BEST_FPERIOD_OVERRIDE=FQ","FILING_STATUS=MR","SCALING_FORMAT=MLN","Sort=A","Dates=H","DateFormat=P","Fill=—","Direction=H","UseDPDF=Y")</f>
        <v>0</v>
      </c>
      <c r="J34" s="13">
        <f>_xll.BDH("ALNY US Equity","CF_CASH_FOR_JOINT_VENTURES_ASSOC","FQ3 2020","FQ3 2020","Currency=USD","Period=FQ","BEST_FPERIOD_OVERRIDE=FQ","FILING_STATUS=MR","SCALING_FORMAT=MLN","Sort=A","Dates=H","DateFormat=P","Fill=—","Direction=H","UseDPDF=Y")</f>
        <v>0</v>
      </c>
      <c r="K34" s="13">
        <f>_xll.BDH("ALNY US Equity","CF_CASH_FOR_JOINT_VENTURES_ASSOC","FQ4 2020","FQ4 2020","Currency=USD","Period=FQ","BEST_FPERIOD_OVERRIDE=FQ","FILING_STATUS=MR","SCALING_FORMAT=MLN","Sort=A","Dates=H","DateFormat=P","Fill=—","Direction=H","UseDPDF=Y")</f>
        <v>0</v>
      </c>
      <c r="L34" s="13">
        <f>_xll.BDH("ALNY US Equity","CF_CASH_FOR_JOINT_VENTURES_ASSOC","FQ1 2021","FQ1 2021","Currency=USD","Period=FQ","BEST_FPERIOD_OVERRIDE=FQ","FILING_STATUS=MR","SCALING_FORMAT=MLN","Sort=A","Dates=H","DateFormat=P","Fill=—","Direction=H","UseDPDF=Y")</f>
        <v>0</v>
      </c>
      <c r="M34" s="13">
        <f>_xll.BDH("ALNY US Equity","CF_CASH_FOR_JOINT_VENTURES_ASSOC","FQ2 2021","FQ2 2021","Currency=USD","Period=FQ","BEST_FPERIOD_OVERRIDE=FQ","FILING_STATUS=MR","SCALING_FORMAT=MLN","Sort=A","Dates=H","DateFormat=P","Fill=—","Direction=H","UseDPDF=Y")</f>
        <v>0</v>
      </c>
      <c r="N34" s="13">
        <f>_xll.BDH("ALNY US Equity","CF_CASH_FOR_JOINT_VENTURES_ASSOC","FQ3 2021","FQ3 2021","Currency=USD","Period=FQ","BEST_FPERIOD_OVERRIDE=FQ","FILING_STATUS=MR","SCALING_FORMAT=MLN","Sort=A","Dates=H","DateFormat=P","Fill=—","Direction=H","UseDPDF=Y")</f>
        <v>0</v>
      </c>
      <c r="O34" s="13">
        <f>_xll.BDH("ALNY US Equity","CF_CASH_FOR_JOINT_VENTURES_ASSOC","FQ4 2021","FQ4 2021","Currency=USD","Period=FQ","BEST_FPERIOD_OVERRIDE=FQ","FILING_STATUS=MR","SCALING_FORMAT=MLN","Sort=A","Dates=H","DateFormat=P","Fill=—","Direction=H","UseDPDF=Y")</f>
        <v>0</v>
      </c>
      <c r="P34" s="13">
        <f>_xll.BDH("ALNY US Equity","CF_CASH_FOR_JOINT_VENTURES_ASSOC","FQ1 2022","FQ1 2022","Currency=USD","Period=FQ","BEST_FPERIOD_OVERRIDE=FQ","FILING_STATUS=MR","SCALING_FORMAT=MLN","Sort=A","Dates=H","DateFormat=P","Fill=—","Direction=H","UseDPDF=Y")</f>
        <v>0</v>
      </c>
      <c r="Q34" s="13">
        <f>_xll.BDH("ALNY US Equity","CF_CASH_FOR_JOINT_VENTURES_ASSOC","FQ2 2022","FQ2 2022","Currency=USD","Period=FQ","BEST_FPERIOD_OVERRIDE=FQ","FILING_STATUS=MR","SCALING_FORMAT=MLN","Sort=A","Dates=H","DateFormat=P","Fill=—","Direction=H","UseDPDF=Y")</f>
        <v>0</v>
      </c>
      <c r="R34" s="13">
        <f>_xll.BDH("ALNY US Equity","CF_CASH_FOR_JOINT_VENTURES_ASSOC","FQ3 2022","FQ3 2022","Currency=USD","Period=FQ","BEST_FPERIOD_OVERRIDE=FQ","FILING_STATUS=MR","SCALING_FORMAT=MLN","Sort=A","Dates=H","DateFormat=P","Fill=—","Direction=H","UseDPDF=Y")</f>
        <v>0</v>
      </c>
      <c r="S34" s="13">
        <f>_xll.BDH("ALNY US Equity","CF_CASH_FOR_JOINT_VENTURES_ASSOC","FQ4 2022","FQ4 2022","Currency=USD","Period=FQ","BEST_FPERIOD_OVERRIDE=FQ","FILING_STATUS=MR","SCALING_FORMAT=MLN","Sort=A","Dates=H","DateFormat=P","Fill=—","Direction=H","UseDPDF=Y")</f>
        <v>0</v>
      </c>
      <c r="T34" s="13">
        <f>_xll.BDH("ALNY US Equity","CF_CASH_FOR_JOINT_VENTURES_ASSOC","FQ1 2023","FQ1 2023","Currency=USD","Period=FQ","BEST_FPERIOD_OVERRIDE=FQ","FILING_STATUS=MR","SCALING_FORMAT=MLN","Sort=A","Dates=H","DateFormat=P","Fill=—","Direction=H","UseDPDF=Y")</f>
        <v>0</v>
      </c>
      <c r="U34" s="13">
        <f>_xll.BDH("ALNY US Equity","CF_CASH_FOR_JOINT_VENTURES_ASSOC","FQ2 2023","FQ2 2023","Currency=USD","Period=FQ","BEST_FPERIOD_OVERRIDE=FQ","FILING_STATUS=MR","SCALING_FORMAT=MLN","Sort=A","Dates=H","DateFormat=P","Fill=—","Direction=H","UseDPDF=Y")</f>
        <v>0</v>
      </c>
      <c r="V34" s="13">
        <f>_xll.BDH("ALNY US Equity","CF_CASH_FOR_JOINT_VENTURES_ASSOC","FQ3 2023","FQ3 2023","Currency=USD","Period=FQ","BEST_FPERIOD_OVERRIDE=FQ","FILING_STATUS=MR","SCALING_FORMAT=MLN","Sort=A","Dates=H","DateFormat=P","Fill=—","Direction=H","UseDPDF=Y")</f>
        <v>0</v>
      </c>
      <c r="W34" s="13">
        <f>_xll.BDH("ALNY US Equity","CF_CASH_FOR_JOINT_VENTURES_ASSOC","FQ4 2023","FQ4 2023","Currency=USD","Period=FQ","BEST_FPERIOD_OVERRIDE=FQ","FILING_STATUS=MR","SCALING_FORMAT=MLN","Sort=A","Dates=H","DateFormat=P","Fill=—","Direction=H","UseDPDF=Y")</f>
        <v>0</v>
      </c>
      <c r="X34" s="13">
        <f>_xll.BDH("ALNY US Equity","CF_CASH_FOR_JOINT_VENTURES_ASSOC","FQ1 2024","FQ1 2024","Currency=USD","Period=FQ","BEST_FPERIOD_OVERRIDE=FQ","FILING_STATUS=MR","SCALING_FORMAT=MLN","Sort=A","Dates=H","DateFormat=P","Fill=—","Direction=H","UseDPDF=Y")</f>
        <v>0</v>
      </c>
      <c r="Y34" s="13">
        <f>_xll.BDH("ALNY US Equity","CF_CASH_FOR_JOINT_VENTURES_ASSOC","FQ2 2024","FQ2 2024","Currency=USD","Period=FQ","BEST_FPERIOD_OVERRIDE=FQ","FILING_STATUS=MR","SCALING_FORMAT=MLN","Sort=A","Dates=H","DateFormat=P","Fill=—","Direction=H","UseDPDF=Y")</f>
        <v>0</v>
      </c>
      <c r="Z34" s="13">
        <f>_xll.BDH("ALNY US Equity","CF_CASH_FOR_JOINT_VENTURES_ASSOC","FQ3 2024","FQ3 2024","Currency=USD","Period=FQ","BEST_FPERIOD_OVERRIDE=FQ","FILING_STATUS=MR","SCALING_FORMAT=MLN","Sort=A","Dates=H","DateFormat=P","Fill=—","Direction=H","UseDPDF=Y")</f>
        <v>0</v>
      </c>
      <c r="AA34" s="13">
        <f>_xll.BDH("ALNY US Equity","CF_CASH_FOR_JOINT_VENTURES_ASSOC","FQ4 2024","FQ4 2024","Currency=USD","Period=FQ","BEST_FPERIOD_OVERRIDE=FQ","FILING_STATUS=MR","SCALING_FORMAT=MLN","Sort=A","Dates=H","DateFormat=P","Fill=—","Direction=H","UseDPDF=Y")</f>
        <v>0</v>
      </c>
    </row>
    <row r="35" spans="1:27" x14ac:dyDescent="0.25">
      <c r="A35" s="10" t="s">
        <v>1216</v>
      </c>
      <c r="B35" s="10" t="s">
        <v>1217</v>
      </c>
      <c r="C35" s="13">
        <f>_xll.BDH("ALNY US Equity","OTHER_INVESTING_ACT_DETAILED","FQ4 2018","FQ4 2018","Currency=USD","Period=FQ","BEST_FPERIOD_OVERRIDE=FQ","FILING_STATUS=MR","SCALING_FORMAT=MLN","Sort=A","Dates=H","DateFormat=P","Fill=—","Direction=H","UseDPDF=Y")</f>
        <v>286.47699999999998</v>
      </c>
      <c r="D35" s="13">
        <f>_xll.BDH("ALNY US Equity","OTHER_INVESTING_ACT_DETAILED","FQ1 2019","FQ1 2019","Currency=USD","Period=FQ","BEST_FPERIOD_OVERRIDE=FQ","FILING_STATUS=MR","SCALING_FORMAT=MLN","Sort=A","Dates=H","DateFormat=P","Fill=—","Direction=H","UseDPDF=Y")</f>
        <v>146.70099999999999</v>
      </c>
      <c r="E35" s="13">
        <f>_xll.BDH("ALNY US Equity","OTHER_INVESTING_ACT_DETAILED","FQ2 2019","FQ2 2019","Currency=USD","Period=FQ","BEST_FPERIOD_OVERRIDE=FQ","FILING_STATUS=MR","SCALING_FORMAT=MLN","Sort=A","Dates=H","DateFormat=P","Fill=—","Direction=H","UseDPDF=Y")</f>
        <v>-268.15800000000002</v>
      </c>
      <c r="F35" s="13">
        <f>_xll.BDH("ALNY US Equity","OTHER_INVESTING_ACT_DETAILED","FQ3 2019","FQ3 2019","Currency=USD","Period=FQ","BEST_FPERIOD_OVERRIDE=FQ","FILING_STATUS=MR","SCALING_FORMAT=MLN","Sort=A","Dates=H","DateFormat=P","Fill=—","Direction=H","UseDPDF=Y")</f>
        <v>-4.0190000000000001</v>
      </c>
      <c r="G35" s="13">
        <f>_xll.BDH("ALNY US Equity","OTHER_INVESTING_ACT_DETAILED","FQ4 2019","FQ4 2019","Currency=USD","Period=FQ","BEST_FPERIOD_OVERRIDE=FQ","FILING_STATUS=MR","SCALING_FORMAT=MLN","Sort=A","Dates=H","DateFormat=P","Fill=—","Direction=H","UseDPDF=Y")</f>
        <v>-182.04499999999999</v>
      </c>
      <c r="H35" s="13">
        <f>_xll.BDH("ALNY US Equity","OTHER_INVESTING_ACT_DETAILED","FQ1 2020","FQ1 2020","Currency=USD","Period=FQ","BEST_FPERIOD_OVERRIDE=FQ","FILING_STATUS=MR","SCALING_FORMAT=MLN","Sort=A","Dates=H","DateFormat=P","Fill=—","Direction=H","UseDPDF=Y")</f>
        <v>133.30500000000001</v>
      </c>
      <c r="I35" s="13">
        <f>_xll.BDH("ALNY US Equity","OTHER_INVESTING_ACT_DETAILED","FQ2 2020","FQ2 2020","Currency=USD","Period=FQ","BEST_FPERIOD_OVERRIDE=FQ","FILING_STATUS=MR","SCALING_FORMAT=MLN","Sort=A","Dates=H","DateFormat=P","Fill=—","Direction=H","UseDPDF=Y")</f>
        <v>-424.572</v>
      </c>
      <c r="J35" s="13">
        <f>_xll.BDH("ALNY US Equity","OTHER_INVESTING_ACT_DETAILED","FQ3 2020","FQ3 2020","Currency=USD","Period=FQ","BEST_FPERIOD_OVERRIDE=FQ","FILING_STATUS=MR","SCALING_FORMAT=MLN","Sort=A","Dates=H","DateFormat=P","Fill=—","Direction=H","UseDPDF=Y")</f>
        <v>2.33</v>
      </c>
      <c r="K35" s="13">
        <f>_xll.BDH("ALNY US Equity","OTHER_INVESTING_ACT_DETAILED","FQ4 2020","FQ4 2020","Currency=USD","Period=FQ","BEST_FPERIOD_OVERRIDE=FQ","FILING_STATUS=MR","SCALING_FORMAT=MLN","Sort=A","Dates=H","DateFormat=P","Fill=—","Direction=H","UseDPDF=Y")</f>
        <v>-76.22</v>
      </c>
      <c r="L35" s="13">
        <f>_xll.BDH("ALNY US Equity","OTHER_INVESTING_ACT_DETAILED","FQ1 2021","FQ1 2021","Currency=USD","Period=FQ","BEST_FPERIOD_OVERRIDE=FQ","FILING_STATUS=MR","SCALING_FORMAT=MLN","Sort=A","Dates=H","DateFormat=P","Fill=—","Direction=H","UseDPDF=Y")</f>
        <v>88.53</v>
      </c>
      <c r="M35" s="13">
        <f>_xll.BDH("ALNY US Equity","OTHER_INVESTING_ACT_DETAILED","FQ2 2021","FQ2 2021","Currency=USD","Period=FQ","BEST_FPERIOD_OVERRIDE=FQ","FILING_STATUS=MR","SCALING_FORMAT=MLN","Sort=A","Dates=H","DateFormat=P","Fill=—","Direction=H","UseDPDF=Y")</f>
        <v>157.62</v>
      </c>
      <c r="N35" s="13">
        <f>_xll.BDH("ALNY US Equity","OTHER_INVESTING_ACT_DETAILED","FQ3 2021","FQ3 2021","Currency=USD","Period=FQ","BEST_FPERIOD_OVERRIDE=FQ","FILING_STATUS=MR","SCALING_FORMAT=MLN","Sort=A","Dates=H","DateFormat=P","Fill=—","Direction=H","UseDPDF=Y")</f>
        <v>-77.534000000000006</v>
      </c>
      <c r="O35" s="13">
        <f>_xll.BDH("ALNY US Equity","OTHER_INVESTING_ACT_DETAILED","FQ4 2021","FQ4 2021","Currency=USD","Period=FQ","BEST_FPERIOD_OVERRIDE=FQ","FILING_STATUS=MR","SCALING_FORMAT=MLN","Sort=A","Dates=H","DateFormat=P","Fill=—","Direction=H","UseDPDF=Y")</f>
        <v>-407.51900000000001</v>
      </c>
      <c r="P35" s="13">
        <f>_xll.BDH("ALNY US Equity","OTHER_INVESTING_ACT_DETAILED","FQ1 2022","FQ1 2022","Currency=USD","Period=FQ","BEST_FPERIOD_OVERRIDE=FQ","FILING_STATUS=MR","SCALING_FORMAT=MLN","Sort=A","Dates=H","DateFormat=P","Fill=—","Direction=H","UseDPDF=Y")</f>
        <v>-129.56</v>
      </c>
      <c r="Q35" s="13">
        <f>_xll.BDH("ALNY US Equity","OTHER_INVESTING_ACT_DETAILED","FQ2 2022","FQ2 2022","Currency=USD","Period=FQ","BEST_FPERIOD_OVERRIDE=FQ","FILING_STATUS=MR","SCALING_FORMAT=MLN","Sort=A","Dates=H","DateFormat=P","Fill=—","Direction=H","UseDPDF=Y")</f>
        <v>158.84800000000001</v>
      </c>
      <c r="R35" s="13">
        <f>_xll.BDH("ALNY US Equity","OTHER_INVESTING_ACT_DETAILED","FQ3 2022","FQ3 2022","Currency=USD","Period=FQ","BEST_FPERIOD_OVERRIDE=FQ","FILING_STATUS=MR","SCALING_FORMAT=MLN","Sort=A","Dates=H","DateFormat=P","Fill=—","Direction=H","UseDPDF=Y")</f>
        <v>240.45</v>
      </c>
      <c r="S35" s="13">
        <f>_xll.BDH("ALNY US Equity","OTHER_INVESTING_ACT_DETAILED","FQ4 2022","FQ4 2022","Currency=USD","Period=FQ","BEST_FPERIOD_OVERRIDE=FQ","FILING_STATUS=MR","SCALING_FORMAT=MLN","Sort=A","Dates=H","DateFormat=P","Fill=—","Direction=H","UseDPDF=Y")</f>
        <v>-118.276</v>
      </c>
      <c r="T35" s="13">
        <f>_xll.BDH("ALNY US Equity","OTHER_INVESTING_ACT_DETAILED","FQ1 2023","FQ1 2023","Currency=USD","Period=FQ","BEST_FPERIOD_OVERRIDE=FQ","FILING_STATUS=MR","SCALING_FORMAT=MLN","Sort=A","Dates=H","DateFormat=P","Fill=—","Direction=H","UseDPDF=Y")</f>
        <v>-62.326000000000001</v>
      </c>
      <c r="U35" s="13">
        <f>_xll.BDH("ALNY US Equity","OTHER_INVESTING_ACT_DETAILED","FQ2 2023","FQ2 2023","Currency=USD","Period=FQ","BEST_FPERIOD_OVERRIDE=FQ","FILING_STATUS=MR","SCALING_FORMAT=MLN","Sort=A","Dates=H","DateFormat=P","Fill=—","Direction=H","UseDPDF=Y")</f>
        <v>7.2060000000000004</v>
      </c>
      <c r="V35" s="13">
        <f>_xll.BDH("ALNY US Equity","OTHER_INVESTING_ACT_DETAILED","FQ3 2023","FQ3 2023","Currency=USD","Period=FQ","BEST_FPERIOD_OVERRIDE=FQ","FILING_STATUS=MR","SCALING_FORMAT=MLN","Sort=A","Dates=H","DateFormat=P","Fill=—","Direction=H","UseDPDF=Y")</f>
        <v>6.3280000000000003</v>
      </c>
      <c r="W35" s="13">
        <f>_xll.BDH("ALNY US Equity","OTHER_INVESTING_ACT_DETAILED","FQ4 2023","FQ4 2023","Currency=USD","Period=FQ","BEST_FPERIOD_OVERRIDE=FQ","FILING_STATUS=MR","SCALING_FORMAT=MLN","Sort=A","Dates=H","DateFormat=P","Fill=—","Direction=H","UseDPDF=Y")</f>
        <v>-283.822</v>
      </c>
      <c r="X35" s="13">
        <f>_xll.BDH("ALNY US Equity","OTHER_INVESTING_ACT_DETAILED","FQ1 2024","FQ1 2024","Currency=USD","Period=FQ","BEST_FPERIOD_OVERRIDE=FQ","FILING_STATUS=MR","SCALING_FORMAT=MLN","Sort=A","Dates=H","DateFormat=P","Fill=—","Direction=H","UseDPDF=Y")</f>
        <v>-54.646999999999998</v>
      </c>
      <c r="Y35" s="13">
        <f>_xll.BDH("ALNY US Equity","OTHER_INVESTING_ACT_DETAILED","FQ2 2024","FQ2 2024","Currency=USD","Period=FQ","BEST_FPERIOD_OVERRIDE=FQ","FILING_STATUS=MR","SCALING_FORMAT=MLN","Sort=A","Dates=H","DateFormat=P","Fill=—","Direction=H","UseDPDF=Y")</f>
        <v>41.957999999999998</v>
      </c>
      <c r="Z35" s="13">
        <f>_xll.BDH("ALNY US Equity","OTHER_INVESTING_ACT_DETAILED","FQ3 2024","FQ3 2024","Currency=USD","Period=FQ","BEST_FPERIOD_OVERRIDE=FQ","FILING_STATUS=MR","SCALING_FORMAT=MLN","Sort=A","Dates=H","DateFormat=P","Fill=—","Direction=H","UseDPDF=Y")</f>
        <v>-26.058</v>
      </c>
      <c r="AA35" s="13">
        <f>_xll.BDH("ALNY US Equity","OTHER_INVESTING_ACT_DETAILED","FQ4 2024","FQ4 2024","Currency=USD","Period=FQ","BEST_FPERIOD_OVERRIDE=FQ","FILING_STATUS=MR","SCALING_FORMAT=MLN","Sort=A","Dates=H","DateFormat=P","Fill=—","Direction=H","UseDPDF=Y")</f>
        <v>-101.691</v>
      </c>
    </row>
    <row r="36" spans="1:27" x14ac:dyDescent="0.25">
      <c r="A36" s="10" t="s">
        <v>1185</v>
      </c>
      <c r="B36" s="10" t="s">
        <v>1218</v>
      </c>
      <c r="C36" s="13">
        <f>_xll.BDH("ALNY US Equity","CF_NET_CASH_DISCONTINUED_OPS_INV","FQ4 2018","FQ4 2018","Currency=USD","Period=FQ","BEST_FPERIOD_OVERRIDE=FQ","FILING_STATUS=MR","SCALING_FORMAT=MLN","Sort=A","Dates=H","DateFormat=P","Fill=—","Direction=H","UseDPDF=Y")</f>
        <v>0</v>
      </c>
      <c r="D36" s="13">
        <f>_xll.BDH("ALNY US Equity","CF_NET_CASH_DISCONTINUED_OPS_INV","FQ1 2019","FQ1 2019","Currency=USD","Period=FQ","BEST_FPERIOD_OVERRIDE=FQ","FILING_STATUS=MR","SCALING_FORMAT=MLN","Sort=A","Dates=H","DateFormat=P","Fill=—","Direction=H","UseDPDF=Y")</f>
        <v>0</v>
      </c>
      <c r="E36" s="13">
        <f>_xll.BDH("ALNY US Equity","CF_NET_CASH_DISCONTINUED_OPS_INV","FQ2 2019","FQ2 2019","Currency=USD","Period=FQ","BEST_FPERIOD_OVERRIDE=FQ","FILING_STATUS=MR","SCALING_FORMAT=MLN","Sort=A","Dates=H","DateFormat=P","Fill=—","Direction=H","UseDPDF=Y")</f>
        <v>0</v>
      </c>
      <c r="F36" s="13">
        <f>_xll.BDH("ALNY US Equity","CF_NET_CASH_DISCONTINUED_OPS_INV","FQ3 2019","FQ3 2019","Currency=USD","Period=FQ","BEST_FPERIOD_OVERRIDE=FQ","FILING_STATUS=MR","SCALING_FORMAT=MLN","Sort=A","Dates=H","DateFormat=P","Fill=—","Direction=H","UseDPDF=Y")</f>
        <v>0</v>
      </c>
      <c r="G36" s="13">
        <f>_xll.BDH("ALNY US Equity","CF_NET_CASH_DISCONTINUED_OPS_INV","FQ4 2019","FQ4 2019","Currency=USD","Period=FQ","BEST_FPERIOD_OVERRIDE=FQ","FILING_STATUS=MR","SCALING_FORMAT=MLN","Sort=A","Dates=H","DateFormat=P","Fill=—","Direction=H","UseDPDF=Y")</f>
        <v>0</v>
      </c>
      <c r="H36" s="13">
        <f>_xll.BDH("ALNY US Equity","CF_NET_CASH_DISCONTINUED_OPS_INV","FQ1 2020","FQ1 2020","Currency=USD","Period=FQ","BEST_FPERIOD_OVERRIDE=FQ","FILING_STATUS=MR","SCALING_FORMAT=MLN","Sort=A","Dates=H","DateFormat=P","Fill=—","Direction=H","UseDPDF=Y")</f>
        <v>0</v>
      </c>
      <c r="I36" s="13">
        <f>_xll.BDH("ALNY US Equity","CF_NET_CASH_DISCONTINUED_OPS_INV","FQ2 2020","FQ2 2020","Currency=USD","Period=FQ","BEST_FPERIOD_OVERRIDE=FQ","FILING_STATUS=MR","SCALING_FORMAT=MLN","Sort=A","Dates=H","DateFormat=P","Fill=—","Direction=H","UseDPDF=Y")</f>
        <v>0</v>
      </c>
      <c r="J36" s="13">
        <f>_xll.BDH("ALNY US Equity","CF_NET_CASH_DISCONTINUED_OPS_INV","FQ3 2020","FQ3 2020","Currency=USD","Period=FQ","BEST_FPERIOD_OVERRIDE=FQ","FILING_STATUS=MR","SCALING_FORMAT=MLN","Sort=A","Dates=H","DateFormat=P","Fill=—","Direction=H","UseDPDF=Y")</f>
        <v>0</v>
      </c>
      <c r="K36" s="13">
        <f>_xll.BDH("ALNY US Equity","CF_NET_CASH_DISCONTINUED_OPS_INV","FQ4 2020","FQ4 2020","Currency=USD","Period=FQ","BEST_FPERIOD_OVERRIDE=FQ","FILING_STATUS=MR","SCALING_FORMAT=MLN","Sort=A","Dates=H","DateFormat=P","Fill=—","Direction=H","UseDPDF=Y")</f>
        <v>0</v>
      </c>
      <c r="L36" s="13">
        <f>_xll.BDH("ALNY US Equity","CF_NET_CASH_DISCONTINUED_OPS_INV","FQ1 2021","FQ1 2021","Currency=USD","Period=FQ","BEST_FPERIOD_OVERRIDE=FQ","FILING_STATUS=MR","SCALING_FORMAT=MLN","Sort=A","Dates=H","DateFormat=P","Fill=—","Direction=H","UseDPDF=Y")</f>
        <v>0</v>
      </c>
      <c r="M36" s="13">
        <f>_xll.BDH("ALNY US Equity","CF_NET_CASH_DISCONTINUED_OPS_INV","FQ2 2021","FQ2 2021","Currency=USD","Period=FQ","BEST_FPERIOD_OVERRIDE=FQ","FILING_STATUS=MR","SCALING_FORMAT=MLN","Sort=A","Dates=H","DateFormat=P","Fill=—","Direction=H","UseDPDF=Y")</f>
        <v>0</v>
      </c>
      <c r="N36" s="13">
        <f>_xll.BDH("ALNY US Equity","CF_NET_CASH_DISCONTINUED_OPS_INV","FQ3 2021","FQ3 2021","Currency=USD","Period=FQ","BEST_FPERIOD_OVERRIDE=FQ","FILING_STATUS=MR","SCALING_FORMAT=MLN","Sort=A","Dates=H","DateFormat=P","Fill=—","Direction=H","UseDPDF=Y")</f>
        <v>0</v>
      </c>
      <c r="O36" s="13">
        <f>_xll.BDH("ALNY US Equity","CF_NET_CASH_DISCONTINUED_OPS_INV","FQ4 2021","FQ4 2021","Currency=USD","Period=FQ","BEST_FPERIOD_OVERRIDE=FQ","FILING_STATUS=MR","SCALING_FORMAT=MLN","Sort=A","Dates=H","DateFormat=P","Fill=—","Direction=H","UseDPDF=Y")</f>
        <v>0</v>
      </c>
      <c r="P36" s="13">
        <f>_xll.BDH("ALNY US Equity","CF_NET_CASH_DISCONTINUED_OPS_INV","FQ1 2022","FQ1 2022","Currency=USD","Period=FQ","BEST_FPERIOD_OVERRIDE=FQ","FILING_STATUS=MR","SCALING_FORMAT=MLN","Sort=A","Dates=H","DateFormat=P","Fill=—","Direction=H","UseDPDF=Y")</f>
        <v>0</v>
      </c>
      <c r="Q36" s="13">
        <f>_xll.BDH("ALNY US Equity","CF_NET_CASH_DISCONTINUED_OPS_INV","FQ2 2022","FQ2 2022","Currency=USD","Period=FQ","BEST_FPERIOD_OVERRIDE=FQ","FILING_STATUS=MR","SCALING_FORMAT=MLN","Sort=A","Dates=H","DateFormat=P","Fill=—","Direction=H","UseDPDF=Y")</f>
        <v>0</v>
      </c>
      <c r="R36" s="13">
        <f>_xll.BDH("ALNY US Equity","CF_NET_CASH_DISCONTINUED_OPS_INV","FQ3 2022","FQ3 2022","Currency=USD","Period=FQ","BEST_FPERIOD_OVERRIDE=FQ","FILING_STATUS=MR","SCALING_FORMAT=MLN","Sort=A","Dates=H","DateFormat=P","Fill=—","Direction=H","UseDPDF=Y")</f>
        <v>0</v>
      </c>
      <c r="S36" s="13">
        <f>_xll.BDH("ALNY US Equity","CF_NET_CASH_DISCONTINUED_OPS_INV","FQ4 2022","FQ4 2022","Currency=USD","Period=FQ","BEST_FPERIOD_OVERRIDE=FQ","FILING_STATUS=MR","SCALING_FORMAT=MLN","Sort=A","Dates=H","DateFormat=P","Fill=—","Direction=H","UseDPDF=Y")</f>
        <v>0</v>
      </c>
      <c r="T36" s="13">
        <f>_xll.BDH("ALNY US Equity","CF_NET_CASH_DISCONTINUED_OPS_INV","FQ1 2023","FQ1 2023","Currency=USD","Period=FQ","BEST_FPERIOD_OVERRIDE=FQ","FILING_STATUS=MR","SCALING_FORMAT=MLN","Sort=A","Dates=H","DateFormat=P","Fill=—","Direction=H","UseDPDF=Y")</f>
        <v>0</v>
      </c>
      <c r="U36" s="13">
        <f>_xll.BDH("ALNY US Equity","CF_NET_CASH_DISCONTINUED_OPS_INV","FQ2 2023","FQ2 2023","Currency=USD","Period=FQ","BEST_FPERIOD_OVERRIDE=FQ","FILING_STATUS=MR","SCALING_FORMAT=MLN","Sort=A","Dates=H","DateFormat=P","Fill=—","Direction=H","UseDPDF=Y")</f>
        <v>0</v>
      </c>
      <c r="V36" s="13">
        <f>_xll.BDH("ALNY US Equity","CF_NET_CASH_DISCONTINUED_OPS_INV","FQ3 2023","FQ3 2023","Currency=USD","Period=FQ","BEST_FPERIOD_OVERRIDE=FQ","FILING_STATUS=MR","SCALING_FORMAT=MLN","Sort=A","Dates=H","DateFormat=P","Fill=—","Direction=H","UseDPDF=Y")</f>
        <v>0</v>
      </c>
      <c r="W36" s="13">
        <f>_xll.BDH("ALNY US Equity","CF_NET_CASH_DISCONTINUED_OPS_INV","FQ4 2023","FQ4 2023","Currency=USD","Period=FQ","BEST_FPERIOD_OVERRIDE=FQ","FILING_STATUS=MR","SCALING_FORMAT=MLN","Sort=A","Dates=H","DateFormat=P","Fill=—","Direction=H","UseDPDF=Y")</f>
        <v>0</v>
      </c>
      <c r="X36" s="13">
        <f>_xll.BDH("ALNY US Equity","CF_NET_CASH_DISCONTINUED_OPS_INV","FQ1 2024","FQ1 2024","Currency=USD","Period=FQ","BEST_FPERIOD_OVERRIDE=FQ","FILING_STATUS=MR","SCALING_FORMAT=MLN","Sort=A","Dates=H","DateFormat=P","Fill=—","Direction=H","UseDPDF=Y")</f>
        <v>0</v>
      </c>
      <c r="Y36" s="13">
        <f>_xll.BDH("ALNY US Equity","CF_NET_CASH_DISCONTINUED_OPS_INV","FQ2 2024","FQ2 2024","Currency=USD","Period=FQ","BEST_FPERIOD_OVERRIDE=FQ","FILING_STATUS=MR","SCALING_FORMAT=MLN","Sort=A","Dates=H","DateFormat=P","Fill=—","Direction=H","UseDPDF=Y")</f>
        <v>0</v>
      </c>
      <c r="Z36" s="13">
        <f>_xll.BDH("ALNY US Equity","CF_NET_CASH_DISCONTINUED_OPS_INV","FQ3 2024","FQ3 2024","Currency=USD","Period=FQ","BEST_FPERIOD_OVERRIDE=FQ","FILING_STATUS=MR","SCALING_FORMAT=MLN","Sort=A","Dates=H","DateFormat=P","Fill=—","Direction=H","UseDPDF=Y")</f>
        <v>0</v>
      </c>
      <c r="AA36" s="13">
        <f>_xll.BDH("ALNY US Equity","CF_NET_CASH_DISCONTINUED_OPS_INV","FQ4 2024","FQ4 2024","Currency=USD","Period=FQ","BEST_FPERIOD_OVERRIDE=FQ","FILING_STATUS=MR","SCALING_FORMAT=MLN","Sort=A","Dates=H","DateFormat=P","Fill=—","Direction=H","UseDPDF=Y")</f>
        <v>0</v>
      </c>
    </row>
    <row r="37" spans="1:27" x14ac:dyDescent="0.25">
      <c r="A37" s="6" t="s">
        <v>1187</v>
      </c>
      <c r="B37" s="6" t="s">
        <v>126</v>
      </c>
      <c r="C37" s="19">
        <f>_xll.BDH("ALNY US Equity","CF_CASH_FROM_INV_ACT","FQ4 2018","FQ4 2018","Currency=USD","Period=FQ","BEST_FPERIOD_OVERRIDE=FQ","FILING_STATUS=MR","SCALING_FORMAT=MLN","Sort=A","Dates=H","DateFormat=P","Fill=—","Direction=H","UseDPDF=Y")</f>
        <v>248.964</v>
      </c>
      <c r="D37" s="19">
        <f>_xll.BDH("ALNY US Equity","CF_CASH_FROM_INV_ACT","FQ1 2019","FQ1 2019","Currency=USD","Period=FQ","BEST_FPERIOD_OVERRIDE=FQ","FILING_STATUS=MR","SCALING_FORMAT=MLN","Sort=A","Dates=H","DateFormat=P","Fill=—","Direction=H","UseDPDF=Y")</f>
        <v>102.652</v>
      </c>
      <c r="E37" s="19">
        <f>_xll.BDH("ALNY US Equity","CF_CASH_FROM_INV_ACT","FQ2 2019","FQ2 2019","Currency=USD","Period=FQ","BEST_FPERIOD_OVERRIDE=FQ","FILING_STATUS=MR","SCALING_FORMAT=MLN","Sort=A","Dates=H","DateFormat=P","Fill=—","Direction=H","UseDPDF=Y")</f>
        <v>-289.40199999999999</v>
      </c>
      <c r="F37" s="19">
        <f>_xll.BDH("ALNY US Equity","CF_CASH_FROM_INV_ACT","FQ3 2019","FQ3 2019","Currency=USD","Period=FQ","BEST_FPERIOD_OVERRIDE=FQ","FILING_STATUS=MR","SCALING_FORMAT=MLN","Sort=A","Dates=H","DateFormat=P","Fill=—","Direction=H","UseDPDF=Y")</f>
        <v>-10.077</v>
      </c>
      <c r="G37" s="19">
        <f>_xll.BDH("ALNY US Equity","CF_CASH_FROM_INV_ACT","FQ4 2019","FQ4 2019","Currency=USD","Period=FQ","BEST_FPERIOD_OVERRIDE=FQ","FILING_STATUS=MR","SCALING_FORMAT=MLN","Sort=A","Dates=H","DateFormat=P","Fill=—","Direction=H","UseDPDF=Y")</f>
        <v>-220.85</v>
      </c>
      <c r="H37" s="19">
        <f>_xll.BDH("ALNY US Equity","CF_CASH_FROM_INV_ACT","FQ1 2020","FQ1 2020","Currency=USD","Period=FQ","BEST_FPERIOD_OVERRIDE=FQ","FILING_STATUS=MR","SCALING_FORMAT=MLN","Sort=A","Dates=H","DateFormat=P","Fill=—","Direction=H","UseDPDF=Y")</f>
        <v>113.688</v>
      </c>
      <c r="I37" s="19">
        <f>_xll.BDH("ALNY US Equity","CF_CASH_FROM_INV_ACT","FQ2 2020","FQ2 2020","Currency=USD","Period=FQ","BEST_FPERIOD_OVERRIDE=FQ","FILING_STATUS=MR","SCALING_FORMAT=MLN","Sort=A","Dates=H","DateFormat=P","Fill=—","Direction=H","UseDPDF=Y")</f>
        <v>-441.23</v>
      </c>
      <c r="J37" s="19">
        <f>_xll.BDH("ALNY US Equity","CF_CASH_FROM_INV_ACT","FQ3 2020","FQ3 2020","Currency=USD","Period=FQ","BEST_FPERIOD_OVERRIDE=FQ","FILING_STATUS=MR","SCALING_FORMAT=MLN","Sort=A","Dates=H","DateFormat=P","Fill=—","Direction=H","UseDPDF=Y")</f>
        <v>-10.087999999999999</v>
      </c>
      <c r="K37" s="19">
        <f>_xll.BDH("ALNY US Equity","CF_CASH_FROM_INV_ACT","FQ4 2020","FQ4 2020","Currency=USD","Period=FQ","BEST_FPERIOD_OVERRIDE=FQ","FILING_STATUS=MR","SCALING_FORMAT=MLN","Sort=A","Dates=H","DateFormat=P","Fill=—","Direction=H","UseDPDF=Y")</f>
        <v>-97.888000000000005</v>
      </c>
      <c r="L37" s="19">
        <f>_xll.BDH("ALNY US Equity","CF_CASH_FROM_INV_ACT","FQ1 2021","FQ1 2021","Currency=USD","Period=FQ","BEST_FPERIOD_OVERRIDE=FQ","FILING_STATUS=MR","SCALING_FORMAT=MLN","Sort=A","Dates=H","DateFormat=P","Fill=—","Direction=H","UseDPDF=Y")</f>
        <v>71.352000000000004</v>
      </c>
      <c r="M37" s="19">
        <f>_xll.BDH("ALNY US Equity","CF_CASH_FROM_INV_ACT","FQ2 2021","FQ2 2021","Currency=USD","Period=FQ","BEST_FPERIOD_OVERRIDE=FQ","FILING_STATUS=MR","SCALING_FORMAT=MLN","Sort=A","Dates=H","DateFormat=P","Fill=—","Direction=H","UseDPDF=Y")</f>
        <v>157.024</v>
      </c>
      <c r="N37" s="19">
        <f>_xll.BDH("ALNY US Equity","CF_CASH_FROM_INV_ACT","FQ3 2021","FQ3 2021","Currency=USD","Period=FQ","BEST_FPERIOD_OVERRIDE=FQ","FILING_STATUS=MR","SCALING_FORMAT=MLN","Sort=A","Dates=H","DateFormat=P","Fill=—","Direction=H","UseDPDF=Y")</f>
        <v>-88.271000000000001</v>
      </c>
      <c r="O37" s="19">
        <f>_xll.BDH("ALNY US Equity","CF_CASH_FROM_INV_ACT","FQ4 2021","FQ4 2021","Currency=USD","Period=FQ","BEST_FPERIOD_OVERRIDE=FQ","FILING_STATUS=MR","SCALING_FORMAT=MLN","Sort=A","Dates=H","DateFormat=P","Fill=—","Direction=H","UseDPDF=Y")</f>
        <v>-413.40499999999997</v>
      </c>
      <c r="P37" s="19">
        <f>_xll.BDH("ALNY US Equity","CF_CASH_FROM_INV_ACT","FQ1 2022","FQ1 2022","Currency=USD","Period=FQ","BEST_FPERIOD_OVERRIDE=FQ","FILING_STATUS=MR","SCALING_FORMAT=MLN","Sort=A","Dates=H","DateFormat=P","Fill=—","Direction=H","UseDPDF=Y")</f>
        <v>-147.41900000000001</v>
      </c>
      <c r="Q37" s="19">
        <f>_xll.BDH("ALNY US Equity","CF_CASH_FROM_INV_ACT","FQ2 2022","FQ2 2022","Currency=USD","Period=FQ","BEST_FPERIOD_OVERRIDE=FQ","FILING_STATUS=MR","SCALING_FORMAT=MLN","Sort=A","Dates=H","DateFormat=P","Fill=—","Direction=H","UseDPDF=Y")</f>
        <v>142.79300000000001</v>
      </c>
      <c r="R37" s="19">
        <f>_xll.BDH("ALNY US Equity","CF_CASH_FROM_INV_ACT","FQ3 2022","FQ3 2022","Currency=USD","Period=FQ","BEST_FPERIOD_OVERRIDE=FQ","FILING_STATUS=MR","SCALING_FORMAT=MLN","Sort=A","Dates=H","DateFormat=P","Fill=—","Direction=H","UseDPDF=Y")</f>
        <v>313.89100000000002</v>
      </c>
      <c r="S37" s="19">
        <f>_xll.BDH("ALNY US Equity","CF_CASH_FROM_INV_ACT","FQ4 2022","FQ4 2022","Currency=USD","Period=FQ","BEST_FPERIOD_OVERRIDE=FQ","FILING_STATUS=MR","SCALING_FORMAT=MLN","Sort=A","Dates=H","DateFormat=P","Fill=—","Direction=H","UseDPDF=Y")</f>
        <v>-139.911</v>
      </c>
      <c r="T37" s="19">
        <f>_xll.BDH("ALNY US Equity","CF_CASH_FROM_INV_ACT","FQ1 2023","FQ1 2023","Currency=USD","Period=FQ","BEST_FPERIOD_OVERRIDE=FQ","FILING_STATUS=MR","SCALING_FORMAT=MLN","Sort=A","Dates=H","DateFormat=P","Fill=—","Direction=H","UseDPDF=Y")</f>
        <v>-76.216999999999999</v>
      </c>
      <c r="U37" s="19">
        <f>_xll.BDH("ALNY US Equity","CF_CASH_FROM_INV_ACT","FQ2 2023","FQ2 2023","Currency=USD","Period=FQ","BEST_FPERIOD_OVERRIDE=FQ","FILING_STATUS=MR","SCALING_FORMAT=MLN","Sort=A","Dates=H","DateFormat=P","Fill=—","Direction=H","UseDPDF=Y")</f>
        <v>-8.7129999999999992</v>
      </c>
      <c r="V37" s="19">
        <f>_xll.BDH("ALNY US Equity","CF_CASH_FROM_INV_ACT","FQ3 2023","FQ3 2023","Currency=USD","Period=FQ","BEST_FPERIOD_OVERRIDE=FQ","FILING_STATUS=MR","SCALING_FORMAT=MLN","Sort=A","Dates=H","DateFormat=P","Fill=—","Direction=H","UseDPDF=Y")</f>
        <v>-10.763999999999999</v>
      </c>
      <c r="W37" s="19">
        <f>_xll.BDH("ALNY US Equity","CF_CASH_FROM_INV_ACT","FQ4 2023","FQ4 2023","Currency=USD","Period=FQ","BEST_FPERIOD_OVERRIDE=FQ","FILING_STATUS=MR","SCALING_FORMAT=MLN","Sort=A","Dates=H","DateFormat=P","Fill=—","Direction=H","UseDPDF=Y")</f>
        <v>-240.65600000000001</v>
      </c>
      <c r="X37" s="19">
        <f>_xll.BDH("ALNY US Equity","CF_CASH_FROM_INV_ACT","FQ1 2024","FQ1 2024","Currency=USD","Period=FQ","BEST_FPERIOD_OVERRIDE=FQ","FILING_STATUS=MR","SCALING_FORMAT=MLN","Sort=A","Dates=H","DateFormat=P","Fill=—","Direction=H","UseDPDF=Y")</f>
        <v>-67.62</v>
      </c>
      <c r="Y37" s="19">
        <f>_xll.BDH("ALNY US Equity","CF_CASH_FROM_INV_ACT","FQ2 2024","FQ2 2024","Currency=USD","Period=FQ","BEST_FPERIOD_OVERRIDE=FQ","FILING_STATUS=MR","SCALING_FORMAT=MLN","Sort=A","Dates=H","DateFormat=P","Fill=—","Direction=H","UseDPDF=Y")</f>
        <v>33.94</v>
      </c>
      <c r="Z37" s="19">
        <f>_xll.BDH("ALNY US Equity","CF_CASH_FROM_INV_ACT","FQ3 2024","FQ3 2024","Currency=USD","Period=FQ","BEST_FPERIOD_OVERRIDE=FQ","FILING_STATUS=MR","SCALING_FORMAT=MLN","Sort=A","Dates=H","DateFormat=P","Fill=—","Direction=H","UseDPDF=Y")</f>
        <v>-30.25</v>
      </c>
      <c r="AA37" s="19">
        <f>_xll.BDH("ALNY US Equity","CF_CASH_FROM_INV_ACT","FQ4 2024","FQ4 2024","Currency=USD","Period=FQ","BEST_FPERIOD_OVERRIDE=FQ","FILING_STATUS=MR","SCALING_FORMAT=MLN","Sort=A","Dates=H","DateFormat=P","Fill=—","Direction=H","UseDPDF=Y")</f>
        <v>-52.91</v>
      </c>
    </row>
    <row r="38" spans="1:27" x14ac:dyDescent="0.25">
      <c r="A38" s="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5">
      <c r="A39" s="6" t="s">
        <v>1219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5">
      <c r="A40" s="10" t="s">
        <v>1220</v>
      </c>
      <c r="B40" s="10" t="s">
        <v>1221</v>
      </c>
      <c r="C40" s="13">
        <f>_xll.BDH("ALNY US Equity","CF_DVD_PAID","FQ4 2018","FQ4 2018","Currency=USD","Period=FQ","BEST_FPERIOD_OVERRIDE=FQ","FILING_STATUS=MR","SCALING_FORMAT=MLN","Sort=A","Dates=H","DateFormat=P","Fill=—","Direction=H","UseDPDF=Y")</f>
        <v>0</v>
      </c>
      <c r="D40" s="13">
        <f>_xll.BDH("ALNY US Equity","CF_DVD_PAID","FQ1 2019","FQ1 2019","Currency=USD","Period=FQ","BEST_FPERIOD_OVERRIDE=FQ","FILING_STATUS=MR","SCALING_FORMAT=MLN","Sort=A","Dates=H","DateFormat=P","Fill=—","Direction=H","UseDPDF=Y")</f>
        <v>0</v>
      </c>
      <c r="E40" s="13">
        <f>_xll.BDH("ALNY US Equity","CF_DVD_PAID","FQ2 2019","FQ2 2019","Currency=USD","Period=FQ","BEST_FPERIOD_OVERRIDE=FQ","FILING_STATUS=MR","SCALING_FORMAT=MLN","Sort=A","Dates=H","DateFormat=P","Fill=—","Direction=H","UseDPDF=Y")</f>
        <v>0</v>
      </c>
      <c r="F40" s="13">
        <f>_xll.BDH("ALNY US Equity","CF_DVD_PAID","FQ3 2019","FQ3 2019","Currency=USD","Period=FQ","BEST_FPERIOD_OVERRIDE=FQ","FILING_STATUS=MR","SCALING_FORMAT=MLN","Sort=A","Dates=H","DateFormat=P","Fill=—","Direction=H","UseDPDF=Y")</f>
        <v>0</v>
      </c>
      <c r="G40" s="13">
        <f>_xll.BDH("ALNY US Equity","CF_DVD_PAID","FQ4 2019","FQ4 2019","Currency=USD","Period=FQ","BEST_FPERIOD_OVERRIDE=FQ","FILING_STATUS=MR","SCALING_FORMAT=MLN","Sort=A","Dates=H","DateFormat=P","Fill=—","Direction=H","UseDPDF=Y")</f>
        <v>0</v>
      </c>
      <c r="H40" s="13">
        <f>_xll.BDH("ALNY US Equity","CF_DVD_PAID","FQ1 2020","FQ1 2020","Currency=USD","Period=FQ","BEST_FPERIOD_OVERRIDE=FQ","FILING_STATUS=MR","SCALING_FORMAT=MLN","Sort=A","Dates=H","DateFormat=P","Fill=—","Direction=H","UseDPDF=Y")</f>
        <v>0</v>
      </c>
      <c r="I40" s="13">
        <f>_xll.BDH("ALNY US Equity","CF_DVD_PAID","FQ2 2020","FQ2 2020","Currency=USD","Period=FQ","BEST_FPERIOD_OVERRIDE=FQ","FILING_STATUS=MR","SCALING_FORMAT=MLN","Sort=A","Dates=H","DateFormat=P","Fill=—","Direction=H","UseDPDF=Y")</f>
        <v>0</v>
      </c>
      <c r="J40" s="13">
        <f>_xll.BDH("ALNY US Equity","CF_DVD_PAID","FQ3 2020","FQ3 2020","Currency=USD","Period=FQ","BEST_FPERIOD_OVERRIDE=FQ","FILING_STATUS=MR","SCALING_FORMAT=MLN","Sort=A","Dates=H","DateFormat=P","Fill=—","Direction=H","UseDPDF=Y")</f>
        <v>0</v>
      </c>
      <c r="K40" s="13">
        <f>_xll.BDH("ALNY US Equity","CF_DVD_PAID","FQ4 2020","FQ4 2020","Currency=USD","Period=FQ","BEST_FPERIOD_OVERRIDE=FQ","FILING_STATUS=MR","SCALING_FORMAT=MLN","Sort=A","Dates=H","DateFormat=P","Fill=—","Direction=H","UseDPDF=Y")</f>
        <v>0</v>
      </c>
      <c r="L40" s="13">
        <f>_xll.BDH("ALNY US Equity","CF_DVD_PAID","FQ1 2021","FQ1 2021","Currency=USD","Period=FQ","BEST_FPERIOD_OVERRIDE=FQ","FILING_STATUS=MR","SCALING_FORMAT=MLN","Sort=A","Dates=H","DateFormat=P","Fill=—","Direction=H","UseDPDF=Y")</f>
        <v>0</v>
      </c>
      <c r="M40" s="13">
        <f>_xll.BDH("ALNY US Equity","CF_DVD_PAID","FQ2 2021","FQ2 2021","Currency=USD","Period=FQ","BEST_FPERIOD_OVERRIDE=FQ","FILING_STATUS=MR","SCALING_FORMAT=MLN","Sort=A","Dates=H","DateFormat=P","Fill=—","Direction=H","UseDPDF=Y")</f>
        <v>0</v>
      </c>
      <c r="N40" s="13">
        <f>_xll.BDH("ALNY US Equity","CF_DVD_PAID","FQ3 2021","FQ3 2021","Currency=USD","Period=FQ","BEST_FPERIOD_OVERRIDE=FQ","FILING_STATUS=MR","SCALING_FORMAT=MLN","Sort=A","Dates=H","DateFormat=P","Fill=—","Direction=H","UseDPDF=Y")</f>
        <v>0</v>
      </c>
      <c r="O40" s="13">
        <f>_xll.BDH("ALNY US Equity","CF_DVD_PAID","FQ4 2021","FQ4 2021","Currency=USD","Period=FQ","BEST_FPERIOD_OVERRIDE=FQ","FILING_STATUS=MR","SCALING_FORMAT=MLN","Sort=A","Dates=H","DateFormat=P","Fill=—","Direction=H","UseDPDF=Y")</f>
        <v>0</v>
      </c>
      <c r="P40" s="13">
        <f>_xll.BDH("ALNY US Equity","CF_DVD_PAID","FQ1 2022","FQ1 2022","Currency=USD","Period=FQ","BEST_FPERIOD_OVERRIDE=FQ","FILING_STATUS=MR","SCALING_FORMAT=MLN","Sort=A","Dates=H","DateFormat=P","Fill=—","Direction=H","UseDPDF=Y")</f>
        <v>0</v>
      </c>
      <c r="Q40" s="13">
        <f>_xll.BDH("ALNY US Equity","CF_DVD_PAID","FQ2 2022","FQ2 2022","Currency=USD","Period=FQ","BEST_FPERIOD_OVERRIDE=FQ","FILING_STATUS=MR","SCALING_FORMAT=MLN","Sort=A","Dates=H","DateFormat=P","Fill=—","Direction=H","UseDPDF=Y")</f>
        <v>0</v>
      </c>
      <c r="R40" s="13">
        <f>_xll.BDH("ALNY US Equity","CF_DVD_PAID","FQ3 2022","FQ3 2022","Currency=USD","Period=FQ","BEST_FPERIOD_OVERRIDE=FQ","FILING_STATUS=MR","SCALING_FORMAT=MLN","Sort=A","Dates=H","DateFormat=P","Fill=—","Direction=H","UseDPDF=Y")</f>
        <v>0</v>
      </c>
      <c r="S40" s="13">
        <f>_xll.BDH("ALNY US Equity","CF_DVD_PAID","FQ4 2022","FQ4 2022","Currency=USD","Period=FQ","BEST_FPERIOD_OVERRIDE=FQ","FILING_STATUS=MR","SCALING_FORMAT=MLN","Sort=A","Dates=H","DateFormat=P","Fill=—","Direction=H","UseDPDF=Y")</f>
        <v>0</v>
      </c>
      <c r="T40" s="13">
        <f>_xll.BDH("ALNY US Equity","CF_DVD_PAID","FQ1 2023","FQ1 2023","Currency=USD","Period=FQ","BEST_FPERIOD_OVERRIDE=FQ","FILING_STATUS=MR","SCALING_FORMAT=MLN","Sort=A","Dates=H","DateFormat=P","Fill=—","Direction=H","UseDPDF=Y")</f>
        <v>0</v>
      </c>
      <c r="U40" s="13">
        <f>_xll.BDH("ALNY US Equity","CF_DVD_PAID","FQ2 2023","FQ2 2023","Currency=USD","Period=FQ","BEST_FPERIOD_OVERRIDE=FQ","FILING_STATUS=MR","SCALING_FORMAT=MLN","Sort=A","Dates=H","DateFormat=P","Fill=—","Direction=H","UseDPDF=Y")</f>
        <v>0</v>
      </c>
      <c r="V40" s="13">
        <f>_xll.BDH("ALNY US Equity","CF_DVD_PAID","FQ3 2023","FQ3 2023","Currency=USD","Period=FQ","BEST_FPERIOD_OVERRIDE=FQ","FILING_STATUS=MR","SCALING_FORMAT=MLN","Sort=A","Dates=H","DateFormat=P","Fill=—","Direction=H","UseDPDF=Y")</f>
        <v>0</v>
      </c>
      <c r="W40" s="13">
        <f>_xll.BDH("ALNY US Equity","CF_DVD_PAID","FQ4 2023","FQ4 2023","Currency=USD","Period=FQ","BEST_FPERIOD_OVERRIDE=FQ","FILING_STATUS=MR","SCALING_FORMAT=MLN","Sort=A","Dates=H","DateFormat=P","Fill=—","Direction=H","UseDPDF=Y")</f>
        <v>0</v>
      </c>
      <c r="X40" s="13">
        <f>_xll.BDH("ALNY US Equity","CF_DVD_PAID","FQ1 2024","FQ1 2024","Currency=USD","Period=FQ","BEST_FPERIOD_OVERRIDE=FQ","FILING_STATUS=MR","SCALING_FORMAT=MLN","Sort=A","Dates=H","DateFormat=P","Fill=—","Direction=H","UseDPDF=Y")</f>
        <v>0</v>
      </c>
      <c r="Y40" s="13">
        <f>_xll.BDH("ALNY US Equity","CF_DVD_PAID","FQ2 2024","FQ2 2024","Currency=USD","Period=FQ","BEST_FPERIOD_OVERRIDE=FQ","FILING_STATUS=MR","SCALING_FORMAT=MLN","Sort=A","Dates=H","DateFormat=P","Fill=—","Direction=H","UseDPDF=Y")</f>
        <v>0</v>
      </c>
      <c r="Z40" s="13">
        <f>_xll.BDH("ALNY US Equity","CF_DVD_PAID","FQ3 2024","FQ3 2024","Currency=USD","Period=FQ","BEST_FPERIOD_OVERRIDE=FQ","FILING_STATUS=MR","SCALING_FORMAT=MLN","Sort=A","Dates=H","DateFormat=P","Fill=—","Direction=H","UseDPDF=Y")</f>
        <v>0</v>
      </c>
      <c r="AA40" s="13">
        <f>_xll.BDH("ALNY US Equity","CF_DVD_PAID","FQ4 2024","FQ4 2024","Currency=USD","Period=FQ","BEST_FPERIOD_OVERRIDE=FQ","FILING_STATUS=MR","SCALING_FORMAT=MLN","Sort=A","Dates=H","DateFormat=P","Fill=—","Direction=H","UseDPDF=Y")</f>
        <v>0</v>
      </c>
    </row>
    <row r="41" spans="1:27" x14ac:dyDescent="0.25">
      <c r="A41" s="10" t="s">
        <v>1222</v>
      </c>
      <c r="B41" s="10" t="s">
        <v>1223</v>
      </c>
      <c r="C41" s="13">
        <f>_xll.BDH("ALNY US Equity","PROC_FR_REPAYMNTS_BOR_DETAILED","FQ4 2018","FQ4 2018","Currency=USD","Period=FQ","BEST_FPERIOD_OVERRIDE=FQ","FILING_STATUS=MR","SCALING_FORMAT=MLN","Sort=A","Dates=H","DateFormat=P","Fill=—","Direction=H","UseDPDF=Y")</f>
        <v>0</v>
      </c>
      <c r="D41" s="13">
        <f>_xll.BDH("ALNY US Equity","PROC_FR_REPAYMNTS_BOR_DETAILED","FQ1 2019","FQ1 2019","Currency=USD","Period=FQ","BEST_FPERIOD_OVERRIDE=FQ","FILING_STATUS=MR","SCALING_FORMAT=MLN","Sort=A","Dates=H","DateFormat=P","Fill=—","Direction=H","UseDPDF=Y")</f>
        <v>0</v>
      </c>
      <c r="E41" s="13">
        <f>_xll.BDH("ALNY US Equity","PROC_FR_REPAYMNTS_BOR_DETAILED","FQ2 2019","FQ2 2019","Currency=USD","Period=FQ","BEST_FPERIOD_OVERRIDE=FQ","FILING_STATUS=MR","SCALING_FORMAT=MLN","Sort=A","Dates=H","DateFormat=P","Fill=—","Direction=H","UseDPDF=Y")</f>
        <v>0</v>
      </c>
      <c r="F41" s="13">
        <f>_xll.BDH("ALNY US Equity","PROC_FR_REPAYMNTS_BOR_DETAILED","FQ3 2019","FQ3 2019","Currency=USD","Period=FQ","BEST_FPERIOD_OVERRIDE=FQ","FILING_STATUS=MR","SCALING_FORMAT=MLN","Sort=A","Dates=H","DateFormat=P","Fill=—","Direction=H","UseDPDF=Y")</f>
        <v>-30</v>
      </c>
      <c r="G41" s="13">
        <f>_xll.BDH("ALNY US Equity","PROC_FR_REPAYMNTS_BOR_DETAILED","FQ4 2019","FQ4 2019","Currency=USD","Period=FQ","BEST_FPERIOD_OVERRIDE=FQ","FILING_STATUS=MR","SCALING_FORMAT=MLN","Sort=A","Dates=H","DateFormat=P","Fill=—","Direction=H","UseDPDF=Y")</f>
        <v>0</v>
      </c>
      <c r="H41" s="13">
        <f>_xll.BDH("ALNY US Equity","PROC_FR_REPAYMNTS_BOR_DETAILED","FQ1 2020","FQ1 2020","Currency=USD","Period=FQ","BEST_FPERIOD_OVERRIDE=FQ","FILING_STATUS=MR","SCALING_FORMAT=MLN","Sort=A","Dates=H","DateFormat=P","Fill=—","Direction=H","UseDPDF=Y")</f>
        <v>0</v>
      </c>
      <c r="I41" s="13">
        <f>_xll.BDH("ALNY US Equity","PROC_FR_REPAYMNTS_BOR_DETAILED","FQ2 2020","FQ2 2020","Currency=USD","Period=FQ","BEST_FPERIOD_OVERRIDE=FQ","FILING_STATUS=MR","SCALING_FORMAT=MLN","Sort=A","Dates=H","DateFormat=P","Fill=—","Direction=H","UseDPDF=Y")</f>
        <v>-8.1280000000000001</v>
      </c>
      <c r="J41" s="13">
        <f>_xll.BDH("ALNY US Equity","PROC_FR_REPAYMNTS_BOR_DETAILED","FQ3 2020","FQ3 2020","Currency=USD","Period=FQ","BEST_FPERIOD_OVERRIDE=FQ","FILING_STATUS=MR","SCALING_FORMAT=MLN","Sort=A","Dates=H","DateFormat=P","Fill=—","Direction=H","UseDPDF=Y")</f>
        <v>0</v>
      </c>
      <c r="K41" s="13">
        <f>_xll.BDH("ALNY US Equity","PROC_FR_REPAYMNTS_BOR_DETAILED","FQ4 2020","FQ4 2020","Currency=USD","Period=FQ","BEST_FPERIOD_OVERRIDE=FQ","FILING_STATUS=MR","SCALING_FORMAT=MLN","Sort=A","Dates=H","DateFormat=P","Fill=—","Direction=H","UseDPDF=Y")</f>
        <v>194.72499999999999</v>
      </c>
      <c r="L41" s="13">
        <f>_xll.BDH("ALNY US Equity","PROC_FR_REPAYMNTS_BOR_DETAILED","FQ1 2021","FQ1 2021","Currency=USD","Period=FQ","BEST_FPERIOD_OVERRIDE=FQ","FILING_STATUS=MR","SCALING_FORMAT=MLN","Sort=A","Dates=H","DateFormat=P","Fill=—","Direction=H","UseDPDF=Y")</f>
        <v>0</v>
      </c>
      <c r="M41" s="13">
        <f>_xll.BDH("ALNY US Equity","PROC_FR_REPAYMNTS_BOR_DETAILED","FQ2 2021","FQ2 2021","Currency=USD","Period=FQ","BEST_FPERIOD_OVERRIDE=FQ","FILING_STATUS=MR","SCALING_FORMAT=MLN","Sort=A","Dates=H","DateFormat=P","Fill=—","Direction=H","UseDPDF=Y")</f>
        <v>243.75</v>
      </c>
      <c r="N41" s="13">
        <f>_xll.BDH("ALNY US Equity","PROC_FR_REPAYMNTS_BOR_DETAILED","FQ3 2021","FQ3 2021","Currency=USD","Period=FQ","BEST_FPERIOD_OVERRIDE=FQ","FILING_STATUS=MR","SCALING_FORMAT=MLN","Sort=A","Dates=H","DateFormat=P","Fill=—","Direction=H","UseDPDF=Y")</f>
        <v>-6.25</v>
      </c>
      <c r="O41" s="13">
        <f>_xll.BDH("ALNY US Equity","PROC_FR_REPAYMNTS_BOR_DETAILED","FQ4 2021","FQ4 2021","Currency=USD","Period=FQ","BEST_FPERIOD_OVERRIDE=FQ","FILING_STATUS=MR","SCALING_FORMAT=MLN","Sort=A","Dates=H","DateFormat=P","Fill=—","Direction=H","UseDPDF=Y")</f>
        <v>243.75</v>
      </c>
      <c r="P41" s="13">
        <f>_xll.BDH("ALNY US Equity","PROC_FR_REPAYMNTS_BOR_DETAILED","FQ1 2022","FQ1 2022","Currency=USD","Period=FQ","BEST_FPERIOD_OVERRIDE=FQ","FILING_STATUS=MR","SCALING_FORMAT=MLN","Sort=A","Dates=H","DateFormat=P","Fill=—","Direction=H","UseDPDF=Y")</f>
        <v>0</v>
      </c>
      <c r="Q41" s="13">
        <f>_xll.BDH("ALNY US Equity","PROC_FR_REPAYMNTS_BOR_DETAILED","FQ2 2022","FQ2 2022","Currency=USD","Period=FQ","BEST_FPERIOD_OVERRIDE=FQ","FILING_STATUS=MR","SCALING_FORMAT=MLN","Sort=A","Dates=H","DateFormat=P","Fill=—","Direction=H","UseDPDF=Y")</f>
        <v>0</v>
      </c>
      <c r="R41" s="13">
        <f>_xll.BDH("ALNY US Equity","PROC_FR_REPAYMNTS_BOR_DETAILED","FQ3 2022","FQ3 2022","Currency=USD","Period=FQ","BEST_FPERIOD_OVERRIDE=FQ","FILING_STATUS=MR","SCALING_FORMAT=MLN","Sort=A","Dates=H","DateFormat=P","Fill=—","Direction=H","UseDPDF=Y")</f>
        <v>136.16999999999999</v>
      </c>
      <c r="S41" s="13">
        <f>_xll.BDH("ALNY US Equity","PROC_FR_REPAYMNTS_BOR_DETAILED","FQ4 2022","FQ4 2022","Currency=USD","Period=FQ","BEST_FPERIOD_OVERRIDE=FQ","FILING_STATUS=MR","SCALING_FORMAT=MLN","Sort=A","Dates=H","DateFormat=P","Fill=—","Direction=H","UseDPDF=Y")</f>
        <v>117.834</v>
      </c>
      <c r="T41" s="13">
        <f>_xll.BDH("ALNY US Equity","PROC_FR_REPAYMNTS_BOR_DETAILED","FQ1 2023","FQ1 2023","Currency=USD","Period=FQ","BEST_FPERIOD_OVERRIDE=FQ","FILING_STATUS=MR","SCALING_FORMAT=MLN","Sort=A","Dates=H","DateFormat=P","Fill=—","Direction=H","UseDPDF=Y")</f>
        <v>0</v>
      </c>
      <c r="U41" s="13">
        <f>_xll.BDH("ALNY US Equity","PROC_FR_REPAYMNTS_BOR_DETAILED","FQ2 2023","FQ2 2023","Currency=USD","Period=FQ","BEST_FPERIOD_OVERRIDE=FQ","FILING_STATUS=MR","SCALING_FORMAT=MLN","Sort=A","Dates=H","DateFormat=P","Fill=—","Direction=H","UseDPDF=Y")</f>
        <v>0</v>
      </c>
      <c r="V41" s="13">
        <f>_xll.BDH("ALNY US Equity","PROC_FR_REPAYMNTS_BOR_DETAILED","FQ3 2023","FQ3 2023","Currency=USD","Period=FQ","BEST_FPERIOD_OVERRIDE=FQ","FILING_STATUS=MR","SCALING_FORMAT=MLN","Sort=A","Dates=H","DateFormat=P","Fill=—","Direction=H","UseDPDF=Y")</f>
        <v>0</v>
      </c>
      <c r="W41" s="13">
        <f>_xll.BDH("ALNY US Equity","PROC_FR_REPAYMNTS_BOR_DETAILED","FQ4 2023","FQ4 2023","Currency=USD","Period=FQ","BEST_FPERIOD_OVERRIDE=FQ","FILING_STATUS=MR","SCALING_FORMAT=MLN","Sort=A","Dates=H","DateFormat=P","Fill=—","Direction=H","UseDPDF=Y")</f>
        <v>0</v>
      </c>
      <c r="X41" s="13">
        <f>_xll.BDH("ALNY US Equity","PROC_FR_REPAYMNTS_BOR_DETAILED","FQ1 2024","FQ1 2024","Currency=USD","Period=FQ","BEST_FPERIOD_OVERRIDE=FQ","FILING_STATUS=MR","SCALING_FORMAT=MLN","Sort=A","Dates=H","DateFormat=P","Fill=—","Direction=H","UseDPDF=Y")</f>
        <v>0</v>
      </c>
      <c r="Y41" s="13">
        <f>_xll.BDH("ALNY US Equity","PROC_FR_REPAYMNTS_BOR_DETAILED","FQ2 2024","FQ2 2024","Currency=USD","Period=FQ","BEST_FPERIOD_OVERRIDE=FQ","FILING_STATUS=MR","SCALING_FORMAT=MLN","Sort=A","Dates=H","DateFormat=P","Fill=—","Direction=H","UseDPDF=Y")</f>
        <v>0</v>
      </c>
      <c r="Z41" s="13">
        <f>_xll.BDH("ALNY US Equity","PROC_FR_REPAYMNTS_BOR_DETAILED","FQ3 2024","FQ3 2024","Currency=USD","Period=FQ","BEST_FPERIOD_OVERRIDE=FQ","FILING_STATUS=MR","SCALING_FORMAT=MLN","Sort=A","Dates=H","DateFormat=P","Fill=—","Direction=H","UseDPDF=Y")</f>
        <v>0</v>
      </c>
      <c r="AA41" s="13">
        <f>_xll.BDH("ALNY US Equity","PROC_FR_REPAYMNTS_BOR_DETAILED","FQ4 2024","FQ4 2024","Currency=USD","Period=FQ","BEST_FPERIOD_OVERRIDE=FQ","FILING_STATUS=MR","SCALING_FORMAT=MLN","Sort=A","Dates=H","DateFormat=P","Fill=—","Direction=H","UseDPDF=Y")</f>
        <v>0</v>
      </c>
    </row>
    <row r="42" spans="1:27" x14ac:dyDescent="0.25">
      <c r="A42" s="10" t="s">
        <v>1224</v>
      </c>
      <c r="B42" s="10" t="s">
        <v>1225</v>
      </c>
      <c r="C42" s="13">
        <f>_xll.BDH("ALNY US Equity","CF_NET_CHG_ST_DEBT_CPTL_LEAS","FQ4 2018","FQ4 2018","Currency=USD","Period=FQ","BEST_FPERIOD_OVERRIDE=FQ","FILING_STATUS=MR","SCALING_FORMAT=MLN","Sort=A","Dates=H","DateFormat=P","Fill=—","Direction=H","UseDPDF=Y")</f>
        <v>0</v>
      </c>
      <c r="D42" s="13">
        <f>_xll.BDH("ALNY US Equity","CF_NET_CHG_ST_DEBT_CPTL_LEAS","FQ1 2019","FQ1 2019","Currency=USD","Period=FQ","BEST_FPERIOD_OVERRIDE=FQ","FILING_STATUS=MR","SCALING_FORMAT=MLN","Sort=A","Dates=H","DateFormat=P","Fill=—","Direction=H","UseDPDF=Y")</f>
        <v>0</v>
      </c>
      <c r="E42" s="13">
        <f>_xll.BDH("ALNY US Equity","CF_NET_CHG_ST_DEBT_CPTL_LEAS","FQ2 2019","FQ2 2019","Currency=USD","Period=FQ","BEST_FPERIOD_OVERRIDE=FQ","FILING_STATUS=MR","SCALING_FORMAT=MLN","Sort=A","Dates=H","DateFormat=P","Fill=—","Direction=H","UseDPDF=Y")</f>
        <v>0</v>
      </c>
      <c r="F42" s="13" t="str">
        <f>_xll.BDH("ALNY US Equity","CF_NET_CHG_ST_DEBT_CPTL_LEAS","FQ3 2019","FQ3 2019","Currency=USD","Period=FQ","BEST_FPERIOD_OVERRIDE=FQ","FILING_STATUS=MR","SCALING_FORMAT=MLN","Sort=A","Dates=H","DateFormat=P","Fill=—","Direction=H","UseDPDF=Y")</f>
        <v>—</v>
      </c>
      <c r="G42" s="13" t="str">
        <f>_xll.BDH("ALNY US Equity","CF_NET_CHG_ST_DEBT_CPTL_LEAS","FQ4 2019","FQ4 2019","Currency=USD","Period=FQ","BEST_FPERIOD_OVERRIDE=FQ","FILING_STATUS=MR","SCALING_FORMAT=MLN","Sort=A","Dates=H","DateFormat=P","Fill=—","Direction=H","UseDPDF=Y")</f>
        <v>—</v>
      </c>
      <c r="H42" s="13">
        <f>_xll.BDH("ALNY US Equity","CF_NET_CHG_ST_DEBT_CPTL_LEAS","FQ1 2020","FQ1 2020","Currency=USD","Period=FQ","BEST_FPERIOD_OVERRIDE=FQ","FILING_STATUS=MR","SCALING_FORMAT=MLN","Sort=A","Dates=H","DateFormat=P","Fill=—","Direction=H","UseDPDF=Y")</f>
        <v>0</v>
      </c>
      <c r="I42" s="13" t="str">
        <f>_xll.BDH("ALNY US Equity","CF_NET_CHG_ST_DEBT_CPTL_LEAS","FQ2 2020","FQ2 2020","Currency=USD","Period=FQ","BEST_FPERIOD_OVERRIDE=FQ","FILING_STATUS=MR","SCALING_FORMAT=MLN","Sort=A","Dates=H","DateFormat=P","Fill=—","Direction=H","UseDPDF=Y")</f>
        <v>—</v>
      </c>
      <c r="J42" s="13" t="str">
        <f>_xll.BDH("ALNY US Equity","CF_NET_CHG_ST_DEBT_CPTL_LEAS","FQ3 2020","FQ3 2020","Currency=USD","Period=FQ","BEST_FPERIOD_OVERRIDE=FQ","FILING_STATUS=MR","SCALING_FORMAT=MLN","Sort=A","Dates=H","DateFormat=P","Fill=—","Direction=H","UseDPDF=Y")</f>
        <v>—</v>
      </c>
      <c r="K42" s="13" t="str">
        <f>_xll.BDH("ALNY US Equity","CF_NET_CHG_ST_DEBT_CPTL_LEAS","FQ4 2020","FQ4 2020","Currency=USD","Period=FQ","BEST_FPERIOD_OVERRIDE=FQ","FILING_STATUS=MR","SCALING_FORMAT=MLN","Sort=A","Dates=H","DateFormat=P","Fill=—","Direction=H","UseDPDF=Y")</f>
        <v>—</v>
      </c>
      <c r="L42" s="13">
        <f>_xll.BDH("ALNY US Equity","CF_NET_CHG_ST_DEBT_CPTL_LEAS","FQ1 2021","FQ1 2021","Currency=USD","Period=FQ","BEST_FPERIOD_OVERRIDE=FQ","FILING_STATUS=MR","SCALING_FORMAT=MLN","Sort=A","Dates=H","DateFormat=P","Fill=—","Direction=H","UseDPDF=Y")</f>
        <v>0</v>
      </c>
      <c r="M42" s="13" t="str">
        <f>_xll.BDH("ALNY US Equity","CF_NET_CHG_ST_DEBT_CPTL_LEAS","FQ2 2021","FQ2 2021","Currency=USD","Period=FQ","BEST_FPERIOD_OVERRIDE=FQ","FILING_STATUS=MR","SCALING_FORMAT=MLN","Sort=A","Dates=H","DateFormat=P","Fill=—","Direction=H","UseDPDF=Y")</f>
        <v>—</v>
      </c>
      <c r="N42" s="13" t="str">
        <f>_xll.BDH("ALNY US Equity","CF_NET_CHG_ST_DEBT_CPTL_LEAS","FQ3 2021","FQ3 2021","Currency=USD","Period=FQ","BEST_FPERIOD_OVERRIDE=FQ","FILING_STATUS=MR","SCALING_FORMAT=MLN","Sort=A","Dates=H","DateFormat=P","Fill=—","Direction=H","UseDPDF=Y")</f>
        <v>—</v>
      </c>
      <c r="O42" s="13" t="str">
        <f>_xll.BDH("ALNY US Equity","CF_NET_CHG_ST_DEBT_CPTL_LEAS","FQ4 2021","FQ4 2021","Currency=USD","Period=FQ","BEST_FPERIOD_OVERRIDE=FQ","FILING_STATUS=MR","SCALING_FORMAT=MLN","Sort=A","Dates=H","DateFormat=P","Fill=—","Direction=H","UseDPDF=Y")</f>
        <v>—</v>
      </c>
      <c r="P42" s="13">
        <f>_xll.BDH("ALNY US Equity","CF_NET_CHG_ST_DEBT_CPTL_LEAS","FQ1 2022","FQ1 2022","Currency=USD","Period=FQ","BEST_FPERIOD_OVERRIDE=FQ","FILING_STATUS=MR","SCALING_FORMAT=MLN","Sort=A","Dates=H","DateFormat=P","Fill=—","Direction=H","UseDPDF=Y")</f>
        <v>0</v>
      </c>
      <c r="Q42" s="13">
        <f>_xll.BDH("ALNY US Equity","CF_NET_CHG_ST_DEBT_CPTL_LEAS","FQ2 2022","FQ2 2022","Currency=USD","Period=FQ","BEST_FPERIOD_OVERRIDE=FQ","FILING_STATUS=MR","SCALING_FORMAT=MLN","Sort=A","Dates=H","DateFormat=P","Fill=—","Direction=H","UseDPDF=Y")</f>
        <v>0</v>
      </c>
      <c r="R42" s="13" t="str">
        <f>_xll.BDH("ALNY US Equity","CF_NET_CHG_ST_DEBT_CPTL_LEAS","FQ3 2022","FQ3 2022","Currency=USD","Period=FQ","BEST_FPERIOD_OVERRIDE=FQ","FILING_STATUS=MR","SCALING_FORMAT=MLN","Sort=A","Dates=H","DateFormat=P","Fill=—","Direction=H","UseDPDF=Y")</f>
        <v>—</v>
      </c>
      <c r="S42" s="13" t="str">
        <f>_xll.BDH("ALNY US Equity","CF_NET_CHG_ST_DEBT_CPTL_LEAS","FQ4 2022","FQ4 2022","Currency=USD","Period=FQ","BEST_FPERIOD_OVERRIDE=FQ","FILING_STATUS=MR","SCALING_FORMAT=MLN","Sort=A","Dates=H","DateFormat=P","Fill=—","Direction=H","UseDPDF=Y")</f>
        <v>—</v>
      </c>
      <c r="T42" s="13">
        <f>_xll.BDH("ALNY US Equity","CF_NET_CHG_ST_DEBT_CPTL_LEAS","FQ1 2023","FQ1 2023","Currency=USD","Period=FQ","BEST_FPERIOD_OVERRIDE=FQ","FILING_STATUS=MR","SCALING_FORMAT=MLN","Sort=A","Dates=H","DateFormat=P","Fill=—","Direction=H","UseDPDF=Y")</f>
        <v>0</v>
      </c>
      <c r="U42" s="13">
        <f>_xll.BDH("ALNY US Equity","CF_NET_CHG_ST_DEBT_CPTL_LEAS","FQ2 2023","FQ2 2023","Currency=USD","Period=FQ","BEST_FPERIOD_OVERRIDE=FQ","FILING_STATUS=MR","SCALING_FORMAT=MLN","Sort=A","Dates=H","DateFormat=P","Fill=—","Direction=H","UseDPDF=Y")</f>
        <v>0</v>
      </c>
      <c r="V42" s="13">
        <f>_xll.BDH("ALNY US Equity","CF_NET_CHG_ST_DEBT_CPTL_LEAS","FQ3 2023","FQ3 2023","Currency=USD","Period=FQ","BEST_FPERIOD_OVERRIDE=FQ","FILING_STATUS=MR","SCALING_FORMAT=MLN","Sort=A","Dates=H","DateFormat=P","Fill=—","Direction=H","UseDPDF=Y")</f>
        <v>0</v>
      </c>
      <c r="W42" s="13">
        <f>_xll.BDH("ALNY US Equity","CF_NET_CHG_ST_DEBT_CPTL_LEAS","FQ4 2023","FQ4 2023","Currency=USD","Period=FQ","BEST_FPERIOD_OVERRIDE=FQ","FILING_STATUS=MR","SCALING_FORMAT=MLN","Sort=A","Dates=H","DateFormat=P","Fill=—","Direction=H","UseDPDF=Y")</f>
        <v>0</v>
      </c>
      <c r="X42" s="13">
        <f>_xll.BDH("ALNY US Equity","CF_NET_CHG_ST_DEBT_CPTL_LEAS","FQ1 2024","FQ1 2024","Currency=USD","Period=FQ","BEST_FPERIOD_OVERRIDE=FQ","FILING_STATUS=MR","SCALING_FORMAT=MLN","Sort=A","Dates=H","DateFormat=P","Fill=—","Direction=H","UseDPDF=Y")</f>
        <v>0</v>
      </c>
      <c r="Y42" s="13">
        <f>_xll.BDH("ALNY US Equity","CF_NET_CHG_ST_DEBT_CPTL_LEAS","FQ2 2024","FQ2 2024","Currency=USD","Period=FQ","BEST_FPERIOD_OVERRIDE=FQ","FILING_STATUS=MR","SCALING_FORMAT=MLN","Sort=A","Dates=H","DateFormat=P","Fill=—","Direction=H","UseDPDF=Y")</f>
        <v>0</v>
      </c>
      <c r="Z42" s="13">
        <f>_xll.BDH("ALNY US Equity","CF_NET_CHG_ST_DEBT_CPTL_LEAS","FQ3 2024","FQ3 2024","Currency=USD","Period=FQ","BEST_FPERIOD_OVERRIDE=FQ","FILING_STATUS=MR","SCALING_FORMAT=MLN","Sort=A","Dates=H","DateFormat=P","Fill=—","Direction=H","UseDPDF=Y")</f>
        <v>0</v>
      </c>
      <c r="AA42" s="13">
        <f>_xll.BDH("ALNY US Equity","CF_NET_CHG_ST_DEBT_CPTL_LEAS","FQ4 2024","FQ4 2024","Currency=USD","Period=FQ","BEST_FPERIOD_OVERRIDE=FQ","FILING_STATUS=MR","SCALING_FORMAT=MLN","Sort=A","Dates=H","DateFormat=P","Fill=—","Direction=H","UseDPDF=Y")</f>
        <v>0</v>
      </c>
    </row>
    <row r="43" spans="1:27" x14ac:dyDescent="0.25">
      <c r="A43" s="10" t="s">
        <v>1226</v>
      </c>
      <c r="B43" s="10" t="s">
        <v>1227</v>
      </c>
      <c r="C43" s="13">
        <f>_xll.BDH("ALNY US Equity","CF_LT_DEBT_CAP_LEAS_PROCEEDS","FQ4 2018","FQ4 2018","Currency=USD","Period=FQ","BEST_FPERIOD_OVERRIDE=FQ","FILING_STATUS=MR","SCALING_FORMAT=MLN","Sort=A","Dates=H","DateFormat=P","Fill=—","Direction=H","UseDPDF=Y")</f>
        <v>0</v>
      </c>
      <c r="D43" s="13">
        <f>_xll.BDH("ALNY US Equity","CF_LT_DEBT_CAP_LEAS_PROCEEDS","FQ1 2019","FQ1 2019","Currency=USD","Period=FQ","BEST_FPERIOD_OVERRIDE=FQ","FILING_STATUS=MR","SCALING_FORMAT=MLN","Sort=A","Dates=H","DateFormat=P","Fill=—","Direction=H","UseDPDF=Y")</f>
        <v>0</v>
      </c>
      <c r="E43" s="13">
        <f>_xll.BDH("ALNY US Equity","CF_LT_DEBT_CAP_LEAS_PROCEEDS","FQ2 2019","FQ2 2019","Currency=USD","Period=FQ","BEST_FPERIOD_OVERRIDE=FQ","FILING_STATUS=MR","SCALING_FORMAT=MLN","Sort=A","Dates=H","DateFormat=P","Fill=—","Direction=H","UseDPDF=Y")</f>
        <v>0</v>
      </c>
      <c r="F43" s="13" t="str">
        <f>_xll.BDH("ALNY US Equity","CF_LT_DEBT_CAP_LEAS_PROCEEDS","FQ3 2019","FQ3 2019","Currency=USD","Period=FQ","BEST_FPERIOD_OVERRIDE=FQ","FILING_STATUS=MR","SCALING_FORMAT=MLN","Sort=A","Dates=H","DateFormat=P","Fill=—","Direction=H","UseDPDF=Y")</f>
        <v>—</v>
      </c>
      <c r="G43" s="13" t="str">
        <f>_xll.BDH("ALNY US Equity","CF_LT_DEBT_CAP_LEAS_PROCEEDS","FQ4 2019","FQ4 2019","Currency=USD","Period=FQ","BEST_FPERIOD_OVERRIDE=FQ","FILING_STATUS=MR","SCALING_FORMAT=MLN","Sort=A","Dates=H","DateFormat=P","Fill=—","Direction=H","UseDPDF=Y")</f>
        <v>—</v>
      </c>
      <c r="H43" s="13">
        <f>_xll.BDH("ALNY US Equity","CF_LT_DEBT_CAP_LEAS_PROCEEDS","FQ1 2020","FQ1 2020","Currency=USD","Period=FQ","BEST_FPERIOD_OVERRIDE=FQ","FILING_STATUS=MR","SCALING_FORMAT=MLN","Sort=A","Dates=H","DateFormat=P","Fill=—","Direction=H","UseDPDF=Y")</f>
        <v>0</v>
      </c>
      <c r="I43" s="13" t="str">
        <f>_xll.BDH("ALNY US Equity","CF_LT_DEBT_CAP_LEAS_PROCEEDS","FQ2 2020","FQ2 2020","Currency=USD","Period=FQ","BEST_FPERIOD_OVERRIDE=FQ","FILING_STATUS=MR","SCALING_FORMAT=MLN","Sort=A","Dates=H","DateFormat=P","Fill=—","Direction=H","UseDPDF=Y")</f>
        <v>—</v>
      </c>
      <c r="J43" s="13" t="str">
        <f>_xll.BDH("ALNY US Equity","CF_LT_DEBT_CAP_LEAS_PROCEEDS","FQ3 2020","FQ3 2020","Currency=USD","Period=FQ","BEST_FPERIOD_OVERRIDE=FQ","FILING_STATUS=MR","SCALING_FORMAT=MLN","Sort=A","Dates=H","DateFormat=P","Fill=—","Direction=H","UseDPDF=Y")</f>
        <v>—</v>
      </c>
      <c r="K43" s="13" t="str">
        <f>_xll.BDH("ALNY US Equity","CF_LT_DEBT_CAP_LEAS_PROCEEDS","FQ4 2020","FQ4 2020","Currency=USD","Period=FQ","BEST_FPERIOD_OVERRIDE=FQ","FILING_STATUS=MR","SCALING_FORMAT=MLN","Sort=A","Dates=H","DateFormat=P","Fill=—","Direction=H","UseDPDF=Y")</f>
        <v>—</v>
      </c>
      <c r="L43" s="13">
        <f>_xll.BDH("ALNY US Equity","CF_LT_DEBT_CAP_LEAS_PROCEEDS","FQ1 2021","FQ1 2021","Currency=USD","Period=FQ","BEST_FPERIOD_OVERRIDE=FQ","FILING_STATUS=MR","SCALING_FORMAT=MLN","Sort=A","Dates=H","DateFormat=P","Fill=—","Direction=H","UseDPDF=Y")</f>
        <v>0</v>
      </c>
      <c r="M43" s="13" t="str">
        <f>_xll.BDH("ALNY US Equity","CF_LT_DEBT_CAP_LEAS_PROCEEDS","FQ2 2021","FQ2 2021","Currency=USD","Period=FQ","BEST_FPERIOD_OVERRIDE=FQ","FILING_STATUS=MR","SCALING_FORMAT=MLN","Sort=A","Dates=H","DateFormat=P","Fill=—","Direction=H","UseDPDF=Y")</f>
        <v>—</v>
      </c>
      <c r="N43" s="13" t="str">
        <f>_xll.BDH("ALNY US Equity","CF_LT_DEBT_CAP_LEAS_PROCEEDS","FQ3 2021","FQ3 2021","Currency=USD","Period=FQ","BEST_FPERIOD_OVERRIDE=FQ","FILING_STATUS=MR","SCALING_FORMAT=MLN","Sort=A","Dates=H","DateFormat=P","Fill=—","Direction=H","UseDPDF=Y")</f>
        <v>—</v>
      </c>
      <c r="O43" s="13" t="str">
        <f>_xll.BDH("ALNY US Equity","CF_LT_DEBT_CAP_LEAS_PROCEEDS","FQ4 2021","FQ4 2021","Currency=USD","Period=FQ","BEST_FPERIOD_OVERRIDE=FQ","FILING_STATUS=MR","SCALING_FORMAT=MLN","Sort=A","Dates=H","DateFormat=P","Fill=—","Direction=H","UseDPDF=Y")</f>
        <v>—</v>
      </c>
      <c r="P43" s="13">
        <f>_xll.BDH("ALNY US Equity","CF_LT_DEBT_CAP_LEAS_PROCEEDS","FQ1 2022","FQ1 2022","Currency=USD","Period=FQ","BEST_FPERIOD_OVERRIDE=FQ","FILING_STATUS=MR","SCALING_FORMAT=MLN","Sort=A","Dates=H","DateFormat=P","Fill=—","Direction=H","UseDPDF=Y")</f>
        <v>0</v>
      </c>
      <c r="Q43" s="13">
        <f>_xll.BDH("ALNY US Equity","CF_LT_DEBT_CAP_LEAS_PROCEEDS","FQ2 2022","FQ2 2022","Currency=USD","Period=FQ","BEST_FPERIOD_OVERRIDE=FQ","FILING_STATUS=MR","SCALING_FORMAT=MLN","Sort=A","Dates=H","DateFormat=P","Fill=—","Direction=H","UseDPDF=Y")</f>
        <v>0</v>
      </c>
      <c r="R43" s="13" t="str">
        <f>_xll.BDH("ALNY US Equity","CF_LT_DEBT_CAP_LEAS_PROCEEDS","FQ3 2022","FQ3 2022","Currency=USD","Period=FQ","BEST_FPERIOD_OVERRIDE=FQ","FILING_STATUS=MR","SCALING_FORMAT=MLN","Sort=A","Dates=H","DateFormat=P","Fill=—","Direction=H","UseDPDF=Y")</f>
        <v>—</v>
      </c>
      <c r="S43" s="13" t="str">
        <f>_xll.BDH("ALNY US Equity","CF_LT_DEBT_CAP_LEAS_PROCEEDS","FQ4 2022","FQ4 2022","Currency=USD","Period=FQ","BEST_FPERIOD_OVERRIDE=FQ","FILING_STATUS=MR","SCALING_FORMAT=MLN","Sort=A","Dates=H","DateFormat=P","Fill=—","Direction=H","UseDPDF=Y")</f>
        <v>—</v>
      </c>
      <c r="T43" s="13">
        <f>_xll.BDH("ALNY US Equity","CF_LT_DEBT_CAP_LEAS_PROCEEDS","FQ1 2023","FQ1 2023","Currency=USD","Period=FQ","BEST_FPERIOD_OVERRIDE=FQ","FILING_STATUS=MR","SCALING_FORMAT=MLN","Sort=A","Dates=H","DateFormat=P","Fill=—","Direction=H","UseDPDF=Y")</f>
        <v>0</v>
      </c>
      <c r="U43" s="13">
        <f>_xll.BDH("ALNY US Equity","CF_LT_DEBT_CAP_LEAS_PROCEEDS","FQ2 2023","FQ2 2023","Currency=USD","Period=FQ","BEST_FPERIOD_OVERRIDE=FQ","FILING_STATUS=MR","SCALING_FORMAT=MLN","Sort=A","Dates=H","DateFormat=P","Fill=—","Direction=H","UseDPDF=Y")</f>
        <v>0</v>
      </c>
      <c r="V43" s="13">
        <f>_xll.BDH("ALNY US Equity","CF_LT_DEBT_CAP_LEAS_PROCEEDS","FQ3 2023","FQ3 2023","Currency=USD","Period=FQ","BEST_FPERIOD_OVERRIDE=FQ","FILING_STATUS=MR","SCALING_FORMAT=MLN","Sort=A","Dates=H","DateFormat=P","Fill=—","Direction=H","UseDPDF=Y")</f>
        <v>0</v>
      </c>
      <c r="W43" s="13">
        <f>_xll.BDH("ALNY US Equity","CF_LT_DEBT_CAP_LEAS_PROCEEDS","FQ4 2023","FQ4 2023","Currency=USD","Period=FQ","BEST_FPERIOD_OVERRIDE=FQ","FILING_STATUS=MR","SCALING_FORMAT=MLN","Sort=A","Dates=H","DateFormat=P","Fill=—","Direction=H","UseDPDF=Y")</f>
        <v>0</v>
      </c>
      <c r="X43" s="13">
        <f>_xll.BDH("ALNY US Equity","CF_LT_DEBT_CAP_LEAS_PROCEEDS","FQ1 2024","FQ1 2024","Currency=USD","Period=FQ","BEST_FPERIOD_OVERRIDE=FQ","FILING_STATUS=MR","SCALING_FORMAT=MLN","Sort=A","Dates=H","DateFormat=P","Fill=—","Direction=H","UseDPDF=Y")</f>
        <v>0</v>
      </c>
      <c r="Y43" s="13">
        <f>_xll.BDH("ALNY US Equity","CF_LT_DEBT_CAP_LEAS_PROCEEDS","FQ2 2024","FQ2 2024","Currency=USD","Period=FQ","BEST_FPERIOD_OVERRIDE=FQ","FILING_STATUS=MR","SCALING_FORMAT=MLN","Sort=A","Dates=H","DateFormat=P","Fill=—","Direction=H","UseDPDF=Y")</f>
        <v>0</v>
      </c>
      <c r="Z43" s="13">
        <f>_xll.BDH("ALNY US Equity","CF_LT_DEBT_CAP_LEAS_PROCEEDS","FQ3 2024","FQ3 2024","Currency=USD","Period=FQ","BEST_FPERIOD_OVERRIDE=FQ","FILING_STATUS=MR","SCALING_FORMAT=MLN","Sort=A","Dates=H","DateFormat=P","Fill=—","Direction=H","UseDPDF=Y")</f>
        <v>0</v>
      </c>
      <c r="AA43" s="13">
        <f>_xll.BDH("ALNY US Equity","CF_LT_DEBT_CAP_LEAS_PROCEEDS","FQ4 2024","FQ4 2024","Currency=USD","Period=FQ","BEST_FPERIOD_OVERRIDE=FQ","FILING_STATUS=MR","SCALING_FORMAT=MLN","Sort=A","Dates=H","DateFormat=P","Fill=—","Direction=H","UseDPDF=Y")</f>
        <v>0</v>
      </c>
    </row>
    <row r="44" spans="1:27" x14ac:dyDescent="0.25">
      <c r="A44" s="10" t="s">
        <v>1228</v>
      </c>
      <c r="B44" s="10" t="s">
        <v>1229</v>
      </c>
      <c r="C44" s="13">
        <f>_xll.BDH("ALNY US Equity","CF_LT_DEBT_CAP_LEAS_PAYMENT","FQ4 2018","FQ4 2018","Currency=USD","Period=FQ","BEST_FPERIOD_OVERRIDE=FQ","FILING_STATUS=MR","SCALING_FORMAT=MLN","Sort=A","Dates=H","DateFormat=P","Fill=—","Direction=H","UseDPDF=Y")</f>
        <v>0</v>
      </c>
      <c r="D44" s="13">
        <f>_xll.BDH("ALNY US Equity","CF_LT_DEBT_CAP_LEAS_PAYMENT","FQ1 2019","FQ1 2019","Currency=USD","Period=FQ","BEST_FPERIOD_OVERRIDE=FQ","FILING_STATUS=MR","SCALING_FORMAT=MLN","Sort=A","Dates=H","DateFormat=P","Fill=—","Direction=H","UseDPDF=Y")</f>
        <v>0</v>
      </c>
      <c r="E44" s="13">
        <f>_xll.BDH("ALNY US Equity","CF_LT_DEBT_CAP_LEAS_PAYMENT","FQ2 2019","FQ2 2019","Currency=USD","Period=FQ","BEST_FPERIOD_OVERRIDE=FQ","FILING_STATUS=MR","SCALING_FORMAT=MLN","Sort=A","Dates=H","DateFormat=P","Fill=—","Direction=H","UseDPDF=Y")</f>
        <v>0</v>
      </c>
      <c r="F44" s="13" t="str">
        <f>_xll.BDH("ALNY US Equity","CF_LT_DEBT_CAP_LEAS_PAYMENT","FQ3 2019","FQ3 2019","Currency=USD","Period=FQ","BEST_FPERIOD_OVERRIDE=FQ","FILING_STATUS=MR","SCALING_FORMAT=MLN","Sort=A","Dates=H","DateFormat=P","Fill=—","Direction=H","UseDPDF=Y")</f>
        <v>—</v>
      </c>
      <c r="G44" s="13" t="str">
        <f>_xll.BDH("ALNY US Equity","CF_LT_DEBT_CAP_LEAS_PAYMENT","FQ4 2019","FQ4 2019","Currency=USD","Period=FQ","BEST_FPERIOD_OVERRIDE=FQ","FILING_STATUS=MR","SCALING_FORMAT=MLN","Sort=A","Dates=H","DateFormat=P","Fill=—","Direction=H","UseDPDF=Y")</f>
        <v>—</v>
      </c>
      <c r="H44" s="13">
        <f>_xll.BDH("ALNY US Equity","CF_LT_DEBT_CAP_LEAS_PAYMENT","FQ1 2020","FQ1 2020","Currency=USD","Period=FQ","BEST_FPERIOD_OVERRIDE=FQ","FILING_STATUS=MR","SCALING_FORMAT=MLN","Sort=A","Dates=H","DateFormat=P","Fill=—","Direction=H","UseDPDF=Y")</f>
        <v>0</v>
      </c>
      <c r="I44" s="13" t="str">
        <f>_xll.BDH("ALNY US Equity","CF_LT_DEBT_CAP_LEAS_PAYMENT","FQ2 2020","FQ2 2020","Currency=USD","Period=FQ","BEST_FPERIOD_OVERRIDE=FQ","FILING_STATUS=MR","SCALING_FORMAT=MLN","Sort=A","Dates=H","DateFormat=P","Fill=—","Direction=H","UseDPDF=Y")</f>
        <v>—</v>
      </c>
      <c r="J44" s="13" t="str">
        <f>_xll.BDH("ALNY US Equity","CF_LT_DEBT_CAP_LEAS_PAYMENT","FQ3 2020","FQ3 2020","Currency=USD","Period=FQ","BEST_FPERIOD_OVERRIDE=FQ","FILING_STATUS=MR","SCALING_FORMAT=MLN","Sort=A","Dates=H","DateFormat=P","Fill=—","Direction=H","UseDPDF=Y")</f>
        <v>—</v>
      </c>
      <c r="K44" s="13" t="str">
        <f>_xll.BDH("ALNY US Equity","CF_LT_DEBT_CAP_LEAS_PAYMENT","FQ4 2020","FQ4 2020","Currency=USD","Period=FQ","BEST_FPERIOD_OVERRIDE=FQ","FILING_STATUS=MR","SCALING_FORMAT=MLN","Sort=A","Dates=H","DateFormat=P","Fill=—","Direction=H","UseDPDF=Y")</f>
        <v>—</v>
      </c>
      <c r="L44" s="13">
        <f>_xll.BDH("ALNY US Equity","CF_LT_DEBT_CAP_LEAS_PAYMENT","FQ1 2021","FQ1 2021","Currency=USD","Period=FQ","BEST_FPERIOD_OVERRIDE=FQ","FILING_STATUS=MR","SCALING_FORMAT=MLN","Sort=A","Dates=H","DateFormat=P","Fill=—","Direction=H","UseDPDF=Y")</f>
        <v>0</v>
      </c>
      <c r="M44" s="13" t="str">
        <f>_xll.BDH("ALNY US Equity","CF_LT_DEBT_CAP_LEAS_PAYMENT","FQ2 2021","FQ2 2021","Currency=USD","Period=FQ","BEST_FPERIOD_OVERRIDE=FQ","FILING_STATUS=MR","SCALING_FORMAT=MLN","Sort=A","Dates=H","DateFormat=P","Fill=—","Direction=H","UseDPDF=Y")</f>
        <v>—</v>
      </c>
      <c r="N44" s="13" t="str">
        <f>_xll.BDH("ALNY US Equity","CF_LT_DEBT_CAP_LEAS_PAYMENT","FQ3 2021","FQ3 2021","Currency=USD","Period=FQ","BEST_FPERIOD_OVERRIDE=FQ","FILING_STATUS=MR","SCALING_FORMAT=MLN","Sort=A","Dates=H","DateFormat=P","Fill=—","Direction=H","UseDPDF=Y")</f>
        <v>—</v>
      </c>
      <c r="O44" s="13" t="str">
        <f>_xll.BDH("ALNY US Equity","CF_LT_DEBT_CAP_LEAS_PAYMENT","FQ4 2021","FQ4 2021","Currency=USD","Period=FQ","BEST_FPERIOD_OVERRIDE=FQ","FILING_STATUS=MR","SCALING_FORMAT=MLN","Sort=A","Dates=H","DateFormat=P","Fill=—","Direction=H","UseDPDF=Y")</f>
        <v>—</v>
      </c>
      <c r="P44" s="13">
        <f>_xll.BDH("ALNY US Equity","CF_LT_DEBT_CAP_LEAS_PAYMENT","FQ1 2022","FQ1 2022","Currency=USD","Period=FQ","BEST_FPERIOD_OVERRIDE=FQ","FILING_STATUS=MR","SCALING_FORMAT=MLN","Sort=A","Dates=H","DateFormat=P","Fill=—","Direction=H","UseDPDF=Y")</f>
        <v>0</v>
      </c>
      <c r="Q44" s="13">
        <f>_xll.BDH("ALNY US Equity","CF_LT_DEBT_CAP_LEAS_PAYMENT","FQ2 2022","FQ2 2022","Currency=USD","Period=FQ","BEST_FPERIOD_OVERRIDE=FQ","FILING_STATUS=MR","SCALING_FORMAT=MLN","Sort=A","Dates=H","DateFormat=P","Fill=—","Direction=H","UseDPDF=Y")</f>
        <v>0</v>
      </c>
      <c r="R44" s="13" t="str">
        <f>_xll.BDH("ALNY US Equity","CF_LT_DEBT_CAP_LEAS_PAYMENT","FQ3 2022","FQ3 2022","Currency=USD","Period=FQ","BEST_FPERIOD_OVERRIDE=FQ","FILING_STATUS=MR","SCALING_FORMAT=MLN","Sort=A","Dates=H","DateFormat=P","Fill=—","Direction=H","UseDPDF=Y")</f>
        <v>—</v>
      </c>
      <c r="S44" s="13" t="str">
        <f>_xll.BDH("ALNY US Equity","CF_LT_DEBT_CAP_LEAS_PAYMENT","FQ4 2022","FQ4 2022","Currency=USD","Period=FQ","BEST_FPERIOD_OVERRIDE=FQ","FILING_STATUS=MR","SCALING_FORMAT=MLN","Sort=A","Dates=H","DateFormat=P","Fill=—","Direction=H","UseDPDF=Y")</f>
        <v>—</v>
      </c>
      <c r="T44" s="13">
        <f>_xll.BDH("ALNY US Equity","CF_LT_DEBT_CAP_LEAS_PAYMENT","FQ1 2023","FQ1 2023","Currency=USD","Period=FQ","BEST_FPERIOD_OVERRIDE=FQ","FILING_STATUS=MR","SCALING_FORMAT=MLN","Sort=A","Dates=H","DateFormat=P","Fill=—","Direction=H","UseDPDF=Y")</f>
        <v>0</v>
      </c>
      <c r="U44" s="13">
        <f>_xll.BDH("ALNY US Equity","CF_LT_DEBT_CAP_LEAS_PAYMENT","FQ2 2023","FQ2 2023","Currency=USD","Period=FQ","BEST_FPERIOD_OVERRIDE=FQ","FILING_STATUS=MR","SCALING_FORMAT=MLN","Sort=A","Dates=H","DateFormat=P","Fill=—","Direction=H","UseDPDF=Y")</f>
        <v>0</v>
      </c>
      <c r="V44" s="13">
        <f>_xll.BDH("ALNY US Equity","CF_LT_DEBT_CAP_LEAS_PAYMENT","FQ3 2023","FQ3 2023","Currency=USD","Period=FQ","BEST_FPERIOD_OVERRIDE=FQ","FILING_STATUS=MR","SCALING_FORMAT=MLN","Sort=A","Dates=H","DateFormat=P","Fill=—","Direction=H","UseDPDF=Y")</f>
        <v>0</v>
      </c>
      <c r="W44" s="13">
        <f>_xll.BDH("ALNY US Equity","CF_LT_DEBT_CAP_LEAS_PAYMENT","FQ4 2023","FQ4 2023","Currency=USD","Period=FQ","BEST_FPERIOD_OVERRIDE=FQ","FILING_STATUS=MR","SCALING_FORMAT=MLN","Sort=A","Dates=H","DateFormat=P","Fill=—","Direction=H","UseDPDF=Y")</f>
        <v>0</v>
      </c>
      <c r="X44" s="13">
        <f>_xll.BDH("ALNY US Equity","CF_LT_DEBT_CAP_LEAS_PAYMENT","FQ1 2024","FQ1 2024","Currency=USD","Period=FQ","BEST_FPERIOD_OVERRIDE=FQ","FILING_STATUS=MR","SCALING_FORMAT=MLN","Sort=A","Dates=H","DateFormat=P","Fill=—","Direction=H","UseDPDF=Y")</f>
        <v>0</v>
      </c>
      <c r="Y44" s="13">
        <f>_xll.BDH("ALNY US Equity","CF_LT_DEBT_CAP_LEAS_PAYMENT","FQ2 2024","FQ2 2024","Currency=USD","Period=FQ","BEST_FPERIOD_OVERRIDE=FQ","FILING_STATUS=MR","SCALING_FORMAT=MLN","Sort=A","Dates=H","DateFormat=P","Fill=—","Direction=H","UseDPDF=Y")</f>
        <v>0</v>
      </c>
      <c r="Z44" s="13">
        <f>_xll.BDH("ALNY US Equity","CF_LT_DEBT_CAP_LEAS_PAYMENT","FQ3 2024","FQ3 2024","Currency=USD","Period=FQ","BEST_FPERIOD_OVERRIDE=FQ","FILING_STATUS=MR","SCALING_FORMAT=MLN","Sort=A","Dates=H","DateFormat=P","Fill=—","Direction=H","UseDPDF=Y")</f>
        <v>0</v>
      </c>
      <c r="AA44" s="13">
        <f>_xll.BDH("ALNY US Equity","CF_LT_DEBT_CAP_LEAS_PAYMENT","FQ4 2024","FQ4 2024","Currency=USD","Period=FQ","BEST_FPERIOD_OVERRIDE=FQ","FILING_STATUS=MR","SCALING_FORMAT=MLN","Sort=A","Dates=H","DateFormat=P","Fill=—","Direction=H","UseDPDF=Y")</f>
        <v>0</v>
      </c>
    </row>
    <row r="45" spans="1:27" x14ac:dyDescent="0.25">
      <c r="A45" s="10" t="s">
        <v>1230</v>
      </c>
      <c r="B45" s="10" t="s">
        <v>1231</v>
      </c>
      <c r="C45" s="13">
        <f>_xll.BDH("ALNY US Equity","PROC_FR_REPURCH_EQTY_DETAILED","FQ4 2018","FQ4 2018","Currency=USD","Period=FQ","BEST_FPERIOD_OVERRIDE=FQ","FILING_STATUS=MR","SCALING_FORMAT=MLN","Sort=A","Dates=H","DateFormat=P","Fill=—","Direction=H","UseDPDF=Y")</f>
        <v>5.3780000000000001</v>
      </c>
      <c r="D45" s="13">
        <f>_xll.BDH("ALNY US Equity","PROC_FR_REPURCH_EQTY_DETAILED","FQ1 2019","FQ1 2019","Currency=USD","Period=FQ","BEST_FPERIOD_OVERRIDE=FQ","FILING_STATUS=MR","SCALING_FORMAT=MLN","Sort=A","Dates=H","DateFormat=P","Fill=—","Direction=H","UseDPDF=Y")</f>
        <v>390.93099999999998</v>
      </c>
      <c r="E45" s="13">
        <f>_xll.BDH("ALNY US Equity","PROC_FR_REPURCH_EQTY_DETAILED","FQ2 2019","FQ2 2019","Currency=USD","Period=FQ","BEST_FPERIOD_OVERRIDE=FQ","FILING_STATUS=MR","SCALING_FORMAT=MLN","Sort=A","Dates=H","DateFormat=P","Fill=—","Direction=H","UseDPDF=Y")</f>
        <v>30.71</v>
      </c>
      <c r="F45" s="13">
        <f>_xll.BDH("ALNY US Equity","PROC_FR_REPURCH_EQTY_DETAILED","FQ3 2019","FQ3 2019","Currency=USD","Period=FQ","BEST_FPERIOD_OVERRIDE=FQ","FILING_STATUS=MR","SCALING_FORMAT=MLN","Sort=A","Dates=H","DateFormat=P","Fill=—","Direction=H","UseDPDF=Y")</f>
        <v>9.3010000000000002</v>
      </c>
      <c r="G45" s="13">
        <f>_xll.BDH("ALNY US Equity","PROC_FR_REPURCH_EQTY_DETAILED","FQ4 2019","FQ4 2019","Currency=USD","Period=FQ","BEST_FPERIOD_OVERRIDE=FQ","FILING_STATUS=MR","SCALING_FORMAT=MLN","Sort=A","Dates=H","DateFormat=P","Fill=—","Direction=H","UseDPDF=Y")</f>
        <v>40.341999999999999</v>
      </c>
      <c r="H45" s="13">
        <f>_xll.BDH("ALNY US Equity","PROC_FR_REPURCH_EQTY_DETAILED","FQ1 2020","FQ1 2020","Currency=USD","Period=FQ","BEST_FPERIOD_OVERRIDE=FQ","FILING_STATUS=MR","SCALING_FORMAT=MLN","Sort=A","Dates=H","DateFormat=P","Fill=—","Direction=H","UseDPDF=Y")</f>
        <v>53.869</v>
      </c>
      <c r="I45" s="13">
        <f>_xll.BDH("ALNY US Equity","PROC_FR_REPURCH_EQTY_DETAILED","FQ2 2020","FQ2 2020","Currency=USD","Period=FQ","BEST_FPERIOD_OVERRIDE=FQ","FILING_STATUS=MR","SCALING_FORMAT=MLN","Sort=A","Dates=H","DateFormat=P","Fill=—","Direction=H","UseDPDF=Y")</f>
        <v>697.14099999999996</v>
      </c>
      <c r="J45" s="13">
        <f>_xll.BDH("ALNY US Equity","PROC_FR_REPURCH_EQTY_DETAILED","FQ3 2020","FQ3 2020","Currency=USD","Period=FQ","BEST_FPERIOD_OVERRIDE=FQ","FILING_STATUS=MR","SCALING_FORMAT=MLN","Sort=A","Dates=H","DateFormat=P","Fill=—","Direction=H","UseDPDF=Y")</f>
        <v>29.946999999999999</v>
      </c>
      <c r="K45" s="13">
        <f>_xll.BDH("ALNY US Equity","PROC_FR_REPURCH_EQTY_DETAILED","FQ4 2020","FQ4 2020","Currency=USD","Period=FQ","BEST_FPERIOD_OVERRIDE=FQ","FILING_STATUS=MR","SCALING_FORMAT=MLN","Sort=A","Dates=H","DateFormat=P","Fill=—","Direction=H","UseDPDF=Y")</f>
        <v>19.024999999999999</v>
      </c>
      <c r="L45" s="13">
        <f>_xll.BDH("ALNY US Equity","PROC_FR_REPURCH_EQTY_DETAILED","FQ1 2021","FQ1 2021","Currency=USD","Period=FQ","BEST_FPERIOD_OVERRIDE=FQ","FILING_STATUS=MR","SCALING_FORMAT=MLN","Sort=A","Dates=H","DateFormat=P","Fill=—","Direction=H","UseDPDF=Y")</f>
        <v>46.976999999999997</v>
      </c>
      <c r="M45" s="13">
        <f>_xll.BDH("ALNY US Equity","PROC_FR_REPURCH_EQTY_DETAILED","FQ2 2021","FQ2 2021","Currency=USD","Period=FQ","BEST_FPERIOD_OVERRIDE=FQ","FILING_STATUS=MR","SCALING_FORMAT=MLN","Sort=A","Dates=H","DateFormat=P","Fill=—","Direction=H","UseDPDF=Y")</f>
        <v>81.861000000000004</v>
      </c>
      <c r="N45" s="13">
        <f>_xll.BDH("ALNY US Equity","PROC_FR_REPURCH_EQTY_DETAILED","FQ3 2021","FQ3 2021","Currency=USD","Period=FQ","BEST_FPERIOD_OVERRIDE=FQ","FILING_STATUS=MR","SCALING_FORMAT=MLN","Sort=A","Dates=H","DateFormat=P","Fill=—","Direction=H","UseDPDF=Y")</f>
        <v>572.38900000000001</v>
      </c>
      <c r="O45" s="13">
        <f>_xll.BDH("ALNY US Equity","PROC_FR_REPURCH_EQTY_DETAILED","FQ4 2021","FQ4 2021","Currency=USD","Period=FQ","BEST_FPERIOD_OVERRIDE=FQ","FILING_STATUS=MR","SCALING_FORMAT=MLN","Sort=A","Dates=H","DateFormat=P","Fill=—","Direction=H","UseDPDF=Y")</f>
        <v>45.040999999999997</v>
      </c>
      <c r="P45" s="13">
        <f>_xll.BDH("ALNY US Equity","PROC_FR_REPURCH_EQTY_DETAILED","FQ1 2022","FQ1 2022","Currency=USD","Period=FQ","BEST_FPERIOD_OVERRIDE=FQ","FILING_STATUS=MR","SCALING_FORMAT=MLN","Sort=A","Dates=H","DateFormat=P","Fill=—","Direction=H","UseDPDF=Y")</f>
        <v>27.123000000000001</v>
      </c>
      <c r="Q45" s="13">
        <f>_xll.BDH("ALNY US Equity","PROC_FR_REPURCH_EQTY_DETAILED","FQ2 2022","FQ2 2022","Currency=USD","Period=FQ","BEST_FPERIOD_OVERRIDE=FQ","FILING_STATUS=MR","SCALING_FORMAT=MLN","Sort=A","Dates=H","DateFormat=P","Fill=—","Direction=H","UseDPDF=Y")</f>
        <v>22.503</v>
      </c>
      <c r="R45" s="13">
        <f>_xll.BDH("ALNY US Equity","PROC_FR_REPURCH_EQTY_DETAILED","FQ3 2022","FQ3 2022","Currency=USD","Period=FQ","BEST_FPERIOD_OVERRIDE=FQ","FILING_STATUS=MR","SCALING_FORMAT=MLN","Sort=A","Dates=H","DateFormat=P","Fill=—","Direction=H","UseDPDF=Y")</f>
        <v>153.02000000000001</v>
      </c>
      <c r="S45" s="13">
        <f>_xll.BDH("ALNY US Equity","PROC_FR_REPURCH_EQTY_DETAILED","FQ4 2022","FQ4 2022","Currency=USD","Period=FQ","BEST_FPERIOD_OVERRIDE=FQ","FILING_STATUS=MR","SCALING_FORMAT=MLN","Sort=A","Dates=H","DateFormat=P","Fill=—","Direction=H","UseDPDF=Y")</f>
        <v>56.713999999999999</v>
      </c>
      <c r="T45" s="13">
        <f>_xll.BDH("ALNY US Equity","PROC_FR_REPURCH_EQTY_DETAILED","FQ1 2023","FQ1 2023","Currency=USD","Period=FQ","BEST_FPERIOD_OVERRIDE=FQ","FILING_STATUS=MR","SCALING_FORMAT=MLN","Sort=A","Dates=H","DateFormat=P","Fill=—","Direction=H","UseDPDF=Y")</f>
        <v>42.371000000000002</v>
      </c>
      <c r="U45" s="13">
        <f>_xll.BDH("ALNY US Equity","PROC_FR_REPURCH_EQTY_DETAILED","FQ2 2023","FQ2 2023","Currency=USD","Period=FQ","BEST_FPERIOD_OVERRIDE=FQ","FILING_STATUS=MR","SCALING_FORMAT=MLN","Sort=A","Dates=H","DateFormat=P","Fill=—","Direction=H","UseDPDF=Y")</f>
        <v>49.393999999999998</v>
      </c>
      <c r="V45" s="13">
        <f>_xll.BDH("ALNY US Equity","PROC_FR_REPURCH_EQTY_DETAILED","FQ3 2023","FQ3 2023","Currency=USD","Period=FQ","BEST_FPERIOD_OVERRIDE=FQ","FILING_STATUS=MR","SCALING_FORMAT=MLN","Sort=A","Dates=H","DateFormat=P","Fill=—","Direction=H","UseDPDF=Y")</f>
        <v>24.805</v>
      </c>
      <c r="W45" s="13">
        <f>_xll.BDH("ALNY US Equity","PROC_FR_REPURCH_EQTY_DETAILED","FQ4 2023","FQ4 2023","Currency=USD","Period=FQ","BEST_FPERIOD_OVERRIDE=FQ","FILING_STATUS=MR","SCALING_FORMAT=MLN","Sort=A","Dates=H","DateFormat=P","Fill=—","Direction=H","UseDPDF=Y")</f>
        <v>30.893999999999998</v>
      </c>
      <c r="X45" s="13">
        <f>_xll.BDH("ALNY US Equity","PROC_FR_REPURCH_EQTY_DETAILED","FQ1 2024","FQ1 2024","Currency=USD","Period=FQ","BEST_FPERIOD_OVERRIDE=FQ","FILING_STATUS=MR","SCALING_FORMAT=MLN","Sort=A","Dates=H","DateFormat=P","Fill=—","Direction=H","UseDPDF=Y")</f>
        <v>25.859000000000002</v>
      </c>
      <c r="Y45" s="13">
        <f>_xll.BDH("ALNY US Equity","PROC_FR_REPURCH_EQTY_DETAILED","FQ2 2024","FQ2 2024","Currency=USD","Period=FQ","BEST_FPERIOD_OVERRIDE=FQ","FILING_STATUS=MR","SCALING_FORMAT=MLN","Sort=A","Dates=H","DateFormat=P","Fill=—","Direction=H","UseDPDF=Y")</f>
        <v>132.77799999999999</v>
      </c>
      <c r="Z45" s="13">
        <f>_xll.BDH("ALNY US Equity","PROC_FR_REPURCH_EQTY_DETAILED","FQ3 2024","FQ3 2024","Currency=USD","Period=FQ","BEST_FPERIOD_OVERRIDE=FQ","FILING_STATUS=MR","SCALING_FORMAT=MLN","Sort=A","Dates=H","DateFormat=P","Fill=—","Direction=H","UseDPDF=Y")</f>
        <v>108.036</v>
      </c>
      <c r="AA45" s="13">
        <f>_xll.BDH("ALNY US Equity","PROC_FR_REPURCH_EQTY_DETAILED","FQ4 2024","FQ4 2024","Currency=USD","Period=FQ","BEST_FPERIOD_OVERRIDE=FQ","FILING_STATUS=MR","SCALING_FORMAT=MLN","Sort=A","Dates=H","DateFormat=P","Fill=—","Direction=H","UseDPDF=Y")</f>
        <v>36.277999999999999</v>
      </c>
    </row>
    <row r="46" spans="1:27" x14ac:dyDescent="0.25">
      <c r="A46" s="10" t="s">
        <v>1232</v>
      </c>
      <c r="B46" s="10" t="s">
        <v>1233</v>
      </c>
      <c r="C46" s="13">
        <f>_xll.BDH("ALNY US Equity","CF_INCR_CAP_STOCK","FQ4 2018","FQ4 2018","Currency=USD","Period=FQ","BEST_FPERIOD_OVERRIDE=FQ","FILING_STATUS=MR","SCALING_FORMAT=MLN","Sort=A","Dates=H","DateFormat=P","Fill=—","Direction=H","UseDPDF=Y")</f>
        <v>7.6710000000000003</v>
      </c>
      <c r="D46" s="13">
        <f>_xll.BDH("ALNY US Equity","CF_INCR_CAP_STOCK","FQ1 2019","FQ1 2019","Currency=USD","Period=FQ","BEST_FPERIOD_OVERRIDE=FQ","FILING_STATUS=MR","SCALING_FORMAT=MLN","Sort=A","Dates=H","DateFormat=P","Fill=—","Direction=H","UseDPDF=Y")</f>
        <v>390.983</v>
      </c>
      <c r="E46" s="13">
        <f>_xll.BDH("ALNY US Equity","CF_INCR_CAP_STOCK","FQ2 2019","FQ2 2019","Currency=USD","Period=FQ","BEST_FPERIOD_OVERRIDE=FQ","FILING_STATUS=MR","SCALING_FORMAT=MLN","Sort=A","Dates=H","DateFormat=P","Fill=—","Direction=H","UseDPDF=Y")</f>
        <v>30.742000000000001</v>
      </c>
      <c r="F46" s="13">
        <f>_xll.BDH("ALNY US Equity","CF_INCR_CAP_STOCK","FQ3 2019","FQ3 2019","Currency=USD","Period=FQ","BEST_FPERIOD_OVERRIDE=FQ","FILING_STATUS=MR","SCALING_FORMAT=MLN","Sort=A","Dates=H","DateFormat=P","Fill=—","Direction=H","UseDPDF=Y")</f>
        <v>9.3010000000000002</v>
      </c>
      <c r="G46" s="13" t="str">
        <f>_xll.BDH("ALNY US Equity","CF_INCR_CAP_STOCK","FQ4 2019","FQ4 2019","Currency=USD","Period=FQ","BEST_FPERIOD_OVERRIDE=FQ","FILING_STATUS=MR","SCALING_FORMAT=MLN","Sort=A","Dates=H","DateFormat=P","Fill=—","Direction=H","UseDPDF=Y")</f>
        <v>—</v>
      </c>
      <c r="H46" s="13">
        <f>_xll.BDH("ALNY US Equity","CF_INCR_CAP_STOCK","FQ1 2020","FQ1 2020","Currency=USD","Period=FQ","BEST_FPERIOD_OVERRIDE=FQ","FILING_STATUS=MR","SCALING_FORMAT=MLN","Sort=A","Dates=H","DateFormat=P","Fill=—","Direction=H","UseDPDF=Y")</f>
        <v>53.869</v>
      </c>
      <c r="I46" s="13">
        <f>_xll.BDH("ALNY US Equity","CF_INCR_CAP_STOCK","FQ2 2020","FQ2 2020","Currency=USD","Period=FQ","BEST_FPERIOD_OVERRIDE=FQ","FILING_STATUS=MR","SCALING_FORMAT=MLN","Sort=A","Dates=H","DateFormat=P","Fill=—","Direction=H","UseDPDF=Y")</f>
        <v>697.14099999999996</v>
      </c>
      <c r="J46" s="13">
        <f>_xll.BDH("ALNY US Equity","CF_INCR_CAP_STOCK","FQ3 2020","FQ3 2020","Currency=USD","Period=FQ","BEST_FPERIOD_OVERRIDE=FQ","FILING_STATUS=MR","SCALING_FORMAT=MLN","Sort=A","Dates=H","DateFormat=P","Fill=—","Direction=H","UseDPDF=Y")</f>
        <v>29.946999999999999</v>
      </c>
      <c r="K46" s="13">
        <f>_xll.BDH("ALNY US Equity","CF_INCR_CAP_STOCK","FQ4 2020","FQ4 2020","Currency=USD","Period=FQ","BEST_FPERIOD_OVERRIDE=FQ","FILING_STATUS=MR","SCALING_FORMAT=MLN","Sort=A","Dates=H","DateFormat=P","Fill=—","Direction=H","UseDPDF=Y")</f>
        <v>19.024999999999999</v>
      </c>
      <c r="L46" s="13">
        <f>_xll.BDH("ALNY US Equity","CF_INCR_CAP_STOCK","FQ1 2021","FQ1 2021","Currency=USD","Period=FQ","BEST_FPERIOD_OVERRIDE=FQ","FILING_STATUS=MR","SCALING_FORMAT=MLN","Sort=A","Dates=H","DateFormat=P","Fill=—","Direction=H","UseDPDF=Y")</f>
        <v>46.976999999999997</v>
      </c>
      <c r="M46" s="13">
        <f>_xll.BDH("ALNY US Equity","CF_INCR_CAP_STOCK","FQ2 2021","FQ2 2021","Currency=USD","Period=FQ","BEST_FPERIOD_OVERRIDE=FQ","FILING_STATUS=MR","SCALING_FORMAT=MLN","Sort=A","Dates=H","DateFormat=P","Fill=—","Direction=H","UseDPDF=Y")</f>
        <v>81.861000000000004</v>
      </c>
      <c r="N46" s="13">
        <f>_xll.BDH("ALNY US Equity","CF_INCR_CAP_STOCK","FQ3 2021","FQ3 2021","Currency=USD","Period=FQ","BEST_FPERIOD_OVERRIDE=FQ","FILING_STATUS=MR","SCALING_FORMAT=MLN","Sort=A","Dates=H","DateFormat=P","Fill=—","Direction=H","UseDPDF=Y")</f>
        <v>572.38900000000001</v>
      </c>
      <c r="O46" s="13">
        <f>_xll.BDH("ALNY US Equity","CF_INCR_CAP_STOCK","FQ4 2021","FQ4 2021","Currency=USD","Period=FQ","BEST_FPERIOD_OVERRIDE=FQ","FILING_STATUS=MR","SCALING_FORMAT=MLN","Sort=A","Dates=H","DateFormat=P","Fill=—","Direction=H","UseDPDF=Y")</f>
        <v>45.040999999999997</v>
      </c>
      <c r="P46" s="13">
        <f>_xll.BDH("ALNY US Equity","CF_INCR_CAP_STOCK","FQ1 2022","FQ1 2022","Currency=USD","Period=FQ","BEST_FPERIOD_OVERRIDE=FQ","FILING_STATUS=MR","SCALING_FORMAT=MLN","Sort=A","Dates=H","DateFormat=P","Fill=—","Direction=H","UseDPDF=Y")</f>
        <v>27.123000000000001</v>
      </c>
      <c r="Q46" s="13">
        <f>_xll.BDH("ALNY US Equity","CF_INCR_CAP_STOCK","FQ2 2022","FQ2 2022","Currency=USD","Period=FQ","BEST_FPERIOD_OVERRIDE=FQ","FILING_STATUS=MR","SCALING_FORMAT=MLN","Sort=A","Dates=H","DateFormat=P","Fill=—","Direction=H","UseDPDF=Y")</f>
        <v>22.503</v>
      </c>
      <c r="R46" s="13">
        <f>_xll.BDH("ALNY US Equity","CF_INCR_CAP_STOCK","FQ3 2022","FQ3 2022","Currency=USD","Period=FQ","BEST_FPERIOD_OVERRIDE=FQ","FILING_STATUS=MR","SCALING_FORMAT=MLN","Sort=A","Dates=H","DateFormat=P","Fill=—","Direction=H","UseDPDF=Y")</f>
        <v>153.02000000000001</v>
      </c>
      <c r="S46" s="13">
        <f>_xll.BDH("ALNY US Equity","CF_INCR_CAP_STOCK","FQ4 2022","FQ4 2022","Currency=USD","Period=FQ","BEST_FPERIOD_OVERRIDE=FQ","FILING_STATUS=MR","SCALING_FORMAT=MLN","Sort=A","Dates=H","DateFormat=P","Fill=—","Direction=H","UseDPDF=Y")</f>
        <v>56.713999999999999</v>
      </c>
      <c r="T46" s="13">
        <f>_xll.BDH("ALNY US Equity","CF_INCR_CAP_STOCK","FQ1 2023","FQ1 2023","Currency=USD","Period=FQ","BEST_FPERIOD_OVERRIDE=FQ","FILING_STATUS=MR","SCALING_FORMAT=MLN","Sort=A","Dates=H","DateFormat=P","Fill=—","Direction=H","UseDPDF=Y")</f>
        <v>42.371000000000002</v>
      </c>
      <c r="U46" s="13">
        <f>_xll.BDH("ALNY US Equity","CF_INCR_CAP_STOCK","FQ2 2023","FQ2 2023","Currency=USD","Period=FQ","BEST_FPERIOD_OVERRIDE=FQ","FILING_STATUS=MR","SCALING_FORMAT=MLN","Sort=A","Dates=H","DateFormat=P","Fill=—","Direction=H","UseDPDF=Y")</f>
        <v>49.393999999999998</v>
      </c>
      <c r="V46" s="13">
        <f>_xll.BDH("ALNY US Equity","CF_INCR_CAP_STOCK","FQ3 2023","FQ3 2023","Currency=USD","Period=FQ","BEST_FPERIOD_OVERRIDE=FQ","FILING_STATUS=MR","SCALING_FORMAT=MLN","Sort=A","Dates=H","DateFormat=P","Fill=—","Direction=H","UseDPDF=Y")</f>
        <v>24.805</v>
      </c>
      <c r="W46" s="13">
        <f>_xll.BDH("ALNY US Equity","CF_INCR_CAP_STOCK","FQ4 2023","FQ4 2023","Currency=USD","Period=FQ","BEST_FPERIOD_OVERRIDE=FQ","FILING_STATUS=MR","SCALING_FORMAT=MLN","Sort=A","Dates=H","DateFormat=P","Fill=—","Direction=H","UseDPDF=Y")</f>
        <v>30.893999999999998</v>
      </c>
      <c r="X46" s="13">
        <f>_xll.BDH("ALNY US Equity","CF_INCR_CAP_STOCK","FQ1 2024","FQ1 2024","Currency=USD","Period=FQ","BEST_FPERIOD_OVERRIDE=FQ","FILING_STATUS=MR","SCALING_FORMAT=MLN","Sort=A","Dates=H","DateFormat=P","Fill=—","Direction=H","UseDPDF=Y")</f>
        <v>25.859000000000002</v>
      </c>
      <c r="Y46" s="13">
        <f>_xll.BDH("ALNY US Equity","CF_INCR_CAP_STOCK","FQ2 2024","FQ2 2024","Currency=USD","Period=FQ","BEST_FPERIOD_OVERRIDE=FQ","FILING_STATUS=MR","SCALING_FORMAT=MLN","Sort=A","Dates=H","DateFormat=P","Fill=—","Direction=H","UseDPDF=Y")</f>
        <v>132.77799999999999</v>
      </c>
      <c r="Z46" s="13">
        <f>_xll.BDH("ALNY US Equity","CF_INCR_CAP_STOCK","FQ3 2024","FQ3 2024","Currency=USD","Period=FQ","BEST_FPERIOD_OVERRIDE=FQ","FILING_STATUS=MR","SCALING_FORMAT=MLN","Sort=A","Dates=H","DateFormat=P","Fill=—","Direction=H","UseDPDF=Y")</f>
        <v>108.036</v>
      </c>
      <c r="AA46" s="13">
        <f>_xll.BDH("ALNY US Equity","CF_INCR_CAP_STOCK","FQ4 2024","FQ4 2024","Currency=USD","Period=FQ","BEST_FPERIOD_OVERRIDE=FQ","FILING_STATUS=MR","SCALING_FORMAT=MLN","Sort=A","Dates=H","DateFormat=P","Fill=—","Direction=H","UseDPDF=Y")</f>
        <v>36.277999999999999</v>
      </c>
    </row>
    <row r="47" spans="1:27" x14ac:dyDescent="0.25">
      <c r="A47" s="10" t="s">
        <v>1234</v>
      </c>
      <c r="B47" s="10" t="s">
        <v>1235</v>
      </c>
      <c r="C47" s="13">
        <f>_xll.BDH("ALNY US Equity","CF_DECR_CAP_STOCK","FQ4 2018","FQ4 2018","Currency=USD","Period=FQ","BEST_FPERIOD_OVERRIDE=FQ","FILING_STATUS=MR","SCALING_FORMAT=MLN","Sort=A","Dates=H","DateFormat=P","Fill=—","Direction=H","UseDPDF=Y")</f>
        <v>-2.2930000000000001</v>
      </c>
      <c r="D47" s="13">
        <f>_xll.BDH("ALNY US Equity","CF_DECR_CAP_STOCK","FQ1 2019","FQ1 2019","Currency=USD","Period=FQ","BEST_FPERIOD_OVERRIDE=FQ","FILING_STATUS=MR","SCALING_FORMAT=MLN","Sort=A","Dates=H","DateFormat=P","Fill=—","Direction=H","UseDPDF=Y")</f>
        <v>-5.1999999999999998E-2</v>
      </c>
      <c r="E47" s="13">
        <f>_xll.BDH("ALNY US Equity","CF_DECR_CAP_STOCK","FQ2 2019","FQ2 2019","Currency=USD","Period=FQ","BEST_FPERIOD_OVERRIDE=FQ","FILING_STATUS=MR","SCALING_FORMAT=MLN","Sort=A","Dates=H","DateFormat=P","Fill=—","Direction=H","UseDPDF=Y")</f>
        <v>-3.2000000000000001E-2</v>
      </c>
      <c r="F47" s="13">
        <f>_xll.BDH("ALNY US Equity","CF_DECR_CAP_STOCK","FQ3 2019","FQ3 2019","Currency=USD","Period=FQ","BEST_FPERIOD_OVERRIDE=FQ","FILING_STATUS=MR","SCALING_FORMAT=MLN","Sort=A","Dates=H","DateFormat=P","Fill=—","Direction=H","UseDPDF=Y")</f>
        <v>0</v>
      </c>
      <c r="G47" s="13" t="str">
        <f>_xll.BDH("ALNY US Equity","CF_DECR_CAP_STOCK","FQ4 2019","FQ4 2019","Currency=USD","Period=FQ","BEST_FPERIOD_OVERRIDE=FQ","FILING_STATUS=MR","SCALING_FORMAT=MLN","Sort=A","Dates=H","DateFormat=P","Fill=—","Direction=H","UseDPDF=Y")</f>
        <v>—</v>
      </c>
      <c r="H47" s="13">
        <f>_xll.BDH("ALNY US Equity","CF_DECR_CAP_STOCK","FQ1 2020","FQ1 2020","Currency=USD","Period=FQ","BEST_FPERIOD_OVERRIDE=FQ","FILING_STATUS=MR","SCALING_FORMAT=MLN","Sort=A","Dates=H","DateFormat=P","Fill=—","Direction=H","UseDPDF=Y")</f>
        <v>0</v>
      </c>
      <c r="I47" s="13">
        <f>_xll.BDH("ALNY US Equity","CF_DECR_CAP_STOCK","FQ2 2020","FQ2 2020","Currency=USD","Period=FQ","BEST_FPERIOD_OVERRIDE=FQ","FILING_STATUS=MR","SCALING_FORMAT=MLN","Sort=A","Dates=H","DateFormat=P","Fill=—","Direction=H","UseDPDF=Y")</f>
        <v>0</v>
      </c>
      <c r="J47" s="13">
        <f>_xll.BDH("ALNY US Equity","CF_DECR_CAP_STOCK","FQ3 2020","FQ3 2020","Currency=USD","Period=FQ","BEST_FPERIOD_OVERRIDE=FQ","FILING_STATUS=MR","SCALING_FORMAT=MLN","Sort=A","Dates=H","DateFormat=P","Fill=—","Direction=H","UseDPDF=Y")</f>
        <v>0</v>
      </c>
      <c r="K47" s="13">
        <f>_xll.BDH("ALNY US Equity","CF_DECR_CAP_STOCK","FQ4 2020","FQ4 2020","Currency=USD","Period=FQ","BEST_FPERIOD_OVERRIDE=FQ","FILING_STATUS=MR","SCALING_FORMAT=MLN","Sort=A","Dates=H","DateFormat=P","Fill=—","Direction=H","UseDPDF=Y")</f>
        <v>0</v>
      </c>
      <c r="L47" s="13">
        <f>_xll.BDH("ALNY US Equity","CF_DECR_CAP_STOCK","FQ1 2021","FQ1 2021","Currency=USD","Period=FQ","BEST_FPERIOD_OVERRIDE=FQ","FILING_STATUS=MR","SCALING_FORMAT=MLN","Sort=A","Dates=H","DateFormat=P","Fill=—","Direction=H","UseDPDF=Y")</f>
        <v>0</v>
      </c>
      <c r="M47" s="13">
        <f>_xll.BDH("ALNY US Equity","CF_DECR_CAP_STOCK","FQ2 2021","FQ2 2021","Currency=USD","Period=FQ","BEST_FPERIOD_OVERRIDE=FQ","FILING_STATUS=MR","SCALING_FORMAT=MLN","Sort=A","Dates=H","DateFormat=P","Fill=—","Direction=H","UseDPDF=Y")</f>
        <v>0</v>
      </c>
      <c r="N47" s="13">
        <f>_xll.BDH("ALNY US Equity","CF_DECR_CAP_STOCK","FQ3 2021","FQ3 2021","Currency=USD","Period=FQ","BEST_FPERIOD_OVERRIDE=FQ","FILING_STATUS=MR","SCALING_FORMAT=MLN","Sort=A","Dates=H","DateFormat=P","Fill=—","Direction=H","UseDPDF=Y")</f>
        <v>0</v>
      </c>
      <c r="O47" s="13">
        <f>_xll.BDH("ALNY US Equity","CF_DECR_CAP_STOCK","FQ4 2021","FQ4 2021","Currency=USD","Period=FQ","BEST_FPERIOD_OVERRIDE=FQ","FILING_STATUS=MR","SCALING_FORMAT=MLN","Sort=A","Dates=H","DateFormat=P","Fill=—","Direction=H","UseDPDF=Y")</f>
        <v>0</v>
      </c>
      <c r="P47" s="13">
        <f>_xll.BDH("ALNY US Equity","CF_DECR_CAP_STOCK","FQ1 2022","FQ1 2022","Currency=USD","Period=FQ","BEST_FPERIOD_OVERRIDE=FQ","FILING_STATUS=MR","SCALING_FORMAT=MLN","Sort=A","Dates=H","DateFormat=P","Fill=—","Direction=H","UseDPDF=Y")</f>
        <v>0</v>
      </c>
      <c r="Q47" s="13">
        <f>_xll.BDH("ALNY US Equity","CF_DECR_CAP_STOCK","FQ2 2022","FQ2 2022","Currency=USD","Period=FQ","BEST_FPERIOD_OVERRIDE=FQ","FILING_STATUS=MR","SCALING_FORMAT=MLN","Sort=A","Dates=H","DateFormat=P","Fill=—","Direction=H","UseDPDF=Y")</f>
        <v>0</v>
      </c>
      <c r="R47" s="13">
        <f>_xll.BDH("ALNY US Equity","CF_DECR_CAP_STOCK","FQ3 2022","FQ3 2022","Currency=USD","Period=FQ","BEST_FPERIOD_OVERRIDE=FQ","FILING_STATUS=MR","SCALING_FORMAT=MLN","Sort=A","Dates=H","DateFormat=P","Fill=—","Direction=H","UseDPDF=Y")</f>
        <v>0</v>
      </c>
      <c r="S47" s="13">
        <f>_xll.BDH("ALNY US Equity","CF_DECR_CAP_STOCK","FQ4 2022","FQ4 2022","Currency=USD","Period=FQ","BEST_FPERIOD_OVERRIDE=FQ","FILING_STATUS=MR","SCALING_FORMAT=MLN","Sort=A","Dates=H","DateFormat=P","Fill=—","Direction=H","UseDPDF=Y")</f>
        <v>0</v>
      </c>
      <c r="T47" s="13">
        <f>_xll.BDH("ALNY US Equity","CF_DECR_CAP_STOCK","FQ1 2023","FQ1 2023","Currency=USD","Period=FQ","BEST_FPERIOD_OVERRIDE=FQ","FILING_STATUS=MR","SCALING_FORMAT=MLN","Sort=A","Dates=H","DateFormat=P","Fill=—","Direction=H","UseDPDF=Y")</f>
        <v>0</v>
      </c>
      <c r="U47" s="13">
        <f>_xll.BDH("ALNY US Equity","CF_DECR_CAP_STOCK","FQ2 2023","FQ2 2023","Currency=USD","Period=FQ","BEST_FPERIOD_OVERRIDE=FQ","FILING_STATUS=MR","SCALING_FORMAT=MLN","Sort=A","Dates=H","DateFormat=P","Fill=—","Direction=H","UseDPDF=Y")</f>
        <v>0</v>
      </c>
      <c r="V47" s="13">
        <f>_xll.BDH("ALNY US Equity","CF_DECR_CAP_STOCK","FQ3 2023","FQ3 2023","Currency=USD","Period=FQ","BEST_FPERIOD_OVERRIDE=FQ","FILING_STATUS=MR","SCALING_FORMAT=MLN","Sort=A","Dates=H","DateFormat=P","Fill=—","Direction=H","UseDPDF=Y")</f>
        <v>0</v>
      </c>
      <c r="W47" s="13">
        <f>_xll.BDH("ALNY US Equity","CF_DECR_CAP_STOCK","FQ4 2023","FQ4 2023","Currency=USD","Period=FQ","BEST_FPERIOD_OVERRIDE=FQ","FILING_STATUS=MR","SCALING_FORMAT=MLN","Sort=A","Dates=H","DateFormat=P","Fill=—","Direction=H","UseDPDF=Y")</f>
        <v>0</v>
      </c>
      <c r="X47" s="13">
        <f>_xll.BDH("ALNY US Equity","CF_DECR_CAP_STOCK","FQ1 2024","FQ1 2024","Currency=USD","Period=FQ","BEST_FPERIOD_OVERRIDE=FQ","FILING_STATUS=MR","SCALING_FORMAT=MLN","Sort=A","Dates=H","DateFormat=P","Fill=—","Direction=H","UseDPDF=Y")</f>
        <v>0</v>
      </c>
      <c r="Y47" s="13">
        <f>_xll.BDH("ALNY US Equity","CF_DECR_CAP_STOCK","FQ2 2024","FQ2 2024","Currency=USD","Period=FQ","BEST_FPERIOD_OVERRIDE=FQ","FILING_STATUS=MR","SCALING_FORMAT=MLN","Sort=A","Dates=H","DateFormat=P","Fill=—","Direction=H","UseDPDF=Y")</f>
        <v>0</v>
      </c>
      <c r="Z47" s="13">
        <f>_xll.BDH("ALNY US Equity","CF_DECR_CAP_STOCK","FQ3 2024","FQ3 2024","Currency=USD","Period=FQ","BEST_FPERIOD_OVERRIDE=FQ","FILING_STATUS=MR","SCALING_FORMAT=MLN","Sort=A","Dates=H","DateFormat=P","Fill=—","Direction=H","UseDPDF=Y")</f>
        <v>0</v>
      </c>
      <c r="AA47" s="13">
        <f>_xll.BDH("ALNY US Equity","CF_DECR_CAP_STOCK","FQ4 2024","FQ4 2024","Currency=USD","Period=FQ","BEST_FPERIOD_OVERRIDE=FQ","FILING_STATUS=MR","SCALING_FORMAT=MLN","Sort=A","Dates=H","DateFormat=P","Fill=—","Direction=H","UseDPDF=Y")</f>
        <v>0</v>
      </c>
    </row>
    <row r="48" spans="1:27" x14ac:dyDescent="0.25">
      <c r="A48" s="10" t="s">
        <v>1236</v>
      </c>
      <c r="B48" s="10" t="s">
        <v>1237</v>
      </c>
      <c r="C48" s="13">
        <f>_xll.BDH("ALNY US Equity","OTHER_FIN_AND_DEC_CAP","FQ4 2018","FQ4 2018","Currency=USD","Period=FQ","BEST_FPERIOD_OVERRIDE=FQ","FILING_STATUS=MR","SCALING_FORMAT=MLN","Sort=A","Dates=H","DateFormat=P","Fill=—","Direction=H","UseDPDF=Y")</f>
        <v>0</v>
      </c>
      <c r="D48" s="13">
        <f>_xll.BDH("ALNY US Equity","OTHER_FIN_AND_DEC_CAP","FQ1 2019","FQ1 2019","Currency=USD","Period=FQ","BEST_FPERIOD_OVERRIDE=FQ","FILING_STATUS=MR","SCALING_FORMAT=MLN","Sort=A","Dates=H","DateFormat=P","Fill=—","Direction=H","UseDPDF=Y")</f>
        <v>0</v>
      </c>
      <c r="E48" s="13">
        <f>_xll.BDH("ALNY US Equity","OTHER_FIN_AND_DEC_CAP","FQ2 2019","FQ2 2019","Currency=USD","Period=FQ","BEST_FPERIOD_OVERRIDE=FQ","FILING_STATUS=MR","SCALING_FORMAT=MLN","Sort=A","Dates=H","DateFormat=P","Fill=—","Direction=H","UseDPDF=Y")</f>
        <v>381.9</v>
      </c>
      <c r="F48" s="13">
        <f>_xll.BDH("ALNY US Equity","OTHER_FIN_AND_DEC_CAP","FQ3 2019","FQ3 2019","Currency=USD","Period=FQ","BEST_FPERIOD_OVERRIDE=FQ","FILING_STATUS=MR","SCALING_FORMAT=MLN","Sort=A","Dates=H","DateFormat=P","Fill=—","Direction=H","UseDPDF=Y")</f>
        <v>0</v>
      </c>
      <c r="G48" s="13">
        <f>_xll.BDH("ALNY US Equity","OTHER_FIN_AND_DEC_CAP","FQ4 2019","FQ4 2019","Currency=USD","Period=FQ","BEST_FPERIOD_OVERRIDE=FQ","FILING_STATUS=MR","SCALING_FORMAT=MLN","Sort=A","Dates=H","DateFormat=P","Fill=—","Direction=H","UseDPDF=Y")</f>
        <v>0</v>
      </c>
      <c r="H48" s="13">
        <f>_xll.BDH("ALNY US Equity","OTHER_FIN_AND_DEC_CAP","FQ1 2020","FQ1 2020","Currency=USD","Period=FQ","BEST_FPERIOD_OVERRIDE=FQ","FILING_STATUS=MR","SCALING_FORMAT=MLN","Sort=A","Dates=H","DateFormat=P","Fill=—","Direction=H","UseDPDF=Y")</f>
        <v>0</v>
      </c>
      <c r="I48" s="13">
        <f>_xll.BDH("ALNY US Equity","OTHER_FIN_AND_DEC_CAP","FQ2 2020","FQ2 2020","Currency=USD","Period=FQ","BEST_FPERIOD_OVERRIDE=FQ","FILING_STATUS=MR","SCALING_FORMAT=MLN","Sort=A","Dates=H","DateFormat=P","Fill=—","Direction=H","UseDPDF=Y")</f>
        <v>0</v>
      </c>
      <c r="J48" s="13">
        <f>_xll.BDH("ALNY US Equity","OTHER_FIN_AND_DEC_CAP","FQ3 2020","FQ3 2020","Currency=USD","Period=FQ","BEST_FPERIOD_OVERRIDE=FQ","FILING_STATUS=MR","SCALING_FORMAT=MLN","Sort=A","Dates=H","DateFormat=P","Fill=—","Direction=H","UseDPDF=Y")</f>
        <v>4.2</v>
      </c>
      <c r="K48" s="13">
        <f>_xll.BDH("ALNY US Equity","OTHER_FIN_AND_DEC_CAP","FQ4 2020","FQ4 2020","Currency=USD","Period=FQ","BEST_FPERIOD_OVERRIDE=FQ","FILING_STATUS=MR","SCALING_FORMAT=MLN","Sort=A","Dates=H","DateFormat=P","Fill=—","Direction=H","UseDPDF=Y")</f>
        <v>4.2</v>
      </c>
      <c r="L48" s="13">
        <f>_xll.BDH("ALNY US Equity","OTHER_FIN_AND_DEC_CAP","FQ1 2021","FQ1 2021","Currency=USD","Period=FQ","BEST_FPERIOD_OVERRIDE=FQ","FILING_STATUS=MR","SCALING_FORMAT=MLN","Sort=A","Dates=H","DateFormat=P","Fill=—","Direction=H","UseDPDF=Y")</f>
        <v>4.2</v>
      </c>
      <c r="M48" s="13">
        <f>_xll.BDH("ALNY US Equity","OTHER_FIN_AND_DEC_CAP","FQ2 2021","FQ2 2021","Currency=USD","Period=FQ","BEST_FPERIOD_OVERRIDE=FQ","FILING_STATUS=MR","SCALING_FORMAT=MLN","Sort=A","Dates=H","DateFormat=P","Fill=—","Direction=H","UseDPDF=Y")</f>
        <v>4.2</v>
      </c>
      <c r="N48" s="13">
        <f>_xll.BDH("ALNY US Equity","OTHER_FIN_AND_DEC_CAP","FQ3 2021","FQ3 2021","Currency=USD","Period=FQ","BEST_FPERIOD_OVERRIDE=FQ","FILING_STATUS=MR","SCALING_FORMAT=MLN","Sort=A","Dates=H","DateFormat=P","Fill=—","Direction=H","UseDPDF=Y")</f>
        <v>7.7</v>
      </c>
      <c r="O48" s="13">
        <f>_xll.BDH("ALNY US Equity","OTHER_FIN_AND_DEC_CAP","FQ4 2021","FQ4 2021","Currency=USD","Period=FQ","BEST_FPERIOD_OVERRIDE=FQ","FILING_STATUS=MR","SCALING_FORMAT=MLN","Sort=A","Dates=H","DateFormat=P","Fill=—","Direction=H","UseDPDF=Y")</f>
        <v>3.5</v>
      </c>
      <c r="P48" s="13">
        <f>_xll.BDH("ALNY US Equity","OTHER_FIN_AND_DEC_CAP","FQ1 2022","FQ1 2022","Currency=USD","Period=FQ","BEST_FPERIOD_OVERRIDE=FQ","FILING_STATUS=MR","SCALING_FORMAT=MLN","Sort=A","Dates=H","DateFormat=P","Fill=—","Direction=H","UseDPDF=Y")</f>
        <v>7.8330000000000002</v>
      </c>
      <c r="Q48" s="13">
        <f>_xll.BDH("ALNY US Equity","OTHER_FIN_AND_DEC_CAP","FQ2 2022","FQ2 2022","Currency=USD","Period=FQ","BEST_FPERIOD_OVERRIDE=FQ","FILING_STATUS=MR","SCALING_FORMAT=MLN","Sort=A","Dates=H","DateFormat=P","Fill=—","Direction=H","UseDPDF=Y")</f>
        <v>7.8339999999999996</v>
      </c>
      <c r="R48" s="13">
        <f>_xll.BDH("ALNY US Equity","OTHER_FIN_AND_DEC_CAP","FQ3 2022","FQ3 2022","Currency=USD","Period=FQ","BEST_FPERIOD_OVERRIDE=FQ","FILING_STATUS=MR","SCALING_FORMAT=MLN","Sort=A","Dates=H","DateFormat=P","Fill=—","Direction=H","UseDPDF=Y")</f>
        <v>7.8330000000000002</v>
      </c>
      <c r="S48" s="13">
        <f>_xll.BDH("ALNY US Equity","OTHER_FIN_AND_DEC_CAP","FQ4 2022","FQ4 2022","Currency=USD","Period=FQ","BEST_FPERIOD_OVERRIDE=FQ","FILING_STATUS=MR","SCALING_FORMAT=MLN","Sort=A","Dates=H","DateFormat=P","Fill=—","Direction=H","UseDPDF=Y")</f>
        <v>-111.111</v>
      </c>
      <c r="T48" s="13">
        <f>_xll.BDH("ALNY US Equity","OTHER_FIN_AND_DEC_CAP","FQ1 2023","FQ1 2023","Currency=USD","Period=FQ","BEST_FPERIOD_OVERRIDE=FQ","FILING_STATUS=MR","SCALING_FORMAT=MLN","Sort=A","Dates=H","DateFormat=P","Fill=—","Direction=H","UseDPDF=Y")</f>
        <v>4</v>
      </c>
      <c r="U48" s="13">
        <f>_xll.BDH("ALNY US Equity","OTHER_FIN_AND_DEC_CAP","FQ2 2023","FQ2 2023","Currency=USD","Period=FQ","BEST_FPERIOD_OVERRIDE=FQ","FILING_STATUS=MR","SCALING_FORMAT=MLN","Sort=A","Dates=H","DateFormat=P","Fill=—","Direction=H","UseDPDF=Y")</f>
        <v>4</v>
      </c>
      <c r="V48" s="13">
        <f>_xll.BDH("ALNY US Equity","OTHER_FIN_AND_DEC_CAP","FQ3 2023","FQ3 2023","Currency=USD","Period=FQ","BEST_FPERIOD_OVERRIDE=FQ","FILING_STATUS=MR","SCALING_FORMAT=MLN","Sort=A","Dates=H","DateFormat=P","Fill=—","Direction=H","UseDPDF=Y")</f>
        <v>8.3330000000000002</v>
      </c>
      <c r="W48" s="13">
        <f>_xll.BDH("ALNY US Equity","OTHER_FIN_AND_DEC_CAP","FQ4 2023","FQ4 2023","Currency=USD","Period=FQ","BEST_FPERIOD_OVERRIDE=FQ","FILING_STATUS=MR","SCALING_FORMAT=MLN","Sort=A","Dates=H","DateFormat=P","Fill=—","Direction=H","UseDPDF=Y")</f>
        <v>8.3339999999999996</v>
      </c>
      <c r="X48" s="13">
        <f>_xll.BDH("ALNY US Equity","OTHER_FIN_AND_DEC_CAP","FQ1 2024","FQ1 2024","Currency=USD","Period=FQ","BEST_FPERIOD_OVERRIDE=FQ","FILING_STATUS=MR","SCALING_FORMAT=MLN","Sort=A","Dates=H","DateFormat=P","Fill=—","Direction=H","UseDPDF=Y")</f>
        <v>3.052</v>
      </c>
      <c r="Y48" s="13">
        <f>_xll.BDH("ALNY US Equity","OTHER_FIN_AND_DEC_CAP","FQ2 2024","FQ2 2024","Currency=USD","Period=FQ","BEST_FPERIOD_OVERRIDE=FQ","FILING_STATUS=MR","SCALING_FORMAT=MLN","Sort=A","Dates=H","DateFormat=P","Fill=—","Direction=H","UseDPDF=Y")</f>
        <v>-1.282</v>
      </c>
      <c r="Z48" s="13">
        <f>_xll.BDH("ALNY US Equity","OTHER_FIN_AND_DEC_CAP","FQ3 2024","FQ3 2024","Currency=USD","Period=FQ","BEST_FPERIOD_OVERRIDE=FQ","FILING_STATUS=MR","SCALING_FORMAT=MLN","Sort=A","Dates=H","DateFormat=P","Fill=—","Direction=H","UseDPDF=Y")</f>
        <v>-5.2809999999999997</v>
      </c>
      <c r="AA48" s="13">
        <f>_xll.BDH("ALNY US Equity","OTHER_FIN_AND_DEC_CAP","FQ4 2024","FQ4 2024","Currency=USD","Period=FQ","BEST_FPERIOD_OVERRIDE=FQ","FILING_STATUS=MR","SCALING_FORMAT=MLN","Sort=A","Dates=H","DateFormat=P","Fill=—","Direction=H","UseDPDF=Y")</f>
        <v>-5.2809999999999997</v>
      </c>
    </row>
    <row r="49" spans="1:27" x14ac:dyDescent="0.25">
      <c r="A49" s="10" t="s">
        <v>1185</v>
      </c>
      <c r="B49" s="10" t="s">
        <v>1238</v>
      </c>
      <c r="C49" s="13">
        <f>_xll.BDH("ALNY US Equity","CF_NET_CASH_DISCONTINUED_OPS_FIN","FQ4 2018","FQ4 2018","Currency=USD","Period=FQ","BEST_FPERIOD_OVERRIDE=FQ","FILING_STATUS=MR","SCALING_FORMAT=MLN","Sort=A","Dates=H","DateFormat=P","Fill=—","Direction=H","UseDPDF=Y")</f>
        <v>0</v>
      </c>
      <c r="D49" s="13">
        <f>_xll.BDH("ALNY US Equity","CF_NET_CASH_DISCONTINUED_OPS_FIN","FQ1 2019","FQ1 2019","Currency=USD","Period=FQ","BEST_FPERIOD_OVERRIDE=FQ","FILING_STATUS=MR","SCALING_FORMAT=MLN","Sort=A","Dates=H","DateFormat=P","Fill=—","Direction=H","UseDPDF=Y")</f>
        <v>0</v>
      </c>
      <c r="E49" s="13">
        <f>_xll.BDH("ALNY US Equity","CF_NET_CASH_DISCONTINUED_OPS_FIN","FQ2 2019","FQ2 2019","Currency=USD","Period=FQ","BEST_FPERIOD_OVERRIDE=FQ","FILING_STATUS=MR","SCALING_FORMAT=MLN","Sort=A","Dates=H","DateFormat=P","Fill=—","Direction=H","UseDPDF=Y")</f>
        <v>0</v>
      </c>
      <c r="F49" s="13">
        <f>_xll.BDH("ALNY US Equity","CF_NET_CASH_DISCONTINUED_OPS_FIN","FQ3 2019","FQ3 2019","Currency=USD","Period=FQ","BEST_FPERIOD_OVERRIDE=FQ","FILING_STATUS=MR","SCALING_FORMAT=MLN","Sort=A","Dates=H","DateFormat=P","Fill=—","Direction=H","UseDPDF=Y")</f>
        <v>0</v>
      </c>
      <c r="G49" s="13">
        <f>_xll.BDH("ALNY US Equity","CF_NET_CASH_DISCONTINUED_OPS_FIN","FQ4 2019","FQ4 2019","Currency=USD","Period=FQ","BEST_FPERIOD_OVERRIDE=FQ","FILING_STATUS=MR","SCALING_FORMAT=MLN","Sort=A","Dates=H","DateFormat=P","Fill=—","Direction=H","UseDPDF=Y")</f>
        <v>0</v>
      </c>
      <c r="H49" s="13">
        <f>_xll.BDH("ALNY US Equity","CF_NET_CASH_DISCONTINUED_OPS_FIN","FQ1 2020","FQ1 2020","Currency=USD","Period=FQ","BEST_FPERIOD_OVERRIDE=FQ","FILING_STATUS=MR","SCALING_FORMAT=MLN","Sort=A","Dates=H","DateFormat=P","Fill=—","Direction=H","UseDPDF=Y")</f>
        <v>0</v>
      </c>
      <c r="I49" s="13">
        <f>_xll.BDH("ALNY US Equity","CF_NET_CASH_DISCONTINUED_OPS_FIN","FQ2 2020","FQ2 2020","Currency=USD","Period=FQ","BEST_FPERIOD_OVERRIDE=FQ","FILING_STATUS=MR","SCALING_FORMAT=MLN","Sort=A","Dates=H","DateFormat=P","Fill=—","Direction=H","UseDPDF=Y")</f>
        <v>0</v>
      </c>
      <c r="J49" s="13">
        <f>_xll.BDH("ALNY US Equity","CF_NET_CASH_DISCONTINUED_OPS_FIN","FQ3 2020","FQ3 2020","Currency=USD","Period=FQ","BEST_FPERIOD_OVERRIDE=FQ","FILING_STATUS=MR","SCALING_FORMAT=MLN","Sort=A","Dates=H","DateFormat=P","Fill=—","Direction=H","UseDPDF=Y")</f>
        <v>0</v>
      </c>
      <c r="K49" s="13">
        <f>_xll.BDH("ALNY US Equity","CF_NET_CASH_DISCONTINUED_OPS_FIN","FQ4 2020","FQ4 2020","Currency=USD","Period=FQ","BEST_FPERIOD_OVERRIDE=FQ","FILING_STATUS=MR","SCALING_FORMAT=MLN","Sort=A","Dates=H","DateFormat=P","Fill=—","Direction=H","UseDPDF=Y")</f>
        <v>0</v>
      </c>
      <c r="L49" s="13">
        <f>_xll.BDH("ALNY US Equity","CF_NET_CASH_DISCONTINUED_OPS_FIN","FQ1 2021","FQ1 2021","Currency=USD","Period=FQ","BEST_FPERIOD_OVERRIDE=FQ","FILING_STATUS=MR","SCALING_FORMAT=MLN","Sort=A","Dates=H","DateFormat=P","Fill=—","Direction=H","UseDPDF=Y")</f>
        <v>0</v>
      </c>
      <c r="M49" s="13">
        <f>_xll.BDH("ALNY US Equity","CF_NET_CASH_DISCONTINUED_OPS_FIN","FQ2 2021","FQ2 2021","Currency=USD","Period=FQ","BEST_FPERIOD_OVERRIDE=FQ","FILING_STATUS=MR","SCALING_FORMAT=MLN","Sort=A","Dates=H","DateFormat=P","Fill=—","Direction=H","UseDPDF=Y")</f>
        <v>0</v>
      </c>
      <c r="N49" s="13">
        <f>_xll.BDH("ALNY US Equity","CF_NET_CASH_DISCONTINUED_OPS_FIN","FQ3 2021","FQ3 2021","Currency=USD","Period=FQ","BEST_FPERIOD_OVERRIDE=FQ","FILING_STATUS=MR","SCALING_FORMAT=MLN","Sort=A","Dates=H","DateFormat=P","Fill=—","Direction=H","UseDPDF=Y")</f>
        <v>0</v>
      </c>
      <c r="O49" s="13">
        <f>_xll.BDH("ALNY US Equity","CF_NET_CASH_DISCONTINUED_OPS_FIN","FQ4 2021","FQ4 2021","Currency=USD","Period=FQ","BEST_FPERIOD_OVERRIDE=FQ","FILING_STATUS=MR","SCALING_FORMAT=MLN","Sort=A","Dates=H","DateFormat=P","Fill=—","Direction=H","UseDPDF=Y")</f>
        <v>0</v>
      </c>
      <c r="P49" s="13">
        <f>_xll.BDH("ALNY US Equity","CF_NET_CASH_DISCONTINUED_OPS_FIN","FQ1 2022","FQ1 2022","Currency=USD","Period=FQ","BEST_FPERIOD_OVERRIDE=FQ","FILING_STATUS=MR","SCALING_FORMAT=MLN","Sort=A","Dates=H","DateFormat=P","Fill=—","Direction=H","UseDPDF=Y")</f>
        <v>0</v>
      </c>
      <c r="Q49" s="13">
        <f>_xll.BDH("ALNY US Equity","CF_NET_CASH_DISCONTINUED_OPS_FIN","FQ2 2022","FQ2 2022","Currency=USD","Period=FQ","BEST_FPERIOD_OVERRIDE=FQ","FILING_STATUS=MR","SCALING_FORMAT=MLN","Sort=A","Dates=H","DateFormat=P","Fill=—","Direction=H","UseDPDF=Y")</f>
        <v>0</v>
      </c>
      <c r="R49" s="13">
        <f>_xll.BDH("ALNY US Equity","CF_NET_CASH_DISCONTINUED_OPS_FIN","FQ3 2022","FQ3 2022","Currency=USD","Period=FQ","BEST_FPERIOD_OVERRIDE=FQ","FILING_STATUS=MR","SCALING_FORMAT=MLN","Sort=A","Dates=H","DateFormat=P","Fill=—","Direction=H","UseDPDF=Y")</f>
        <v>0</v>
      </c>
      <c r="S49" s="13">
        <f>_xll.BDH("ALNY US Equity","CF_NET_CASH_DISCONTINUED_OPS_FIN","FQ4 2022","FQ4 2022","Currency=USD","Period=FQ","BEST_FPERIOD_OVERRIDE=FQ","FILING_STATUS=MR","SCALING_FORMAT=MLN","Sort=A","Dates=H","DateFormat=P","Fill=—","Direction=H","UseDPDF=Y")</f>
        <v>0</v>
      </c>
      <c r="T49" s="13">
        <f>_xll.BDH("ALNY US Equity","CF_NET_CASH_DISCONTINUED_OPS_FIN","FQ1 2023","FQ1 2023","Currency=USD","Period=FQ","BEST_FPERIOD_OVERRIDE=FQ","FILING_STATUS=MR","SCALING_FORMAT=MLN","Sort=A","Dates=H","DateFormat=P","Fill=—","Direction=H","UseDPDF=Y")</f>
        <v>0</v>
      </c>
      <c r="U49" s="13">
        <f>_xll.BDH("ALNY US Equity","CF_NET_CASH_DISCONTINUED_OPS_FIN","FQ2 2023","FQ2 2023","Currency=USD","Period=FQ","BEST_FPERIOD_OVERRIDE=FQ","FILING_STATUS=MR","SCALING_FORMAT=MLN","Sort=A","Dates=H","DateFormat=P","Fill=—","Direction=H","UseDPDF=Y")</f>
        <v>0</v>
      </c>
      <c r="V49" s="13">
        <f>_xll.BDH("ALNY US Equity","CF_NET_CASH_DISCONTINUED_OPS_FIN","FQ3 2023","FQ3 2023","Currency=USD","Period=FQ","BEST_FPERIOD_OVERRIDE=FQ","FILING_STATUS=MR","SCALING_FORMAT=MLN","Sort=A","Dates=H","DateFormat=P","Fill=—","Direction=H","UseDPDF=Y")</f>
        <v>0</v>
      </c>
      <c r="W49" s="13">
        <f>_xll.BDH("ALNY US Equity","CF_NET_CASH_DISCONTINUED_OPS_FIN","FQ4 2023","FQ4 2023","Currency=USD","Period=FQ","BEST_FPERIOD_OVERRIDE=FQ","FILING_STATUS=MR","SCALING_FORMAT=MLN","Sort=A","Dates=H","DateFormat=P","Fill=—","Direction=H","UseDPDF=Y")</f>
        <v>0</v>
      </c>
      <c r="X49" s="13">
        <f>_xll.BDH("ALNY US Equity","CF_NET_CASH_DISCONTINUED_OPS_FIN","FQ1 2024","FQ1 2024","Currency=USD","Period=FQ","BEST_FPERIOD_OVERRIDE=FQ","FILING_STATUS=MR","SCALING_FORMAT=MLN","Sort=A","Dates=H","DateFormat=P","Fill=—","Direction=H","UseDPDF=Y")</f>
        <v>0</v>
      </c>
      <c r="Y49" s="13">
        <f>_xll.BDH("ALNY US Equity","CF_NET_CASH_DISCONTINUED_OPS_FIN","FQ2 2024","FQ2 2024","Currency=USD","Period=FQ","BEST_FPERIOD_OVERRIDE=FQ","FILING_STATUS=MR","SCALING_FORMAT=MLN","Sort=A","Dates=H","DateFormat=P","Fill=—","Direction=H","UseDPDF=Y")</f>
        <v>0</v>
      </c>
      <c r="Z49" s="13">
        <f>_xll.BDH("ALNY US Equity","CF_NET_CASH_DISCONTINUED_OPS_FIN","FQ3 2024","FQ3 2024","Currency=USD","Period=FQ","BEST_FPERIOD_OVERRIDE=FQ","FILING_STATUS=MR","SCALING_FORMAT=MLN","Sort=A","Dates=H","DateFormat=P","Fill=—","Direction=H","UseDPDF=Y")</f>
        <v>0</v>
      </c>
      <c r="AA49" s="13">
        <f>_xll.BDH("ALNY US Equity","CF_NET_CASH_DISCONTINUED_OPS_FIN","FQ4 2024","FQ4 2024","Currency=USD","Period=FQ","BEST_FPERIOD_OVERRIDE=FQ","FILING_STATUS=MR","SCALING_FORMAT=MLN","Sort=A","Dates=H","DateFormat=P","Fill=—","Direction=H","UseDPDF=Y")</f>
        <v>0</v>
      </c>
    </row>
    <row r="50" spans="1:27" x14ac:dyDescent="0.25">
      <c r="A50" s="6" t="s">
        <v>1219</v>
      </c>
      <c r="B50" s="6" t="s">
        <v>1239</v>
      </c>
      <c r="C50" s="19">
        <f>_xll.BDH("ALNY US Equity","CFF_ACTIVITIES_DETAILED","FQ4 2018","FQ4 2018","Currency=USD","Period=FQ","BEST_FPERIOD_OVERRIDE=FQ","FILING_STATUS=MR","SCALING_FORMAT=MLN","Sort=A","Dates=H","DateFormat=P","Fill=—","Direction=H","UseDPDF=Y")</f>
        <v>5.3780000000000001</v>
      </c>
      <c r="D50" s="19">
        <f>_xll.BDH("ALNY US Equity","CFF_ACTIVITIES_DETAILED","FQ1 2019","FQ1 2019","Currency=USD","Period=FQ","BEST_FPERIOD_OVERRIDE=FQ","FILING_STATUS=MR","SCALING_FORMAT=MLN","Sort=A","Dates=H","DateFormat=P","Fill=—","Direction=H","UseDPDF=Y")</f>
        <v>390.93099999999998</v>
      </c>
      <c r="E50" s="19">
        <f>_xll.BDH("ALNY US Equity","CFF_ACTIVITIES_DETAILED","FQ2 2019","FQ2 2019","Currency=USD","Period=FQ","BEST_FPERIOD_OVERRIDE=FQ","FILING_STATUS=MR","SCALING_FORMAT=MLN","Sort=A","Dates=H","DateFormat=P","Fill=—","Direction=H","UseDPDF=Y")</f>
        <v>412.61</v>
      </c>
      <c r="F50" s="19">
        <f>_xll.BDH("ALNY US Equity","CFF_ACTIVITIES_DETAILED","FQ3 2019","FQ3 2019","Currency=USD","Period=FQ","BEST_FPERIOD_OVERRIDE=FQ","FILING_STATUS=MR","SCALING_FORMAT=MLN","Sort=A","Dates=H","DateFormat=P","Fill=—","Direction=H","UseDPDF=Y")</f>
        <v>-20.699000000000002</v>
      </c>
      <c r="G50" s="19">
        <f>_xll.BDH("ALNY US Equity","CFF_ACTIVITIES_DETAILED","FQ4 2019","FQ4 2019","Currency=USD","Period=FQ","BEST_FPERIOD_OVERRIDE=FQ","FILING_STATUS=MR","SCALING_FORMAT=MLN","Sort=A","Dates=H","DateFormat=P","Fill=—","Direction=H","UseDPDF=Y")</f>
        <v>40.341999999999999</v>
      </c>
      <c r="H50" s="19">
        <f>_xll.BDH("ALNY US Equity","CFF_ACTIVITIES_DETAILED","FQ1 2020","FQ1 2020","Currency=USD","Period=FQ","BEST_FPERIOD_OVERRIDE=FQ","FILING_STATUS=MR","SCALING_FORMAT=MLN","Sort=A","Dates=H","DateFormat=P","Fill=—","Direction=H","UseDPDF=Y")</f>
        <v>53.869</v>
      </c>
      <c r="I50" s="19">
        <f>_xll.BDH("ALNY US Equity","CFF_ACTIVITIES_DETAILED","FQ2 2020","FQ2 2020","Currency=USD","Period=FQ","BEST_FPERIOD_OVERRIDE=FQ","FILING_STATUS=MR","SCALING_FORMAT=MLN","Sort=A","Dates=H","DateFormat=P","Fill=—","Direction=H","UseDPDF=Y")</f>
        <v>689.01300000000003</v>
      </c>
      <c r="J50" s="19">
        <f>_xll.BDH("ALNY US Equity","CFF_ACTIVITIES_DETAILED","FQ3 2020","FQ3 2020","Currency=USD","Period=FQ","BEST_FPERIOD_OVERRIDE=FQ","FILING_STATUS=MR","SCALING_FORMAT=MLN","Sort=A","Dates=H","DateFormat=P","Fill=—","Direction=H","UseDPDF=Y")</f>
        <v>34.146999999999998</v>
      </c>
      <c r="K50" s="19">
        <f>_xll.BDH("ALNY US Equity","CFF_ACTIVITIES_DETAILED","FQ4 2020","FQ4 2020","Currency=USD","Period=FQ","BEST_FPERIOD_OVERRIDE=FQ","FILING_STATUS=MR","SCALING_FORMAT=MLN","Sort=A","Dates=H","DateFormat=P","Fill=—","Direction=H","UseDPDF=Y")</f>
        <v>217.95</v>
      </c>
      <c r="L50" s="19">
        <f>_xll.BDH("ALNY US Equity","CFF_ACTIVITIES_DETAILED","FQ1 2021","FQ1 2021","Currency=USD","Period=FQ","BEST_FPERIOD_OVERRIDE=FQ","FILING_STATUS=MR","SCALING_FORMAT=MLN","Sort=A","Dates=H","DateFormat=P","Fill=—","Direction=H","UseDPDF=Y")</f>
        <v>51.177</v>
      </c>
      <c r="M50" s="19">
        <f>_xll.BDH("ALNY US Equity","CFF_ACTIVITIES_DETAILED","FQ2 2021","FQ2 2021","Currency=USD","Period=FQ","BEST_FPERIOD_OVERRIDE=FQ","FILING_STATUS=MR","SCALING_FORMAT=MLN","Sort=A","Dates=H","DateFormat=P","Fill=—","Direction=H","UseDPDF=Y")</f>
        <v>329.81099999999998</v>
      </c>
      <c r="N50" s="19">
        <f>_xll.BDH("ALNY US Equity","CFF_ACTIVITIES_DETAILED","FQ3 2021","FQ3 2021","Currency=USD","Period=FQ","BEST_FPERIOD_OVERRIDE=FQ","FILING_STATUS=MR","SCALING_FORMAT=MLN","Sort=A","Dates=H","DateFormat=P","Fill=—","Direction=H","UseDPDF=Y")</f>
        <v>573.83900000000006</v>
      </c>
      <c r="O50" s="19">
        <f>_xll.BDH("ALNY US Equity","CFF_ACTIVITIES_DETAILED","FQ4 2021","FQ4 2021","Currency=USD","Period=FQ","BEST_FPERIOD_OVERRIDE=FQ","FILING_STATUS=MR","SCALING_FORMAT=MLN","Sort=A","Dates=H","DateFormat=P","Fill=—","Direction=H","UseDPDF=Y")</f>
        <v>292.291</v>
      </c>
      <c r="P50" s="19">
        <f>_xll.BDH("ALNY US Equity","CFF_ACTIVITIES_DETAILED","FQ1 2022","FQ1 2022","Currency=USD","Period=FQ","BEST_FPERIOD_OVERRIDE=FQ","FILING_STATUS=MR","SCALING_FORMAT=MLN","Sort=A","Dates=H","DateFormat=P","Fill=—","Direction=H","UseDPDF=Y")</f>
        <v>34.956000000000003</v>
      </c>
      <c r="Q50" s="19">
        <f>_xll.BDH("ALNY US Equity","CFF_ACTIVITIES_DETAILED","FQ2 2022","FQ2 2022","Currency=USD","Period=FQ","BEST_FPERIOD_OVERRIDE=FQ","FILING_STATUS=MR","SCALING_FORMAT=MLN","Sort=A","Dates=H","DateFormat=P","Fill=—","Direction=H","UseDPDF=Y")</f>
        <v>30.337</v>
      </c>
      <c r="R50" s="19">
        <f>_xll.BDH("ALNY US Equity","CFF_ACTIVITIES_DETAILED","FQ3 2022","FQ3 2022","Currency=USD","Period=FQ","BEST_FPERIOD_OVERRIDE=FQ","FILING_STATUS=MR","SCALING_FORMAT=MLN","Sort=A","Dates=H","DateFormat=P","Fill=—","Direction=H","UseDPDF=Y")</f>
        <v>297.02300000000002</v>
      </c>
      <c r="S50" s="19">
        <f>_xll.BDH("ALNY US Equity","CFF_ACTIVITIES_DETAILED","FQ4 2022","FQ4 2022","Currency=USD","Period=FQ","BEST_FPERIOD_OVERRIDE=FQ","FILING_STATUS=MR","SCALING_FORMAT=MLN","Sort=A","Dates=H","DateFormat=P","Fill=—","Direction=H","UseDPDF=Y")</f>
        <v>63.436999999999998</v>
      </c>
      <c r="T50" s="19">
        <f>_xll.BDH("ALNY US Equity","CFF_ACTIVITIES_DETAILED","FQ1 2023","FQ1 2023","Currency=USD","Period=FQ","BEST_FPERIOD_OVERRIDE=FQ","FILING_STATUS=MR","SCALING_FORMAT=MLN","Sort=A","Dates=H","DateFormat=P","Fill=—","Direction=H","UseDPDF=Y")</f>
        <v>46.371000000000002</v>
      </c>
      <c r="U50" s="19">
        <f>_xll.BDH("ALNY US Equity","CFF_ACTIVITIES_DETAILED","FQ2 2023","FQ2 2023","Currency=USD","Period=FQ","BEST_FPERIOD_OVERRIDE=FQ","FILING_STATUS=MR","SCALING_FORMAT=MLN","Sort=A","Dates=H","DateFormat=P","Fill=—","Direction=H","UseDPDF=Y")</f>
        <v>53.393999999999998</v>
      </c>
      <c r="V50" s="19">
        <f>_xll.BDH("ALNY US Equity","CFF_ACTIVITIES_DETAILED","FQ3 2023","FQ3 2023","Currency=USD","Period=FQ","BEST_FPERIOD_OVERRIDE=FQ","FILING_STATUS=MR","SCALING_FORMAT=MLN","Sort=A","Dates=H","DateFormat=P","Fill=—","Direction=H","UseDPDF=Y")</f>
        <v>33.137999999999998</v>
      </c>
      <c r="W50" s="19">
        <f>_xll.BDH("ALNY US Equity","CFF_ACTIVITIES_DETAILED","FQ4 2023","FQ4 2023","Currency=USD","Period=FQ","BEST_FPERIOD_OVERRIDE=FQ","FILING_STATUS=MR","SCALING_FORMAT=MLN","Sort=A","Dates=H","DateFormat=P","Fill=—","Direction=H","UseDPDF=Y")</f>
        <v>39.228000000000002</v>
      </c>
      <c r="X50" s="19">
        <f>_xll.BDH("ALNY US Equity","CFF_ACTIVITIES_DETAILED","FQ1 2024","FQ1 2024","Currency=USD","Period=FQ","BEST_FPERIOD_OVERRIDE=FQ","FILING_STATUS=MR","SCALING_FORMAT=MLN","Sort=A","Dates=H","DateFormat=P","Fill=—","Direction=H","UseDPDF=Y")</f>
        <v>28.911000000000001</v>
      </c>
      <c r="Y50" s="19">
        <f>_xll.BDH("ALNY US Equity","CFF_ACTIVITIES_DETAILED","FQ2 2024","FQ2 2024","Currency=USD","Period=FQ","BEST_FPERIOD_OVERRIDE=FQ","FILING_STATUS=MR","SCALING_FORMAT=MLN","Sort=A","Dates=H","DateFormat=P","Fill=—","Direction=H","UseDPDF=Y")</f>
        <v>131.49600000000001</v>
      </c>
      <c r="Z50" s="19">
        <f>_xll.BDH("ALNY US Equity","CFF_ACTIVITIES_DETAILED","FQ3 2024","FQ3 2024","Currency=USD","Period=FQ","BEST_FPERIOD_OVERRIDE=FQ","FILING_STATUS=MR","SCALING_FORMAT=MLN","Sort=A","Dates=H","DateFormat=P","Fill=—","Direction=H","UseDPDF=Y")</f>
        <v>102.755</v>
      </c>
      <c r="AA50" s="19">
        <f>_xll.BDH("ALNY US Equity","CFF_ACTIVITIES_DETAILED","FQ4 2024","FQ4 2024","Currency=USD","Period=FQ","BEST_FPERIOD_OVERRIDE=FQ","FILING_STATUS=MR","SCALING_FORMAT=MLN","Sort=A","Dates=H","DateFormat=P","Fill=—","Direction=H","UseDPDF=Y")</f>
        <v>30.997</v>
      </c>
    </row>
    <row r="51" spans="1:27" x14ac:dyDescent="0.25">
      <c r="A51" s="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x14ac:dyDescent="0.25">
      <c r="A52" s="10" t="s">
        <v>1240</v>
      </c>
      <c r="B52" s="10" t="s">
        <v>1241</v>
      </c>
      <c r="C52" s="13">
        <f>_xll.BDH("ALNY US Equity","CF_EFFECT_FOREIGN_EXCHANGES","FQ4 2018","FQ4 2018","Currency=USD","Period=FQ","BEST_FPERIOD_OVERRIDE=FQ","FILING_STATUS=MR","SCALING_FORMAT=MLN","Sort=A","Dates=H","DateFormat=P","Fill=—","Direction=H","UseDPDF=Y")</f>
        <v>0</v>
      </c>
      <c r="D52" s="13">
        <f>_xll.BDH("ALNY US Equity","CF_EFFECT_FOREIGN_EXCHANGES","FQ1 2019","FQ1 2019","Currency=USD","Period=FQ","BEST_FPERIOD_OVERRIDE=FQ","FILING_STATUS=MR","SCALING_FORMAT=MLN","Sort=A","Dates=H","DateFormat=P","Fill=—","Direction=H","UseDPDF=Y")</f>
        <v>0</v>
      </c>
      <c r="E52" s="13">
        <f>_xll.BDH("ALNY US Equity","CF_EFFECT_FOREIGN_EXCHANGES","FQ2 2019","FQ2 2019","Currency=USD","Period=FQ","BEST_FPERIOD_OVERRIDE=FQ","FILING_STATUS=MR","SCALING_FORMAT=MLN","Sort=A","Dates=H","DateFormat=P","Fill=—","Direction=H","UseDPDF=Y")</f>
        <v>-3.0000000000000001E-3</v>
      </c>
      <c r="F52" s="13">
        <f>_xll.BDH("ALNY US Equity","CF_EFFECT_FOREIGN_EXCHANGES","FQ3 2019","FQ3 2019","Currency=USD","Period=FQ","BEST_FPERIOD_OVERRIDE=FQ","FILING_STATUS=MR","SCALING_FORMAT=MLN","Sort=A","Dates=H","DateFormat=P","Fill=—","Direction=H","UseDPDF=Y")</f>
        <v>-0.44600000000000001</v>
      </c>
      <c r="G52" s="13">
        <f>_xll.BDH("ALNY US Equity","CF_EFFECT_FOREIGN_EXCHANGES","FQ4 2019","FQ4 2019","Currency=USD","Period=FQ","BEST_FPERIOD_OVERRIDE=FQ","FILING_STATUS=MR","SCALING_FORMAT=MLN","Sort=A","Dates=H","DateFormat=P","Fill=—","Direction=H","UseDPDF=Y")</f>
        <v>0.36599999999999999</v>
      </c>
      <c r="H52" s="13">
        <f>_xll.BDH("ALNY US Equity","CF_EFFECT_FOREIGN_EXCHANGES","FQ1 2020","FQ1 2020","Currency=USD","Period=FQ","BEST_FPERIOD_OVERRIDE=FQ","FILING_STATUS=MR","SCALING_FORMAT=MLN","Sort=A","Dates=H","DateFormat=P","Fill=—","Direction=H","UseDPDF=Y")</f>
        <v>-0.63100000000000001</v>
      </c>
      <c r="I52" s="13">
        <f>_xll.BDH("ALNY US Equity","CF_EFFECT_FOREIGN_EXCHANGES","FQ2 2020","FQ2 2020","Currency=USD","Period=FQ","BEST_FPERIOD_OVERRIDE=FQ","FILING_STATUS=MR","SCALING_FORMAT=MLN","Sort=A","Dates=H","DateFormat=P","Fill=—","Direction=H","UseDPDF=Y")</f>
        <v>0.435</v>
      </c>
      <c r="J52" s="13">
        <f>_xll.BDH("ALNY US Equity","CF_EFFECT_FOREIGN_EXCHANGES","FQ3 2020","FQ3 2020","Currency=USD","Period=FQ","BEST_FPERIOD_OVERRIDE=FQ","FILING_STATUS=MR","SCALING_FORMAT=MLN","Sort=A","Dates=H","DateFormat=P","Fill=—","Direction=H","UseDPDF=Y")</f>
        <v>2.1419999999999999</v>
      </c>
      <c r="K52" s="13">
        <f>_xll.BDH("ALNY US Equity","CF_EFFECT_FOREIGN_EXCHANGES","FQ4 2020","FQ4 2020","Currency=USD","Period=FQ","BEST_FPERIOD_OVERRIDE=FQ","FILING_STATUS=MR","SCALING_FORMAT=MLN","Sort=A","Dates=H","DateFormat=P","Fill=—","Direction=H","UseDPDF=Y")</f>
        <v>2.972</v>
      </c>
      <c r="L52" s="13">
        <f>_xll.BDH("ALNY US Equity","CF_EFFECT_FOREIGN_EXCHANGES","FQ1 2021","FQ1 2021","Currency=USD","Period=FQ","BEST_FPERIOD_OVERRIDE=FQ","FILING_STATUS=MR","SCALING_FORMAT=MLN","Sort=A","Dates=H","DateFormat=P","Fill=—","Direction=H","UseDPDF=Y")</f>
        <v>-3.91</v>
      </c>
      <c r="M52" s="13">
        <f>_xll.BDH("ALNY US Equity","CF_EFFECT_FOREIGN_EXCHANGES","FQ2 2021","FQ2 2021","Currency=USD","Period=FQ","BEST_FPERIOD_OVERRIDE=FQ","FILING_STATUS=MR","SCALING_FORMAT=MLN","Sort=A","Dates=H","DateFormat=P","Fill=—","Direction=H","UseDPDF=Y")</f>
        <v>1.081</v>
      </c>
      <c r="N52" s="13">
        <f>_xll.BDH("ALNY US Equity","CF_EFFECT_FOREIGN_EXCHANGES","FQ3 2021","FQ3 2021","Currency=USD","Period=FQ","BEST_FPERIOD_OVERRIDE=FQ","FILING_STATUS=MR","SCALING_FORMAT=MLN","Sort=A","Dates=H","DateFormat=P","Fill=—","Direction=H","UseDPDF=Y")</f>
        <v>-3.1389999999999998</v>
      </c>
      <c r="O52" s="13">
        <f>_xll.BDH("ALNY US Equity","CF_EFFECT_FOREIGN_EXCHANGES","FQ4 2021","FQ4 2021","Currency=USD","Period=FQ","BEST_FPERIOD_OVERRIDE=FQ","FILING_STATUS=MR","SCALING_FORMAT=MLN","Sort=A","Dates=H","DateFormat=P","Fill=—","Direction=H","UseDPDF=Y")</f>
        <v>-3.05</v>
      </c>
      <c r="P52" s="13">
        <f>_xll.BDH("ALNY US Equity","CF_EFFECT_FOREIGN_EXCHANGES","FQ1 2022","FQ1 2022","Currency=USD","Period=FQ","BEST_FPERIOD_OVERRIDE=FQ","FILING_STATUS=MR","SCALING_FORMAT=MLN","Sort=A","Dates=H","DateFormat=P","Fill=—","Direction=H","UseDPDF=Y")</f>
        <v>-2.238</v>
      </c>
      <c r="Q52" s="13">
        <f>_xll.BDH("ALNY US Equity","CF_EFFECT_FOREIGN_EXCHANGES","FQ2 2022","FQ2 2022","Currency=USD","Period=FQ","BEST_FPERIOD_OVERRIDE=FQ","FILING_STATUS=MR","SCALING_FORMAT=MLN","Sort=A","Dates=H","DateFormat=P","Fill=—","Direction=H","UseDPDF=Y")</f>
        <v>-8.8350000000000009</v>
      </c>
      <c r="R52" s="13">
        <f>_xll.BDH("ALNY US Equity","CF_EFFECT_FOREIGN_EXCHANGES","FQ3 2022","FQ3 2022","Currency=USD","Period=FQ","BEST_FPERIOD_OVERRIDE=FQ","FILING_STATUS=MR","SCALING_FORMAT=MLN","Sort=A","Dates=H","DateFormat=P","Fill=—","Direction=H","UseDPDF=Y")</f>
        <v>2.024</v>
      </c>
      <c r="S52" s="13">
        <f>_xll.BDH("ALNY US Equity","CF_EFFECT_FOREIGN_EXCHANGES","FQ4 2022","FQ4 2022","Currency=USD","Period=FQ","BEST_FPERIOD_OVERRIDE=FQ","FILING_STATUS=MR","SCALING_FORMAT=MLN","Sort=A","Dates=H","DateFormat=P","Fill=—","Direction=H","UseDPDF=Y")</f>
        <v>1.619</v>
      </c>
      <c r="T52" s="13">
        <f>_xll.BDH("ALNY US Equity","CF_EFFECT_FOREIGN_EXCHANGES","FQ1 2023","FQ1 2023","Currency=USD","Period=FQ","BEST_FPERIOD_OVERRIDE=FQ","FILING_STATUS=MR","SCALING_FORMAT=MLN","Sort=A","Dates=H","DateFormat=P","Fill=—","Direction=H","UseDPDF=Y")</f>
        <v>2.1760000000000002</v>
      </c>
      <c r="U52" s="13">
        <f>_xll.BDH("ALNY US Equity","CF_EFFECT_FOREIGN_EXCHANGES","FQ2 2023","FQ2 2023","Currency=USD","Period=FQ","BEST_FPERIOD_OVERRIDE=FQ","FILING_STATUS=MR","SCALING_FORMAT=MLN","Sort=A","Dates=H","DateFormat=P","Fill=—","Direction=H","UseDPDF=Y")</f>
        <v>-0.13</v>
      </c>
      <c r="V52" s="13">
        <f>_xll.BDH("ALNY US Equity","CF_EFFECT_FOREIGN_EXCHANGES","FQ3 2023","FQ3 2023","Currency=USD","Period=FQ","BEST_FPERIOD_OVERRIDE=FQ","FILING_STATUS=MR","SCALING_FORMAT=MLN","Sort=A","Dates=H","DateFormat=P","Fill=—","Direction=H","UseDPDF=Y")</f>
        <v>-6.5519999999999996</v>
      </c>
      <c r="W52" s="13">
        <f>_xll.BDH("ALNY US Equity","CF_EFFECT_FOREIGN_EXCHANGES","FQ4 2023","FQ4 2023","Currency=USD","Period=FQ","BEST_FPERIOD_OVERRIDE=FQ","FILING_STATUS=MR","SCALING_FORMAT=MLN","Sort=A","Dates=H","DateFormat=P","Fill=—","Direction=H","UseDPDF=Y")</f>
        <v>10.897</v>
      </c>
      <c r="X52" s="13">
        <f>_xll.BDH("ALNY US Equity","CF_EFFECT_FOREIGN_EXCHANGES","FQ1 2024","FQ1 2024","Currency=USD","Period=FQ","BEST_FPERIOD_OVERRIDE=FQ","FILING_STATUS=MR","SCALING_FORMAT=MLN","Sort=A","Dates=H","DateFormat=P","Fill=—","Direction=H","UseDPDF=Y")</f>
        <v>-9.9410000000000007</v>
      </c>
      <c r="Y52" s="13">
        <f>_xll.BDH("ALNY US Equity","CF_EFFECT_FOREIGN_EXCHANGES","FQ2 2024","FQ2 2024","Currency=USD","Period=FQ","BEST_FPERIOD_OVERRIDE=FQ","FILING_STATUS=MR","SCALING_FORMAT=MLN","Sort=A","Dates=H","DateFormat=P","Fill=—","Direction=H","UseDPDF=Y")</f>
        <v>-3.12</v>
      </c>
      <c r="Z52" s="13">
        <f>_xll.BDH("ALNY US Equity","CF_EFFECT_FOREIGN_EXCHANGES","FQ3 2024","FQ3 2024","Currency=USD","Period=FQ","BEST_FPERIOD_OVERRIDE=FQ","FILING_STATUS=MR","SCALING_FORMAT=MLN","Sort=A","Dates=H","DateFormat=P","Fill=—","Direction=H","UseDPDF=Y")</f>
        <v>15.093</v>
      </c>
      <c r="AA52" s="13">
        <f>_xll.BDH("ALNY US Equity","CF_EFFECT_FOREIGN_EXCHANGES","FQ4 2024","FQ4 2024","Currency=USD","Period=FQ","BEST_FPERIOD_OVERRIDE=FQ","FILING_STATUS=MR","SCALING_FORMAT=MLN","Sort=A","Dates=H","DateFormat=P","Fill=—","Direction=H","UseDPDF=Y")</f>
        <v>-17.271000000000001</v>
      </c>
    </row>
    <row r="53" spans="1:27" x14ac:dyDescent="0.25">
      <c r="A53" s="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x14ac:dyDescent="0.25">
      <c r="A54" s="6" t="s">
        <v>1242</v>
      </c>
      <c r="B54" s="6" t="s">
        <v>1243</v>
      </c>
      <c r="C54" s="19">
        <f>_xll.BDH("ALNY US Equity","CF_NET_CHNG_CASH","FQ4 2018","FQ4 2018","Currency=USD","Period=FQ","BEST_FPERIOD_OVERRIDE=FQ","FILING_STATUS=MR","SCALING_FORMAT=MLN","Sort=A","Dates=H","DateFormat=P","Fill=—","Direction=H","UseDPDF=Y")</f>
        <v>103.88500000000001</v>
      </c>
      <c r="D54" s="19">
        <f>_xll.BDH("ALNY US Equity","CF_NET_CHNG_CASH","FQ1 2019","FQ1 2019","Currency=USD","Period=FQ","BEST_FPERIOD_OVERRIDE=FQ","FILING_STATUS=MR","SCALING_FORMAT=MLN","Sort=A","Dates=H","DateFormat=P","Fill=—","Direction=H","UseDPDF=Y")</f>
        <v>305.07299999999998</v>
      </c>
      <c r="E54" s="19">
        <f>_xll.BDH("ALNY US Equity","CF_NET_CHNG_CASH","FQ2 2019","FQ2 2019","Currency=USD","Period=FQ","BEST_FPERIOD_OVERRIDE=FQ","FILING_STATUS=MR","SCALING_FORMAT=MLN","Sort=A","Dates=H","DateFormat=P","Fill=—","Direction=H","UseDPDF=Y")</f>
        <v>411.9</v>
      </c>
      <c r="F54" s="19">
        <f>_xll.BDH("ALNY US Equity","CF_NET_CHNG_CASH","FQ3 2019","FQ3 2019","Currency=USD","Period=FQ","BEST_FPERIOD_OVERRIDE=FQ","FILING_STATUS=MR","SCALING_FORMAT=MLN","Sort=A","Dates=H","DateFormat=P","Fill=—","Direction=H","UseDPDF=Y")</f>
        <v>-213.85400000000001</v>
      </c>
      <c r="G54" s="19">
        <f>_xll.BDH("ALNY US Equity","CF_NET_CHNG_CASH","FQ4 2019","FQ4 2019","Currency=USD","Period=FQ","BEST_FPERIOD_OVERRIDE=FQ","FILING_STATUS=MR","SCALING_FORMAT=MLN","Sort=A","Dates=H","DateFormat=P","Fill=—","Direction=H","UseDPDF=Y")</f>
        <v>-376.12200000000001</v>
      </c>
      <c r="H54" s="19">
        <f>_xll.BDH("ALNY US Equity","CF_NET_CHNG_CASH","FQ1 2020","FQ1 2020","Currency=USD","Period=FQ","BEST_FPERIOD_OVERRIDE=FQ","FILING_STATUS=MR","SCALING_FORMAT=MLN","Sort=A","Dates=H","DateFormat=P","Fill=—","Direction=H","UseDPDF=Y")</f>
        <v>-79.234999999999999</v>
      </c>
      <c r="I54" s="19">
        <f>_xll.BDH("ALNY US Equity","CF_NET_CHNG_CASH","FQ2 2020","FQ2 2020","Currency=USD","Period=FQ","BEST_FPERIOD_OVERRIDE=FQ","FILING_STATUS=MR","SCALING_FORMAT=MLN","Sort=A","Dates=H","DateFormat=P","Fill=—","Direction=H","UseDPDF=Y")</f>
        <v>112.88800000000001</v>
      </c>
      <c r="J54" s="19">
        <f>_xll.BDH("ALNY US Equity","CF_NET_CHNG_CASH","FQ3 2020","FQ3 2020","Currency=USD","Period=FQ","BEST_FPERIOD_OVERRIDE=FQ","FILING_STATUS=MR","SCALING_FORMAT=MLN","Sort=A","Dates=H","DateFormat=P","Fill=—","Direction=H","UseDPDF=Y")</f>
        <v>-84.125</v>
      </c>
      <c r="K54" s="19">
        <f>_xll.BDH("ALNY US Equity","CF_NET_CHNG_CASH","FQ4 2020","FQ4 2020","Currency=USD","Period=FQ","BEST_FPERIOD_OVERRIDE=FQ","FILING_STATUS=MR","SCALING_FORMAT=MLN","Sort=A","Dates=H","DateFormat=P","Fill=—","Direction=H","UseDPDF=Y")</f>
        <v>-0.11</v>
      </c>
      <c r="L54" s="19">
        <f>_xll.BDH("ALNY US Equity","CF_NET_CHNG_CASH","FQ1 2021","FQ1 2021","Currency=USD","Period=FQ","BEST_FPERIOD_OVERRIDE=FQ","FILING_STATUS=MR","SCALING_FORMAT=MLN","Sort=A","Dates=H","DateFormat=P","Fill=—","Direction=H","UseDPDF=Y")</f>
        <v>-117.041</v>
      </c>
      <c r="M54" s="19">
        <f>_xll.BDH("ALNY US Equity","CF_NET_CHNG_CASH","FQ2 2021","FQ2 2021","Currency=USD","Period=FQ","BEST_FPERIOD_OVERRIDE=FQ","FILING_STATUS=MR","SCALING_FORMAT=MLN","Sort=A","Dates=H","DateFormat=P","Fill=—","Direction=H","UseDPDF=Y")</f>
        <v>366.06</v>
      </c>
      <c r="N54" s="19">
        <f>_xll.BDH("ALNY US Equity","CF_NET_CHNG_CASH","FQ3 2021","FQ3 2021","Currency=USD","Period=FQ","BEST_FPERIOD_OVERRIDE=FQ","FILING_STATUS=MR","SCALING_FORMAT=MLN","Sort=A","Dates=H","DateFormat=P","Fill=—","Direction=H","UseDPDF=Y")</f>
        <v>348.39299999999997</v>
      </c>
      <c r="O54" s="19">
        <f>_xll.BDH("ALNY US Equity","CF_NET_CHNG_CASH","FQ4 2021","FQ4 2021","Currency=USD","Period=FQ","BEST_FPERIOD_OVERRIDE=FQ","FILING_STATUS=MR","SCALING_FORMAT=MLN","Sort=A","Dates=H","DateFormat=P","Fill=—","Direction=H","UseDPDF=Y")</f>
        <v>-274.30500000000001</v>
      </c>
      <c r="P54" s="19">
        <f>_xll.BDH("ALNY US Equity","CF_NET_CHNG_CASH","FQ1 2022","FQ1 2022","Currency=USD","Period=FQ","BEST_FPERIOD_OVERRIDE=FQ","FILING_STATUS=MR","SCALING_FORMAT=MLN","Sort=A","Dates=H","DateFormat=P","Fill=—","Direction=H","UseDPDF=Y")</f>
        <v>-285.89400000000001</v>
      </c>
      <c r="Q54" s="19">
        <f>_xll.BDH("ALNY US Equity","CF_NET_CHNG_CASH","FQ2 2022","FQ2 2022","Currency=USD","Period=FQ","BEST_FPERIOD_OVERRIDE=FQ","FILING_STATUS=MR","SCALING_FORMAT=MLN","Sort=A","Dates=H","DateFormat=P","Fill=—","Direction=H","UseDPDF=Y")</f>
        <v>41.475999999999999</v>
      </c>
      <c r="R54" s="19">
        <f>_xll.BDH("ALNY US Equity","CF_NET_CHNG_CASH","FQ3 2022","FQ3 2022","Currency=USD","Period=FQ","BEST_FPERIOD_OVERRIDE=FQ","FILING_STATUS=MR","SCALING_FORMAT=MLN","Sort=A","Dates=H","DateFormat=P","Fill=—","Direction=H","UseDPDF=Y")</f>
        <v>497.654</v>
      </c>
      <c r="S54" s="19">
        <f>_xll.BDH("ALNY US Equity","CF_NET_CHNG_CASH","FQ4 2022","FQ4 2022","Currency=USD","Period=FQ","BEST_FPERIOD_OVERRIDE=FQ","FILING_STATUS=MR","SCALING_FORMAT=MLN","Sort=A","Dates=H","DateFormat=P","Fill=—","Direction=H","UseDPDF=Y")</f>
        <v>-206.833</v>
      </c>
      <c r="T54" s="19">
        <f>_xll.BDH("ALNY US Equity","CF_NET_CHNG_CASH","FQ1 2023","FQ1 2023","Currency=USD","Period=FQ","BEST_FPERIOD_OVERRIDE=FQ","FILING_STATUS=MR","SCALING_FORMAT=MLN","Sort=A","Dates=H","DateFormat=P","Fill=—","Direction=H","UseDPDF=Y")</f>
        <v>-194.14500000000001</v>
      </c>
      <c r="U54" s="19">
        <f>_xll.BDH("ALNY US Equity","CF_NET_CHNG_CASH","FQ2 2023","FQ2 2023","Currency=USD","Period=FQ","BEST_FPERIOD_OVERRIDE=FQ","FILING_STATUS=MR","SCALING_FORMAT=MLN","Sort=A","Dates=H","DateFormat=P","Fill=—","Direction=H","UseDPDF=Y")</f>
        <v>-14.435</v>
      </c>
      <c r="V54" s="19">
        <f>_xll.BDH("ALNY US Equity","CF_NET_CHNG_CASH","FQ3 2023","FQ3 2023","Currency=USD","Period=FQ","BEST_FPERIOD_OVERRIDE=FQ","FILING_STATUS=MR","SCALING_FORMAT=MLN","Sort=A","Dates=H","DateFormat=P","Fill=—","Direction=H","UseDPDF=Y")</f>
        <v>375.23399999999998</v>
      </c>
      <c r="W54" s="19">
        <f>_xll.BDH("ALNY US Equity","CF_NET_CHNG_CASH","FQ4 2023","FQ4 2023","Currency=USD","Period=FQ","BEST_FPERIOD_OVERRIDE=FQ","FILING_STATUS=MR","SCALING_FORMAT=MLN","Sort=A","Dates=H","DateFormat=P","Fill=—","Direction=H","UseDPDF=Y")</f>
        <v>-220.32599999999999</v>
      </c>
      <c r="X54" s="19">
        <f>_xll.BDH("ALNY US Equity","CF_NET_CHNG_CASH","FQ1 2024","FQ1 2024","Currency=USD","Period=FQ","BEST_FPERIOD_OVERRIDE=FQ","FILING_STATUS=MR","SCALING_FORMAT=MLN","Sort=A","Dates=H","DateFormat=P","Fill=—","Direction=H","UseDPDF=Y")</f>
        <v>-130.16499999999999</v>
      </c>
      <c r="Y54" s="19">
        <f>_xll.BDH("ALNY US Equity","CF_NET_CHNG_CASH","FQ2 2024","FQ2 2024","Currency=USD","Period=FQ","BEST_FPERIOD_OVERRIDE=FQ","FILING_STATUS=MR","SCALING_FORMAT=MLN","Sort=A","Dates=H","DateFormat=P","Fill=—","Direction=H","UseDPDF=Y")</f>
        <v>286.47399999999999</v>
      </c>
      <c r="Z54" s="19">
        <f>_xll.BDH("ALNY US Equity","CF_NET_CHNG_CASH","FQ3 2024","FQ3 2024","Currency=USD","Period=FQ","BEST_FPERIOD_OVERRIDE=FQ","FILING_STATUS=MR","SCALING_FORMAT=MLN","Sort=A","Dates=H","DateFormat=P","Fill=—","Direction=H","UseDPDF=Y")</f>
        <v>131.30500000000001</v>
      </c>
      <c r="AA54" s="19">
        <f>_xll.BDH("ALNY US Equity","CF_NET_CHNG_CASH","FQ4 2024","FQ4 2024","Currency=USD","Period=FQ","BEST_FPERIOD_OVERRIDE=FQ","FILING_STATUS=MR","SCALING_FORMAT=MLN","Sort=A","Dates=H","DateFormat=P","Fill=—","Direction=H","UseDPDF=Y")</f>
        <v>-133.846</v>
      </c>
    </row>
    <row r="55" spans="1:27" x14ac:dyDescent="0.25">
      <c r="A55" s="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x14ac:dyDescent="0.25">
      <c r="A56" s="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x14ac:dyDescent="0.25">
      <c r="A57" s="6" t="s">
        <v>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x14ac:dyDescent="0.25">
      <c r="A58" s="10" t="s">
        <v>78</v>
      </c>
      <c r="B58" s="10" t="s">
        <v>78</v>
      </c>
      <c r="C58" s="13">
        <f>_xll.BDH("ALNY US Equity","EBITDA","FQ4 2018","FQ4 2018","Currency=USD","Period=FQ","BEST_FPERIOD_OVERRIDE=FQ","FILING_STATUS=MR","SCALING_FORMAT=MLN","FA_ADJUSTED=GAAP","Sort=A","Dates=H","DateFormat=P","Fill=—","Direction=H","UseDPDF=Y")</f>
        <v>-222.584</v>
      </c>
      <c r="D58" s="13">
        <f>_xll.BDH("ALNY US Equity","EBITDA","FQ1 2019","FQ1 2019","Currency=USD","Period=FQ","BEST_FPERIOD_OVERRIDE=FQ","FILING_STATUS=MR","SCALING_FORMAT=MLN","FA_ADJUSTED=GAAP","Sort=A","Dates=H","DateFormat=P","Fill=—","Direction=H","UseDPDF=Y")</f>
        <v>-167.28800000000001</v>
      </c>
      <c r="E58" s="13">
        <f>_xll.BDH("ALNY US Equity","EBITDA","FQ2 2019","FQ2 2019","Currency=USD","Period=FQ","BEST_FPERIOD_OVERRIDE=FQ","FILING_STATUS=MR","SCALING_FORMAT=MLN","FA_ADJUSTED=GAAP","Sort=A","Dates=H","DateFormat=P","Fill=—","Direction=H","UseDPDF=Y")</f>
        <v>-217.23500000000001</v>
      </c>
      <c r="F58" s="13">
        <f>_xll.BDH("ALNY US Equity","EBITDA","FQ3 2019","FQ3 2019","Currency=USD","Period=FQ","BEST_FPERIOD_OVERRIDE=FQ","FILING_STATUS=MR","SCALING_FORMAT=MLN","FA_ADJUSTED=GAAP","Sort=A","Dates=H","DateFormat=P","Fill=—","Direction=H","UseDPDF=Y")</f>
        <v>-189.36600000000001</v>
      </c>
      <c r="G58" s="13">
        <f>_xll.BDH("ALNY US Equity","EBITDA","FQ4 2019","FQ4 2019","Currency=USD","Period=FQ","BEST_FPERIOD_OVERRIDE=FQ","FILING_STATUS=MR","SCALING_FORMAT=MLN","FA_ADJUSTED=GAAP","Sort=A","Dates=H","DateFormat=P","Fill=—","Direction=H","UseDPDF=Y")</f>
        <v>-272.56099999999998</v>
      </c>
      <c r="H58" s="13">
        <f>_xll.BDH("ALNY US Equity","EBITDA","FQ1 2020","FQ1 2020","Currency=USD","Period=FQ","BEST_FPERIOD_OVERRIDE=FQ","FILING_STATUS=MR","SCALING_FORMAT=MLN","FA_ADJUSTED=GAAP","Sort=A","Dates=H","DateFormat=P","Fill=—","Direction=H","UseDPDF=Y")</f>
        <v>-193.15199999999999</v>
      </c>
      <c r="I58" s="13">
        <f>_xll.BDH("ALNY US Equity","EBITDA","FQ2 2020","FQ2 2020","Currency=USD","Period=FQ","BEST_FPERIOD_OVERRIDE=FQ","FILING_STATUS=MR","SCALING_FORMAT=MLN","FA_ADJUSTED=GAAP","Sort=A","Dates=H","DateFormat=P","Fill=—","Direction=H","UseDPDF=Y")</f>
        <v>-181.08099999999999</v>
      </c>
      <c r="J58" s="13">
        <f>_xll.BDH("ALNY US Equity","EBITDA","FQ3 2020","FQ3 2020","Currency=USD","Period=FQ","BEST_FPERIOD_OVERRIDE=FQ","FILING_STATUS=MR","SCALING_FORMAT=MLN","FA_ADJUSTED=GAAP","Sort=A","Dates=H","DateFormat=P","Fill=—","Direction=H","UseDPDF=Y")</f>
        <v>-206.428</v>
      </c>
      <c r="K58" s="13">
        <f>_xll.BDH("ALNY US Equity","EBITDA","FQ4 2020","FQ4 2020","Currency=USD","Period=FQ","BEST_FPERIOD_OVERRIDE=FQ","FILING_STATUS=MR","SCALING_FORMAT=MLN","FA_ADJUSTED=GAAP","Sort=A","Dates=H","DateFormat=P","Fill=—","Direction=H","UseDPDF=Y")</f>
        <v>-173.34200000000001</v>
      </c>
      <c r="L58" s="13">
        <f>_xll.BDH("ALNY US Equity","EBITDA","FQ1 2021","FQ1 2021","Currency=USD","Period=FQ","BEST_FPERIOD_OVERRIDE=FQ","FILING_STATUS=MR","SCALING_FORMAT=MLN","FA_ADJUSTED=GAAP","Sort=A","Dates=H","DateFormat=P","Fill=—","Direction=H","UseDPDF=Y")</f>
        <v>-163.392</v>
      </c>
      <c r="M58" s="13">
        <f>_xll.BDH("ALNY US Equity","EBITDA","FQ2 2021","FQ2 2021","Currency=USD","Period=FQ","BEST_FPERIOD_OVERRIDE=FQ","FILING_STATUS=MR","SCALING_FORMAT=MLN","FA_ADJUSTED=GAAP","Sort=A","Dates=H","DateFormat=P","Fill=—","Direction=H","UseDPDF=Y")</f>
        <v>-123.999</v>
      </c>
      <c r="N58" s="13">
        <f>_xll.BDH("ALNY US Equity","EBITDA","FQ3 2021","FQ3 2021","Currency=USD","Period=FQ","BEST_FPERIOD_OVERRIDE=FQ","FILING_STATUS=MR","SCALING_FORMAT=MLN","FA_ADJUSTED=GAAP","Sort=A","Dates=H","DateFormat=P","Fill=—","Direction=H","UseDPDF=Y")</f>
        <v>-158.45699999999999</v>
      </c>
      <c r="O58" s="13">
        <f>_xll.BDH("ALNY US Equity","EBITDA","FQ4 2021","FQ4 2021","Currency=USD","Period=FQ","BEST_FPERIOD_OVERRIDE=FQ","FILING_STATUS=MR","SCALING_FORMAT=MLN","FA_ADJUSTED=GAAP","Sort=A","Dates=H","DateFormat=P","Fill=—","Direction=H","UseDPDF=Y")</f>
        <v>-173.11</v>
      </c>
      <c r="P58" s="13">
        <f>_xll.BDH("ALNY US Equity","EBITDA","FQ1 2022","FQ1 2022","Currency=USD","Period=FQ","BEST_FPERIOD_OVERRIDE=FQ","FILING_STATUS=MR","SCALING_FORMAT=MLN","FA_ADJUSTED=GAAP","Sort=A","Dates=H","DateFormat=P","Fill=—","Direction=H","UseDPDF=Y")</f>
        <v>-126.95399999999999</v>
      </c>
      <c r="Q58" s="13">
        <f>_xll.BDH("ALNY US Equity","EBITDA","FQ2 2022","FQ2 2022","Currency=USD","Period=FQ","BEST_FPERIOD_OVERRIDE=FQ","FILING_STATUS=MR","SCALING_FORMAT=MLN","FA_ADJUSTED=GAAP","Sort=A","Dates=H","DateFormat=P","Fill=—","Direction=H","UseDPDF=Y")</f>
        <v>-171.44900000000001</v>
      </c>
      <c r="R58" s="13">
        <f>_xll.BDH("ALNY US Equity","EBITDA","FQ3 2022","FQ3 2022","Currency=USD","Period=FQ","BEST_FPERIOD_OVERRIDE=FQ","FILING_STATUS=MR","SCALING_FORMAT=MLN","FA_ADJUSTED=GAAP","Sort=A","Dates=H","DateFormat=P","Fill=—","Direction=H","UseDPDF=Y")</f>
        <v>-237.39</v>
      </c>
      <c r="S58" s="13">
        <f>_xll.BDH("ALNY US Equity","EBITDA","FQ4 2022","FQ4 2022","Currency=USD","Period=FQ","BEST_FPERIOD_OVERRIDE=FQ","FILING_STATUS=MR","SCALING_FORMAT=MLN","FA_ADJUSTED=GAAP","Sort=A","Dates=H","DateFormat=P","Fill=—","Direction=H","UseDPDF=Y")</f>
        <v>-163.72900000000001</v>
      </c>
      <c r="T58" s="13">
        <f>_xll.BDH("ALNY US Equity","EBITDA","FQ1 2023","FQ1 2023","Currency=USD","Period=FQ","BEST_FPERIOD_OVERRIDE=FQ","FILING_STATUS=MR","SCALING_FORMAT=MLN","FA_ADJUSTED=GAAP","Sort=A","Dates=H","DateFormat=P","Fill=—","Direction=H","UseDPDF=Y")</f>
        <v>-123.72799999999999</v>
      </c>
      <c r="U58" s="13">
        <f>_xll.BDH("ALNY US Equity","EBITDA","FQ2 2023","FQ2 2023","Currency=USD","Period=FQ","BEST_FPERIOD_OVERRIDE=FQ","FILING_STATUS=MR","SCALING_FORMAT=MLN","FA_ADJUSTED=GAAP","Sort=A","Dates=H","DateFormat=P","Fill=—","Direction=H","UseDPDF=Y")</f>
        <v>-206.38399999999999</v>
      </c>
      <c r="V58" s="13">
        <f>_xll.BDH("ALNY US Equity","EBITDA","FQ3 2023","FQ3 2023","Currency=USD","Period=FQ","BEST_FPERIOD_OVERRIDE=FQ","FILING_STATUS=MR","SCALING_FORMAT=MLN","FA_ADJUSTED=GAAP","Sort=A","Dates=H","DateFormat=P","Fill=—","Direction=H","UseDPDF=Y")</f>
        <v>237.399</v>
      </c>
      <c r="W58" s="13">
        <f>_xll.BDH("ALNY US Equity","EBITDA","FQ4 2023","FQ4 2023","Currency=USD","Period=FQ","BEST_FPERIOD_OVERRIDE=FQ","FILING_STATUS=MR","SCALING_FORMAT=MLN","FA_ADJUSTED=GAAP","Sort=A","Dates=H","DateFormat=P","Fill=—","Direction=H","UseDPDF=Y")</f>
        <v>-92.430999999999997</v>
      </c>
      <c r="X58" s="13">
        <f>_xll.BDH("ALNY US Equity","EBITDA","FQ1 2024","FQ1 2024","Currency=USD","Period=FQ","BEST_FPERIOD_OVERRIDE=FQ","FILING_STATUS=MR","SCALING_FORMAT=MLN","FA_ADJUSTED=GAAP","Sort=A","Dates=H","DateFormat=P","Fill=—","Direction=H","UseDPDF=Y")</f>
        <v>-17.949000000000002</v>
      </c>
      <c r="Y58" s="13">
        <f>_xll.BDH("ALNY US Equity","EBITDA","FQ2 2024","FQ2 2024","Currency=USD","Period=FQ","BEST_FPERIOD_OVERRIDE=FQ","FILING_STATUS=MR","SCALING_FORMAT=MLN","FA_ADJUSTED=GAAP","Sort=A","Dates=H","DateFormat=P","Fill=—","Direction=H","UseDPDF=Y")</f>
        <v>73.305999999999997</v>
      </c>
      <c r="Z58" s="13">
        <f>_xll.BDH("ALNY US Equity","EBITDA","FQ3 2024","FQ3 2024","Currency=USD","Period=FQ","BEST_FPERIOD_OVERRIDE=FQ","FILING_STATUS=MR","SCALING_FORMAT=MLN","FA_ADJUSTED=GAAP","Sort=A","Dates=H","DateFormat=P","Fill=—","Direction=H","UseDPDF=Y")</f>
        <v>-49.866999999999997</v>
      </c>
      <c r="AA58" s="13">
        <f>_xll.BDH("ALNY US Equity","EBITDA","FQ4 2024","FQ4 2024","Currency=USD","Period=FQ","BEST_FPERIOD_OVERRIDE=FQ","FILING_STATUS=MR","SCALING_FORMAT=MLN","FA_ADJUSTED=GAAP","Sort=A","Dates=H","DateFormat=P","Fill=—","Direction=H","UseDPDF=Y")</f>
        <v>-90.991</v>
      </c>
    </row>
    <row r="59" spans="1:27" x14ac:dyDescent="0.25">
      <c r="A59" s="10" t="s">
        <v>1244</v>
      </c>
      <c r="B59" s="10" t="s">
        <v>378</v>
      </c>
      <c r="C59" s="14">
        <f>_xll.BDH("ALNY US Equity","EBITDA_MARGIN","FQ4 2018","FQ4 2018","Currency=USD","Period=FQ","BEST_FPERIOD_OVERRIDE=FQ","FILING_STATUS=MR","FA_ADJUSTED=GAAP","Sort=A","Dates=H","DateFormat=P","Fill=—","Direction=H","UseDPDF=Y")</f>
        <v>-1078.9742000000001</v>
      </c>
      <c r="D59" s="14">
        <f>_xll.BDH("ALNY US Equity","EBITDA_MARGIN","FQ1 2019","FQ1 2019","Currency=USD","Period=FQ","BEST_FPERIOD_OVERRIDE=FQ","FILING_STATUS=MR","FA_ADJUSTED=GAAP","Sort=A","Dates=H","DateFormat=P","Fill=—","Direction=H","UseDPDF=Y")</f>
        <v>-963.23299999999995</v>
      </c>
      <c r="E59" s="14">
        <f>_xll.BDH("ALNY US Equity","EBITDA_MARGIN","FQ2 2019","FQ2 2019","Currency=USD","Period=FQ","BEST_FPERIOD_OVERRIDE=FQ","FILING_STATUS=MR","FA_ADJUSTED=GAAP","Sort=A","Dates=H","DateFormat=P","Fill=—","Direction=H","UseDPDF=Y")</f>
        <v>-848.99519999999995</v>
      </c>
      <c r="F59" s="14">
        <f>_xll.BDH("ALNY US Equity","EBITDA_MARGIN","FQ3 2019","FQ3 2019","Currency=USD","Period=FQ","BEST_FPERIOD_OVERRIDE=FQ","FILING_STATUS=MR","FA_ADJUSTED=GAAP","Sort=A","Dates=H","DateFormat=P","Fill=—","Direction=H","UseDPDF=Y")</f>
        <v>-471.00150000000002</v>
      </c>
      <c r="G59" s="14">
        <f>_xll.BDH("ALNY US Equity","EBITDA_MARGIN","FQ4 2019","FQ4 2019","Currency=USD","Period=FQ","BEST_FPERIOD_OVERRIDE=FQ","FILING_STATUS=MR","FA_ADJUSTED=GAAP","Sort=A","Dates=H","DateFormat=P","Fill=—","Direction=H","UseDPDF=Y")</f>
        <v>-385.18770000000001</v>
      </c>
      <c r="H59" s="14">
        <f>_xll.BDH("ALNY US Equity","EBITDA_MARGIN","FQ1 2020","FQ1 2020","Currency=USD","Period=FQ","BEST_FPERIOD_OVERRIDE=FQ","FILING_STATUS=MR","FA_ADJUSTED=GAAP","Sort=A","Dates=H","DateFormat=P","Fill=—","Direction=H","UseDPDF=Y")</f>
        <v>-305.07740000000001</v>
      </c>
      <c r="I59" s="14">
        <f>_xll.BDH("ALNY US Equity","EBITDA_MARGIN","FQ2 2020","FQ2 2020","Currency=USD","Period=FQ","BEST_FPERIOD_OVERRIDE=FQ","FILING_STATUS=MR","FA_ADJUSTED=GAAP","Sort=A","Dates=H","DateFormat=P","Fill=—","Direction=H","UseDPDF=Y")</f>
        <v>-242.2388</v>
      </c>
      <c r="J59" s="14">
        <f>_xll.BDH("ALNY US Equity","EBITDA_MARGIN","FQ3 2020","FQ3 2020","Currency=USD","Period=FQ","BEST_FPERIOD_OVERRIDE=FQ","FILING_STATUS=MR","FA_ADJUSTED=GAAP","Sort=A","Dates=H","DateFormat=P","Fill=—","Direction=H","UseDPDF=Y")</f>
        <v>-212.7884</v>
      </c>
      <c r="K59" s="14">
        <f>_xll.BDH("ALNY US Equity","EBITDA_MARGIN","FQ4 2020","FQ4 2020","Currency=USD","Period=FQ","BEST_FPERIOD_OVERRIDE=FQ","FILING_STATUS=MR","FA_ADJUSTED=GAAP","Sort=A","Dates=H","DateFormat=P","Fill=—","Direction=H","UseDPDF=Y")</f>
        <v>-152.98740000000001</v>
      </c>
      <c r="L59" s="14">
        <f>_xll.BDH("ALNY US Equity","EBITDA_MARGIN","FQ1 2021","FQ1 2021","Currency=USD","Period=FQ","BEST_FPERIOD_OVERRIDE=FQ","FILING_STATUS=MR","FA_ADJUSTED=GAAP","Sort=A","Dates=H","DateFormat=P","Fill=—","Direction=H","UseDPDF=Y")</f>
        <v>-126.8503</v>
      </c>
      <c r="M59" s="14">
        <f>_xll.BDH("ALNY US Equity","EBITDA_MARGIN","FQ2 2021","FQ2 2021","Currency=USD","Period=FQ","BEST_FPERIOD_OVERRIDE=FQ","FILING_STATUS=MR","FA_ADJUSTED=GAAP","Sort=A","Dates=H","DateFormat=P","Fill=—","Direction=H","UseDPDF=Y")</f>
        <v>-97.036799999999999</v>
      </c>
      <c r="N59" s="14">
        <f>_xll.BDH("ALNY US Equity","EBITDA_MARGIN","FQ3 2021","FQ3 2021","Currency=USD","Period=FQ","BEST_FPERIOD_OVERRIDE=FQ","FILING_STATUS=MR","FA_ADJUSTED=GAAP","Sort=A","Dates=H","DateFormat=P","Fill=—","Direction=H","UseDPDF=Y")</f>
        <v>-82.634200000000007</v>
      </c>
      <c r="O59" s="14">
        <f>_xll.BDH("ALNY US Equity","EBITDA_MARGIN","FQ4 2021","FQ4 2021","Currency=USD","Period=FQ","BEST_FPERIOD_OVERRIDE=FQ","FILING_STATUS=MR","FA_ADJUSTED=GAAP","Sort=A","Dates=H","DateFormat=P","Fill=—","Direction=H","UseDPDF=Y")</f>
        <v>-73.311300000000003</v>
      </c>
      <c r="P59" s="14">
        <f>_xll.BDH("ALNY US Equity","EBITDA_MARGIN","FQ1 2022","FQ1 2022","Currency=USD","Period=FQ","BEST_FPERIOD_OVERRIDE=FQ","FILING_STATUS=MR","FA_ADJUSTED=GAAP","Sort=A","Dates=H","DateFormat=P","Fill=—","Direction=H","UseDPDF=Y")</f>
        <v>-66.197000000000003</v>
      </c>
      <c r="Q59" s="14">
        <f>_xll.BDH("ALNY US Equity","EBITDA_MARGIN","FQ2 2022","FQ2 2022","Currency=USD","Period=FQ","BEST_FPERIOD_OVERRIDE=FQ","FILING_STATUS=MR","FA_ADJUSTED=GAAP","Sort=A","Dates=H","DateFormat=P","Fill=—","Direction=H","UseDPDF=Y")</f>
        <v>-71.243799999999993</v>
      </c>
      <c r="R59" s="14">
        <f>_xll.BDH("ALNY US Equity","EBITDA_MARGIN","FQ3 2022","FQ3 2022","Currency=USD","Period=FQ","BEST_FPERIOD_OVERRIDE=FQ","FILING_STATUS=MR","FA_ADJUSTED=GAAP","Sort=A","Dates=H","DateFormat=P","Fill=—","Direction=H","UseDPDF=Y")</f>
        <v>-73.773499999999999</v>
      </c>
      <c r="S59" s="14">
        <f>_xll.BDH("ALNY US Equity","EBITDA_MARGIN","FQ4 2022","FQ4 2022","Currency=USD","Period=FQ","BEST_FPERIOD_OVERRIDE=FQ","FILING_STATUS=MR","FA_ADJUSTED=GAAP","Sort=A","Dates=H","DateFormat=P","Fill=—","Direction=H","UseDPDF=Y")</f>
        <v>-67.429100000000005</v>
      </c>
      <c r="T59" s="14">
        <f>_xll.BDH("ALNY US Equity","EBITDA_MARGIN","FQ1 2023","FQ1 2023","Currency=USD","Period=FQ","BEST_FPERIOD_OVERRIDE=FQ","FILING_STATUS=MR","FA_ADJUSTED=GAAP","Sort=A","Dates=H","DateFormat=P","Fill=—","Direction=H","UseDPDF=Y")</f>
        <v>-60.894399999999997</v>
      </c>
      <c r="U59" s="14">
        <f>_xll.BDH("ALNY US Equity","EBITDA_MARGIN","FQ2 2023","FQ2 2023","Currency=USD","Period=FQ","BEST_FPERIOD_OVERRIDE=FQ","FILING_STATUS=MR","FA_ADJUSTED=GAAP","Sort=A","Dates=H","DateFormat=P","Fill=—","Direction=H","UseDPDF=Y")</f>
        <v>-59.094900000000003</v>
      </c>
      <c r="V59" s="14">
        <f>_xll.BDH("ALNY US Equity","EBITDA_MARGIN","FQ3 2023","FQ3 2023","Currency=USD","Period=FQ","BEST_FPERIOD_OVERRIDE=FQ","FILING_STATUS=MR","FA_ADJUSTED=GAAP","Sort=A","Dates=H","DateFormat=P","Fill=—","Direction=H","UseDPDF=Y")</f>
        <v>-14.8782</v>
      </c>
      <c r="W59" s="14">
        <f>_xll.BDH("ALNY US Equity","EBITDA_MARGIN","FQ4 2023","FQ4 2023","Currency=USD","Period=FQ","BEST_FPERIOD_OVERRIDE=FQ","FILING_STATUS=MR","FA_ADJUSTED=GAAP","Sort=A","Dates=H","DateFormat=P","Fill=—","Direction=H","UseDPDF=Y")</f>
        <v>-10.1266</v>
      </c>
      <c r="X59" s="14">
        <f>_xll.BDH("ALNY US Equity","EBITDA_MARGIN","FQ1 2024","FQ1 2024","Currency=USD","Period=FQ","BEST_FPERIOD_OVERRIDE=FQ","FILING_STATUS=MR","FA_ADJUSTED=GAAP","Sort=A","Dates=H","DateFormat=P","Fill=—","Direction=H","UseDPDF=Y")</f>
        <v>-3.9615999999999998</v>
      </c>
      <c r="Y59" s="14">
        <f>_xll.BDH("ALNY US Equity","EBITDA_MARGIN","FQ2 2024","FQ2 2024","Currency=USD","Period=FQ","BEST_FPERIOD_OVERRIDE=FQ","FILING_STATUS=MR","FA_ADJUSTED=GAAP","Sort=A","Dates=H","DateFormat=P","Fill=—","Direction=H","UseDPDF=Y")</f>
        <v>8.5448000000000004</v>
      </c>
      <c r="Z59" s="14">
        <f>_xll.BDH("ALNY US Equity","EBITDA_MARGIN","FQ3 2024","FQ3 2024","Currency=USD","Period=FQ","BEST_FPERIOD_OVERRIDE=FQ","FILING_STATUS=MR","FA_ADJUSTED=GAAP","Sort=A","Dates=H","DateFormat=P","Fill=—","Direction=H","UseDPDF=Y")</f>
        <v>-4.1502999999999997</v>
      </c>
      <c r="AA59" s="14">
        <f>_xll.BDH("ALNY US Equity","EBITDA_MARGIN","FQ4 2024","FQ4 2024","Currency=USD","Period=FQ","BEST_FPERIOD_OVERRIDE=FQ","FILING_STATUS=MR","FA_ADJUSTED=GAAP","Sort=A","Dates=H","DateFormat=P","Fill=—","Direction=H","UseDPDF=Y")</f>
        <v>-3.8029999999999999</v>
      </c>
    </row>
    <row r="60" spans="1:27" x14ac:dyDescent="0.25">
      <c r="A60" s="10" t="s">
        <v>1245</v>
      </c>
      <c r="B60" s="10" t="s">
        <v>1246</v>
      </c>
      <c r="C60" s="13">
        <f>_xll.BDH("ALNY US Equity","CF_TAX_BENEFIT_FRM_STOCK_OPTIONS","FQ4 2018","FQ4 2018","Currency=USD","Period=FQ","BEST_FPERIOD_OVERRIDE=FQ","FILING_STATUS=MR","SCALING_FORMAT=MLN","Sort=A","Dates=H","DateFormat=P","Fill=—","Direction=H","UseDPDF=Y")</f>
        <v>0</v>
      </c>
      <c r="D60" s="13">
        <f>_xll.BDH("ALNY US Equity","CF_TAX_BENEFIT_FRM_STOCK_OPTIONS","FQ1 2019","FQ1 2019","Currency=USD","Period=FQ","BEST_FPERIOD_OVERRIDE=FQ","FILING_STATUS=MR","SCALING_FORMAT=MLN","Sort=A","Dates=H","DateFormat=P","Fill=—","Direction=H","UseDPDF=Y")</f>
        <v>0</v>
      </c>
      <c r="E60" s="13" t="str">
        <f>_xll.BDH("ALNY US Equity","CF_TAX_BENEFIT_FRM_STOCK_OPTIONS","FQ2 2019","FQ2 2019","Currency=USD","Period=FQ","BEST_FPERIOD_OVERRIDE=FQ","FILING_STATUS=MR","SCALING_FORMAT=MLN","Sort=A","Dates=H","DateFormat=P","Fill=—","Direction=H","UseDPDF=Y")</f>
        <v>—</v>
      </c>
      <c r="F60" s="13">
        <f>_xll.BDH("ALNY US Equity","CF_TAX_BENEFIT_FRM_STOCK_OPTIONS","FQ3 2019","FQ3 2019","Currency=USD","Period=FQ","BEST_FPERIOD_OVERRIDE=FQ","FILING_STATUS=MR","SCALING_FORMAT=MLN","Sort=A","Dates=H","DateFormat=P","Fill=—","Direction=H","UseDPDF=Y")</f>
        <v>0</v>
      </c>
      <c r="G60" s="13">
        <f>_xll.BDH("ALNY US Equity","CF_TAX_BENEFIT_FRM_STOCK_OPTIONS","FQ4 2019","FQ4 2019","Currency=USD","Period=FQ","BEST_FPERIOD_OVERRIDE=FQ","FILING_STATUS=MR","SCALING_FORMAT=MLN","Sort=A","Dates=H","DateFormat=P","Fill=—","Direction=H","UseDPDF=Y")</f>
        <v>0</v>
      </c>
      <c r="H60" s="13">
        <f>_xll.BDH("ALNY US Equity","CF_TAX_BENEFIT_FRM_STOCK_OPTIONS","FQ1 2020","FQ1 2020","Currency=USD","Period=FQ","BEST_FPERIOD_OVERRIDE=FQ","FILING_STATUS=MR","SCALING_FORMAT=MLN","Sort=A","Dates=H","DateFormat=P","Fill=—","Direction=H","UseDPDF=Y")</f>
        <v>0</v>
      </c>
      <c r="I60" s="13" t="str">
        <f>_xll.BDH("ALNY US Equity","CF_TAX_BENEFIT_FRM_STOCK_OPTIONS","FQ2 2020","FQ2 2020","Currency=USD","Period=FQ","BEST_FPERIOD_OVERRIDE=FQ","FILING_STATUS=MR","SCALING_FORMAT=MLN","Sort=A","Dates=H","DateFormat=P","Fill=—","Direction=H","UseDPDF=Y")</f>
        <v>—</v>
      </c>
      <c r="J60" s="13" t="str">
        <f>_xll.BDH("ALNY US Equity","CF_TAX_BENEFIT_FRM_STOCK_OPTIONS","FQ3 2020","FQ3 2020","Currency=USD","Period=FQ","BEST_FPERIOD_OVERRIDE=FQ","FILING_STATUS=MR","SCALING_FORMAT=MLN","Sort=A","Dates=H","DateFormat=P","Fill=—","Direction=H","UseDPDF=Y")</f>
        <v>—</v>
      </c>
      <c r="K60" s="13" t="str">
        <f>_xll.BDH("ALNY US Equity","CF_TAX_BENEFIT_FRM_STOCK_OPTIONS","FQ4 2020","FQ4 2020","Currency=USD","Period=FQ","BEST_FPERIOD_OVERRIDE=FQ","FILING_STATUS=MR","SCALING_FORMAT=MLN","Sort=A","Dates=H","DateFormat=P","Fill=—","Direction=H","UseDPDF=Y")</f>
        <v>—</v>
      </c>
      <c r="L60" s="13" t="str">
        <f>_xll.BDH("ALNY US Equity","CF_TAX_BENEFIT_FRM_STOCK_OPTIONS","FQ1 2021","FQ1 2021","Currency=USD","Period=FQ","BEST_FPERIOD_OVERRIDE=FQ","FILING_STATUS=MR","SCALING_FORMAT=MLN","Sort=A","Dates=H","DateFormat=P","Fill=—","Direction=H","UseDPDF=Y")</f>
        <v>—</v>
      </c>
      <c r="M60" s="13" t="str">
        <f>_xll.BDH("ALNY US Equity","CF_TAX_BENEFIT_FRM_STOCK_OPTIONS","FQ2 2021","FQ2 2021","Currency=USD","Period=FQ","BEST_FPERIOD_OVERRIDE=FQ","FILING_STATUS=MR","SCALING_FORMAT=MLN","Sort=A","Dates=H","DateFormat=P","Fill=—","Direction=H","UseDPDF=Y")</f>
        <v>—</v>
      </c>
      <c r="N60" s="13" t="str">
        <f>_xll.BDH("ALNY US Equity","CF_TAX_BENEFIT_FRM_STOCK_OPTIONS","FQ3 2021","FQ3 2021","Currency=USD","Period=FQ","BEST_FPERIOD_OVERRIDE=FQ","FILING_STATUS=MR","SCALING_FORMAT=MLN","Sort=A","Dates=H","DateFormat=P","Fill=—","Direction=H","UseDPDF=Y")</f>
        <v>—</v>
      </c>
      <c r="O60" s="13" t="str">
        <f>_xll.BDH("ALNY US Equity","CF_TAX_BENEFIT_FRM_STOCK_OPTIONS","FQ4 2021","FQ4 2021","Currency=USD","Period=FQ","BEST_FPERIOD_OVERRIDE=FQ","FILING_STATUS=MR","SCALING_FORMAT=MLN","Sort=A","Dates=H","DateFormat=P","Fill=—","Direction=H","UseDPDF=Y")</f>
        <v>—</v>
      </c>
      <c r="P60" s="13" t="str">
        <f>_xll.BDH("ALNY US Equity","CF_TAX_BENEFIT_FRM_STOCK_OPTIONS","FQ1 2022","FQ1 2022","Currency=USD","Period=FQ","BEST_FPERIOD_OVERRIDE=FQ","FILING_STATUS=MR","SCALING_FORMAT=MLN","Sort=A","Dates=H","DateFormat=P","Fill=—","Direction=H","UseDPDF=Y")</f>
        <v>—</v>
      </c>
      <c r="Q60" s="13" t="str">
        <f>_xll.BDH("ALNY US Equity","CF_TAX_BENEFIT_FRM_STOCK_OPTIONS","FQ2 2022","FQ2 2022","Currency=USD","Period=FQ","BEST_FPERIOD_OVERRIDE=FQ","FILING_STATUS=MR","SCALING_FORMAT=MLN","Sort=A","Dates=H","DateFormat=P","Fill=—","Direction=H","UseDPDF=Y")</f>
        <v>—</v>
      </c>
      <c r="R60" s="13" t="str">
        <f>_xll.BDH("ALNY US Equity","CF_TAX_BENEFIT_FRM_STOCK_OPTIONS","FQ3 2022","FQ3 2022","Currency=USD","Period=FQ","BEST_FPERIOD_OVERRIDE=FQ","FILING_STATUS=MR","SCALING_FORMAT=MLN","Sort=A","Dates=H","DateFormat=P","Fill=—","Direction=H","UseDPDF=Y")</f>
        <v>—</v>
      </c>
      <c r="S60" s="13" t="str">
        <f>_xll.BDH("ALNY US Equity","CF_TAX_BENEFIT_FRM_STOCK_OPTIONS","FQ4 2022","FQ4 2022","Currency=USD","Period=FQ","BEST_FPERIOD_OVERRIDE=FQ","FILING_STATUS=MR","SCALING_FORMAT=MLN","Sort=A","Dates=H","DateFormat=P","Fill=—","Direction=H","UseDPDF=Y")</f>
        <v>—</v>
      </c>
      <c r="T60" s="13" t="str">
        <f>_xll.BDH("ALNY US Equity","CF_TAX_BENEFIT_FRM_STOCK_OPTIONS","FQ1 2023","FQ1 2023","Currency=USD","Period=FQ","BEST_FPERIOD_OVERRIDE=FQ","FILING_STATUS=MR","SCALING_FORMAT=MLN","Sort=A","Dates=H","DateFormat=P","Fill=—","Direction=H","UseDPDF=Y")</f>
        <v>—</v>
      </c>
      <c r="U60" s="13" t="str">
        <f>_xll.BDH("ALNY US Equity","CF_TAX_BENEFIT_FRM_STOCK_OPTIONS","FQ2 2023","FQ2 2023","Currency=USD","Period=FQ","BEST_FPERIOD_OVERRIDE=FQ","FILING_STATUS=MR","SCALING_FORMAT=MLN","Sort=A","Dates=H","DateFormat=P","Fill=—","Direction=H","UseDPDF=Y")</f>
        <v>—</v>
      </c>
      <c r="V60" s="13" t="str">
        <f>_xll.BDH("ALNY US Equity","CF_TAX_BENEFIT_FRM_STOCK_OPTIONS","FQ3 2023","FQ3 2023","Currency=USD","Period=FQ","BEST_FPERIOD_OVERRIDE=FQ","FILING_STATUS=MR","SCALING_FORMAT=MLN","Sort=A","Dates=H","DateFormat=P","Fill=—","Direction=H","UseDPDF=Y")</f>
        <v>—</v>
      </c>
      <c r="W60" s="13" t="str">
        <f>_xll.BDH("ALNY US Equity","CF_TAX_BENEFIT_FRM_STOCK_OPTIONS","FQ4 2023","FQ4 2023","Currency=USD","Period=FQ","BEST_FPERIOD_OVERRIDE=FQ","FILING_STATUS=MR","SCALING_FORMAT=MLN","Sort=A","Dates=H","DateFormat=P","Fill=—","Direction=H","UseDPDF=Y")</f>
        <v>—</v>
      </c>
      <c r="X60" s="13" t="str">
        <f>_xll.BDH("ALNY US Equity","CF_TAX_BENEFIT_FRM_STOCK_OPTIONS","FQ1 2024","FQ1 2024","Currency=USD","Period=FQ","BEST_FPERIOD_OVERRIDE=FQ","FILING_STATUS=MR","SCALING_FORMAT=MLN","Sort=A","Dates=H","DateFormat=P","Fill=—","Direction=H","UseDPDF=Y")</f>
        <v>—</v>
      </c>
      <c r="Y60" s="13" t="str">
        <f>_xll.BDH("ALNY US Equity","CF_TAX_BENEFIT_FRM_STOCK_OPTIONS","FQ2 2024","FQ2 2024","Currency=USD","Period=FQ","BEST_FPERIOD_OVERRIDE=FQ","FILING_STATUS=MR","SCALING_FORMAT=MLN","Sort=A","Dates=H","DateFormat=P","Fill=—","Direction=H","UseDPDF=Y")</f>
        <v>—</v>
      </c>
      <c r="Z60" s="13" t="str">
        <f>_xll.BDH("ALNY US Equity","CF_TAX_BENEFIT_FRM_STOCK_OPTIONS","FQ3 2024","FQ3 2024","Currency=USD","Period=FQ","BEST_FPERIOD_OVERRIDE=FQ","FILING_STATUS=MR","SCALING_FORMAT=MLN","Sort=A","Dates=H","DateFormat=P","Fill=—","Direction=H","UseDPDF=Y")</f>
        <v>—</v>
      </c>
      <c r="AA60" s="13" t="str">
        <f>_xll.BDH("ALNY US Equity","CF_TAX_BENEFIT_FRM_STOCK_OPTIONS","FQ4 2024","FQ4 2024","Currency=USD","Period=FQ","BEST_FPERIOD_OVERRIDE=FQ","FILING_STATUS=MR","SCALING_FORMAT=MLN","Sort=A","Dates=H","DateFormat=P","Fill=—","Direction=H","UseDPDF=Y")</f>
        <v>—</v>
      </c>
    </row>
    <row r="61" spans="1:27" x14ac:dyDescent="0.25">
      <c r="A61" s="10" t="s">
        <v>88</v>
      </c>
      <c r="B61" s="10" t="s">
        <v>89</v>
      </c>
      <c r="C61" s="13">
        <f>_xll.BDH("ALNY US Equity","CF_FREE_CASH_FLOW","FQ4 2018","FQ4 2018","Currency=USD","Period=FQ","BEST_FPERIOD_OVERRIDE=FQ","FILING_STATUS=MR","SCALING_FORMAT=MLN","Sort=A","Dates=H","DateFormat=P","Fill=—","Direction=H","UseDPDF=Y")</f>
        <v>-187.97</v>
      </c>
      <c r="D61" s="13">
        <f>_xll.BDH("ALNY US Equity","CF_FREE_CASH_FLOW","FQ1 2019","FQ1 2019","Currency=USD","Period=FQ","BEST_FPERIOD_OVERRIDE=FQ","FILING_STATUS=MR","SCALING_FORMAT=MLN","Sort=A","Dates=H","DateFormat=P","Fill=—","Direction=H","UseDPDF=Y")</f>
        <v>-232.559</v>
      </c>
      <c r="E61" s="13">
        <f>_xll.BDH("ALNY US Equity","CF_FREE_CASH_FLOW","FQ2 2019","FQ2 2019","Currency=USD","Period=FQ","BEST_FPERIOD_OVERRIDE=FQ","FILING_STATUS=MR","SCALING_FORMAT=MLN","Sort=A","Dates=H","DateFormat=P","Fill=—","Direction=H","UseDPDF=Y")</f>
        <v>267.45100000000002</v>
      </c>
      <c r="F61" s="13">
        <f>_xll.BDH("ALNY US Equity","CF_FREE_CASH_FLOW","FQ3 2019","FQ3 2019","Currency=USD","Period=FQ","BEST_FPERIOD_OVERRIDE=FQ","FILING_STATUS=MR","SCALING_FORMAT=MLN","Sort=A","Dates=H","DateFormat=P","Fill=—","Direction=H","UseDPDF=Y")</f>
        <v>-218.69</v>
      </c>
      <c r="G61" s="13">
        <f>_xll.BDH("ALNY US Equity","CF_FREE_CASH_FLOW","FQ4 2019","FQ4 2019","Currency=USD","Period=FQ","BEST_FPERIOD_OVERRIDE=FQ","FILING_STATUS=MR","SCALING_FORMAT=MLN","Sort=A","Dates=H","DateFormat=P","Fill=—","Direction=H","UseDPDF=Y")</f>
        <v>-234.785</v>
      </c>
      <c r="H61" s="13">
        <f>_xll.BDH("ALNY US Equity","CF_FREE_CASH_FLOW","FQ1 2020","FQ1 2020","Currency=USD","Period=FQ","BEST_FPERIOD_OVERRIDE=FQ","FILING_STATUS=MR","SCALING_FORMAT=MLN","Sort=A","Dates=H","DateFormat=P","Fill=—","Direction=H","UseDPDF=Y")</f>
        <v>-265.77800000000002</v>
      </c>
      <c r="I61" s="13">
        <f>_xll.BDH("ALNY US Equity","CF_FREE_CASH_FLOW","FQ2 2020","FQ2 2020","Currency=USD","Period=FQ","BEST_FPERIOD_OVERRIDE=FQ","FILING_STATUS=MR","SCALING_FORMAT=MLN","Sort=A","Dates=H","DateFormat=P","Fill=—","Direction=H","UseDPDF=Y")</f>
        <v>-151.988</v>
      </c>
      <c r="J61" s="13">
        <f>_xll.BDH("ALNY US Equity","CF_FREE_CASH_FLOW","FQ3 2020","FQ3 2020","Currency=USD","Period=FQ","BEST_FPERIOD_OVERRIDE=FQ","FILING_STATUS=MR","SCALING_FORMAT=MLN","Sort=A","Dates=H","DateFormat=P","Fill=—","Direction=H","UseDPDF=Y")</f>
        <v>-122.744</v>
      </c>
      <c r="K61" s="13">
        <f>_xll.BDH("ALNY US Equity","CF_FREE_CASH_FLOW","FQ4 2020","FQ4 2020","Currency=USD","Period=FQ","BEST_FPERIOD_OVERRIDE=FQ","FILING_STATUS=MR","SCALING_FORMAT=MLN","Sort=A","Dates=H","DateFormat=P","Fill=—","Direction=H","UseDPDF=Y")</f>
        <v>-144.81200000000001</v>
      </c>
      <c r="L61" s="13">
        <f>_xll.BDH("ALNY US Equity","CF_FREE_CASH_FLOW","FQ1 2021","FQ1 2021","Currency=USD","Period=FQ","BEST_FPERIOD_OVERRIDE=FQ","FILING_STATUS=MR","SCALING_FORMAT=MLN","Sort=A","Dates=H","DateFormat=P","Fill=—","Direction=H","UseDPDF=Y")</f>
        <v>-252.83799999999999</v>
      </c>
      <c r="M61" s="13">
        <f>_xll.BDH("ALNY US Equity","CF_FREE_CASH_FLOW","FQ2 2021","FQ2 2021","Currency=USD","Period=FQ","BEST_FPERIOD_OVERRIDE=FQ","FILING_STATUS=MR","SCALING_FORMAT=MLN","Sort=A","Dates=H","DateFormat=P","Fill=—","Direction=H","UseDPDF=Y")</f>
        <v>-133.102</v>
      </c>
      <c r="N61" s="13">
        <f>_xll.BDH("ALNY US Equity","CF_FREE_CASH_FLOW","FQ3 2021","FQ3 2021","Currency=USD","Period=FQ","BEST_FPERIOD_OVERRIDE=FQ","FILING_STATUS=MR","SCALING_FORMAT=MLN","Sort=A","Dates=H","DateFormat=P","Fill=—","Direction=H","UseDPDF=Y")</f>
        <v>-160.09800000000001</v>
      </c>
      <c r="O61" s="13">
        <f>_xll.BDH("ALNY US Equity","CF_FREE_CASH_FLOW","FQ4 2021","FQ4 2021","Currency=USD","Period=FQ","BEST_FPERIOD_OVERRIDE=FQ","FILING_STATUS=MR","SCALING_FORMAT=MLN","Sort=A","Dates=H","DateFormat=P","Fill=—","Direction=H","UseDPDF=Y")</f>
        <v>-172.02699999999999</v>
      </c>
      <c r="P61" s="13">
        <f>_xll.BDH("ALNY US Equity","CF_FREE_CASH_FLOW","FQ1 2022","FQ1 2022","Currency=USD","Period=FQ","BEST_FPERIOD_OVERRIDE=FQ","FILING_STATUS=MR","SCALING_FORMAT=MLN","Sort=A","Dates=H","DateFormat=P","Fill=—","Direction=H","UseDPDF=Y")</f>
        <v>-189.05199999999999</v>
      </c>
      <c r="Q61" s="13">
        <f>_xll.BDH("ALNY US Equity","CF_FREE_CASH_FLOW","FQ2 2022","FQ2 2022","Currency=USD","Period=FQ","BEST_FPERIOD_OVERRIDE=FQ","FILING_STATUS=MR","SCALING_FORMAT=MLN","Sort=A","Dates=H","DateFormat=P","Fill=—","Direction=H","UseDPDF=Y")</f>
        <v>-138.874</v>
      </c>
      <c r="R61" s="13">
        <f>_xll.BDH("ALNY US Equity","CF_FREE_CASH_FLOW","FQ3 2022","FQ3 2022","Currency=USD","Period=FQ","BEST_FPERIOD_OVERRIDE=FQ","FILING_STATUS=MR","SCALING_FORMAT=MLN","Sort=A","Dates=H","DateFormat=P","Fill=—","Direction=H","UseDPDF=Y")</f>
        <v>-131.79400000000001</v>
      </c>
      <c r="S61" s="13">
        <f>_xll.BDH("ALNY US Equity","CF_FREE_CASH_FLOW","FQ4 2022","FQ4 2022","Currency=USD","Period=FQ","BEST_FPERIOD_OVERRIDE=FQ","FILING_STATUS=MR","SCALING_FORMAT=MLN","Sort=A","Dates=H","DateFormat=P","Fill=—","Direction=H","UseDPDF=Y")</f>
        <v>-153.613</v>
      </c>
      <c r="T61" s="13">
        <f>_xll.BDH("ALNY US Equity","CF_FREE_CASH_FLOW","FQ1 2023","FQ1 2023","Currency=USD","Period=FQ","BEST_FPERIOD_OVERRIDE=FQ","FILING_STATUS=MR","SCALING_FORMAT=MLN","Sort=A","Dates=H","DateFormat=P","Fill=—","Direction=H","UseDPDF=Y")</f>
        <v>-180.36600000000001</v>
      </c>
      <c r="U61" s="13">
        <f>_xll.BDH("ALNY US Equity","CF_FREE_CASH_FLOW","FQ2 2023","FQ2 2023","Currency=USD","Period=FQ","BEST_FPERIOD_OVERRIDE=FQ","FILING_STATUS=MR","SCALING_FORMAT=MLN","Sort=A","Dates=H","DateFormat=P","Fill=—","Direction=H","UseDPDF=Y")</f>
        <v>-74.905000000000001</v>
      </c>
      <c r="V61" s="13">
        <f>_xll.BDH("ALNY US Equity","CF_FREE_CASH_FLOW","FQ3 2023","FQ3 2023","Currency=USD","Period=FQ","BEST_FPERIOD_OVERRIDE=FQ","FILING_STATUS=MR","SCALING_FORMAT=MLN","Sort=A","Dates=H","DateFormat=P","Fill=—","Direction=H","UseDPDF=Y")</f>
        <v>342.32</v>
      </c>
      <c r="W61" s="13">
        <f>_xll.BDH("ALNY US Equity","CF_FREE_CASH_FLOW","FQ4 2023","FQ4 2023","Currency=USD","Period=FQ","BEST_FPERIOD_OVERRIDE=FQ","FILING_STATUS=MR","SCALING_FORMAT=MLN","Sort=A","Dates=H","DateFormat=P","Fill=—","Direction=H","UseDPDF=Y")</f>
        <v>-45.103999999999999</v>
      </c>
      <c r="X61" s="13">
        <f>_xll.BDH("ALNY US Equity","CF_FREE_CASH_FLOW","FQ1 2024","FQ1 2024","Currency=USD","Period=FQ","BEST_FPERIOD_OVERRIDE=FQ","FILING_STATUS=MR","SCALING_FORMAT=MLN","Sort=A","Dates=H","DateFormat=P","Fill=—","Direction=H","UseDPDF=Y")</f>
        <v>-94.488</v>
      </c>
      <c r="Y61" s="13">
        <f>_xll.BDH("ALNY US Equity","CF_FREE_CASH_FLOW","FQ2 2024","FQ2 2024","Currency=USD","Period=FQ","BEST_FPERIOD_OVERRIDE=FQ","FILING_STATUS=MR","SCALING_FORMAT=MLN","Sort=A","Dates=H","DateFormat=P","Fill=—","Direction=H","UseDPDF=Y")</f>
        <v>116.14</v>
      </c>
      <c r="Z61" s="13">
        <f>_xll.BDH("ALNY US Equity","CF_FREE_CASH_FLOW","FQ3 2024","FQ3 2024","Currency=USD","Period=FQ","BEST_FPERIOD_OVERRIDE=FQ","FILING_STATUS=MR","SCALING_FORMAT=MLN","Sort=A","Dates=H","DateFormat=P","Fill=—","Direction=H","UseDPDF=Y")</f>
        <v>39.515000000000001</v>
      </c>
      <c r="AA61" s="13">
        <f>_xll.BDH("ALNY US Equity","CF_FREE_CASH_FLOW","FQ4 2024","FQ4 2024","Currency=USD","Period=FQ","BEST_FPERIOD_OVERRIDE=FQ","FILING_STATUS=MR","SCALING_FORMAT=MLN","Sort=A","Dates=H","DateFormat=P","Fill=—","Direction=H","UseDPDF=Y")</f>
        <v>-103.756</v>
      </c>
    </row>
    <row r="62" spans="1:27" x14ac:dyDescent="0.25">
      <c r="A62" s="10" t="s">
        <v>1247</v>
      </c>
      <c r="B62" s="10" t="s">
        <v>1248</v>
      </c>
      <c r="C62" s="13" t="str">
        <f>_xll.BDH("ALNY US Equity","CF_FREE_CASH_FLOW_FIRM","FQ4 2018","FQ4 2018","Currency=USD","Period=FQ","BEST_FPERIOD_OVERRIDE=FQ","FILING_STATUS=MR","SCALING_FORMAT=MLN","FA_ADJUSTED=GAAP","Sort=A","Dates=H","DateFormat=P","Fill=—","Direction=H","UseDPDF=Y")</f>
        <v>—</v>
      </c>
      <c r="D62" s="13" t="str">
        <f>_xll.BDH("ALNY US Equity","CF_FREE_CASH_FLOW_FIRM","FQ1 2019","FQ1 2019","Currency=USD","Period=FQ","BEST_FPERIOD_OVERRIDE=FQ","FILING_STATUS=MR","SCALING_FORMAT=MLN","FA_ADJUSTED=GAAP","Sort=A","Dates=H","DateFormat=P","Fill=—","Direction=H","UseDPDF=Y")</f>
        <v>—</v>
      </c>
      <c r="E62" s="13" t="str">
        <f>_xll.BDH("ALNY US Equity","CF_FREE_CASH_FLOW_FIRM","FQ2 2019","FQ2 2019","Currency=USD","Period=FQ","BEST_FPERIOD_OVERRIDE=FQ","FILING_STATUS=MR","SCALING_FORMAT=MLN","FA_ADJUSTED=GAAP","Sort=A","Dates=H","DateFormat=P","Fill=—","Direction=H","UseDPDF=Y")</f>
        <v>—</v>
      </c>
      <c r="F62" s="13" t="str">
        <f>_xll.BDH("ALNY US Equity","CF_FREE_CASH_FLOW_FIRM","FQ3 2019","FQ3 2019","Currency=USD","Period=FQ","BEST_FPERIOD_OVERRIDE=FQ","FILING_STATUS=MR","SCALING_FORMAT=MLN","FA_ADJUSTED=GAAP","Sort=A","Dates=H","DateFormat=P","Fill=—","Direction=H","UseDPDF=Y")</f>
        <v>—</v>
      </c>
      <c r="G62" s="13" t="str">
        <f>_xll.BDH("ALNY US Equity","CF_FREE_CASH_FLOW_FIRM","FQ4 2019","FQ4 2019","Currency=USD","Period=FQ","BEST_FPERIOD_OVERRIDE=FQ","FILING_STATUS=MR","SCALING_FORMAT=MLN","FA_ADJUSTED=GAAP","Sort=A","Dates=H","DateFormat=P","Fill=—","Direction=H","UseDPDF=Y")</f>
        <v>—</v>
      </c>
      <c r="H62" s="13" t="str">
        <f>_xll.BDH("ALNY US Equity","CF_FREE_CASH_FLOW_FIRM","FQ1 2020","FQ1 2020","Currency=USD","Period=FQ","BEST_FPERIOD_OVERRIDE=FQ","FILING_STATUS=MR","SCALING_FORMAT=MLN","FA_ADJUSTED=GAAP","Sort=A","Dates=H","DateFormat=P","Fill=—","Direction=H","UseDPDF=Y")</f>
        <v>—</v>
      </c>
      <c r="I62" s="13" t="str">
        <f>_xll.BDH("ALNY US Equity","CF_FREE_CASH_FLOW_FIRM","FQ2 2020","FQ2 2020","Currency=USD","Period=FQ","BEST_FPERIOD_OVERRIDE=FQ","FILING_STATUS=MR","SCALING_FORMAT=MLN","FA_ADJUSTED=GAAP","Sort=A","Dates=H","DateFormat=P","Fill=—","Direction=H","UseDPDF=Y")</f>
        <v>—</v>
      </c>
      <c r="J62" s="13" t="str">
        <f>_xll.BDH("ALNY US Equity","CF_FREE_CASH_FLOW_FIRM","FQ3 2020","FQ3 2020","Currency=USD","Period=FQ","BEST_FPERIOD_OVERRIDE=FQ","FILING_STATUS=MR","SCALING_FORMAT=MLN","FA_ADJUSTED=GAAP","Sort=A","Dates=H","DateFormat=P","Fill=—","Direction=H","UseDPDF=Y")</f>
        <v>—</v>
      </c>
      <c r="K62" s="13" t="str">
        <f>_xll.BDH("ALNY US Equity","CF_FREE_CASH_FLOW_FIRM","FQ4 2020","FQ4 2020","Currency=USD","Period=FQ","BEST_FPERIOD_OVERRIDE=FQ","FILING_STATUS=MR","SCALING_FORMAT=MLN","FA_ADJUSTED=GAAP","Sort=A","Dates=H","DateFormat=P","Fill=—","Direction=H","UseDPDF=Y")</f>
        <v>—</v>
      </c>
      <c r="L62" s="13" t="str">
        <f>_xll.BDH("ALNY US Equity","CF_FREE_CASH_FLOW_FIRM","FQ1 2021","FQ1 2021","Currency=USD","Period=FQ","BEST_FPERIOD_OVERRIDE=FQ","FILING_STATUS=MR","SCALING_FORMAT=MLN","FA_ADJUSTED=GAAP","Sort=A","Dates=H","DateFormat=P","Fill=—","Direction=H","UseDPDF=Y")</f>
        <v>—</v>
      </c>
      <c r="M62" s="13" t="str">
        <f>_xll.BDH("ALNY US Equity","CF_FREE_CASH_FLOW_FIRM","FQ2 2021","FQ2 2021","Currency=USD","Period=FQ","BEST_FPERIOD_OVERRIDE=FQ","FILING_STATUS=MR","SCALING_FORMAT=MLN","FA_ADJUSTED=GAAP","Sort=A","Dates=H","DateFormat=P","Fill=—","Direction=H","UseDPDF=Y")</f>
        <v>—</v>
      </c>
      <c r="N62" s="13" t="str">
        <f>_xll.BDH("ALNY US Equity","CF_FREE_CASH_FLOW_FIRM","FQ3 2021","FQ3 2021","Currency=USD","Period=FQ","BEST_FPERIOD_OVERRIDE=FQ","FILING_STATUS=MR","SCALING_FORMAT=MLN","FA_ADJUSTED=GAAP","Sort=A","Dates=H","DateFormat=P","Fill=—","Direction=H","UseDPDF=Y")</f>
        <v>—</v>
      </c>
      <c r="O62" s="13" t="str">
        <f>_xll.BDH("ALNY US Equity","CF_FREE_CASH_FLOW_FIRM","FQ4 2021","FQ4 2021","Currency=USD","Period=FQ","BEST_FPERIOD_OVERRIDE=FQ","FILING_STATUS=MR","SCALING_FORMAT=MLN","FA_ADJUSTED=GAAP","Sort=A","Dates=H","DateFormat=P","Fill=—","Direction=H","UseDPDF=Y")</f>
        <v>—</v>
      </c>
      <c r="P62" s="13" t="str">
        <f>_xll.BDH("ALNY US Equity","CF_FREE_CASH_FLOW_FIRM","FQ1 2022","FQ1 2022","Currency=USD","Period=FQ","BEST_FPERIOD_OVERRIDE=FQ","FILING_STATUS=MR","SCALING_FORMAT=MLN","FA_ADJUSTED=GAAP","Sort=A","Dates=H","DateFormat=P","Fill=—","Direction=H","UseDPDF=Y")</f>
        <v>—</v>
      </c>
      <c r="Q62" s="13" t="str">
        <f>_xll.BDH("ALNY US Equity","CF_FREE_CASH_FLOW_FIRM","FQ2 2022","FQ2 2022","Currency=USD","Period=FQ","BEST_FPERIOD_OVERRIDE=FQ","FILING_STATUS=MR","SCALING_FORMAT=MLN","FA_ADJUSTED=GAAP","Sort=A","Dates=H","DateFormat=P","Fill=—","Direction=H","UseDPDF=Y")</f>
        <v>—</v>
      </c>
      <c r="R62" s="13" t="str">
        <f>_xll.BDH("ALNY US Equity","CF_FREE_CASH_FLOW_FIRM","FQ3 2022","FQ3 2022","Currency=USD","Period=FQ","BEST_FPERIOD_OVERRIDE=FQ","FILING_STATUS=MR","SCALING_FORMAT=MLN","FA_ADJUSTED=GAAP","Sort=A","Dates=H","DateFormat=P","Fill=—","Direction=H","UseDPDF=Y")</f>
        <v>—</v>
      </c>
      <c r="S62" s="13" t="str">
        <f>_xll.BDH("ALNY US Equity","CF_FREE_CASH_FLOW_FIRM","FQ4 2022","FQ4 2022","Currency=USD","Period=FQ","BEST_FPERIOD_OVERRIDE=FQ","FILING_STATUS=MR","SCALING_FORMAT=MLN","FA_ADJUSTED=GAAP","Sort=A","Dates=H","DateFormat=P","Fill=—","Direction=H","UseDPDF=Y")</f>
        <v>—</v>
      </c>
      <c r="T62" s="13" t="str">
        <f>_xll.BDH("ALNY US Equity","CF_FREE_CASH_FLOW_FIRM","FQ1 2023","FQ1 2023","Currency=USD","Period=FQ","BEST_FPERIOD_OVERRIDE=FQ","FILING_STATUS=MR","SCALING_FORMAT=MLN","FA_ADJUSTED=GAAP","Sort=A","Dates=H","DateFormat=P","Fill=—","Direction=H","UseDPDF=Y")</f>
        <v>—</v>
      </c>
      <c r="U62" s="13" t="str">
        <f>_xll.BDH("ALNY US Equity","CF_FREE_CASH_FLOW_FIRM","FQ2 2023","FQ2 2023","Currency=USD","Period=FQ","BEST_FPERIOD_OVERRIDE=FQ","FILING_STATUS=MR","SCALING_FORMAT=MLN","FA_ADJUSTED=GAAP","Sort=A","Dates=H","DateFormat=P","Fill=—","Direction=H","UseDPDF=Y")</f>
        <v>—</v>
      </c>
      <c r="V62" s="13">
        <f>_xll.BDH("ALNY US Equity","CF_FREE_CASH_FLOW_FIRM","FQ3 2023","FQ3 2023","Currency=USD","Period=FQ","BEST_FPERIOD_OVERRIDE=FQ","FILING_STATUS=MR","SCALING_FORMAT=MLN","FA_ADJUSTED=GAAP","Sort=A","Dates=H","DateFormat=P","Fill=—","Direction=H","UseDPDF=Y")</f>
        <v>372.60059999999999</v>
      </c>
      <c r="W62" s="13" t="str">
        <f>_xll.BDH("ALNY US Equity","CF_FREE_CASH_FLOW_FIRM","FQ4 2023","FQ4 2023","Currency=USD","Period=FQ","BEST_FPERIOD_OVERRIDE=FQ","FILING_STATUS=MR","SCALING_FORMAT=MLN","FA_ADJUSTED=GAAP","Sort=A","Dates=H","DateFormat=P","Fill=—","Direction=H","UseDPDF=Y")</f>
        <v>—</v>
      </c>
      <c r="X62" s="13" t="str">
        <f>_xll.BDH("ALNY US Equity","CF_FREE_CASH_FLOW_FIRM","FQ1 2024","FQ1 2024","Currency=USD","Period=FQ","BEST_FPERIOD_OVERRIDE=FQ","FILING_STATUS=MR","SCALING_FORMAT=MLN","FA_ADJUSTED=GAAP","Sort=A","Dates=H","DateFormat=P","Fill=—","Direction=H","UseDPDF=Y")</f>
        <v>—</v>
      </c>
      <c r="Y62" s="13" t="str">
        <f>_xll.BDH("ALNY US Equity","CF_FREE_CASH_FLOW_FIRM","FQ2 2024","FQ2 2024","Currency=USD","Period=FQ","BEST_FPERIOD_OVERRIDE=FQ","FILING_STATUS=MR","SCALING_FORMAT=MLN","FA_ADJUSTED=GAAP","Sort=A","Dates=H","DateFormat=P","Fill=—","Direction=H","UseDPDF=Y")</f>
        <v>—</v>
      </c>
      <c r="Z62" s="13" t="str">
        <f>_xll.BDH("ALNY US Equity","CF_FREE_CASH_FLOW_FIRM","FQ3 2024","FQ3 2024","Currency=USD","Period=FQ","BEST_FPERIOD_OVERRIDE=FQ","FILING_STATUS=MR","SCALING_FORMAT=MLN","FA_ADJUSTED=GAAP","Sort=A","Dates=H","DateFormat=P","Fill=—","Direction=H","UseDPDF=Y")</f>
        <v>—</v>
      </c>
      <c r="AA62" s="13" t="str">
        <f>_xll.BDH("ALNY US Equity","CF_FREE_CASH_FLOW_FIRM","FQ4 2024","FQ4 2024","Currency=USD","Period=FQ","BEST_FPERIOD_OVERRIDE=FQ","FILING_STATUS=MR","SCALING_FORMAT=MLN","FA_ADJUSTED=GAAP","Sort=A","Dates=H","DateFormat=P","Fill=—","Direction=H","UseDPDF=Y")</f>
        <v>—</v>
      </c>
    </row>
    <row r="63" spans="1:27" x14ac:dyDescent="0.25">
      <c r="A63" s="10" t="s">
        <v>1249</v>
      </c>
      <c r="B63" s="10" t="s">
        <v>1250</v>
      </c>
      <c r="C63" s="13">
        <f>_xll.BDH("ALNY US Equity","FREE_CASH_FLOW_EQUITY","FQ4 2018","FQ4 2018","Currency=USD","Period=FQ","BEST_FPERIOD_OVERRIDE=FQ","FILING_STATUS=MR","SCALING_FORMAT=MLN","Sort=A","Dates=H","DateFormat=P","Fill=—","Direction=H","UseDPDF=Y")</f>
        <v>-187.97</v>
      </c>
      <c r="D63" s="13">
        <f>_xll.BDH("ALNY US Equity","FREE_CASH_FLOW_EQUITY","FQ1 2019","FQ1 2019","Currency=USD","Period=FQ","BEST_FPERIOD_OVERRIDE=FQ","FILING_STATUS=MR","SCALING_FORMAT=MLN","Sort=A","Dates=H","DateFormat=P","Fill=—","Direction=H","UseDPDF=Y")</f>
        <v>-232.559</v>
      </c>
      <c r="E63" s="13">
        <f>_xll.BDH("ALNY US Equity","FREE_CASH_FLOW_EQUITY","FQ2 2019","FQ2 2019","Currency=USD","Period=FQ","BEST_FPERIOD_OVERRIDE=FQ","FILING_STATUS=MR","SCALING_FORMAT=MLN","Sort=A","Dates=H","DateFormat=P","Fill=—","Direction=H","UseDPDF=Y")</f>
        <v>267.45100000000002</v>
      </c>
      <c r="F63" s="13">
        <f>_xll.BDH("ALNY US Equity","FREE_CASH_FLOW_EQUITY","FQ3 2019","FQ3 2019","Currency=USD","Period=FQ","BEST_FPERIOD_OVERRIDE=FQ","FILING_STATUS=MR","SCALING_FORMAT=MLN","Sort=A","Dates=H","DateFormat=P","Fill=—","Direction=H","UseDPDF=Y")</f>
        <v>-248.69</v>
      </c>
      <c r="G63" s="13">
        <f>_xll.BDH("ALNY US Equity","FREE_CASH_FLOW_EQUITY","FQ4 2019","FQ4 2019","Currency=USD","Period=FQ","BEST_FPERIOD_OVERRIDE=FQ","FILING_STATUS=MR","SCALING_FORMAT=MLN","Sort=A","Dates=H","DateFormat=P","Fill=—","Direction=H","UseDPDF=Y")</f>
        <v>-234.785</v>
      </c>
      <c r="H63" s="13">
        <f>_xll.BDH("ALNY US Equity","FREE_CASH_FLOW_EQUITY","FQ1 2020","FQ1 2020","Currency=USD","Period=FQ","BEST_FPERIOD_OVERRIDE=FQ","FILING_STATUS=MR","SCALING_FORMAT=MLN","Sort=A","Dates=H","DateFormat=P","Fill=—","Direction=H","UseDPDF=Y")</f>
        <v>-265.77800000000002</v>
      </c>
      <c r="I63" s="13">
        <f>_xll.BDH("ALNY US Equity","FREE_CASH_FLOW_EQUITY","FQ2 2020","FQ2 2020","Currency=USD","Period=FQ","BEST_FPERIOD_OVERRIDE=FQ","FILING_STATUS=MR","SCALING_FORMAT=MLN","Sort=A","Dates=H","DateFormat=P","Fill=—","Direction=H","UseDPDF=Y")</f>
        <v>-160.11600000000001</v>
      </c>
      <c r="J63" s="13">
        <f>_xll.BDH("ALNY US Equity","FREE_CASH_FLOW_EQUITY","FQ3 2020","FQ3 2020","Currency=USD","Period=FQ","BEST_FPERIOD_OVERRIDE=FQ","FILING_STATUS=MR","SCALING_FORMAT=MLN","Sort=A","Dates=H","DateFormat=P","Fill=—","Direction=H","UseDPDF=Y")</f>
        <v>-122.744</v>
      </c>
      <c r="K63" s="13">
        <f>_xll.BDH("ALNY US Equity","FREE_CASH_FLOW_EQUITY","FQ4 2020","FQ4 2020","Currency=USD","Period=FQ","BEST_FPERIOD_OVERRIDE=FQ","FILING_STATUS=MR","SCALING_FORMAT=MLN","Sort=A","Dates=H","DateFormat=P","Fill=—","Direction=H","UseDPDF=Y")</f>
        <v>49.912999999999997</v>
      </c>
      <c r="L63" s="13">
        <f>_xll.BDH("ALNY US Equity","FREE_CASH_FLOW_EQUITY","FQ1 2021","FQ1 2021","Currency=USD","Period=FQ","BEST_FPERIOD_OVERRIDE=FQ","FILING_STATUS=MR","SCALING_FORMAT=MLN","Sort=A","Dates=H","DateFormat=P","Fill=—","Direction=H","UseDPDF=Y")</f>
        <v>-252.83799999999999</v>
      </c>
      <c r="M63" s="13">
        <f>_xll.BDH("ALNY US Equity","FREE_CASH_FLOW_EQUITY","FQ2 2021","FQ2 2021","Currency=USD","Period=FQ","BEST_FPERIOD_OVERRIDE=FQ","FILING_STATUS=MR","SCALING_FORMAT=MLN","Sort=A","Dates=H","DateFormat=P","Fill=—","Direction=H","UseDPDF=Y")</f>
        <v>110.648</v>
      </c>
      <c r="N63" s="13">
        <f>_xll.BDH("ALNY US Equity","FREE_CASH_FLOW_EQUITY","FQ3 2021","FQ3 2021","Currency=USD","Period=FQ","BEST_FPERIOD_OVERRIDE=FQ","FILING_STATUS=MR","SCALING_FORMAT=MLN","Sort=A","Dates=H","DateFormat=P","Fill=—","Direction=H","UseDPDF=Y")</f>
        <v>-166.34800000000001</v>
      </c>
      <c r="O63" s="13">
        <f>_xll.BDH("ALNY US Equity","FREE_CASH_FLOW_EQUITY","FQ4 2021","FQ4 2021","Currency=USD","Period=FQ","BEST_FPERIOD_OVERRIDE=FQ","FILING_STATUS=MR","SCALING_FORMAT=MLN","Sort=A","Dates=H","DateFormat=P","Fill=—","Direction=H","UseDPDF=Y")</f>
        <v>71.722999999999999</v>
      </c>
      <c r="P63" s="13">
        <f>_xll.BDH("ALNY US Equity","FREE_CASH_FLOW_EQUITY","FQ1 2022","FQ1 2022","Currency=USD","Period=FQ","BEST_FPERIOD_OVERRIDE=FQ","FILING_STATUS=MR","SCALING_FORMAT=MLN","Sort=A","Dates=H","DateFormat=P","Fill=—","Direction=H","UseDPDF=Y")</f>
        <v>-189.05199999999999</v>
      </c>
      <c r="Q63" s="13">
        <f>_xll.BDH("ALNY US Equity","FREE_CASH_FLOW_EQUITY","FQ2 2022","FQ2 2022","Currency=USD","Period=FQ","BEST_FPERIOD_OVERRIDE=FQ","FILING_STATUS=MR","SCALING_FORMAT=MLN","Sort=A","Dates=H","DateFormat=P","Fill=—","Direction=H","UseDPDF=Y")</f>
        <v>-138.874</v>
      </c>
      <c r="R63" s="13">
        <f>_xll.BDH("ALNY US Equity","FREE_CASH_FLOW_EQUITY","FQ3 2022","FQ3 2022","Currency=USD","Period=FQ","BEST_FPERIOD_OVERRIDE=FQ","FILING_STATUS=MR","SCALING_FORMAT=MLN","Sort=A","Dates=H","DateFormat=P","Fill=—","Direction=H","UseDPDF=Y")</f>
        <v>4.3760000000000003</v>
      </c>
      <c r="S63" s="13">
        <f>_xll.BDH("ALNY US Equity","FREE_CASH_FLOW_EQUITY","FQ4 2022","FQ4 2022","Currency=USD","Period=FQ","BEST_FPERIOD_OVERRIDE=FQ","FILING_STATUS=MR","SCALING_FORMAT=MLN","Sort=A","Dates=H","DateFormat=P","Fill=—","Direction=H","UseDPDF=Y")</f>
        <v>-35.779000000000003</v>
      </c>
      <c r="T63" s="13">
        <f>_xll.BDH("ALNY US Equity","FREE_CASH_FLOW_EQUITY","FQ1 2023","FQ1 2023","Currency=USD","Period=FQ","BEST_FPERIOD_OVERRIDE=FQ","FILING_STATUS=MR","SCALING_FORMAT=MLN","Sort=A","Dates=H","DateFormat=P","Fill=—","Direction=H","UseDPDF=Y")</f>
        <v>-180.36600000000001</v>
      </c>
      <c r="U63" s="13">
        <f>_xll.BDH("ALNY US Equity","FREE_CASH_FLOW_EQUITY","FQ2 2023","FQ2 2023","Currency=USD","Period=FQ","BEST_FPERIOD_OVERRIDE=FQ","FILING_STATUS=MR","SCALING_FORMAT=MLN","Sort=A","Dates=H","DateFormat=P","Fill=—","Direction=H","UseDPDF=Y")</f>
        <v>-74.905000000000001</v>
      </c>
      <c r="V63" s="13">
        <f>_xll.BDH("ALNY US Equity","FREE_CASH_FLOW_EQUITY","FQ3 2023","FQ3 2023","Currency=USD","Period=FQ","BEST_FPERIOD_OVERRIDE=FQ","FILING_STATUS=MR","SCALING_FORMAT=MLN","Sort=A","Dates=H","DateFormat=P","Fill=—","Direction=H","UseDPDF=Y")</f>
        <v>342.32</v>
      </c>
      <c r="W63" s="13">
        <f>_xll.BDH("ALNY US Equity","FREE_CASH_FLOW_EQUITY","FQ4 2023","FQ4 2023","Currency=USD","Period=FQ","BEST_FPERIOD_OVERRIDE=FQ","FILING_STATUS=MR","SCALING_FORMAT=MLN","Sort=A","Dates=H","DateFormat=P","Fill=—","Direction=H","UseDPDF=Y")</f>
        <v>-45.103999999999999</v>
      </c>
      <c r="X63" s="13">
        <f>_xll.BDH("ALNY US Equity","FREE_CASH_FLOW_EQUITY","FQ1 2024","FQ1 2024","Currency=USD","Period=FQ","BEST_FPERIOD_OVERRIDE=FQ","FILING_STATUS=MR","SCALING_FORMAT=MLN","Sort=A","Dates=H","DateFormat=P","Fill=—","Direction=H","UseDPDF=Y")</f>
        <v>-94.488</v>
      </c>
      <c r="Y63" s="13">
        <f>_xll.BDH("ALNY US Equity","FREE_CASH_FLOW_EQUITY","FQ2 2024","FQ2 2024","Currency=USD","Period=FQ","BEST_FPERIOD_OVERRIDE=FQ","FILING_STATUS=MR","SCALING_FORMAT=MLN","Sort=A","Dates=H","DateFormat=P","Fill=—","Direction=H","UseDPDF=Y")</f>
        <v>116.14</v>
      </c>
      <c r="Z63" s="13">
        <f>_xll.BDH("ALNY US Equity","FREE_CASH_FLOW_EQUITY","FQ3 2024","FQ3 2024","Currency=USD","Period=FQ","BEST_FPERIOD_OVERRIDE=FQ","FILING_STATUS=MR","SCALING_FORMAT=MLN","Sort=A","Dates=H","DateFormat=P","Fill=—","Direction=H","UseDPDF=Y")</f>
        <v>39.515000000000001</v>
      </c>
      <c r="AA63" s="13">
        <f>_xll.BDH("ALNY US Equity","FREE_CASH_FLOW_EQUITY","FQ4 2024","FQ4 2024","Currency=USD","Period=FQ","BEST_FPERIOD_OVERRIDE=FQ","FILING_STATUS=MR","SCALING_FORMAT=MLN","Sort=A","Dates=H","DateFormat=P","Fill=—","Direction=H","UseDPDF=Y")</f>
        <v>-103.756</v>
      </c>
    </row>
    <row r="64" spans="1:27" x14ac:dyDescent="0.25">
      <c r="A64" s="10" t="s">
        <v>1251</v>
      </c>
      <c r="B64" s="10" t="s">
        <v>266</v>
      </c>
      <c r="C64" s="14">
        <f>_xll.BDH("ALNY US Equity","FREE_CASH_FLOW_PER_SH","FQ4 2018","FQ4 2018","Currency=USD","Period=FQ","BEST_FPERIOD_OVERRIDE=FQ","FILING_STATUS=MR","Sort=A","Dates=H","DateFormat=P","Fill=—","Direction=H","UseDPDF=Y")</f>
        <v>-1.8599000000000001</v>
      </c>
      <c r="D64" s="14">
        <f>_xll.BDH("ALNY US Equity","FREE_CASH_FLOW_PER_SH","FQ1 2019","FQ1 2019","Currency=USD","Period=FQ","BEST_FPERIOD_OVERRIDE=FQ","FILING_STATUS=MR","Sort=A","Dates=H","DateFormat=P","Fill=—","Direction=H","UseDPDF=Y")</f>
        <v>-2.2063999999999999</v>
      </c>
      <c r="E64" s="14">
        <f>_xll.BDH("ALNY US Equity","FREE_CASH_FLOW_PER_SH","FQ2 2019","FQ2 2019","Currency=USD","Period=FQ","BEST_FPERIOD_OVERRIDE=FQ","FILING_STATUS=MR","Sort=A","Dates=H","DateFormat=P","Fill=—","Direction=H","UseDPDF=Y")</f>
        <v>2.4632999999999998</v>
      </c>
      <c r="F64" s="14">
        <f>_xll.BDH("ALNY US Equity","FREE_CASH_FLOW_PER_SH","FQ3 2019","FQ3 2019","Currency=USD","Period=FQ","BEST_FPERIOD_OVERRIDE=FQ","FILING_STATUS=MR","Sort=A","Dates=H","DateFormat=P","Fill=—","Direction=H","UseDPDF=Y")</f>
        <v>-2.0118</v>
      </c>
      <c r="G64" s="14">
        <f>_xll.BDH("ALNY US Equity","FREE_CASH_FLOW_PER_SH","FQ4 2019","FQ4 2019","Currency=USD","Period=FQ","BEST_FPERIOD_OVERRIDE=FQ","FILING_STATUS=MR","Sort=A","Dates=H","DateFormat=P","Fill=—","Direction=H","UseDPDF=Y")</f>
        <v>-2.101</v>
      </c>
      <c r="H64" s="14">
        <f>_xll.BDH("ALNY US Equity","FREE_CASH_FLOW_PER_SH","FQ1 2020","FQ1 2020","Currency=USD","Period=FQ","BEST_FPERIOD_OVERRIDE=FQ","FILING_STATUS=MR","Sort=A","Dates=H","DateFormat=P","Fill=—","Direction=H","UseDPDF=Y")</f>
        <v>-2.3573</v>
      </c>
      <c r="I64" s="14">
        <f>_xll.BDH("ALNY US Equity","FREE_CASH_FLOW_PER_SH","FQ2 2020","FQ2 2020","Currency=USD","Period=FQ","BEST_FPERIOD_OVERRIDE=FQ","FILING_STATUS=MR","Sort=A","Dates=H","DateFormat=P","Fill=—","Direction=H","UseDPDF=Y")</f>
        <v>-1.3227</v>
      </c>
      <c r="J64" s="14">
        <f>_xll.BDH("ALNY US Equity","FREE_CASH_FLOW_PER_SH","FQ3 2020","FQ3 2020","Currency=USD","Period=FQ","BEST_FPERIOD_OVERRIDE=FQ","FILING_STATUS=MR","Sort=A","Dates=H","DateFormat=P","Fill=—","Direction=H","UseDPDF=Y")</f>
        <v>-1.0583</v>
      </c>
      <c r="K64" s="14">
        <f>_xll.BDH("ALNY US Equity","FREE_CASH_FLOW_PER_SH","FQ4 2020","FQ4 2020","Currency=USD","Period=FQ","BEST_FPERIOD_OVERRIDE=FQ","FILING_STATUS=MR","Sort=A","Dates=H","DateFormat=P","Fill=—","Direction=H","UseDPDF=Y")</f>
        <v>-1.2454000000000001</v>
      </c>
      <c r="L64" s="14">
        <f>_xll.BDH("ALNY US Equity","FREE_CASH_FLOW_PER_SH","FQ1 2021","FQ1 2021","Currency=USD","Period=FQ","BEST_FPERIOD_OVERRIDE=FQ","FILING_STATUS=MR","Sort=A","Dates=H","DateFormat=P","Fill=—","Direction=H","UseDPDF=Y")</f>
        <v>-2.1595</v>
      </c>
      <c r="M64" s="14">
        <f>_xll.BDH("ALNY US Equity","FREE_CASH_FLOW_PER_SH","FQ2 2021","FQ2 2021","Currency=USD","Period=FQ","BEST_FPERIOD_OVERRIDE=FQ","FILING_STATUS=MR","Sort=A","Dates=H","DateFormat=P","Fill=—","Direction=H","UseDPDF=Y")</f>
        <v>-1.1302000000000001</v>
      </c>
      <c r="N64" s="14">
        <f>_xll.BDH("ALNY US Equity","FREE_CASH_FLOW_PER_SH","FQ3 2021","FQ3 2021","Currency=USD","Period=FQ","BEST_FPERIOD_OVERRIDE=FQ","FILING_STATUS=MR","Sort=A","Dates=H","DateFormat=P","Fill=—","Direction=H","UseDPDF=Y")</f>
        <v>-1.3438000000000001</v>
      </c>
      <c r="O64" s="14">
        <f>_xll.BDH("ALNY US Equity","FREE_CASH_FLOW_PER_SH","FQ4 2021","FQ4 2021","Currency=USD","Period=FQ","BEST_FPERIOD_OVERRIDE=FQ","FILING_STATUS=MR","Sort=A","Dates=H","DateFormat=P","Fill=—","Direction=H","UseDPDF=Y")</f>
        <v>-1.4362999999999999</v>
      </c>
      <c r="P64" s="14">
        <f>_xll.BDH("ALNY US Equity","FREE_CASH_FLOW_PER_SH","FQ1 2022","FQ1 2022","Currency=USD","Period=FQ","BEST_FPERIOD_OVERRIDE=FQ","FILING_STATUS=MR","Sort=A","Dates=H","DateFormat=P","Fill=—","Direction=H","UseDPDF=Y")</f>
        <v>-1.5703</v>
      </c>
      <c r="Q64" s="14">
        <f>_xll.BDH("ALNY US Equity","FREE_CASH_FLOW_PER_SH","FQ2 2022","FQ2 2022","Currency=USD","Period=FQ","BEST_FPERIOD_OVERRIDE=FQ","FILING_STATUS=MR","Sort=A","Dates=H","DateFormat=P","Fill=—","Direction=H","UseDPDF=Y")</f>
        <v>-1.1487000000000001</v>
      </c>
      <c r="R64" s="14">
        <f>_xll.BDH("ALNY US Equity","FREE_CASH_FLOW_PER_SH","FQ3 2022","FQ3 2022","Currency=USD","Period=FQ","BEST_FPERIOD_OVERRIDE=FQ","FILING_STATUS=MR","Sort=A","Dates=H","DateFormat=P","Fill=—","Direction=H","UseDPDF=Y")</f>
        <v>-1.0788</v>
      </c>
      <c r="S64" s="14">
        <f>_xll.BDH("ALNY US Equity","FREE_CASH_FLOW_PER_SH","FQ4 2022","FQ4 2022","Currency=USD","Period=FQ","BEST_FPERIOD_OVERRIDE=FQ","FILING_STATUS=MR","Sort=A","Dates=H","DateFormat=P","Fill=—","Direction=H","UseDPDF=Y")</f>
        <v>-1.2462</v>
      </c>
      <c r="T64" s="14">
        <f>_xll.BDH("ALNY US Equity","FREE_CASH_FLOW_PER_SH","FQ1 2023","FQ1 2023","Currency=USD","Period=FQ","BEST_FPERIOD_OVERRIDE=FQ","FILING_STATUS=MR","Sort=A","Dates=H","DateFormat=P","Fill=—","Direction=H","UseDPDF=Y")</f>
        <v>-1.4533</v>
      </c>
      <c r="U64" s="14">
        <f>_xll.BDH("ALNY US Equity","FREE_CASH_FLOW_PER_SH","FQ2 2023","FQ2 2023","Currency=USD","Period=FQ","BEST_FPERIOD_OVERRIDE=FQ","FILING_STATUS=MR","Sort=A","Dates=H","DateFormat=P","Fill=—","Direction=H","UseDPDF=Y")</f>
        <v>-0.60089999999999999</v>
      </c>
      <c r="V64" s="14">
        <f>_xll.BDH("ALNY US Equity","FREE_CASH_FLOW_PER_SH","FQ3 2023","FQ3 2023","Currency=USD","Period=FQ","BEST_FPERIOD_OVERRIDE=FQ","FILING_STATUS=MR","Sort=A","Dates=H","DateFormat=P","Fill=—","Direction=H","UseDPDF=Y")</f>
        <v>2.7336999999999998</v>
      </c>
      <c r="W64" s="14">
        <f>_xll.BDH("ALNY US Equity","FREE_CASH_FLOW_PER_SH","FQ4 2023","FQ4 2023","Currency=USD","Period=FQ","BEST_FPERIOD_OVERRIDE=FQ","FILING_STATUS=MR","Sort=A","Dates=H","DateFormat=P","Fill=—","Direction=H","UseDPDF=Y")</f>
        <v>-0.35909999999999997</v>
      </c>
      <c r="X64" s="14">
        <f>_xll.BDH("ALNY US Equity","FREE_CASH_FLOW_PER_SH","FQ1 2024","FQ1 2024","Currency=USD","Period=FQ","BEST_FPERIOD_OVERRIDE=FQ","FILING_STATUS=MR","Sort=A","Dates=H","DateFormat=P","Fill=—","Direction=H","UseDPDF=Y")</f>
        <v>-0.74909999999999999</v>
      </c>
      <c r="Y64" s="14">
        <f>_xll.BDH("ALNY US Equity","FREE_CASH_FLOW_PER_SH","FQ2 2024","FQ2 2024","Currency=USD","Period=FQ","BEST_FPERIOD_OVERRIDE=FQ","FILING_STATUS=MR","Sort=A","Dates=H","DateFormat=P","Fill=—","Direction=H","UseDPDF=Y")</f>
        <v>0.91639999999999999</v>
      </c>
      <c r="Z64" s="14">
        <f>_xll.BDH("ALNY US Equity","FREE_CASH_FLOW_PER_SH","FQ3 2024","FQ3 2024","Currency=USD","Period=FQ","BEST_FPERIOD_OVERRIDE=FQ","FILING_STATUS=MR","Sort=A","Dates=H","DateFormat=P","Fill=—","Direction=H","UseDPDF=Y")</f>
        <v>0.30730000000000002</v>
      </c>
      <c r="AA64" s="14">
        <f>_xll.BDH("ALNY US Equity","FREE_CASH_FLOW_PER_SH","FQ4 2024","FQ4 2024","Currency=USD","Period=FQ","BEST_FPERIOD_OVERRIDE=FQ","FILING_STATUS=MR","Sort=A","Dates=H","DateFormat=P","Fill=—","Direction=H","UseDPDF=Y")</f>
        <v>-0.80359999999999998</v>
      </c>
    </row>
    <row r="65" spans="1:27" x14ac:dyDescent="0.25">
      <c r="A65" s="10" t="s">
        <v>1252</v>
      </c>
      <c r="B65" s="10" t="s">
        <v>225</v>
      </c>
      <c r="C65" s="14" t="str">
        <f>_xll.BDH("ALNY US Equity","PX_TO_FREE_CASH_FLOW","FQ4 2018","FQ4 2018","Currency=USD","Period=FQ","BEST_FPERIOD_OVERRIDE=FQ","FILING_STATUS=MR","Sort=A","Dates=H","DateFormat=P","Fill=—","Direction=H","UseDPDF=Y")</f>
        <v>—</v>
      </c>
      <c r="D65" s="14" t="str">
        <f>_xll.BDH("ALNY US Equity","PX_TO_FREE_CASH_FLOW","FQ1 2019","FQ1 2019","Currency=USD","Period=FQ","BEST_FPERIOD_OVERRIDE=FQ","FILING_STATUS=MR","Sort=A","Dates=H","DateFormat=P","Fill=—","Direction=H","UseDPDF=Y")</f>
        <v>—</v>
      </c>
      <c r="E65" s="14" t="str">
        <f>_xll.BDH("ALNY US Equity","PX_TO_FREE_CASH_FLOW","FQ2 2019","FQ2 2019","Currency=USD","Period=FQ","BEST_FPERIOD_OVERRIDE=FQ","FILING_STATUS=MR","Sort=A","Dates=H","DateFormat=P","Fill=—","Direction=H","UseDPDF=Y")</f>
        <v>—</v>
      </c>
      <c r="F65" s="14" t="str">
        <f>_xll.BDH("ALNY US Equity","PX_TO_FREE_CASH_FLOW","FQ3 2019","FQ3 2019","Currency=USD","Period=FQ","BEST_FPERIOD_OVERRIDE=FQ","FILING_STATUS=MR","Sort=A","Dates=H","DateFormat=P","Fill=—","Direction=H","UseDPDF=Y")</f>
        <v>—</v>
      </c>
      <c r="G65" s="14" t="str">
        <f>_xll.BDH("ALNY US Equity","PX_TO_FREE_CASH_FLOW","FQ4 2019","FQ4 2019","Currency=USD","Period=FQ","BEST_FPERIOD_OVERRIDE=FQ","FILING_STATUS=MR","Sort=A","Dates=H","DateFormat=P","Fill=—","Direction=H","UseDPDF=Y")</f>
        <v>—</v>
      </c>
      <c r="H65" s="14" t="str">
        <f>_xll.BDH("ALNY US Equity","PX_TO_FREE_CASH_FLOW","FQ1 2020","FQ1 2020","Currency=USD","Period=FQ","BEST_FPERIOD_OVERRIDE=FQ","FILING_STATUS=MR","Sort=A","Dates=H","DateFormat=P","Fill=—","Direction=H","UseDPDF=Y")</f>
        <v>—</v>
      </c>
      <c r="I65" s="14" t="str">
        <f>_xll.BDH("ALNY US Equity","PX_TO_FREE_CASH_FLOW","FQ2 2020","FQ2 2020","Currency=USD","Period=FQ","BEST_FPERIOD_OVERRIDE=FQ","FILING_STATUS=MR","Sort=A","Dates=H","DateFormat=P","Fill=—","Direction=H","UseDPDF=Y")</f>
        <v>—</v>
      </c>
      <c r="J65" s="14" t="str">
        <f>_xll.BDH("ALNY US Equity","PX_TO_FREE_CASH_FLOW","FQ3 2020","FQ3 2020","Currency=USD","Period=FQ","BEST_FPERIOD_OVERRIDE=FQ","FILING_STATUS=MR","Sort=A","Dates=H","DateFormat=P","Fill=—","Direction=H","UseDPDF=Y")</f>
        <v>—</v>
      </c>
      <c r="K65" s="14" t="str">
        <f>_xll.BDH("ALNY US Equity","PX_TO_FREE_CASH_FLOW","FQ4 2020","FQ4 2020","Currency=USD","Period=FQ","BEST_FPERIOD_OVERRIDE=FQ","FILING_STATUS=MR","Sort=A","Dates=H","DateFormat=P","Fill=—","Direction=H","UseDPDF=Y")</f>
        <v>—</v>
      </c>
      <c r="L65" s="14" t="str">
        <f>_xll.BDH("ALNY US Equity","PX_TO_FREE_CASH_FLOW","FQ1 2021","FQ1 2021","Currency=USD","Period=FQ","BEST_FPERIOD_OVERRIDE=FQ","FILING_STATUS=MR","Sort=A","Dates=H","DateFormat=P","Fill=—","Direction=H","UseDPDF=Y")</f>
        <v>—</v>
      </c>
      <c r="M65" s="14" t="str">
        <f>_xll.BDH("ALNY US Equity","PX_TO_FREE_CASH_FLOW","FQ2 2021","FQ2 2021","Currency=USD","Period=FQ","BEST_FPERIOD_OVERRIDE=FQ","FILING_STATUS=MR","Sort=A","Dates=H","DateFormat=P","Fill=—","Direction=H","UseDPDF=Y")</f>
        <v>—</v>
      </c>
      <c r="N65" s="14" t="str">
        <f>_xll.BDH("ALNY US Equity","PX_TO_FREE_CASH_FLOW","FQ3 2021","FQ3 2021","Currency=USD","Period=FQ","BEST_FPERIOD_OVERRIDE=FQ","FILING_STATUS=MR","Sort=A","Dates=H","DateFormat=P","Fill=—","Direction=H","UseDPDF=Y")</f>
        <v>—</v>
      </c>
      <c r="O65" s="14" t="str">
        <f>_xll.BDH("ALNY US Equity","PX_TO_FREE_CASH_FLOW","FQ4 2021","FQ4 2021","Currency=USD","Period=FQ","BEST_FPERIOD_OVERRIDE=FQ","FILING_STATUS=MR","Sort=A","Dates=H","DateFormat=P","Fill=—","Direction=H","UseDPDF=Y")</f>
        <v>—</v>
      </c>
      <c r="P65" s="14" t="str">
        <f>_xll.BDH("ALNY US Equity","PX_TO_FREE_CASH_FLOW","FQ1 2022","FQ1 2022","Currency=USD","Period=FQ","BEST_FPERIOD_OVERRIDE=FQ","FILING_STATUS=MR","Sort=A","Dates=H","DateFormat=P","Fill=—","Direction=H","UseDPDF=Y")</f>
        <v>—</v>
      </c>
      <c r="Q65" s="14" t="str">
        <f>_xll.BDH("ALNY US Equity","PX_TO_FREE_CASH_FLOW","FQ2 2022","FQ2 2022","Currency=USD","Period=FQ","BEST_FPERIOD_OVERRIDE=FQ","FILING_STATUS=MR","Sort=A","Dates=H","DateFormat=P","Fill=—","Direction=H","UseDPDF=Y")</f>
        <v>—</v>
      </c>
      <c r="R65" s="14" t="str">
        <f>_xll.BDH("ALNY US Equity","PX_TO_FREE_CASH_FLOW","FQ3 2022","FQ3 2022","Currency=USD","Period=FQ","BEST_FPERIOD_OVERRIDE=FQ","FILING_STATUS=MR","Sort=A","Dates=H","DateFormat=P","Fill=—","Direction=H","UseDPDF=Y")</f>
        <v>—</v>
      </c>
      <c r="S65" s="14" t="str">
        <f>_xll.BDH("ALNY US Equity","PX_TO_FREE_CASH_FLOW","FQ4 2022","FQ4 2022","Currency=USD","Period=FQ","BEST_FPERIOD_OVERRIDE=FQ","FILING_STATUS=MR","Sort=A","Dates=H","DateFormat=P","Fill=—","Direction=H","UseDPDF=Y")</f>
        <v>—</v>
      </c>
      <c r="T65" s="14" t="str">
        <f>_xll.BDH("ALNY US Equity","PX_TO_FREE_CASH_FLOW","FQ1 2023","FQ1 2023","Currency=USD","Period=FQ","BEST_FPERIOD_OVERRIDE=FQ","FILING_STATUS=MR","Sort=A","Dates=H","DateFormat=P","Fill=—","Direction=H","UseDPDF=Y")</f>
        <v>—</v>
      </c>
      <c r="U65" s="14" t="str">
        <f>_xll.BDH("ALNY US Equity","PX_TO_FREE_CASH_FLOW","FQ2 2023","FQ2 2023","Currency=USD","Period=FQ","BEST_FPERIOD_OVERRIDE=FQ","FILING_STATUS=MR","Sort=A","Dates=H","DateFormat=P","Fill=—","Direction=H","UseDPDF=Y")</f>
        <v>—</v>
      </c>
      <c r="V65" s="14" t="str">
        <f>_xll.BDH("ALNY US Equity","PX_TO_FREE_CASH_FLOW","FQ3 2023","FQ3 2023","Currency=USD","Period=FQ","BEST_FPERIOD_OVERRIDE=FQ","FILING_STATUS=MR","Sort=A","Dates=H","DateFormat=P","Fill=—","Direction=H","UseDPDF=Y")</f>
        <v>—</v>
      </c>
      <c r="W65" s="14">
        <f>_xll.BDH("ALNY US Equity","PX_TO_FREE_CASH_FLOW","FQ4 2023","FQ4 2023","Currency=USD","Period=FQ","BEST_FPERIOD_OVERRIDE=FQ","FILING_STATUS=MR","Sort=A","Dates=H","DateFormat=P","Fill=—","Direction=H","UseDPDF=Y")</f>
        <v>597.1585</v>
      </c>
      <c r="X65" s="14">
        <f>_xll.BDH("ALNY US Equity","PX_TO_FREE_CASH_FLOW","FQ1 2024","FQ1 2024","Currency=USD","Period=FQ","BEST_FPERIOD_OVERRIDE=FQ","FILING_STATUS=MR","Sort=A","Dates=H","DateFormat=P","Fill=—","Direction=H","UseDPDF=Y")</f>
        <v>145.84559999999999</v>
      </c>
      <c r="Y65" s="14">
        <f>_xll.BDH("ALNY US Equity","PX_TO_FREE_CASH_FLOW","FQ2 2024","FQ2 2024","Currency=USD","Period=FQ","BEST_FPERIOD_OVERRIDE=FQ","FILING_STATUS=MR","Sort=A","Dates=H","DateFormat=P","Fill=—","Direction=H","UseDPDF=Y")</f>
        <v>95.593699999999998</v>
      </c>
      <c r="Z65" s="14">
        <f>_xll.BDH("ALNY US Equity","PX_TO_FREE_CASH_FLOW","FQ3 2024","FQ3 2024","Currency=USD","Period=FQ","BEST_FPERIOD_OVERRIDE=FQ","FILING_STATUS=MR","Sort=A","Dates=H","DateFormat=P","Fill=—","Direction=H","UseDPDF=Y")</f>
        <v>2380.1019000000001</v>
      </c>
      <c r="AA65" s="14" t="str">
        <f>_xll.BDH("ALNY US Equity","PX_TO_FREE_CASH_FLOW","FQ4 2024","FQ4 2024","Currency=USD","Period=FQ","BEST_FPERIOD_OVERRIDE=FQ","FILING_STATUS=MR","Sort=A","Dates=H","DateFormat=P","Fill=—","Direction=H","UseDPDF=Y")</f>
        <v>—</v>
      </c>
    </row>
    <row r="66" spans="1:27" x14ac:dyDescent="0.25">
      <c r="A66" s="10" t="s">
        <v>1253</v>
      </c>
      <c r="B66" s="10" t="s">
        <v>1254</v>
      </c>
      <c r="C66" s="14" t="str">
        <f>_xll.BDH("ALNY US Equity","CASH_FLOW_TO_NET_INC","FQ4 2018","FQ4 2018","Currency=USD","Period=FQ","BEST_FPERIOD_OVERRIDE=FQ","FILING_STATUS=MR","FA_ADJUSTED=GAAP","Sort=A","Dates=H","DateFormat=P","Fill=—","Direction=H","UseDPDF=Y")</f>
        <v>—</v>
      </c>
      <c r="D66" s="14" t="str">
        <f>_xll.BDH("ALNY US Equity","CASH_FLOW_TO_NET_INC","FQ1 2019","FQ1 2019","Currency=USD","Period=FQ","BEST_FPERIOD_OVERRIDE=FQ","FILING_STATUS=MR","FA_ADJUSTED=GAAP","Sort=A","Dates=H","DateFormat=P","Fill=—","Direction=H","UseDPDF=Y")</f>
        <v>—</v>
      </c>
      <c r="E66" s="14" t="str">
        <f>_xll.BDH("ALNY US Equity","CASH_FLOW_TO_NET_INC","FQ2 2019","FQ2 2019","Currency=USD","Period=FQ","BEST_FPERIOD_OVERRIDE=FQ","FILING_STATUS=MR","FA_ADJUSTED=GAAP","Sort=A","Dates=H","DateFormat=P","Fill=—","Direction=H","UseDPDF=Y")</f>
        <v>—</v>
      </c>
      <c r="F66" s="14" t="str">
        <f>_xll.BDH("ALNY US Equity","CASH_FLOW_TO_NET_INC","FQ3 2019","FQ3 2019","Currency=USD","Period=FQ","BEST_FPERIOD_OVERRIDE=FQ","FILING_STATUS=MR","FA_ADJUSTED=GAAP","Sort=A","Dates=H","DateFormat=P","Fill=—","Direction=H","UseDPDF=Y")</f>
        <v>—</v>
      </c>
      <c r="G66" s="14" t="str">
        <f>_xll.BDH("ALNY US Equity","CASH_FLOW_TO_NET_INC","FQ4 2019","FQ4 2019","Currency=USD","Period=FQ","BEST_FPERIOD_OVERRIDE=FQ","FILING_STATUS=MR","FA_ADJUSTED=GAAP","Sort=A","Dates=H","DateFormat=P","Fill=—","Direction=H","UseDPDF=Y")</f>
        <v>—</v>
      </c>
      <c r="H66" s="14" t="str">
        <f>_xll.BDH("ALNY US Equity","CASH_FLOW_TO_NET_INC","FQ1 2020","FQ1 2020","Currency=USD","Period=FQ","BEST_FPERIOD_OVERRIDE=FQ","FILING_STATUS=MR","FA_ADJUSTED=GAAP","Sort=A","Dates=H","DateFormat=P","Fill=—","Direction=H","UseDPDF=Y")</f>
        <v>—</v>
      </c>
      <c r="I66" s="14" t="str">
        <f>_xll.BDH("ALNY US Equity","CASH_FLOW_TO_NET_INC","FQ2 2020","FQ2 2020","Currency=USD","Period=FQ","BEST_FPERIOD_OVERRIDE=FQ","FILING_STATUS=MR","FA_ADJUSTED=GAAP","Sort=A","Dates=H","DateFormat=P","Fill=—","Direction=H","UseDPDF=Y")</f>
        <v>—</v>
      </c>
      <c r="J66" s="14" t="str">
        <f>_xll.BDH("ALNY US Equity","CASH_FLOW_TO_NET_INC","FQ3 2020","FQ3 2020","Currency=USD","Period=FQ","BEST_FPERIOD_OVERRIDE=FQ","FILING_STATUS=MR","FA_ADJUSTED=GAAP","Sort=A","Dates=H","DateFormat=P","Fill=—","Direction=H","UseDPDF=Y")</f>
        <v>—</v>
      </c>
      <c r="K66" s="14" t="str">
        <f>_xll.BDH("ALNY US Equity","CASH_FLOW_TO_NET_INC","FQ4 2020","FQ4 2020","Currency=USD","Period=FQ","BEST_FPERIOD_OVERRIDE=FQ","FILING_STATUS=MR","FA_ADJUSTED=GAAP","Sort=A","Dates=H","DateFormat=P","Fill=—","Direction=H","UseDPDF=Y")</f>
        <v>—</v>
      </c>
      <c r="L66" s="14" t="str">
        <f>_xll.BDH("ALNY US Equity","CASH_FLOW_TO_NET_INC","FQ1 2021","FQ1 2021","Currency=USD","Period=FQ","BEST_FPERIOD_OVERRIDE=FQ","FILING_STATUS=MR","FA_ADJUSTED=GAAP","Sort=A","Dates=H","DateFormat=P","Fill=—","Direction=H","UseDPDF=Y")</f>
        <v>—</v>
      </c>
      <c r="M66" s="14" t="str">
        <f>_xll.BDH("ALNY US Equity","CASH_FLOW_TO_NET_INC","FQ2 2021","FQ2 2021","Currency=USD","Period=FQ","BEST_FPERIOD_OVERRIDE=FQ","FILING_STATUS=MR","FA_ADJUSTED=GAAP","Sort=A","Dates=H","DateFormat=P","Fill=—","Direction=H","UseDPDF=Y")</f>
        <v>—</v>
      </c>
      <c r="N66" s="14" t="str">
        <f>_xll.BDH("ALNY US Equity","CASH_FLOW_TO_NET_INC","FQ3 2021","FQ3 2021","Currency=USD","Period=FQ","BEST_FPERIOD_OVERRIDE=FQ","FILING_STATUS=MR","FA_ADJUSTED=GAAP","Sort=A","Dates=H","DateFormat=P","Fill=—","Direction=H","UseDPDF=Y")</f>
        <v>—</v>
      </c>
      <c r="O66" s="14" t="str">
        <f>_xll.BDH("ALNY US Equity","CASH_FLOW_TO_NET_INC","FQ4 2021","FQ4 2021","Currency=USD","Period=FQ","BEST_FPERIOD_OVERRIDE=FQ","FILING_STATUS=MR","FA_ADJUSTED=GAAP","Sort=A","Dates=H","DateFormat=P","Fill=—","Direction=H","UseDPDF=Y")</f>
        <v>—</v>
      </c>
      <c r="P66" s="14" t="str">
        <f>_xll.BDH("ALNY US Equity","CASH_FLOW_TO_NET_INC","FQ1 2022","FQ1 2022","Currency=USD","Period=FQ","BEST_FPERIOD_OVERRIDE=FQ","FILING_STATUS=MR","FA_ADJUSTED=GAAP","Sort=A","Dates=H","DateFormat=P","Fill=—","Direction=H","UseDPDF=Y")</f>
        <v>—</v>
      </c>
      <c r="Q66" s="14" t="str">
        <f>_xll.BDH("ALNY US Equity","CASH_FLOW_TO_NET_INC","FQ2 2022","FQ2 2022","Currency=USD","Period=FQ","BEST_FPERIOD_OVERRIDE=FQ","FILING_STATUS=MR","FA_ADJUSTED=GAAP","Sort=A","Dates=H","DateFormat=P","Fill=—","Direction=H","UseDPDF=Y")</f>
        <v>—</v>
      </c>
      <c r="R66" s="14" t="str">
        <f>_xll.BDH("ALNY US Equity","CASH_FLOW_TO_NET_INC","FQ3 2022","FQ3 2022","Currency=USD","Period=FQ","BEST_FPERIOD_OVERRIDE=FQ","FILING_STATUS=MR","FA_ADJUSTED=GAAP","Sort=A","Dates=H","DateFormat=P","Fill=—","Direction=H","UseDPDF=Y")</f>
        <v>—</v>
      </c>
      <c r="S66" s="14" t="str">
        <f>_xll.BDH("ALNY US Equity","CASH_FLOW_TO_NET_INC","FQ4 2022","FQ4 2022","Currency=USD","Period=FQ","BEST_FPERIOD_OVERRIDE=FQ","FILING_STATUS=MR","FA_ADJUSTED=GAAP","Sort=A","Dates=H","DateFormat=P","Fill=—","Direction=H","UseDPDF=Y")</f>
        <v>—</v>
      </c>
      <c r="T66" s="14" t="str">
        <f>_xll.BDH("ALNY US Equity","CASH_FLOW_TO_NET_INC","FQ1 2023","FQ1 2023","Currency=USD","Period=FQ","BEST_FPERIOD_OVERRIDE=FQ","FILING_STATUS=MR","FA_ADJUSTED=GAAP","Sort=A","Dates=H","DateFormat=P","Fill=—","Direction=H","UseDPDF=Y")</f>
        <v>—</v>
      </c>
      <c r="U66" s="14" t="str">
        <f>_xll.BDH("ALNY US Equity","CASH_FLOW_TO_NET_INC","FQ2 2023","FQ2 2023","Currency=USD","Period=FQ","BEST_FPERIOD_OVERRIDE=FQ","FILING_STATUS=MR","FA_ADJUSTED=GAAP","Sort=A","Dates=H","DateFormat=P","Fill=—","Direction=H","UseDPDF=Y")</f>
        <v>—</v>
      </c>
      <c r="V66" s="14">
        <f>_xll.BDH("ALNY US Equity","CASH_FLOW_TO_NET_INC","FQ3 2023","FQ3 2023","Currency=USD","Period=FQ","BEST_FPERIOD_OVERRIDE=FQ","FILING_STATUS=MR","FA_ADJUSTED=GAAP","Sort=A","Dates=H","DateFormat=P","Fill=—","Direction=H","UseDPDF=Y")</f>
        <v>2.4325000000000001</v>
      </c>
      <c r="W66" s="14" t="str">
        <f>_xll.BDH("ALNY US Equity","CASH_FLOW_TO_NET_INC","FQ4 2023","FQ4 2023","Currency=USD","Period=FQ","BEST_FPERIOD_OVERRIDE=FQ","FILING_STATUS=MR","FA_ADJUSTED=GAAP","Sort=A","Dates=H","DateFormat=P","Fill=—","Direction=H","UseDPDF=Y")</f>
        <v>—</v>
      </c>
      <c r="X66" s="14" t="str">
        <f>_xll.BDH("ALNY US Equity","CASH_FLOW_TO_NET_INC","FQ1 2024","FQ1 2024","Currency=USD","Period=FQ","BEST_FPERIOD_OVERRIDE=FQ","FILING_STATUS=MR","FA_ADJUSTED=GAAP","Sort=A","Dates=H","DateFormat=P","Fill=—","Direction=H","UseDPDF=Y")</f>
        <v>—</v>
      </c>
      <c r="Y66" s="14" t="str">
        <f>_xll.BDH("ALNY US Equity","CASH_FLOW_TO_NET_INC","FQ2 2024","FQ2 2024","Currency=USD","Period=FQ","BEST_FPERIOD_OVERRIDE=FQ","FILING_STATUS=MR","FA_ADJUSTED=GAAP","Sort=A","Dates=H","DateFormat=P","Fill=—","Direction=H","UseDPDF=Y")</f>
        <v>—</v>
      </c>
      <c r="Z66" s="14" t="str">
        <f>_xll.BDH("ALNY US Equity","CASH_FLOW_TO_NET_INC","FQ3 2024","FQ3 2024","Currency=USD","Period=FQ","BEST_FPERIOD_OVERRIDE=FQ","FILING_STATUS=MR","FA_ADJUSTED=GAAP","Sort=A","Dates=H","DateFormat=P","Fill=—","Direction=H","UseDPDF=Y")</f>
        <v>—</v>
      </c>
      <c r="AA66" s="14" t="str">
        <f>_xll.BDH("ALNY US Equity","CASH_FLOW_TO_NET_INC","FQ4 2024","FQ4 2024","Currency=USD","Period=FQ","BEST_FPERIOD_OVERRIDE=FQ","FILING_STATUS=MR","FA_ADJUSTED=GAAP","Sort=A","Dates=H","DateFormat=P","Fill=—","Direction=H","UseDPDF=Y")</f>
        <v>—</v>
      </c>
    </row>
    <row r="67" spans="1:27" x14ac:dyDescent="0.25">
      <c r="A67" s="7" t="s">
        <v>90</v>
      </c>
      <c r="B67" s="7"/>
      <c r="C67" s="7" t="s">
        <v>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3"/>
  <sheetViews>
    <sheetView workbookViewId="0">
      <selection activeCell="M28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400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264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1255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0" t="s">
        <v>1256</v>
      </c>
      <c r="B8" s="10" t="s">
        <v>1257</v>
      </c>
      <c r="C8" s="13">
        <f>_xll.BDH("ALNY US Equity","ARD_NET_INCOME_CF","FQ4 2018","FQ4 2018","Currency=USD","Period=FQ","BEST_FPERIOD_OVERRIDE=FQ","FILING_STATUS=MR","SCALING_FORMAT=MLN","Sort=A","Dates=H","DateFormat=P","Fill=—","Direction=H","UseDPDF=Y")</f>
        <v>-761.49699999999996</v>
      </c>
      <c r="D8" s="13">
        <f>_xll.BDH("ALNY US Equity","ARD_NET_INCOME_CF","FQ1 2019","FQ1 2019","Currency=USD","Period=FQ","BEST_FPERIOD_OVERRIDE=FQ","FILING_STATUS=MR","SCALING_FORMAT=MLN","Sort=A","Dates=H","DateFormat=P","Fill=—","Direction=H","UseDPDF=Y")</f>
        <v>-181.91499999999999</v>
      </c>
      <c r="E8" s="13">
        <f>_xll.BDH("ALNY US Equity","ARD_NET_INCOME_CF","FQ2 2019","FQ2 2019","Currency=USD","Period=FQ","BEST_FPERIOD_OVERRIDE=FQ","FILING_STATUS=MR","SCALING_FORMAT=MLN","Sort=A","Dates=H","DateFormat=P","Fill=—","Direction=H","UseDPDF=Y")</f>
        <v>-401.39600000000002</v>
      </c>
      <c r="F8" s="13">
        <f>_xll.BDH("ALNY US Equity","ARD_NET_INCOME_CF","FQ3 2019","FQ3 2019","Currency=USD","Period=FQ","BEST_FPERIOD_OVERRIDE=FQ","FILING_STATUS=MR","SCALING_FORMAT=MLN","Sort=A","Dates=H","DateFormat=P","Fill=—","Direction=H","UseDPDF=Y")</f>
        <v>-609.93100000000004</v>
      </c>
      <c r="G8" s="13">
        <f>_xll.BDH("ALNY US Equity","ARD_NET_INCOME_CF","FQ4 2019","FQ4 2019","Currency=USD","Period=FQ","BEST_FPERIOD_OVERRIDE=FQ","FILING_STATUS=MR","SCALING_FORMAT=MLN","Sort=A","Dates=H","DateFormat=P","Fill=—","Direction=H","UseDPDF=Y")</f>
        <v>-886.11599999999999</v>
      </c>
      <c r="H8" s="13">
        <f>_xll.BDH("ALNY US Equity","ARD_NET_INCOME_CF","FQ1 2020","FQ1 2020","Currency=USD","Period=FQ","BEST_FPERIOD_OVERRIDE=FQ","FILING_STATUS=MR","SCALING_FORMAT=MLN","Sort=A","Dates=H","DateFormat=P","Fill=—","Direction=H","UseDPDF=Y")</f>
        <v>-182.221</v>
      </c>
      <c r="I8" s="13">
        <f>_xll.BDH("ALNY US Equity","ARD_NET_INCOME_CF","FQ2 2020","FQ2 2020","Currency=USD","Period=FQ","BEST_FPERIOD_OVERRIDE=FQ","FILING_STATUS=MR","SCALING_FORMAT=MLN","Sort=A","Dates=H","DateFormat=P","Fill=—","Direction=H","UseDPDF=Y")</f>
        <v>-361.45</v>
      </c>
      <c r="J8" s="13">
        <f>_xll.BDH("ALNY US Equity","ARD_NET_INCOME_CF","FQ3 2020","FQ3 2020","Currency=USD","Period=FQ","BEST_FPERIOD_OVERRIDE=FQ","FILING_STATUS=MR","SCALING_FORMAT=MLN","Sort=A","Dates=H","DateFormat=P","Fill=—","Direction=H","UseDPDF=Y")</f>
        <v>-614.74099999999999</v>
      </c>
      <c r="K8" s="13">
        <f>_xll.BDH("ALNY US Equity","ARD_NET_INCOME_CF","FQ4 2020","FQ4 2020","Currency=USD","Period=FQ","BEST_FPERIOD_OVERRIDE=FQ","FILING_STATUS=MR","SCALING_FORMAT=MLN","Sort=A","Dates=H","DateFormat=P","Fill=—","Direction=H","UseDPDF=Y")</f>
        <v>-858.28099999999995</v>
      </c>
      <c r="L8" s="13">
        <f>_xll.BDH("ALNY US Equity","ARD_NET_INCOME_CF","FQ1 2021","FQ1 2021","Currency=USD","Period=FQ","BEST_FPERIOD_OVERRIDE=FQ","FILING_STATUS=MR","SCALING_FORMAT=MLN","Sort=A","Dates=H","DateFormat=P","Fill=—","Direction=H","UseDPDF=Y")</f>
        <v>-200.291</v>
      </c>
      <c r="M8" s="13">
        <f>_xll.BDH("ALNY US Equity","ARD_NET_INCOME_CF","FQ2 2021","FQ2 2021","Currency=USD","Period=FQ","BEST_FPERIOD_OVERRIDE=FQ","FILING_STATUS=MR","SCALING_FORMAT=MLN","Sort=A","Dates=H","DateFormat=P","Fill=—","Direction=H","UseDPDF=Y")</f>
        <v>-389.85</v>
      </c>
      <c r="N8" s="13">
        <f>_xll.BDH("ALNY US Equity","ARD_NET_INCOME_CF","FQ3 2021","FQ3 2021","Currency=USD","Period=FQ","BEST_FPERIOD_OVERRIDE=FQ","FILING_STATUS=MR","SCALING_FORMAT=MLN","Sort=A","Dates=H","DateFormat=P","Fill=—","Direction=H","UseDPDF=Y")</f>
        <v>-594.36400000000003</v>
      </c>
      <c r="O8" s="13">
        <f>_xll.BDH("ALNY US Equity","ARD_NET_INCOME_CF","FQ4 2021","FQ4 2021","Currency=USD","Period=FQ","BEST_FPERIOD_OVERRIDE=FQ","FILING_STATUS=MR","SCALING_FORMAT=MLN","Sort=A","Dates=H","DateFormat=P","Fill=—","Direction=H","UseDPDF=Y")</f>
        <v>-852.82399999999996</v>
      </c>
      <c r="P8" s="13">
        <f>_xll.BDH("ALNY US Equity","ARD_NET_INCOME_CF","FQ1 2022","FQ1 2022","Currency=USD","Period=FQ","BEST_FPERIOD_OVERRIDE=FQ","FILING_STATUS=MR","SCALING_FORMAT=MLN","Sort=A","Dates=H","DateFormat=P","Fill=—","Direction=H","UseDPDF=Y")</f>
        <v>-240.34100000000001</v>
      </c>
      <c r="Q8" s="13">
        <f>_xll.BDH("ALNY US Equity","ARD_NET_INCOME_CF","FQ2 2022","FQ2 2022","Currency=USD","Period=FQ","BEST_FPERIOD_OVERRIDE=FQ","FILING_STATUS=MR","SCALING_FORMAT=MLN","Sort=A","Dates=H","DateFormat=P","Fill=—","Direction=H","UseDPDF=Y")</f>
        <v>-517.74300000000005</v>
      </c>
      <c r="R8" s="13">
        <f>_xll.BDH("ALNY US Equity","ARD_NET_INCOME_CF","FQ3 2022","FQ3 2022","Currency=USD","Period=FQ","BEST_FPERIOD_OVERRIDE=FQ","FILING_STATUS=MR","SCALING_FORMAT=MLN","Sort=A","Dates=H","DateFormat=P","Fill=—","Direction=H","UseDPDF=Y")</f>
        <v>-923.66300000000001</v>
      </c>
      <c r="S8" s="13">
        <f>_xll.BDH("ALNY US Equity","ARD_NET_INCOME_CF","FQ4 2022","FQ4 2022","Currency=USD","Period=FQ","BEST_FPERIOD_OVERRIDE=FQ","FILING_STATUS=MR","SCALING_FORMAT=MLN","Sort=A","Dates=H","DateFormat=P","Fill=—","Direction=H","UseDPDF=Y")</f>
        <v>-1131.1559999999999</v>
      </c>
      <c r="T8" s="13">
        <f>_xll.BDH("ALNY US Equity","ARD_NET_INCOME_CF","FQ1 2023","FQ1 2023","Currency=USD","Period=FQ","BEST_FPERIOD_OVERRIDE=FQ","FILING_STATUS=MR","SCALING_FORMAT=MLN","Sort=A","Dates=H","DateFormat=P","Fill=—","Direction=H","UseDPDF=Y")</f>
        <v>-174.101</v>
      </c>
      <c r="U8" s="13">
        <f>_xll.BDH("ALNY US Equity","ARD_NET_INCOME_CF","FQ2 2023","FQ2 2023","Currency=USD","Period=FQ","BEST_FPERIOD_OVERRIDE=FQ","FILING_STATUS=MR","SCALING_FORMAT=MLN","Sort=A","Dates=H","DateFormat=P","Fill=—","Direction=H","UseDPDF=Y")</f>
        <v>-450.125</v>
      </c>
      <c r="V8" s="13">
        <f>_xll.BDH("ALNY US Equity","ARD_NET_INCOME_CF","FQ3 2023","FQ3 2023","Currency=USD","Period=FQ","BEST_FPERIOD_OVERRIDE=FQ","FILING_STATUS=MR","SCALING_FORMAT=MLN","Sort=A","Dates=H","DateFormat=P","Fill=—","Direction=H","UseDPDF=Y")</f>
        <v>-302.37200000000001</v>
      </c>
      <c r="W8" s="13">
        <f>_xll.BDH("ALNY US Equity","ARD_NET_INCOME_CF","FQ4 2023","FQ4 2023","Currency=USD","Period=FQ","BEST_FPERIOD_OVERRIDE=FQ","FILING_STATUS=MR","SCALING_FORMAT=MLN","Sort=A","Dates=H","DateFormat=P","Fill=—","Direction=H","UseDPDF=Y")</f>
        <v>-440.24200000000002</v>
      </c>
      <c r="X8" s="13">
        <f>_xll.BDH("ALNY US Equity","ARD_NET_INCOME_CF","FQ1 2024","FQ1 2024","Currency=USD","Period=FQ","BEST_FPERIOD_OVERRIDE=FQ","FILING_STATUS=MR","SCALING_FORMAT=MLN","Sort=A","Dates=H","DateFormat=P","Fill=—","Direction=H","UseDPDF=Y")</f>
        <v>-65.935000000000002</v>
      </c>
      <c r="Y8" s="13">
        <f>_xll.BDH("ALNY US Equity","ARD_NET_INCOME_CF","FQ2 2024","FQ2 2024","Currency=USD","Period=FQ","BEST_FPERIOD_OVERRIDE=FQ","FILING_STATUS=MR","SCALING_FORMAT=MLN","Sort=A","Dates=H","DateFormat=P","Fill=—","Direction=H","UseDPDF=Y")</f>
        <v>-82.823999999999998</v>
      </c>
      <c r="Z8" s="13">
        <f>_xll.BDH("ALNY US Equity","ARD_NET_INCOME_CF","FQ3 2024","FQ3 2024","Currency=USD","Period=FQ","BEST_FPERIOD_OVERRIDE=FQ","FILING_STATUS=MR","SCALING_FORMAT=MLN","Sort=A","Dates=H","DateFormat=P","Fill=—","Direction=H","UseDPDF=Y")</f>
        <v>-194.39400000000001</v>
      </c>
      <c r="AA8" s="13">
        <f>_xll.BDH("ALNY US Equity","ARD_NET_INCOME_CF","FQ4 2024","FQ4 2024","Currency=USD","Period=FQ","BEST_FPERIOD_OVERRIDE=FQ","FILING_STATUS=MR","SCALING_FORMAT=MLN","Sort=A","Dates=H","DateFormat=P","Fill=—","Direction=H","UseDPDF=Y")</f>
        <v>-278.15699999999998</v>
      </c>
    </row>
    <row r="9" spans="1:27" x14ac:dyDescent="0.25">
      <c r="A9" s="10" t="s">
        <v>1258</v>
      </c>
      <c r="B9" s="10" t="s">
        <v>1259</v>
      </c>
      <c r="C9" s="13" t="str">
        <f>_xll.BDH("ALNY US Equity","ARD_AMORTIZATION_CF","FQ4 2018","FQ4 2018","Currency=USD","Period=FQ","BEST_FPERIOD_OVERRIDE=FQ","FILING_STATUS=MR","SCALING_FORMAT=MLN","Sort=A","Dates=H","DateFormat=P","Fill=—","Direction=H","UseDPDF=Y")</f>
        <v>—</v>
      </c>
      <c r="D9" s="13" t="str">
        <f>_xll.BDH("ALNY US Equity","ARD_AMORTIZATION_CF","FQ1 2019","FQ1 2019","Currency=USD","Period=FQ","BEST_FPERIOD_OVERRIDE=FQ","FILING_STATUS=MR","SCALING_FORMAT=MLN","Sort=A","Dates=H","DateFormat=P","Fill=—","Direction=H","UseDPDF=Y")</f>
        <v>—</v>
      </c>
      <c r="E9" s="13" t="str">
        <f>_xll.BDH("ALNY US Equity","ARD_AMORTIZATION_CF","FQ2 2019","FQ2 2019","Currency=USD","Period=FQ","BEST_FPERIOD_OVERRIDE=FQ","FILING_STATUS=MR","SCALING_FORMAT=MLN","Sort=A","Dates=H","DateFormat=P","Fill=—","Direction=H","UseDPDF=Y")</f>
        <v>—</v>
      </c>
      <c r="F9" s="13">
        <f>_xll.BDH("ALNY US Equity","ARD_AMORTIZATION_CF","FQ3 2019","FQ3 2019","Currency=USD","Period=FQ","BEST_FPERIOD_OVERRIDE=FQ","FILING_STATUS=MR","SCALING_FORMAT=MLN","Sort=A","Dates=H","DateFormat=P","Fill=—","Direction=H","UseDPDF=Y")</f>
        <v>27.873000000000001</v>
      </c>
      <c r="G9" s="13">
        <f>_xll.BDH("ALNY US Equity","ARD_AMORTIZATION_CF","FQ4 2019","FQ4 2019","Currency=USD","Period=FQ","BEST_FPERIOD_OVERRIDE=FQ","FILING_STATUS=MR","SCALING_FORMAT=MLN","Sort=A","Dates=H","DateFormat=P","Fill=—","Direction=H","UseDPDF=Y")</f>
        <v>37.192999999999998</v>
      </c>
      <c r="H9" s="13">
        <f>_xll.BDH("ALNY US Equity","ARD_AMORTIZATION_CF","FQ1 2020","FQ1 2020","Currency=USD","Period=FQ","BEST_FPERIOD_OVERRIDE=FQ","FILING_STATUS=MR","SCALING_FORMAT=MLN","Sort=A","Dates=H","DateFormat=P","Fill=—","Direction=H","UseDPDF=Y")</f>
        <v>9.3930000000000007</v>
      </c>
      <c r="I9" s="13">
        <f>_xll.BDH("ALNY US Equity","ARD_AMORTIZATION_CF","FQ2 2020","FQ2 2020","Currency=USD","Period=FQ","BEST_FPERIOD_OVERRIDE=FQ","FILING_STATUS=MR","SCALING_FORMAT=MLN","Sort=A","Dates=H","DateFormat=P","Fill=—","Direction=H","UseDPDF=Y")</f>
        <v>18.971</v>
      </c>
      <c r="J9" s="13">
        <f>_xll.BDH("ALNY US Equity","ARD_AMORTIZATION_CF","FQ3 2020","FQ3 2020","Currency=USD","Period=FQ","BEST_FPERIOD_OVERRIDE=FQ","FILING_STATUS=MR","SCALING_FORMAT=MLN","Sort=A","Dates=H","DateFormat=P","Fill=—","Direction=H","UseDPDF=Y")</f>
        <v>29.169</v>
      </c>
      <c r="K9" s="13">
        <f>_xll.BDH("ALNY US Equity","ARD_AMORTIZATION_CF","FQ4 2020","FQ4 2020","Currency=USD","Period=FQ","BEST_FPERIOD_OVERRIDE=FQ","FILING_STATUS=MR","SCALING_FORMAT=MLN","Sort=A","Dates=H","DateFormat=P","Fill=—","Direction=H","UseDPDF=Y")</f>
        <v>39.662999999999997</v>
      </c>
      <c r="L9" s="13">
        <f>_xll.BDH("ALNY US Equity","ARD_AMORTIZATION_CF","FQ1 2021","FQ1 2021","Currency=USD","Period=FQ","BEST_FPERIOD_OVERRIDE=FQ","FILING_STATUS=MR","SCALING_FORMAT=MLN","Sort=A","Dates=H","DateFormat=P","Fill=—","Direction=H","UseDPDF=Y")</f>
        <v>10.260999999999999</v>
      </c>
      <c r="M9" s="13">
        <f>_xll.BDH("ALNY US Equity","ARD_AMORTIZATION_CF","FQ2 2021","FQ2 2021","Currency=USD","Period=FQ","BEST_FPERIOD_OVERRIDE=FQ","FILING_STATUS=MR","SCALING_FORMAT=MLN","Sort=A","Dates=H","DateFormat=P","Fill=—","Direction=H","UseDPDF=Y")</f>
        <v>20.617000000000001</v>
      </c>
      <c r="N9" s="13">
        <f>_xll.BDH("ALNY US Equity","ARD_AMORTIZATION_CF","FQ3 2021","FQ3 2021","Currency=USD","Period=FQ","BEST_FPERIOD_OVERRIDE=FQ","FILING_STATUS=MR","SCALING_FORMAT=MLN","Sort=A","Dates=H","DateFormat=P","Fill=—","Direction=H","UseDPDF=Y")</f>
        <v>32.051000000000002</v>
      </c>
      <c r="O9" s="13">
        <f>_xll.BDH("ALNY US Equity","ARD_AMORTIZATION_CF","FQ4 2021","FQ4 2021","Currency=USD","Period=FQ","BEST_FPERIOD_OVERRIDE=FQ","FILING_STATUS=MR","SCALING_FORMAT=MLN","Sort=A","Dates=H","DateFormat=P","Fill=—","Direction=H","UseDPDF=Y")</f>
        <v>42.127000000000002</v>
      </c>
      <c r="P9" s="13">
        <f>_xll.BDH("ALNY US Equity","ARD_AMORTIZATION_CF","FQ1 2022","FQ1 2022","Currency=USD","Period=FQ","BEST_FPERIOD_OVERRIDE=FQ","FILING_STATUS=MR","SCALING_FORMAT=MLN","Sort=A","Dates=H","DateFormat=P","Fill=—","Direction=H","UseDPDF=Y")</f>
        <v>10.318</v>
      </c>
      <c r="Q9" s="13">
        <f>_xll.BDH("ALNY US Equity","ARD_AMORTIZATION_CF","FQ2 2022","FQ2 2022","Currency=USD","Period=FQ","BEST_FPERIOD_OVERRIDE=FQ","FILING_STATUS=MR","SCALING_FORMAT=MLN","Sort=A","Dates=H","DateFormat=P","Fill=—","Direction=H","UseDPDF=Y")</f>
        <v>20.457999999999998</v>
      </c>
      <c r="R9" s="13">
        <f>_xll.BDH("ALNY US Equity","ARD_AMORTIZATION_CF","FQ3 2022","FQ3 2022","Currency=USD","Period=FQ","BEST_FPERIOD_OVERRIDE=FQ","FILING_STATUS=MR","SCALING_FORMAT=MLN","Sort=A","Dates=H","DateFormat=P","Fill=—","Direction=H","UseDPDF=Y")</f>
        <v>30.507999999999999</v>
      </c>
      <c r="S9" s="13">
        <f>_xll.BDH("ALNY US Equity","ARD_AMORTIZATION_CF","FQ4 2022","FQ4 2022","Currency=USD","Period=FQ","BEST_FPERIOD_OVERRIDE=FQ","FILING_STATUS=MR","SCALING_FORMAT=MLN","Sort=A","Dates=H","DateFormat=P","Fill=—","Direction=H","UseDPDF=Y")</f>
        <v>41.082000000000001</v>
      </c>
      <c r="T9" s="13">
        <f>_xll.BDH("ALNY US Equity","ARD_AMORTIZATION_CF","FQ1 2023","FQ1 2023","Currency=USD","Period=FQ","BEST_FPERIOD_OVERRIDE=FQ","FILING_STATUS=MR","SCALING_FORMAT=MLN","Sort=A","Dates=H","DateFormat=P","Fill=—","Direction=H","UseDPDF=Y")</f>
        <v>12.013999999999999</v>
      </c>
      <c r="U9" s="13">
        <f>_xll.BDH("ALNY US Equity","ARD_AMORTIZATION_CF","FQ2 2023","FQ2 2023","Currency=USD","Period=FQ","BEST_FPERIOD_OVERRIDE=FQ","FILING_STATUS=MR","SCALING_FORMAT=MLN","Sort=A","Dates=H","DateFormat=P","Fill=—","Direction=H","UseDPDF=Y")</f>
        <v>22.282</v>
      </c>
      <c r="V9" s="13">
        <f>_xll.BDH("ALNY US Equity","ARD_AMORTIZATION_CF","FQ3 2023","FQ3 2023","Currency=USD","Period=FQ","BEST_FPERIOD_OVERRIDE=FQ","FILING_STATUS=MR","SCALING_FORMAT=MLN","Sort=A","Dates=H","DateFormat=P","Fill=—","Direction=H","UseDPDF=Y")</f>
        <v>32.485999999999997</v>
      </c>
      <c r="W9" s="13">
        <f>_xll.BDH("ALNY US Equity","ARD_AMORTIZATION_CF","FQ4 2023","FQ4 2023","Currency=USD","Period=FQ","BEST_FPERIOD_OVERRIDE=FQ","FILING_STATUS=MR","SCALING_FORMAT=MLN","Sort=A","Dates=H","DateFormat=P","Fill=—","Direction=H","UseDPDF=Y")</f>
        <v>42.976999999999997</v>
      </c>
      <c r="X9" s="13">
        <f>_xll.BDH("ALNY US Equity","ARD_AMORTIZATION_CF","FQ1 2024","FQ1 2024","Currency=USD","Period=FQ","BEST_FPERIOD_OVERRIDE=FQ","FILING_STATUS=MR","SCALING_FORMAT=MLN","Sort=A","Dates=H","DateFormat=P","Fill=—","Direction=H","UseDPDF=Y")</f>
        <v>11.968999999999999</v>
      </c>
      <c r="Y9" s="13">
        <f>_xll.BDH("ALNY US Equity","ARD_AMORTIZATION_CF","FQ2 2024","FQ2 2024","Currency=USD","Period=FQ","BEST_FPERIOD_OVERRIDE=FQ","FILING_STATUS=MR","SCALING_FORMAT=MLN","Sort=A","Dates=H","DateFormat=P","Fill=—","Direction=H","UseDPDF=Y")</f>
        <v>21.658000000000001</v>
      </c>
      <c r="Z9" s="13">
        <f>_xll.BDH("ALNY US Equity","ARD_AMORTIZATION_CF","FQ3 2024","FQ3 2024","Currency=USD","Period=FQ","BEST_FPERIOD_OVERRIDE=FQ","FILING_STATUS=MR","SCALING_FORMAT=MLN","Sort=A","Dates=H","DateFormat=P","Fill=—","Direction=H","UseDPDF=Y")</f>
        <v>34.713999999999999</v>
      </c>
      <c r="AA9" s="13" t="str">
        <f>_xll.BDH("ALNY US Equity","ARD_AMORTIZATION_CF","FQ4 2024","FQ4 2024","Currency=USD","Period=FQ","BEST_FPERIOD_OVERRIDE=FQ","FILING_STATUS=MR","SCALING_FORMAT=MLN","Sort=A","Dates=H","DateFormat=P","Fill=—","Direction=H","UseDPDF=Y")</f>
        <v>—</v>
      </c>
    </row>
    <row r="10" spans="1:27" x14ac:dyDescent="0.25">
      <c r="A10" s="10" t="s">
        <v>1260</v>
      </c>
      <c r="B10" s="10" t="s">
        <v>1261</v>
      </c>
      <c r="C10" s="13">
        <f>_xll.BDH("ALNY US Equity","ARD_DEPRECIATION_AND_AMORT_CF","FQ4 2018","FQ4 2018","Currency=USD","Period=FQ","BEST_FPERIOD_OVERRIDE=FQ","FILING_STATUS=MR","SCALING_FORMAT=MLN","Sort=A","Dates=H","DateFormat=P","Fill=—","Direction=H","UseDPDF=Y")</f>
        <v>6.4349999999999996</v>
      </c>
      <c r="D10" s="13">
        <f>_xll.BDH("ALNY US Equity","ARD_DEPRECIATION_AND_AMORT_CF","FQ1 2019","FQ1 2019","Currency=USD","Period=FQ","BEST_FPERIOD_OVERRIDE=FQ","FILING_STATUS=MR","SCALING_FORMAT=MLN","Sort=A","Dates=H","DateFormat=P","Fill=—","Direction=H","UseDPDF=Y")</f>
        <v>12.21</v>
      </c>
      <c r="E10" s="13">
        <f>_xll.BDH("ALNY US Equity","ARD_DEPRECIATION_AND_AMORT_CF","FQ2 2019","FQ2 2019","Currency=USD","Period=FQ","BEST_FPERIOD_OVERRIDE=FQ","FILING_STATUS=MR","SCALING_FORMAT=MLN","Sort=A","Dates=H","DateFormat=P","Fill=—","Direction=H","UseDPDF=Y")</f>
        <v>21.954999999999998</v>
      </c>
      <c r="F10" s="13">
        <f>_xll.BDH("ALNY US Equity","ARD_DEPRECIATION_AND_AMORT_CF","FQ3 2019","FQ3 2019","Currency=USD","Period=FQ","BEST_FPERIOD_OVERRIDE=FQ","FILING_STATUS=MR","SCALING_FORMAT=MLN","Sort=A","Dates=H","DateFormat=P","Fill=—","Direction=H","UseDPDF=Y")</f>
        <v>11.733000000000001</v>
      </c>
      <c r="G10" s="13">
        <f>_xll.BDH("ALNY US Equity","ARD_DEPRECIATION_AND_AMORT_CF","FQ4 2019","FQ4 2019","Currency=USD","Period=FQ","BEST_FPERIOD_OVERRIDE=FQ","FILING_STATUS=MR","SCALING_FORMAT=MLN","Sort=A","Dates=H","DateFormat=P","Fill=—","Direction=H","UseDPDF=Y")</f>
        <v>17.175000000000001</v>
      </c>
      <c r="H10" s="13">
        <f>_xll.BDH("ALNY US Equity","ARD_DEPRECIATION_AND_AMORT_CF","FQ1 2020","FQ1 2020","Currency=USD","Period=FQ","BEST_FPERIOD_OVERRIDE=FQ","FILING_STATUS=MR","SCALING_FORMAT=MLN","Sort=A","Dates=H","DateFormat=P","Fill=—","Direction=H","UseDPDF=Y")</f>
        <v>7.6130000000000004</v>
      </c>
      <c r="I10" s="13">
        <f>_xll.BDH("ALNY US Equity","ARD_DEPRECIATION_AND_AMORT_CF","FQ2 2020","FQ2 2020","Currency=USD","Period=FQ","BEST_FPERIOD_OVERRIDE=FQ","FILING_STATUS=MR","SCALING_FORMAT=MLN","Sort=A","Dates=H","DateFormat=P","Fill=—","Direction=H","UseDPDF=Y")</f>
        <v>15.813000000000001</v>
      </c>
      <c r="J10" s="13">
        <f>_xll.BDH("ALNY US Equity","ARD_DEPRECIATION_AND_AMORT_CF","FQ3 2020","FQ3 2020","Currency=USD","Period=FQ","BEST_FPERIOD_OVERRIDE=FQ","FILING_STATUS=MR","SCALING_FORMAT=MLN","Sort=A","Dates=H","DateFormat=P","Fill=—","Direction=H","UseDPDF=Y")</f>
        <v>24.385999999999999</v>
      </c>
      <c r="K10" s="13">
        <f>_xll.BDH("ALNY US Equity","ARD_DEPRECIATION_AND_AMORT_CF","FQ4 2020","FQ4 2020","Currency=USD","Period=FQ","BEST_FPERIOD_OVERRIDE=FQ","FILING_STATUS=MR","SCALING_FORMAT=MLN","Sort=A","Dates=H","DateFormat=P","Fill=—","Direction=H","UseDPDF=Y")</f>
        <v>34.771999999999998</v>
      </c>
      <c r="L10" s="13">
        <f>_xll.BDH("ALNY US Equity","ARD_DEPRECIATION_AND_AMORT_CF","FQ1 2021","FQ1 2021","Currency=USD","Period=FQ","BEST_FPERIOD_OVERRIDE=FQ","FILING_STATUS=MR","SCALING_FORMAT=MLN","Sort=A","Dates=H","DateFormat=P","Fill=—","Direction=H","UseDPDF=Y")</f>
        <v>12.601000000000001</v>
      </c>
      <c r="M10" s="13">
        <f>_xll.BDH("ALNY US Equity","ARD_DEPRECIATION_AND_AMORT_CF","FQ2 2021","FQ2 2021","Currency=USD","Period=FQ","BEST_FPERIOD_OVERRIDE=FQ","FILING_STATUS=MR","SCALING_FORMAT=MLN","Sort=A","Dates=H","DateFormat=P","Fill=—","Direction=H","UseDPDF=Y")</f>
        <v>24.405999999999999</v>
      </c>
      <c r="N10" s="13">
        <f>_xll.BDH("ALNY US Equity","ARD_DEPRECIATION_AND_AMORT_CF","FQ3 2021","FQ3 2021","Currency=USD","Period=FQ","BEST_FPERIOD_OVERRIDE=FQ","FILING_STATUS=MR","SCALING_FORMAT=MLN","Sort=A","Dates=H","DateFormat=P","Fill=—","Direction=H","UseDPDF=Y")</f>
        <v>36.192</v>
      </c>
      <c r="O10" s="13">
        <f>_xll.BDH("ALNY US Equity","ARD_DEPRECIATION_AND_AMORT_CF","FQ4 2021","FQ4 2021","Currency=USD","Period=FQ","BEST_FPERIOD_OVERRIDE=FQ","FILING_STATUS=MR","SCALING_FORMAT=MLN","Sort=A","Dates=H","DateFormat=P","Fill=—","Direction=H","UseDPDF=Y")</f>
        <v>47.567</v>
      </c>
      <c r="P10" s="13">
        <f>_xll.BDH("ALNY US Equity","ARD_DEPRECIATION_AND_AMORT_CF","FQ1 2022","FQ1 2022","Currency=USD","Period=FQ","BEST_FPERIOD_OVERRIDE=FQ","FILING_STATUS=MR","SCALING_FORMAT=MLN","Sort=A","Dates=H","DateFormat=P","Fill=—","Direction=H","UseDPDF=Y")</f>
        <v>9.4600000000000009</v>
      </c>
      <c r="Q10" s="13">
        <f>_xll.BDH("ALNY US Equity","ARD_DEPRECIATION_AND_AMORT_CF","FQ2 2022","FQ2 2022","Currency=USD","Period=FQ","BEST_FPERIOD_OVERRIDE=FQ","FILING_STATUS=MR","SCALING_FORMAT=MLN","Sort=A","Dates=H","DateFormat=P","Fill=—","Direction=H","UseDPDF=Y")</f>
        <v>19.556999999999999</v>
      </c>
      <c r="R10" s="13">
        <f>_xll.BDH("ALNY US Equity","ARD_DEPRECIATION_AND_AMORT_CF","FQ3 2022","FQ3 2022","Currency=USD","Period=FQ","BEST_FPERIOD_OVERRIDE=FQ","FILING_STATUS=MR","SCALING_FORMAT=MLN","Sort=A","Dates=H","DateFormat=P","Fill=—","Direction=H","UseDPDF=Y")</f>
        <v>30.157</v>
      </c>
      <c r="S10" s="13">
        <f>_xll.BDH("ALNY US Equity","ARD_DEPRECIATION_AND_AMORT_CF","FQ4 2022","FQ4 2022","Currency=USD","Period=FQ","BEST_FPERIOD_OVERRIDE=FQ","FILING_STATUS=MR","SCALING_FORMAT=MLN","Sort=A","Dates=H","DateFormat=P","Fill=—","Direction=H","UseDPDF=Y")</f>
        <v>44.468000000000004</v>
      </c>
      <c r="T10" s="13">
        <f>_xll.BDH("ALNY US Equity","ARD_DEPRECIATION_AND_AMORT_CF","FQ1 2023","FQ1 2023","Currency=USD","Period=FQ","BEST_FPERIOD_OVERRIDE=FQ","FILING_STATUS=MR","SCALING_FORMAT=MLN","Sort=A","Dates=H","DateFormat=P","Fill=—","Direction=H","UseDPDF=Y")</f>
        <v>14.065</v>
      </c>
      <c r="U10" s="13">
        <f>_xll.BDH("ALNY US Equity","ARD_DEPRECIATION_AND_AMORT_CF","FQ2 2023","FQ2 2023","Currency=USD","Period=FQ","BEST_FPERIOD_OVERRIDE=FQ","FILING_STATUS=MR","SCALING_FORMAT=MLN","Sort=A","Dates=H","DateFormat=P","Fill=—","Direction=H","UseDPDF=Y")</f>
        <v>27.244</v>
      </c>
      <c r="V10" s="13">
        <f>_xll.BDH("ALNY US Equity","ARD_DEPRECIATION_AND_AMORT_CF","FQ3 2023","FQ3 2023","Currency=USD","Period=FQ","BEST_FPERIOD_OVERRIDE=FQ","FILING_STATUS=MR","SCALING_FORMAT=MLN","Sort=A","Dates=H","DateFormat=P","Fill=—","Direction=H","UseDPDF=Y")</f>
        <v>40.572000000000003</v>
      </c>
      <c r="W10" s="13">
        <f>_xll.BDH("ALNY US Equity","ARD_DEPRECIATION_AND_AMORT_CF","FQ4 2023","FQ4 2023","Currency=USD","Period=FQ","BEST_FPERIOD_OVERRIDE=FQ","FILING_STATUS=MR","SCALING_FORMAT=MLN","Sort=A","Dates=H","DateFormat=P","Fill=—","Direction=H","UseDPDF=Y")</f>
        <v>54.054000000000002</v>
      </c>
      <c r="X10" s="13">
        <f>_xll.BDH("ALNY US Equity","ARD_DEPRECIATION_AND_AMORT_CF","FQ1 2024","FQ1 2024","Currency=USD","Period=FQ","BEST_FPERIOD_OVERRIDE=FQ","FILING_STATUS=MR","SCALING_FORMAT=MLN","Sort=A","Dates=H","DateFormat=P","Fill=—","Direction=H","UseDPDF=Y")</f>
        <v>13.516999999999999</v>
      </c>
      <c r="Y10" s="13">
        <f>_xll.BDH("ALNY US Equity","ARD_DEPRECIATION_AND_AMORT_CF","FQ2 2024","FQ2 2024","Currency=USD","Period=FQ","BEST_FPERIOD_OVERRIDE=FQ","FILING_STATUS=MR","SCALING_FORMAT=MLN","Sort=A","Dates=H","DateFormat=P","Fill=—","Direction=H","UseDPDF=Y")</f>
        <v>28.52</v>
      </c>
      <c r="Z10" s="13">
        <f>_xll.BDH("ALNY US Equity","ARD_DEPRECIATION_AND_AMORT_CF","FQ3 2024","FQ3 2024","Currency=USD","Period=FQ","BEST_FPERIOD_OVERRIDE=FQ","FILING_STATUS=MR","SCALING_FORMAT=MLN","Sort=A","Dates=H","DateFormat=P","Fill=—","Direction=H","UseDPDF=Y")</f>
        <v>42.502000000000002</v>
      </c>
      <c r="AA10" s="13">
        <f>_xll.BDH("ALNY US Equity","ARD_DEPRECIATION_AND_AMORT_CF","FQ4 2024","FQ4 2024","Currency=USD","Period=FQ","BEST_FPERIOD_OVERRIDE=FQ","FILING_STATUS=MR","SCALING_FORMAT=MLN","Sort=A","Dates=H","DateFormat=P","Fill=—","Direction=H","UseDPDF=Y")</f>
        <v>56.67</v>
      </c>
    </row>
    <row r="11" spans="1:27" x14ac:dyDescent="0.25">
      <c r="A11" s="10" t="s">
        <v>1262</v>
      </c>
      <c r="B11" s="10" t="s">
        <v>1263</v>
      </c>
      <c r="C11" s="13" t="str">
        <f>_xll.BDH("ALNY US Equity","ARD_DEFERRED_INCOME_TAXES_CF","FQ4 2018","FQ4 2018","Currency=USD","Period=FQ","BEST_FPERIOD_OVERRIDE=FQ","FILING_STATUS=MR","SCALING_FORMAT=MLN","Sort=A","Dates=H","DateFormat=P","Fill=—","Direction=H","UseDPDF=Y")</f>
        <v>—</v>
      </c>
      <c r="D11" s="13" t="str">
        <f>_xll.BDH("ALNY US Equity","ARD_DEFERRED_INCOME_TAXES_CF","FQ1 2019","FQ1 2019","Currency=USD","Period=FQ","BEST_FPERIOD_OVERRIDE=FQ","FILING_STATUS=MR","SCALING_FORMAT=MLN","Sort=A","Dates=H","DateFormat=P","Fill=—","Direction=H","UseDPDF=Y")</f>
        <v>—</v>
      </c>
      <c r="E11" s="13" t="str">
        <f>_xll.BDH("ALNY US Equity","ARD_DEFERRED_INCOME_TAXES_CF","FQ2 2019","FQ2 2019","Currency=USD","Period=FQ","BEST_FPERIOD_OVERRIDE=FQ","FILING_STATUS=MR","SCALING_FORMAT=MLN","Sort=A","Dates=H","DateFormat=P","Fill=—","Direction=H","UseDPDF=Y")</f>
        <v>—</v>
      </c>
      <c r="F11" s="13" t="str">
        <f>_xll.BDH("ALNY US Equity","ARD_DEFERRED_INCOME_TAXES_CF","FQ3 2019","FQ3 2019","Currency=USD","Period=FQ","BEST_FPERIOD_OVERRIDE=FQ","FILING_STATUS=MR","SCALING_FORMAT=MLN","Sort=A","Dates=H","DateFormat=P","Fill=—","Direction=H","UseDPDF=Y")</f>
        <v>—</v>
      </c>
      <c r="G11" s="13" t="str">
        <f>_xll.BDH("ALNY US Equity","ARD_DEFERRED_INCOME_TAXES_CF","FQ4 2019","FQ4 2019","Currency=USD","Period=FQ","BEST_FPERIOD_OVERRIDE=FQ","FILING_STATUS=MR","SCALING_FORMAT=MLN","Sort=A","Dates=H","DateFormat=P","Fill=—","Direction=H","UseDPDF=Y")</f>
        <v>—</v>
      </c>
      <c r="H11" s="13" t="str">
        <f>_xll.BDH("ALNY US Equity","ARD_DEFERRED_INCOME_TAXES_CF","FQ1 2020","FQ1 2020","Currency=USD","Period=FQ","BEST_FPERIOD_OVERRIDE=FQ","FILING_STATUS=MR","SCALING_FORMAT=MLN","Sort=A","Dates=H","DateFormat=P","Fill=—","Direction=H","UseDPDF=Y")</f>
        <v>—</v>
      </c>
      <c r="I11" s="13" t="str">
        <f>_xll.BDH("ALNY US Equity","ARD_DEFERRED_INCOME_TAXES_CF","FQ2 2020","FQ2 2020","Currency=USD","Period=FQ","BEST_FPERIOD_OVERRIDE=FQ","FILING_STATUS=MR","SCALING_FORMAT=MLN","Sort=A","Dates=H","DateFormat=P","Fill=—","Direction=H","UseDPDF=Y")</f>
        <v>—</v>
      </c>
      <c r="J11" s="13" t="str">
        <f>_xll.BDH("ALNY US Equity","ARD_DEFERRED_INCOME_TAXES_CF","FQ3 2020","FQ3 2020","Currency=USD","Period=FQ","BEST_FPERIOD_OVERRIDE=FQ","FILING_STATUS=MR","SCALING_FORMAT=MLN","Sort=A","Dates=H","DateFormat=P","Fill=—","Direction=H","UseDPDF=Y")</f>
        <v>—</v>
      </c>
      <c r="K11" s="13" t="str">
        <f>_xll.BDH("ALNY US Equity","ARD_DEFERRED_INCOME_TAXES_CF","FQ4 2020","FQ4 2020","Currency=USD","Period=FQ","BEST_FPERIOD_OVERRIDE=FQ","FILING_STATUS=MR","SCALING_FORMAT=MLN","Sort=A","Dates=H","DateFormat=P","Fill=—","Direction=H","UseDPDF=Y")</f>
        <v>—</v>
      </c>
      <c r="L11" s="13" t="str">
        <f>_xll.BDH("ALNY US Equity","ARD_DEFERRED_INCOME_TAXES_CF","FQ1 2021","FQ1 2021","Currency=USD","Period=FQ","BEST_FPERIOD_OVERRIDE=FQ","FILING_STATUS=MR","SCALING_FORMAT=MLN","Sort=A","Dates=H","DateFormat=P","Fill=—","Direction=H","UseDPDF=Y")</f>
        <v>—</v>
      </c>
      <c r="M11" s="13" t="str">
        <f>_xll.BDH("ALNY US Equity","ARD_DEFERRED_INCOME_TAXES_CF","FQ2 2021","FQ2 2021","Currency=USD","Period=FQ","BEST_FPERIOD_OVERRIDE=FQ","FILING_STATUS=MR","SCALING_FORMAT=MLN","Sort=A","Dates=H","DateFormat=P","Fill=—","Direction=H","UseDPDF=Y")</f>
        <v>—</v>
      </c>
      <c r="N11" s="13" t="str">
        <f>_xll.BDH("ALNY US Equity","ARD_DEFERRED_INCOME_TAXES_CF","FQ3 2021","FQ3 2021","Currency=USD","Period=FQ","BEST_FPERIOD_OVERRIDE=FQ","FILING_STATUS=MR","SCALING_FORMAT=MLN","Sort=A","Dates=H","DateFormat=P","Fill=—","Direction=H","UseDPDF=Y")</f>
        <v>—</v>
      </c>
      <c r="O11" s="13" t="str">
        <f>_xll.BDH("ALNY US Equity","ARD_DEFERRED_INCOME_TAXES_CF","FQ4 2021","FQ4 2021","Currency=USD","Period=FQ","BEST_FPERIOD_OVERRIDE=FQ","FILING_STATUS=MR","SCALING_FORMAT=MLN","Sort=A","Dates=H","DateFormat=P","Fill=—","Direction=H","UseDPDF=Y")</f>
        <v>—</v>
      </c>
      <c r="P11" s="13" t="str">
        <f>_xll.BDH("ALNY US Equity","ARD_DEFERRED_INCOME_TAXES_CF","FQ1 2022","FQ1 2022","Currency=USD","Period=FQ","BEST_FPERIOD_OVERRIDE=FQ","FILING_STATUS=MR","SCALING_FORMAT=MLN","Sort=A","Dates=H","DateFormat=P","Fill=—","Direction=H","UseDPDF=Y")</f>
        <v>—</v>
      </c>
      <c r="Q11" s="13" t="str">
        <f>_xll.BDH("ALNY US Equity","ARD_DEFERRED_INCOME_TAXES_CF","FQ2 2022","FQ2 2022","Currency=USD","Period=FQ","BEST_FPERIOD_OVERRIDE=FQ","FILING_STATUS=MR","SCALING_FORMAT=MLN","Sort=A","Dates=H","DateFormat=P","Fill=—","Direction=H","UseDPDF=Y")</f>
        <v>—</v>
      </c>
      <c r="R11" s="13" t="str">
        <f>_xll.BDH("ALNY US Equity","ARD_DEFERRED_INCOME_TAXES_CF","FQ3 2022","FQ3 2022","Currency=USD","Period=FQ","BEST_FPERIOD_OVERRIDE=FQ","FILING_STATUS=MR","SCALING_FORMAT=MLN","Sort=A","Dates=H","DateFormat=P","Fill=—","Direction=H","UseDPDF=Y")</f>
        <v>—</v>
      </c>
      <c r="S11" s="13" t="str">
        <f>_xll.BDH("ALNY US Equity","ARD_DEFERRED_INCOME_TAXES_CF","FQ4 2022","FQ4 2022","Currency=USD","Period=FQ","BEST_FPERIOD_OVERRIDE=FQ","FILING_STATUS=MR","SCALING_FORMAT=MLN","Sort=A","Dates=H","DateFormat=P","Fill=—","Direction=H","UseDPDF=Y")</f>
        <v>—</v>
      </c>
      <c r="T11" s="13" t="str">
        <f>_xll.BDH("ALNY US Equity","ARD_DEFERRED_INCOME_TAXES_CF","FQ1 2023","FQ1 2023","Currency=USD","Period=FQ","BEST_FPERIOD_OVERRIDE=FQ","FILING_STATUS=MR","SCALING_FORMAT=MLN","Sort=A","Dates=H","DateFormat=P","Fill=—","Direction=H","UseDPDF=Y")</f>
        <v>—</v>
      </c>
      <c r="U11" s="13" t="str">
        <f>_xll.BDH("ALNY US Equity","ARD_DEFERRED_INCOME_TAXES_CF","FQ2 2023","FQ2 2023","Currency=USD","Period=FQ","BEST_FPERIOD_OVERRIDE=FQ","FILING_STATUS=MR","SCALING_FORMAT=MLN","Sort=A","Dates=H","DateFormat=P","Fill=—","Direction=H","UseDPDF=Y")</f>
        <v>—</v>
      </c>
      <c r="V11" s="13" t="str">
        <f>_xll.BDH("ALNY US Equity","ARD_DEFERRED_INCOME_TAXES_CF","FQ3 2023","FQ3 2023","Currency=USD","Period=FQ","BEST_FPERIOD_OVERRIDE=FQ","FILING_STATUS=MR","SCALING_FORMAT=MLN","Sort=A","Dates=H","DateFormat=P","Fill=—","Direction=H","UseDPDF=Y")</f>
        <v>—</v>
      </c>
      <c r="W11" s="13" t="str">
        <f>_xll.BDH("ALNY US Equity","ARD_DEFERRED_INCOME_TAXES_CF","FQ4 2023","FQ4 2023","Currency=USD","Period=FQ","BEST_FPERIOD_OVERRIDE=FQ","FILING_STATUS=MR","SCALING_FORMAT=MLN","Sort=A","Dates=H","DateFormat=P","Fill=—","Direction=H","UseDPDF=Y")</f>
        <v>—</v>
      </c>
      <c r="X11" s="13" t="str">
        <f>_xll.BDH("ALNY US Equity","ARD_DEFERRED_INCOME_TAXES_CF","FQ1 2024","FQ1 2024","Currency=USD","Period=FQ","BEST_FPERIOD_OVERRIDE=FQ","FILING_STATUS=MR","SCALING_FORMAT=MLN","Sort=A","Dates=H","DateFormat=P","Fill=—","Direction=H","UseDPDF=Y")</f>
        <v>—</v>
      </c>
      <c r="Y11" s="13" t="str">
        <f>_xll.BDH("ALNY US Equity","ARD_DEFERRED_INCOME_TAXES_CF","FQ2 2024","FQ2 2024","Currency=USD","Period=FQ","BEST_FPERIOD_OVERRIDE=FQ","FILING_STATUS=MR","SCALING_FORMAT=MLN","Sort=A","Dates=H","DateFormat=P","Fill=—","Direction=H","UseDPDF=Y")</f>
        <v>—</v>
      </c>
      <c r="Z11" s="13" t="str">
        <f>_xll.BDH("ALNY US Equity","ARD_DEFERRED_INCOME_TAXES_CF","FQ3 2024","FQ3 2024","Currency=USD","Period=FQ","BEST_FPERIOD_OVERRIDE=FQ","FILING_STATUS=MR","SCALING_FORMAT=MLN","Sort=A","Dates=H","DateFormat=P","Fill=—","Direction=H","UseDPDF=Y")</f>
        <v>—</v>
      </c>
      <c r="AA11" s="13">
        <f>_xll.BDH("ALNY US Equity","ARD_DEFERRED_INCOME_TAXES_CF","FQ4 2024","FQ4 2024","Currency=USD","Period=FQ","BEST_FPERIOD_OVERRIDE=FQ","FILING_STATUS=MR","SCALING_FORMAT=MLN","Sort=A","Dates=H","DateFormat=P","Fill=—","Direction=H","UseDPDF=Y")</f>
        <v>-106.762</v>
      </c>
    </row>
    <row r="12" spans="1:27" x14ac:dyDescent="0.25">
      <c r="A12" s="10" t="s">
        <v>651</v>
      </c>
      <c r="B12" s="10" t="s">
        <v>1264</v>
      </c>
      <c r="C12" s="13">
        <f>_xll.BDH("ALNY US Equity","ARD_STOCK_BASED_COMPENSATION","FQ4 2018","FQ4 2018","Currency=USD","Period=FQ","BEST_FPERIOD_OVERRIDE=FQ","FILING_STATUS=MR","SCALING_FORMAT=MLN","Sort=A","Dates=H","DateFormat=P","Fill=—","Direction=H","UseDPDF=Y")</f>
        <v>157.75200000000001</v>
      </c>
      <c r="D12" s="13">
        <f>_xll.BDH("ALNY US Equity","ARD_STOCK_BASED_COMPENSATION","FQ1 2019","FQ1 2019","Currency=USD","Period=FQ","BEST_FPERIOD_OVERRIDE=FQ","FILING_STATUS=MR","SCALING_FORMAT=MLN","Sort=A","Dates=H","DateFormat=P","Fill=—","Direction=H","UseDPDF=Y")</f>
        <v>32.031999999999996</v>
      </c>
      <c r="E12" s="13">
        <f>_xll.BDH("ALNY US Equity","ARD_STOCK_BASED_COMPENSATION","FQ2 2019","FQ2 2019","Currency=USD","Period=FQ","BEST_FPERIOD_OVERRIDE=FQ","FILING_STATUS=MR","SCALING_FORMAT=MLN","Sort=A","Dates=H","DateFormat=P","Fill=—","Direction=H","UseDPDF=Y")</f>
        <v>62.634999999999998</v>
      </c>
      <c r="F12" s="13">
        <f>_xll.BDH("ALNY US Equity","ARD_STOCK_BASED_COMPENSATION","FQ3 2019","FQ3 2019","Currency=USD","Period=FQ","BEST_FPERIOD_OVERRIDE=FQ","FILING_STATUS=MR","SCALING_FORMAT=MLN","Sort=A","Dates=H","DateFormat=P","Fill=—","Direction=H","UseDPDF=Y")</f>
        <v>108.64400000000001</v>
      </c>
      <c r="G12" s="13">
        <f>_xll.BDH("ALNY US Equity","ARD_STOCK_BASED_COMPENSATION","FQ4 2019","FQ4 2019","Currency=USD","Period=FQ","BEST_FPERIOD_OVERRIDE=FQ","FILING_STATUS=MR","SCALING_FORMAT=MLN","Sort=A","Dates=H","DateFormat=P","Fill=—","Direction=H","UseDPDF=Y")</f>
        <v>174.84100000000001</v>
      </c>
      <c r="H12" s="13">
        <f>_xll.BDH("ALNY US Equity","ARD_STOCK_BASED_COMPENSATION","FQ1 2020","FQ1 2020","Currency=USD","Period=FQ","BEST_FPERIOD_OVERRIDE=FQ","FILING_STATUS=MR","SCALING_FORMAT=MLN","Sort=A","Dates=H","DateFormat=P","Fill=—","Direction=H","UseDPDF=Y")</f>
        <v>34.578000000000003</v>
      </c>
      <c r="I12" s="13">
        <f>_xll.BDH("ALNY US Equity","ARD_STOCK_BASED_COMPENSATION","FQ2 2020","FQ2 2020","Currency=USD","Period=FQ","BEST_FPERIOD_OVERRIDE=FQ","FILING_STATUS=MR","SCALING_FORMAT=MLN","Sort=A","Dates=H","DateFormat=P","Fill=—","Direction=H","UseDPDF=Y")</f>
        <v>68.332999999999998</v>
      </c>
      <c r="J12" s="13">
        <f>_xll.BDH("ALNY US Equity","ARD_STOCK_BASED_COMPENSATION","FQ3 2020","FQ3 2020","Currency=USD","Period=FQ","BEST_FPERIOD_OVERRIDE=FQ","FILING_STATUS=MR","SCALING_FORMAT=MLN","Sort=A","Dates=H","DateFormat=P","Fill=—","Direction=H","UseDPDF=Y")</f>
        <v>105.59699999999999</v>
      </c>
      <c r="K12" s="13">
        <f>_xll.BDH("ALNY US Equity","ARD_STOCK_BASED_COMPENSATION","FQ4 2020","FQ4 2020","Currency=USD","Period=FQ","BEST_FPERIOD_OVERRIDE=FQ","FILING_STATUS=MR","SCALING_FORMAT=MLN","Sort=A","Dates=H","DateFormat=P","Fill=—","Direction=H","UseDPDF=Y")</f>
        <v>139.87299999999999</v>
      </c>
      <c r="L12" s="13">
        <f>_xll.BDH("ALNY US Equity","ARD_STOCK_BASED_COMPENSATION","FQ1 2021","FQ1 2021","Currency=USD","Period=FQ","BEST_FPERIOD_OVERRIDE=FQ","FILING_STATUS=MR","SCALING_FORMAT=MLN","Sort=A","Dates=H","DateFormat=P","Fill=—","Direction=H","UseDPDF=Y")</f>
        <v>55.69</v>
      </c>
      <c r="M12" s="13">
        <f>_xll.BDH("ALNY US Equity","ARD_STOCK_BASED_COMPENSATION","FQ2 2021","FQ2 2021","Currency=USD","Period=FQ","BEST_FPERIOD_OVERRIDE=FQ","FILING_STATUS=MR","SCALING_FORMAT=MLN","Sort=A","Dates=H","DateFormat=P","Fill=—","Direction=H","UseDPDF=Y")</f>
        <v>87.768000000000001</v>
      </c>
      <c r="N12" s="13">
        <f>_xll.BDH("ALNY US Equity","ARD_STOCK_BASED_COMPENSATION","FQ3 2021","FQ3 2021","Currency=USD","Period=FQ","BEST_FPERIOD_OVERRIDE=FQ","FILING_STATUS=MR","SCALING_FORMAT=MLN","Sort=A","Dates=H","DateFormat=P","Fill=—","Direction=H","UseDPDF=Y")</f>
        <v>121.13500000000001</v>
      </c>
      <c r="O12" s="13">
        <f>_xll.BDH("ALNY US Equity","ARD_STOCK_BASED_COMPENSATION","FQ4 2021","FQ4 2021","Currency=USD","Period=FQ","BEST_FPERIOD_OVERRIDE=FQ","FILING_STATUS=MR","SCALING_FORMAT=MLN","Sort=A","Dates=H","DateFormat=P","Fill=—","Direction=H","UseDPDF=Y")</f>
        <v>165.71700000000001</v>
      </c>
      <c r="P12" s="13">
        <f>_xll.BDH("ALNY US Equity","ARD_STOCK_BASED_COMPENSATION","FQ1 2022","FQ1 2022","Currency=USD","Period=FQ","BEST_FPERIOD_OVERRIDE=FQ","FILING_STATUS=MR","SCALING_FORMAT=MLN","Sort=A","Dates=H","DateFormat=P","Fill=—","Direction=H","UseDPDF=Y")</f>
        <v>29.292999999999999</v>
      </c>
      <c r="Q12" s="13">
        <f>_xll.BDH("ALNY US Equity","ARD_STOCK_BASED_COMPENSATION","FQ2 2022","FQ2 2022","Currency=USD","Period=FQ","BEST_FPERIOD_OVERRIDE=FQ","FILING_STATUS=MR","SCALING_FORMAT=MLN","Sort=A","Dates=H","DateFormat=P","Fill=—","Direction=H","UseDPDF=Y")</f>
        <v>59.764000000000003</v>
      </c>
      <c r="R12" s="13">
        <f>_xll.BDH("ALNY US Equity","ARD_STOCK_BASED_COMPENSATION","FQ3 2022","FQ3 2022","Currency=USD","Period=FQ","BEST_FPERIOD_OVERRIDE=FQ","FILING_STATUS=MR","SCALING_FORMAT=MLN","Sort=A","Dates=H","DateFormat=P","Fill=—","Direction=H","UseDPDF=Y")</f>
        <v>187.88200000000001</v>
      </c>
      <c r="S12" s="13">
        <f>_xll.BDH("ALNY US Equity","ARD_STOCK_BASED_COMPENSATION","FQ4 2022","FQ4 2022","Currency=USD","Period=FQ","BEST_FPERIOD_OVERRIDE=FQ","FILING_STATUS=MR","SCALING_FORMAT=MLN","Sort=A","Dates=H","DateFormat=P","Fill=—","Direction=H","UseDPDF=Y")</f>
        <v>230.649</v>
      </c>
      <c r="T12" s="13">
        <f>_xll.BDH("ALNY US Equity","ARD_STOCK_BASED_COMPENSATION","FQ1 2023","FQ1 2023","Currency=USD","Period=FQ","BEST_FPERIOD_OVERRIDE=FQ","FILING_STATUS=MR","SCALING_FORMAT=MLN","Sort=A","Dates=H","DateFormat=P","Fill=—","Direction=H","UseDPDF=Y")</f>
        <v>39.947000000000003</v>
      </c>
      <c r="U12" s="13">
        <f>_xll.BDH("ALNY US Equity","ARD_STOCK_BASED_COMPENSATION","FQ2 2023","FQ2 2023","Currency=USD","Period=FQ","BEST_FPERIOD_OVERRIDE=FQ","FILING_STATUS=MR","SCALING_FORMAT=MLN","Sort=A","Dates=H","DateFormat=P","Fill=—","Direction=H","UseDPDF=Y")</f>
        <v>115.749</v>
      </c>
      <c r="V12" s="13">
        <f>_xll.BDH("ALNY US Equity","ARD_STOCK_BASED_COMPENSATION","FQ3 2023","FQ3 2023","Currency=USD","Period=FQ","BEST_FPERIOD_OVERRIDE=FQ","FILING_STATUS=MR","SCALING_FORMAT=MLN","Sort=A","Dates=H","DateFormat=P","Fill=—","Direction=H","UseDPDF=Y")</f>
        <v>179.68600000000001</v>
      </c>
      <c r="W12" s="13">
        <f>_xll.BDH("ALNY US Equity","ARD_STOCK_BASED_COMPENSATION","FQ4 2023","FQ4 2023","Currency=USD","Period=FQ","BEST_FPERIOD_OVERRIDE=FQ","FILING_STATUS=MR","SCALING_FORMAT=MLN","Sort=A","Dates=H","DateFormat=P","Fill=—","Direction=H","UseDPDF=Y")</f>
        <v>221.68</v>
      </c>
      <c r="X12" s="13">
        <f>_xll.BDH("ALNY US Equity","ARD_STOCK_BASED_COMPENSATION","FQ1 2024","FQ1 2024","Currency=USD","Period=FQ","BEST_FPERIOD_OVERRIDE=FQ","FILING_STATUS=MR","SCALING_FORMAT=MLN","Sort=A","Dates=H","DateFormat=P","Fill=—","Direction=H","UseDPDF=Y")</f>
        <v>45.347000000000001</v>
      </c>
      <c r="Y12" s="13">
        <f>_xll.BDH("ALNY US Equity","ARD_STOCK_BASED_COMPENSATION","FQ2 2024","FQ2 2024","Currency=USD","Period=FQ","BEST_FPERIOD_OVERRIDE=FQ","FILING_STATUS=MR","SCALING_FORMAT=MLN","Sort=A","Dates=H","DateFormat=P","Fill=—","Direction=H","UseDPDF=Y")</f>
        <v>134.63499999999999</v>
      </c>
      <c r="Z12" s="13">
        <f>_xll.BDH("ALNY US Equity","ARD_STOCK_BASED_COMPENSATION","FQ3 2024","FQ3 2024","Currency=USD","Period=FQ","BEST_FPERIOD_OVERRIDE=FQ","FILING_STATUS=MR","SCALING_FORMAT=MLN","Sort=A","Dates=H","DateFormat=P","Fill=—","Direction=H","UseDPDF=Y")</f>
        <v>180.43899999999999</v>
      </c>
      <c r="AA12" s="13">
        <f>_xll.BDH("ALNY US Equity","ARD_STOCK_BASED_COMPENSATION","FQ4 2024","FQ4 2024","Currency=USD","Period=FQ","BEST_FPERIOD_OVERRIDE=FQ","FILING_STATUS=MR","SCALING_FORMAT=MLN","Sort=A","Dates=H","DateFormat=P","Fill=—","Direction=H","UseDPDF=Y")</f>
        <v>272.084</v>
      </c>
    </row>
    <row r="13" spans="1:27" x14ac:dyDescent="0.25">
      <c r="A13" s="10" t="s">
        <v>1265</v>
      </c>
      <c r="B13" s="10" t="s">
        <v>1266</v>
      </c>
      <c r="C13" s="13">
        <f>_xll.BDH("ALNY US Equity","ARD_OTHER_NON_CASH_ITEMS","FQ4 2018","FQ4 2018","Currency=USD","Period=FQ","BEST_FPERIOD_OVERRIDE=FQ","FILING_STATUS=MR","SCALING_FORMAT=MLN","Sort=A","Dates=H","DateFormat=P","Fill=—","Direction=H","UseDPDF=Y")</f>
        <v>-6.8410000000000002</v>
      </c>
      <c r="D13" s="13">
        <f>_xll.BDH("ALNY US Equity","ARD_OTHER_NON_CASH_ITEMS","FQ1 2019","FQ1 2019","Currency=USD","Period=FQ","BEST_FPERIOD_OVERRIDE=FQ","FILING_STATUS=MR","SCALING_FORMAT=MLN","Sort=A","Dates=H","DateFormat=P","Fill=—","Direction=H","UseDPDF=Y")</f>
        <v>1.089</v>
      </c>
      <c r="E13" s="13">
        <f>_xll.BDH("ALNY US Equity","ARD_OTHER_NON_CASH_ITEMS","FQ2 2019","FQ2 2019","Currency=USD","Period=FQ","BEST_FPERIOD_OVERRIDE=FQ","FILING_STATUS=MR","SCALING_FORMAT=MLN","Sort=A","Dates=H","DateFormat=P","Fill=—","Direction=H","UseDPDF=Y")</f>
        <v>2.8759999999999999</v>
      </c>
      <c r="F13" s="13">
        <f>_xll.BDH("ALNY US Equity","ARD_OTHER_NON_CASH_ITEMS","FQ3 2019","FQ3 2019","Currency=USD","Period=FQ","BEST_FPERIOD_OVERRIDE=FQ","FILING_STATUS=MR","SCALING_FORMAT=MLN","Sort=A","Dates=H","DateFormat=P","Fill=—","Direction=H","UseDPDF=Y")</f>
        <v>-1.147</v>
      </c>
      <c r="G13" s="13">
        <f>_xll.BDH("ALNY US Equity","ARD_OTHER_NON_CASH_ITEMS","FQ4 2019","FQ4 2019","Currency=USD","Period=FQ","BEST_FPERIOD_OVERRIDE=FQ","FILING_STATUS=MR","SCALING_FORMAT=MLN","Sort=A","Dates=H","DateFormat=P","Fill=—","Direction=H","UseDPDF=Y")</f>
        <v>-12.613</v>
      </c>
      <c r="H13" s="13">
        <f>_xll.BDH("ALNY US Equity","ARD_OTHER_NON_CASH_ITEMS","FQ1 2020","FQ1 2020","Currency=USD","Period=FQ","BEST_FPERIOD_OVERRIDE=FQ","FILING_STATUS=MR","SCALING_FORMAT=MLN","Sort=A","Dates=H","DateFormat=P","Fill=—","Direction=H","UseDPDF=Y")</f>
        <v>0.66</v>
      </c>
      <c r="I13" s="13">
        <f>_xll.BDH("ALNY US Equity","ARD_OTHER_NON_CASH_ITEMS","FQ2 2020","FQ2 2020","Currency=USD","Period=FQ","BEST_FPERIOD_OVERRIDE=FQ","FILING_STATUS=MR","SCALING_FORMAT=MLN","Sort=A","Dates=H","DateFormat=P","Fill=—","Direction=H","UseDPDF=Y")</f>
        <v>31.62</v>
      </c>
      <c r="J13" s="13">
        <f>_xll.BDH("ALNY US Equity","ARD_OTHER_NON_CASH_ITEMS","FQ3 2020","FQ3 2020","Currency=USD","Period=FQ","BEST_FPERIOD_OVERRIDE=FQ","FILING_STATUS=MR","SCALING_FORMAT=MLN","Sort=A","Dates=H","DateFormat=P","Fill=—","Direction=H","UseDPDF=Y")</f>
        <v>-9.0190000000000001</v>
      </c>
      <c r="K13" s="13">
        <f>_xll.BDH("ALNY US Equity","ARD_OTHER_NON_CASH_ITEMS","FQ4 2020","FQ4 2020","Currency=USD","Period=FQ","BEST_FPERIOD_OVERRIDE=FQ","FILING_STATUS=MR","SCALING_FORMAT=MLN","Sort=A","Dates=H","DateFormat=P","Fill=—","Direction=H","UseDPDF=Y")</f>
        <v>95.754999999999995</v>
      </c>
      <c r="L13" s="13">
        <f>_xll.BDH("ALNY US Equity","ARD_OTHER_NON_CASH_ITEMS","FQ1 2021","FQ1 2021","Currency=USD","Period=FQ","BEST_FPERIOD_OVERRIDE=FQ","FILING_STATUS=MR","SCALING_FORMAT=MLN","Sort=A","Dates=H","DateFormat=P","Fill=—","Direction=H","UseDPDF=Y")</f>
        <v>30.777000000000001</v>
      </c>
      <c r="M13" s="13">
        <f>_xll.BDH("ALNY US Equity","ARD_OTHER_NON_CASH_ITEMS","FQ2 2021","FQ2 2021","Currency=USD","Period=FQ","BEST_FPERIOD_OVERRIDE=FQ","FILING_STATUS=MR","SCALING_FORMAT=MLN","Sort=A","Dates=H","DateFormat=P","Fill=—","Direction=H","UseDPDF=Y")</f>
        <v>32.351999999999997</v>
      </c>
      <c r="N13" s="13">
        <f>_xll.BDH("ALNY US Equity","ARD_OTHER_NON_CASH_ITEMS","FQ3 2021","FQ3 2021","Currency=USD","Period=FQ","BEST_FPERIOD_OVERRIDE=FQ","FILING_STATUS=MR","SCALING_FORMAT=MLN","Sort=A","Dates=H","DateFormat=P","Fill=—","Direction=H","UseDPDF=Y")</f>
        <v>35.222000000000001</v>
      </c>
      <c r="O13" s="13">
        <f>_xll.BDH("ALNY US Equity","ARD_OTHER_NON_CASH_ITEMS","FQ4 2021","FQ4 2021","Currency=USD","Period=FQ","BEST_FPERIOD_OVERRIDE=FQ","FILING_STATUS=MR","SCALING_FORMAT=MLN","Sort=A","Dates=H","DateFormat=P","Fill=—","Direction=H","UseDPDF=Y")</f>
        <v>57.676000000000002</v>
      </c>
      <c r="P13" s="13">
        <f>_xll.BDH("ALNY US Equity","ARD_OTHER_NON_CASH_ITEMS","FQ1 2022","FQ1 2022","Currency=USD","Period=FQ","BEST_FPERIOD_OVERRIDE=FQ","FILING_STATUS=MR","SCALING_FORMAT=MLN","Sort=A","Dates=H","DateFormat=P","Fill=—","Direction=H","UseDPDF=Y")</f>
        <v>21.177</v>
      </c>
      <c r="Q13" s="13">
        <f>_xll.BDH("ALNY US Equity","ARD_OTHER_NON_CASH_ITEMS","FQ2 2022","FQ2 2022","Currency=USD","Period=FQ","BEST_FPERIOD_OVERRIDE=FQ","FILING_STATUS=MR","SCALING_FORMAT=MLN","Sort=A","Dates=H","DateFormat=P","Fill=—","Direction=H","UseDPDF=Y")</f>
        <v>63.521999999999998</v>
      </c>
      <c r="R13" s="13">
        <f>_xll.BDH("ALNY US Equity","ARD_OTHER_NON_CASH_ITEMS","FQ3 2022","FQ3 2022","Currency=USD","Period=FQ","BEST_FPERIOD_OVERRIDE=FQ","FILING_STATUS=MR","SCALING_FORMAT=MLN","Sort=A","Dates=H","DateFormat=P","Fill=—","Direction=H","UseDPDF=Y")</f>
        <v>20.606999999999999</v>
      </c>
      <c r="S13" s="13">
        <f>_xll.BDH("ALNY US Equity","ARD_OTHER_NON_CASH_ITEMS","FQ4 2022","FQ4 2022","Currency=USD","Period=FQ","BEST_FPERIOD_OVERRIDE=FQ","FILING_STATUS=MR","SCALING_FORMAT=MLN","Sort=A","Dates=H","DateFormat=P","Fill=—","Direction=H","UseDPDF=Y")</f>
        <v>95.138000000000005</v>
      </c>
      <c r="T13" s="13">
        <f>_xll.BDH("ALNY US Equity","ARD_OTHER_NON_CASH_ITEMS","FQ1 2023","FQ1 2023","Currency=USD","Period=FQ","BEST_FPERIOD_OVERRIDE=FQ","FILING_STATUS=MR","SCALING_FORMAT=MLN","Sort=A","Dates=H","DateFormat=P","Fill=—","Direction=H","UseDPDF=Y")</f>
        <v>0.19500000000000001</v>
      </c>
      <c r="U13" s="13">
        <f>_xll.BDH("ALNY US Equity","ARD_OTHER_NON_CASH_ITEMS","FQ2 2023","FQ2 2023","Currency=USD","Period=FQ","BEST_FPERIOD_OVERRIDE=FQ","FILING_STATUS=MR","SCALING_FORMAT=MLN","Sort=A","Dates=H","DateFormat=P","Fill=—","Direction=H","UseDPDF=Y")</f>
        <v>-8.2520000000000007</v>
      </c>
      <c r="V13" s="13">
        <f>_xll.BDH("ALNY US Equity","ARD_OTHER_NON_CASH_ITEMS","FQ3 2023","FQ3 2023","Currency=USD","Period=FQ","BEST_FPERIOD_OVERRIDE=FQ","FILING_STATUS=MR","SCALING_FORMAT=MLN","Sort=A","Dates=H","DateFormat=P","Fill=—","Direction=H","UseDPDF=Y")</f>
        <v>15.087999999999999</v>
      </c>
      <c r="W13" s="13">
        <f>_xll.BDH("ALNY US Equity","ARD_OTHER_NON_CASH_ITEMS","FQ4 2023","FQ4 2023","Currency=USD","Period=FQ","BEST_FPERIOD_OVERRIDE=FQ","FILING_STATUS=MR","SCALING_FORMAT=MLN","Sort=A","Dates=H","DateFormat=P","Fill=—","Direction=H","UseDPDF=Y")</f>
        <v>91.43</v>
      </c>
      <c r="X13" s="13">
        <f>_xll.BDH("ALNY US Equity","ARD_OTHER_NON_CASH_ITEMS","FQ1 2024","FQ1 2024","Currency=USD","Period=FQ","BEST_FPERIOD_OVERRIDE=FQ","FILING_STATUS=MR","SCALING_FORMAT=MLN","Sort=A","Dates=H","DateFormat=P","Fill=—","Direction=H","UseDPDF=Y")</f>
        <v>3.3980000000000001</v>
      </c>
      <c r="Y13" s="13">
        <f>_xll.BDH("ALNY US Equity","ARD_OTHER_NON_CASH_ITEMS","FQ2 2024","FQ2 2024","Currency=USD","Period=FQ","BEST_FPERIOD_OVERRIDE=FQ","FILING_STATUS=MR","SCALING_FORMAT=MLN","Sort=A","Dates=H","DateFormat=P","Fill=—","Direction=H","UseDPDF=Y")</f>
        <v>-15.365</v>
      </c>
      <c r="Z13" s="13">
        <f>_xll.BDH("ALNY US Equity","ARD_OTHER_NON_CASH_ITEMS","FQ3 2024","FQ3 2024","Currency=USD","Period=FQ","BEST_FPERIOD_OVERRIDE=FQ","FILING_STATUS=MR","SCALING_FORMAT=MLN","Sort=A","Dates=H","DateFormat=P","Fill=—","Direction=H","UseDPDF=Y")</f>
        <v>-32.228000000000002</v>
      </c>
      <c r="AA13" s="13">
        <f>_xll.BDH("ALNY US Equity","ARD_OTHER_NON_CASH_ITEMS","FQ4 2024","FQ4 2024","Currency=USD","Period=FQ","BEST_FPERIOD_OVERRIDE=FQ","FILING_STATUS=MR","SCALING_FORMAT=MLN","Sort=A","Dates=H","DateFormat=P","Fill=—","Direction=H","UseDPDF=Y")</f>
        <v>131.78200000000001</v>
      </c>
    </row>
    <row r="14" spans="1:27" x14ac:dyDescent="0.25">
      <c r="A14" s="10" t="s">
        <v>1267</v>
      </c>
      <c r="B14" s="10" t="s">
        <v>1268</v>
      </c>
      <c r="C14" s="13">
        <f>_xll.BDH("ALNY US Equity","ARD_CHANGE_IN_INVENTORIES","FQ4 2018","FQ4 2018","Currency=USD","Period=FQ","BEST_FPERIOD_OVERRIDE=FQ","FILING_STATUS=MR","SCALING_FORMAT=MLN","Sort=A","Dates=H","DateFormat=P","Fill=—","Direction=H","UseDPDF=Y")</f>
        <v>-22.645</v>
      </c>
      <c r="D14" s="13">
        <f>_xll.BDH("ALNY US Equity","ARD_CHANGE_IN_INVENTORIES","FQ1 2019","FQ1 2019","Currency=USD","Period=FQ","BEST_FPERIOD_OVERRIDE=FQ","FILING_STATUS=MR","SCALING_FORMAT=MLN","Sort=A","Dates=H","DateFormat=P","Fill=—","Direction=H","UseDPDF=Y")</f>
        <v>-7.1340000000000003</v>
      </c>
      <c r="E14" s="13">
        <f>_xll.BDH("ALNY US Equity","ARD_CHANGE_IN_INVENTORIES","FQ2 2019","FQ2 2019","Currency=USD","Period=FQ","BEST_FPERIOD_OVERRIDE=FQ","FILING_STATUS=MR","SCALING_FORMAT=MLN","Sort=A","Dates=H","DateFormat=P","Fill=—","Direction=H","UseDPDF=Y")</f>
        <v>-15.04</v>
      </c>
      <c r="F14" s="13">
        <f>_xll.BDH("ALNY US Equity","ARD_CHANGE_IN_INVENTORIES","FQ3 2019","FQ3 2019","Currency=USD","Period=FQ","BEST_FPERIOD_OVERRIDE=FQ","FILING_STATUS=MR","SCALING_FORMAT=MLN","Sort=A","Dates=H","DateFormat=P","Fill=—","Direction=H","UseDPDF=Y")</f>
        <v>-28.094999999999999</v>
      </c>
      <c r="G14" s="13">
        <f>_xll.BDH("ALNY US Equity","ARD_CHANGE_IN_INVENTORIES","FQ4 2019","FQ4 2019","Currency=USD","Period=FQ","BEST_FPERIOD_OVERRIDE=FQ","FILING_STATUS=MR","SCALING_FORMAT=MLN","Sort=A","Dates=H","DateFormat=P","Fill=—","Direction=H","UseDPDF=Y")</f>
        <v>-32.411000000000001</v>
      </c>
      <c r="H14" s="13">
        <f>_xll.BDH("ALNY US Equity","ARD_CHANGE_IN_INVENTORIES","FQ1 2020","FQ1 2020","Currency=USD","Period=FQ","BEST_FPERIOD_OVERRIDE=FQ","FILING_STATUS=MR","SCALING_FORMAT=MLN","Sort=A","Dates=H","DateFormat=P","Fill=—","Direction=H","UseDPDF=Y")</f>
        <v>-11.952</v>
      </c>
      <c r="I14" s="13">
        <f>_xll.BDH("ALNY US Equity","ARD_CHANGE_IN_INVENTORIES","FQ2 2020","FQ2 2020","Currency=USD","Period=FQ","BEST_FPERIOD_OVERRIDE=FQ","FILING_STATUS=MR","SCALING_FORMAT=MLN","Sort=A","Dates=H","DateFormat=P","Fill=—","Direction=H","UseDPDF=Y")</f>
        <v>-24.178000000000001</v>
      </c>
      <c r="J14" s="13">
        <f>_xll.BDH("ALNY US Equity","ARD_CHANGE_IN_INVENTORIES","FQ3 2020","FQ3 2020","Currency=USD","Period=FQ","BEST_FPERIOD_OVERRIDE=FQ","FILING_STATUS=MR","SCALING_FORMAT=MLN","Sort=A","Dates=H","DateFormat=P","Fill=—","Direction=H","UseDPDF=Y")</f>
        <v>-26.962</v>
      </c>
      <c r="K14" s="13">
        <f>_xll.BDH("ALNY US Equity","ARD_CHANGE_IN_INVENTORIES","FQ4 2020","FQ4 2020","Currency=USD","Period=FQ","BEST_FPERIOD_OVERRIDE=FQ","FILING_STATUS=MR","SCALING_FORMAT=MLN","Sort=A","Dates=H","DateFormat=P","Fill=—","Direction=H","UseDPDF=Y")</f>
        <v>-35.426000000000002</v>
      </c>
      <c r="L14" s="13">
        <f>_xll.BDH("ALNY US Equity","ARD_CHANGE_IN_INVENTORIES","FQ1 2021","FQ1 2021","Currency=USD","Period=FQ","BEST_FPERIOD_OVERRIDE=FQ","FILING_STATUS=MR","SCALING_FORMAT=MLN","Sort=A","Dates=H","DateFormat=P","Fill=—","Direction=H","UseDPDF=Y")</f>
        <v>1.9339999999999999</v>
      </c>
      <c r="M14" s="13">
        <f>_xll.BDH("ALNY US Equity","ARD_CHANGE_IN_INVENTORIES","FQ2 2021","FQ2 2021","Currency=USD","Period=FQ","BEST_FPERIOD_OVERRIDE=FQ","FILING_STATUS=MR","SCALING_FORMAT=MLN","Sort=A","Dates=H","DateFormat=P","Fill=—","Direction=H","UseDPDF=Y")</f>
        <v>-2.0209999999999999</v>
      </c>
      <c r="N14" s="13">
        <f>_xll.BDH("ALNY US Equity","ARD_CHANGE_IN_INVENTORIES","FQ3 2021","FQ3 2021","Currency=USD","Period=FQ","BEST_FPERIOD_OVERRIDE=FQ","FILING_STATUS=MR","SCALING_FORMAT=MLN","Sort=A","Dates=H","DateFormat=P","Fill=—","Direction=H","UseDPDF=Y")</f>
        <v>-15.654999999999999</v>
      </c>
      <c r="O14" s="13">
        <f>_xll.BDH("ALNY US Equity","ARD_CHANGE_IN_INVENTORIES","FQ4 2021","FQ4 2021","Currency=USD","Period=FQ","BEST_FPERIOD_OVERRIDE=FQ","FILING_STATUS=MR","SCALING_FORMAT=MLN","Sort=A","Dates=H","DateFormat=P","Fill=—","Direction=H","UseDPDF=Y")</f>
        <v>-26.414999999999999</v>
      </c>
      <c r="P14" s="13">
        <f>_xll.BDH("ALNY US Equity","ARD_CHANGE_IN_INVENTORIES","FQ1 2022","FQ1 2022","Currency=USD","Period=FQ","BEST_FPERIOD_OVERRIDE=FQ","FILING_STATUS=MR","SCALING_FORMAT=MLN","Sort=A","Dates=H","DateFormat=P","Fill=—","Direction=H","UseDPDF=Y")</f>
        <v>1.9259999999999999</v>
      </c>
      <c r="Q14" s="13">
        <f>_xll.BDH("ALNY US Equity","ARD_CHANGE_IN_INVENTORIES","FQ2 2022","FQ2 2022","Currency=USD","Period=FQ","BEST_FPERIOD_OVERRIDE=FQ","FILING_STATUS=MR","SCALING_FORMAT=MLN","Sort=A","Dates=H","DateFormat=P","Fill=—","Direction=H","UseDPDF=Y")</f>
        <v>-7.274</v>
      </c>
      <c r="R14" s="13">
        <f>_xll.BDH("ALNY US Equity","ARD_CHANGE_IN_INVENTORIES","FQ3 2022","FQ3 2022","Currency=USD","Period=FQ","BEST_FPERIOD_OVERRIDE=FQ","FILING_STATUS=MR","SCALING_FORMAT=MLN","Sort=A","Dates=H","DateFormat=P","Fill=—","Direction=H","UseDPDF=Y")</f>
        <v>-15.157999999999999</v>
      </c>
      <c r="S14" s="13">
        <f>_xll.BDH("ALNY US Equity","ARD_CHANGE_IN_INVENTORIES","FQ4 2022","FQ4 2022","Currency=USD","Period=FQ","BEST_FPERIOD_OVERRIDE=FQ","FILING_STATUS=MR","SCALING_FORMAT=MLN","Sort=A","Dates=H","DateFormat=P","Fill=—","Direction=H","UseDPDF=Y")</f>
        <v>-34.136000000000003</v>
      </c>
      <c r="T14" s="13">
        <f>_xll.BDH("ALNY US Equity","ARD_CHANGE_IN_INVENTORIES","FQ1 2023","FQ1 2023","Currency=USD","Period=FQ","BEST_FPERIOD_OVERRIDE=FQ","FILING_STATUS=MR","SCALING_FORMAT=MLN","Sort=A","Dates=H","DateFormat=P","Fill=—","Direction=H","UseDPDF=Y")</f>
        <v>-0.40300000000000002</v>
      </c>
      <c r="U14" s="13">
        <f>_xll.BDH("ALNY US Equity","ARD_CHANGE_IN_INVENTORIES","FQ2 2023","FQ2 2023","Currency=USD","Period=FQ","BEST_FPERIOD_OVERRIDE=FQ","FILING_STATUS=MR","SCALING_FORMAT=MLN","Sort=A","Dates=H","DateFormat=P","Fill=—","Direction=H","UseDPDF=Y")</f>
        <v>1.5820000000000001</v>
      </c>
      <c r="V14" s="13">
        <f>_xll.BDH("ALNY US Equity","ARD_CHANGE_IN_INVENTORIES","FQ3 2023","FQ3 2023","Currency=USD","Period=FQ","BEST_FPERIOD_OVERRIDE=FQ","FILING_STATUS=MR","SCALING_FORMAT=MLN","Sort=A","Dates=H","DateFormat=P","Fill=—","Direction=H","UseDPDF=Y")</f>
        <v>6.3769999999999998</v>
      </c>
      <c r="W14" s="13">
        <f>_xll.BDH("ALNY US Equity","ARD_CHANGE_IN_INVENTORIES","FQ4 2023","FQ4 2023","Currency=USD","Period=FQ","BEST_FPERIOD_OVERRIDE=FQ","FILING_STATUS=MR","SCALING_FORMAT=MLN","Sort=A","Dates=H","DateFormat=P","Fill=—","Direction=H","UseDPDF=Y")</f>
        <v>18.367000000000001</v>
      </c>
      <c r="X14" s="13">
        <f>_xll.BDH("ALNY US Equity","ARD_CHANGE_IN_INVENTORIES","FQ1 2024","FQ1 2024","Currency=USD","Period=FQ","BEST_FPERIOD_OVERRIDE=FQ","FILING_STATUS=MR","SCALING_FORMAT=MLN","Sort=A","Dates=H","DateFormat=P","Fill=—","Direction=H","UseDPDF=Y")</f>
        <v>2.1999999999999999E-2</v>
      </c>
      <c r="Y14" s="13">
        <f>_xll.BDH("ALNY US Equity","ARD_CHANGE_IN_INVENTORIES","FQ2 2024","FQ2 2024","Currency=USD","Period=FQ","BEST_FPERIOD_OVERRIDE=FQ","FILING_STATUS=MR","SCALING_FORMAT=MLN","Sort=A","Dates=H","DateFormat=P","Fill=—","Direction=H","UseDPDF=Y")</f>
        <v>6.8159999999999998</v>
      </c>
      <c r="Z14" s="13">
        <f>_xll.BDH("ALNY US Equity","ARD_CHANGE_IN_INVENTORIES","FQ3 2024","FQ3 2024","Currency=USD","Period=FQ","BEST_FPERIOD_OVERRIDE=FQ","FILING_STATUS=MR","SCALING_FORMAT=MLN","Sort=A","Dates=H","DateFormat=P","Fill=—","Direction=H","UseDPDF=Y")</f>
        <v>12.741</v>
      </c>
      <c r="AA14" s="13">
        <f>_xll.BDH("ALNY US Equity","ARD_CHANGE_IN_INVENTORIES","FQ4 2024","FQ4 2024","Currency=USD","Period=FQ","BEST_FPERIOD_OVERRIDE=FQ","FILING_STATUS=MR","SCALING_FORMAT=MLN","Sort=A","Dates=H","DateFormat=P","Fill=—","Direction=H","UseDPDF=Y")</f>
        <v>13.59</v>
      </c>
    </row>
    <row r="15" spans="1:27" x14ac:dyDescent="0.25">
      <c r="A15" s="10" t="s">
        <v>1269</v>
      </c>
      <c r="B15" s="10" t="s">
        <v>1270</v>
      </c>
      <c r="C15" s="13">
        <f>_xll.BDH("ALNY US Equity","ARD_CHANGE_IN_ACCOUNTS_PAYABLE","FQ4 2018","FQ4 2018","Currency=USD","Period=FQ","BEST_FPERIOD_OVERRIDE=FQ","FILING_STATUS=MR","SCALING_FORMAT=MLN","Sort=A","Dates=H","DateFormat=P","Fill=—","Direction=H","UseDPDF=Y")</f>
        <v>15.478</v>
      </c>
      <c r="D15" s="13">
        <f>_xll.BDH("ALNY US Equity","ARD_CHANGE_IN_ACCOUNTS_PAYABLE","FQ1 2019","FQ1 2019","Currency=USD","Period=FQ","BEST_FPERIOD_OVERRIDE=FQ","FILING_STATUS=MR","SCALING_FORMAT=MLN","Sort=A","Dates=H","DateFormat=P","Fill=—","Direction=H","UseDPDF=Y")</f>
        <v>-17.132999999999999</v>
      </c>
      <c r="E15" s="13">
        <f>_xll.BDH("ALNY US Equity","ARD_CHANGE_IN_ACCOUNTS_PAYABLE","FQ2 2019","FQ2 2019","Currency=USD","Period=FQ","BEST_FPERIOD_OVERRIDE=FQ","FILING_STATUS=MR","SCALING_FORMAT=MLN","Sort=A","Dates=H","DateFormat=P","Fill=—","Direction=H","UseDPDF=Y")</f>
        <v>26.369</v>
      </c>
      <c r="F15" s="13">
        <f>_xll.BDH("ALNY US Equity","ARD_CHANGE_IN_ACCOUNTS_PAYABLE","FQ3 2019","FQ3 2019","Currency=USD","Period=FQ","BEST_FPERIOD_OVERRIDE=FQ","FILING_STATUS=MR","SCALING_FORMAT=MLN","Sort=A","Dates=H","DateFormat=P","Fill=—","Direction=H","UseDPDF=Y")</f>
        <v>-3.7189999999999999</v>
      </c>
      <c r="G15" s="13" t="str">
        <f>_xll.BDH("ALNY US Equity","ARD_CHANGE_IN_ACCOUNTS_PAYABLE","FQ4 2019","FQ4 2019","Currency=USD","Period=FQ","BEST_FPERIOD_OVERRIDE=FQ","FILING_STATUS=MR","SCALING_FORMAT=MLN","Sort=A","Dates=H","DateFormat=P","Fill=—","Direction=H","UseDPDF=Y")</f>
        <v>—</v>
      </c>
      <c r="H15" s="13" t="str">
        <f>_xll.BDH("ALNY US Equity","ARD_CHANGE_IN_ACCOUNTS_PAYABLE","FQ1 2020","FQ1 2020","Currency=USD","Period=FQ","BEST_FPERIOD_OVERRIDE=FQ","FILING_STATUS=MR","SCALING_FORMAT=MLN","Sort=A","Dates=H","DateFormat=P","Fill=—","Direction=H","UseDPDF=Y")</f>
        <v>—</v>
      </c>
      <c r="I15" s="13" t="str">
        <f>_xll.BDH("ALNY US Equity","ARD_CHANGE_IN_ACCOUNTS_PAYABLE","FQ2 2020","FQ2 2020","Currency=USD","Period=FQ","BEST_FPERIOD_OVERRIDE=FQ","FILING_STATUS=MR","SCALING_FORMAT=MLN","Sort=A","Dates=H","DateFormat=P","Fill=—","Direction=H","UseDPDF=Y")</f>
        <v>—</v>
      </c>
      <c r="J15" s="13" t="str">
        <f>_xll.BDH("ALNY US Equity","ARD_CHANGE_IN_ACCOUNTS_PAYABLE","FQ3 2020","FQ3 2020","Currency=USD","Period=FQ","BEST_FPERIOD_OVERRIDE=FQ","FILING_STATUS=MR","SCALING_FORMAT=MLN","Sort=A","Dates=H","DateFormat=P","Fill=—","Direction=H","UseDPDF=Y")</f>
        <v>—</v>
      </c>
      <c r="K15" s="13" t="str">
        <f>_xll.BDH("ALNY US Equity","ARD_CHANGE_IN_ACCOUNTS_PAYABLE","FQ4 2020","FQ4 2020","Currency=USD","Period=FQ","BEST_FPERIOD_OVERRIDE=FQ","FILING_STATUS=MR","SCALING_FORMAT=MLN","Sort=A","Dates=H","DateFormat=P","Fill=—","Direction=H","UseDPDF=Y")</f>
        <v>—</v>
      </c>
      <c r="L15" s="13" t="str">
        <f>_xll.BDH("ALNY US Equity","ARD_CHANGE_IN_ACCOUNTS_PAYABLE","FQ1 2021","FQ1 2021","Currency=USD","Period=FQ","BEST_FPERIOD_OVERRIDE=FQ","FILING_STATUS=MR","SCALING_FORMAT=MLN","Sort=A","Dates=H","DateFormat=P","Fill=—","Direction=H","UseDPDF=Y")</f>
        <v>—</v>
      </c>
      <c r="M15" s="13" t="str">
        <f>_xll.BDH("ALNY US Equity","ARD_CHANGE_IN_ACCOUNTS_PAYABLE","FQ2 2021","FQ2 2021","Currency=USD","Period=FQ","BEST_FPERIOD_OVERRIDE=FQ","FILING_STATUS=MR","SCALING_FORMAT=MLN","Sort=A","Dates=H","DateFormat=P","Fill=—","Direction=H","UseDPDF=Y")</f>
        <v>—</v>
      </c>
      <c r="N15" s="13" t="str">
        <f>_xll.BDH("ALNY US Equity","ARD_CHANGE_IN_ACCOUNTS_PAYABLE","FQ3 2021","FQ3 2021","Currency=USD","Period=FQ","BEST_FPERIOD_OVERRIDE=FQ","FILING_STATUS=MR","SCALING_FORMAT=MLN","Sort=A","Dates=H","DateFormat=P","Fill=—","Direction=H","UseDPDF=Y")</f>
        <v>—</v>
      </c>
      <c r="O15" s="13" t="str">
        <f>_xll.BDH("ALNY US Equity","ARD_CHANGE_IN_ACCOUNTS_PAYABLE","FQ4 2021","FQ4 2021","Currency=USD","Period=FQ","BEST_FPERIOD_OVERRIDE=FQ","FILING_STATUS=MR","SCALING_FORMAT=MLN","Sort=A","Dates=H","DateFormat=P","Fill=—","Direction=H","UseDPDF=Y")</f>
        <v>—</v>
      </c>
      <c r="P15" s="13" t="str">
        <f>_xll.BDH("ALNY US Equity","ARD_CHANGE_IN_ACCOUNTS_PAYABLE","FQ1 2022","FQ1 2022","Currency=USD","Period=FQ","BEST_FPERIOD_OVERRIDE=FQ","FILING_STATUS=MR","SCALING_FORMAT=MLN","Sort=A","Dates=H","DateFormat=P","Fill=—","Direction=H","UseDPDF=Y")</f>
        <v>—</v>
      </c>
      <c r="Q15" s="13" t="str">
        <f>_xll.BDH("ALNY US Equity","ARD_CHANGE_IN_ACCOUNTS_PAYABLE","FQ2 2022","FQ2 2022","Currency=USD","Period=FQ","BEST_FPERIOD_OVERRIDE=FQ","FILING_STATUS=MR","SCALING_FORMAT=MLN","Sort=A","Dates=H","DateFormat=P","Fill=—","Direction=H","UseDPDF=Y")</f>
        <v>—</v>
      </c>
      <c r="R15" s="13" t="str">
        <f>_xll.BDH("ALNY US Equity","ARD_CHANGE_IN_ACCOUNTS_PAYABLE","FQ3 2022","FQ3 2022","Currency=USD","Period=FQ","BEST_FPERIOD_OVERRIDE=FQ","FILING_STATUS=MR","SCALING_FORMAT=MLN","Sort=A","Dates=H","DateFormat=P","Fill=—","Direction=H","UseDPDF=Y")</f>
        <v>—</v>
      </c>
      <c r="S15" s="13" t="str">
        <f>_xll.BDH("ALNY US Equity","ARD_CHANGE_IN_ACCOUNTS_PAYABLE","FQ4 2022","FQ4 2022","Currency=USD","Period=FQ","BEST_FPERIOD_OVERRIDE=FQ","FILING_STATUS=MR","SCALING_FORMAT=MLN","Sort=A","Dates=H","DateFormat=P","Fill=—","Direction=H","UseDPDF=Y")</f>
        <v>—</v>
      </c>
      <c r="T15" s="13" t="str">
        <f>_xll.BDH("ALNY US Equity","ARD_CHANGE_IN_ACCOUNTS_PAYABLE","FQ1 2023","FQ1 2023","Currency=USD","Period=FQ","BEST_FPERIOD_OVERRIDE=FQ","FILING_STATUS=MR","SCALING_FORMAT=MLN","Sort=A","Dates=H","DateFormat=P","Fill=—","Direction=H","UseDPDF=Y")</f>
        <v>—</v>
      </c>
      <c r="U15" s="13" t="str">
        <f>_xll.BDH("ALNY US Equity","ARD_CHANGE_IN_ACCOUNTS_PAYABLE","FQ2 2023","FQ2 2023","Currency=USD","Period=FQ","BEST_FPERIOD_OVERRIDE=FQ","FILING_STATUS=MR","SCALING_FORMAT=MLN","Sort=A","Dates=H","DateFormat=P","Fill=—","Direction=H","UseDPDF=Y")</f>
        <v>—</v>
      </c>
      <c r="V15" s="13" t="str">
        <f>_xll.BDH("ALNY US Equity","ARD_CHANGE_IN_ACCOUNTS_PAYABLE","FQ3 2023","FQ3 2023","Currency=USD","Period=FQ","BEST_FPERIOD_OVERRIDE=FQ","FILING_STATUS=MR","SCALING_FORMAT=MLN","Sort=A","Dates=H","DateFormat=P","Fill=—","Direction=H","UseDPDF=Y")</f>
        <v>—</v>
      </c>
      <c r="W15" s="13" t="str">
        <f>_xll.BDH("ALNY US Equity","ARD_CHANGE_IN_ACCOUNTS_PAYABLE","FQ4 2023","FQ4 2023","Currency=USD","Period=FQ","BEST_FPERIOD_OVERRIDE=FQ","FILING_STATUS=MR","SCALING_FORMAT=MLN","Sort=A","Dates=H","DateFormat=P","Fill=—","Direction=H","UseDPDF=Y")</f>
        <v>—</v>
      </c>
      <c r="X15" s="13" t="str">
        <f>_xll.BDH("ALNY US Equity","ARD_CHANGE_IN_ACCOUNTS_PAYABLE","FQ1 2024","FQ1 2024","Currency=USD","Period=FQ","BEST_FPERIOD_OVERRIDE=FQ","FILING_STATUS=MR","SCALING_FORMAT=MLN","Sort=A","Dates=H","DateFormat=P","Fill=—","Direction=H","UseDPDF=Y")</f>
        <v>—</v>
      </c>
      <c r="Y15" s="13" t="str">
        <f>_xll.BDH("ALNY US Equity","ARD_CHANGE_IN_ACCOUNTS_PAYABLE","FQ2 2024","FQ2 2024","Currency=USD","Period=FQ","BEST_FPERIOD_OVERRIDE=FQ","FILING_STATUS=MR","SCALING_FORMAT=MLN","Sort=A","Dates=H","DateFormat=P","Fill=—","Direction=H","UseDPDF=Y")</f>
        <v>—</v>
      </c>
      <c r="Z15" s="13" t="str">
        <f>_xll.BDH("ALNY US Equity","ARD_CHANGE_IN_ACCOUNTS_PAYABLE","FQ3 2024","FQ3 2024","Currency=USD","Period=FQ","BEST_FPERIOD_OVERRIDE=FQ","FILING_STATUS=MR","SCALING_FORMAT=MLN","Sort=A","Dates=H","DateFormat=P","Fill=—","Direction=H","UseDPDF=Y")</f>
        <v>—</v>
      </c>
      <c r="AA15" s="13" t="str">
        <f>_xll.BDH("ALNY US Equity","ARD_CHANGE_IN_ACCOUNTS_PAYABLE","FQ4 2024","FQ4 2024","Currency=USD","Period=FQ","BEST_FPERIOD_OVERRIDE=FQ","FILING_STATUS=MR","SCALING_FORMAT=MLN","Sort=A","Dates=H","DateFormat=P","Fill=—","Direction=H","UseDPDF=Y")</f>
        <v>—</v>
      </c>
    </row>
    <row r="16" spans="1:27" x14ac:dyDescent="0.25">
      <c r="A16" s="10" t="s">
        <v>1271</v>
      </c>
      <c r="B16" s="10" t="s">
        <v>1272</v>
      </c>
      <c r="C16" s="13">
        <f>_xll.BDH("ALNY US Equity","ARD_CHG_IN_ACCOUNTS_RECEIVABLE","FQ4 2018","FQ4 2018","Currency=USD","Period=FQ","BEST_FPERIOD_OVERRIDE=FQ","FILING_STATUS=MR","SCALING_FORMAT=MLN","Sort=A","Dates=H","DateFormat=P","Fill=—","Direction=H","UseDPDF=Y")</f>
        <v>15.242000000000001</v>
      </c>
      <c r="D16" s="13">
        <f>_xll.BDH("ALNY US Equity","ARD_CHG_IN_ACCOUNTS_RECEIVABLE","FQ1 2019","FQ1 2019","Currency=USD","Period=FQ","BEST_FPERIOD_OVERRIDE=FQ","FILING_STATUS=MR","SCALING_FORMAT=MLN","Sort=A","Dates=H","DateFormat=P","Fill=—","Direction=H","UseDPDF=Y")</f>
        <v>-15.041</v>
      </c>
      <c r="E16" s="13">
        <f>_xll.BDH("ALNY US Equity","ARD_CHG_IN_ACCOUNTS_RECEIVABLE","FQ2 2019","FQ2 2019","Currency=USD","Period=FQ","BEST_FPERIOD_OVERRIDE=FQ","FILING_STATUS=MR","SCALING_FORMAT=MLN","Sort=A","Dates=H","DateFormat=P","Fill=—","Direction=H","UseDPDF=Y")</f>
        <v>-11.933999999999999</v>
      </c>
      <c r="F16" s="13">
        <f>_xll.BDH("ALNY US Equity","ARD_CHG_IN_ACCOUNTS_RECEIVABLE","FQ3 2019","FQ3 2019","Currency=USD","Period=FQ","BEST_FPERIOD_OVERRIDE=FQ","FILING_STATUS=MR","SCALING_FORMAT=MLN","Sort=A","Dates=H","DateFormat=P","Fill=—","Direction=H","UseDPDF=Y")</f>
        <v>-29.716999999999999</v>
      </c>
      <c r="G16" s="13">
        <f>_xll.BDH("ALNY US Equity","ARD_CHG_IN_ACCOUNTS_RECEIVABLE","FQ4 2019","FQ4 2019","Currency=USD","Period=FQ","BEST_FPERIOD_OVERRIDE=FQ","FILING_STATUS=MR","SCALING_FORMAT=MLN","Sort=A","Dates=H","DateFormat=P","Fill=—","Direction=H","UseDPDF=Y")</f>
        <v>-24.238</v>
      </c>
      <c r="H16" s="13">
        <f>_xll.BDH("ALNY US Equity","ARD_CHG_IN_ACCOUNTS_RECEIVABLE","FQ1 2020","FQ1 2020","Currency=USD","Period=FQ","BEST_FPERIOD_OVERRIDE=FQ","FILING_STATUS=MR","SCALING_FORMAT=MLN","Sort=A","Dates=H","DateFormat=P","Fill=—","Direction=H","UseDPDF=Y")</f>
        <v>-32.881999999999998</v>
      </c>
      <c r="I16" s="13">
        <f>_xll.BDH("ALNY US Equity","ARD_CHG_IN_ACCOUNTS_RECEIVABLE","FQ2 2020","FQ2 2020","Currency=USD","Period=FQ","BEST_FPERIOD_OVERRIDE=FQ","FILING_STATUS=MR","SCALING_FORMAT=MLN","Sort=A","Dates=H","DateFormat=P","Fill=—","Direction=H","UseDPDF=Y")</f>
        <v>-26.099</v>
      </c>
      <c r="J16" s="13">
        <f>_xll.BDH("ALNY US Equity","ARD_CHG_IN_ACCOUNTS_RECEIVABLE","FQ3 2020","FQ3 2020","Currency=USD","Period=FQ","BEST_FPERIOD_OVERRIDE=FQ","FILING_STATUS=MR","SCALING_FORMAT=MLN","Sort=A","Dates=H","DateFormat=P","Fill=—","Direction=H","UseDPDF=Y")</f>
        <v>-35.07</v>
      </c>
      <c r="K16" s="13">
        <f>_xll.BDH("ALNY US Equity","ARD_CHG_IN_ACCOUNTS_RECEIVABLE","FQ4 2020","FQ4 2020","Currency=USD","Period=FQ","BEST_FPERIOD_OVERRIDE=FQ","FILING_STATUS=MR","SCALING_FORMAT=MLN","Sort=A","Dates=H","DateFormat=P","Fill=—","Direction=H","UseDPDF=Y")</f>
        <v>-56.235999999999997</v>
      </c>
      <c r="L16" s="13">
        <f>_xll.BDH("ALNY US Equity","ARD_CHG_IN_ACCOUNTS_RECEIVABLE","FQ1 2021","FQ1 2021","Currency=USD","Period=FQ","BEST_FPERIOD_OVERRIDE=FQ","FILING_STATUS=MR","SCALING_FORMAT=MLN","Sort=A","Dates=H","DateFormat=P","Fill=—","Direction=H","UseDPDF=Y")</f>
        <v>-10.709</v>
      </c>
      <c r="M16" s="13">
        <f>_xll.BDH("ALNY US Equity","ARD_CHG_IN_ACCOUNTS_RECEIVABLE","FQ2 2021","FQ2 2021","Currency=USD","Period=FQ","BEST_FPERIOD_OVERRIDE=FQ","FILING_STATUS=MR","SCALING_FORMAT=MLN","Sort=A","Dates=H","DateFormat=P","Fill=—","Direction=H","UseDPDF=Y")</f>
        <v>-46.02</v>
      </c>
      <c r="N16" s="13">
        <f>_xll.BDH("ALNY US Equity","ARD_CHG_IN_ACCOUNTS_RECEIVABLE","FQ3 2021","FQ3 2021","Currency=USD","Period=FQ","BEST_FPERIOD_OVERRIDE=FQ","FILING_STATUS=MR","SCALING_FORMAT=MLN","Sort=A","Dates=H","DateFormat=P","Fill=—","Direction=H","UseDPDF=Y")</f>
        <v>-42.35</v>
      </c>
      <c r="O16" s="13">
        <f>_xll.BDH("ALNY US Equity","ARD_CHG_IN_ACCOUNTS_RECEIVABLE","FQ4 2021","FQ4 2021","Currency=USD","Period=FQ","BEST_FPERIOD_OVERRIDE=FQ","FILING_STATUS=MR","SCALING_FORMAT=MLN","Sort=A","Dates=H","DateFormat=P","Fill=—","Direction=H","UseDPDF=Y")</f>
        <v>-101.79900000000001</v>
      </c>
      <c r="P16" s="13">
        <f>_xll.BDH("ALNY US Equity","ARD_CHG_IN_ACCOUNTS_RECEIVABLE","FQ1 2022","FQ1 2022","Currency=USD","Period=FQ","BEST_FPERIOD_OVERRIDE=FQ","FILING_STATUS=MR","SCALING_FORMAT=MLN","Sort=A","Dates=H","DateFormat=P","Fill=—","Direction=H","UseDPDF=Y")</f>
        <v>39.695999999999998</v>
      </c>
      <c r="Q16" s="13">
        <f>_xll.BDH("ALNY US Equity","ARD_CHG_IN_ACCOUNTS_RECEIVABLE","FQ2 2022","FQ2 2022","Currency=USD","Period=FQ","BEST_FPERIOD_OVERRIDE=FQ","FILING_STATUS=MR","SCALING_FORMAT=MLN","Sort=A","Dates=H","DateFormat=P","Fill=—","Direction=H","UseDPDF=Y")</f>
        <v>46.094999999999999</v>
      </c>
      <c r="R16" s="13">
        <f>_xll.BDH("ALNY US Equity","ARD_CHG_IN_ACCOUNTS_RECEIVABLE","FQ3 2022","FQ3 2022","Currency=USD","Period=FQ","BEST_FPERIOD_OVERRIDE=FQ","FILING_STATUS=MR","SCALING_FORMAT=MLN","Sort=A","Dates=H","DateFormat=P","Fill=—","Direction=H","UseDPDF=Y")</f>
        <v>7.6719999999999997</v>
      </c>
      <c r="S16" s="13">
        <f>_xll.BDH("ALNY US Equity","ARD_CHG_IN_ACCOUNTS_RECEIVABLE","FQ4 2022","FQ4 2022","Currency=USD","Period=FQ","BEST_FPERIOD_OVERRIDE=FQ","FILING_STATUS=MR","SCALING_FORMAT=MLN","Sort=A","Dates=H","DateFormat=P","Fill=—","Direction=H","UseDPDF=Y")</f>
        <v>-45.597000000000001</v>
      </c>
      <c r="T16" s="13">
        <f>_xll.BDH("ALNY US Equity","ARD_CHG_IN_ACCOUNTS_RECEIVABLE","FQ1 2023","FQ1 2023","Currency=USD","Period=FQ","BEST_FPERIOD_OVERRIDE=FQ","FILING_STATUS=MR","SCALING_FORMAT=MLN","Sort=A","Dates=H","DateFormat=P","Fill=—","Direction=H","UseDPDF=Y")</f>
        <v>19.152999999999999</v>
      </c>
      <c r="U16" s="13">
        <f>_xll.BDH("ALNY US Equity","ARD_CHG_IN_ACCOUNTS_RECEIVABLE","FQ2 2023","FQ2 2023","Currency=USD","Period=FQ","BEST_FPERIOD_OVERRIDE=FQ","FILING_STATUS=MR","SCALING_FORMAT=MLN","Sort=A","Dates=H","DateFormat=P","Fill=—","Direction=H","UseDPDF=Y")</f>
        <v>16.183</v>
      </c>
      <c r="V16" s="13">
        <f>_xll.BDH("ALNY US Equity","ARD_CHG_IN_ACCOUNTS_RECEIVABLE","FQ3 2023","FQ3 2023","Currency=USD","Period=FQ","BEST_FPERIOD_OVERRIDE=FQ","FILING_STATUS=MR","SCALING_FORMAT=MLN","Sort=A","Dates=H","DateFormat=P","Fill=—","Direction=H","UseDPDF=Y")</f>
        <v>-91.808000000000007</v>
      </c>
      <c r="W16" s="13">
        <f>_xll.BDH("ALNY US Equity","ARD_CHG_IN_ACCOUNTS_RECEIVABLE","FQ4 2023","FQ4 2023","Currency=USD","Period=FQ","BEST_FPERIOD_OVERRIDE=FQ","FILING_STATUS=MR","SCALING_FORMAT=MLN","Sort=A","Dates=H","DateFormat=P","Fill=—","Direction=H","UseDPDF=Y")</f>
        <v>-87.938999999999993</v>
      </c>
      <c r="X16" s="13">
        <f>_xll.BDH("ALNY US Equity","ARD_CHG_IN_ACCOUNTS_RECEIVABLE","FQ1 2024","FQ1 2024","Currency=USD","Period=FQ","BEST_FPERIOD_OVERRIDE=FQ","FILING_STATUS=MR","SCALING_FORMAT=MLN","Sort=A","Dates=H","DateFormat=P","Fill=—","Direction=H","UseDPDF=Y")</f>
        <v>0.41</v>
      </c>
      <c r="Y16" s="13">
        <f>_xll.BDH("ALNY US Equity","ARD_CHG_IN_ACCOUNTS_RECEIVABLE","FQ2 2024","FQ2 2024","Currency=USD","Period=FQ","BEST_FPERIOD_OVERRIDE=FQ","FILING_STATUS=MR","SCALING_FORMAT=MLN","Sort=A","Dates=H","DateFormat=P","Fill=—","Direction=H","UseDPDF=Y")</f>
        <v>10.050000000000001</v>
      </c>
      <c r="Z16" s="13">
        <f>_xll.BDH("ALNY US Equity","ARD_CHG_IN_ACCOUNTS_RECEIVABLE","FQ3 2024","FQ3 2024","Currency=USD","Period=FQ","BEST_FPERIOD_OVERRIDE=FQ","FILING_STATUS=MR","SCALING_FORMAT=MLN","Sort=A","Dates=H","DateFormat=P","Fill=—","Direction=H","UseDPDF=Y")</f>
        <v>-27.042000000000002</v>
      </c>
      <c r="AA16" s="13">
        <f>_xll.BDH("ALNY US Equity","ARD_CHG_IN_ACCOUNTS_RECEIVABLE","FQ4 2024","FQ4 2024","Currency=USD","Period=FQ","BEST_FPERIOD_OVERRIDE=FQ","FILING_STATUS=MR","SCALING_FORMAT=MLN","Sort=A","Dates=H","DateFormat=P","Fill=—","Direction=H","UseDPDF=Y")</f>
        <v>-86.55</v>
      </c>
    </row>
    <row r="17" spans="1:27" x14ac:dyDescent="0.25">
      <c r="A17" s="10" t="s">
        <v>1273</v>
      </c>
      <c r="B17" s="10" t="s">
        <v>1274</v>
      </c>
      <c r="C17" s="13">
        <f>_xll.BDH("ALNY US Equity","ARD_CHANGE_IN_PREPAID_EXP","FQ4 2018","FQ4 2018","Currency=USD","Period=FQ","BEST_FPERIOD_OVERRIDE=FQ","FILING_STATUS=MR","SCALING_FORMAT=MLN","Sort=A","Dates=H","DateFormat=P","Fill=—","Direction=H","UseDPDF=Y")</f>
        <v>-35.067</v>
      </c>
      <c r="D17" s="13">
        <f>_xll.BDH("ALNY US Equity","ARD_CHANGE_IN_PREPAID_EXP","FQ1 2019","FQ1 2019","Currency=USD","Period=FQ","BEST_FPERIOD_OVERRIDE=FQ","FILING_STATUS=MR","SCALING_FORMAT=MLN","Sort=A","Dates=H","DateFormat=P","Fill=—","Direction=H","UseDPDF=Y")</f>
        <v>-9.4179999999999993</v>
      </c>
      <c r="E17" s="13">
        <f>_xll.BDH("ALNY US Equity","ARD_CHANGE_IN_PREPAID_EXP","FQ2 2019","FQ2 2019","Currency=USD","Period=FQ","BEST_FPERIOD_OVERRIDE=FQ","FILING_STATUS=MR","SCALING_FORMAT=MLN","Sort=A","Dates=H","DateFormat=P","Fill=—","Direction=H","UseDPDF=Y")</f>
        <v>4.8630000000000004</v>
      </c>
      <c r="F17" s="13">
        <f>_xll.BDH("ALNY US Equity","ARD_CHANGE_IN_PREPAID_EXP","FQ3 2019","FQ3 2019","Currency=USD","Period=FQ","BEST_FPERIOD_OVERRIDE=FQ","FILING_STATUS=MR","SCALING_FORMAT=MLN","Sort=A","Dates=H","DateFormat=P","Fill=—","Direction=H","UseDPDF=Y")</f>
        <v>-13.662000000000001</v>
      </c>
      <c r="G17" s="13">
        <f>_xll.BDH("ALNY US Equity","ARD_CHANGE_IN_PREPAID_EXP","FQ4 2019","FQ4 2019","Currency=USD","Period=FQ","BEST_FPERIOD_OVERRIDE=FQ","FILING_STATUS=MR","SCALING_FORMAT=MLN","Sort=A","Dates=H","DateFormat=P","Fill=—","Direction=H","UseDPDF=Y")</f>
        <v>-22.042000000000002</v>
      </c>
      <c r="H17" s="13">
        <f>_xll.BDH("ALNY US Equity","ARD_CHANGE_IN_PREPAID_EXP","FQ1 2020","FQ1 2020","Currency=USD","Period=FQ","BEST_FPERIOD_OVERRIDE=FQ","FILING_STATUS=MR","SCALING_FORMAT=MLN","Sort=A","Dates=H","DateFormat=P","Fill=—","Direction=H","UseDPDF=Y")</f>
        <v>-19.957999999999998</v>
      </c>
      <c r="I17" s="13">
        <f>_xll.BDH("ALNY US Equity","ARD_CHANGE_IN_PREPAID_EXP","FQ2 2020","FQ2 2020","Currency=USD","Period=FQ","BEST_FPERIOD_OVERRIDE=FQ","FILING_STATUS=MR","SCALING_FORMAT=MLN","Sort=A","Dates=H","DateFormat=P","Fill=—","Direction=H","UseDPDF=Y")</f>
        <v>-13.56</v>
      </c>
      <c r="J17" s="13">
        <f>_xll.BDH("ALNY US Equity","ARD_CHANGE_IN_PREPAID_EXP","FQ3 2020","FQ3 2020","Currency=USD","Period=FQ","BEST_FPERIOD_OVERRIDE=FQ","FILING_STATUS=MR","SCALING_FORMAT=MLN","Sort=A","Dates=H","DateFormat=P","Fill=—","Direction=H","UseDPDF=Y")</f>
        <v>3.7650000000000001</v>
      </c>
      <c r="K17" s="13">
        <f>_xll.BDH("ALNY US Equity","ARD_CHANGE_IN_PREPAID_EXP","FQ4 2020","FQ4 2020","Currency=USD","Period=FQ","BEST_FPERIOD_OVERRIDE=FQ","FILING_STATUS=MR","SCALING_FORMAT=MLN","Sort=A","Dates=H","DateFormat=P","Fill=—","Direction=H","UseDPDF=Y")</f>
        <v>15.23</v>
      </c>
      <c r="L17" s="13">
        <f>_xll.BDH("ALNY US Equity","ARD_CHANGE_IN_PREPAID_EXP","FQ1 2021","FQ1 2021","Currency=USD","Period=FQ","BEST_FPERIOD_OVERRIDE=FQ","FILING_STATUS=MR","SCALING_FORMAT=MLN","Sort=A","Dates=H","DateFormat=P","Fill=—","Direction=H","UseDPDF=Y")</f>
        <v>-13.654</v>
      </c>
      <c r="M17" s="13">
        <f>_xll.BDH("ALNY US Equity","ARD_CHANGE_IN_PREPAID_EXP","FQ2 2021","FQ2 2021","Currency=USD","Period=FQ","BEST_FPERIOD_OVERRIDE=FQ","FILING_STATUS=MR","SCALING_FORMAT=MLN","Sort=A","Dates=H","DateFormat=P","Fill=—","Direction=H","UseDPDF=Y")</f>
        <v>-30.620999999999999</v>
      </c>
      <c r="N17" s="13">
        <f>_xll.BDH("ALNY US Equity","ARD_CHANGE_IN_PREPAID_EXP","FQ3 2021","FQ3 2021","Currency=USD","Period=FQ","BEST_FPERIOD_OVERRIDE=FQ","FILING_STATUS=MR","SCALING_FORMAT=MLN","Sort=A","Dates=H","DateFormat=P","Fill=—","Direction=H","UseDPDF=Y")</f>
        <v>-48.765000000000001</v>
      </c>
      <c r="O17" s="13">
        <f>_xll.BDH("ALNY US Equity","ARD_CHANGE_IN_PREPAID_EXP","FQ4 2021","FQ4 2021","Currency=USD","Period=FQ","BEST_FPERIOD_OVERRIDE=FQ","FILING_STATUS=MR","SCALING_FORMAT=MLN","Sort=A","Dates=H","DateFormat=P","Fill=—","Direction=H","UseDPDF=Y")</f>
        <v>-32.093000000000004</v>
      </c>
      <c r="P17" s="13">
        <f>_xll.BDH("ALNY US Equity","ARD_CHANGE_IN_PREPAID_EXP","FQ1 2022","FQ1 2022","Currency=USD","Period=FQ","BEST_FPERIOD_OVERRIDE=FQ","FILING_STATUS=MR","SCALING_FORMAT=MLN","Sort=A","Dates=H","DateFormat=P","Fill=—","Direction=H","UseDPDF=Y")</f>
        <v>-29.852</v>
      </c>
      <c r="Q17" s="13">
        <f>_xll.BDH("ALNY US Equity","ARD_CHANGE_IN_PREPAID_EXP","FQ2 2022","FQ2 2022","Currency=USD","Period=FQ","BEST_FPERIOD_OVERRIDE=FQ","FILING_STATUS=MR","SCALING_FORMAT=MLN","Sort=A","Dates=H","DateFormat=P","Fill=—","Direction=H","UseDPDF=Y")</f>
        <v>-51.158999999999999</v>
      </c>
      <c r="R17" s="13">
        <f>_xll.BDH("ALNY US Equity","ARD_CHANGE_IN_PREPAID_EXP","FQ3 2022","FQ3 2022","Currency=USD","Period=FQ","BEST_FPERIOD_OVERRIDE=FQ","FILING_STATUS=MR","SCALING_FORMAT=MLN","Sort=A","Dates=H","DateFormat=P","Fill=—","Direction=H","UseDPDF=Y")</f>
        <v>-47.194000000000003</v>
      </c>
      <c r="S17" s="13">
        <f>_xll.BDH("ALNY US Equity","ARD_CHANGE_IN_PREPAID_EXP","FQ4 2022","FQ4 2022","Currency=USD","Period=FQ","BEST_FPERIOD_OVERRIDE=FQ","FILING_STATUS=MR","SCALING_FORMAT=MLN","Sort=A","Dates=H","DateFormat=P","Fill=—","Direction=H","UseDPDF=Y")</f>
        <v>-38.506999999999998</v>
      </c>
      <c r="T17" s="13">
        <f>_xll.BDH("ALNY US Equity","ARD_CHANGE_IN_PREPAID_EXP","FQ1 2023","FQ1 2023","Currency=USD","Period=FQ","BEST_FPERIOD_OVERRIDE=FQ","FILING_STATUS=MR","SCALING_FORMAT=MLN","Sort=A","Dates=H","DateFormat=P","Fill=—","Direction=H","UseDPDF=Y")</f>
        <v>-1.2350000000000001</v>
      </c>
      <c r="U17" s="13">
        <f>_xll.BDH("ALNY US Equity","ARD_CHANGE_IN_PREPAID_EXP","FQ2 2023","FQ2 2023","Currency=USD","Period=FQ","BEST_FPERIOD_OVERRIDE=FQ","FILING_STATUS=MR","SCALING_FORMAT=MLN","Sort=A","Dates=H","DateFormat=P","Fill=—","Direction=H","UseDPDF=Y")</f>
        <v>-29.109000000000002</v>
      </c>
      <c r="V17" s="13">
        <f>_xll.BDH("ALNY US Equity","ARD_CHANGE_IN_PREPAID_EXP","FQ3 2023","FQ3 2023","Currency=USD","Period=FQ","BEST_FPERIOD_OVERRIDE=FQ","FILING_STATUS=MR","SCALING_FORMAT=MLN","Sort=A","Dates=H","DateFormat=P","Fill=—","Direction=H","UseDPDF=Y")</f>
        <v>-32.427</v>
      </c>
      <c r="W17" s="13">
        <f>_xll.BDH("ALNY US Equity","ARD_CHANGE_IN_PREPAID_EXP","FQ4 2023","FQ4 2023","Currency=USD","Period=FQ","BEST_FPERIOD_OVERRIDE=FQ","FILING_STATUS=MR","SCALING_FORMAT=MLN","Sort=A","Dates=H","DateFormat=P","Fill=—","Direction=H","UseDPDF=Y")</f>
        <v>-9.0289999999999999</v>
      </c>
      <c r="X17" s="13">
        <f>_xll.BDH("ALNY US Equity","ARD_CHANGE_IN_PREPAID_EXP","FQ1 2024","FQ1 2024","Currency=USD","Period=FQ","BEST_FPERIOD_OVERRIDE=FQ","FILING_STATUS=MR","SCALING_FORMAT=MLN","Sort=A","Dates=H","DateFormat=P","Fill=—","Direction=H","UseDPDF=Y")</f>
        <v>-75.462000000000003</v>
      </c>
      <c r="Y17" s="13">
        <f>_xll.BDH("ALNY US Equity","ARD_CHANGE_IN_PREPAID_EXP","FQ2 2024","FQ2 2024","Currency=USD","Period=FQ","BEST_FPERIOD_OVERRIDE=FQ","FILING_STATUS=MR","SCALING_FORMAT=MLN","Sort=A","Dates=H","DateFormat=P","Fill=—","Direction=H","UseDPDF=Y")</f>
        <v>-13.775</v>
      </c>
      <c r="Z17" s="13">
        <f>_xll.BDH("ALNY US Equity","ARD_CHANGE_IN_PREPAID_EXP","FQ3 2024","FQ3 2024","Currency=USD","Period=FQ","BEST_FPERIOD_OVERRIDE=FQ","FILING_STATUS=MR","SCALING_FORMAT=MLN","Sort=A","Dates=H","DateFormat=P","Fill=—","Direction=H","UseDPDF=Y")</f>
        <v>-22.052</v>
      </c>
      <c r="AA17" s="13">
        <f>_xll.BDH("ALNY US Equity","ARD_CHANGE_IN_PREPAID_EXP","FQ4 2024","FQ4 2024","Currency=USD","Period=FQ","BEST_FPERIOD_OVERRIDE=FQ","FILING_STATUS=MR","SCALING_FORMAT=MLN","Sort=A","Dates=H","DateFormat=P","Fill=—","Direction=H","UseDPDF=Y")</f>
        <v>3.2290000000000001</v>
      </c>
    </row>
    <row r="18" spans="1:27" x14ac:dyDescent="0.25">
      <c r="A18" s="10" t="s">
        <v>1275</v>
      </c>
      <c r="B18" s="10" t="s">
        <v>1276</v>
      </c>
      <c r="C18" s="13">
        <f>_xll.BDH("ALNY US Equity","ARD_CHANGE_IN_ACCRUED_EXP","FQ4 2018","FQ4 2018","Currency=USD","Period=FQ","BEST_FPERIOD_OVERRIDE=FQ","FILING_STATUS=MR","SCALING_FORMAT=MLN","Sort=A","Dates=H","DateFormat=P","Fill=—","Direction=H","UseDPDF=Y")</f>
        <v>59.356999999999999</v>
      </c>
      <c r="D18" s="13">
        <f>_xll.BDH("ALNY US Equity","ARD_CHANGE_IN_ACCRUED_EXP","FQ1 2019","FQ1 2019","Currency=USD","Period=FQ","BEST_FPERIOD_OVERRIDE=FQ","FILING_STATUS=MR","SCALING_FORMAT=MLN","Sort=A","Dates=H","DateFormat=P","Fill=—","Direction=H","UseDPDF=Y")</f>
        <v>-14.731</v>
      </c>
      <c r="E18" s="13">
        <f>_xll.BDH("ALNY US Equity","ARD_CHANGE_IN_ACCRUED_EXP","FQ2 2019","FQ2 2019","Currency=USD","Period=FQ","BEST_FPERIOD_OVERRIDE=FQ","FILING_STATUS=MR","SCALING_FORMAT=MLN","Sort=A","Dates=H","DateFormat=P","Fill=—","Direction=H","UseDPDF=Y")</f>
        <v>1.427</v>
      </c>
      <c r="F18" s="13">
        <f>_xll.BDH("ALNY US Equity","ARD_CHANGE_IN_ACCRUED_EXP","FQ3 2019","FQ3 2019","Currency=USD","Period=FQ","BEST_FPERIOD_OVERRIDE=FQ","FILING_STATUS=MR","SCALING_FORMAT=MLN","Sort=A","Dates=H","DateFormat=P","Fill=—","Direction=H","UseDPDF=Y")</f>
        <v>36.347999999999999</v>
      </c>
      <c r="G18" s="13" t="str">
        <f>_xll.BDH("ALNY US Equity","ARD_CHANGE_IN_ACCRUED_EXP","FQ4 2019","FQ4 2019","Currency=USD","Period=FQ","BEST_FPERIOD_OVERRIDE=FQ","FILING_STATUS=MR","SCALING_FORMAT=MLN","Sort=A","Dates=H","DateFormat=P","Fill=—","Direction=H","UseDPDF=Y")</f>
        <v>—</v>
      </c>
      <c r="H18" s="13" t="str">
        <f>_xll.BDH("ALNY US Equity","ARD_CHANGE_IN_ACCRUED_EXP","FQ1 2020","FQ1 2020","Currency=USD","Period=FQ","BEST_FPERIOD_OVERRIDE=FQ","FILING_STATUS=MR","SCALING_FORMAT=MLN","Sort=A","Dates=H","DateFormat=P","Fill=—","Direction=H","UseDPDF=Y")</f>
        <v>—</v>
      </c>
      <c r="I18" s="13" t="str">
        <f>_xll.BDH("ALNY US Equity","ARD_CHANGE_IN_ACCRUED_EXP","FQ2 2020","FQ2 2020","Currency=USD","Period=FQ","BEST_FPERIOD_OVERRIDE=FQ","FILING_STATUS=MR","SCALING_FORMAT=MLN","Sort=A","Dates=H","DateFormat=P","Fill=—","Direction=H","UseDPDF=Y")</f>
        <v>—</v>
      </c>
      <c r="J18" s="13" t="str">
        <f>_xll.BDH("ALNY US Equity","ARD_CHANGE_IN_ACCRUED_EXP","FQ3 2020","FQ3 2020","Currency=USD","Period=FQ","BEST_FPERIOD_OVERRIDE=FQ","FILING_STATUS=MR","SCALING_FORMAT=MLN","Sort=A","Dates=H","DateFormat=P","Fill=—","Direction=H","UseDPDF=Y")</f>
        <v>—</v>
      </c>
      <c r="K18" s="13" t="str">
        <f>_xll.BDH("ALNY US Equity","ARD_CHANGE_IN_ACCRUED_EXP","FQ4 2020","FQ4 2020","Currency=USD","Period=FQ","BEST_FPERIOD_OVERRIDE=FQ","FILING_STATUS=MR","SCALING_FORMAT=MLN","Sort=A","Dates=H","DateFormat=P","Fill=—","Direction=H","UseDPDF=Y")</f>
        <v>—</v>
      </c>
      <c r="L18" s="13" t="str">
        <f>_xll.BDH("ALNY US Equity","ARD_CHANGE_IN_ACCRUED_EXP","FQ1 2021","FQ1 2021","Currency=USD","Period=FQ","BEST_FPERIOD_OVERRIDE=FQ","FILING_STATUS=MR","SCALING_FORMAT=MLN","Sort=A","Dates=H","DateFormat=P","Fill=—","Direction=H","UseDPDF=Y")</f>
        <v>—</v>
      </c>
      <c r="M18" s="13" t="str">
        <f>_xll.BDH("ALNY US Equity","ARD_CHANGE_IN_ACCRUED_EXP","FQ2 2021","FQ2 2021","Currency=USD","Period=FQ","BEST_FPERIOD_OVERRIDE=FQ","FILING_STATUS=MR","SCALING_FORMAT=MLN","Sort=A","Dates=H","DateFormat=P","Fill=—","Direction=H","UseDPDF=Y")</f>
        <v>—</v>
      </c>
      <c r="N18" s="13" t="str">
        <f>_xll.BDH("ALNY US Equity","ARD_CHANGE_IN_ACCRUED_EXP","FQ3 2021","FQ3 2021","Currency=USD","Period=FQ","BEST_FPERIOD_OVERRIDE=FQ","FILING_STATUS=MR","SCALING_FORMAT=MLN","Sort=A","Dates=H","DateFormat=P","Fill=—","Direction=H","UseDPDF=Y")</f>
        <v>—</v>
      </c>
      <c r="O18" s="13" t="str">
        <f>_xll.BDH("ALNY US Equity","ARD_CHANGE_IN_ACCRUED_EXP","FQ4 2021","FQ4 2021","Currency=USD","Period=FQ","BEST_FPERIOD_OVERRIDE=FQ","FILING_STATUS=MR","SCALING_FORMAT=MLN","Sort=A","Dates=H","DateFormat=P","Fill=—","Direction=H","UseDPDF=Y")</f>
        <v>—</v>
      </c>
      <c r="P18" s="13" t="str">
        <f>_xll.BDH("ALNY US Equity","ARD_CHANGE_IN_ACCRUED_EXP","FQ1 2022","FQ1 2022","Currency=USD","Period=FQ","BEST_FPERIOD_OVERRIDE=FQ","FILING_STATUS=MR","SCALING_FORMAT=MLN","Sort=A","Dates=H","DateFormat=P","Fill=—","Direction=H","UseDPDF=Y")</f>
        <v>—</v>
      </c>
      <c r="Q18" s="13" t="str">
        <f>_xll.BDH("ALNY US Equity","ARD_CHANGE_IN_ACCRUED_EXP","FQ2 2022","FQ2 2022","Currency=USD","Period=FQ","BEST_FPERIOD_OVERRIDE=FQ","FILING_STATUS=MR","SCALING_FORMAT=MLN","Sort=A","Dates=H","DateFormat=P","Fill=—","Direction=H","UseDPDF=Y")</f>
        <v>—</v>
      </c>
      <c r="R18" s="13" t="str">
        <f>_xll.BDH("ALNY US Equity","ARD_CHANGE_IN_ACCRUED_EXP","FQ3 2022","FQ3 2022","Currency=USD","Period=FQ","BEST_FPERIOD_OVERRIDE=FQ","FILING_STATUS=MR","SCALING_FORMAT=MLN","Sort=A","Dates=H","DateFormat=P","Fill=—","Direction=H","UseDPDF=Y")</f>
        <v>—</v>
      </c>
      <c r="S18" s="13" t="str">
        <f>_xll.BDH("ALNY US Equity","ARD_CHANGE_IN_ACCRUED_EXP","FQ4 2022","FQ4 2022","Currency=USD","Period=FQ","BEST_FPERIOD_OVERRIDE=FQ","FILING_STATUS=MR","SCALING_FORMAT=MLN","Sort=A","Dates=H","DateFormat=P","Fill=—","Direction=H","UseDPDF=Y")</f>
        <v>—</v>
      </c>
      <c r="T18" s="13" t="str">
        <f>_xll.BDH("ALNY US Equity","ARD_CHANGE_IN_ACCRUED_EXP","FQ1 2023","FQ1 2023","Currency=USD","Period=FQ","BEST_FPERIOD_OVERRIDE=FQ","FILING_STATUS=MR","SCALING_FORMAT=MLN","Sort=A","Dates=H","DateFormat=P","Fill=—","Direction=H","UseDPDF=Y")</f>
        <v>—</v>
      </c>
      <c r="U18" s="13" t="str">
        <f>_xll.BDH("ALNY US Equity","ARD_CHANGE_IN_ACCRUED_EXP","FQ2 2023","FQ2 2023","Currency=USD","Period=FQ","BEST_FPERIOD_OVERRIDE=FQ","FILING_STATUS=MR","SCALING_FORMAT=MLN","Sort=A","Dates=H","DateFormat=P","Fill=—","Direction=H","UseDPDF=Y")</f>
        <v>—</v>
      </c>
      <c r="V18" s="13" t="str">
        <f>_xll.BDH("ALNY US Equity","ARD_CHANGE_IN_ACCRUED_EXP","FQ3 2023","FQ3 2023","Currency=USD","Period=FQ","BEST_FPERIOD_OVERRIDE=FQ","FILING_STATUS=MR","SCALING_FORMAT=MLN","Sort=A","Dates=H","DateFormat=P","Fill=—","Direction=H","UseDPDF=Y")</f>
        <v>—</v>
      </c>
      <c r="W18" s="13" t="str">
        <f>_xll.BDH("ALNY US Equity","ARD_CHANGE_IN_ACCRUED_EXP","FQ4 2023","FQ4 2023","Currency=USD","Period=FQ","BEST_FPERIOD_OVERRIDE=FQ","FILING_STATUS=MR","SCALING_FORMAT=MLN","Sort=A","Dates=H","DateFormat=P","Fill=—","Direction=H","UseDPDF=Y")</f>
        <v>—</v>
      </c>
      <c r="X18" s="13" t="str">
        <f>_xll.BDH("ALNY US Equity","ARD_CHANGE_IN_ACCRUED_EXP","FQ1 2024","FQ1 2024","Currency=USD","Period=FQ","BEST_FPERIOD_OVERRIDE=FQ","FILING_STATUS=MR","SCALING_FORMAT=MLN","Sort=A","Dates=H","DateFormat=P","Fill=—","Direction=H","UseDPDF=Y")</f>
        <v>—</v>
      </c>
      <c r="Y18" s="13" t="str">
        <f>_xll.BDH("ALNY US Equity","ARD_CHANGE_IN_ACCRUED_EXP","FQ2 2024","FQ2 2024","Currency=USD","Period=FQ","BEST_FPERIOD_OVERRIDE=FQ","FILING_STATUS=MR","SCALING_FORMAT=MLN","Sort=A","Dates=H","DateFormat=P","Fill=—","Direction=H","UseDPDF=Y")</f>
        <v>—</v>
      </c>
      <c r="Z18" s="13" t="str">
        <f>_xll.BDH("ALNY US Equity","ARD_CHANGE_IN_ACCRUED_EXP","FQ3 2024","FQ3 2024","Currency=USD","Period=FQ","BEST_FPERIOD_OVERRIDE=FQ","FILING_STATUS=MR","SCALING_FORMAT=MLN","Sort=A","Dates=H","DateFormat=P","Fill=—","Direction=H","UseDPDF=Y")</f>
        <v>—</v>
      </c>
      <c r="AA18" s="13" t="str">
        <f>_xll.BDH("ALNY US Equity","ARD_CHANGE_IN_ACCRUED_EXP","FQ4 2024","FQ4 2024","Currency=USD","Period=FQ","BEST_FPERIOD_OVERRIDE=FQ","FILING_STATUS=MR","SCALING_FORMAT=MLN","Sort=A","Dates=H","DateFormat=P","Fill=—","Direction=H","UseDPDF=Y")</f>
        <v>—</v>
      </c>
    </row>
    <row r="19" spans="1:27" x14ac:dyDescent="0.25">
      <c r="A19" s="10" t="s">
        <v>1277</v>
      </c>
      <c r="B19" s="10" t="s">
        <v>1278</v>
      </c>
      <c r="C19" s="13">
        <f>_xll.BDH("ALNY US Equity","ARD_CHG_IN_DEF_UNEARN_REVENUE_ST","FQ4 2018","FQ4 2018","Currency=USD","Period=FQ","BEST_FPERIOD_OVERRIDE=FQ","FILING_STATUS=MR","SCALING_FORMAT=MLN","Sort=A","Dates=H","DateFormat=P","Fill=—","Direction=H","UseDPDF=Y")</f>
        <v>-12.616</v>
      </c>
      <c r="D19" s="13">
        <f>_xll.BDH("ALNY US Equity","ARD_CHG_IN_DEF_UNEARN_REVENUE_ST","FQ1 2019","FQ1 2019","Currency=USD","Period=FQ","BEST_FPERIOD_OVERRIDE=FQ","FILING_STATUS=MR","SCALING_FORMAT=MLN","Sort=A","Dates=H","DateFormat=P","Fill=—","Direction=H","UseDPDF=Y")</f>
        <v>-0.83399999999999996</v>
      </c>
      <c r="E19" s="13">
        <f>_xll.BDH("ALNY US Equity","ARD_CHG_IN_DEF_UNEARN_REVENUE_ST","FQ2 2019","FQ2 2019","Currency=USD","Period=FQ","BEST_FPERIOD_OVERRIDE=FQ","FILING_STATUS=MR","SCALING_FORMAT=MLN","Sort=A","Dates=H","DateFormat=P","Fill=—","Direction=H","UseDPDF=Y")</f>
        <v>399.173</v>
      </c>
      <c r="F19" s="13">
        <f>_xll.BDH("ALNY US Equity","ARD_CHG_IN_DEF_UNEARN_REVENUE_ST","FQ3 2019","FQ3 2019","Currency=USD","Period=FQ","BEST_FPERIOD_OVERRIDE=FQ","FILING_STATUS=MR","SCALING_FORMAT=MLN","Sort=A","Dates=H","DateFormat=P","Fill=—","Direction=H","UseDPDF=Y")</f>
        <v>399.584</v>
      </c>
      <c r="G19" s="13">
        <f>_xll.BDH("ALNY US Equity","ARD_CHG_IN_DEF_UNEARN_REVENUE_ST","FQ4 2019","FQ4 2019","Currency=USD","Period=FQ","BEST_FPERIOD_OVERRIDE=FQ","FILING_STATUS=MR","SCALING_FORMAT=MLN","Sort=A","Dates=H","DateFormat=P","Fill=—","Direction=H","UseDPDF=Y")</f>
        <v>392.25099999999998</v>
      </c>
      <c r="H19" s="13">
        <f>_xll.BDH("ALNY US Equity","ARD_CHG_IN_DEF_UNEARN_REVENUE_ST","FQ1 2020","FQ1 2020","Currency=USD","Period=FQ","BEST_FPERIOD_OVERRIDE=FQ","FILING_STATUS=MR","SCALING_FORMAT=MLN","Sort=A","Dates=H","DateFormat=P","Fill=—","Direction=H","UseDPDF=Y")</f>
        <v>-4.03</v>
      </c>
      <c r="I19" s="13">
        <f>_xll.BDH("ALNY US Equity","ARD_CHG_IN_DEF_UNEARN_REVENUE_ST","FQ2 2020","FQ2 2020","Currency=USD","Period=FQ","BEST_FPERIOD_OVERRIDE=FQ","FILING_STATUS=MR","SCALING_FORMAT=MLN","Sort=A","Dates=H","DateFormat=P","Fill=—","Direction=H","UseDPDF=Y")</f>
        <v>-7.09</v>
      </c>
      <c r="J19" s="13">
        <f>_xll.BDH("ALNY US Equity","ARD_CHG_IN_DEF_UNEARN_REVENUE_ST","FQ3 2020","FQ3 2020","Currency=USD","Period=FQ","BEST_FPERIOD_OVERRIDE=FQ","FILING_STATUS=MR","SCALING_FORMAT=MLN","Sort=A","Dates=H","DateFormat=P","Fill=—","Direction=H","UseDPDF=Y")</f>
        <v>-15.923999999999999</v>
      </c>
      <c r="K19" s="13">
        <f>_xll.BDH("ALNY US Equity","ARD_CHG_IN_DEF_UNEARN_REVENUE_ST","FQ4 2020","FQ4 2020","Currency=USD","Period=FQ","BEST_FPERIOD_OVERRIDE=FQ","FILING_STATUS=MR","SCALING_FORMAT=MLN","Sort=A","Dates=H","DateFormat=P","Fill=—","Direction=H","UseDPDF=Y")</f>
        <v>-43.965000000000003</v>
      </c>
      <c r="L19" s="13">
        <f>_xll.BDH("ALNY US Equity","ARD_CHG_IN_DEF_UNEARN_REVENUE_ST","FQ1 2021","FQ1 2021","Currency=USD","Period=FQ","BEST_FPERIOD_OVERRIDE=FQ","FILING_STATUS=MR","SCALING_FORMAT=MLN","Sort=A","Dates=H","DateFormat=P","Fill=—","Direction=H","UseDPDF=Y")</f>
        <v>-27.803999999999998</v>
      </c>
      <c r="M19" s="13">
        <f>_xll.BDH("ALNY US Equity","ARD_CHG_IN_DEF_UNEARN_REVENUE_ST","FQ2 2021","FQ2 2021","Currency=USD","Period=FQ","BEST_FPERIOD_OVERRIDE=FQ","FILING_STATUS=MR","SCALING_FORMAT=MLN","Sort=A","Dates=H","DateFormat=P","Fill=—","Direction=H","UseDPDF=Y")</f>
        <v>-51.741999999999997</v>
      </c>
      <c r="N19" s="13">
        <f>_xll.BDH("ALNY US Equity","ARD_CHG_IN_DEF_UNEARN_REVENUE_ST","FQ3 2021","FQ3 2021","Currency=USD","Period=FQ","BEST_FPERIOD_OVERRIDE=FQ","FILING_STATUS=MR","SCALING_FORMAT=MLN","Sort=A","Dates=H","DateFormat=P","Fill=—","Direction=H","UseDPDF=Y")</f>
        <v>-60.094000000000001</v>
      </c>
      <c r="O19" s="13">
        <f>_xll.BDH("ALNY US Equity","ARD_CHG_IN_DEF_UNEARN_REVENUE_ST","FQ4 2021","FQ4 2021","Currency=USD","Period=FQ","BEST_FPERIOD_OVERRIDE=FQ","FILING_STATUS=MR","SCALING_FORMAT=MLN","Sort=A","Dates=H","DateFormat=P","Fill=—","Direction=H","UseDPDF=Y")</f>
        <v>-50.404000000000003</v>
      </c>
      <c r="P19" s="13">
        <f>_xll.BDH("ALNY US Equity","ARD_CHG_IN_DEF_UNEARN_REVENUE_ST","FQ1 2022","FQ1 2022","Currency=USD","Period=FQ","BEST_FPERIOD_OVERRIDE=FQ","FILING_STATUS=MR","SCALING_FORMAT=MLN","Sort=A","Dates=H","DateFormat=P","Fill=—","Direction=H","UseDPDF=Y")</f>
        <v>-12.324999999999999</v>
      </c>
      <c r="Q19" s="13">
        <f>_xll.BDH("ALNY US Equity","ARD_CHG_IN_DEF_UNEARN_REVENUE_ST","FQ2 2022","FQ2 2022","Currency=USD","Period=FQ","BEST_FPERIOD_OVERRIDE=FQ","FILING_STATUS=MR","SCALING_FORMAT=MLN","Sort=A","Dates=H","DateFormat=P","Fill=—","Direction=H","UseDPDF=Y")</f>
        <v>-12.167</v>
      </c>
      <c r="R19" s="13">
        <f>_xll.BDH("ALNY US Equity","ARD_CHG_IN_DEF_UNEARN_REVENUE_ST","FQ3 2022","FQ3 2022","Currency=USD","Period=FQ","BEST_FPERIOD_OVERRIDE=FQ","FILING_STATUS=MR","SCALING_FORMAT=MLN","Sort=A","Dates=H","DateFormat=P","Fill=—","Direction=H","UseDPDF=Y")</f>
        <v>-24.632000000000001</v>
      </c>
      <c r="S19" s="13">
        <f>_xll.BDH("ALNY US Equity","ARD_CHG_IN_DEF_UNEARN_REVENUE_ST","FQ4 2022","FQ4 2022","Currency=USD","Period=FQ","BEST_FPERIOD_OVERRIDE=FQ","FILING_STATUS=MR","SCALING_FORMAT=MLN","Sort=A","Dates=H","DateFormat=P","Fill=—","Direction=H","UseDPDF=Y")</f>
        <v>-65.911000000000001</v>
      </c>
      <c r="T19" s="13">
        <f>_xll.BDH("ALNY US Equity","ARD_CHG_IN_DEF_UNEARN_REVENUE_ST","FQ1 2023","FQ1 2023","Currency=USD","Period=FQ","BEST_FPERIOD_OVERRIDE=FQ","FILING_STATUS=MR","SCALING_FORMAT=MLN","Sort=A","Dates=H","DateFormat=P","Fill=—","Direction=H","UseDPDF=Y")</f>
        <v>-8.85</v>
      </c>
      <c r="U19" s="13">
        <f>_xll.BDH("ALNY US Equity","ARD_CHG_IN_DEF_UNEARN_REVENUE_ST","FQ2 2023","FQ2 2023","Currency=USD","Period=FQ","BEST_FPERIOD_OVERRIDE=FQ","FILING_STATUS=MR","SCALING_FORMAT=MLN","Sort=A","Dates=H","DateFormat=P","Fill=—","Direction=H","UseDPDF=Y")</f>
        <v>12.866</v>
      </c>
      <c r="V19" s="13">
        <f>_xll.BDH("ALNY US Equity","ARD_CHG_IN_DEF_UNEARN_REVENUE_ST","FQ3 2023","FQ3 2023","Currency=USD","Period=FQ","BEST_FPERIOD_OVERRIDE=FQ","FILING_STATUS=MR","SCALING_FORMAT=MLN","Sort=A","Dates=H","DateFormat=P","Fill=—","Direction=H","UseDPDF=Y")</f>
        <v>37.332999999999998</v>
      </c>
      <c r="W19" s="13">
        <f>_xll.BDH("ALNY US Equity","ARD_CHG_IN_DEF_UNEARN_REVENUE_ST","FQ4 2023","FQ4 2023","Currency=USD","Period=FQ","BEST_FPERIOD_OVERRIDE=FQ","FILING_STATUS=MR","SCALING_FORMAT=MLN","Sort=A","Dates=H","DateFormat=P","Fill=—","Direction=H","UseDPDF=Y")</f>
        <v>55.021999999999998</v>
      </c>
      <c r="X19" s="13">
        <f>_xll.BDH("ALNY US Equity","ARD_CHG_IN_DEF_UNEARN_REVENUE_ST","FQ1 2024","FQ1 2024","Currency=USD","Period=FQ","BEST_FPERIOD_OVERRIDE=FQ","FILING_STATUS=MR","SCALING_FORMAT=MLN","Sort=A","Dates=H","DateFormat=P","Fill=—","Direction=H","UseDPDF=Y")</f>
        <v>-28.562999999999999</v>
      </c>
      <c r="Y19" s="13">
        <f>_xll.BDH("ALNY US Equity","ARD_CHG_IN_DEF_UNEARN_REVENUE_ST","FQ2 2024","FQ2 2024","Currency=USD","Period=FQ","BEST_FPERIOD_OVERRIDE=FQ","FILING_STATUS=MR","SCALING_FORMAT=MLN","Sort=A","Dates=H","DateFormat=P","Fill=—","Direction=H","UseDPDF=Y")</f>
        <v>-219.506</v>
      </c>
      <c r="Z19" s="13">
        <f>_xll.BDH("ALNY US Equity","ARD_CHG_IN_DEF_UNEARN_REVENUE_ST","FQ3 2024","FQ3 2024","Currency=USD","Period=FQ","BEST_FPERIOD_OVERRIDE=FQ","FILING_STATUS=MR","SCALING_FORMAT=MLN","Sort=A","Dates=H","DateFormat=P","Fill=—","Direction=H","UseDPDF=Y")</f>
        <v>-218.88200000000001</v>
      </c>
      <c r="AA19" s="13">
        <f>_xll.BDH("ALNY US Equity","ARD_CHG_IN_DEF_UNEARN_REVENUE_ST","FQ4 2024","FQ4 2024","Currency=USD","Period=FQ","BEST_FPERIOD_OVERRIDE=FQ","FILING_STATUS=MR","SCALING_FORMAT=MLN","Sort=A","Dates=H","DateFormat=P","Fill=—","Direction=H","UseDPDF=Y")</f>
        <v>-235.446</v>
      </c>
    </row>
    <row r="20" spans="1:27" x14ac:dyDescent="0.25">
      <c r="A20" s="10" t="s">
        <v>1279</v>
      </c>
      <c r="B20" s="10" t="s">
        <v>1280</v>
      </c>
      <c r="C20" s="13" t="str">
        <f>_xll.BDH("ALNY US Equity","ARD_CHG_IN_ACCT_PAY_ACC_EXP","FQ4 2018","FQ4 2018","Currency=USD","Period=FQ","BEST_FPERIOD_OVERRIDE=FQ","FILING_STATUS=MR","SCALING_FORMAT=MLN","Sort=A","Dates=H","DateFormat=P","Fill=—","Direction=H","UseDPDF=Y")</f>
        <v>—</v>
      </c>
      <c r="D20" s="13" t="str">
        <f>_xll.BDH("ALNY US Equity","ARD_CHG_IN_ACCT_PAY_ACC_EXP","FQ1 2019","FQ1 2019","Currency=USD","Period=FQ","BEST_FPERIOD_OVERRIDE=FQ","FILING_STATUS=MR","SCALING_FORMAT=MLN","Sort=A","Dates=H","DateFormat=P","Fill=—","Direction=H","UseDPDF=Y")</f>
        <v>—</v>
      </c>
      <c r="E20" s="13" t="str">
        <f>_xll.BDH("ALNY US Equity","ARD_CHG_IN_ACCT_PAY_ACC_EXP","FQ2 2019","FQ2 2019","Currency=USD","Period=FQ","BEST_FPERIOD_OVERRIDE=FQ","FILING_STATUS=MR","SCALING_FORMAT=MLN","Sort=A","Dates=H","DateFormat=P","Fill=—","Direction=H","UseDPDF=Y")</f>
        <v>—</v>
      </c>
      <c r="F20" s="13" t="str">
        <f>_xll.BDH("ALNY US Equity","ARD_CHG_IN_ACCT_PAY_ACC_EXP","FQ3 2019","FQ3 2019","Currency=USD","Period=FQ","BEST_FPERIOD_OVERRIDE=FQ","FILING_STATUS=MR","SCALING_FORMAT=MLN","Sort=A","Dates=H","DateFormat=P","Fill=—","Direction=H","UseDPDF=Y")</f>
        <v>—</v>
      </c>
      <c r="G20" s="13" t="str">
        <f>_xll.BDH("ALNY US Equity","ARD_CHG_IN_ACCT_PAY_ACC_EXP","FQ4 2019","FQ4 2019","Currency=USD","Period=FQ","BEST_FPERIOD_OVERRIDE=FQ","FILING_STATUS=MR","SCALING_FORMAT=MLN","Sort=A","Dates=H","DateFormat=P","Fill=—","Direction=H","UseDPDF=Y")</f>
        <v>—</v>
      </c>
      <c r="H20" s="13" t="str">
        <f>_xll.BDH("ALNY US Equity","ARD_CHG_IN_ACCT_PAY_ACC_EXP","FQ1 2020","FQ1 2020","Currency=USD","Period=FQ","BEST_FPERIOD_OVERRIDE=FQ","FILING_STATUS=MR","SCALING_FORMAT=MLN","Sort=A","Dates=H","DateFormat=P","Fill=—","Direction=H","UseDPDF=Y")</f>
        <v>—</v>
      </c>
      <c r="I20" s="13" t="str">
        <f>_xll.BDH("ALNY US Equity","ARD_CHG_IN_ACCT_PAY_ACC_EXP","FQ2 2020","FQ2 2020","Currency=USD","Period=FQ","BEST_FPERIOD_OVERRIDE=FQ","FILING_STATUS=MR","SCALING_FORMAT=MLN","Sort=A","Dates=H","DateFormat=P","Fill=—","Direction=H","UseDPDF=Y")</f>
        <v>—</v>
      </c>
      <c r="J20" s="13" t="str">
        <f>_xll.BDH("ALNY US Equity","ARD_CHG_IN_ACCT_PAY_ACC_EXP","FQ3 2020","FQ3 2020","Currency=USD","Period=FQ","BEST_FPERIOD_OVERRIDE=FQ","FILING_STATUS=MR","SCALING_FORMAT=MLN","Sort=A","Dates=H","DateFormat=P","Fill=—","Direction=H","UseDPDF=Y")</f>
        <v>—</v>
      </c>
      <c r="K20" s="13" t="str">
        <f>_xll.BDH("ALNY US Equity","ARD_CHG_IN_ACCT_PAY_ACC_EXP","FQ4 2020","FQ4 2020","Currency=USD","Period=FQ","BEST_FPERIOD_OVERRIDE=FQ","FILING_STATUS=MR","SCALING_FORMAT=MLN","Sort=A","Dates=H","DateFormat=P","Fill=—","Direction=H","UseDPDF=Y")</f>
        <v>—</v>
      </c>
      <c r="L20" s="13">
        <f>_xll.BDH("ALNY US Equity","ARD_CHG_IN_ACCT_PAY_ACC_EXP","FQ1 2021","FQ1 2021","Currency=USD","Period=FQ","BEST_FPERIOD_OVERRIDE=FQ","FILING_STATUS=MR","SCALING_FORMAT=MLN","Sort=A","Dates=H","DateFormat=P","Fill=—","Direction=H","UseDPDF=Y")</f>
        <v>-66.572999999999993</v>
      </c>
      <c r="M20" s="13" t="str">
        <f>_xll.BDH("ALNY US Equity","ARD_CHG_IN_ACCT_PAY_ACC_EXP","FQ2 2021","FQ2 2021","Currency=USD","Period=FQ","BEST_FPERIOD_OVERRIDE=FQ","FILING_STATUS=MR","SCALING_FORMAT=MLN","Sort=A","Dates=H","DateFormat=P","Fill=—","Direction=H","UseDPDF=Y")</f>
        <v>—</v>
      </c>
      <c r="N20" s="13" t="str">
        <f>_xll.BDH("ALNY US Equity","ARD_CHG_IN_ACCT_PAY_ACC_EXP","FQ3 2021","FQ3 2021","Currency=USD","Period=FQ","BEST_FPERIOD_OVERRIDE=FQ","FILING_STATUS=MR","SCALING_FORMAT=MLN","Sort=A","Dates=H","DateFormat=P","Fill=—","Direction=H","UseDPDF=Y")</f>
        <v>—</v>
      </c>
      <c r="O20" s="13" t="str">
        <f>_xll.BDH("ALNY US Equity","ARD_CHG_IN_ACCT_PAY_ACC_EXP","FQ4 2021","FQ4 2021","Currency=USD","Period=FQ","BEST_FPERIOD_OVERRIDE=FQ","FILING_STATUS=MR","SCALING_FORMAT=MLN","Sort=A","Dates=H","DateFormat=P","Fill=—","Direction=H","UseDPDF=Y")</f>
        <v>—</v>
      </c>
      <c r="P20" s="13" t="str">
        <f>_xll.BDH("ALNY US Equity","ARD_CHG_IN_ACCT_PAY_ACC_EXP","FQ1 2022","FQ1 2022","Currency=USD","Period=FQ","BEST_FPERIOD_OVERRIDE=FQ","FILING_STATUS=MR","SCALING_FORMAT=MLN","Sort=A","Dates=H","DateFormat=P","Fill=—","Direction=H","UseDPDF=Y")</f>
        <v>—</v>
      </c>
      <c r="Q20" s="13" t="str">
        <f>_xll.BDH("ALNY US Equity","ARD_CHG_IN_ACCT_PAY_ACC_EXP","FQ2 2022","FQ2 2022","Currency=USD","Period=FQ","BEST_FPERIOD_OVERRIDE=FQ","FILING_STATUS=MR","SCALING_FORMAT=MLN","Sort=A","Dates=H","DateFormat=P","Fill=—","Direction=H","UseDPDF=Y")</f>
        <v>—</v>
      </c>
      <c r="R20" s="13" t="str">
        <f>_xll.BDH("ALNY US Equity","ARD_CHG_IN_ACCT_PAY_ACC_EXP","FQ3 2022","FQ3 2022","Currency=USD","Period=FQ","BEST_FPERIOD_OVERRIDE=FQ","FILING_STATUS=MR","SCALING_FORMAT=MLN","Sort=A","Dates=H","DateFormat=P","Fill=—","Direction=H","UseDPDF=Y")</f>
        <v>—</v>
      </c>
      <c r="S20" s="13" t="str">
        <f>_xll.BDH("ALNY US Equity","ARD_CHG_IN_ACCT_PAY_ACC_EXP","FQ4 2022","FQ4 2022","Currency=USD","Period=FQ","BEST_FPERIOD_OVERRIDE=FQ","FILING_STATUS=MR","SCALING_FORMAT=MLN","Sort=A","Dates=H","DateFormat=P","Fill=—","Direction=H","UseDPDF=Y")</f>
        <v>—</v>
      </c>
      <c r="T20" s="13" t="str">
        <f>_xll.BDH("ALNY US Equity","ARD_CHG_IN_ACCT_PAY_ACC_EXP","FQ1 2023","FQ1 2023","Currency=USD","Period=FQ","BEST_FPERIOD_OVERRIDE=FQ","FILING_STATUS=MR","SCALING_FORMAT=MLN","Sort=A","Dates=H","DateFormat=P","Fill=—","Direction=H","UseDPDF=Y")</f>
        <v>—</v>
      </c>
      <c r="U20" s="13">
        <f>_xll.BDH("ALNY US Equity","ARD_CHG_IN_ACCT_PAY_ACC_EXP","FQ2 2023","FQ2 2023","Currency=USD","Period=FQ","BEST_FPERIOD_OVERRIDE=FQ","FILING_STATUS=MR","SCALING_FORMAT=MLN","Sort=A","Dates=H","DateFormat=P","Fill=—","Direction=H","UseDPDF=Y")</f>
        <v>0.76600000000000001</v>
      </c>
      <c r="V20" s="13">
        <f>_xll.BDH("ALNY US Equity","ARD_CHG_IN_ACCT_PAY_ACC_EXP","FQ3 2023","FQ3 2023","Currency=USD","Period=FQ","BEST_FPERIOD_OVERRIDE=FQ","FILING_STATUS=MR","SCALING_FORMAT=MLN","Sort=A","Dates=H","DateFormat=P","Fill=—","Direction=H","UseDPDF=Y")</f>
        <v>119.506</v>
      </c>
      <c r="W20" s="13" t="str">
        <f>_xll.BDH("ALNY US Equity","ARD_CHG_IN_ACCT_PAY_ACC_EXP","FQ4 2023","FQ4 2023","Currency=USD","Period=FQ","BEST_FPERIOD_OVERRIDE=FQ","FILING_STATUS=MR","SCALING_FORMAT=MLN","Sort=A","Dates=H","DateFormat=P","Fill=—","Direction=H","UseDPDF=Y")</f>
        <v>—</v>
      </c>
      <c r="X20" s="13" t="str">
        <f>_xll.BDH("ALNY US Equity","ARD_CHG_IN_ACCT_PAY_ACC_EXP","FQ1 2024","FQ1 2024","Currency=USD","Period=FQ","BEST_FPERIOD_OVERRIDE=FQ","FILING_STATUS=MR","SCALING_FORMAT=MLN","Sort=A","Dates=H","DateFormat=P","Fill=—","Direction=H","UseDPDF=Y")</f>
        <v>—</v>
      </c>
      <c r="Y20" s="13">
        <f>_xll.BDH("ALNY US Equity","ARD_CHG_IN_ACCT_PAY_ACC_EXP","FQ2 2024","FQ2 2024","Currency=USD","Period=FQ","BEST_FPERIOD_OVERRIDE=FQ","FILING_STATUS=MR","SCALING_FORMAT=MLN","Sort=A","Dates=H","DateFormat=P","Fill=—","Direction=H","UseDPDF=Y")</f>
        <v>69.605000000000004</v>
      </c>
      <c r="Z20" s="13">
        <f>_xll.BDH("ALNY US Equity","ARD_CHG_IN_ACCT_PAY_ACC_EXP","FQ3 2024","FQ3 2024","Currency=USD","Period=FQ","BEST_FPERIOD_OVERRIDE=FQ","FILING_STATUS=MR","SCALING_FORMAT=MLN","Sort=A","Dates=H","DateFormat=P","Fill=—","Direction=H","UseDPDF=Y")</f>
        <v>153.19999999999999</v>
      </c>
      <c r="AA20" s="13" t="str">
        <f>_xll.BDH("ALNY US Equity","ARD_CHG_IN_ACCT_PAY_ACC_EXP","FQ4 2024","FQ4 2024","Currency=USD","Period=FQ","BEST_FPERIOD_OVERRIDE=FQ","FILING_STATUS=MR","SCALING_FORMAT=MLN","Sort=A","Dates=H","DateFormat=P","Fill=—","Direction=H","UseDPDF=Y")</f>
        <v>—</v>
      </c>
    </row>
    <row r="21" spans="1:27" x14ac:dyDescent="0.25">
      <c r="A21" s="10" t="s">
        <v>1281</v>
      </c>
      <c r="B21" s="10" t="s">
        <v>1282</v>
      </c>
      <c r="C21" s="13" t="str">
        <f>_xll.BDH("ALNY US Equity","ARD_CHG_IN_OTHER_LIABILITES","FQ4 2018","FQ4 2018","Currency=USD","Period=FQ","BEST_FPERIOD_OVERRIDE=FQ","FILING_STATUS=MR","SCALING_FORMAT=MLN","Sort=A","Dates=H","DateFormat=P","Fill=—","Direction=H","UseDPDF=Y")</f>
        <v>—</v>
      </c>
      <c r="D21" s="13" t="str">
        <f>_xll.BDH("ALNY US Equity","ARD_CHG_IN_OTHER_LIABILITES","FQ1 2019","FQ1 2019","Currency=USD","Period=FQ","BEST_FPERIOD_OVERRIDE=FQ","FILING_STATUS=MR","SCALING_FORMAT=MLN","Sort=A","Dates=H","DateFormat=P","Fill=—","Direction=H","UseDPDF=Y")</f>
        <v>—</v>
      </c>
      <c r="E21" s="13" t="str">
        <f>_xll.BDH("ALNY US Equity","ARD_CHG_IN_OTHER_LIABILITES","FQ2 2019","FQ2 2019","Currency=USD","Period=FQ","BEST_FPERIOD_OVERRIDE=FQ","FILING_STATUS=MR","SCALING_FORMAT=MLN","Sort=A","Dates=H","DateFormat=P","Fill=—","Direction=H","UseDPDF=Y")</f>
        <v>—</v>
      </c>
      <c r="F21" s="13" t="str">
        <f>_xll.BDH("ALNY US Equity","ARD_CHG_IN_OTHER_LIABILITES","FQ3 2019","FQ3 2019","Currency=USD","Period=FQ","BEST_FPERIOD_OVERRIDE=FQ","FILING_STATUS=MR","SCALING_FORMAT=MLN","Sort=A","Dates=H","DateFormat=P","Fill=—","Direction=H","UseDPDF=Y")</f>
        <v>—</v>
      </c>
      <c r="G21" s="13">
        <f>_xll.BDH("ALNY US Equity","ARD_CHG_IN_OTHER_LIABILITES","FQ4 2019","FQ4 2019","Currency=USD","Period=FQ","BEST_FPERIOD_OVERRIDE=FQ","FILING_STATUS=MR","SCALING_FORMAT=MLN","Sort=A","Dates=H","DateFormat=P","Fill=—","Direction=H","UseDPDF=Y")</f>
        <v>92.353999999999999</v>
      </c>
      <c r="H21" s="13">
        <f>_xll.BDH("ALNY US Equity","ARD_CHG_IN_OTHER_LIABILITES","FQ1 2020","FQ1 2020","Currency=USD","Period=FQ","BEST_FPERIOD_OVERRIDE=FQ","FILING_STATUS=MR","SCALING_FORMAT=MLN","Sort=A","Dates=H","DateFormat=P","Fill=—","Direction=H","UseDPDF=Y")</f>
        <v>-14.215</v>
      </c>
      <c r="I21" s="13">
        <f>_xll.BDH("ALNY US Equity","ARD_CHG_IN_OTHER_LIABILITES","FQ2 2020","FQ2 2020","Currency=USD","Period=FQ","BEST_FPERIOD_OVERRIDE=FQ","FILING_STATUS=MR","SCALING_FORMAT=MLN","Sort=A","Dates=H","DateFormat=P","Fill=—","Direction=H","UseDPDF=Y")</f>
        <v>2.036</v>
      </c>
      <c r="J21" s="13">
        <f>_xll.BDH("ALNY US Equity","ARD_CHG_IN_OTHER_LIABILITES","FQ3 2020","FQ3 2020","Currency=USD","Period=FQ","BEST_FPERIOD_OVERRIDE=FQ","FILING_STATUS=MR","SCALING_FORMAT=MLN","Sort=A","Dates=H","DateFormat=P","Fill=—","Direction=H","UseDPDF=Y")</f>
        <v>75.563999999999993</v>
      </c>
      <c r="K21" s="13">
        <f>_xll.BDH("ALNY US Equity","ARD_CHG_IN_OTHER_LIABILITES","FQ4 2020","FQ4 2020","Currency=USD","Period=FQ","BEST_FPERIOD_OVERRIDE=FQ","FILING_STATUS=MR","SCALING_FORMAT=MLN","Sort=A","Dates=H","DateFormat=P","Fill=—","Direction=H","UseDPDF=Y")</f>
        <v>143.732</v>
      </c>
      <c r="L21" s="13" t="str">
        <f>_xll.BDH("ALNY US Equity","ARD_CHG_IN_OTHER_LIABILITES","FQ1 2021","FQ1 2021","Currency=USD","Period=FQ","BEST_FPERIOD_OVERRIDE=FQ","FILING_STATUS=MR","SCALING_FORMAT=MLN","Sort=A","Dates=H","DateFormat=P","Fill=—","Direction=H","UseDPDF=Y")</f>
        <v>—</v>
      </c>
      <c r="M21" s="13">
        <f>_xll.BDH("ALNY US Equity","ARD_CHG_IN_OTHER_LIABILITES","FQ2 2021","FQ2 2021","Currency=USD","Period=FQ","BEST_FPERIOD_OVERRIDE=FQ","FILING_STATUS=MR","SCALING_FORMAT=MLN","Sort=A","Dates=H","DateFormat=P","Fill=—","Direction=H","UseDPDF=Y")</f>
        <v>2.3740000000000001</v>
      </c>
      <c r="N21" s="13">
        <f>_xll.BDH("ALNY US Equity","ARD_CHG_IN_OTHER_LIABILITES","FQ3 2021","FQ3 2021","Currency=USD","Period=FQ","BEST_FPERIOD_OVERRIDE=FQ","FILING_STATUS=MR","SCALING_FORMAT=MLN","Sort=A","Dates=H","DateFormat=P","Fill=—","Direction=H","UseDPDF=Y")</f>
        <v>48.738</v>
      </c>
      <c r="O21" s="13">
        <f>_xll.BDH("ALNY US Equity","ARD_CHG_IN_OTHER_LIABILITES","FQ4 2021","FQ4 2021","Currency=USD","Period=FQ","BEST_FPERIOD_OVERRIDE=FQ","FILING_STATUS=MR","SCALING_FORMAT=MLN","Sort=A","Dates=H","DateFormat=P","Fill=—","Direction=H","UseDPDF=Y")</f>
        <v>88.24</v>
      </c>
      <c r="P21" s="13">
        <f>_xll.BDH("ALNY US Equity","ARD_CHG_IN_OTHER_LIABILITES","FQ1 2022","FQ1 2022","Currency=USD","Period=FQ","BEST_FPERIOD_OVERRIDE=FQ","FILING_STATUS=MR","SCALING_FORMAT=MLN","Sort=A","Dates=H","DateFormat=P","Fill=—","Direction=H","UseDPDF=Y")</f>
        <v>-48.735999999999997</v>
      </c>
      <c r="Q21" s="13">
        <f>_xll.BDH("ALNY US Equity","ARD_CHG_IN_OTHER_LIABILITES","FQ2 2022","FQ2 2022","Currency=USD","Period=FQ","BEST_FPERIOD_OVERRIDE=FQ","FILING_STATUS=MR","SCALING_FORMAT=MLN","Sort=A","Dates=H","DateFormat=P","Fill=—","Direction=H","UseDPDF=Y")</f>
        <v>19.407</v>
      </c>
      <c r="R21" s="13">
        <f>_xll.BDH("ALNY US Equity","ARD_CHG_IN_OTHER_LIABILITES","FQ3 2022","FQ3 2022","Currency=USD","Period=FQ","BEST_FPERIOD_OVERRIDE=FQ","FILING_STATUS=MR","SCALING_FORMAT=MLN","Sort=A","Dates=H","DateFormat=P","Fill=—","Direction=H","UseDPDF=Y")</f>
        <v>159.928</v>
      </c>
      <c r="S21" s="13">
        <f>_xll.BDH("ALNY US Equity","ARD_CHG_IN_OTHER_LIABILITES","FQ4 2022","FQ4 2022","Currency=USD","Period=FQ","BEST_FPERIOD_OVERRIDE=FQ","FILING_STATUS=MR","SCALING_FORMAT=MLN","Sort=A","Dates=H","DateFormat=P","Fill=—","Direction=H","UseDPDF=Y")</f>
        <v>191.76900000000001</v>
      </c>
      <c r="T21" s="13">
        <f>_xll.BDH("ALNY US Equity","ARD_CHG_IN_OTHER_LIABILITES","FQ1 2023","FQ1 2023","Currency=USD","Period=FQ","BEST_FPERIOD_OVERRIDE=FQ","FILING_STATUS=MR","SCALING_FORMAT=MLN","Sort=A","Dates=H","DateFormat=P","Fill=—","Direction=H","UseDPDF=Y")</f>
        <v>-81.974999999999994</v>
      </c>
      <c r="U21" s="13">
        <f>_xll.BDH("ALNY US Equity","ARD_CHG_IN_OTHER_LIABILITES","FQ2 2023","FQ2 2023","Currency=USD","Period=FQ","BEST_FPERIOD_OVERRIDE=FQ","FILING_STATUS=MR","SCALING_FORMAT=MLN","Sort=A","Dates=H","DateFormat=P","Fill=—","Direction=H","UseDPDF=Y")</f>
        <v>36.686</v>
      </c>
      <c r="V21" s="13">
        <f>_xll.BDH("ALNY US Equity","ARD_CHG_IN_OTHER_LIABILITES","FQ3 2023","FQ3 2023","Currency=USD","Period=FQ","BEST_FPERIOD_OVERRIDE=FQ","FILING_STATUS=MR","SCALING_FORMAT=MLN","Sort=A","Dates=H","DateFormat=P","Fill=—","Direction=H","UseDPDF=Y")</f>
        <v>67.894999999999996</v>
      </c>
      <c r="W21" s="13">
        <f>_xll.BDH("ALNY US Equity","ARD_CHG_IN_OTHER_LIABILITES","FQ4 2023","FQ4 2023","Currency=USD","Period=FQ","BEST_FPERIOD_OVERRIDE=FQ","FILING_STATUS=MR","SCALING_FORMAT=MLN","Sort=A","Dates=H","DateFormat=P","Fill=—","Direction=H","UseDPDF=Y")</f>
        <v>80.84</v>
      </c>
      <c r="X21" s="13">
        <f>_xll.BDH("ALNY US Equity","ARD_CHG_IN_OTHER_LIABILITES","FQ1 2024","FQ1 2024","Currency=USD","Period=FQ","BEST_FPERIOD_OVERRIDE=FQ","FILING_STATUS=MR","SCALING_FORMAT=MLN","Sort=A","Dates=H","DateFormat=P","Fill=—","Direction=H","UseDPDF=Y")</f>
        <v>-4.8650000000000002</v>
      </c>
      <c r="Y21" s="13">
        <f>_xll.BDH("ALNY US Equity","ARD_CHG_IN_OTHER_LIABILITES","FQ2 2024","FQ2 2024","Currency=USD","Period=FQ","BEST_FPERIOD_OVERRIDE=FQ","FILING_STATUS=MR","SCALING_FORMAT=MLN","Sort=A","Dates=H","DateFormat=P","Fill=—","Direction=H","UseDPDF=Y")</f>
        <v>64.227999999999994</v>
      </c>
      <c r="Z21" s="13">
        <f>_xll.BDH("ALNY US Equity","ARD_CHG_IN_OTHER_LIABILITES","FQ3 2024","FQ3 2024","Currency=USD","Period=FQ","BEST_FPERIOD_OVERRIDE=FQ","FILING_STATUS=MR","SCALING_FORMAT=MLN","Sort=A","Dates=H","DateFormat=P","Fill=—","Direction=H","UseDPDF=Y")</f>
        <v>100.499</v>
      </c>
      <c r="AA21" s="13">
        <f>_xll.BDH("ALNY US Equity","ARD_CHG_IN_OTHER_LIABILITES","FQ4 2024","FQ4 2024","Currency=USD","Period=FQ","BEST_FPERIOD_OVERRIDE=FQ","FILING_STATUS=MR","SCALING_FORMAT=MLN","Sort=A","Dates=H","DateFormat=P","Fill=—","Direction=H","UseDPDF=Y")</f>
        <v>91.093000000000004</v>
      </c>
    </row>
    <row r="22" spans="1:27" x14ac:dyDescent="0.25">
      <c r="A22" s="10" t="s">
        <v>1283</v>
      </c>
      <c r="B22" s="10" t="s">
        <v>1284</v>
      </c>
      <c r="C22" s="13">
        <f>_xll.BDH("ALNY US Equity","ARD_TOT_CASH_FLOWS_FROM_OPS","FQ4 2018","FQ4 2018","Currency=USD","Period=FQ","BEST_FPERIOD_OVERRIDE=FQ","FILING_STATUS=MR","SCALING_FORMAT=MLN","Sort=A","Dates=H","DateFormat=P","Fill=—","Direction=H","UseDPDF=Y")</f>
        <v>-562.61599999999999</v>
      </c>
      <c r="D22" s="13">
        <f>_xll.BDH("ALNY US Equity","ARD_TOT_CASH_FLOWS_FROM_OPS","FQ1 2019","FQ1 2019","Currency=USD","Period=FQ","BEST_FPERIOD_OVERRIDE=FQ","FILING_STATUS=MR","SCALING_FORMAT=MLN","Sort=A","Dates=H","DateFormat=P","Fill=—","Direction=H","UseDPDF=Y")</f>
        <v>-188.51</v>
      </c>
      <c r="E22" s="13">
        <f>_xll.BDH("ALNY US Equity","ARD_TOT_CASH_FLOWS_FROM_OPS","FQ2 2019","FQ2 2019","Currency=USD","Period=FQ","BEST_FPERIOD_OVERRIDE=FQ","FILING_STATUS=MR","SCALING_FORMAT=MLN","Sort=A","Dates=H","DateFormat=P","Fill=—","Direction=H","UseDPDF=Y")</f>
        <v>100.185</v>
      </c>
      <c r="F22" s="13">
        <f>_xll.BDH("ALNY US Equity","ARD_TOT_CASH_FLOWS_FROM_OPS","FQ3 2019","FQ3 2019","Currency=USD","Period=FQ","BEST_FPERIOD_OVERRIDE=FQ","FILING_STATUS=MR","SCALING_FORMAT=MLN","Sort=A","Dates=H","DateFormat=P","Fill=—","Direction=H","UseDPDF=Y")</f>
        <v>-82.447000000000003</v>
      </c>
      <c r="G22" s="13">
        <f>_xll.BDH("ALNY US Equity","ARD_TOT_CASH_FLOWS_FROM_OPS","FQ4 2019","FQ4 2019","Currency=USD","Period=FQ","BEST_FPERIOD_OVERRIDE=FQ","FILING_STATUS=MR","SCALING_FORMAT=MLN","Sort=A","Dates=H","DateFormat=P","Fill=—","Direction=H","UseDPDF=Y")</f>
        <v>-278.42700000000002</v>
      </c>
      <c r="H22" s="13">
        <f>_xll.BDH("ALNY US Equity","ARD_TOT_CASH_FLOWS_FROM_OPS","FQ1 2020","FQ1 2020","Currency=USD","Period=FQ","BEST_FPERIOD_OVERRIDE=FQ","FILING_STATUS=MR","SCALING_FORMAT=MLN","Sort=A","Dates=H","DateFormat=P","Fill=—","Direction=H","UseDPDF=Y")</f>
        <v>-246.161</v>
      </c>
      <c r="I22" s="13">
        <f>_xll.BDH("ALNY US Equity","ARD_TOT_CASH_FLOWS_FROM_OPS","FQ2 2020","FQ2 2020","Currency=USD","Period=FQ","BEST_FPERIOD_OVERRIDE=FQ","FILING_STATUS=MR","SCALING_FORMAT=MLN","Sort=A","Dates=H","DateFormat=P","Fill=—","Direction=H","UseDPDF=Y")</f>
        <v>-381.49099999999999</v>
      </c>
      <c r="J22" s="13">
        <f>_xll.BDH("ALNY US Equity","ARD_TOT_CASH_FLOWS_FROM_OPS","FQ3 2020","FQ3 2020","Currency=USD","Period=FQ","BEST_FPERIOD_OVERRIDE=FQ","FILING_STATUS=MR","SCALING_FORMAT=MLN","Sort=A","Dates=H","DateFormat=P","Fill=—","Direction=H","UseDPDF=Y")</f>
        <v>-491.81700000000001</v>
      </c>
      <c r="K22" s="13">
        <f>_xll.BDH("ALNY US Equity","ARD_TOT_CASH_FLOWS_FROM_OPS","FQ4 2020","FQ4 2020","Currency=USD","Period=FQ","BEST_FPERIOD_OVERRIDE=FQ","FILING_STATUS=MR","SCALING_FORMAT=MLN","Sort=A","Dates=H","DateFormat=P","Fill=—","Direction=H","UseDPDF=Y")</f>
        <v>-614.96100000000001</v>
      </c>
      <c r="L22" s="13">
        <f>_xll.BDH("ALNY US Equity","ARD_TOT_CASH_FLOWS_FROM_OPS","FQ1 2021","FQ1 2021","Currency=USD","Period=FQ","BEST_FPERIOD_OVERRIDE=FQ","FILING_STATUS=MR","SCALING_FORMAT=MLN","Sort=A","Dates=H","DateFormat=P","Fill=—","Direction=H","UseDPDF=Y")</f>
        <v>-235.66</v>
      </c>
      <c r="M22" s="13">
        <f>_xll.BDH("ALNY US Equity","ARD_TOT_CASH_FLOWS_FROM_OPS","FQ2 2021","FQ2 2021","Currency=USD","Period=FQ","BEST_FPERIOD_OVERRIDE=FQ","FILING_STATUS=MR","SCALING_FORMAT=MLN","Sort=A","Dates=H","DateFormat=P","Fill=—","Direction=H","UseDPDF=Y")</f>
        <v>-357.51600000000002</v>
      </c>
      <c r="N22" s="13">
        <f>_xll.BDH("ALNY US Equity","ARD_TOT_CASH_FLOWS_FROM_OPS","FQ3 2021","FQ3 2021","Currency=USD","Period=FQ","BEST_FPERIOD_OVERRIDE=FQ","FILING_STATUS=MR","SCALING_FORMAT=MLN","Sort=A","Dates=H","DateFormat=P","Fill=—","Direction=H","UseDPDF=Y")</f>
        <v>-491.55200000000002</v>
      </c>
      <c r="O22" s="13">
        <f>_xll.BDH("ALNY US Equity","ARD_TOT_CASH_FLOWS_FROM_OPS","FQ4 2021","FQ4 2021","Currency=USD","Period=FQ","BEST_FPERIOD_OVERRIDE=FQ","FILING_STATUS=MR","SCALING_FORMAT=MLN","Sort=A","Dates=H","DateFormat=P","Fill=—","Direction=H","UseDPDF=Y")</f>
        <v>-641.69299999999998</v>
      </c>
      <c r="P22" s="13">
        <f>_xll.BDH("ALNY US Equity","ARD_TOT_CASH_FLOWS_FROM_OPS","FQ1 2022","FQ1 2022","Currency=USD","Period=FQ","BEST_FPERIOD_OVERRIDE=FQ","FILING_STATUS=MR","SCALING_FORMAT=MLN","Sort=A","Dates=H","DateFormat=P","Fill=—","Direction=H","UseDPDF=Y")</f>
        <v>-171.19300000000001</v>
      </c>
      <c r="Q22" s="13">
        <f>_xll.BDH("ALNY US Equity","ARD_TOT_CASH_FLOWS_FROM_OPS","FQ2 2022","FQ2 2022","Currency=USD","Period=FQ","BEST_FPERIOD_OVERRIDE=FQ","FILING_STATUS=MR","SCALING_FORMAT=MLN","Sort=A","Dates=H","DateFormat=P","Fill=—","Direction=H","UseDPDF=Y")</f>
        <v>-294.012</v>
      </c>
      <c r="R22" s="13">
        <f>_xll.BDH("ALNY US Equity","ARD_TOT_CASH_FLOWS_FROM_OPS","FQ3 2022","FQ3 2022","Currency=USD","Period=FQ","BEST_FPERIOD_OVERRIDE=FQ","FILING_STATUS=MR","SCALING_FORMAT=MLN","Sort=A","Dates=H","DateFormat=P","Fill=—","Direction=H","UseDPDF=Y")</f>
        <v>-409.29599999999999</v>
      </c>
      <c r="S22" s="13">
        <f>_xll.BDH("ALNY US Equity","ARD_TOT_CASH_FLOWS_FROM_OPS","FQ4 2022","FQ4 2022","Currency=USD","Period=FQ","BEST_FPERIOD_OVERRIDE=FQ","FILING_STATUS=MR","SCALING_FORMAT=MLN","Sort=A","Dates=H","DateFormat=P","Fill=—","Direction=H","UseDPDF=Y")</f>
        <v>-541.274</v>
      </c>
      <c r="T22" s="13">
        <f>_xll.BDH("ALNY US Equity","ARD_TOT_CASH_FLOWS_FROM_OPS","FQ1 2023","FQ1 2023","Currency=USD","Period=FQ","BEST_FPERIOD_OVERRIDE=FQ","FILING_STATUS=MR","SCALING_FORMAT=MLN","Sort=A","Dates=H","DateFormat=P","Fill=—","Direction=H","UseDPDF=Y")</f>
        <v>-166.47499999999999</v>
      </c>
      <c r="U22" s="13">
        <f>_xll.BDH("ALNY US Equity","ARD_TOT_CASH_FLOWS_FROM_OPS","FQ2 2023","FQ2 2023","Currency=USD","Period=FQ","BEST_FPERIOD_OVERRIDE=FQ","FILING_STATUS=MR","SCALING_FORMAT=MLN","Sort=A","Dates=H","DateFormat=P","Fill=—","Direction=H","UseDPDF=Y")</f>
        <v>-225.46100000000001</v>
      </c>
      <c r="V22" s="13">
        <f>_xll.BDH("ALNY US Equity","ARD_TOT_CASH_FLOWS_FROM_OPS","FQ3 2023","FQ3 2023","Currency=USD","Period=FQ","BEST_FPERIOD_OVERRIDE=FQ","FILING_STATUS=MR","SCALING_FORMAT=MLN","Sort=A","Dates=H","DateFormat=P","Fill=—","Direction=H","UseDPDF=Y")</f>
        <v>133.95099999999999</v>
      </c>
      <c r="W22" s="13">
        <f>_xll.BDH("ALNY US Equity","ARD_TOT_CASH_FLOWS_FROM_OPS","FQ4 2023","FQ4 2023","Currency=USD","Period=FQ","BEST_FPERIOD_OVERRIDE=FQ","FILING_STATUS=MR","SCALING_FORMAT=MLN","Sort=A","Dates=H","DateFormat=P","Fill=—","Direction=H","UseDPDF=Y")</f>
        <v>104.15600000000001</v>
      </c>
      <c r="X22" s="13">
        <f>_xll.BDH("ALNY US Equity","ARD_TOT_CASH_FLOWS_FROM_OPS","FQ1 2024","FQ1 2024","Currency=USD","Period=FQ","BEST_FPERIOD_OVERRIDE=FQ","FILING_STATUS=MR","SCALING_FORMAT=MLN","Sort=A","Dates=H","DateFormat=P","Fill=—","Direction=H","UseDPDF=Y")</f>
        <v>-81.515000000000001</v>
      </c>
      <c r="Y22" s="13">
        <f>_xll.BDH("ALNY US Equity","ARD_TOT_CASH_FLOWS_FROM_OPS","FQ2 2024","FQ2 2024","Currency=USD","Period=FQ","BEST_FPERIOD_OVERRIDE=FQ","FILING_STATUS=MR","SCALING_FORMAT=MLN","Sort=A","Dates=H","DateFormat=P","Fill=—","Direction=H","UseDPDF=Y")</f>
        <v>42.643000000000001</v>
      </c>
      <c r="Z22" s="13">
        <f>_xll.BDH("ALNY US Equity","ARD_TOT_CASH_FLOWS_FROM_OPS","FQ3 2024","FQ3 2024","Currency=USD","Period=FQ","BEST_FPERIOD_OVERRIDE=FQ","FILING_STATUS=MR","SCALING_FORMAT=MLN","Sort=A","Dates=H","DateFormat=P","Fill=—","Direction=H","UseDPDF=Y")</f>
        <v>86.35</v>
      </c>
      <c r="AA22" s="13">
        <f>_xll.BDH("ALNY US Equity","ARD_TOT_CASH_FLOWS_FROM_OPS","FQ4 2024","FQ4 2024","Currency=USD","Period=FQ","BEST_FPERIOD_OVERRIDE=FQ","FILING_STATUS=MR","SCALING_FORMAT=MLN","Sort=A","Dates=H","DateFormat=P","Fill=—","Direction=H","UseDPDF=Y")</f>
        <v>-8.3119999999999994</v>
      </c>
    </row>
    <row r="23" spans="1:27" x14ac:dyDescent="0.25">
      <c r="A23" s="10" t="s">
        <v>1285</v>
      </c>
      <c r="B23" s="10" t="s">
        <v>1286</v>
      </c>
      <c r="C23" s="13">
        <f>_xll.BDH("ALNY US Equity","ARD_CHG_OTH_ASSETS_LIAB","FQ4 2018","FQ4 2018","Currency=USD","Period=FQ","BEST_FPERIOD_OVERRIDE=FQ","FILING_STATUS=MR","SCALING_FORMAT=MLN","Sort=A","Dates=H","DateFormat=P","Fill=—","Direction=H","UseDPDF=Y")</f>
        <v>25.35</v>
      </c>
      <c r="D23" s="13">
        <f>_xll.BDH("ALNY US Equity","ARD_CHG_OTH_ASSETS_LIAB","FQ1 2019","FQ1 2019","Currency=USD","Period=FQ","BEST_FPERIOD_OVERRIDE=FQ","FILING_STATUS=MR","SCALING_FORMAT=MLN","Sort=A","Dates=H","DateFormat=P","Fill=—","Direction=H","UseDPDF=Y")</f>
        <v>12.385999999999999</v>
      </c>
      <c r="E23" s="13">
        <f>_xll.BDH("ALNY US Equity","ARD_CHG_OTH_ASSETS_LIAB","FQ2 2019","FQ2 2019","Currency=USD","Period=FQ","BEST_FPERIOD_OVERRIDE=FQ","FILING_STATUS=MR","SCALING_FORMAT=MLN","Sort=A","Dates=H","DateFormat=P","Fill=—","Direction=H","UseDPDF=Y")</f>
        <v>18.7</v>
      </c>
      <c r="F23" s="13">
        <f>_xll.BDH("ALNY US Equity","ARD_CHG_OTH_ASSETS_LIAB","FQ3 2019","FQ3 2019","Currency=USD","Period=FQ","BEST_FPERIOD_OVERRIDE=FQ","FILING_STATUS=MR","SCALING_FORMAT=MLN","Sort=A","Dates=H","DateFormat=P","Fill=—","Direction=H","UseDPDF=Y")</f>
        <v>29.064</v>
      </c>
      <c r="G23" s="13">
        <f>_xll.BDH("ALNY US Equity","ARD_CHG_OTH_ASSETS_LIAB","FQ4 2019","FQ4 2019","Currency=USD","Period=FQ","BEST_FPERIOD_OVERRIDE=FQ","FILING_STATUS=MR","SCALING_FORMAT=MLN","Sort=A","Dates=H","DateFormat=P","Fill=—","Direction=H","UseDPDF=Y")</f>
        <v>30.17</v>
      </c>
      <c r="H23" s="13">
        <f>_xll.BDH("ALNY US Equity","ARD_CHG_OTH_ASSETS_LIAB","FQ1 2020","FQ1 2020","Currency=USD","Period=FQ","BEST_FPERIOD_OVERRIDE=FQ","FILING_STATUS=MR","SCALING_FORMAT=MLN","Sort=A","Dates=H","DateFormat=P","Fill=—","Direction=H","UseDPDF=Y")</f>
        <v>0</v>
      </c>
      <c r="I23" s="13">
        <f>_xll.BDH("ALNY US Equity","ARD_CHG_OTH_ASSETS_LIAB","FQ2 2020","FQ2 2020","Currency=USD","Period=FQ","BEST_FPERIOD_OVERRIDE=FQ","FILING_STATUS=MR","SCALING_FORMAT=MLN","Sort=A","Dates=H","DateFormat=P","Fill=—","Direction=H","UseDPDF=Y")</f>
        <v>1.9910000000000001</v>
      </c>
      <c r="J23" s="13">
        <f>_xll.BDH("ALNY US Equity","ARD_CHG_OTH_ASSETS_LIAB","FQ3 2020","FQ3 2020","Currency=USD","Period=FQ","BEST_FPERIOD_OVERRIDE=FQ","FILING_STATUS=MR","SCALING_FORMAT=MLN","Sort=A","Dates=H","DateFormat=P","Fill=—","Direction=H","UseDPDF=Y")</f>
        <v>2.69</v>
      </c>
      <c r="K23" s="13">
        <f>_xll.BDH("ALNY US Equity","ARD_CHG_OTH_ASSETS_LIAB","FQ4 2020","FQ4 2020","Currency=USD","Period=FQ","BEST_FPERIOD_OVERRIDE=FQ","FILING_STATUS=MR","SCALING_FORMAT=MLN","Sort=A","Dates=H","DateFormat=P","Fill=—","Direction=H","UseDPDF=Y")</f>
        <v>5.55</v>
      </c>
      <c r="L23" s="13" t="str">
        <f>_xll.BDH("ALNY US Equity","ARD_CHG_OTH_ASSETS_LIAB","FQ1 2021","FQ1 2021","Currency=USD","Period=FQ","BEST_FPERIOD_OVERRIDE=FQ","FILING_STATUS=MR","SCALING_FORMAT=MLN","Sort=A","Dates=H","DateFormat=P","Fill=—","Direction=H","UseDPDF=Y")</f>
        <v>—</v>
      </c>
      <c r="M23" s="13" t="str">
        <f>_xll.BDH("ALNY US Equity","ARD_CHG_OTH_ASSETS_LIAB","FQ2 2021","FQ2 2021","Currency=USD","Period=FQ","BEST_FPERIOD_OVERRIDE=FQ","FILING_STATUS=MR","SCALING_FORMAT=MLN","Sort=A","Dates=H","DateFormat=P","Fill=—","Direction=H","UseDPDF=Y")</f>
        <v>—</v>
      </c>
      <c r="N23" s="13" t="str">
        <f>_xll.BDH("ALNY US Equity","ARD_CHG_OTH_ASSETS_LIAB","FQ3 2021","FQ3 2021","Currency=USD","Period=FQ","BEST_FPERIOD_OVERRIDE=FQ","FILING_STATUS=MR","SCALING_FORMAT=MLN","Sort=A","Dates=H","DateFormat=P","Fill=—","Direction=H","UseDPDF=Y")</f>
        <v>—</v>
      </c>
      <c r="O23" s="13" t="str">
        <f>_xll.BDH("ALNY US Equity","ARD_CHG_OTH_ASSETS_LIAB","FQ4 2021","FQ4 2021","Currency=USD","Period=FQ","BEST_FPERIOD_OVERRIDE=FQ","FILING_STATUS=MR","SCALING_FORMAT=MLN","Sort=A","Dates=H","DateFormat=P","Fill=—","Direction=H","UseDPDF=Y")</f>
        <v>—</v>
      </c>
      <c r="P23" s="13" t="str">
        <f>_xll.BDH("ALNY US Equity","ARD_CHG_OTH_ASSETS_LIAB","FQ1 2022","FQ1 2022","Currency=USD","Period=FQ","BEST_FPERIOD_OVERRIDE=FQ","FILING_STATUS=MR","SCALING_FORMAT=MLN","Sort=A","Dates=H","DateFormat=P","Fill=—","Direction=H","UseDPDF=Y")</f>
        <v>—</v>
      </c>
      <c r="Q23" s="13" t="str">
        <f>_xll.BDH("ALNY US Equity","ARD_CHG_OTH_ASSETS_LIAB","FQ2 2022","FQ2 2022","Currency=USD","Period=FQ","BEST_FPERIOD_OVERRIDE=FQ","FILING_STATUS=MR","SCALING_FORMAT=MLN","Sort=A","Dates=H","DateFormat=P","Fill=—","Direction=H","UseDPDF=Y")</f>
        <v>—</v>
      </c>
      <c r="R23" s="13" t="str">
        <f>_xll.BDH("ALNY US Equity","ARD_CHG_OTH_ASSETS_LIAB","FQ3 2022","FQ3 2022","Currency=USD","Period=FQ","BEST_FPERIOD_OVERRIDE=FQ","FILING_STATUS=MR","SCALING_FORMAT=MLN","Sort=A","Dates=H","DateFormat=P","Fill=—","Direction=H","UseDPDF=Y")</f>
        <v>—</v>
      </c>
      <c r="S23" s="13" t="str">
        <f>_xll.BDH("ALNY US Equity","ARD_CHG_OTH_ASSETS_LIAB","FQ4 2022","FQ4 2022","Currency=USD","Period=FQ","BEST_FPERIOD_OVERRIDE=FQ","FILING_STATUS=MR","SCALING_FORMAT=MLN","Sort=A","Dates=H","DateFormat=P","Fill=—","Direction=H","UseDPDF=Y")</f>
        <v>—</v>
      </c>
      <c r="T23" s="13" t="str">
        <f>_xll.BDH("ALNY US Equity","ARD_CHG_OTH_ASSETS_LIAB","FQ1 2023","FQ1 2023","Currency=USD","Period=FQ","BEST_FPERIOD_OVERRIDE=FQ","FILING_STATUS=MR","SCALING_FORMAT=MLN","Sort=A","Dates=H","DateFormat=P","Fill=—","Direction=H","UseDPDF=Y")</f>
        <v>—</v>
      </c>
      <c r="U23" s="13" t="str">
        <f>_xll.BDH("ALNY US Equity","ARD_CHG_OTH_ASSETS_LIAB","FQ2 2023","FQ2 2023","Currency=USD","Period=FQ","BEST_FPERIOD_OVERRIDE=FQ","FILING_STATUS=MR","SCALING_FORMAT=MLN","Sort=A","Dates=H","DateFormat=P","Fill=—","Direction=H","UseDPDF=Y")</f>
        <v>—</v>
      </c>
      <c r="V23" s="13" t="str">
        <f>_xll.BDH("ALNY US Equity","ARD_CHG_OTH_ASSETS_LIAB","FQ3 2023","FQ3 2023","Currency=USD","Period=FQ","BEST_FPERIOD_OVERRIDE=FQ","FILING_STATUS=MR","SCALING_FORMAT=MLN","Sort=A","Dates=H","DateFormat=P","Fill=—","Direction=H","UseDPDF=Y")</f>
        <v>—</v>
      </c>
      <c r="W23" s="13" t="str">
        <f>_xll.BDH("ALNY US Equity","ARD_CHG_OTH_ASSETS_LIAB","FQ4 2023","FQ4 2023","Currency=USD","Period=FQ","BEST_FPERIOD_OVERRIDE=FQ","FILING_STATUS=MR","SCALING_FORMAT=MLN","Sort=A","Dates=H","DateFormat=P","Fill=—","Direction=H","UseDPDF=Y")</f>
        <v>—</v>
      </c>
      <c r="X23" s="13" t="str">
        <f>_xll.BDH("ALNY US Equity","ARD_CHG_OTH_ASSETS_LIAB","FQ1 2024","FQ1 2024","Currency=USD","Period=FQ","BEST_FPERIOD_OVERRIDE=FQ","FILING_STATUS=MR","SCALING_FORMAT=MLN","Sort=A","Dates=H","DateFormat=P","Fill=—","Direction=H","UseDPDF=Y")</f>
        <v>—</v>
      </c>
      <c r="Y23" s="13" t="str">
        <f>_xll.BDH("ALNY US Equity","ARD_CHG_OTH_ASSETS_LIAB","FQ2 2024","FQ2 2024","Currency=USD","Period=FQ","BEST_FPERIOD_OVERRIDE=FQ","FILING_STATUS=MR","SCALING_FORMAT=MLN","Sort=A","Dates=H","DateFormat=P","Fill=—","Direction=H","UseDPDF=Y")</f>
        <v>—</v>
      </c>
      <c r="Z23" s="13" t="str">
        <f>_xll.BDH("ALNY US Equity","ARD_CHG_OTH_ASSETS_LIAB","FQ3 2024","FQ3 2024","Currency=USD","Period=FQ","BEST_FPERIOD_OVERRIDE=FQ","FILING_STATUS=MR","SCALING_FORMAT=MLN","Sort=A","Dates=H","DateFormat=P","Fill=—","Direction=H","UseDPDF=Y")</f>
        <v>—</v>
      </c>
      <c r="AA23" s="13" t="str">
        <f>_xll.BDH("ALNY US Equity","ARD_CHG_OTH_ASSETS_LIAB","FQ4 2024","FQ4 2024","Currency=USD","Period=FQ","BEST_FPERIOD_OVERRIDE=FQ","FILING_STATUS=MR","SCALING_FORMAT=MLN","Sort=A","Dates=H","DateFormat=P","Fill=—","Direction=H","UseDPDF=Y")</f>
        <v>—</v>
      </c>
    </row>
    <row r="24" spans="1:27" x14ac:dyDescent="0.25">
      <c r="A24" s="10" t="s">
        <v>1287</v>
      </c>
      <c r="B24" s="10" t="s">
        <v>1288</v>
      </c>
      <c r="C24" s="13">
        <f>_xll.BDH("ALNY US Equity","ARD_GL_ON_SALE_OF_INV_MKT_SEC","FQ4 2018","FQ4 2018","Currency=USD","Period=FQ","BEST_FPERIOD_OVERRIDE=FQ","FILING_STATUS=MR","SCALING_FORMAT=MLN","Sort=A","Dates=H","DateFormat=P","Fill=—","Direction=H","UseDPDF=Y")</f>
        <v>-3.5640000000000001</v>
      </c>
      <c r="D24" s="13">
        <f>_xll.BDH("ALNY US Equity","ARD_GL_ON_SALE_OF_INV_MKT_SEC","FQ1 2019","FQ1 2019","Currency=USD","Period=FQ","BEST_FPERIOD_OVERRIDE=FQ","FILING_STATUS=MR","SCALING_FORMAT=MLN","Sort=A","Dates=H","DateFormat=P","Fill=—","Direction=H","UseDPDF=Y")</f>
        <v>-2.1000000000000001E-2</v>
      </c>
      <c r="E24" s="13">
        <f>_xll.BDH("ALNY US Equity","ARD_GL_ON_SALE_OF_INV_MKT_SEC","FQ2 2019","FQ2 2019","Currency=USD","Period=FQ","BEST_FPERIOD_OVERRIDE=FQ","FILING_STATUS=MR","SCALING_FORMAT=MLN","Sort=A","Dates=H","DateFormat=P","Fill=—","Direction=H","UseDPDF=Y")</f>
        <v>-2.1000000000000001E-2</v>
      </c>
      <c r="F24" s="13">
        <f>_xll.BDH("ALNY US Equity","ARD_GL_ON_SALE_OF_INV_MKT_SEC","FQ3 2019","FQ3 2019","Currency=USD","Period=FQ","BEST_FPERIOD_OVERRIDE=FQ","FILING_STATUS=MR","SCALING_FORMAT=MLN","Sort=A","Dates=H","DateFormat=P","Fill=—","Direction=H","UseDPDF=Y")</f>
        <v>-9.4220000000000006</v>
      </c>
      <c r="G24" s="13">
        <f>_xll.BDH("ALNY US Equity","ARD_GL_ON_SALE_OF_INV_MKT_SEC","FQ4 2019","FQ4 2019","Currency=USD","Period=FQ","BEST_FPERIOD_OVERRIDE=FQ","FILING_STATUS=MR","SCALING_FORMAT=MLN","Sort=A","Dates=H","DateFormat=P","Fill=—","Direction=H","UseDPDF=Y")</f>
        <v>-11.288</v>
      </c>
      <c r="H24" s="13">
        <f>_xll.BDH("ALNY US Equity","ARD_GL_ON_SALE_OF_INV_MKT_SEC","FQ1 2020","FQ1 2020","Currency=USD","Period=FQ","BEST_FPERIOD_OVERRIDE=FQ","FILING_STATUS=MR","SCALING_FORMAT=MLN","Sort=A","Dates=H","DateFormat=P","Fill=—","Direction=H","UseDPDF=Y")</f>
        <v>-24.111000000000001</v>
      </c>
      <c r="I24" s="13">
        <f>_xll.BDH("ALNY US Equity","ARD_GL_ON_SALE_OF_INV_MKT_SEC","FQ2 2020","FQ2 2020","Currency=USD","Period=FQ","BEST_FPERIOD_OVERRIDE=FQ","FILING_STATUS=MR","SCALING_FORMAT=MLN","Sort=A","Dates=H","DateFormat=P","Fill=—","Direction=H","UseDPDF=Y")</f>
        <v>-69.643000000000001</v>
      </c>
      <c r="J24" s="13">
        <f>_xll.BDH("ALNY US Equity","ARD_GL_ON_SALE_OF_INV_MKT_SEC","FQ3 2020","FQ3 2020","Currency=USD","Period=FQ","BEST_FPERIOD_OVERRIDE=FQ","FILING_STATUS=MR","SCALING_FORMAT=MLN","Sort=A","Dates=H","DateFormat=P","Fill=—","Direction=H","UseDPDF=Y")</f>
        <v>0</v>
      </c>
      <c r="K24" s="13">
        <f>_xll.BDH("ALNY US Equity","ARD_GL_ON_SALE_OF_INV_MKT_SEC","FQ4 2020","FQ4 2020","Currency=USD","Period=FQ","BEST_FPERIOD_OVERRIDE=FQ","FILING_STATUS=MR","SCALING_FORMAT=MLN","Sort=A","Dates=H","DateFormat=P","Fill=—","Direction=H","UseDPDF=Y")</f>
        <v>-54.042000000000002</v>
      </c>
      <c r="L24" s="13">
        <f>_xll.BDH("ALNY US Equity","ARD_GL_ON_SALE_OF_INV_MKT_SEC","FQ1 2021","FQ1 2021","Currency=USD","Period=FQ","BEST_FPERIOD_OVERRIDE=FQ","FILING_STATUS=MR","SCALING_FORMAT=MLN","Sort=A","Dates=H","DateFormat=P","Fill=—","Direction=H","UseDPDF=Y")</f>
        <v>-47.015999999999998</v>
      </c>
      <c r="M24" s="13">
        <f>_xll.BDH("ALNY US Equity","ARD_GL_ON_SALE_OF_INV_MKT_SEC","FQ2 2021","FQ2 2021","Currency=USD","Period=FQ","BEST_FPERIOD_OVERRIDE=FQ","FILING_STATUS=MR","SCALING_FORMAT=MLN","Sort=A","Dates=H","DateFormat=P","Fill=—","Direction=H","UseDPDF=Y")</f>
        <v>-42.582000000000001</v>
      </c>
      <c r="N24" s="13">
        <f>_xll.BDH("ALNY US Equity","ARD_GL_ON_SALE_OF_INV_MKT_SEC","FQ3 2021","FQ3 2021","Currency=USD","Period=FQ","BEST_FPERIOD_OVERRIDE=FQ","FILING_STATUS=MR","SCALING_FORMAT=MLN","Sort=A","Dates=H","DateFormat=P","Fill=—","Direction=H","UseDPDF=Y")</f>
        <v>-61.273000000000003</v>
      </c>
      <c r="O24" s="13">
        <f>_xll.BDH("ALNY US Equity","ARD_GL_ON_SALE_OF_INV_MKT_SEC","FQ4 2021","FQ4 2021","Currency=USD","Period=FQ","BEST_FPERIOD_OVERRIDE=FQ","FILING_STATUS=MR","SCALING_FORMAT=MLN","Sort=A","Dates=H","DateFormat=P","Fill=—","Direction=H","UseDPDF=Y")</f>
        <v>-55.695</v>
      </c>
      <c r="P24" s="13">
        <f>_xll.BDH("ALNY US Equity","ARD_GL_ON_SALE_OF_INV_MKT_SEC","FQ1 2022","FQ1 2022","Currency=USD","Period=FQ","BEST_FPERIOD_OVERRIDE=FQ","FILING_STATUS=MR","SCALING_FORMAT=MLN","Sort=A","Dates=H","DateFormat=P","Fill=—","Direction=H","UseDPDF=Y")</f>
        <v>31.161000000000001</v>
      </c>
      <c r="Q24" s="13">
        <f>_xll.BDH("ALNY US Equity","ARD_GL_ON_SALE_OF_INV_MKT_SEC","FQ2 2022","FQ2 2022","Currency=USD","Period=FQ","BEST_FPERIOD_OVERRIDE=FQ","FILING_STATUS=MR","SCALING_FORMAT=MLN","Sort=A","Dates=H","DateFormat=P","Fill=—","Direction=H","UseDPDF=Y")</f>
        <v>32.258000000000003</v>
      </c>
      <c r="R24" s="13">
        <f>_xll.BDH("ALNY US Equity","ARD_GL_ON_SALE_OF_INV_MKT_SEC","FQ3 2022","FQ3 2022","Currency=USD","Period=FQ","BEST_FPERIOD_OVERRIDE=FQ","FILING_STATUS=MR","SCALING_FORMAT=MLN","Sort=A","Dates=H","DateFormat=P","Fill=—","Direction=H","UseDPDF=Y")</f>
        <v>40.107999999999997</v>
      </c>
      <c r="S24" s="13">
        <f>_xll.BDH("ALNY US Equity","ARD_GL_ON_SALE_OF_INV_MKT_SEC","FQ4 2022","FQ4 2022","Currency=USD","Period=FQ","BEST_FPERIOD_OVERRIDE=FQ","FILING_STATUS=MR","SCALING_FORMAT=MLN","Sort=A","Dates=H","DateFormat=P","Fill=—","Direction=H","UseDPDF=Y")</f>
        <v>33.311999999999998</v>
      </c>
      <c r="T24" s="13">
        <f>_xll.BDH("ALNY US Equity","ARD_GL_ON_SALE_OF_INV_MKT_SEC","FQ1 2023","FQ1 2023","Currency=USD","Period=FQ","BEST_FPERIOD_OVERRIDE=FQ","FILING_STATUS=MR","SCALING_FORMAT=MLN","Sort=A","Dates=H","DateFormat=P","Fill=—","Direction=H","UseDPDF=Y")</f>
        <v>2.2669999999999999</v>
      </c>
      <c r="U24" s="13">
        <f>_xll.BDH("ALNY US Equity","ARD_GL_ON_SALE_OF_INV_MKT_SEC","FQ2 2023","FQ2 2023","Currency=USD","Period=FQ","BEST_FPERIOD_OVERRIDE=FQ","FILING_STATUS=MR","SCALING_FORMAT=MLN","Sort=A","Dates=H","DateFormat=P","Fill=—","Direction=H","UseDPDF=Y")</f>
        <v>0.86699999999999999</v>
      </c>
      <c r="V24" s="13">
        <f>_xll.BDH("ALNY US Equity","ARD_GL_ON_SALE_OF_INV_MKT_SEC","FQ3 2023","FQ3 2023","Currency=USD","Period=FQ","BEST_FPERIOD_OVERRIDE=FQ","FILING_STATUS=MR","SCALING_FORMAT=MLN","Sort=A","Dates=H","DateFormat=P","Fill=—","Direction=H","UseDPDF=Y")</f>
        <v>17.710999999999999</v>
      </c>
      <c r="W24" s="13">
        <f>_xll.BDH("ALNY US Equity","ARD_GL_ON_SALE_OF_INV_MKT_SEC","FQ4 2023","FQ4 2023","Currency=USD","Period=FQ","BEST_FPERIOD_OVERRIDE=FQ","FILING_STATUS=MR","SCALING_FORMAT=MLN","Sort=A","Dates=H","DateFormat=P","Fill=—","Direction=H","UseDPDF=Y")</f>
        <v>16.943999999999999</v>
      </c>
      <c r="X24" s="13">
        <f>_xll.BDH("ALNY US Equity","ARD_GL_ON_SALE_OF_INV_MKT_SEC","FQ1 2024","FQ1 2024","Currency=USD","Period=FQ","BEST_FPERIOD_OVERRIDE=FQ","FILING_STATUS=MR","SCALING_FORMAT=MLN","Sort=A","Dates=H","DateFormat=P","Fill=—","Direction=H","UseDPDF=Y")</f>
        <v>-7.8E-2</v>
      </c>
      <c r="Y24" s="13">
        <f>_xll.BDH("ALNY US Equity","ARD_GL_ON_SALE_OF_INV_MKT_SEC","FQ2 2024","FQ2 2024","Currency=USD","Period=FQ","BEST_FPERIOD_OVERRIDE=FQ","FILING_STATUS=MR","SCALING_FORMAT=MLN","Sort=A","Dates=H","DateFormat=P","Fill=—","Direction=H","UseDPDF=Y")</f>
        <v>1.2889999999999999</v>
      </c>
      <c r="Z24" s="13">
        <f>_xll.BDH("ALNY US Equity","ARD_GL_ON_SALE_OF_INV_MKT_SEC","FQ3 2024","FQ3 2024","Currency=USD","Period=FQ","BEST_FPERIOD_OVERRIDE=FQ","FILING_STATUS=MR","SCALING_FORMAT=MLN","Sort=A","Dates=H","DateFormat=P","Fill=—","Direction=H","UseDPDF=Y")</f>
        <v>2.8559999999999999</v>
      </c>
      <c r="AA24" s="13">
        <f>_xll.BDH("ALNY US Equity","ARD_GL_ON_SALE_OF_INV_MKT_SEC","FQ4 2024","FQ4 2024","Currency=USD","Period=FQ","BEST_FPERIOD_OVERRIDE=FQ","FILING_STATUS=MR","SCALING_FORMAT=MLN","Sort=A","Dates=H","DateFormat=P","Fill=—","Direction=H","UseDPDF=Y")</f>
        <v>3.0219999999999998</v>
      </c>
    </row>
    <row r="25" spans="1:27" x14ac:dyDescent="0.25">
      <c r="A25" s="10" t="s">
        <v>1289</v>
      </c>
      <c r="B25" s="10" t="s">
        <v>1290</v>
      </c>
      <c r="C25" s="13" t="str">
        <f>_xll.BDH("ALNY US Equity","ARD_GL_ON_EARLY_EXT_OF_DEBT","FQ4 2018","FQ4 2018","Currency=USD","Period=FQ","BEST_FPERIOD_OVERRIDE=FQ","FILING_STATUS=MR","SCALING_FORMAT=MLN","Sort=A","Dates=H","DateFormat=P","Fill=—","Direction=H","UseDPDF=Y")</f>
        <v>—</v>
      </c>
      <c r="D25" s="13" t="str">
        <f>_xll.BDH("ALNY US Equity","ARD_GL_ON_EARLY_EXT_OF_DEBT","FQ1 2019","FQ1 2019","Currency=USD","Period=FQ","BEST_FPERIOD_OVERRIDE=FQ","FILING_STATUS=MR","SCALING_FORMAT=MLN","Sort=A","Dates=H","DateFormat=P","Fill=—","Direction=H","UseDPDF=Y")</f>
        <v>—</v>
      </c>
      <c r="E25" s="13" t="str">
        <f>_xll.BDH("ALNY US Equity","ARD_GL_ON_EARLY_EXT_OF_DEBT","FQ2 2019","FQ2 2019","Currency=USD","Period=FQ","BEST_FPERIOD_OVERRIDE=FQ","FILING_STATUS=MR","SCALING_FORMAT=MLN","Sort=A","Dates=H","DateFormat=P","Fill=—","Direction=H","UseDPDF=Y")</f>
        <v>—</v>
      </c>
      <c r="F25" s="13" t="str">
        <f>_xll.BDH("ALNY US Equity","ARD_GL_ON_EARLY_EXT_OF_DEBT","FQ3 2019","FQ3 2019","Currency=USD","Period=FQ","BEST_FPERIOD_OVERRIDE=FQ","FILING_STATUS=MR","SCALING_FORMAT=MLN","Sort=A","Dates=H","DateFormat=P","Fill=—","Direction=H","UseDPDF=Y")</f>
        <v>—</v>
      </c>
      <c r="G25" s="13" t="str">
        <f>_xll.BDH("ALNY US Equity","ARD_GL_ON_EARLY_EXT_OF_DEBT","FQ4 2019","FQ4 2019","Currency=USD","Period=FQ","BEST_FPERIOD_OVERRIDE=FQ","FILING_STATUS=MR","SCALING_FORMAT=MLN","Sort=A","Dates=H","DateFormat=P","Fill=—","Direction=H","UseDPDF=Y")</f>
        <v>—</v>
      </c>
      <c r="H25" s="13" t="str">
        <f>_xll.BDH("ALNY US Equity","ARD_GL_ON_EARLY_EXT_OF_DEBT","FQ1 2020","FQ1 2020","Currency=USD","Period=FQ","BEST_FPERIOD_OVERRIDE=FQ","FILING_STATUS=MR","SCALING_FORMAT=MLN","Sort=A","Dates=H","DateFormat=P","Fill=—","Direction=H","UseDPDF=Y")</f>
        <v>—</v>
      </c>
      <c r="I25" s="13" t="str">
        <f>_xll.BDH("ALNY US Equity","ARD_GL_ON_EARLY_EXT_OF_DEBT","FQ2 2020","FQ2 2020","Currency=USD","Period=FQ","BEST_FPERIOD_OVERRIDE=FQ","FILING_STATUS=MR","SCALING_FORMAT=MLN","Sort=A","Dates=H","DateFormat=P","Fill=—","Direction=H","UseDPDF=Y")</f>
        <v>—</v>
      </c>
      <c r="J25" s="13" t="str">
        <f>_xll.BDH("ALNY US Equity","ARD_GL_ON_EARLY_EXT_OF_DEBT","FQ3 2020","FQ3 2020","Currency=USD","Period=FQ","BEST_FPERIOD_OVERRIDE=FQ","FILING_STATUS=MR","SCALING_FORMAT=MLN","Sort=A","Dates=H","DateFormat=P","Fill=—","Direction=H","UseDPDF=Y")</f>
        <v>—</v>
      </c>
      <c r="K25" s="13" t="str">
        <f>_xll.BDH("ALNY US Equity","ARD_GL_ON_EARLY_EXT_OF_DEBT","FQ4 2020","FQ4 2020","Currency=USD","Period=FQ","BEST_FPERIOD_OVERRIDE=FQ","FILING_STATUS=MR","SCALING_FORMAT=MLN","Sort=A","Dates=H","DateFormat=P","Fill=—","Direction=H","UseDPDF=Y")</f>
        <v>—</v>
      </c>
      <c r="L25" s="13" t="str">
        <f>_xll.BDH("ALNY US Equity","ARD_GL_ON_EARLY_EXT_OF_DEBT","FQ1 2021","FQ1 2021","Currency=USD","Period=FQ","BEST_FPERIOD_OVERRIDE=FQ","FILING_STATUS=MR","SCALING_FORMAT=MLN","Sort=A","Dates=H","DateFormat=P","Fill=—","Direction=H","UseDPDF=Y")</f>
        <v>—</v>
      </c>
      <c r="M25" s="13" t="str">
        <f>_xll.BDH("ALNY US Equity","ARD_GL_ON_EARLY_EXT_OF_DEBT","FQ2 2021","FQ2 2021","Currency=USD","Period=FQ","BEST_FPERIOD_OVERRIDE=FQ","FILING_STATUS=MR","SCALING_FORMAT=MLN","Sort=A","Dates=H","DateFormat=P","Fill=—","Direction=H","UseDPDF=Y")</f>
        <v>—</v>
      </c>
      <c r="N25" s="13" t="str">
        <f>_xll.BDH("ALNY US Equity","ARD_GL_ON_EARLY_EXT_OF_DEBT","FQ3 2021","FQ3 2021","Currency=USD","Period=FQ","BEST_FPERIOD_OVERRIDE=FQ","FILING_STATUS=MR","SCALING_FORMAT=MLN","Sort=A","Dates=H","DateFormat=P","Fill=—","Direction=H","UseDPDF=Y")</f>
        <v>—</v>
      </c>
      <c r="O25" s="13" t="str">
        <f>_xll.BDH("ALNY US Equity","ARD_GL_ON_EARLY_EXT_OF_DEBT","FQ4 2021","FQ4 2021","Currency=USD","Period=FQ","BEST_FPERIOD_OVERRIDE=FQ","FILING_STATUS=MR","SCALING_FORMAT=MLN","Sort=A","Dates=H","DateFormat=P","Fill=—","Direction=H","UseDPDF=Y")</f>
        <v>—</v>
      </c>
      <c r="P25" s="13" t="str">
        <f>_xll.BDH("ALNY US Equity","ARD_GL_ON_EARLY_EXT_OF_DEBT","FQ1 2022","FQ1 2022","Currency=USD","Period=FQ","BEST_FPERIOD_OVERRIDE=FQ","FILING_STATUS=MR","SCALING_FORMAT=MLN","Sort=A","Dates=H","DateFormat=P","Fill=—","Direction=H","UseDPDF=Y")</f>
        <v>—</v>
      </c>
      <c r="Q25" s="13" t="str">
        <f>_xll.BDH("ALNY US Equity","ARD_GL_ON_EARLY_EXT_OF_DEBT","FQ2 2022","FQ2 2022","Currency=USD","Period=FQ","BEST_FPERIOD_OVERRIDE=FQ","FILING_STATUS=MR","SCALING_FORMAT=MLN","Sort=A","Dates=H","DateFormat=P","Fill=—","Direction=H","UseDPDF=Y")</f>
        <v>—</v>
      </c>
      <c r="R25" s="13">
        <f>_xll.BDH("ALNY US Equity","ARD_GL_ON_EARLY_EXT_OF_DEBT","FQ3 2022","FQ3 2022","Currency=USD","Period=FQ","BEST_FPERIOD_OVERRIDE=FQ","FILING_STATUS=MR","SCALING_FORMAT=MLN","Sort=A","Dates=H","DateFormat=P","Fill=—","Direction=H","UseDPDF=Y")</f>
        <v>76.585999999999999</v>
      </c>
      <c r="S25" s="13">
        <f>_xll.BDH("ALNY US Equity","ARD_GL_ON_EARLY_EXT_OF_DEBT","FQ4 2022","FQ4 2022","Currency=USD","Period=FQ","BEST_FPERIOD_OVERRIDE=FQ","FILING_STATUS=MR","SCALING_FORMAT=MLN","Sort=A","Dates=H","DateFormat=P","Fill=—","Direction=H","UseDPDF=Y")</f>
        <v>76.585999999999999</v>
      </c>
      <c r="T25" s="13" t="str">
        <f>_xll.BDH("ALNY US Equity","ARD_GL_ON_EARLY_EXT_OF_DEBT","FQ1 2023","FQ1 2023","Currency=USD","Period=FQ","BEST_FPERIOD_OVERRIDE=FQ","FILING_STATUS=MR","SCALING_FORMAT=MLN","Sort=A","Dates=H","DateFormat=P","Fill=—","Direction=H","UseDPDF=Y")</f>
        <v>—</v>
      </c>
      <c r="U25" s="13" t="str">
        <f>_xll.BDH("ALNY US Equity","ARD_GL_ON_EARLY_EXT_OF_DEBT","FQ2 2023","FQ2 2023","Currency=USD","Period=FQ","BEST_FPERIOD_OVERRIDE=FQ","FILING_STATUS=MR","SCALING_FORMAT=MLN","Sort=A","Dates=H","DateFormat=P","Fill=—","Direction=H","UseDPDF=Y")</f>
        <v>—</v>
      </c>
      <c r="V25" s="13">
        <f>_xll.BDH("ALNY US Equity","ARD_GL_ON_EARLY_EXT_OF_DEBT","FQ3 2023","FQ3 2023","Currency=USD","Period=FQ","BEST_FPERIOD_OVERRIDE=FQ","FILING_STATUS=MR","SCALING_FORMAT=MLN","Sort=A","Dates=H","DateFormat=P","Fill=—","Direction=H","UseDPDF=Y")</f>
        <v>0</v>
      </c>
      <c r="W25" s="13">
        <f>_xll.BDH("ALNY US Equity","ARD_GL_ON_EARLY_EXT_OF_DEBT","FQ4 2023","FQ4 2023","Currency=USD","Period=FQ","BEST_FPERIOD_OVERRIDE=FQ","FILING_STATUS=MR","SCALING_FORMAT=MLN","Sort=A","Dates=H","DateFormat=P","Fill=—","Direction=H","UseDPDF=Y")</f>
        <v>0</v>
      </c>
      <c r="X25" s="13" t="str">
        <f>_xll.BDH("ALNY US Equity","ARD_GL_ON_EARLY_EXT_OF_DEBT","FQ1 2024","FQ1 2024","Currency=USD","Period=FQ","BEST_FPERIOD_OVERRIDE=FQ","FILING_STATUS=MR","SCALING_FORMAT=MLN","Sort=A","Dates=H","DateFormat=P","Fill=—","Direction=H","UseDPDF=Y")</f>
        <v>—</v>
      </c>
      <c r="Y25" s="13" t="str">
        <f>_xll.BDH("ALNY US Equity","ARD_GL_ON_EARLY_EXT_OF_DEBT","FQ2 2024","FQ2 2024","Currency=USD","Period=FQ","BEST_FPERIOD_OVERRIDE=FQ","FILING_STATUS=MR","SCALING_FORMAT=MLN","Sort=A","Dates=H","DateFormat=P","Fill=—","Direction=H","UseDPDF=Y")</f>
        <v>—</v>
      </c>
      <c r="Z25" s="13" t="str">
        <f>_xll.BDH("ALNY US Equity","ARD_GL_ON_EARLY_EXT_OF_DEBT","FQ3 2024","FQ3 2024","Currency=USD","Period=FQ","BEST_FPERIOD_OVERRIDE=FQ","FILING_STATUS=MR","SCALING_FORMAT=MLN","Sort=A","Dates=H","DateFormat=P","Fill=—","Direction=H","UseDPDF=Y")</f>
        <v>—</v>
      </c>
      <c r="AA25" s="13">
        <f>_xll.BDH("ALNY US Equity","ARD_GL_ON_EARLY_EXT_OF_DEBT","FQ4 2024","FQ4 2024","Currency=USD","Period=FQ","BEST_FPERIOD_OVERRIDE=FQ","FILING_STATUS=MR","SCALING_FORMAT=MLN","Sort=A","Dates=H","DateFormat=P","Fill=—","Direction=H","UseDPDF=Y")</f>
        <v>0</v>
      </c>
    </row>
    <row r="26" spans="1:27" x14ac:dyDescent="0.25">
      <c r="A26" s="10" t="s">
        <v>431</v>
      </c>
      <c r="B26" s="10" t="s">
        <v>1291</v>
      </c>
      <c r="C26" s="13" t="str">
        <f>_xll.BDH("ALNY US Equity","ARD_INTEREST_EXPENSE","FQ4 2018","FQ4 2018","Currency=USD","Period=FQ","BEST_FPERIOD_OVERRIDE=FQ","FILING_STATUS=MR","SCALING_FORMAT=MLN","Sort=A","Dates=H","DateFormat=P","Fill=—","Direction=H","UseDPDF=Y")</f>
        <v>—</v>
      </c>
      <c r="D26" s="13" t="str">
        <f>_xll.BDH("ALNY US Equity","ARD_INTEREST_EXPENSE","FQ1 2019","FQ1 2019","Currency=USD","Period=FQ","BEST_FPERIOD_OVERRIDE=FQ","FILING_STATUS=MR","SCALING_FORMAT=MLN","Sort=A","Dates=H","DateFormat=P","Fill=—","Direction=H","UseDPDF=Y")</f>
        <v>—</v>
      </c>
      <c r="E26" s="13" t="str">
        <f>_xll.BDH("ALNY US Equity","ARD_INTEREST_EXPENSE","FQ2 2019","FQ2 2019","Currency=USD","Period=FQ","BEST_FPERIOD_OVERRIDE=FQ","FILING_STATUS=MR","SCALING_FORMAT=MLN","Sort=A","Dates=H","DateFormat=P","Fill=—","Direction=H","UseDPDF=Y")</f>
        <v>—</v>
      </c>
      <c r="F26" s="13" t="str">
        <f>_xll.BDH("ALNY US Equity","ARD_INTEREST_EXPENSE","FQ3 2019","FQ3 2019","Currency=USD","Period=FQ","BEST_FPERIOD_OVERRIDE=FQ","FILING_STATUS=MR","SCALING_FORMAT=MLN","Sort=A","Dates=H","DateFormat=P","Fill=—","Direction=H","UseDPDF=Y")</f>
        <v>—</v>
      </c>
      <c r="G26" s="13" t="str">
        <f>_xll.BDH("ALNY US Equity","ARD_INTEREST_EXPENSE","FQ4 2019","FQ4 2019","Currency=USD","Period=FQ","BEST_FPERIOD_OVERRIDE=FQ","FILING_STATUS=MR","SCALING_FORMAT=MLN","Sort=A","Dates=H","DateFormat=P","Fill=—","Direction=H","UseDPDF=Y")</f>
        <v>—</v>
      </c>
      <c r="H26" s="13" t="str">
        <f>_xll.BDH("ALNY US Equity","ARD_INTEREST_EXPENSE","FQ1 2020","FQ1 2020","Currency=USD","Period=FQ","BEST_FPERIOD_OVERRIDE=FQ","FILING_STATUS=MR","SCALING_FORMAT=MLN","Sort=A","Dates=H","DateFormat=P","Fill=—","Direction=H","UseDPDF=Y")</f>
        <v>—</v>
      </c>
      <c r="I26" s="13" t="str">
        <f>_xll.BDH("ALNY US Equity","ARD_INTEREST_EXPENSE","FQ2 2020","FQ2 2020","Currency=USD","Period=FQ","BEST_FPERIOD_OVERRIDE=FQ","FILING_STATUS=MR","SCALING_FORMAT=MLN","Sort=A","Dates=H","DateFormat=P","Fill=—","Direction=H","UseDPDF=Y")</f>
        <v>—</v>
      </c>
      <c r="J26" s="13" t="str">
        <f>_xll.BDH("ALNY US Equity","ARD_INTEREST_EXPENSE","FQ3 2020","FQ3 2020","Currency=USD","Period=FQ","BEST_FPERIOD_OVERRIDE=FQ","FILING_STATUS=MR","SCALING_FORMAT=MLN","Sort=A","Dates=H","DateFormat=P","Fill=—","Direction=H","UseDPDF=Y")</f>
        <v>—</v>
      </c>
      <c r="K26" s="13" t="str">
        <f>_xll.BDH("ALNY US Equity","ARD_INTEREST_EXPENSE","FQ4 2020","FQ4 2020","Currency=USD","Period=FQ","BEST_FPERIOD_OVERRIDE=FQ","FILING_STATUS=MR","SCALING_FORMAT=MLN","Sort=A","Dates=H","DateFormat=P","Fill=—","Direction=H","UseDPDF=Y")</f>
        <v>—</v>
      </c>
      <c r="L26" s="13">
        <f>_xll.BDH("ALNY US Equity","ARD_INTEREST_EXPENSE","FQ1 2021","FQ1 2021","Currency=USD","Period=FQ","BEST_FPERIOD_OVERRIDE=FQ","FILING_STATUS=MR","SCALING_FORMAT=MLN","Sort=A","Dates=H","DateFormat=P","Fill=—","Direction=H","UseDPDF=Y")</f>
        <v>28.184000000000001</v>
      </c>
      <c r="M26" s="13">
        <f>_xll.BDH("ALNY US Equity","ARD_INTEREST_EXPENSE","FQ2 2021","FQ2 2021","Currency=USD","Period=FQ","BEST_FPERIOD_OVERRIDE=FQ","FILING_STATUS=MR","SCALING_FORMAT=MLN","Sort=A","Dates=H","DateFormat=P","Fill=—","Direction=H","UseDPDF=Y")</f>
        <v>57.02</v>
      </c>
      <c r="N26" s="13">
        <f>_xll.BDH("ALNY US Equity","ARD_INTEREST_EXPENSE","FQ3 2021","FQ3 2021","Currency=USD","Period=FQ","BEST_FPERIOD_OVERRIDE=FQ","FILING_STATUS=MR","SCALING_FORMAT=MLN","Sort=A","Dates=H","DateFormat=P","Fill=—","Direction=H","UseDPDF=Y")</f>
        <v>87.197000000000003</v>
      </c>
      <c r="O26" s="13">
        <f>_xll.BDH("ALNY US Equity","ARD_INTEREST_EXPENSE","FQ4 2021","FQ4 2021","Currency=USD","Period=FQ","BEST_FPERIOD_OVERRIDE=FQ","FILING_STATUS=MR","SCALING_FORMAT=MLN","Sort=A","Dates=H","DateFormat=P","Fill=—","Direction=H","UseDPDF=Y")</f>
        <v>116.562</v>
      </c>
      <c r="P26" s="13">
        <f>_xll.BDH("ALNY US Equity","ARD_INTEREST_EXPENSE","FQ1 2022","FQ1 2022","Currency=USD","Period=FQ","BEST_FPERIOD_OVERRIDE=FQ","FILING_STATUS=MR","SCALING_FORMAT=MLN","Sort=A","Dates=H","DateFormat=P","Fill=—","Direction=H","UseDPDF=Y")</f>
        <v>27.702000000000002</v>
      </c>
      <c r="Q26" s="13">
        <f>_xll.BDH("ALNY US Equity","ARD_INTEREST_EXPENSE","FQ2 2022","FQ2 2022","Currency=USD","Period=FQ","BEST_FPERIOD_OVERRIDE=FQ","FILING_STATUS=MR","SCALING_FORMAT=MLN","Sort=A","Dates=H","DateFormat=P","Fill=—","Direction=H","UseDPDF=Y")</f>
        <v>54.704000000000001</v>
      </c>
      <c r="R26" s="13">
        <f>_xll.BDH("ALNY US Equity","ARD_INTEREST_EXPENSE","FQ3 2022","FQ3 2022","Currency=USD","Period=FQ","BEST_FPERIOD_OVERRIDE=FQ","FILING_STATUS=MR","SCALING_FORMAT=MLN","Sort=A","Dates=H","DateFormat=P","Fill=—","Direction=H","UseDPDF=Y")</f>
        <v>79.620999999999995</v>
      </c>
      <c r="S26" s="13">
        <f>_xll.BDH("ALNY US Equity","ARD_INTEREST_EXPENSE","FQ4 2022","FQ4 2022","Currency=USD","Period=FQ","BEST_FPERIOD_OVERRIDE=FQ","FILING_STATUS=MR","SCALING_FORMAT=MLN","Sort=A","Dates=H","DateFormat=P","Fill=—","Direction=H","UseDPDF=Y")</f>
        <v>104.2</v>
      </c>
      <c r="T26" s="13">
        <f>_xll.BDH("ALNY US Equity","ARD_INTEREST_EXPENSE","FQ1 2023","FQ1 2023","Currency=USD","Period=FQ","BEST_FPERIOD_OVERRIDE=FQ","FILING_STATUS=MR","SCALING_FORMAT=MLN","Sort=A","Dates=H","DateFormat=P","Fill=—","Direction=H","UseDPDF=Y")</f>
        <v>25.274999999999999</v>
      </c>
      <c r="U26" s="13">
        <f>_xll.BDH("ALNY US Equity","ARD_INTEREST_EXPENSE","FQ2 2023","FQ2 2023","Currency=USD","Period=FQ","BEST_FPERIOD_OVERRIDE=FQ","FILING_STATUS=MR","SCALING_FORMAT=MLN","Sort=A","Dates=H","DateFormat=P","Fill=—","Direction=H","UseDPDF=Y")</f>
        <v>51.646999999999998</v>
      </c>
      <c r="V26" s="13">
        <f>_xll.BDH("ALNY US Equity","ARD_INTEREST_EXPENSE","FQ3 2023","FQ3 2023","Currency=USD","Period=FQ","BEST_FPERIOD_OVERRIDE=FQ","FILING_STATUS=MR","SCALING_FORMAT=MLN","Sort=A","Dates=H","DateFormat=P","Fill=—","Direction=H","UseDPDF=Y")</f>
        <v>78.918000000000006</v>
      </c>
      <c r="W26" s="13">
        <f>_xll.BDH("ALNY US Equity","ARD_INTEREST_EXPENSE","FQ4 2023","FQ4 2023","Currency=USD","Period=FQ","BEST_FPERIOD_OVERRIDE=FQ","FILING_STATUS=MR","SCALING_FORMAT=MLN","Sort=A","Dates=H","DateFormat=P","Fill=—","Direction=H","UseDPDF=Y")</f>
        <v>106.554</v>
      </c>
      <c r="X26" s="13">
        <f>_xll.BDH("ALNY US Equity","ARD_INTEREST_EXPENSE","FQ1 2024","FQ1 2024","Currency=USD","Period=FQ","BEST_FPERIOD_OVERRIDE=FQ","FILING_STATUS=MR","SCALING_FORMAT=MLN","Sort=A","Dates=H","DateFormat=P","Fill=—","Direction=H","UseDPDF=Y")</f>
        <v>31.565000000000001</v>
      </c>
      <c r="Y26" s="13">
        <f>_xll.BDH("ALNY US Equity","ARD_INTEREST_EXPENSE","FQ2 2024","FQ2 2024","Currency=USD","Period=FQ","BEST_FPERIOD_OVERRIDE=FQ","FILING_STATUS=MR","SCALING_FORMAT=MLN","Sort=A","Dates=H","DateFormat=P","Fill=—","Direction=H","UseDPDF=Y")</f>
        <v>61.103000000000002</v>
      </c>
      <c r="Z26" s="13">
        <f>_xll.BDH("ALNY US Equity","ARD_INTEREST_EXPENSE","FQ3 2024","FQ3 2024","Currency=USD","Period=FQ","BEST_FPERIOD_OVERRIDE=FQ","FILING_STATUS=MR","SCALING_FORMAT=MLN","Sort=A","Dates=H","DateFormat=P","Fill=—","Direction=H","UseDPDF=Y")</f>
        <v>91.834000000000003</v>
      </c>
      <c r="AA26" s="13">
        <f>_xll.BDH("ALNY US Equity","ARD_INTEREST_EXPENSE","FQ4 2024","FQ4 2024","Currency=USD","Period=FQ","BEST_FPERIOD_OVERRIDE=FQ","FILING_STATUS=MR","SCALING_FORMAT=MLN","Sort=A","Dates=H","DateFormat=P","Fill=—","Direction=H","UseDPDF=Y")</f>
        <v>127.133</v>
      </c>
    </row>
    <row r="27" spans="1:27" x14ac:dyDescent="0.25">
      <c r="A27" s="10" t="s">
        <v>1292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10" t="s">
        <v>86</v>
      </c>
      <c r="B28" s="10" t="s">
        <v>1293</v>
      </c>
      <c r="C28" s="13">
        <f>_xll.BDH("ALNY US Equity","ARD_CAPITAL_EXPENDITURES","FQ4 2018","FQ4 2018","Currency=USD","Period=FQ","BEST_FPERIOD_OVERRIDE=FQ","FILING_STATUS=MR","SCALING_FORMAT=MLN","Sort=A","Dates=H","DateFormat=P","Fill=—","Direction=H","UseDPDF=Y")</f>
        <v>-126.887</v>
      </c>
      <c r="D28" s="13">
        <f>_xll.BDH("ALNY US Equity","ARD_CAPITAL_EXPENDITURES","FQ1 2019","FQ1 2019","Currency=USD","Period=FQ","BEST_FPERIOD_OVERRIDE=FQ","FILING_STATUS=MR","SCALING_FORMAT=MLN","Sort=A","Dates=H","DateFormat=P","Fill=—","Direction=H","UseDPDF=Y")</f>
        <v>-44.048999999999999</v>
      </c>
      <c r="E28" s="13">
        <f>_xll.BDH("ALNY US Equity","ARD_CAPITAL_EXPENDITURES","FQ2 2019","FQ2 2019","Currency=USD","Period=FQ","BEST_FPERIOD_OVERRIDE=FQ","FILING_STATUS=MR","SCALING_FORMAT=MLN","Sort=A","Dates=H","DateFormat=P","Fill=—","Direction=H","UseDPDF=Y")</f>
        <v>-65.293000000000006</v>
      </c>
      <c r="F28" s="13">
        <f>_xll.BDH("ALNY US Equity","ARD_CAPITAL_EXPENDITURES","FQ3 2019","FQ3 2019","Currency=USD","Period=FQ","BEST_FPERIOD_OVERRIDE=FQ","FILING_STATUS=MR","SCALING_FORMAT=MLN","Sort=A","Dates=H","DateFormat=P","Fill=—","Direction=H","UseDPDF=Y")</f>
        <v>-101.351</v>
      </c>
      <c r="G28" s="13">
        <f>_xll.BDH("ALNY US Equity","ARD_CAPITAL_EXPENDITURES","FQ4 2019","FQ4 2019","Currency=USD","Period=FQ","BEST_FPERIOD_OVERRIDE=FQ","FILING_STATUS=MR","SCALING_FORMAT=MLN","Sort=A","Dates=H","DateFormat=P","Fill=—","Direction=H","UseDPDF=Y")</f>
        <v>-140.15600000000001</v>
      </c>
      <c r="H28" s="13">
        <f>_xll.BDH("ALNY US Equity","ARD_CAPITAL_EXPENDITURES","FQ1 2020","FQ1 2020","Currency=USD","Period=FQ","BEST_FPERIOD_OVERRIDE=FQ","FILING_STATUS=MR","SCALING_FORMAT=MLN","Sort=A","Dates=H","DateFormat=P","Fill=—","Direction=H","UseDPDF=Y")</f>
        <v>-19.617000000000001</v>
      </c>
      <c r="I28" s="13">
        <f>_xll.BDH("ALNY US Equity","ARD_CAPITAL_EXPENDITURES","FQ2 2020","FQ2 2020","Currency=USD","Period=FQ","BEST_FPERIOD_OVERRIDE=FQ","FILING_STATUS=MR","SCALING_FORMAT=MLN","Sort=A","Dates=H","DateFormat=P","Fill=—","Direction=H","UseDPDF=Y")</f>
        <v>-36.274999999999999</v>
      </c>
      <c r="J28" s="13">
        <f>_xll.BDH("ALNY US Equity","ARD_CAPITAL_EXPENDITURES","FQ3 2020","FQ3 2020","Currency=USD","Period=FQ","BEST_FPERIOD_OVERRIDE=FQ","FILING_STATUS=MR","SCALING_FORMAT=MLN","Sort=A","Dates=H","DateFormat=P","Fill=—","Direction=H","UseDPDF=Y")</f>
        <v>-48.692999999999998</v>
      </c>
      <c r="K28" s="13">
        <f>_xll.BDH("ALNY US Equity","ARD_CAPITAL_EXPENDITURES","FQ4 2020","FQ4 2020","Currency=USD","Period=FQ","BEST_FPERIOD_OVERRIDE=FQ","FILING_STATUS=MR","SCALING_FORMAT=MLN","Sort=A","Dates=H","DateFormat=P","Fill=—","Direction=H","UseDPDF=Y")</f>
        <v>-70.361000000000004</v>
      </c>
      <c r="L28" s="13">
        <f>_xll.BDH("ALNY US Equity","ARD_CAPITAL_EXPENDITURES","FQ1 2021","FQ1 2021","Currency=USD","Period=FQ","BEST_FPERIOD_OVERRIDE=FQ","FILING_STATUS=MR","SCALING_FORMAT=MLN","Sort=A","Dates=H","DateFormat=P","Fill=—","Direction=H","UseDPDF=Y")</f>
        <v>-17.178000000000001</v>
      </c>
      <c r="M28" s="13">
        <f>_xll.BDH("ALNY US Equity","ARD_CAPITAL_EXPENDITURES","FQ2 2021","FQ2 2021","Currency=USD","Period=FQ","BEST_FPERIOD_OVERRIDE=FQ","FILING_STATUS=MR","SCALING_FORMAT=MLN","Sort=A","Dates=H","DateFormat=P","Fill=—","Direction=H","UseDPDF=Y")</f>
        <v>-28.423999999999999</v>
      </c>
      <c r="N28" s="13">
        <f>_xll.BDH("ALNY US Equity","ARD_CAPITAL_EXPENDITURES","FQ3 2021","FQ3 2021","Currency=USD","Period=FQ","BEST_FPERIOD_OVERRIDE=FQ","FILING_STATUS=MR","SCALING_FORMAT=MLN","Sort=A","Dates=H","DateFormat=P","Fill=—","Direction=H","UseDPDF=Y")</f>
        <v>-54.485999999999997</v>
      </c>
      <c r="O28" s="13">
        <f>_xll.BDH("ALNY US Equity","ARD_CAPITAL_EXPENDITURES","FQ4 2021","FQ4 2021","Currency=USD","Period=FQ","BEST_FPERIOD_OVERRIDE=FQ","FILING_STATUS=MR","SCALING_FORMAT=MLN","Sort=A","Dates=H","DateFormat=P","Fill=—","Direction=H","UseDPDF=Y")</f>
        <v>-76.372</v>
      </c>
      <c r="P28" s="13">
        <f>_xll.BDH("ALNY US Equity","ARD_CAPITAL_EXPENDITURES","FQ1 2022","FQ1 2022","Currency=USD","Period=FQ","BEST_FPERIOD_OVERRIDE=FQ","FILING_STATUS=MR","SCALING_FORMAT=MLN","Sort=A","Dates=H","DateFormat=P","Fill=—","Direction=H","UseDPDF=Y")</f>
        <v>-17.859000000000002</v>
      </c>
      <c r="Q28" s="13">
        <f>_xll.BDH("ALNY US Equity","ARD_CAPITAL_EXPENDITURES","FQ2 2022","FQ2 2022","Currency=USD","Period=FQ","BEST_FPERIOD_OVERRIDE=FQ","FILING_STATUS=MR","SCALING_FORMAT=MLN","Sort=A","Dates=H","DateFormat=P","Fill=—","Direction=H","UseDPDF=Y")</f>
        <v>-33.914000000000001</v>
      </c>
      <c r="R28" s="13">
        <f>_xll.BDH("ALNY US Equity","ARD_CAPITAL_EXPENDITURES","FQ3 2022","FQ3 2022","Currency=USD","Period=FQ","BEST_FPERIOD_OVERRIDE=FQ","FILING_STATUS=MR","SCALING_FORMAT=MLN","Sort=A","Dates=H","DateFormat=P","Fill=—","Direction=H","UseDPDF=Y")</f>
        <v>-50.423999999999999</v>
      </c>
      <c r="S28" s="13">
        <f>_xll.BDH("ALNY US Equity","ARD_CAPITAL_EXPENDITURES","FQ4 2022","FQ4 2022","Currency=USD","Period=FQ","BEST_FPERIOD_OVERRIDE=FQ","FILING_STATUS=MR","SCALING_FORMAT=MLN","Sort=A","Dates=H","DateFormat=P","Fill=—","Direction=H","UseDPDF=Y")</f>
        <v>-72.058999999999997</v>
      </c>
      <c r="T28" s="13">
        <f>_xll.BDH("ALNY US Equity","ARD_CAPITAL_EXPENDITURES","FQ1 2023","FQ1 2023","Currency=USD","Period=FQ","BEST_FPERIOD_OVERRIDE=FQ","FILING_STATUS=MR","SCALING_FORMAT=MLN","Sort=A","Dates=H","DateFormat=P","Fill=—","Direction=H","UseDPDF=Y")</f>
        <v>-13.891</v>
      </c>
      <c r="U28" s="13">
        <f>_xll.BDH("ALNY US Equity","ARD_CAPITAL_EXPENDITURES","FQ2 2023","FQ2 2023","Currency=USD","Period=FQ","BEST_FPERIOD_OVERRIDE=FQ","FILING_STATUS=MR","SCALING_FORMAT=MLN","Sort=A","Dates=H","DateFormat=P","Fill=—","Direction=H","UseDPDF=Y")</f>
        <v>-29.81</v>
      </c>
      <c r="V28" s="13">
        <f>_xll.BDH("ALNY US Equity","ARD_CAPITAL_EXPENDITURES","FQ3 2023","FQ3 2023","Currency=USD","Period=FQ","BEST_FPERIOD_OVERRIDE=FQ","FILING_STATUS=MR","SCALING_FORMAT=MLN","Sort=A","Dates=H","DateFormat=P","Fill=—","Direction=H","UseDPDF=Y")</f>
        <v>-46.902000000000001</v>
      </c>
      <c r="W28" s="13">
        <f>_xll.BDH("ALNY US Equity","ARD_CAPITAL_EXPENDITURES","FQ4 2023","FQ4 2023","Currency=USD","Period=FQ","BEST_FPERIOD_OVERRIDE=FQ","FILING_STATUS=MR","SCALING_FORMAT=MLN","Sort=A","Dates=H","DateFormat=P","Fill=—","Direction=H","UseDPDF=Y")</f>
        <v>-62.210999999999999</v>
      </c>
      <c r="X28" s="13">
        <f>_xll.BDH("ALNY US Equity","ARD_CAPITAL_EXPENDITURES","FQ1 2024","FQ1 2024","Currency=USD","Period=FQ","BEST_FPERIOD_OVERRIDE=FQ","FILING_STATUS=MR","SCALING_FORMAT=MLN","Sort=A","Dates=H","DateFormat=P","Fill=—","Direction=H","UseDPDF=Y")</f>
        <v>-12.973000000000001</v>
      </c>
      <c r="Y28" s="13">
        <f>_xll.BDH("ALNY US Equity","ARD_CAPITAL_EXPENDITURES","FQ2 2024","FQ2 2024","Currency=USD","Period=FQ","BEST_FPERIOD_OVERRIDE=FQ","FILING_STATUS=MR","SCALING_FORMAT=MLN","Sort=A","Dates=H","DateFormat=P","Fill=—","Direction=H","UseDPDF=Y")</f>
        <v>-20.991</v>
      </c>
      <c r="Z28" s="13">
        <f>_xll.BDH("ALNY US Equity","ARD_CAPITAL_EXPENDITURES","FQ3 2024","FQ3 2024","Currency=USD","Period=FQ","BEST_FPERIOD_OVERRIDE=FQ","FILING_STATUS=MR","SCALING_FORMAT=MLN","Sort=A","Dates=H","DateFormat=P","Fill=—","Direction=H","UseDPDF=Y")</f>
        <v>-25.183</v>
      </c>
      <c r="AA28" s="13">
        <f>_xll.BDH("ALNY US Equity","ARD_CAPITAL_EXPENDITURES","FQ4 2024","FQ4 2024","Currency=USD","Period=FQ","BEST_FPERIOD_OVERRIDE=FQ","FILING_STATUS=MR","SCALING_FORMAT=MLN","Sort=A","Dates=H","DateFormat=P","Fill=—","Direction=H","UseDPDF=Y")</f>
        <v>-34.277000000000001</v>
      </c>
    </row>
    <row r="29" spans="1:27" x14ac:dyDescent="0.25">
      <c r="A29" s="10" t="s">
        <v>1294</v>
      </c>
      <c r="B29" s="10" t="s">
        <v>1295</v>
      </c>
      <c r="C29" s="13">
        <f>_xll.BDH("ALNY US Equity","ARD_PROCEEDS_FROM_LT_INVEST","FQ4 2018","FQ4 2018","Currency=USD","Period=FQ","BEST_FPERIOD_OVERRIDE=FQ","FILING_STATUS=MR","SCALING_FORMAT=MLN","Sort=A","Dates=H","DateFormat=P","Fill=—","Direction=H","UseDPDF=Y")</f>
        <v>0</v>
      </c>
      <c r="D29" s="13" t="str">
        <f>_xll.BDH("ALNY US Equity","ARD_PROCEEDS_FROM_LT_INVEST","FQ1 2019","FQ1 2019","Currency=USD","Period=FQ","BEST_FPERIOD_OVERRIDE=FQ","FILING_STATUS=MR","SCALING_FORMAT=MLN","Sort=A","Dates=H","DateFormat=P","Fill=—","Direction=H","UseDPDF=Y")</f>
        <v>—</v>
      </c>
      <c r="E29" s="13" t="str">
        <f>_xll.BDH("ALNY US Equity","ARD_PROCEEDS_FROM_LT_INVEST","FQ2 2019","FQ2 2019","Currency=USD","Period=FQ","BEST_FPERIOD_OVERRIDE=FQ","FILING_STATUS=MR","SCALING_FORMAT=MLN","Sort=A","Dates=H","DateFormat=P","Fill=—","Direction=H","UseDPDF=Y")</f>
        <v>—</v>
      </c>
      <c r="F29" s="13">
        <f>_xll.BDH("ALNY US Equity","ARD_PROCEEDS_FROM_LT_INVEST","FQ3 2019","FQ3 2019","Currency=USD","Period=FQ","BEST_FPERIOD_OVERRIDE=FQ","FILING_STATUS=MR","SCALING_FORMAT=MLN","Sort=A","Dates=H","DateFormat=P","Fill=—","Direction=H","UseDPDF=Y")</f>
        <v>30</v>
      </c>
      <c r="G29" s="13">
        <f>_xll.BDH("ALNY US Equity","ARD_PROCEEDS_FROM_LT_INVEST","FQ4 2019","FQ4 2019","Currency=USD","Period=FQ","BEST_FPERIOD_OVERRIDE=FQ","FILING_STATUS=MR","SCALING_FORMAT=MLN","Sort=A","Dates=H","DateFormat=P","Fill=—","Direction=H","UseDPDF=Y")</f>
        <v>30</v>
      </c>
      <c r="H29" s="13" t="str">
        <f>_xll.BDH("ALNY US Equity","ARD_PROCEEDS_FROM_LT_INVEST","FQ1 2020","FQ1 2020","Currency=USD","Period=FQ","BEST_FPERIOD_OVERRIDE=FQ","FILING_STATUS=MR","SCALING_FORMAT=MLN","Sort=A","Dates=H","DateFormat=P","Fill=—","Direction=H","UseDPDF=Y")</f>
        <v>—</v>
      </c>
      <c r="I29" s="13" t="str">
        <f>_xll.BDH("ALNY US Equity","ARD_PROCEEDS_FROM_LT_INVEST","FQ2 2020","FQ2 2020","Currency=USD","Period=FQ","BEST_FPERIOD_OVERRIDE=FQ","FILING_STATUS=MR","SCALING_FORMAT=MLN","Sort=A","Dates=H","DateFormat=P","Fill=—","Direction=H","UseDPDF=Y")</f>
        <v>—</v>
      </c>
      <c r="J29" s="13">
        <f>_xll.BDH("ALNY US Equity","ARD_PROCEEDS_FROM_LT_INVEST","FQ3 2020","FQ3 2020","Currency=USD","Period=FQ","BEST_FPERIOD_OVERRIDE=FQ","FILING_STATUS=MR","SCALING_FORMAT=MLN","Sort=A","Dates=H","DateFormat=P","Fill=—","Direction=H","UseDPDF=Y")</f>
        <v>0</v>
      </c>
      <c r="K29" s="13">
        <f>_xll.BDH("ALNY US Equity","ARD_PROCEEDS_FROM_LT_INVEST","FQ4 2020","FQ4 2020","Currency=USD","Period=FQ","BEST_FPERIOD_OVERRIDE=FQ","FILING_STATUS=MR","SCALING_FORMAT=MLN","Sort=A","Dates=H","DateFormat=P","Fill=—","Direction=H","UseDPDF=Y")</f>
        <v>0</v>
      </c>
      <c r="L29" s="13" t="str">
        <f>_xll.BDH("ALNY US Equity","ARD_PROCEEDS_FROM_LT_INVEST","FQ1 2021","FQ1 2021","Currency=USD","Period=FQ","BEST_FPERIOD_OVERRIDE=FQ","FILING_STATUS=MR","SCALING_FORMAT=MLN","Sort=A","Dates=H","DateFormat=P","Fill=—","Direction=H","UseDPDF=Y")</f>
        <v>—</v>
      </c>
      <c r="M29" s="13">
        <f>_xll.BDH("ALNY US Equity","ARD_PROCEEDS_FROM_LT_INVEST","FQ2 2021","FQ2 2021","Currency=USD","Period=FQ","BEST_FPERIOD_OVERRIDE=FQ","FILING_STATUS=MR","SCALING_FORMAT=MLN","Sort=A","Dates=H","DateFormat=P","Fill=—","Direction=H","UseDPDF=Y")</f>
        <v>10.65</v>
      </c>
      <c r="N29" s="13">
        <f>_xll.BDH("ALNY US Equity","ARD_PROCEEDS_FROM_LT_INVEST","FQ3 2021","FQ3 2021","Currency=USD","Period=FQ","BEST_FPERIOD_OVERRIDE=FQ","FILING_STATUS=MR","SCALING_FORMAT=MLN","Sort=A","Dates=H","DateFormat=P","Fill=—","Direction=H","UseDPDF=Y")</f>
        <v>25.975000000000001</v>
      </c>
      <c r="O29" s="13">
        <f>_xll.BDH("ALNY US Equity","ARD_PROCEEDS_FROM_LT_INVEST","FQ4 2021","FQ4 2021","Currency=USD","Period=FQ","BEST_FPERIOD_OVERRIDE=FQ","FILING_STATUS=MR","SCALING_FORMAT=MLN","Sort=A","Dates=H","DateFormat=P","Fill=—","Direction=H","UseDPDF=Y")</f>
        <v>41.975000000000001</v>
      </c>
      <c r="P29" s="13" t="str">
        <f>_xll.BDH("ALNY US Equity","ARD_PROCEEDS_FROM_LT_INVEST","FQ1 2022","FQ1 2022","Currency=USD","Period=FQ","BEST_FPERIOD_OVERRIDE=FQ","FILING_STATUS=MR","SCALING_FORMAT=MLN","Sort=A","Dates=H","DateFormat=P","Fill=—","Direction=H","UseDPDF=Y")</f>
        <v>—</v>
      </c>
      <c r="Q29" s="13" t="str">
        <f>_xll.BDH("ALNY US Equity","ARD_PROCEEDS_FROM_LT_INVEST","FQ2 2022","FQ2 2022","Currency=USD","Period=FQ","BEST_FPERIOD_OVERRIDE=FQ","FILING_STATUS=MR","SCALING_FORMAT=MLN","Sort=A","Dates=H","DateFormat=P","Fill=—","Direction=H","UseDPDF=Y")</f>
        <v>—</v>
      </c>
      <c r="R29" s="13">
        <f>_xll.BDH("ALNY US Equity","ARD_PROCEEDS_FROM_LT_INVEST","FQ3 2022","FQ3 2022","Currency=USD","Period=FQ","BEST_FPERIOD_OVERRIDE=FQ","FILING_STATUS=MR","SCALING_FORMAT=MLN","Sort=A","Dates=H","DateFormat=P","Fill=—","Direction=H","UseDPDF=Y")</f>
        <v>89.950999999999993</v>
      </c>
      <c r="S29" s="13">
        <f>_xll.BDH("ALNY US Equity","ARD_PROCEEDS_FROM_LT_INVEST","FQ4 2022","FQ4 2022","Currency=USD","Period=FQ","BEST_FPERIOD_OVERRIDE=FQ","FILING_STATUS=MR","SCALING_FORMAT=MLN","Sort=A","Dates=H","DateFormat=P","Fill=—","Direction=H","UseDPDF=Y")</f>
        <v>89.950999999999993</v>
      </c>
      <c r="T29" s="13" t="str">
        <f>_xll.BDH("ALNY US Equity","ARD_PROCEEDS_FROM_LT_INVEST","FQ1 2023","FQ1 2023","Currency=USD","Period=FQ","BEST_FPERIOD_OVERRIDE=FQ","FILING_STATUS=MR","SCALING_FORMAT=MLN","Sort=A","Dates=H","DateFormat=P","Fill=—","Direction=H","UseDPDF=Y")</f>
        <v>—</v>
      </c>
      <c r="U29" s="13" t="str">
        <f>_xll.BDH("ALNY US Equity","ARD_PROCEEDS_FROM_LT_INVEST","FQ2 2023","FQ2 2023","Currency=USD","Period=FQ","BEST_FPERIOD_OVERRIDE=FQ","FILING_STATUS=MR","SCALING_FORMAT=MLN","Sort=A","Dates=H","DateFormat=P","Fill=—","Direction=H","UseDPDF=Y")</f>
        <v>—</v>
      </c>
      <c r="V29" s="13" t="str">
        <f>_xll.BDH("ALNY US Equity","ARD_PROCEEDS_FROM_LT_INVEST","FQ3 2023","FQ3 2023","Currency=USD","Period=FQ","BEST_FPERIOD_OVERRIDE=FQ","FILING_STATUS=MR","SCALING_FORMAT=MLN","Sort=A","Dates=H","DateFormat=P","Fill=—","Direction=H","UseDPDF=Y")</f>
        <v>—</v>
      </c>
      <c r="W29" s="13">
        <f>_xll.BDH("ALNY US Equity","ARD_PROCEEDS_FROM_LT_INVEST","FQ4 2023","FQ4 2023","Currency=USD","Period=FQ","BEST_FPERIOD_OVERRIDE=FQ","FILING_STATUS=MR","SCALING_FORMAT=MLN","Sort=A","Dates=H","DateFormat=P","Fill=—","Direction=H","UseDPDF=Y")</f>
        <v>58.475000000000001</v>
      </c>
      <c r="X29" s="13" t="str">
        <f>_xll.BDH("ALNY US Equity","ARD_PROCEEDS_FROM_LT_INVEST","FQ1 2024","FQ1 2024","Currency=USD","Period=FQ","BEST_FPERIOD_OVERRIDE=FQ","FILING_STATUS=MR","SCALING_FORMAT=MLN","Sort=A","Dates=H","DateFormat=P","Fill=—","Direction=H","UseDPDF=Y")</f>
        <v>—</v>
      </c>
      <c r="Y29" s="13" t="str">
        <f>_xll.BDH("ALNY US Equity","ARD_PROCEEDS_FROM_LT_INVEST","FQ2 2024","FQ2 2024","Currency=USD","Period=FQ","BEST_FPERIOD_OVERRIDE=FQ","FILING_STATUS=MR","SCALING_FORMAT=MLN","Sort=A","Dates=H","DateFormat=P","Fill=—","Direction=H","UseDPDF=Y")</f>
        <v>—</v>
      </c>
      <c r="Z29" s="13" t="str">
        <f>_xll.BDH("ALNY US Equity","ARD_PROCEEDS_FROM_LT_INVEST","FQ3 2024","FQ3 2024","Currency=USD","Period=FQ","BEST_FPERIOD_OVERRIDE=FQ","FILING_STATUS=MR","SCALING_FORMAT=MLN","Sort=A","Dates=H","DateFormat=P","Fill=—","Direction=H","UseDPDF=Y")</f>
        <v>—</v>
      </c>
      <c r="AA29" s="13">
        <f>_xll.BDH("ALNY US Equity","ARD_PROCEEDS_FROM_LT_INVEST","FQ4 2024","FQ4 2024","Currency=USD","Period=FQ","BEST_FPERIOD_OVERRIDE=FQ","FILING_STATUS=MR","SCALING_FORMAT=MLN","Sort=A","Dates=H","DateFormat=P","Fill=—","Direction=H","UseDPDF=Y")</f>
        <v>57.875</v>
      </c>
    </row>
    <row r="30" spans="1:27" x14ac:dyDescent="0.25">
      <c r="A30" s="10" t="s">
        <v>1296</v>
      </c>
      <c r="B30" s="10" t="s">
        <v>1297</v>
      </c>
      <c r="C30" s="13" t="str">
        <f>_xll.BDH("ALNY US Equity","ARD_PROCEEDS_FROM_INVESTMENTS","FQ4 2018","FQ4 2018","Currency=USD","Period=FQ","BEST_FPERIOD_OVERRIDE=FQ","FILING_STATUS=MR","SCALING_FORMAT=MLN","Sort=A","Dates=H","DateFormat=P","Fill=—","Direction=H","UseDPDF=Y")</f>
        <v>—</v>
      </c>
      <c r="D30" s="13" t="str">
        <f>_xll.BDH("ALNY US Equity","ARD_PROCEEDS_FROM_INVESTMENTS","FQ1 2019","FQ1 2019","Currency=USD","Period=FQ","BEST_FPERIOD_OVERRIDE=FQ","FILING_STATUS=MR","SCALING_FORMAT=MLN","Sort=A","Dates=H","DateFormat=P","Fill=—","Direction=H","UseDPDF=Y")</f>
        <v>—</v>
      </c>
      <c r="E30" s="13" t="str">
        <f>_xll.BDH("ALNY US Equity","ARD_PROCEEDS_FROM_INVESTMENTS","FQ2 2019","FQ2 2019","Currency=USD","Period=FQ","BEST_FPERIOD_OVERRIDE=FQ","FILING_STATUS=MR","SCALING_FORMAT=MLN","Sort=A","Dates=H","DateFormat=P","Fill=—","Direction=H","UseDPDF=Y")</f>
        <v>—</v>
      </c>
      <c r="F30" s="13" t="str">
        <f>_xll.BDH("ALNY US Equity","ARD_PROCEEDS_FROM_INVESTMENTS","FQ3 2019","FQ3 2019","Currency=USD","Period=FQ","BEST_FPERIOD_OVERRIDE=FQ","FILING_STATUS=MR","SCALING_FORMAT=MLN","Sort=A","Dates=H","DateFormat=P","Fill=—","Direction=H","UseDPDF=Y")</f>
        <v>—</v>
      </c>
      <c r="G30" s="13" t="str">
        <f>_xll.BDH("ALNY US Equity","ARD_PROCEEDS_FROM_INVESTMENTS","FQ4 2019","FQ4 2019","Currency=USD","Period=FQ","BEST_FPERIOD_OVERRIDE=FQ","FILING_STATUS=MR","SCALING_FORMAT=MLN","Sort=A","Dates=H","DateFormat=P","Fill=—","Direction=H","UseDPDF=Y")</f>
        <v>—</v>
      </c>
      <c r="H30" s="13" t="str">
        <f>_xll.BDH("ALNY US Equity","ARD_PROCEEDS_FROM_INVESTMENTS","FQ1 2020","FQ1 2020","Currency=USD","Period=FQ","BEST_FPERIOD_OVERRIDE=FQ","FILING_STATUS=MR","SCALING_FORMAT=MLN","Sort=A","Dates=H","DateFormat=P","Fill=—","Direction=H","UseDPDF=Y")</f>
        <v>—</v>
      </c>
      <c r="I30" s="13" t="str">
        <f>_xll.BDH("ALNY US Equity","ARD_PROCEEDS_FROM_INVESTMENTS","FQ2 2020","FQ2 2020","Currency=USD","Period=FQ","BEST_FPERIOD_OVERRIDE=FQ","FILING_STATUS=MR","SCALING_FORMAT=MLN","Sort=A","Dates=H","DateFormat=P","Fill=—","Direction=H","UseDPDF=Y")</f>
        <v>—</v>
      </c>
      <c r="J30" s="13" t="str">
        <f>_xll.BDH("ALNY US Equity","ARD_PROCEEDS_FROM_INVESTMENTS","FQ3 2020","FQ3 2020","Currency=USD","Period=FQ","BEST_FPERIOD_OVERRIDE=FQ","FILING_STATUS=MR","SCALING_FORMAT=MLN","Sort=A","Dates=H","DateFormat=P","Fill=—","Direction=H","UseDPDF=Y")</f>
        <v>—</v>
      </c>
      <c r="K30" s="13" t="str">
        <f>_xll.BDH("ALNY US Equity","ARD_PROCEEDS_FROM_INVESTMENTS","FQ4 2020","FQ4 2020","Currency=USD","Period=FQ","BEST_FPERIOD_OVERRIDE=FQ","FILING_STATUS=MR","SCALING_FORMAT=MLN","Sort=A","Dates=H","DateFormat=P","Fill=—","Direction=H","UseDPDF=Y")</f>
        <v>—</v>
      </c>
      <c r="L30" s="13">
        <f>_xll.BDH("ALNY US Equity","ARD_PROCEEDS_FROM_INVESTMENTS","FQ1 2021","FQ1 2021","Currency=USD","Period=FQ","BEST_FPERIOD_OVERRIDE=FQ","FILING_STATUS=MR","SCALING_FORMAT=MLN","Sort=A","Dates=H","DateFormat=P","Fill=—","Direction=H","UseDPDF=Y")</f>
        <v>10.65</v>
      </c>
      <c r="M30" s="13" t="str">
        <f>_xll.BDH("ALNY US Equity","ARD_PROCEEDS_FROM_INVESTMENTS","FQ2 2021","FQ2 2021","Currency=USD","Period=FQ","BEST_FPERIOD_OVERRIDE=FQ","FILING_STATUS=MR","SCALING_FORMAT=MLN","Sort=A","Dates=H","DateFormat=P","Fill=—","Direction=H","UseDPDF=Y")</f>
        <v>—</v>
      </c>
      <c r="N30" s="13" t="str">
        <f>_xll.BDH("ALNY US Equity","ARD_PROCEEDS_FROM_INVESTMENTS","FQ3 2021","FQ3 2021","Currency=USD","Period=FQ","BEST_FPERIOD_OVERRIDE=FQ","FILING_STATUS=MR","SCALING_FORMAT=MLN","Sort=A","Dates=H","DateFormat=P","Fill=—","Direction=H","UseDPDF=Y")</f>
        <v>—</v>
      </c>
      <c r="O30" s="13" t="str">
        <f>_xll.BDH("ALNY US Equity","ARD_PROCEEDS_FROM_INVESTMENTS","FQ4 2021","FQ4 2021","Currency=USD","Period=FQ","BEST_FPERIOD_OVERRIDE=FQ","FILING_STATUS=MR","SCALING_FORMAT=MLN","Sort=A","Dates=H","DateFormat=P","Fill=—","Direction=H","UseDPDF=Y")</f>
        <v>—</v>
      </c>
      <c r="P30" s="13">
        <f>_xll.BDH("ALNY US Equity","ARD_PROCEEDS_FROM_INVESTMENTS","FQ1 2022","FQ1 2022","Currency=USD","Period=FQ","BEST_FPERIOD_OVERRIDE=FQ","FILING_STATUS=MR","SCALING_FORMAT=MLN","Sort=A","Dates=H","DateFormat=P","Fill=—","Direction=H","UseDPDF=Y")</f>
        <v>9.4</v>
      </c>
      <c r="Q30" s="13" t="str">
        <f>_xll.BDH("ALNY US Equity","ARD_PROCEEDS_FROM_INVESTMENTS","FQ2 2022","FQ2 2022","Currency=USD","Period=FQ","BEST_FPERIOD_OVERRIDE=FQ","FILING_STATUS=MR","SCALING_FORMAT=MLN","Sort=A","Dates=H","DateFormat=P","Fill=—","Direction=H","UseDPDF=Y")</f>
        <v>—</v>
      </c>
      <c r="R30" s="13" t="str">
        <f>_xll.BDH("ALNY US Equity","ARD_PROCEEDS_FROM_INVESTMENTS","FQ3 2022","FQ3 2022","Currency=USD","Period=FQ","BEST_FPERIOD_OVERRIDE=FQ","FILING_STATUS=MR","SCALING_FORMAT=MLN","Sort=A","Dates=H","DateFormat=P","Fill=—","Direction=H","UseDPDF=Y")</f>
        <v>—</v>
      </c>
      <c r="S30" s="13" t="str">
        <f>_xll.BDH("ALNY US Equity","ARD_PROCEEDS_FROM_INVESTMENTS","FQ4 2022","FQ4 2022","Currency=USD","Period=FQ","BEST_FPERIOD_OVERRIDE=FQ","FILING_STATUS=MR","SCALING_FORMAT=MLN","Sort=A","Dates=H","DateFormat=P","Fill=—","Direction=H","UseDPDF=Y")</f>
        <v>—</v>
      </c>
      <c r="T30" s="13">
        <f>_xll.BDH("ALNY US Equity","ARD_PROCEEDS_FROM_INVESTMENTS","FQ1 2023","FQ1 2023","Currency=USD","Period=FQ","BEST_FPERIOD_OVERRIDE=FQ","FILING_STATUS=MR","SCALING_FORMAT=MLN","Sort=A","Dates=H","DateFormat=P","Fill=—","Direction=H","UseDPDF=Y")</f>
        <v>49.225000000000001</v>
      </c>
      <c r="U30" s="13">
        <f>_xll.BDH("ALNY US Equity","ARD_PROCEEDS_FROM_INVESTMENTS","FQ2 2023","FQ2 2023","Currency=USD","Period=FQ","BEST_FPERIOD_OVERRIDE=FQ","FILING_STATUS=MR","SCALING_FORMAT=MLN","Sort=A","Dates=H","DateFormat=P","Fill=—","Direction=H","UseDPDF=Y")</f>
        <v>58.475000000000001</v>
      </c>
      <c r="V30" s="13">
        <f>_xll.BDH("ALNY US Equity","ARD_PROCEEDS_FROM_INVESTMENTS","FQ3 2023","FQ3 2023","Currency=USD","Period=FQ","BEST_FPERIOD_OVERRIDE=FQ","FILING_STATUS=MR","SCALING_FORMAT=MLN","Sort=A","Dates=H","DateFormat=P","Fill=—","Direction=H","UseDPDF=Y")</f>
        <v>58.475000000000001</v>
      </c>
      <c r="W30" s="13" t="str">
        <f>_xll.BDH("ALNY US Equity","ARD_PROCEEDS_FROM_INVESTMENTS","FQ4 2023","FQ4 2023","Currency=USD","Period=FQ","BEST_FPERIOD_OVERRIDE=FQ","FILING_STATUS=MR","SCALING_FORMAT=MLN","Sort=A","Dates=H","DateFormat=P","Fill=—","Direction=H","UseDPDF=Y")</f>
        <v>—</v>
      </c>
      <c r="X30" s="13">
        <f>_xll.BDH("ALNY US Equity","ARD_PROCEEDS_FROM_INVESTMENTS","FQ1 2024","FQ1 2024","Currency=USD","Period=FQ","BEST_FPERIOD_OVERRIDE=FQ","FILING_STATUS=MR","SCALING_FORMAT=MLN","Sort=A","Dates=H","DateFormat=P","Fill=—","Direction=H","UseDPDF=Y")</f>
        <v>39.975000000000001</v>
      </c>
      <c r="Y30" s="13">
        <f>_xll.BDH("ALNY US Equity","ARD_PROCEEDS_FROM_INVESTMENTS","FQ2 2024","FQ2 2024","Currency=USD","Period=FQ","BEST_FPERIOD_OVERRIDE=FQ","FILING_STATUS=MR","SCALING_FORMAT=MLN","Sort=A","Dates=H","DateFormat=P","Fill=—","Direction=H","UseDPDF=Y")</f>
        <v>57.875</v>
      </c>
      <c r="Z30" s="13">
        <f>_xll.BDH("ALNY US Equity","ARD_PROCEEDS_FROM_INVESTMENTS","FQ3 2024","FQ3 2024","Currency=USD","Period=FQ","BEST_FPERIOD_OVERRIDE=FQ","FILING_STATUS=MR","SCALING_FORMAT=MLN","Sort=A","Dates=H","DateFormat=P","Fill=—","Direction=H","UseDPDF=Y")</f>
        <v>57.875</v>
      </c>
      <c r="AA30" s="13" t="str">
        <f>_xll.BDH("ALNY US Equity","ARD_PROCEEDS_FROM_INVESTMENTS","FQ4 2024","FQ4 2024","Currency=USD","Period=FQ","BEST_FPERIOD_OVERRIDE=FQ","FILING_STATUS=MR","SCALING_FORMAT=MLN","Sort=A","Dates=H","DateFormat=P","Fill=—","Direction=H","UseDPDF=Y")</f>
        <v>—</v>
      </c>
    </row>
    <row r="31" spans="1:27" x14ac:dyDescent="0.25">
      <c r="A31" s="10" t="s">
        <v>1298</v>
      </c>
      <c r="B31" s="10" t="s">
        <v>1299</v>
      </c>
      <c r="C31" s="13">
        <f>_xll.BDH("ALNY US Equity","ARD_PURCHASES_OF_INVESTMENTS","FQ4 2018","FQ4 2018","Currency=USD","Period=FQ","BEST_FPERIOD_OVERRIDE=FQ","FILING_STATUS=MR","SCALING_FORMAT=MLN","Sort=A","Dates=H","DateFormat=P","Fill=—","Direction=H","UseDPDF=Y")</f>
        <v>-14.824999999999999</v>
      </c>
      <c r="D31" s="13" t="str">
        <f>_xll.BDH("ALNY US Equity","ARD_PURCHASES_OF_INVESTMENTS","FQ1 2019","FQ1 2019","Currency=USD","Period=FQ","BEST_FPERIOD_OVERRIDE=FQ","FILING_STATUS=MR","SCALING_FORMAT=MLN","Sort=A","Dates=H","DateFormat=P","Fill=—","Direction=H","UseDPDF=Y")</f>
        <v>—</v>
      </c>
      <c r="E31" s="13">
        <f>_xll.BDH("ALNY US Equity","ARD_PURCHASES_OF_INVESTMENTS","FQ2 2019","FQ2 2019","Currency=USD","Period=FQ","BEST_FPERIOD_OVERRIDE=FQ","FILING_STATUS=MR","SCALING_FORMAT=MLN","Sort=A","Dates=H","DateFormat=P","Fill=—","Direction=H","UseDPDF=Y")</f>
        <v>0</v>
      </c>
      <c r="F31" s="13">
        <f>_xll.BDH("ALNY US Equity","ARD_PURCHASES_OF_INVESTMENTS","FQ3 2019","FQ3 2019","Currency=USD","Period=FQ","BEST_FPERIOD_OVERRIDE=FQ","FILING_STATUS=MR","SCALING_FORMAT=MLN","Sort=A","Dates=H","DateFormat=P","Fill=—","Direction=H","UseDPDF=Y")</f>
        <v>0</v>
      </c>
      <c r="G31" s="13">
        <f>_xll.BDH("ALNY US Equity","ARD_PURCHASES_OF_INVESTMENTS","FQ4 2019","FQ4 2019","Currency=USD","Period=FQ","BEST_FPERIOD_OVERRIDE=FQ","FILING_STATUS=MR","SCALING_FORMAT=MLN","Sort=A","Dates=H","DateFormat=P","Fill=—","Direction=H","UseDPDF=Y")</f>
        <v>0</v>
      </c>
      <c r="H31" s="13">
        <f>_xll.BDH("ALNY US Equity","ARD_PURCHASES_OF_INVESTMENTS","FQ1 2020","FQ1 2020","Currency=USD","Period=FQ","BEST_FPERIOD_OVERRIDE=FQ","FILING_STATUS=MR","SCALING_FORMAT=MLN","Sort=A","Dates=H","DateFormat=P","Fill=—","Direction=H","UseDPDF=Y")</f>
        <v>-9.9</v>
      </c>
      <c r="I31" s="13">
        <f>_xll.BDH("ALNY US Equity","ARD_PURCHASES_OF_INVESTMENTS","FQ2 2020","FQ2 2020","Currency=USD","Period=FQ","BEST_FPERIOD_OVERRIDE=FQ","FILING_STATUS=MR","SCALING_FORMAT=MLN","Sort=A","Dates=H","DateFormat=P","Fill=—","Direction=H","UseDPDF=Y")</f>
        <v>-9.9</v>
      </c>
      <c r="J31" s="13">
        <f>_xll.BDH("ALNY US Equity","ARD_PURCHASES_OF_INVESTMENTS","FQ3 2020","FQ3 2020","Currency=USD","Period=FQ","BEST_FPERIOD_OVERRIDE=FQ","FILING_STATUS=MR","SCALING_FORMAT=MLN","Sort=A","Dates=H","DateFormat=P","Fill=—","Direction=H","UseDPDF=Y")</f>
        <v>-9.9</v>
      </c>
      <c r="K31" s="13">
        <f>_xll.BDH("ALNY US Equity","ARD_PURCHASES_OF_INVESTMENTS","FQ4 2020","FQ4 2020","Currency=USD","Period=FQ","BEST_FPERIOD_OVERRIDE=FQ","FILING_STATUS=MR","SCALING_FORMAT=MLN","Sort=A","Dates=H","DateFormat=P","Fill=—","Direction=H","UseDPDF=Y")</f>
        <v>-25.9</v>
      </c>
      <c r="L31" s="13">
        <f>_xll.BDH("ALNY US Equity","ARD_PURCHASES_OF_INVESTMENTS","FQ1 2021","FQ1 2021","Currency=USD","Period=FQ","BEST_FPERIOD_OVERRIDE=FQ","FILING_STATUS=MR","SCALING_FORMAT=MLN","Sort=A","Dates=H","DateFormat=P","Fill=—","Direction=H","UseDPDF=Y")</f>
        <v>-10.65</v>
      </c>
      <c r="M31" s="13">
        <f>_xll.BDH("ALNY US Equity","ARD_PURCHASES_OF_INVESTMENTS","FQ2 2021","FQ2 2021","Currency=USD","Period=FQ","BEST_FPERIOD_OVERRIDE=FQ","FILING_STATUS=MR","SCALING_FORMAT=MLN","Sort=A","Dates=H","DateFormat=P","Fill=—","Direction=H","UseDPDF=Y")</f>
        <v>-10.815</v>
      </c>
      <c r="N31" s="13">
        <f>_xll.BDH("ALNY US Equity","ARD_PURCHASES_OF_INVESTMENTS","FQ3 2021","FQ3 2021","Currency=USD","Period=FQ","BEST_FPERIOD_OVERRIDE=FQ","FILING_STATUS=MR","SCALING_FORMAT=MLN","Sort=A","Dates=H","DateFormat=P","Fill=—","Direction=H","UseDPDF=Y")</f>
        <v>-26.14</v>
      </c>
      <c r="O31" s="13">
        <f>_xll.BDH("ALNY US Equity","ARD_PURCHASES_OF_INVESTMENTS","FQ4 2021","FQ4 2021","Currency=USD","Period=FQ","BEST_FPERIOD_OVERRIDE=FQ","FILING_STATUS=MR","SCALING_FORMAT=MLN","Sort=A","Dates=H","DateFormat=P","Fill=—","Direction=H","UseDPDF=Y")</f>
        <v>-42.140999999999998</v>
      </c>
      <c r="P31" s="13">
        <f>_xll.BDH("ALNY US Equity","ARD_PURCHASES_OF_INVESTMENTS","FQ1 2022","FQ1 2022","Currency=USD","Period=FQ","BEST_FPERIOD_OVERRIDE=FQ","FILING_STATUS=MR","SCALING_FORMAT=MLN","Sort=A","Dates=H","DateFormat=P","Fill=—","Direction=H","UseDPDF=Y")</f>
        <v>-9.4</v>
      </c>
      <c r="Q31" s="13" t="str">
        <f>_xll.BDH("ALNY US Equity","ARD_PURCHASES_OF_INVESTMENTS","FQ2 2022","FQ2 2022","Currency=USD","Period=FQ","BEST_FPERIOD_OVERRIDE=FQ","FILING_STATUS=MR","SCALING_FORMAT=MLN","Sort=A","Dates=H","DateFormat=P","Fill=—","Direction=H","UseDPDF=Y")</f>
        <v>—</v>
      </c>
      <c r="R31" s="13">
        <f>_xll.BDH("ALNY US Equity","ARD_PURCHASES_OF_INVESTMENTS","FQ3 2022","FQ3 2022","Currency=USD","Period=FQ","BEST_FPERIOD_OVERRIDE=FQ","FILING_STATUS=MR","SCALING_FORMAT=MLN","Sort=A","Dates=H","DateFormat=P","Fill=—","Direction=H","UseDPDF=Y")</f>
        <v>-98.450999999999993</v>
      </c>
      <c r="S31" s="13">
        <f>_xll.BDH("ALNY US Equity","ARD_PURCHASES_OF_INVESTMENTS","FQ4 2022","FQ4 2022","Currency=USD","Period=FQ","BEST_FPERIOD_OVERRIDE=FQ","FILING_STATUS=MR","SCALING_FORMAT=MLN","Sort=A","Dates=H","DateFormat=P","Fill=—","Direction=H","UseDPDF=Y")</f>
        <v>-98.450999999999993</v>
      </c>
      <c r="T31" s="13">
        <f>_xll.BDH("ALNY US Equity","ARD_PURCHASES_OF_INVESTMENTS","FQ1 2023","FQ1 2023","Currency=USD","Period=FQ","BEST_FPERIOD_OVERRIDE=FQ","FILING_STATUS=MR","SCALING_FORMAT=MLN","Sort=A","Dates=H","DateFormat=P","Fill=—","Direction=H","UseDPDF=Y")</f>
        <v>-49.225000000000001</v>
      </c>
      <c r="U31" s="13">
        <f>_xll.BDH("ALNY US Equity","ARD_PURCHASES_OF_INVESTMENTS","FQ2 2023","FQ2 2023","Currency=USD","Period=FQ","BEST_FPERIOD_OVERRIDE=FQ","FILING_STATUS=MR","SCALING_FORMAT=MLN","Sort=A","Dates=H","DateFormat=P","Fill=—","Direction=H","UseDPDF=Y")</f>
        <v>-58.475000000000001</v>
      </c>
      <c r="V31" s="13">
        <f>_xll.BDH("ALNY US Equity","ARD_PURCHASES_OF_INVESTMENTS","FQ3 2023","FQ3 2023","Currency=USD","Period=FQ","BEST_FPERIOD_OVERRIDE=FQ","FILING_STATUS=MR","SCALING_FORMAT=MLN","Sort=A","Dates=H","DateFormat=P","Fill=—","Direction=H","UseDPDF=Y")</f>
        <v>-58.475000000000001</v>
      </c>
      <c r="W31" s="13">
        <f>_xll.BDH("ALNY US Equity","ARD_PURCHASES_OF_INVESTMENTS","FQ4 2023","FQ4 2023","Currency=USD","Period=FQ","BEST_FPERIOD_OVERRIDE=FQ","FILING_STATUS=MR","SCALING_FORMAT=MLN","Sort=A","Dates=H","DateFormat=P","Fill=—","Direction=H","UseDPDF=Y")</f>
        <v>-58.475000000000001</v>
      </c>
      <c r="X31" s="13">
        <f>_xll.BDH("ALNY US Equity","ARD_PURCHASES_OF_INVESTMENTS","FQ1 2024","FQ1 2024","Currency=USD","Period=FQ","BEST_FPERIOD_OVERRIDE=FQ","FILING_STATUS=MR","SCALING_FORMAT=MLN","Sort=A","Dates=H","DateFormat=P","Fill=—","Direction=H","UseDPDF=Y")</f>
        <v>-39.975000000000001</v>
      </c>
      <c r="Y31" s="13">
        <f>_xll.BDH("ALNY US Equity","ARD_PURCHASES_OF_INVESTMENTS","FQ2 2024","FQ2 2024","Currency=USD","Period=FQ","BEST_FPERIOD_OVERRIDE=FQ","FILING_STATUS=MR","SCALING_FORMAT=MLN","Sort=A","Dates=H","DateFormat=P","Fill=—","Direction=H","UseDPDF=Y")</f>
        <v>-57.875</v>
      </c>
      <c r="Z31" s="13">
        <f>_xll.BDH("ALNY US Equity","ARD_PURCHASES_OF_INVESTMENTS","FQ3 2024","FQ3 2024","Currency=USD","Period=FQ","BEST_FPERIOD_OVERRIDE=FQ","FILING_STATUS=MR","SCALING_FORMAT=MLN","Sort=A","Dates=H","DateFormat=P","Fill=—","Direction=H","UseDPDF=Y")</f>
        <v>-77.075000000000003</v>
      </c>
      <c r="AA31" s="13">
        <f>_xll.BDH("ALNY US Equity","ARD_PURCHASES_OF_INVESTMENTS","FQ4 2024","FQ4 2024","Currency=USD","Period=FQ","BEST_FPERIOD_OVERRIDE=FQ","FILING_STATUS=MR","SCALING_FORMAT=MLN","Sort=A","Dates=H","DateFormat=P","Fill=—","Direction=H","UseDPDF=Y")</f>
        <v>-77.075000000000003</v>
      </c>
    </row>
    <row r="32" spans="1:27" x14ac:dyDescent="0.25">
      <c r="A32" s="10" t="s">
        <v>1300</v>
      </c>
      <c r="B32" s="10" t="s">
        <v>1301</v>
      </c>
      <c r="C32" s="13" t="str">
        <f>_xll.BDH("ALNY US Equity","ARD_OTHER_INVESTING_ACTIVITIES","FQ4 2018","FQ4 2018","Currency=USD","Period=FQ","BEST_FPERIOD_OVERRIDE=FQ","FILING_STATUS=MR","SCALING_FORMAT=MLN","Sort=A","Dates=H","DateFormat=P","Fill=—","Direction=H","UseDPDF=Y")</f>
        <v>—</v>
      </c>
      <c r="D32" s="13" t="str">
        <f>_xll.BDH("ALNY US Equity","ARD_OTHER_INVESTING_ACTIVITIES","FQ1 2019","FQ1 2019","Currency=USD","Period=FQ","BEST_FPERIOD_OVERRIDE=FQ","FILING_STATUS=MR","SCALING_FORMAT=MLN","Sort=A","Dates=H","DateFormat=P","Fill=—","Direction=H","UseDPDF=Y")</f>
        <v>—</v>
      </c>
      <c r="E32" s="13" t="str">
        <f>_xll.BDH("ALNY US Equity","ARD_OTHER_INVESTING_ACTIVITIES","FQ2 2019","FQ2 2019","Currency=USD","Period=FQ","BEST_FPERIOD_OVERRIDE=FQ","FILING_STATUS=MR","SCALING_FORMAT=MLN","Sort=A","Dates=H","DateFormat=P","Fill=—","Direction=H","UseDPDF=Y")</f>
        <v>—</v>
      </c>
      <c r="F32" s="13" t="str">
        <f>_xll.BDH("ALNY US Equity","ARD_OTHER_INVESTING_ACTIVITIES","FQ3 2019","FQ3 2019","Currency=USD","Period=FQ","BEST_FPERIOD_OVERRIDE=FQ","FILING_STATUS=MR","SCALING_FORMAT=MLN","Sort=A","Dates=H","DateFormat=P","Fill=—","Direction=H","UseDPDF=Y")</f>
        <v>—</v>
      </c>
      <c r="G32" s="13">
        <f>_xll.BDH("ALNY US Equity","ARD_OTHER_INVESTING_ACTIVITIES","FQ4 2019","FQ4 2019","Currency=USD","Period=FQ","BEST_FPERIOD_OVERRIDE=FQ","FILING_STATUS=MR","SCALING_FORMAT=MLN","Sort=A","Dates=H","DateFormat=P","Fill=—","Direction=H","UseDPDF=Y")</f>
        <v>-7</v>
      </c>
      <c r="H32" s="13" t="str">
        <f>_xll.BDH("ALNY US Equity","ARD_OTHER_INVESTING_ACTIVITIES","FQ1 2020","FQ1 2020","Currency=USD","Period=FQ","BEST_FPERIOD_OVERRIDE=FQ","FILING_STATUS=MR","SCALING_FORMAT=MLN","Sort=A","Dates=H","DateFormat=P","Fill=—","Direction=H","UseDPDF=Y")</f>
        <v>—</v>
      </c>
      <c r="I32" s="13">
        <f>_xll.BDH("ALNY US Equity","ARD_OTHER_INVESTING_ACTIVITIES","FQ2 2020","FQ2 2020","Currency=USD","Period=FQ","BEST_FPERIOD_OVERRIDE=FQ","FILING_STATUS=MR","SCALING_FORMAT=MLN","Sort=A","Dates=H","DateFormat=P","Fill=—","Direction=H","UseDPDF=Y")</f>
        <v>-0.3</v>
      </c>
      <c r="J32" s="13">
        <f>_xll.BDH("ALNY US Equity","ARD_OTHER_INVESTING_ACTIVITIES","FQ3 2020","FQ3 2020","Currency=USD","Period=FQ","BEST_FPERIOD_OVERRIDE=FQ","FILING_STATUS=MR","SCALING_FORMAT=MLN","Sort=A","Dates=H","DateFormat=P","Fill=—","Direction=H","UseDPDF=Y")</f>
        <v>-0.3</v>
      </c>
      <c r="K32" s="13">
        <f>_xll.BDH("ALNY US Equity","ARD_OTHER_INVESTING_ACTIVITIES","FQ4 2020","FQ4 2020","Currency=USD","Period=FQ","BEST_FPERIOD_OVERRIDE=FQ","FILING_STATUS=MR","SCALING_FORMAT=MLN","Sort=A","Dates=H","DateFormat=P","Fill=—","Direction=H","UseDPDF=Y")</f>
        <v>-5.3</v>
      </c>
      <c r="L32" s="13">
        <f>_xll.BDH("ALNY US Equity","ARD_OTHER_INVESTING_ACTIVITIES","FQ1 2021","FQ1 2021","Currency=USD","Period=FQ","BEST_FPERIOD_OVERRIDE=FQ","FILING_STATUS=MR","SCALING_FORMAT=MLN","Sort=A","Dates=H","DateFormat=P","Fill=—","Direction=H","UseDPDF=Y")</f>
        <v>-4.1980000000000004</v>
      </c>
      <c r="M32" s="13">
        <f>_xll.BDH("ALNY US Equity","ARD_OTHER_INVESTING_ACTIVITIES","FQ2 2021","FQ2 2021","Currency=USD","Period=FQ","BEST_FPERIOD_OVERRIDE=FQ","FILING_STATUS=MR","SCALING_FORMAT=MLN","Sort=A","Dates=H","DateFormat=P","Fill=—","Direction=H","UseDPDF=Y")</f>
        <v>-4.1980000000000004</v>
      </c>
      <c r="N32" s="13">
        <f>_xll.BDH("ALNY US Equity","ARD_OTHER_INVESTING_ACTIVITIES","FQ3 2021","FQ3 2021","Currency=USD","Period=FQ","BEST_FPERIOD_OVERRIDE=FQ","FILING_STATUS=MR","SCALING_FORMAT=MLN","Sort=A","Dates=H","DateFormat=P","Fill=—","Direction=H","UseDPDF=Y")</f>
        <v>-4.1980000000000004</v>
      </c>
      <c r="O32" s="13">
        <f>_xll.BDH("ALNY US Equity","ARD_OTHER_INVESTING_ACTIVITIES","FQ4 2021","FQ4 2021","Currency=USD","Period=FQ","BEST_FPERIOD_OVERRIDE=FQ","FILING_STATUS=MR","SCALING_FORMAT=MLN","Sort=A","Dates=H","DateFormat=P","Fill=—","Direction=H","UseDPDF=Y")</f>
        <v>-4.1980000000000004</v>
      </c>
      <c r="P32" s="13">
        <f>_xll.BDH("ALNY US Equity","ARD_OTHER_INVESTING_ACTIVITIES","FQ1 2022","FQ1 2022","Currency=USD","Period=FQ","BEST_FPERIOD_OVERRIDE=FQ","FILING_STATUS=MR","SCALING_FORMAT=MLN","Sort=A","Dates=H","DateFormat=P","Fill=—","Direction=H","UseDPDF=Y")</f>
        <v>-7.4999999999999997E-2</v>
      </c>
      <c r="Q32" s="13">
        <f>_xll.BDH("ALNY US Equity","ARD_OTHER_INVESTING_ACTIVITIES","FQ2 2022","FQ2 2022","Currency=USD","Period=FQ","BEST_FPERIOD_OVERRIDE=FQ","FILING_STATUS=MR","SCALING_FORMAT=MLN","Sort=A","Dates=H","DateFormat=P","Fill=—","Direction=H","UseDPDF=Y")</f>
        <v>-8.5749999999999993</v>
      </c>
      <c r="R32" s="13">
        <f>_xll.BDH("ALNY US Equity","ARD_OTHER_INVESTING_ACTIVITIES","FQ3 2022","FQ3 2022","Currency=USD","Period=FQ","BEST_FPERIOD_OVERRIDE=FQ","FILING_STATUS=MR","SCALING_FORMAT=MLN","Sort=A","Dates=H","DateFormat=P","Fill=—","Direction=H","UseDPDF=Y")</f>
        <v>-5.0750000000000002</v>
      </c>
      <c r="S32" s="13">
        <f>_xll.BDH("ALNY US Equity","ARD_OTHER_INVESTING_ACTIVITIES","FQ4 2022","FQ4 2022","Currency=USD","Period=FQ","BEST_FPERIOD_OVERRIDE=FQ","FILING_STATUS=MR","SCALING_FORMAT=MLN","Sort=A","Dates=H","DateFormat=P","Fill=—","Direction=H","UseDPDF=Y")</f>
        <v>-4.694</v>
      </c>
      <c r="T32" s="13">
        <f>_xll.BDH("ALNY US Equity","ARD_OTHER_INVESTING_ACTIVITIES","FQ1 2023","FQ1 2023","Currency=USD","Period=FQ","BEST_FPERIOD_OVERRIDE=FQ","FILING_STATUS=MR","SCALING_FORMAT=MLN","Sort=A","Dates=H","DateFormat=P","Fill=—","Direction=H","UseDPDF=Y")</f>
        <v>0</v>
      </c>
      <c r="U32" s="13">
        <f>_xll.BDH("ALNY US Equity","ARD_OTHER_INVESTING_ACTIVITIES","FQ2 2023","FQ2 2023","Currency=USD","Period=FQ","BEST_FPERIOD_OVERRIDE=FQ","FILING_STATUS=MR","SCALING_FORMAT=MLN","Sort=A","Dates=H","DateFormat=P","Fill=—","Direction=H","UseDPDF=Y")</f>
        <v>0</v>
      </c>
      <c r="V32" s="13">
        <f>_xll.BDH("ALNY US Equity","ARD_OTHER_INVESTING_ACTIVITIES","FQ3 2023","FQ3 2023","Currency=USD","Period=FQ","BEST_FPERIOD_OVERRIDE=FQ","FILING_STATUS=MR","SCALING_FORMAT=MLN","Sort=A","Dates=H","DateFormat=P","Fill=—","Direction=H","UseDPDF=Y")</f>
        <v>-4.4379999999999997</v>
      </c>
      <c r="W32" s="13">
        <f>_xll.BDH("ALNY US Equity","ARD_OTHER_INVESTING_ACTIVITIES","FQ4 2023","FQ4 2023","Currency=USD","Period=FQ","BEST_FPERIOD_OVERRIDE=FQ","FILING_STATUS=MR","SCALING_FORMAT=MLN","Sort=A","Dates=H","DateFormat=P","Fill=—","Direction=H","UseDPDF=Y")</f>
        <v>-4.4379999999999997</v>
      </c>
      <c r="X32" s="13" t="str">
        <f>_xll.BDH("ALNY US Equity","ARD_OTHER_INVESTING_ACTIVITIES","FQ1 2024","FQ1 2024","Currency=USD","Period=FQ","BEST_FPERIOD_OVERRIDE=FQ","FILING_STATUS=MR","SCALING_FORMAT=MLN","Sort=A","Dates=H","DateFormat=P","Fill=—","Direction=H","UseDPDF=Y")</f>
        <v>—</v>
      </c>
      <c r="Y32" s="13" t="str">
        <f>_xll.BDH("ALNY US Equity","ARD_OTHER_INVESTING_ACTIVITIES","FQ2 2024","FQ2 2024","Currency=USD","Period=FQ","BEST_FPERIOD_OVERRIDE=FQ","FILING_STATUS=MR","SCALING_FORMAT=MLN","Sort=A","Dates=H","DateFormat=P","Fill=—","Direction=H","UseDPDF=Y")</f>
        <v>—</v>
      </c>
      <c r="Z32" s="13">
        <f>_xll.BDH("ALNY US Equity","ARD_OTHER_INVESTING_ACTIVITIES","FQ3 2024","FQ3 2024","Currency=USD","Period=FQ","BEST_FPERIOD_OVERRIDE=FQ","FILING_STATUS=MR","SCALING_FORMAT=MLN","Sort=A","Dates=H","DateFormat=P","Fill=—","Direction=H","UseDPDF=Y")</f>
        <v>0</v>
      </c>
      <c r="AA32" s="13">
        <f>_xll.BDH("ALNY US Equity","ARD_OTHER_INVESTING_ACTIVITIES","FQ4 2024","FQ4 2024","Currency=USD","Period=FQ","BEST_FPERIOD_OVERRIDE=FQ","FILING_STATUS=MR","SCALING_FORMAT=MLN","Sort=A","Dates=H","DateFormat=P","Fill=—","Direction=H","UseDPDF=Y")</f>
        <v>-0.11700000000000001</v>
      </c>
    </row>
    <row r="33" spans="1:27" x14ac:dyDescent="0.25">
      <c r="A33" s="10" t="s">
        <v>1302</v>
      </c>
      <c r="B33" s="10" t="s">
        <v>1303</v>
      </c>
      <c r="C33" s="13">
        <f>_xll.BDH("ALNY US Equity","ARD_PROCEEDS_FROM_ST_MKT_SEC","FQ4 2018","FQ4 2018","Currency=USD","Period=FQ","BEST_FPERIOD_OVERRIDE=FQ","FILING_STATUS=MR","SCALING_FORMAT=MLN","Sort=A","Dates=H","DateFormat=P","Fill=—","Direction=H","UseDPDF=Y")</f>
        <v>1518.703</v>
      </c>
      <c r="D33" s="13">
        <f>_xll.BDH("ALNY US Equity","ARD_PROCEEDS_FROM_ST_MKT_SEC","FQ1 2019","FQ1 2019","Currency=USD","Period=FQ","BEST_FPERIOD_OVERRIDE=FQ","FILING_STATUS=MR","SCALING_FORMAT=MLN","Sort=A","Dates=H","DateFormat=P","Fill=—","Direction=H","UseDPDF=Y")</f>
        <v>403.697</v>
      </c>
      <c r="E33" s="13">
        <f>_xll.BDH("ALNY US Equity","ARD_PROCEEDS_FROM_ST_MKT_SEC","FQ2 2019","FQ2 2019","Currency=USD","Period=FQ","BEST_FPERIOD_OVERRIDE=FQ","FILING_STATUS=MR","SCALING_FORMAT=MLN","Sort=A","Dates=H","DateFormat=P","Fill=—","Direction=H","UseDPDF=Y")</f>
        <v>713.10599999999999</v>
      </c>
      <c r="F33" s="13">
        <f>_xll.BDH("ALNY US Equity","ARD_PROCEEDS_FROM_ST_MKT_SEC","FQ3 2019","FQ3 2019","Currency=USD","Period=FQ","BEST_FPERIOD_OVERRIDE=FQ","FILING_STATUS=MR","SCALING_FORMAT=MLN","Sort=A","Dates=H","DateFormat=P","Fill=—","Direction=H","UseDPDF=Y")</f>
        <v>1320.1559999999999</v>
      </c>
      <c r="G33" s="13">
        <f>_xll.BDH("ALNY US Equity","ARD_PROCEEDS_FROM_ST_MKT_SEC","FQ4 2019","FQ4 2019","Currency=USD","Period=FQ","BEST_FPERIOD_OVERRIDE=FQ","FILING_STATUS=MR","SCALING_FORMAT=MLN","Sort=A","Dates=H","DateFormat=P","Fill=—","Direction=H","UseDPDF=Y")</f>
        <v>1775.404</v>
      </c>
      <c r="H33" s="13">
        <f>_xll.BDH("ALNY US Equity","ARD_PROCEEDS_FROM_ST_MKT_SEC","FQ1 2020","FQ1 2020","Currency=USD","Period=FQ","BEST_FPERIOD_OVERRIDE=FQ","FILING_STATUS=MR","SCALING_FORMAT=MLN","Sort=A","Dates=H","DateFormat=P","Fill=—","Direction=H","UseDPDF=Y")</f>
        <v>539.61400000000003</v>
      </c>
      <c r="I33" s="13">
        <f>_xll.BDH("ALNY US Equity","ARD_PROCEEDS_FROM_ST_MKT_SEC","FQ2 2020","FQ2 2020","Currency=USD","Period=FQ","BEST_FPERIOD_OVERRIDE=FQ","FILING_STATUS=MR","SCALING_FORMAT=MLN","Sort=A","Dates=H","DateFormat=P","Fill=—","Direction=H","UseDPDF=Y")</f>
        <v>859.35400000000004</v>
      </c>
      <c r="J33" s="13">
        <f>_xll.BDH("ALNY US Equity","ARD_PROCEEDS_FROM_ST_MKT_SEC","FQ3 2020","FQ3 2020","Currency=USD","Period=FQ","BEST_FPERIOD_OVERRIDE=FQ","FILING_STATUS=MR","SCALING_FORMAT=MLN","Sort=A","Dates=H","DateFormat=P","Fill=—","Direction=H","UseDPDF=Y")</f>
        <v>1190.7139999999999</v>
      </c>
      <c r="K33" s="13">
        <f>_xll.BDH("ALNY US Equity","ARD_PROCEEDS_FROM_ST_MKT_SEC","FQ4 2020","FQ4 2020","Currency=USD","Period=FQ","BEST_FPERIOD_OVERRIDE=FQ","FILING_STATUS=MR","SCALING_FORMAT=MLN","Sort=A","Dates=H","DateFormat=P","Fill=—","Direction=H","UseDPDF=Y")</f>
        <v>1691.6690000000001</v>
      </c>
      <c r="L33" s="13">
        <f>_xll.BDH("ALNY US Equity","ARD_PROCEEDS_FROM_ST_MKT_SEC","FQ1 2021","FQ1 2021","Currency=USD","Period=FQ","BEST_FPERIOD_OVERRIDE=FQ","FILING_STATUS=MR","SCALING_FORMAT=MLN","Sort=A","Dates=H","DateFormat=P","Fill=—","Direction=H","UseDPDF=Y")</f>
        <v>438.68200000000002</v>
      </c>
      <c r="M33" s="13">
        <f>_xll.BDH("ALNY US Equity","ARD_PROCEEDS_FROM_ST_MKT_SEC","FQ2 2021","FQ2 2021","Currency=USD","Period=FQ","BEST_FPERIOD_OVERRIDE=FQ","FILING_STATUS=MR","SCALING_FORMAT=MLN","Sort=A","Dates=H","DateFormat=P","Fill=—","Direction=H","UseDPDF=Y")</f>
        <v>775.97799999999995</v>
      </c>
      <c r="N33" s="13">
        <f>_xll.BDH("ALNY US Equity","ARD_PROCEEDS_FROM_ST_MKT_SEC","FQ3 2021","FQ3 2021","Currency=USD","Period=FQ","BEST_FPERIOD_OVERRIDE=FQ","FILING_STATUS=MR","SCALING_FORMAT=MLN","Sort=A","Dates=H","DateFormat=P","Fill=—","Direction=H","UseDPDF=Y")</f>
        <v>1172.0999999999999</v>
      </c>
      <c r="O33" s="13">
        <f>_xll.BDH("ALNY US Equity","ARD_PROCEEDS_FROM_ST_MKT_SEC","FQ4 2021","FQ4 2021","Currency=USD","Period=FQ","BEST_FPERIOD_OVERRIDE=FQ","FILING_STATUS=MR","SCALING_FORMAT=MLN","Sort=A","Dates=H","DateFormat=P","Fill=—","Direction=H","UseDPDF=Y")</f>
        <v>1463.55</v>
      </c>
      <c r="P33" s="13">
        <f>_xll.BDH("ALNY US Equity","ARD_PROCEEDS_FROM_ST_MKT_SEC","FQ1 2022","FQ1 2022","Currency=USD","Period=FQ","BEST_FPERIOD_OVERRIDE=FQ","FILING_STATUS=MR","SCALING_FORMAT=MLN","Sort=A","Dates=H","DateFormat=P","Fill=—","Direction=H","UseDPDF=Y")</f>
        <v>505.22</v>
      </c>
      <c r="Q33" s="13">
        <f>_xll.BDH("ALNY US Equity","ARD_PROCEEDS_FROM_ST_MKT_SEC","FQ2 2022","FQ2 2022","Currency=USD","Period=FQ","BEST_FPERIOD_OVERRIDE=FQ","FILING_STATUS=MR","SCALING_FORMAT=MLN","Sort=A","Dates=H","DateFormat=P","Fill=—","Direction=H","UseDPDF=Y")</f>
        <v>1134.1379999999999</v>
      </c>
      <c r="R33" s="13">
        <f>_xll.BDH("ALNY US Equity","ARD_PROCEEDS_FROM_ST_MKT_SEC","FQ3 2022","FQ3 2022","Currency=USD","Period=FQ","BEST_FPERIOD_OVERRIDE=FQ","FILING_STATUS=MR","SCALING_FORMAT=MLN","Sort=A","Dates=H","DateFormat=P","Fill=—","Direction=H","UseDPDF=Y")</f>
        <v>1626.848</v>
      </c>
      <c r="S33" s="13">
        <f>_xll.BDH("ALNY US Equity","ARD_PROCEEDS_FROM_ST_MKT_SEC","FQ4 2022","FQ4 2022","Currency=USD","Period=FQ","BEST_FPERIOD_OVERRIDE=FQ","FILING_STATUS=MR","SCALING_FORMAT=MLN","Sort=A","Dates=H","DateFormat=P","Fill=—","Direction=H","UseDPDF=Y")</f>
        <v>2231.5680000000002</v>
      </c>
      <c r="T33" s="13">
        <f>_xll.BDH("ALNY US Equity","ARD_PROCEEDS_FROM_ST_MKT_SEC","FQ1 2023","FQ1 2023","Currency=USD","Period=FQ","BEST_FPERIOD_OVERRIDE=FQ","FILING_STATUS=MR","SCALING_FORMAT=MLN","Sort=A","Dates=H","DateFormat=P","Fill=—","Direction=H","UseDPDF=Y")</f>
        <v>373.42</v>
      </c>
      <c r="U33" s="13">
        <f>_xll.BDH("ALNY US Equity","ARD_PROCEEDS_FROM_ST_MKT_SEC","FQ2 2023","FQ2 2023","Currency=USD","Period=FQ","BEST_FPERIOD_OVERRIDE=FQ","FILING_STATUS=MR","SCALING_FORMAT=MLN","Sort=A","Dates=H","DateFormat=P","Fill=—","Direction=H","UseDPDF=Y")</f>
        <v>757.76700000000005</v>
      </c>
      <c r="V33" s="13">
        <f>_xll.BDH("ALNY US Equity","ARD_PROCEEDS_FROM_ST_MKT_SEC","FQ3 2023","FQ3 2023","Currency=USD","Period=FQ","BEST_FPERIOD_OVERRIDE=FQ","FILING_STATUS=MR","SCALING_FORMAT=MLN","Sort=A","Dates=H","DateFormat=P","Fill=—","Direction=H","UseDPDF=Y")</f>
        <v>1189.99</v>
      </c>
      <c r="W33" s="13">
        <f>_xll.BDH("ALNY US Equity","ARD_PROCEEDS_FROM_ST_MKT_SEC","FQ4 2023","FQ4 2023","Currency=USD","Period=FQ","BEST_FPERIOD_OVERRIDE=FQ","FILING_STATUS=MR","SCALING_FORMAT=MLN","Sort=A","Dates=H","DateFormat=P","Fill=—","Direction=H","UseDPDF=Y")</f>
        <v>1553.8</v>
      </c>
      <c r="X33" s="13">
        <f>_xll.BDH("ALNY US Equity","ARD_PROCEEDS_FROM_ST_MKT_SEC","FQ1 2024","FQ1 2024","Currency=USD","Period=FQ","BEST_FPERIOD_OVERRIDE=FQ","FILING_STATUS=MR","SCALING_FORMAT=MLN","Sort=A","Dates=H","DateFormat=P","Fill=—","Direction=H","UseDPDF=Y")</f>
        <v>365.46800000000002</v>
      </c>
      <c r="Y33" s="13">
        <f>_xll.BDH("ALNY US Equity","ARD_PROCEEDS_FROM_ST_MKT_SEC","FQ2 2024","FQ2 2024","Currency=USD","Period=FQ","BEST_FPERIOD_OVERRIDE=FQ","FILING_STATUS=MR","SCALING_FORMAT=MLN","Sort=A","Dates=H","DateFormat=P","Fill=—","Direction=H","UseDPDF=Y")</f>
        <v>705.13699999999994</v>
      </c>
      <c r="Z33" s="13">
        <f>_xll.BDH("ALNY US Equity","ARD_PROCEEDS_FROM_ST_MKT_SEC","FQ3 2024","FQ3 2024","Currency=USD","Period=FQ","BEST_FPERIOD_OVERRIDE=FQ","FILING_STATUS=MR","SCALING_FORMAT=MLN","Sort=A","Dates=H","DateFormat=P","Fill=—","Direction=H","UseDPDF=Y")</f>
        <v>1128.6559999999999</v>
      </c>
      <c r="AA33" s="13">
        <f>_xll.BDH("ALNY US Equity","ARD_PROCEEDS_FROM_ST_MKT_SEC","FQ4 2024","FQ4 2024","Currency=USD","Period=FQ","BEST_FPERIOD_OVERRIDE=FQ","FILING_STATUS=MR","SCALING_FORMAT=MLN","Sort=A","Dates=H","DateFormat=P","Fill=—","Direction=H","UseDPDF=Y")</f>
        <v>1571.665</v>
      </c>
    </row>
    <row r="34" spans="1:27" x14ac:dyDescent="0.25">
      <c r="A34" s="10" t="s">
        <v>1304</v>
      </c>
      <c r="B34" s="10" t="s">
        <v>1305</v>
      </c>
      <c r="C34" s="13">
        <f>_xll.BDH("ALNY US Equity","ARD_PURCHASES_OF_ST_MKT_SEC","FQ4 2018","FQ4 2018","Currency=USD","Period=FQ","BEST_FPERIOD_OVERRIDE=FQ","FILING_STATUS=MR","SCALING_FORMAT=MLN","Sort=A","Dates=H","DateFormat=P","Fill=—","Direction=H","UseDPDF=Y")</f>
        <v>-1104.046</v>
      </c>
      <c r="D34" s="13">
        <f>_xll.BDH("ALNY US Equity","ARD_PURCHASES_OF_ST_MKT_SEC","FQ1 2019","FQ1 2019","Currency=USD","Period=FQ","BEST_FPERIOD_OVERRIDE=FQ","FILING_STATUS=MR","SCALING_FORMAT=MLN","Sort=A","Dates=H","DateFormat=P","Fill=—","Direction=H","UseDPDF=Y")</f>
        <v>-256.99599999999998</v>
      </c>
      <c r="E34" s="13">
        <f>_xll.BDH("ALNY US Equity","ARD_PURCHASES_OF_ST_MKT_SEC","FQ2 2019","FQ2 2019","Currency=USD","Period=FQ","BEST_FPERIOD_OVERRIDE=FQ","FILING_STATUS=MR","SCALING_FORMAT=MLN","Sort=A","Dates=H","DateFormat=P","Fill=—","Direction=H","UseDPDF=Y")</f>
        <v>-834.56299999999999</v>
      </c>
      <c r="F34" s="13">
        <f>_xll.BDH("ALNY US Equity","ARD_PURCHASES_OF_ST_MKT_SEC","FQ3 2019","FQ3 2019","Currency=USD","Period=FQ","BEST_FPERIOD_OVERRIDE=FQ","FILING_STATUS=MR","SCALING_FORMAT=MLN","Sort=A","Dates=H","DateFormat=P","Fill=—","Direction=H","UseDPDF=Y")</f>
        <v>-1445.6320000000001</v>
      </c>
      <c r="G34" s="13">
        <f>_xll.BDH("ALNY US Equity","ARD_PURCHASES_OF_ST_MKT_SEC","FQ4 2019","FQ4 2019","Currency=USD","Period=FQ","BEST_FPERIOD_OVERRIDE=FQ","FILING_STATUS=MR","SCALING_FORMAT=MLN","Sort=A","Dates=H","DateFormat=P","Fill=—","Direction=H","UseDPDF=Y")</f>
        <v>-2075.9250000000002</v>
      </c>
      <c r="H34" s="13">
        <f>_xll.BDH("ALNY US Equity","ARD_PURCHASES_OF_ST_MKT_SEC","FQ1 2020","FQ1 2020","Currency=USD","Period=FQ","BEST_FPERIOD_OVERRIDE=FQ","FILING_STATUS=MR","SCALING_FORMAT=MLN","Sort=A","Dates=H","DateFormat=P","Fill=—","Direction=H","UseDPDF=Y")</f>
        <v>-396.40899999999999</v>
      </c>
      <c r="I34" s="13">
        <f>_xll.BDH("ALNY US Equity","ARD_PURCHASES_OF_ST_MKT_SEC","FQ2 2020","FQ2 2020","Currency=USD","Period=FQ","BEST_FPERIOD_OVERRIDE=FQ","FILING_STATUS=MR","SCALING_FORMAT=MLN","Sort=A","Dates=H","DateFormat=P","Fill=—","Direction=H","UseDPDF=Y")</f>
        <v>-1140.421</v>
      </c>
      <c r="J34" s="13">
        <f>_xll.BDH("ALNY US Equity","ARD_PURCHASES_OF_ST_MKT_SEC","FQ3 2020","FQ3 2020","Currency=USD","Period=FQ","BEST_FPERIOD_OVERRIDE=FQ","FILING_STATUS=MR","SCALING_FORMAT=MLN","Sort=A","Dates=H","DateFormat=P","Fill=—","Direction=H","UseDPDF=Y")</f>
        <v>-1469.451</v>
      </c>
      <c r="K34" s="13">
        <f>_xll.BDH("ALNY US Equity","ARD_PURCHASES_OF_ST_MKT_SEC","FQ4 2020","FQ4 2020","Currency=USD","Period=FQ","BEST_FPERIOD_OVERRIDE=FQ","FILING_STATUS=MR","SCALING_FORMAT=MLN","Sort=A","Dates=H","DateFormat=P","Fill=—","Direction=H","UseDPDF=Y")</f>
        <v>-2025.626</v>
      </c>
      <c r="L34" s="13">
        <f>_xll.BDH("ALNY US Equity","ARD_PURCHASES_OF_ST_MKT_SEC","FQ1 2021","FQ1 2021","Currency=USD","Period=FQ","BEST_FPERIOD_OVERRIDE=FQ","FILING_STATUS=MR","SCALING_FORMAT=MLN","Sort=A","Dates=H","DateFormat=P","Fill=—","Direction=H","UseDPDF=Y")</f>
        <v>-345.95400000000001</v>
      </c>
      <c r="M34" s="13">
        <f>_xll.BDH("ALNY US Equity","ARD_PURCHASES_OF_ST_MKT_SEC","FQ2 2021","FQ2 2021","Currency=USD","Period=FQ","BEST_FPERIOD_OVERRIDE=FQ","FILING_STATUS=MR","SCALING_FORMAT=MLN","Sort=A","Dates=H","DateFormat=P","Fill=—","Direction=H","UseDPDF=Y")</f>
        <v>-514.81500000000005</v>
      </c>
      <c r="N34" s="13">
        <f>_xll.BDH("ALNY US Equity","ARD_PURCHASES_OF_ST_MKT_SEC","FQ3 2021","FQ3 2021","Currency=USD","Period=FQ","BEST_FPERIOD_OVERRIDE=FQ","FILING_STATUS=MR","SCALING_FORMAT=MLN","Sort=A","Dates=H","DateFormat=P","Fill=—","Direction=H","UseDPDF=Y")</f>
        <v>-973.14599999999996</v>
      </c>
      <c r="O34" s="13">
        <f>_xll.BDH("ALNY US Equity","ARD_PURCHASES_OF_ST_MKT_SEC","FQ4 2021","FQ4 2021","Currency=USD","Period=FQ","BEST_FPERIOD_OVERRIDE=FQ","FILING_STATUS=MR","SCALING_FORMAT=MLN","Sort=A","Dates=H","DateFormat=P","Fill=—","Direction=H","UseDPDF=Y")</f>
        <v>-1656.114</v>
      </c>
      <c r="P34" s="13">
        <f>_xll.BDH("ALNY US Equity","ARD_PURCHASES_OF_ST_MKT_SEC","FQ1 2022","FQ1 2022","Currency=USD","Period=FQ","BEST_FPERIOD_OVERRIDE=FQ","FILING_STATUS=MR","SCALING_FORMAT=MLN","Sort=A","Dates=H","DateFormat=P","Fill=—","Direction=H","UseDPDF=Y")</f>
        <v>-634.70500000000004</v>
      </c>
      <c r="Q34" s="13">
        <f>_xll.BDH("ALNY US Equity","ARD_PURCHASES_OF_ST_MKT_SEC","FQ2 2022","FQ2 2022","Currency=USD","Period=FQ","BEST_FPERIOD_OVERRIDE=FQ","FILING_STATUS=MR","SCALING_FORMAT=MLN","Sort=A","Dates=H","DateFormat=P","Fill=—","Direction=H","UseDPDF=Y")</f>
        <v>-1096.2750000000001</v>
      </c>
      <c r="R34" s="13">
        <f>_xll.BDH("ALNY US Equity","ARD_PURCHASES_OF_ST_MKT_SEC","FQ3 2022","FQ3 2022","Currency=USD","Period=FQ","BEST_FPERIOD_OVERRIDE=FQ","FILING_STATUS=MR","SCALING_FORMAT=MLN","Sort=A","Dates=H","DateFormat=P","Fill=—","Direction=H","UseDPDF=Y")</f>
        <v>-1253.5840000000001</v>
      </c>
      <c r="S34" s="13">
        <f>_xll.BDH("ALNY US Equity","ARD_PURCHASES_OF_ST_MKT_SEC","FQ4 2022","FQ4 2022","Currency=USD","Period=FQ","BEST_FPERIOD_OVERRIDE=FQ","FILING_STATUS=MR","SCALING_FORMAT=MLN","Sort=A","Dates=H","DateFormat=P","Fill=—","Direction=H","UseDPDF=Y")</f>
        <v>-1976.961</v>
      </c>
      <c r="T34" s="13">
        <f>_xll.BDH("ALNY US Equity","ARD_PURCHASES_OF_ST_MKT_SEC","FQ1 2023","FQ1 2023","Currency=USD","Period=FQ","BEST_FPERIOD_OVERRIDE=FQ","FILING_STATUS=MR","SCALING_FORMAT=MLN","Sort=A","Dates=H","DateFormat=P","Fill=—","Direction=H","UseDPDF=Y")</f>
        <v>-435.74599999999998</v>
      </c>
      <c r="U34" s="13">
        <f>_xll.BDH("ALNY US Equity","ARD_PURCHASES_OF_ST_MKT_SEC","FQ2 2023","FQ2 2023","Currency=USD","Period=FQ","BEST_FPERIOD_OVERRIDE=FQ","FILING_STATUS=MR","SCALING_FORMAT=MLN","Sort=A","Dates=H","DateFormat=P","Fill=—","Direction=H","UseDPDF=Y")</f>
        <v>-812.88699999999994</v>
      </c>
      <c r="V34" s="13">
        <f>_xll.BDH("ALNY US Equity","ARD_PURCHASES_OF_ST_MKT_SEC","FQ3 2023","FQ3 2023","Currency=USD","Period=FQ","BEST_FPERIOD_OVERRIDE=FQ","FILING_STATUS=MR","SCALING_FORMAT=MLN","Sort=A","Dates=H","DateFormat=P","Fill=—","Direction=H","UseDPDF=Y")</f>
        <v>-1234.3440000000001</v>
      </c>
      <c r="W34" s="13">
        <f>_xll.BDH("ALNY US Equity","ARD_PURCHASES_OF_ST_MKT_SEC","FQ4 2023","FQ4 2023","Currency=USD","Period=FQ","BEST_FPERIOD_OVERRIDE=FQ","FILING_STATUS=MR","SCALING_FORMAT=MLN","Sort=A","Dates=H","DateFormat=P","Fill=—","Direction=H","UseDPDF=Y")</f>
        <v>-1823.501</v>
      </c>
      <c r="X34" s="13">
        <f>_xll.BDH("ALNY US Equity","ARD_PURCHASES_OF_ST_MKT_SEC","FQ1 2024","FQ1 2024","Currency=USD","Period=FQ","BEST_FPERIOD_OVERRIDE=FQ","FILING_STATUS=MR","SCALING_FORMAT=MLN","Sort=A","Dates=H","DateFormat=P","Fill=—","Direction=H","UseDPDF=Y")</f>
        <v>-420.11500000000001</v>
      </c>
      <c r="Y34" s="13">
        <f>_xll.BDH("ALNY US Equity","ARD_PURCHASES_OF_ST_MKT_SEC","FQ2 2024","FQ2 2024","Currency=USD","Period=FQ","BEST_FPERIOD_OVERRIDE=FQ","FILING_STATUS=MR","SCALING_FORMAT=MLN","Sort=A","Dates=H","DateFormat=P","Fill=—","Direction=H","UseDPDF=Y")</f>
        <v>-717.82600000000002</v>
      </c>
      <c r="Z34" s="13">
        <f>_xll.BDH("ALNY US Equity","ARD_PURCHASES_OF_ST_MKT_SEC","FQ3 2024","FQ3 2024","Currency=USD","Period=FQ","BEST_FPERIOD_OVERRIDE=FQ","FILING_STATUS=MR","SCALING_FORMAT=MLN","Sort=A","Dates=H","DateFormat=P","Fill=—","Direction=H","UseDPDF=Y")</f>
        <v>-1148.203</v>
      </c>
      <c r="AA34" s="13">
        <f>_xll.BDH("ALNY US Equity","ARD_PURCHASES_OF_ST_MKT_SEC","FQ4 2024","FQ4 2024","Currency=USD","Period=FQ","BEST_FPERIOD_OVERRIDE=FQ","FILING_STATUS=MR","SCALING_FORMAT=MLN","Sort=A","Dates=H","DateFormat=P","Fill=—","Direction=H","UseDPDF=Y")</f>
        <v>-1634.9110000000001</v>
      </c>
    </row>
    <row r="35" spans="1:27" x14ac:dyDescent="0.25">
      <c r="A35" s="6" t="s">
        <v>1306</v>
      </c>
      <c r="B35" s="6" t="s">
        <v>1307</v>
      </c>
      <c r="C35" s="19">
        <f>_xll.BDH("ALNY US Equity","ARD_TOT_CASHFLOWS_FROM_INVESTING","FQ4 2018","FQ4 2018","Currency=USD","Period=FQ","BEST_FPERIOD_OVERRIDE=FQ","FILING_STATUS=MR","SCALING_FORMAT=MLN","Sort=A","Dates=H","DateFormat=P","Fill=—","Direction=H","UseDPDF=Y")</f>
        <v>272.94499999999999</v>
      </c>
      <c r="D35" s="19">
        <f>_xll.BDH("ALNY US Equity","ARD_TOT_CASHFLOWS_FROM_INVESTING","FQ1 2019","FQ1 2019","Currency=USD","Period=FQ","BEST_FPERIOD_OVERRIDE=FQ","FILING_STATUS=MR","SCALING_FORMAT=MLN","Sort=A","Dates=H","DateFormat=P","Fill=—","Direction=H","UseDPDF=Y")</f>
        <v>102.652</v>
      </c>
      <c r="E35" s="19">
        <f>_xll.BDH("ALNY US Equity","ARD_TOT_CASHFLOWS_FROM_INVESTING","FQ2 2019","FQ2 2019","Currency=USD","Period=FQ","BEST_FPERIOD_OVERRIDE=FQ","FILING_STATUS=MR","SCALING_FORMAT=MLN","Sort=A","Dates=H","DateFormat=P","Fill=—","Direction=H","UseDPDF=Y")</f>
        <v>-186.75</v>
      </c>
      <c r="F35" s="19">
        <f>_xll.BDH("ALNY US Equity","ARD_TOT_CASHFLOWS_FROM_INVESTING","FQ3 2019","FQ3 2019","Currency=USD","Period=FQ","BEST_FPERIOD_OVERRIDE=FQ","FILING_STATUS=MR","SCALING_FORMAT=MLN","Sort=A","Dates=H","DateFormat=P","Fill=—","Direction=H","UseDPDF=Y")</f>
        <v>-196.827</v>
      </c>
      <c r="G35" s="19">
        <f>_xll.BDH("ALNY US Equity","ARD_TOT_CASHFLOWS_FROM_INVESTING","FQ4 2019","FQ4 2019","Currency=USD","Period=FQ","BEST_FPERIOD_OVERRIDE=FQ","FILING_STATUS=MR","SCALING_FORMAT=MLN","Sort=A","Dates=H","DateFormat=P","Fill=—","Direction=H","UseDPDF=Y")</f>
        <v>-417.67700000000002</v>
      </c>
      <c r="H35" s="19">
        <f>_xll.BDH("ALNY US Equity","ARD_TOT_CASHFLOWS_FROM_INVESTING","FQ1 2020","FQ1 2020","Currency=USD","Period=FQ","BEST_FPERIOD_OVERRIDE=FQ","FILING_STATUS=MR","SCALING_FORMAT=MLN","Sort=A","Dates=H","DateFormat=P","Fill=—","Direction=H","UseDPDF=Y")</f>
        <v>113.688</v>
      </c>
      <c r="I35" s="19">
        <f>_xll.BDH("ALNY US Equity","ARD_TOT_CASHFLOWS_FROM_INVESTING","FQ2 2020","FQ2 2020","Currency=USD","Period=FQ","BEST_FPERIOD_OVERRIDE=FQ","FILING_STATUS=MR","SCALING_FORMAT=MLN","Sort=A","Dates=H","DateFormat=P","Fill=—","Direction=H","UseDPDF=Y")</f>
        <v>-327.54199999999997</v>
      </c>
      <c r="J35" s="19">
        <f>_xll.BDH("ALNY US Equity","ARD_TOT_CASHFLOWS_FROM_INVESTING","FQ3 2020","FQ3 2020","Currency=USD","Period=FQ","BEST_FPERIOD_OVERRIDE=FQ","FILING_STATUS=MR","SCALING_FORMAT=MLN","Sort=A","Dates=H","DateFormat=P","Fill=—","Direction=H","UseDPDF=Y")</f>
        <v>-337.63</v>
      </c>
      <c r="K35" s="19">
        <f>_xll.BDH("ALNY US Equity","ARD_TOT_CASHFLOWS_FROM_INVESTING","FQ4 2020","FQ4 2020","Currency=USD","Period=FQ","BEST_FPERIOD_OVERRIDE=FQ","FILING_STATUS=MR","SCALING_FORMAT=MLN","Sort=A","Dates=H","DateFormat=P","Fill=—","Direction=H","UseDPDF=Y")</f>
        <v>-435.51799999999997</v>
      </c>
      <c r="L35" s="19">
        <f>_xll.BDH("ALNY US Equity","ARD_TOT_CASHFLOWS_FROM_INVESTING","FQ1 2021","FQ1 2021","Currency=USD","Period=FQ","BEST_FPERIOD_OVERRIDE=FQ","FILING_STATUS=MR","SCALING_FORMAT=MLN","Sort=A","Dates=H","DateFormat=P","Fill=—","Direction=H","UseDPDF=Y")</f>
        <v>71.352000000000004</v>
      </c>
      <c r="M35" s="19">
        <f>_xll.BDH("ALNY US Equity","ARD_TOT_CASHFLOWS_FROM_INVESTING","FQ2 2021","FQ2 2021","Currency=USD","Period=FQ","BEST_FPERIOD_OVERRIDE=FQ","FILING_STATUS=MR","SCALING_FORMAT=MLN","Sort=A","Dates=H","DateFormat=P","Fill=—","Direction=H","UseDPDF=Y")</f>
        <v>228.376</v>
      </c>
      <c r="N35" s="19">
        <f>_xll.BDH("ALNY US Equity","ARD_TOT_CASHFLOWS_FROM_INVESTING","FQ3 2021","FQ3 2021","Currency=USD","Period=FQ","BEST_FPERIOD_OVERRIDE=FQ","FILING_STATUS=MR","SCALING_FORMAT=MLN","Sort=A","Dates=H","DateFormat=P","Fill=—","Direction=H","UseDPDF=Y")</f>
        <v>140.10499999999999</v>
      </c>
      <c r="O35" s="19">
        <f>_xll.BDH("ALNY US Equity","ARD_TOT_CASHFLOWS_FROM_INVESTING","FQ4 2021","FQ4 2021","Currency=USD","Period=FQ","BEST_FPERIOD_OVERRIDE=FQ","FILING_STATUS=MR","SCALING_FORMAT=MLN","Sort=A","Dates=H","DateFormat=P","Fill=—","Direction=H","UseDPDF=Y")</f>
        <v>-273.3</v>
      </c>
      <c r="P35" s="19">
        <f>_xll.BDH("ALNY US Equity","ARD_TOT_CASHFLOWS_FROM_INVESTING","FQ1 2022","FQ1 2022","Currency=USD","Period=FQ","BEST_FPERIOD_OVERRIDE=FQ","FILING_STATUS=MR","SCALING_FORMAT=MLN","Sort=A","Dates=H","DateFormat=P","Fill=—","Direction=H","UseDPDF=Y")</f>
        <v>-147.41900000000001</v>
      </c>
      <c r="Q35" s="19">
        <f>_xll.BDH("ALNY US Equity","ARD_TOT_CASHFLOWS_FROM_INVESTING","FQ2 2022","FQ2 2022","Currency=USD","Period=FQ","BEST_FPERIOD_OVERRIDE=FQ","FILING_STATUS=MR","SCALING_FORMAT=MLN","Sort=A","Dates=H","DateFormat=P","Fill=—","Direction=H","UseDPDF=Y")</f>
        <v>-4.6260000000000003</v>
      </c>
      <c r="R35" s="19">
        <f>_xll.BDH("ALNY US Equity","ARD_TOT_CASHFLOWS_FROM_INVESTING","FQ3 2022","FQ3 2022","Currency=USD","Period=FQ","BEST_FPERIOD_OVERRIDE=FQ","FILING_STATUS=MR","SCALING_FORMAT=MLN","Sort=A","Dates=H","DateFormat=P","Fill=—","Direction=H","UseDPDF=Y")</f>
        <v>309.26499999999999</v>
      </c>
      <c r="S35" s="19">
        <f>_xll.BDH("ALNY US Equity","ARD_TOT_CASHFLOWS_FROM_INVESTING","FQ4 2022","FQ4 2022","Currency=USD","Period=FQ","BEST_FPERIOD_OVERRIDE=FQ","FILING_STATUS=MR","SCALING_FORMAT=MLN","Sort=A","Dates=H","DateFormat=P","Fill=—","Direction=H","UseDPDF=Y")</f>
        <v>169.35400000000001</v>
      </c>
      <c r="T35" s="19">
        <f>_xll.BDH("ALNY US Equity","ARD_TOT_CASHFLOWS_FROM_INVESTING","FQ1 2023","FQ1 2023","Currency=USD","Period=FQ","BEST_FPERIOD_OVERRIDE=FQ","FILING_STATUS=MR","SCALING_FORMAT=MLN","Sort=A","Dates=H","DateFormat=P","Fill=—","Direction=H","UseDPDF=Y")</f>
        <v>-76.216999999999999</v>
      </c>
      <c r="U35" s="19">
        <f>_xll.BDH("ALNY US Equity","ARD_TOT_CASHFLOWS_FROM_INVESTING","FQ2 2023","FQ2 2023","Currency=USD","Period=FQ","BEST_FPERIOD_OVERRIDE=FQ","FILING_STATUS=MR","SCALING_FORMAT=MLN","Sort=A","Dates=H","DateFormat=P","Fill=—","Direction=H","UseDPDF=Y")</f>
        <v>-84.93</v>
      </c>
      <c r="V35" s="19">
        <f>_xll.BDH("ALNY US Equity","ARD_TOT_CASHFLOWS_FROM_INVESTING","FQ3 2023","FQ3 2023","Currency=USD","Period=FQ","BEST_FPERIOD_OVERRIDE=FQ","FILING_STATUS=MR","SCALING_FORMAT=MLN","Sort=A","Dates=H","DateFormat=P","Fill=—","Direction=H","UseDPDF=Y")</f>
        <v>-95.694000000000003</v>
      </c>
      <c r="W35" s="19">
        <f>_xll.BDH("ALNY US Equity","ARD_TOT_CASHFLOWS_FROM_INVESTING","FQ4 2023","FQ4 2023","Currency=USD","Period=FQ","BEST_FPERIOD_OVERRIDE=FQ","FILING_STATUS=MR","SCALING_FORMAT=MLN","Sort=A","Dates=H","DateFormat=P","Fill=—","Direction=H","UseDPDF=Y")</f>
        <v>-336.35</v>
      </c>
      <c r="X35" s="19">
        <f>_xll.BDH("ALNY US Equity","ARD_TOT_CASHFLOWS_FROM_INVESTING","FQ1 2024","FQ1 2024","Currency=USD","Period=FQ","BEST_FPERIOD_OVERRIDE=FQ","FILING_STATUS=MR","SCALING_FORMAT=MLN","Sort=A","Dates=H","DateFormat=P","Fill=—","Direction=H","UseDPDF=Y")</f>
        <v>-67.62</v>
      </c>
      <c r="Y35" s="19">
        <f>_xll.BDH("ALNY US Equity","ARD_TOT_CASHFLOWS_FROM_INVESTING","FQ2 2024","FQ2 2024","Currency=USD","Period=FQ","BEST_FPERIOD_OVERRIDE=FQ","FILING_STATUS=MR","SCALING_FORMAT=MLN","Sort=A","Dates=H","DateFormat=P","Fill=—","Direction=H","UseDPDF=Y")</f>
        <v>-33.68</v>
      </c>
      <c r="Z35" s="19">
        <f>_xll.BDH("ALNY US Equity","ARD_TOT_CASHFLOWS_FROM_INVESTING","FQ3 2024","FQ3 2024","Currency=USD","Period=FQ","BEST_FPERIOD_OVERRIDE=FQ","FILING_STATUS=MR","SCALING_FORMAT=MLN","Sort=A","Dates=H","DateFormat=P","Fill=—","Direction=H","UseDPDF=Y")</f>
        <v>-63.93</v>
      </c>
      <c r="AA35" s="19">
        <f>_xll.BDH("ALNY US Equity","ARD_TOT_CASHFLOWS_FROM_INVESTING","FQ4 2024","FQ4 2024","Currency=USD","Period=FQ","BEST_FPERIOD_OVERRIDE=FQ","FILING_STATUS=MR","SCALING_FORMAT=MLN","Sort=A","Dates=H","DateFormat=P","Fill=—","Direction=H","UseDPDF=Y")</f>
        <v>-116.84</v>
      </c>
    </row>
    <row r="36" spans="1:27" x14ac:dyDescent="0.25">
      <c r="A36" s="10" t="s">
        <v>1308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0" t="s">
        <v>1309</v>
      </c>
      <c r="B37" s="10" t="s">
        <v>1310</v>
      </c>
      <c r="C37" s="13">
        <f>_xll.BDH("ALNY US Equity","ARD_INCR_IN_LT_BORROW","FQ4 2018","FQ4 2018","Currency=USD","Period=FQ","BEST_FPERIOD_OVERRIDE=FQ","FILING_STATUS=MR","SCALING_FORMAT=MLN","Sort=A","Dates=H","DateFormat=P","Fill=—","Direction=H","UseDPDF=Y")</f>
        <v>0</v>
      </c>
      <c r="D37" s="13" t="str">
        <f>_xll.BDH("ALNY US Equity","ARD_INCR_IN_LT_BORROW","FQ1 2019","FQ1 2019","Currency=USD","Period=FQ","BEST_FPERIOD_OVERRIDE=FQ","FILING_STATUS=MR","SCALING_FORMAT=MLN","Sort=A","Dates=H","DateFormat=P","Fill=—","Direction=H","UseDPDF=Y")</f>
        <v>—</v>
      </c>
      <c r="E37" s="13" t="str">
        <f>_xll.BDH("ALNY US Equity","ARD_INCR_IN_LT_BORROW","FQ2 2019","FQ2 2019","Currency=USD","Period=FQ","BEST_FPERIOD_OVERRIDE=FQ","FILING_STATUS=MR","SCALING_FORMAT=MLN","Sort=A","Dates=H","DateFormat=P","Fill=—","Direction=H","UseDPDF=Y")</f>
        <v>—</v>
      </c>
      <c r="F37" s="13" t="str">
        <f>_xll.BDH("ALNY US Equity","ARD_INCR_IN_LT_BORROW","FQ3 2019","FQ3 2019","Currency=USD","Period=FQ","BEST_FPERIOD_OVERRIDE=FQ","FILING_STATUS=MR","SCALING_FORMAT=MLN","Sort=A","Dates=H","DateFormat=P","Fill=—","Direction=H","UseDPDF=Y")</f>
        <v>—</v>
      </c>
      <c r="G37" s="13" t="str">
        <f>_xll.BDH("ALNY US Equity","ARD_INCR_IN_LT_BORROW","FQ4 2019","FQ4 2019","Currency=USD","Period=FQ","BEST_FPERIOD_OVERRIDE=FQ","FILING_STATUS=MR","SCALING_FORMAT=MLN","Sort=A","Dates=H","DateFormat=P","Fill=—","Direction=H","UseDPDF=Y")</f>
        <v>—</v>
      </c>
      <c r="H37" s="13" t="str">
        <f>_xll.BDH("ALNY US Equity","ARD_INCR_IN_LT_BORROW","FQ1 2020","FQ1 2020","Currency=USD","Period=FQ","BEST_FPERIOD_OVERRIDE=FQ","FILING_STATUS=MR","SCALING_FORMAT=MLN","Sort=A","Dates=H","DateFormat=P","Fill=—","Direction=H","UseDPDF=Y")</f>
        <v>—</v>
      </c>
      <c r="I37" s="13" t="str">
        <f>_xll.BDH("ALNY US Equity","ARD_INCR_IN_LT_BORROW","FQ2 2020","FQ2 2020","Currency=USD","Period=FQ","BEST_FPERIOD_OVERRIDE=FQ","FILING_STATUS=MR","SCALING_FORMAT=MLN","Sort=A","Dates=H","DateFormat=P","Fill=—","Direction=H","UseDPDF=Y")</f>
        <v>—</v>
      </c>
      <c r="J37" s="13" t="str">
        <f>_xll.BDH("ALNY US Equity","ARD_INCR_IN_LT_BORROW","FQ3 2020","FQ3 2020","Currency=USD","Period=FQ","BEST_FPERIOD_OVERRIDE=FQ","FILING_STATUS=MR","SCALING_FORMAT=MLN","Sort=A","Dates=H","DateFormat=P","Fill=—","Direction=H","UseDPDF=Y")</f>
        <v>—</v>
      </c>
      <c r="K37" s="13" t="str">
        <f>_xll.BDH("ALNY US Equity","ARD_INCR_IN_LT_BORROW","FQ4 2020","FQ4 2020","Currency=USD","Period=FQ","BEST_FPERIOD_OVERRIDE=FQ","FILING_STATUS=MR","SCALING_FORMAT=MLN","Sort=A","Dates=H","DateFormat=P","Fill=—","Direction=H","UseDPDF=Y")</f>
        <v>—</v>
      </c>
      <c r="L37" s="13" t="str">
        <f>_xll.BDH("ALNY US Equity","ARD_INCR_IN_LT_BORROW","FQ1 2021","FQ1 2021","Currency=USD","Period=FQ","BEST_FPERIOD_OVERRIDE=FQ","FILING_STATUS=MR","SCALING_FORMAT=MLN","Sort=A","Dates=H","DateFormat=P","Fill=—","Direction=H","UseDPDF=Y")</f>
        <v>—</v>
      </c>
      <c r="M37" s="13" t="str">
        <f>_xll.BDH("ALNY US Equity","ARD_INCR_IN_LT_BORROW","FQ2 2021","FQ2 2021","Currency=USD","Period=FQ","BEST_FPERIOD_OVERRIDE=FQ","FILING_STATUS=MR","SCALING_FORMAT=MLN","Sort=A","Dates=H","DateFormat=P","Fill=—","Direction=H","UseDPDF=Y")</f>
        <v>—</v>
      </c>
      <c r="N37" s="13" t="str">
        <f>_xll.BDH("ALNY US Equity","ARD_INCR_IN_LT_BORROW","FQ3 2021","FQ3 2021","Currency=USD","Period=FQ","BEST_FPERIOD_OVERRIDE=FQ","FILING_STATUS=MR","SCALING_FORMAT=MLN","Sort=A","Dates=H","DateFormat=P","Fill=—","Direction=H","UseDPDF=Y")</f>
        <v>—</v>
      </c>
      <c r="O37" s="13">
        <f>_xll.BDH("ALNY US Equity","ARD_INCR_IN_LT_BORROW","FQ4 2021","FQ4 2021","Currency=USD","Period=FQ","BEST_FPERIOD_OVERRIDE=FQ","FILING_STATUS=MR","SCALING_FORMAT=MLN","Sort=A","Dates=H","DateFormat=P","Fill=—","Direction=H","UseDPDF=Y")</f>
        <v>500</v>
      </c>
      <c r="P37" s="13" t="str">
        <f>_xll.BDH("ALNY US Equity","ARD_INCR_IN_LT_BORROW","FQ1 2022","FQ1 2022","Currency=USD","Period=FQ","BEST_FPERIOD_OVERRIDE=FQ","FILING_STATUS=MR","SCALING_FORMAT=MLN","Sort=A","Dates=H","DateFormat=P","Fill=—","Direction=H","UseDPDF=Y")</f>
        <v>—</v>
      </c>
      <c r="Q37" s="13" t="str">
        <f>_xll.BDH("ALNY US Equity","ARD_INCR_IN_LT_BORROW","FQ2 2022","FQ2 2022","Currency=USD","Period=FQ","BEST_FPERIOD_OVERRIDE=FQ","FILING_STATUS=MR","SCALING_FORMAT=MLN","Sort=A","Dates=H","DateFormat=P","Fill=—","Direction=H","UseDPDF=Y")</f>
        <v>—</v>
      </c>
      <c r="R37" s="13" t="str">
        <f>_xll.BDH("ALNY US Equity","ARD_INCR_IN_LT_BORROW","FQ3 2022","FQ3 2022","Currency=USD","Period=FQ","BEST_FPERIOD_OVERRIDE=FQ","FILING_STATUS=MR","SCALING_FORMAT=MLN","Sort=A","Dates=H","DateFormat=P","Fill=—","Direction=H","UseDPDF=Y")</f>
        <v>—</v>
      </c>
      <c r="S37" s="13">
        <f>_xll.BDH("ALNY US Equity","ARD_INCR_IN_LT_BORROW","FQ4 2022","FQ4 2022","Currency=USD","Period=FQ","BEST_FPERIOD_OVERRIDE=FQ","FILING_STATUS=MR","SCALING_FORMAT=MLN","Sort=A","Dates=H","DateFormat=P","Fill=—","Direction=H","UseDPDF=Y")</f>
        <v>1016.111</v>
      </c>
      <c r="T37" s="13" t="str">
        <f>_xll.BDH("ALNY US Equity","ARD_INCR_IN_LT_BORROW","FQ1 2023","FQ1 2023","Currency=USD","Period=FQ","BEST_FPERIOD_OVERRIDE=FQ","FILING_STATUS=MR","SCALING_FORMAT=MLN","Sort=A","Dates=H","DateFormat=P","Fill=—","Direction=H","UseDPDF=Y")</f>
        <v>—</v>
      </c>
      <c r="U37" s="13" t="str">
        <f>_xll.BDH("ALNY US Equity","ARD_INCR_IN_LT_BORROW","FQ2 2023","FQ2 2023","Currency=USD","Period=FQ","BEST_FPERIOD_OVERRIDE=FQ","FILING_STATUS=MR","SCALING_FORMAT=MLN","Sort=A","Dates=H","DateFormat=P","Fill=—","Direction=H","UseDPDF=Y")</f>
        <v>—</v>
      </c>
      <c r="V37" s="13" t="str">
        <f>_xll.BDH("ALNY US Equity","ARD_INCR_IN_LT_BORROW","FQ3 2023","FQ3 2023","Currency=USD","Period=FQ","BEST_FPERIOD_OVERRIDE=FQ","FILING_STATUS=MR","SCALING_FORMAT=MLN","Sort=A","Dates=H","DateFormat=P","Fill=—","Direction=H","UseDPDF=Y")</f>
        <v>—</v>
      </c>
      <c r="W37" s="13" t="str">
        <f>_xll.BDH("ALNY US Equity","ARD_INCR_IN_LT_BORROW","FQ4 2023","FQ4 2023","Currency=USD","Period=FQ","BEST_FPERIOD_OVERRIDE=FQ","FILING_STATUS=MR","SCALING_FORMAT=MLN","Sort=A","Dates=H","DateFormat=P","Fill=—","Direction=H","UseDPDF=Y")</f>
        <v>—</v>
      </c>
      <c r="X37" s="13" t="str">
        <f>_xll.BDH("ALNY US Equity","ARD_INCR_IN_LT_BORROW","FQ1 2024","FQ1 2024","Currency=USD","Period=FQ","BEST_FPERIOD_OVERRIDE=FQ","FILING_STATUS=MR","SCALING_FORMAT=MLN","Sort=A","Dates=H","DateFormat=P","Fill=—","Direction=H","UseDPDF=Y")</f>
        <v>—</v>
      </c>
      <c r="Y37" s="13" t="str">
        <f>_xll.BDH("ALNY US Equity","ARD_INCR_IN_LT_BORROW","FQ2 2024","FQ2 2024","Currency=USD","Period=FQ","BEST_FPERIOD_OVERRIDE=FQ","FILING_STATUS=MR","SCALING_FORMAT=MLN","Sort=A","Dates=H","DateFormat=P","Fill=—","Direction=H","UseDPDF=Y")</f>
        <v>—</v>
      </c>
      <c r="Z37" s="13" t="str">
        <f>_xll.BDH("ALNY US Equity","ARD_INCR_IN_LT_BORROW","FQ3 2024","FQ3 2024","Currency=USD","Period=FQ","BEST_FPERIOD_OVERRIDE=FQ","FILING_STATUS=MR","SCALING_FORMAT=MLN","Sort=A","Dates=H","DateFormat=P","Fill=—","Direction=H","UseDPDF=Y")</f>
        <v>—</v>
      </c>
      <c r="AA37" s="13" t="str">
        <f>_xll.BDH("ALNY US Equity","ARD_INCR_IN_LT_BORROW","FQ4 2024","FQ4 2024","Currency=USD","Period=FQ","BEST_FPERIOD_OVERRIDE=FQ","FILING_STATUS=MR","SCALING_FORMAT=MLN","Sort=A","Dates=H","DateFormat=P","Fill=—","Direction=H","UseDPDF=Y")</f>
        <v>—</v>
      </c>
    </row>
    <row r="38" spans="1:27" x14ac:dyDescent="0.25">
      <c r="A38" s="10" t="s">
        <v>1311</v>
      </c>
      <c r="B38" s="10" t="s">
        <v>1312</v>
      </c>
      <c r="C38" s="13">
        <f>_xll.BDH("ALNY US Equity","ARD_DECR_IN_LT_BORROW","FQ4 2018","FQ4 2018","Currency=USD","Period=FQ","BEST_FPERIOD_OVERRIDE=FQ","FILING_STATUS=MR","SCALING_FORMAT=MLN","Sort=A","Dates=H","DateFormat=P","Fill=—","Direction=H","UseDPDF=Y")</f>
        <v>0</v>
      </c>
      <c r="D38" s="13" t="str">
        <f>_xll.BDH("ALNY US Equity","ARD_DECR_IN_LT_BORROW","FQ1 2019","FQ1 2019","Currency=USD","Period=FQ","BEST_FPERIOD_OVERRIDE=FQ","FILING_STATUS=MR","SCALING_FORMAT=MLN","Sort=A","Dates=H","DateFormat=P","Fill=—","Direction=H","UseDPDF=Y")</f>
        <v>—</v>
      </c>
      <c r="E38" s="13" t="str">
        <f>_xll.BDH("ALNY US Equity","ARD_DECR_IN_LT_BORROW","FQ2 2019","FQ2 2019","Currency=USD","Period=FQ","BEST_FPERIOD_OVERRIDE=FQ","FILING_STATUS=MR","SCALING_FORMAT=MLN","Sort=A","Dates=H","DateFormat=P","Fill=—","Direction=H","UseDPDF=Y")</f>
        <v>—</v>
      </c>
      <c r="F38" s="13" t="str">
        <f>_xll.BDH("ALNY US Equity","ARD_DECR_IN_LT_BORROW","FQ3 2019","FQ3 2019","Currency=USD","Period=FQ","BEST_FPERIOD_OVERRIDE=FQ","FILING_STATUS=MR","SCALING_FORMAT=MLN","Sort=A","Dates=H","DateFormat=P","Fill=—","Direction=H","UseDPDF=Y")</f>
        <v>—</v>
      </c>
      <c r="G38" s="13" t="str">
        <f>_xll.BDH("ALNY US Equity","ARD_DECR_IN_LT_BORROW","FQ4 2019","FQ4 2019","Currency=USD","Period=FQ","BEST_FPERIOD_OVERRIDE=FQ","FILING_STATUS=MR","SCALING_FORMAT=MLN","Sort=A","Dates=H","DateFormat=P","Fill=—","Direction=H","UseDPDF=Y")</f>
        <v>—</v>
      </c>
      <c r="H38" s="13" t="str">
        <f>_xll.BDH("ALNY US Equity","ARD_DECR_IN_LT_BORROW","FQ1 2020","FQ1 2020","Currency=USD","Period=FQ","BEST_FPERIOD_OVERRIDE=FQ","FILING_STATUS=MR","SCALING_FORMAT=MLN","Sort=A","Dates=H","DateFormat=P","Fill=—","Direction=H","UseDPDF=Y")</f>
        <v>—</v>
      </c>
      <c r="I38" s="13" t="str">
        <f>_xll.BDH("ALNY US Equity","ARD_DECR_IN_LT_BORROW","FQ2 2020","FQ2 2020","Currency=USD","Period=FQ","BEST_FPERIOD_OVERRIDE=FQ","FILING_STATUS=MR","SCALING_FORMAT=MLN","Sort=A","Dates=H","DateFormat=P","Fill=—","Direction=H","UseDPDF=Y")</f>
        <v>—</v>
      </c>
      <c r="J38" s="13" t="str">
        <f>_xll.BDH("ALNY US Equity","ARD_DECR_IN_LT_BORROW","FQ3 2020","FQ3 2020","Currency=USD","Period=FQ","BEST_FPERIOD_OVERRIDE=FQ","FILING_STATUS=MR","SCALING_FORMAT=MLN","Sort=A","Dates=H","DateFormat=P","Fill=—","Direction=H","UseDPDF=Y")</f>
        <v>—</v>
      </c>
      <c r="K38" s="13" t="str">
        <f>_xll.BDH("ALNY US Equity","ARD_DECR_IN_LT_BORROW","FQ4 2020","FQ4 2020","Currency=USD","Period=FQ","BEST_FPERIOD_OVERRIDE=FQ","FILING_STATUS=MR","SCALING_FORMAT=MLN","Sort=A","Dates=H","DateFormat=P","Fill=—","Direction=H","UseDPDF=Y")</f>
        <v>—</v>
      </c>
      <c r="L38" s="13" t="str">
        <f>_xll.BDH("ALNY US Equity","ARD_DECR_IN_LT_BORROW","FQ1 2021","FQ1 2021","Currency=USD","Period=FQ","BEST_FPERIOD_OVERRIDE=FQ","FILING_STATUS=MR","SCALING_FORMAT=MLN","Sort=A","Dates=H","DateFormat=P","Fill=—","Direction=H","UseDPDF=Y")</f>
        <v>—</v>
      </c>
      <c r="M38" s="13" t="str">
        <f>_xll.BDH("ALNY US Equity","ARD_DECR_IN_LT_BORROW","FQ2 2021","FQ2 2021","Currency=USD","Period=FQ","BEST_FPERIOD_OVERRIDE=FQ","FILING_STATUS=MR","SCALING_FORMAT=MLN","Sort=A","Dates=H","DateFormat=P","Fill=—","Direction=H","UseDPDF=Y")</f>
        <v>—</v>
      </c>
      <c r="N38" s="13" t="str">
        <f>_xll.BDH("ALNY US Equity","ARD_DECR_IN_LT_BORROW","FQ3 2021","FQ3 2021","Currency=USD","Period=FQ","BEST_FPERIOD_OVERRIDE=FQ","FILING_STATUS=MR","SCALING_FORMAT=MLN","Sort=A","Dates=H","DateFormat=P","Fill=—","Direction=H","UseDPDF=Y")</f>
        <v>—</v>
      </c>
      <c r="O38" s="13" t="str">
        <f>_xll.BDH("ALNY US Equity","ARD_DECR_IN_LT_BORROW","FQ4 2021","FQ4 2021","Currency=USD","Period=FQ","BEST_FPERIOD_OVERRIDE=FQ","FILING_STATUS=MR","SCALING_FORMAT=MLN","Sort=A","Dates=H","DateFormat=P","Fill=—","Direction=H","UseDPDF=Y")</f>
        <v>—</v>
      </c>
      <c r="P38" s="13" t="str">
        <f>_xll.BDH("ALNY US Equity","ARD_DECR_IN_LT_BORROW","FQ1 2022","FQ1 2022","Currency=USD","Period=FQ","BEST_FPERIOD_OVERRIDE=FQ","FILING_STATUS=MR","SCALING_FORMAT=MLN","Sort=A","Dates=H","DateFormat=P","Fill=—","Direction=H","UseDPDF=Y")</f>
        <v>—</v>
      </c>
      <c r="Q38" s="13" t="str">
        <f>_xll.BDH("ALNY US Equity","ARD_DECR_IN_LT_BORROW","FQ2 2022","FQ2 2022","Currency=USD","Period=FQ","BEST_FPERIOD_OVERRIDE=FQ","FILING_STATUS=MR","SCALING_FORMAT=MLN","Sort=A","Dates=H","DateFormat=P","Fill=—","Direction=H","UseDPDF=Y")</f>
        <v>—</v>
      </c>
      <c r="R38" s="13" t="str">
        <f>_xll.BDH("ALNY US Equity","ARD_DECR_IN_LT_BORROW","FQ3 2022","FQ3 2022","Currency=USD","Period=FQ","BEST_FPERIOD_OVERRIDE=FQ","FILING_STATUS=MR","SCALING_FORMAT=MLN","Sort=A","Dates=H","DateFormat=P","Fill=—","Direction=H","UseDPDF=Y")</f>
        <v>—</v>
      </c>
      <c r="S38" s="13">
        <f>_xll.BDH("ALNY US Equity","ARD_DECR_IN_LT_BORROW","FQ4 2022","FQ4 2022","Currency=USD","Period=FQ","BEST_FPERIOD_OVERRIDE=FQ","FILING_STATUS=MR","SCALING_FORMAT=MLN","Sort=A","Dates=H","DateFormat=P","Fill=—","Direction=H","UseDPDF=Y")</f>
        <v>-762.10699999999997</v>
      </c>
      <c r="T38" s="13" t="str">
        <f>_xll.BDH("ALNY US Equity","ARD_DECR_IN_LT_BORROW","FQ1 2023","FQ1 2023","Currency=USD","Period=FQ","BEST_FPERIOD_OVERRIDE=FQ","FILING_STATUS=MR","SCALING_FORMAT=MLN","Sort=A","Dates=H","DateFormat=P","Fill=—","Direction=H","UseDPDF=Y")</f>
        <v>—</v>
      </c>
      <c r="U38" s="13" t="str">
        <f>_xll.BDH("ALNY US Equity","ARD_DECR_IN_LT_BORROW","FQ2 2023","FQ2 2023","Currency=USD","Period=FQ","BEST_FPERIOD_OVERRIDE=FQ","FILING_STATUS=MR","SCALING_FORMAT=MLN","Sort=A","Dates=H","DateFormat=P","Fill=—","Direction=H","UseDPDF=Y")</f>
        <v>—</v>
      </c>
      <c r="V38" s="13" t="str">
        <f>_xll.BDH("ALNY US Equity","ARD_DECR_IN_LT_BORROW","FQ3 2023","FQ3 2023","Currency=USD","Period=FQ","BEST_FPERIOD_OVERRIDE=FQ","FILING_STATUS=MR","SCALING_FORMAT=MLN","Sort=A","Dates=H","DateFormat=P","Fill=—","Direction=H","UseDPDF=Y")</f>
        <v>—</v>
      </c>
      <c r="W38" s="13" t="str">
        <f>_xll.BDH("ALNY US Equity","ARD_DECR_IN_LT_BORROW","FQ4 2023","FQ4 2023","Currency=USD","Period=FQ","BEST_FPERIOD_OVERRIDE=FQ","FILING_STATUS=MR","SCALING_FORMAT=MLN","Sort=A","Dates=H","DateFormat=P","Fill=—","Direction=H","UseDPDF=Y")</f>
        <v>—</v>
      </c>
      <c r="X38" s="13" t="str">
        <f>_xll.BDH("ALNY US Equity","ARD_DECR_IN_LT_BORROW","FQ1 2024","FQ1 2024","Currency=USD","Period=FQ","BEST_FPERIOD_OVERRIDE=FQ","FILING_STATUS=MR","SCALING_FORMAT=MLN","Sort=A","Dates=H","DateFormat=P","Fill=—","Direction=H","UseDPDF=Y")</f>
        <v>—</v>
      </c>
      <c r="Y38" s="13" t="str">
        <f>_xll.BDH("ALNY US Equity","ARD_DECR_IN_LT_BORROW","FQ2 2024","FQ2 2024","Currency=USD","Period=FQ","BEST_FPERIOD_OVERRIDE=FQ","FILING_STATUS=MR","SCALING_FORMAT=MLN","Sort=A","Dates=H","DateFormat=P","Fill=—","Direction=H","UseDPDF=Y")</f>
        <v>—</v>
      </c>
      <c r="Z38" s="13" t="str">
        <f>_xll.BDH("ALNY US Equity","ARD_DECR_IN_LT_BORROW","FQ3 2024","FQ3 2024","Currency=USD","Period=FQ","BEST_FPERIOD_OVERRIDE=FQ","FILING_STATUS=MR","SCALING_FORMAT=MLN","Sort=A","Dates=H","DateFormat=P","Fill=—","Direction=H","UseDPDF=Y")</f>
        <v>—</v>
      </c>
      <c r="AA38" s="13" t="str">
        <f>_xll.BDH("ALNY US Equity","ARD_DECR_IN_LT_BORROW","FQ4 2024","FQ4 2024","Currency=USD","Period=FQ","BEST_FPERIOD_OVERRIDE=FQ","FILING_STATUS=MR","SCALING_FORMAT=MLN","Sort=A","Dates=H","DateFormat=P","Fill=—","Direction=H","UseDPDF=Y")</f>
        <v>—</v>
      </c>
    </row>
    <row r="39" spans="1:27" x14ac:dyDescent="0.25">
      <c r="A39" s="10" t="s">
        <v>1313</v>
      </c>
      <c r="B39" s="10" t="s">
        <v>1314</v>
      </c>
      <c r="C39" s="13">
        <f>_xll.BDH("ALNY US Equity","ARD_ISSUANCE_OF_COMMON_STOCK","FQ4 2018","FQ4 2018","Currency=USD","Period=FQ","BEST_FPERIOD_OVERRIDE=FQ","FILING_STATUS=MR","SCALING_FORMAT=MLN","Sort=A","Dates=H","DateFormat=P","Fill=—","Direction=H","UseDPDF=Y")</f>
        <v>0</v>
      </c>
      <c r="D39" s="13">
        <f>_xll.BDH("ALNY US Equity","ARD_ISSUANCE_OF_COMMON_STOCK","FQ1 2019","FQ1 2019","Currency=USD","Period=FQ","BEST_FPERIOD_OVERRIDE=FQ","FILING_STATUS=MR","SCALING_FORMAT=MLN","Sort=A","Dates=H","DateFormat=P","Fill=—","Direction=H","UseDPDF=Y")</f>
        <v>381.9</v>
      </c>
      <c r="E39" s="13">
        <f>_xll.BDH("ALNY US Equity","ARD_ISSUANCE_OF_COMMON_STOCK","FQ2 2019","FQ2 2019","Currency=USD","Period=FQ","BEST_FPERIOD_OVERRIDE=FQ","FILING_STATUS=MR","SCALING_FORMAT=MLN","Sort=A","Dates=H","DateFormat=P","Fill=—","Direction=H","UseDPDF=Y")</f>
        <v>400</v>
      </c>
      <c r="F39" s="13">
        <f>_xll.BDH("ALNY US Equity","ARD_ISSUANCE_OF_COMMON_STOCK","FQ3 2019","FQ3 2019","Currency=USD","Period=FQ","BEST_FPERIOD_OVERRIDE=FQ","FILING_STATUS=MR","SCALING_FORMAT=MLN","Sort=A","Dates=H","DateFormat=P","Fill=—","Direction=H","UseDPDF=Y")</f>
        <v>400</v>
      </c>
      <c r="G39" s="13">
        <f>_xll.BDH("ALNY US Equity","ARD_ISSUANCE_OF_COMMON_STOCK","FQ4 2019","FQ4 2019","Currency=USD","Period=FQ","BEST_FPERIOD_OVERRIDE=FQ","FILING_STATUS=MR","SCALING_FORMAT=MLN","Sort=A","Dates=H","DateFormat=P","Fill=—","Direction=H","UseDPDF=Y")</f>
        <v>400</v>
      </c>
      <c r="H39" s="13">
        <f>_xll.BDH("ALNY US Equity","ARD_ISSUANCE_OF_COMMON_STOCK","FQ1 2020","FQ1 2020","Currency=USD","Period=FQ","BEST_FPERIOD_OVERRIDE=FQ","FILING_STATUS=MR","SCALING_FORMAT=MLN","Sort=A","Dates=H","DateFormat=P","Fill=—","Direction=H","UseDPDF=Y")</f>
        <v>0</v>
      </c>
      <c r="I39" s="13">
        <f>_xll.BDH("ALNY US Equity","ARD_ISSUANCE_OF_COMMON_STOCK","FQ2 2020","FQ2 2020","Currency=USD","Period=FQ","BEST_FPERIOD_OVERRIDE=FQ","FILING_STATUS=MR","SCALING_FORMAT=MLN","Sort=A","Dates=H","DateFormat=P","Fill=—","Direction=H","UseDPDF=Y")</f>
        <v>599.49800000000005</v>
      </c>
      <c r="J39" s="13">
        <f>_xll.BDH("ALNY US Equity","ARD_ISSUANCE_OF_COMMON_STOCK","FQ3 2020","FQ3 2020","Currency=USD","Period=FQ","BEST_FPERIOD_OVERRIDE=FQ","FILING_STATUS=MR","SCALING_FORMAT=MLN","Sort=A","Dates=H","DateFormat=P","Fill=—","Direction=H","UseDPDF=Y")</f>
        <v>599.49800000000005</v>
      </c>
      <c r="K39" s="13">
        <f>_xll.BDH("ALNY US Equity","ARD_ISSUANCE_OF_COMMON_STOCK","FQ4 2020","FQ4 2020","Currency=USD","Period=FQ","BEST_FPERIOD_OVERRIDE=FQ","FILING_STATUS=MR","SCALING_FORMAT=MLN","Sort=A","Dates=H","DateFormat=P","Fill=—","Direction=H","UseDPDF=Y")</f>
        <v>599.49800000000005</v>
      </c>
      <c r="L39" s="13" t="str">
        <f>_xll.BDH("ALNY US Equity","ARD_ISSUANCE_OF_COMMON_STOCK","FQ1 2021","FQ1 2021","Currency=USD","Period=FQ","BEST_FPERIOD_OVERRIDE=FQ","FILING_STATUS=MR","SCALING_FORMAT=MLN","Sort=A","Dates=H","DateFormat=P","Fill=—","Direction=H","UseDPDF=Y")</f>
        <v>—</v>
      </c>
      <c r="M39" s="13">
        <f>_xll.BDH("ALNY US Equity","ARD_ISSUANCE_OF_COMMON_STOCK","FQ2 2021","FQ2 2021","Currency=USD","Period=FQ","BEST_FPERIOD_OVERRIDE=FQ","FILING_STATUS=MR","SCALING_FORMAT=MLN","Sort=A","Dates=H","DateFormat=P","Fill=—","Direction=H","UseDPDF=Y")</f>
        <v>0</v>
      </c>
      <c r="N39" s="13">
        <f>_xll.BDH("ALNY US Equity","ARD_ISSUANCE_OF_COMMON_STOCK","FQ3 2021","FQ3 2021","Currency=USD","Period=FQ","BEST_FPERIOD_OVERRIDE=FQ","FILING_STATUS=MR","SCALING_FORMAT=MLN","Sort=A","Dates=H","DateFormat=P","Fill=—","Direction=H","UseDPDF=Y")</f>
        <v>500</v>
      </c>
      <c r="O39" s="13">
        <f>_xll.BDH("ALNY US Equity","ARD_ISSUANCE_OF_COMMON_STOCK","FQ4 2021","FQ4 2021","Currency=USD","Period=FQ","BEST_FPERIOD_OVERRIDE=FQ","FILING_STATUS=MR","SCALING_FORMAT=MLN","Sort=A","Dates=H","DateFormat=P","Fill=—","Direction=H","UseDPDF=Y")</f>
        <v>0</v>
      </c>
      <c r="P39" s="13" t="str">
        <f>_xll.BDH("ALNY US Equity","ARD_ISSUANCE_OF_COMMON_STOCK","FQ1 2022","FQ1 2022","Currency=USD","Period=FQ","BEST_FPERIOD_OVERRIDE=FQ","FILING_STATUS=MR","SCALING_FORMAT=MLN","Sort=A","Dates=H","DateFormat=P","Fill=—","Direction=H","UseDPDF=Y")</f>
        <v>—</v>
      </c>
      <c r="Q39" s="13" t="str">
        <f>_xll.BDH("ALNY US Equity","ARD_ISSUANCE_OF_COMMON_STOCK","FQ2 2022","FQ2 2022","Currency=USD","Period=FQ","BEST_FPERIOD_OVERRIDE=FQ","FILING_STATUS=MR","SCALING_FORMAT=MLN","Sort=A","Dates=H","DateFormat=P","Fill=—","Direction=H","UseDPDF=Y")</f>
        <v>—</v>
      </c>
      <c r="R39" s="13">
        <f>_xll.BDH("ALNY US Equity","ARD_ISSUANCE_OF_COMMON_STOCK","FQ3 2022","FQ3 2022","Currency=USD","Period=FQ","BEST_FPERIOD_OVERRIDE=FQ","FILING_STATUS=MR","SCALING_FORMAT=MLN","Sort=A","Dates=H","DateFormat=P","Fill=—","Direction=H","UseDPDF=Y")</f>
        <v>0</v>
      </c>
      <c r="S39" s="13">
        <f>_xll.BDH("ALNY US Equity","ARD_ISSUANCE_OF_COMMON_STOCK","FQ4 2022","FQ4 2022","Currency=USD","Period=FQ","BEST_FPERIOD_OVERRIDE=FQ","FILING_STATUS=MR","SCALING_FORMAT=MLN","Sort=A","Dates=H","DateFormat=P","Fill=—","Direction=H","UseDPDF=Y")</f>
        <v>0</v>
      </c>
      <c r="T39" s="13" t="str">
        <f>_xll.BDH("ALNY US Equity","ARD_ISSUANCE_OF_COMMON_STOCK","FQ1 2023","FQ1 2023","Currency=USD","Period=FQ","BEST_FPERIOD_OVERRIDE=FQ","FILING_STATUS=MR","SCALING_FORMAT=MLN","Sort=A","Dates=H","DateFormat=P","Fill=—","Direction=H","UseDPDF=Y")</f>
        <v>—</v>
      </c>
      <c r="U39" s="13" t="str">
        <f>_xll.BDH("ALNY US Equity","ARD_ISSUANCE_OF_COMMON_STOCK","FQ2 2023","FQ2 2023","Currency=USD","Period=FQ","BEST_FPERIOD_OVERRIDE=FQ","FILING_STATUS=MR","SCALING_FORMAT=MLN","Sort=A","Dates=H","DateFormat=P","Fill=—","Direction=H","UseDPDF=Y")</f>
        <v>—</v>
      </c>
      <c r="V39" s="13">
        <f>_xll.BDH("ALNY US Equity","ARD_ISSUANCE_OF_COMMON_STOCK","FQ3 2023","FQ3 2023","Currency=USD","Period=FQ","BEST_FPERIOD_OVERRIDE=FQ","FILING_STATUS=MR","SCALING_FORMAT=MLN","Sort=A","Dates=H","DateFormat=P","Fill=—","Direction=H","UseDPDF=Y")</f>
        <v>0</v>
      </c>
      <c r="W39" s="13" t="str">
        <f>_xll.BDH("ALNY US Equity","ARD_ISSUANCE_OF_COMMON_STOCK","FQ4 2023","FQ4 2023","Currency=USD","Period=FQ","BEST_FPERIOD_OVERRIDE=FQ","FILING_STATUS=MR","SCALING_FORMAT=MLN","Sort=A","Dates=H","DateFormat=P","Fill=—","Direction=H","UseDPDF=Y")</f>
        <v>—</v>
      </c>
      <c r="X39" s="13" t="str">
        <f>_xll.BDH("ALNY US Equity","ARD_ISSUANCE_OF_COMMON_STOCK","FQ1 2024","FQ1 2024","Currency=USD","Period=FQ","BEST_FPERIOD_OVERRIDE=FQ","FILING_STATUS=MR","SCALING_FORMAT=MLN","Sort=A","Dates=H","DateFormat=P","Fill=—","Direction=H","UseDPDF=Y")</f>
        <v>—</v>
      </c>
      <c r="Y39" s="13" t="str">
        <f>_xll.BDH("ALNY US Equity","ARD_ISSUANCE_OF_COMMON_STOCK","FQ2 2024","FQ2 2024","Currency=USD","Period=FQ","BEST_FPERIOD_OVERRIDE=FQ","FILING_STATUS=MR","SCALING_FORMAT=MLN","Sort=A","Dates=H","DateFormat=P","Fill=—","Direction=H","UseDPDF=Y")</f>
        <v>—</v>
      </c>
      <c r="Z39" s="13" t="str">
        <f>_xll.BDH("ALNY US Equity","ARD_ISSUANCE_OF_COMMON_STOCK","FQ3 2024","FQ3 2024","Currency=USD","Period=FQ","BEST_FPERIOD_OVERRIDE=FQ","FILING_STATUS=MR","SCALING_FORMAT=MLN","Sort=A","Dates=H","DateFormat=P","Fill=—","Direction=H","UseDPDF=Y")</f>
        <v>—</v>
      </c>
      <c r="AA39" s="13" t="str">
        <f>_xll.BDH("ALNY US Equity","ARD_ISSUANCE_OF_COMMON_STOCK","FQ4 2024","FQ4 2024","Currency=USD","Period=FQ","BEST_FPERIOD_OVERRIDE=FQ","FILING_STATUS=MR","SCALING_FORMAT=MLN","Sort=A","Dates=H","DateFormat=P","Fill=—","Direction=H","UseDPDF=Y")</f>
        <v>—</v>
      </c>
    </row>
    <row r="40" spans="1:27" x14ac:dyDescent="0.25">
      <c r="A40" s="10" t="s">
        <v>1315</v>
      </c>
      <c r="B40" s="10" t="s">
        <v>1316</v>
      </c>
      <c r="C40" s="13">
        <f>_xll.BDH("ALNY US Equity","ARD_REPURCHASE_OF_COMMON_STOCK","FQ4 2018","FQ4 2018","Currency=USD","Period=FQ","BEST_FPERIOD_OVERRIDE=FQ","FILING_STATUS=MR","SCALING_FORMAT=MLN","Sort=A","Dates=H","DateFormat=P","Fill=—","Direction=H","UseDPDF=Y")</f>
        <v>-3.4689999999999999</v>
      </c>
      <c r="D40" s="13">
        <f>_xll.BDH("ALNY US Equity","ARD_REPURCHASE_OF_COMMON_STOCK","FQ1 2019","FQ1 2019","Currency=USD","Period=FQ","BEST_FPERIOD_OVERRIDE=FQ","FILING_STATUS=MR","SCALING_FORMAT=MLN","Sort=A","Dates=H","DateFormat=P","Fill=—","Direction=H","UseDPDF=Y")</f>
        <v>-5.1999999999999998E-2</v>
      </c>
      <c r="E40" s="13">
        <f>_xll.BDH("ALNY US Equity","ARD_REPURCHASE_OF_COMMON_STOCK","FQ2 2019","FQ2 2019","Currency=USD","Period=FQ","BEST_FPERIOD_OVERRIDE=FQ","FILING_STATUS=MR","SCALING_FORMAT=MLN","Sort=A","Dates=H","DateFormat=P","Fill=—","Direction=H","UseDPDF=Y")</f>
        <v>-8.4000000000000005E-2</v>
      </c>
      <c r="F40" s="13" t="str">
        <f>_xll.BDH("ALNY US Equity","ARD_REPURCHASE_OF_COMMON_STOCK","FQ3 2019","FQ3 2019","Currency=USD","Period=FQ","BEST_FPERIOD_OVERRIDE=FQ","FILING_STATUS=MR","SCALING_FORMAT=MLN","Sort=A","Dates=H","DateFormat=P","Fill=—","Direction=H","UseDPDF=Y")</f>
        <v>—</v>
      </c>
      <c r="G40" s="13" t="str">
        <f>_xll.BDH("ALNY US Equity","ARD_REPURCHASE_OF_COMMON_STOCK","FQ4 2019","FQ4 2019","Currency=USD","Period=FQ","BEST_FPERIOD_OVERRIDE=FQ","FILING_STATUS=MR","SCALING_FORMAT=MLN","Sort=A","Dates=H","DateFormat=P","Fill=—","Direction=H","UseDPDF=Y")</f>
        <v>—</v>
      </c>
      <c r="H40" s="13" t="str">
        <f>_xll.BDH("ALNY US Equity","ARD_REPURCHASE_OF_COMMON_STOCK","FQ1 2020","FQ1 2020","Currency=USD","Period=FQ","BEST_FPERIOD_OVERRIDE=FQ","FILING_STATUS=MR","SCALING_FORMAT=MLN","Sort=A","Dates=H","DateFormat=P","Fill=—","Direction=H","UseDPDF=Y")</f>
        <v>—</v>
      </c>
      <c r="I40" s="13" t="str">
        <f>_xll.BDH("ALNY US Equity","ARD_REPURCHASE_OF_COMMON_STOCK","FQ2 2020","FQ2 2020","Currency=USD","Period=FQ","BEST_FPERIOD_OVERRIDE=FQ","FILING_STATUS=MR","SCALING_FORMAT=MLN","Sort=A","Dates=H","DateFormat=P","Fill=—","Direction=H","UseDPDF=Y")</f>
        <v>—</v>
      </c>
      <c r="J40" s="13" t="str">
        <f>_xll.BDH("ALNY US Equity","ARD_REPURCHASE_OF_COMMON_STOCK","FQ3 2020","FQ3 2020","Currency=USD","Period=FQ","BEST_FPERIOD_OVERRIDE=FQ","FILING_STATUS=MR","SCALING_FORMAT=MLN","Sort=A","Dates=H","DateFormat=P","Fill=—","Direction=H","UseDPDF=Y")</f>
        <v>—</v>
      </c>
      <c r="K40" s="13" t="str">
        <f>_xll.BDH("ALNY US Equity","ARD_REPURCHASE_OF_COMMON_STOCK","FQ4 2020","FQ4 2020","Currency=USD","Period=FQ","BEST_FPERIOD_OVERRIDE=FQ","FILING_STATUS=MR","SCALING_FORMAT=MLN","Sort=A","Dates=H","DateFormat=P","Fill=—","Direction=H","UseDPDF=Y")</f>
        <v>—</v>
      </c>
      <c r="L40" s="13" t="str">
        <f>_xll.BDH("ALNY US Equity","ARD_REPURCHASE_OF_COMMON_STOCK","FQ1 2021","FQ1 2021","Currency=USD","Period=FQ","BEST_FPERIOD_OVERRIDE=FQ","FILING_STATUS=MR","SCALING_FORMAT=MLN","Sort=A","Dates=H","DateFormat=P","Fill=—","Direction=H","UseDPDF=Y")</f>
        <v>—</v>
      </c>
      <c r="M40" s="13" t="str">
        <f>_xll.BDH("ALNY US Equity","ARD_REPURCHASE_OF_COMMON_STOCK","FQ2 2021","FQ2 2021","Currency=USD","Period=FQ","BEST_FPERIOD_OVERRIDE=FQ","FILING_STATUS=MR","SCALING_FORMAT=MLN","Sort=A","Dates=H","DateFormat=P","Fill=—","Direction=H","UseDPDF=Y")</f>
        <v>—</v>
      </c>
      <c r="N40" s="13" t="str">
        <f>_xll.BDH("ALNY US Equity","ARD_REPURCHASE_OF_COMMON_STOCK","FQ3 2021","FQ3 2021","Currency=USD","Period=FQ","BEST_FPERIOD_OVERRIDE=FQ","FILING_STATUS=MR","SCALING_FORMAT=MLN","Sort=A","Dates=H","DateFormat=P","Fill=—","Direction=H","UseDPDF=Y")</f>
        <v>—</v>
      </c>
      <c r="O40" s="13" t="str">
        <f>_xll.BDH("ALNY US Equity","ARD_REPURCHASE_OF_COMMON_STOCK","FQ4 2021","FQ4 2021","Currency=USD","Period=FQ","BEST_FPERIOD_OVERRIDE=FQ","FILING_STATUS=MR","SCALING_FORMAT=MLN","Sort=A","Dates=H","DateFormat=P","Fill=—","Direction=H","UseDPDF=Y")</f>
        <v>—</v>
      </c>
      <c r="P40" s="13" t="str">
        <f>_xll.BDH("ALNY US Equity","ARD_REPURCHASE_OF_COMMON_STOCK","FQ1 2022","FQ1 2022","Currency=USD","Period=FQ","BEST_FPERIOD_OVERRIDE=FQ","FILING_STATUS=MR","SCALING_FORMAT=MLN","Sort=A","Dates=H","DateFormat=P","Fill=—","Direction=H","UseDPDF=Y")</f>
        <v>—</v>
      </c>
      <c r="Q40" s="13" t="str">
        <f>_xll.BDH("ALNY US Equity","ARD_REPURCHASE_OF_COMMON_STOCK","FQ2 2022","FQ2 2022","Currency=USD","Period=FQ","BEST_FPERIOD_OVERRIDE=FQ","FILING_STATUS=MR","SCALING_FORMAT=MLN","Sort=A","Dates=H","DateFormat=P","Fill=—","Direction=H","UseDPDF=Y")</f>
        <v>—</v>
      </c>
      <c r="R40" s="13" t="str">
        <f>_xll.BDH("ALNY US Equity","ARD_REPURCHASE_OF_COMMON_STOCK","FQ3 2022","FQ3 2022","Currency=USD","Period=FQ","BEST_FPERIOD_OVERRIDE=FQ","FILING_STATUS=MR","SCALING_FORMAT=MLN","Sort=A","Dates=H","DateFormat=P","Fill=—","Direction=H","UseDPDF=Y")</f>
        <v>—</v>
      </c>
      <c r="S40" s="13" t="str">
        <f>_xll.BDH("ALNY US Equity","ARD_REPURCHASE_OF_COMMON_STOCK","FQ4 2022","FQ4 2022","Currency=USD","Period=FQ","BEST_FPERIOD_OVERRIDE=FQ","FILING_STATUS=MR","SCALING_FORMAT=MLN","Sort=A","Dates=H","DateFormat=P","Fill=—","Direction=H","UseDPDF=Y")</f>
        <v>—</v>
      </c>
      <c r="T40" s="13" t="str">
        <f>_xll.BDH("ALNY US Equity","ARD_REPURCHASE_OF_COMMON_STOCK","FQ1 2023","FQ1 2023","Currency=USD","Period=FQ","BEST_FPERIOD_OVERRIDE=FQ","FILING_STATUS=MR","SCALING_FORMAT=MLN","Sort=A","Dates=H","DateFormat=P","Fill=—","Direction=H","UseDPDF=Y")</f>
        <v>—</v>
      </c>
      <c r="U40" s="13" t="str">
        <f>_xll.BDH("ALNY US Equity","ARD_REPURCHASE_OF_COMMON_STOCK","FQ2 2023","FQ2 2023","Currency=USD","Period=FQ","BEST_FPERIOD_OVERRIDE=FQ","FILING_STATUS=MR","SCALING_FORMAT=MLN","Sort=A","Dates=H","DateFormat=P","Fill=—","Direction=H","UseDPDF=Y")</f>
        <v>—</v>
      </c>
      <c r="V40" s="13" t="str">
        <f>_xll.BDH("ALNY US Equity","ARD_REPURCHASE_OF_COMMON_STOCK","FQ3 2023","FQ3 2023","Currency=USD","Period=FQ","BEST_FPERIOD_OVERRIDE=FQ","FILING_STATUS=MR","SCALING_FORMAT=MLN","Sort=A","Dates=H","DateFormat=P","Fill=—","Direction=H","UseDPDF=Y")</f>
        <v>—</v>
      </c>
      <c r="W40" s="13" t="str">
        <f>_xll.BDH("ALNY US Equity","ARD_REPURCHASE_OF_COMMON_STOCK","FQ4 2023","FQ4 2023","Currency=USD","Period=FQ","BEST_FPERIOD_OVERRIDE=FQ","FILING_STATUS=MR","SCALING_FORMAT=MLN","Sort=A","Dates=H","DateFormat=P","Fill=—","Direction=H","UseDPDF=Y")</f>
        <v>—</v>
      </c>
      <c r="X40" s="13" t="str">
        <f>_xll.BDH("ALNY US Equity","ARD_REPURCHASE_OF_COMMON_STOCK","FQ1 2024","FQ1 2024","Currency=USD","Period=FQ","BEST_FPERIOD_OVERRIDE=FQ","FILING_STATUS=MR","SCALING_FORMAT=MLN","Sort=A","Dates=H","DateFormat=P","Fill=—","Direction=H","UseDPDF=Y")</f>
        <v>—</v>
      </c>
      <c r="Y40" s="13" t="str">
        <f>_xll.BDH("ALNY US Equity","ARD_REPURCHASE_OF_COMMON_STOCK","FQ2 2024","FQ2 2024","Currency=USD","Period=FQ","BEST_FPERIOD_OVERRIDE=FQ","FILING_STATUS=MR","SCALING_FORMAT=MLN","Sort=A","Dates=H","DateFormat=P","Fill=—","Direction=H","UseDPDF=Y")</f>
        <v>—</v>
      </c>
      <c r="Z40" s="13" t="str">
        <f>_xll.BDH("ALNY US Equity","ARD_REPURCHASE_OF_COMMON_STOCK","FQ3 2024","FQ3 2024","Currency=USD","Period=FQ","BEST_FPERIOD_OVERRIDE=FQ","FILING_STATUS=MR","SCALING_FORMAT=MLN","Sort=A","Dates=H","DateFormat=P","Fill=—","Direction=H","UseDPDF=Y")</f>
        <v>—</v>
      </c>
      <c r="AA40" s="13" t="str">
        <f>_xll.BDH("ALNY US Equity","ARD_REPURCHASE_OF_COMMON_STOCK","FQ4 2024","FQ4 2024","Currency=USD","Period=FQ","BEST_FPERIOD_OVERRIDE=FQ","FILING_STATUS=MR","SCALING_FORMAT=MLN","Sort=A","Dates=H","DateFormat=P","Fill=—","Direction=H","UseDPDF=Y")</f>
        <v>—</v>
      </c>
    </row>
    <row r="41" spans="1:27" x14ac:dyDescent="0.25">
      <c r="A41" s="10" t="s">
        <v>1317</v>
      </c>
      <c r="B41" s="10" t="s">
        <v>1318</v>
      </c>
      <c r="C41" s="13" t="str">
        <f>_xll.BDH("ALNY US Equity","ARD_EFF_OF_EXCH_RATES_ON_CASH","FQ4 2018","FQ4 2018","Currency=USD","Period=FQ","BEST_FPERIOD_OVERRIDE=FQ","FILING_STATUS=MR","SCALING_FORMAT=MLN","Sort=A","Dates=H","DateFormat=P","Fill=—","Direction=H","UseDPDF=Y")</f>
        <v>—</v>
      </c>
      <c r="D41" s="13" t="str">
        <f>_xll.BDH("ALNY US Equity","ARD_EFF_OF_EXCH_RATES_ON_CASH","FQ1 2019","FQ1 2019","Currency=USD","Period=FQ","BEST_FPERIOD_OVERRIDE=FQ","FILING_STATUS=MR","SCALING_FORMAT=MLN","Sort=A","Dates=H","DateFormat=P","Fill=—","Direction=H","UseDPDF=Y")</f>
        <v>—</v>
      </c>
      <c r="E41" s="13">
        <f>_xll.BDH("ALNY US Equity","ARD_EFF_OF_EXCH_RATES_ON_CASH","FQ2 2019","FQ2 2019","Currency=USD","Period=FQ","BEST_FPERIOD_OVERRIDE=FQ","FILING_STATUS=MR","SCALING_FORMAT=MLN","Sort=A","Dates=H","DateFormat=P","Fill=—","Direction=H","UseDPDF=Y")</f>
        <v>-3.0000000000000001E-3</v>
      </c>
      <c r="F41" s="13">
        <f>_xll.BDH("ALNY US Equity","ARD_EFF_OF_EXCH_RATES_ON_CASH","FQ3 2019","FQ3 2019","Currency=USD","Period=FQ","BEST_FPERIOD_OVERRIDE=FQ","FILING_STATUS=MR","SCALING_FORMAT=MLN","Sort=A","Dates=H","DateFormat=P","Fill=—","Direction=H","UseDPDF=Y")</f>
        <v>-0.44900000000000001</v>
      </c>
      <c r="G41" s="13">
        <f>_xll.BDH("ALNY US Equity","ARD_EFF_OF_EXCH_RATES_ON_CASH","FQ4 2019","FQ4 2019","Currency=USD","Period=FQ","BEST_FPERIOD_OVERRIDE=FQ","FILING_STATUS=MR","SCALING_FORMAT=MLN","Sort=A","Dates=H","DateFormat=P","Fill=—","Direction=H","UseDPDF=Y")</f>
        <v>-8.3000000000000004E-2</v>
      </c>
      <c r="H41" s="13">
        <f>_xll.BDH("ALNY US Equity","ARD_EFF_OF_EXCH_RATES_ON_CASH","FQ1 2020","FQ1 2020","Currency=USD","Period=FQ","BEST_FPERIOD_OVERRIDE=FQ","FILING_STATUS=MR","SCALING_FORMAT=MLN","Sort=A","Dates=H","DateFormat=P","Fill=—","Direction=H","UseDPDF=Y")</f>
        <v>-0.63100000000000001</v>
      </c>
      <c r="I41" s="13">
        <f>_xll.BDH("ALNY US Equity","ARD_EFF_OF_EXCH_RATES_ON_CASH","FQ2 2020","FQ2 2020","Currency=USD","Period=FQ","BEST_FPERIOD_OVERRIDE=FQ","FILING_STATUS=MR","SCALING_FORMAT=MLN","Sort=A","Dates=H","DateFormat=P","Fill=—","Direction=H","UseDPDF=Y")</f>
        <v>-0.19600000000000001</v>
      </c>
      <c r="J41" s="13">
        <f>_xll.BDH("ALNY US Equity","ARD_EFF_OF_EXCH_RATES_ON_CASH","FQ3 2020","FQ3 2020","Currency=USD","Period=FQ","BEST_FPERIOD_OVERRIDE=FQ","FILING_STATUS=MR","SCALING_FORMAT=MLN","Sort=A","Dates=H","DateFormat=P","Fill=—","Direction=H","UseDPDF=Y")</f>
        <v>1.946</v>
      </c>
      <c r="K41" s="13">
        <f>_xll.BDH("ALNY US Equity","ARD_EFF_OF_EXCH_RATES_ON_CASH","FQ4 2020","FQ4 2020","Currency=USD","Period=FQ","BEST_FPERIOD_OVERRIDE=FQ","FILING_STATUS=MR","SCALING_FORMAT=MLN","Sort=A","Dates=H","DateFormat=P","Fill=—","Direction=H","UseDPDF=Y")</f>
        <v>4.9180000000000001</v>
      </c>
      <c r="L41" s="13">
        <f>_xll.BDH("ALNY US Equity","ARD_EFF_OF_EXCH_RATES_ON_CASH","FQ1 2021","FQ1 2021","Currency=USD","Period=FQ","BEST_FPERIOD_OVERRIDE=FQ","FILING_STATUS=MR","SCALING_FORMAT=MLN","Sort=A","Dates=H","DateFormat=P","Fill=—","Direction=H","UseDPDF=Y")</f>
        <v>-3.91</v>
      </c>
      <c r="M41" s="13">
        <f>_xll.BDH("ALNY US Equity","ARD_EFF_OF_EXCH_RATES_ON_CASH","FQ2 2021","FQ2 2021","Currency=USD","Period=FQ","BEST_FPERIOD_OVERRIDE=FQ","FILING_STATUS=MR","SCALING_FORMAT=MLN","Sort=A","Dates=H","DateFormat=P","Fill=—","Direction=H","UseDPDF=Y")</f>
        <v>-2.8290000000000002</v>
      </c>
      <c r="N41" s="13">
        <f>_xll.BDH("ALNY US Equity","ARD_EFF_OF_EXCH_RATES_ON_CASH","FQ3 2021","FQ3 2021","Currency=USD","Period=FQ","BEST_FPERIOD_OVERRIDE=FQ","FILING_STATUS=MR","SCALING_FORMAT=MLN","Sort=A","Dates=H","DateFormat=P","Fill=—","Direction=H","UseDPDF=Y")</f>
        <v>-5.968</v>
      </c>
      <c r="O41" s="13">
        <f>_xll.BDH("ALNY US Equity","ARD_EFF_OF_EXCH_RATES_ON_CASH","FQ4 2021","FQ4 2021","Currency=USD","Period=FQ","BEST_FPERIOD_OVERRIDE=FQ","FILING_STATUS=MR","SCALING_FORMAT=MLN","Sort=A","Dates=H","DateFormat=P","Fill=—","Direction=H","UseDPDF=Y")</f>
        <v>-9.0180000000000007</v>
      </c>
      <c r="P41" s="13">
        <f>_xll.BDH("ALNY US Equity","ARD_EFF_OF_EXCH_RATES_ON_CASH","FQ1 2022","FQ1 2022","Currency=USD","Period=FQ","BEST_FPERIOD_OVERRIDE=FQ","FILING_STATUS=MR","SCALING_FORMAT=MLN","Sort=A","Dates=H","DateFormat=P","Fill=—","Direction=H","UseDPDF=Y")</f>
        <v>-2.238</v>
      </c>
      <c r="Q41" s="13">
        <f>_xll.BDH("ALNY US Equity","ARD_EFF_OF_EXCH_RATES_ON_CASH","FQ2 2022","FQ2 2022","Currency=USD","Period=FQ","BEST_FPERIOD_OVERRIDE=FQ","FILING_STATUS=MR","SCALING_FORMAT=MLN","Sort=A","Dates=H","DateFormat=P","Fill=—","Direction=H","UseDPDF=Y")</f>
        <v>-11.073</v>
      </c>
      <c r="R41" s="13">
        <f>_xll.BDH("ALNY US Equity","ARD_EFF_OF_EXCH_RATES_ON_CASH","FQ3 2022","FQ3 2022","Currency=USD","Period=FQ","BEST_FPERIOD_OVERRIDE=FQ","FILING_STATUS=MR","SCALING_FORMAT=MLN","Sort=A","Dates=H","DateFormat=P","Fill=—","Direction=H","UseDPDF=Y")</f>
        <v>-9.0489999999999995</v>
      </c>
      <c r="S41" s="13">
        <f>_xll.BDH("ALNY US Equity","ARD_EFF_OF_EXCH_RATES_ON_CASH","FQ4 2022","FQ4 2022","Currency=USD","Period=FQ","BEST_FPERIOD_OVERRIDE=FQ","FILING_STATUS=MR","SCALING_FORMAT=MLN","Sort=A","Dates=H","DateFormat=P","Fill=—","Direction=H","UseDPDF=Y")</f>
        <v>-7.43</v>
      </c>
      <c r="T41" s="13">
        <f>_xll.BDH("ALNY US Equity","ARD_EFF_OF_EXCH_RATES_ON_CASH","FQ1 2023","FQ1 2023","Currency=USD","Period=FQ","BEST_FPERIOD_OVERRIDE=FQ","FILING_STATUS=MR","SCALING_FORMAT=MLN","Sort=A","Dates=H","DateFormat=P","Fill=—","Direction=H","UseDPDF=Y")</f>
        <v>2.1760000000000002</v>
      </c>
      <c r="U41" s="13">
        <f>_xll.BDH("ALNY US Equity","ARD_EFF_OF_EXCH_RATES_ON_CASH","FQ2 2023","FQ2 2023","Currency=USD","Period=FQ","BEST_FPERIOD_OVERRIDE=FQ","FILING_STATUS=MR","SCALING_FORMAT=MLN","Sort=A","Dates=H","DateFormat=P","Fill=—","Direction=H","UseDPDF=Y")</f>
        <v>2.0459999999999998</v>
      </c>
      <c r="V41" s="13">
        <f>_xll.BDH("ALNY US Equity","ARD_EFF_OF_EXCH_RATES_ON_CASH","FQ3 2023","FQ3 2023","Currency=USD","Period=FQ","BEST_FPERIOD_OVERRIDE=FQ","FILING_STATUS=MR","SCALING_FORMAT=MLN","Sort=A","Dates=H","DateFormat=P","Fill=—","Direction=H","UseDPDF=Y")</f>
        <v>-4.5060000000000002</v>
      </c>
      <c r="W41" s="13">
        <f>_xll.BDH("ALNY US Equity","ARD_EFF_OF_EXCH_RATES_ON_CASH","FQ4 2023","FQ4 2023","Currency=USD","Period=FQ","BEST_FPERIOD_OVERRIDE=FQ","FILING_STATUS=MR","SCALING_FORMAT=MLN","Sort=A","Dates=H","DateFormat=P","Fill=—","Direction=H","UseDPDF=Y")</f>
        <v>6.391</v>
      </c>
      <c r="X41" s="13">
        <f>_xll.BDH("ALNY US Equity","ARD_EFF_OF_EXCH_RATES_ON_CASH","FQ1 2024","FQ1 2024","Currency=USD","Period=FQ","BEST_FPERIOD_OVERRIDE=FQ","FILING_STATUS=MR","SCALING_FORMAT=MLN","Sort=A","Dates=H","DateFormat=P","Fill=—","Direction=H","UseDPDF=Y")</f>
        <v>-9.9410000000000007</v>
      </c>
      <c r="Y41" s="13">
        <f>_xll.BDH("ALNY US Equity","ARD_EFF_OF_EXCH_RATES_ON_CASH","FQ2 2024","FQ2 2024","Currency=USD","Period=FQ","BEST_FPERIOD_OVERRIDE=FQ","FILING_STATUS=MR","SCALING_FORMAT=MLN","Sort=A","Dates=H","DateFormat=P","Fill=—","Direction=H","UseDPDF=Y")</f>
        <v>-13.061</v>
      </c>
      <c r="Z41" s="13">
        <f>_xll.BDH("ALNY US Equity","ARD_EFF_OF_EXCH_RATES_ON_CASH","FQ3 2024","FQ3 2024","Currency=USD","Period=FQ","BEST_FPERIOD_OVERRIDE=FQ","FILING_STATUS=MR","SCALING_FORMAT=MLN","Sort=A","Dates=H","DateFormat=P","Fill=—","Direction=H","UseDPDF=Y")</f>
        <v>2.032</v>
      </c>
      <c r="AA41" s="13">
        <f>_xll.BDH("ALNY US Equity","ARD_EFF_OF_EXCH_RATES_ON_CASH","FQ4 2024","FQ4 2024","Currency=USD","Period=FQ","BEST_FPERIOD_OVERRIDE=FQ","FILING_STATUS=MR","SCALING_FORMAT=MLN","Sort=A","Dates=H","DateFormat=P","Fill=—","Direction=H","UseDPDF=Y")</f>
        <v>-15.239000000000001</v>
      </c>
    </row>
    <row r="42" spans="1:27" x14ac:dyDescent="0.25">
      <c r="A42" s="10" t="s">
        <v>1319</v>
      </c>
      <c r="B42" s="10" t="s">
        <v>1320</v>
      </c>
      <c r="C42" s="13" t="str">
        <f>_xll.BDH("ALNY US Equity","ARD_OTHER_FINANCING_ACTIVITIES","FQ4 2018","FQ4 2018","Currency=USD","Period=FQ","BEST_FPERIOD_OVERRIDE=FQ","FILING_STATUS=MR","SCALING_FORMAT=MLN","Sort=A","Dates=H","DateFormat=P","Fill=—","Direction=H","UseDPDF=Y")</f>
        <v>—</v>
      </c>
      <c r="D42" s="13" t="str">
        <f>_xll.BDH("ALNY US Equity","ARD_OTHER_FINANCING_ACTIVITIES","FQ1 2019","FQ1 2019","Currency=USD","Period=FQ","BEST_FPERIOD_OVERRIDE=FQ","FILING_STATUS=MR","SCALING_FORMAT=MLN","Sort=A","Dates=H","DateFormat=P","Fill=—","Direction=H","UseDPDF=Y")</f>
        <v>—</v>
      </c>
      <c r="E42" s="13">
        <f>_xll.BDH("ALNY US Equity","ARD_OTHER_FINANCING_ACTIVITIES","FQ2 2019","FQ2 2019","Currency=USD","Period=FQ","BEST_FPERIOD_OVERRIDE=FQ","FILING_STATUS=MR","SCALING_FORMAT=MLN","Sort=A","Dates=H","DateFormat=P","Fill=—","Direction=H","UseDPDF=Y")</f>
        <v>381.9</v>
      </c>
      <c r="F42" s="13">
        <f>_xll.BDH("ALNY US Equity","ARD_OTHER_FINANCING_ACTIVITIES","FQ3 2019","FQ3 2019","Currency=USD","Period=FQ","BEST_FPERIOD_OVERRIDE=FQ","FILING_STATUS=MR","SCALING_FORMAT=MLN","Sort=A","Dates=H","DateFormat=P","Fill=—","Direction=H","UseDPDF=Y")</f>
        <v>381.9</v>
      </c>
      <c r="G42" s="13">
        <f>_xll.BDH("ALNY US Equity","ARD_OTHER_FINANCING_ACTIVITIES","FQ4 2019","FQ4 2019","Currency=USD","Period=FQ","BEST_FPERIOD_OVERRIDE=FQ","FILING_STATUS=MR","SCALING_FORMAT=MLN","Sort=A","Dates=H","DateFormat=P","Fill=—","Direction=H","UseDPDF=Y")</f>
        <v>381.9</v>
      </c>
      <c r="H42" s="13">
        <f>_xll.BDH("ALNY US Equity","ARD_OTHER_FINANCING_ACTIVITIES","FQ1 2020","FQ1 2020","Currency=USD","Period=FQ","BEST_FPERIOD_OVERRIDE=FQ","FILING_STATUS=MR","SCALING_FORMAT=MLN","Sort=A","Dates=H","DateFormat=P","Fill=—","Direction=H","UseDPDF=Y")</f>
        <v>0</v>
      </c>
      <c r="I42" s="13">
        <f>_xll.BDH("ALNY US Equity","ARD_OTHER_FINANCING_ACTIVITIES","FQ2 2020","FQ2 2020","Currency=USD","Period=FQ","BEST_FPERIOD_OVERRIDE=FQ","FILING_STATUS=MR","SCALING_FORMAT=MLN","Sort=A","Dates=H","DateFormat=P","Fill=—","Direction=H","UseDPDF=Y")</f>
        <v>0</v>
      </c>
      <c r="J42" s="13">
        <f>_xll.BDH("ALNY US Equity","ARD_OTHER_FINANCING_ACTIVITIES","FQ3 2020","FQ3 2020","Currency=USD","Period=FQ","BEST_FPERIOD_OVERRIDE=FQ","FILING_STATUS=MR","SCALING_FORMAT=MLN","Sort=A","Dates=H","DateFormat=P","Fill=—","Direction=H","UseDPDF=Y")</f>
        <v>4.2</v>
      </c>
      <c r="K42" s="13">
        <f>_xll.BDH("ALNY US Equity","ARD_OTHER_FINANCING_ACTIVITIES","FQ4 2020","FQ4 2020","Currency=USD","Period=FQ","BEST_FPERIOD_OVERRIDE=FQ","FILING_STATUS=MR","SCALING_FORMAT=MLN","Sort=A","Dates=H","DateFormat=P","Fill=—","Direction=H","UseDPDF=Y")</f>
        <v>8.4</v>
      </c>
      <c r="L42" s="13">
        <f>_xll.BDH("ALNY US Equity","ARD_OTHER_FINANCING_ACTIVITIES","FQ1 2021","FQ1 2021","Currency=USD","Period=FQ","BEST_FPERIOD_OVERRIDE=FQ","FILING_STATUS=MR","SCALING_FORMAT=MLN","Sort=A","Dates=H","DateFormat=P","Fill=—","Direction=H","UseDPDF=Y")</f>
        <v>4.2</v>
      </c>
      <c r="M42" s="13">
        <f>_xll.BDH("ALNY US Equity","ARD_OTHER_FINANCING_ACTIVITIES","FQ2 2021","FQ2 2021","Currency=USD","Period=FQ","BEST_FPERIOD_OVERRIDE=FQ","FILING_STATUS=MR","SCALING_FORMAT=MLN","Sort=A","Dates=H","DateFormat=P","Fill=—","Direction=H","UseDPDF=Y")</f>
        <v>8.4</v>
      </c>
      <c r="N42" s="13">
        <f>_xll.BDH("ALNY US Equity","ARD_OTHER_FINANCING_ACTIVITIES","FQ3 2021","FQ3 2021","Currency=USD","Period=FQ","BEST_FPERIOD_OVERRIDE=FQ","FILING_STATUS=MR","SCALING_FORMAT=MLN","Sort=A","Dates=H","DateFormat=P","Fill=—","Direction=H","UseDPDF=Y")</f>
        <v>16.100000000000001</v>
      </c>
      <c r="O42" s="13">
        <f>_xll.BDH("ALNY US Equity","ARD_OTHER_FINANCING_ACTIVITIES","FQ4 2021","FQ4 2021","Currency=USD","Period=FQ","BEST_FPERIOD_OVERRIDE=FQ","FILING_STATUS=MR","SCALING_FORMAT=MLN","Sort=A","Dates=H","DateFormat=P","Fill=—","Direction=H","UseDPDF=Y")</f>
        <v>500.85</v>
      </c>
      <c r="P42" s="13">
        <f>_xll.BDH("ALNY US Equity","ARD_OTHER_FINANCING_ACTIVITIES","FQ1 2022","FQ1 2022","Currency=USD","Period=FQ","BEST_FPERIOD_OVERRIDE=FQ","FILING_STATUS=MR","SCALING_FORMAT=MLN","Sort=A","Dates=H","DateFormat=P","Fill=—","Direction=H","UseDPDF=Y")</f>
        <v>7.8330000000000002</v>
      </c>
      <c r="Q42" s="13">
        <f>_xll.BDH("ALNY US Equity","ARD_OTHER_FINANCING_ACTIVITIES","FQ2 2022","FQ2 2022","Currency=USD","Period=FQ","BEST_FPERIOD_OVERRIDE=FQ","FILING_STATUS=MR","SCALING_FORMAT=MLN","Sort=A","Dates=H","DateFormat=P","Fill=—","Direction=H","UseDPDF=Y")</f>
        <v>15.667</v>
      </c>
      <c r="R42" s="13">
        <f>_xll.BDH("ALNY US Equity","ARD_OTHER_FINANCING_ACTIVITIES","FQ3 2022","FQ3 2022","Currency=USD","Period=FQ","BEST_FPERIOD_OVERRIDE=FQ","FILING_STATUS=MR","SCALING_FORMAT=MLN","Sort=A","Dates=H","DateFormat=P","Fill=—","Direction=H","UseDPDF=Y")</f>
        <v>23.5</v>
      </c>
      <c r="S42" s="13">
        <f>_xll.BDH("ALNY US Equity","ARD_OTHER_FINANCING_ACTIVITIES","FQ4 2022","FQ4 2022","Currency=USD","Period=FQ","BEST_FPERIOD_OVERRIDE=FQ","FILING_STATUS=MR","SCALING_FORMAT=MLN","Sort=A","Dates=H","DateFormat=P","Fill=—","Direction=H","UseDPDF=Y")</f>
        <v>-87.611000000000004</v>
      </c>
      <c r="T42" s="13">
        <f>_xll.BDH("ALNY US Equity","ARD_OTHER_FINANCING_ACTIVITIES","FQ1 2023","FQ1 2023","Currency=USD","Period=FQ","BEST_FPERIOD_OVERRIDE=FQ","FILING_STATUS=MR","SCALING_FORMAT=MLN","Sort=A","Dates=H","DateFormat=P","Fill=—","Direction=H","UseDPDF=Y")</f>
        <v>4</v>
      </c>
      <c r="U42" s="13">
        <f>_xll.BDH("ALNY US Equity","ARD_OTHER_FINANCING_ACTIVITIES","FQ2 2023","FQ2 2023","Currency=USD","Period=FQ","BEST_FPERIOD_OVERRIDE=FQ","FILING_STATUS=MR","SCALING_FORMAT=MLN","Sort=A","Dates=H","DateFormat=P","Fill=—","Direction=H","UseDPDF=Y")</f>
        <v>8</v>
      </c>
      <c r="V42" s="13">
        <f>_xll.BDH("ALNY US Equity","ARD_OTHER_FINANCING_ACTIVITIES","FQ3 2023","FQ3 2023","Currency=USD","Period=FQ","BEST_FPERIOD_OVERRIDE=FQ","FILING_STATUS=MR","SCALING_FORMAT=MLN","Sort=A","Dates=H","DateFormat=P","Fill=—","Direction=H","UseDPDF=Y")</f>
        <v>16.332999999999998</v>
      </c>
      <c r="W42" s="13">
        <f>_xll.BDH("ALNY US Equity","ARD_OTHER_FINANCING_ACTIVITIES","FQ4 2023","FQ4 2023","Currency=USD","Period=FQ","BEST_FPERIOD_OVERRIDE=FQ","FILING_STATUS=MR","SCALING_FORMAT=MLN","Sort=A","Dates=H","DateFormat=P","Fill=—","Direction=H","UseDPDF=Y")</f>
        <v>24.667000000000002</v>
      </c>
      <c r="X42" s="13">
        <f>_xll.BDH("ALNY US Equity","ARD_OTHER_FINANCING_ACTIVITIES","FQ1 2024","FQ1 2024","Currency=USD","Period=FQ","BEST_FPERIOD_OVERRIDE=FQ","FILING_STATUS=MR","SCALING_FORMAT=MLN","Sort=A","Dates=H","DateFormat=P","Fill=—","Direction=H","UseDPDF=Y")</f>
        <v>3.052</v>
      </c>
      <c r="Y42" s="13">
        <f>_xll.BDH("ALNY US Equity","ARD_OTHER_FINANCING_ACTIVITIES","FQ2 2024","FQ2 2024","Currency=USD","Period=FQ","BEST_FPERIOD_OVERRIDE=FQ","FILING_STATUS=MR","SCALING_FORMAT=MLN","Sort=A","Dates=H","DateFormat=P","Fill=—","Direction=H","UseDPDF=Y")</f>
        <v>1.77</v>
      </c>
      <c r="Z42" s="13">
        <f>_xll.BDH("ALNY US Equity","ARD_OTHER_FINANCING_ACTIVITIES","FQ3 2024","FQ3 2024","Currency=USD","Period=FQ","BEST_FPERIOD_OVERRIDE=FQ","FILING_STATUS=MR","SCALING_FORMAT=MLN","Sort=A","Dates=H","DateFormat=P","Fill=—","Direction=H","UseDPDF=Y")</f>
        <v>-3.5110000000000001</v>
      </c>
      <c r="AA42" s="13">
        <f>_xll.BDH("ALNY US Equity","ARD_OTHER_FINANCING_ACTIVITIES","FQ4 2024","FQ4 2024","Currency=USD","Period=FQ","BEST_FPERIOD_OVERRIDE=FQ","FILING_STATUS=MR","SCALING_FORMAT=MLN","Sort=A","Dates=H","DateFormat=P","Fill=—","Direction=H","UseDPDF=Y")</f>
        <v>-8.7919999999999998</v>
      </c>
    </row>
    <row r="43" spans="1:27" x14ac:dyDescent="0.25">
      <c r="A43" s="10" t="s">
        <v>1321</v>
      </c>
      <c r="B43" s="10" t="s">
        <v>1322</v>
      </c>
      <c r="C43" s="13">
        <f>_xll.BDH("ALNY US Equity","ARD_EXERCISE_OF_STOCK_OPTIONS","FQ4 2018","FQ4 2018","Currency=USD","Period=FQ","BEST_FPERIOD_OVERRIDE=FQ","FILING_STATUS=MR","SCALING_FORMAT=MLN","Sort=A","Dates=H","DateFormat=P","Fill=—","Direction=H","UseDPDF=Y")</f>
        <v>68.938999999999993</v>
      </c>
      <c r="D43" s="13">
        <f>_xll.BDH("ALNY US Equity","ARD_EXERCISE_OF_STOCK_OPTIONS","FQ1 2019","FQ1 2019","Currency=USD","Period=FQ","BEST_FPERIOD_OVERRIDE=FQ","FILING_STATUS=MR","SCALING_FORMAT=MLN","Sort=A","Dates=H","DateFormat=P","Fill=—","Direction=H","UseDPDF=Y")</f>
        <v>9.0830000000000002</v>
      </c>
      <c r="E43" s="13">
        <f>_xll.BDH("ALNY US Equity","ARD_EXERCISE_OF_STOCK_OPTIONS","FQ2 2019","FQ2 2019","Currency=USD","Period=FQ","BEST_FPERIOD_OVERRIDE=FQ","FILING_STATUS=MR","SCALING_FORMAT=MLN","Sort=A","Dates=H","DateFormat=P","Fill=—","Direction=H","UseDPDF=Y")</f>
        <v>21.725000000000001</v>
      </c>
      <c r="F43" s="13">
        <f>_xll.BDH("ALNY US Equity","ARD_EXERCISE_OF_STOCK_OPTIONS","FQ3 2019","FQ3 2019","Currency=USD","Period=FQ","BEST_FPERIOD_OVERRIDE=FQ","FILING_STATUS=MR","SCALING_FORMAT=MLN","Sort=A","Dates=H","DateFormat=P","Fill=—","Direction=H","UseDPDF=Y")</f>
        <v>30.942</v>
      </c>
      <c r="G43" s="13">
        <f>_xll.BDH("ALNY US Equity","ARD_EXERCISE_OF_STOCK_OPTIONS","FQ4 2019","FQ4 2019","Currency=USD","Period=FQ","BEST_FPERIOD_OVERRIDE=FQ","FILING_STATUS=MR","SCALING_FORMAT=MLN","Sort=A","Dates=H","DateFormat=P","Fill=—","Direction=H","UseDPDF=Y")</f>
        <v>71.284000000000006</v>
      </c>
      <c r="H43" s="13">
        <f>_xll.BDH("ALNY US Equity","ARD_EXERCISE_OF_STOCK_OPTIONS","FQ1 2020","FQ1 2020","Currency=USD","Period=FQ","BEST_FPERIOD_OVERRIDE=FQ","FILING_STATUS=MR","SCALING_FORMAT=MLN","Sort=A","Dates=H","DateFormat=P","Fill=—","Direction=H","UseDPDF=Y")</f>
        <v>53.869</v>
      </c>
      <c r="I43" s="13">
        <f>_xll.BDH("ALNY US Equity","ARD_EXERCISE_OF_STOCK_OPTIONS","FQ2 2020","FQ2 2020","Currency=USD","Period=FQ","BEST_FPERIOD_OVERRIDE=FQ","FILING_STATUS=MR","SCALING_FORMAT=MLN","Sort=A","Dates=H","DateFormat=P","Fill=—","Direction=H","UseDPDF=Y")</f>
        <v>151.512</v>
      </c>
      <c r="J43" s="13">
        <f>_xll.BDH("ALNY US Equity","ARD_EXERCISE_OF_STOCK_OPTIONS","FQ3 2020","FQ3 2020","Currency=USD","Period=FQ","BEST_FPERIOD_OVERRIDE=FQ","FILING_STATUS=MR","SCALING_FORMAT=MLN","Sort=A","Dates=H","DateFormat=P","Fill=—","Direction=H","UseDPDF=Y")</f>
        <v>181.459</v>
      </c>
      <c r="K43" s="13">
        <f>_xll.BDH("ALNY US Equity","ARD_EXERCISE_OF_STOCK_OPTIONS","FQ4 2020","FQ4 2020","Currency=USD","Period=FQ","BEST_FPERIOD_OVERRIDE=FQ","FILING_STATUS=MR","SCALING_FORMAT=MLN","Sort=A","Dates=H","DateFormat=P","Fill=—","Direction=H","UseDPDF=Y")</f>
        <v>200.48400000000001</v>
      </c>
      <c r="L43" s="13">
        <f>_xll.BDH("ALNY US Equity","ARD_EXERCISE_OF_STOCK_OPTIONS","FQ1 2021","FQ1 2021","Currency=USD","Period=FQ","BEST_FPERIOD_OVERRIDE=FQ","FILING_STATUS=MR","SCALING_FORMAT=MLN","Sort=A","Dates=H","DateFormat=P","Fill=—","Direction=H","UseDPDF=Y")</f>
        <v>46.976999999999997</v>
      </c>
      <c r="M43" s="13">
        <f>_xll.BDH("ALNY US Equity","ARD_EXERCISE_OF_STOCK_OPTIONS","FQ2 2021","FQ2 2021","Currency=USD","Period=FQ","BEST_FPERIOD_OVERRIDE=FQ","FILING_STATUS=MR","SCALING_FORMAT=MLN","Sort=A","Dates=H","DateFormat=P","Fill=—","Direction=H","UseDPDF=Y")</f>
        <v>128.83799999999999</v>
      </c>
      <c r="N43" s="13">
        <f>_xll.BDH("ALNY US Equity","ARD_EXERCISE_OF_STOCK_OPTIONS","FQ3 2021","FQ3 2021","Currency=USD","Period=FQ","BEST_FPERIOD_OVERRIDE=FQ","FILING_STATUS=MR","SCALING_FORMAT=MLN","Sort=A","Dates=H","DateFormat=P","Fill=—","Direction=H","UseDPDF=Y")</f>
        <v>201.227</v>
      </c>
      <c r="O43" s="13">
        <f>_xll.BDH("ALNY US Equity","ARD_EXERCISE_OF_STOCK_OPTIONS","FQ4 2021","FQ4 2021","Currency=USD","Period=FQ","BEST_FPERIOD_OVERRIDE=FQ","FILING_STATUS=MR","SCALING_FORMAT=MLN","Sort=A","Dates=H","DateFormat=P","Fill=—","Direction=H","UseDPDF=Y")</f>
        <v>246.268</v>
      </c>
      <c r="P43" s="13">
        <f>_xll.BDH("ALNY US Equity","ARD_EXERCISE_OF_STOCK_OPTIONS","FQ1 2022","FQ1 2022","Currency=USD","Period=FQ","BEST_FPERIOD_OVERRIDE=FQ","FILING_STATUS=MR","SCALING_FORMAT=MLN","Sort=A","Dates=H","DateFormat=P","Fill=—","Direction=H","UseDPDF=Y")</f>
        <v>27.123000000000001</v>
      </c>
      <c r="Q43" s="13">
        <f>_xll.BDH("ALNY US Equity","ARD_EXERCISE_OF_STOCK_OPTIONS","FQ2 2022","FQ2 2022","Currency=USD","Period=FQ","BEST_FPERIOD_OVERRIDE=FQ","FILING_STATUS=MR","SCALING_FORMAT=MLN","Sort=A","Dates=H","DateFormat=P","Fill=—","Direction=H","UseDPDF=Y")</f>
        <v>49.625999999999998</v>
      </c>
      <c r="R43" s="13">
        <f>_xll.BDH("ALNY US Equity","ARD_EXERCISE_OF_STOCK_OPTIONS","FQ3 2022","FQ3 2022","Currency=USD","Period=FQ","BEST_FPERIOD_OVERRIDE=FQ","FILING_STATUS=MR","SCALING_FORMAT=MLN","Sort=A","Dates=H","DateFormat=P","Fill=—","Direction=H","UseDPDF=Y")</f>
        <v>202.64599999999999</v>
      </c>
      <c r="S43" s="13">
        <f>_xll.BDH("ALNY US Equity","ARD_EXERCISE_OF_STOCK_OPTIONS","FQ4 2022","FQ4 2022","Currency=USD","Period=FQ","BEST_FPERIOD_OVERRIDE=FQ","FILING_STATUS=MR","SCALING_FORMAT=MLN","Sort=A","Dates=H","DateFormat=P","Fill=—","Direction=H","UseDPDF=Y")</f>
        <v>259.36</v>
      </c>
      <c r="T43" s="13">
        <f>_xll.BDH("ALNY US Equity","ARD_EXERCISE_OF_STOCK_OPTIONS","FQ1 2023","FQ1 2023","Currency=USD","Period=FQ","BEST_FPERIOD_OVERRIDE=FQ","FILING_STATUS=MR","SCALING_FORMAT=MLN","Sort=A","Dates=H","DateFormat=P","Fill=—","Direction=H","UseDPDF=Y")</f>
        <v>42.371000000000002</v>
      </c>
      <c r="U43" s="13">
        <f>_xll.BDH("ALNY US Equity","ARD_EXERCISE_OF_STOCK_OPTIONS","FQ2 2023","FQ2 2023","Currency=USD","Period=FQ","BEST_FPERIOD_OVERRIDE=FQ","FILING_STATUS=MR","SCALING_FORMAT=MLN","Sort=A","Dates=H","DateFormat=P","Fill=—","Direction=H","UseDPDF=Y")</f>
        <v>91.765000000000001</v>
      </c>
      <c r="V43" s="13">
        <f>_xll.BDH("ALNY US Equity","ARD_EXERCISE_OF_STOCK_OPTIONS","FQ3 2023","FQ3 2023","Currency=USD","Period=FQ","BEST_FPERIOD_OVERRIDE=FQ","FILING_STATUS=MR","SCALING_FORMAT=MLN","Sort=A","Dates=H","DateFormat=P","Fill=—","Direction=H","UseDPDF=Y")</f>
        <v>116.57</v>
      </c>
      <c r="W43" s="13">
        <f>_xll.BDH("ALNY US Equity","ARD_EXERCISE_OF_STOCK_OPTIONS","FQ4 2023","FQ4 2023","Currency=USD","Period=FQ","BEST_FPERIOD_OVERRIDE=FQ","FILING_STATUS=MR","SCALING_FORMAT=MLN","Sort=A","Dates=H","DateFormat=P","Fill=—","Direction=H","UseDPDF=Y")</f>
        <v>147.464</v>
      </c>
      <c r="X43" s="13">
        <f>_xll.BDH("ALNY US Equity","ARD_EXERCISE_OF_STOCK_OPTIONS","FQ1 2024","FQ1 2024","Currency=USD","Period=FQ","BEST_FPERIOD_OVERRIDE=FQ","FILING_STATUS=MR","SCALING_FORMAT=MLN","Sort=A","Dates=H","DateFormat=P","Fill=—","Direction=H","UseDPDF=Y")</f>
        <v>25.859000000000002</v>
      </c>
      <c r="Y43" s="13">
        <f>_xll.BDH("ALNY US Equity","ARD_EXERCISE_OF_STOCK_OPTIONS","FQ2 2024","FQ2 2024","Currency=USD","Period=FQ","BEST_FPERIOD_OVERRIDE=FQ","FILING_STATUS=MR","SCALING_FORMAT=MLN","Sort=A","Dates=H","DateFormat=P","Fill=—","Direction=H","UseDPDF=Y")</f>
        <v>158.637</v>
      </c>
      <c r="Z43" s="13">
        <f>_xll.BDH("ALNY US Equity","ARD_EXERCISE_OF_STOCK_OPTIONS","FQ3 2024","FQ3 2024","Currency=USD","Period=FQ","BEST_FPERIOD_OVERRIDE=FQ","FILING_STATUS=MR","SCALING_FORMAT=MLN","Sort=A","Dates=H","DateFormat=P","Fill=—","Direction=H","UseDPDF=Y")</f>
        <v>266.673</v>
      </c>
      <c r="AA43" s="13">
        <f>_xll.BDH("ALNY US Equity","ARD_EXERCISE_OF_STOCK_OPTIONS","FQ4 2024","FQ4 2024","Currency=USD","Period=FQ","BEST_FPERIOD_OVERRIDE=FQ","FILING_STATUS=MR","SCALING_FORMAT=MLN","Sort=A","Dates=H","DateFormat=P","Fill=—","Direction=H","UseDPDF=Y")</f>
        <v>302.95100000000002</v>
      </c>
    </row>
    <row r="44" spans="1:27" x14ac:dyDescent="0.25">
      <c r="A44" s="10" t="s">
        <v>1323</v>
      </c>
      <c r="B44" s="10" t="s">
        <v>1324</v>
      </c>
      <c r="C44" s="13">
        <f>_xll.BDH("ALNY US Equity","ARD_NET_CHANGE_IN_CASH","FQ4 2018","FQ4 2018","Currency=USD","Period=FQ","BEST_FPERIOD_OVERRIDE=FQ","FILING_STATUS=MR","SCALING_FORMAT=MLN","Sort=A","Dates=H","DateFormat=P","Fill=—","Direction=H","UseDPDF=Y")</f>
        <v>-224.20099999999999</v>
      </c>
      <c r="D44" s="13">
        <f>_xll.BDH("ALNY US Equity","ARD_NET_CHANGE_IN_CASH","FQ1 2019","FQ1 2019","Currency=USD","Period=FQ","BEST_FPERIOD_OVERRIDE=FQ","FILING_STATUS=MR","SCALING_FORMAT=MLN","Sort=A","Dates=H","DateFormat=P","Fill=—","Direction=H","UseDPDF=Y")</f>
        <v>305.07299999999998</v>
      </c>
      <c r="E44" s="13">
        <f>_xll.BDH("ALNY US Equity","ARD_NET_CHANGE_IN_CASH","FQ2 2019","FQ2 2019","Currency=USD","Period=FQ","BEST_FPERIOD_OVERRIDE=FQ","FILING_STATUS=MR","SCALING_FORMAT=MLN","Sort=A","Dates=H","DateFormat=P","Fill=—","Direction=H","UseDPDF=Y")</f>
        <v>716.97299999999996</v>
      </c>
      <c r="F44" s="13">
        <f>_xll.BDH("ALNY US Equity","ARD_NET_CHANGE_IN_CASH","FQ3 2019","FQ3 2019","Currency=USD","Period=FQ","BEST_FPERIOD_OVERRIDE=FQ","FILING_STATUS=MR","SCALING_FORMAT=MLN","Sort=A","Dates=H","DateFormat=P","Fill=—","Direction=H","UseDPDF=Y")</f>
        <v>503.11900000000003</v>
      </c>
      <c r="G44" s="13">
        <f>_xll.BDH("ALNY US Equity","ARD_NET_CHANGE_IN_CASH","FQ4 2019","FQ4 2019","Currency=USD","Period=FQ","BEST_FPERIOD_OVERRIDE=FQ","FILING_STATUS=MR","SCALING_FORMAT=MLN","Sort=A","Dates=H","DateFormat=P","Fill=—","Direction=H","UseDPDF=Y")</f>
        <v>126.997</v>
      </c>
      <c r="H44" s="13">
        <f>_xll.BDH("ALNY US Equity","ARD_NET_CHANGE_IN_CASH","FQ1 2020","FQ1 2020","Currency=USD","Period=FQ","BEST_FPERIOD_OVERRIDE=FQ","FILING_STATUS=MR","SCALING_FORMAT=MLN","Sort=A","Dates=H","DateFormat=P","Fill=—","Direction=H","UseDPDF=Y")</f>
        <v>-79.234999999999999</v>
      </c>
      <c r="I44" s="13">
        <f>_xll.BDH("ALNY US Equity","ARD_NET_CHANGE_IN_CASH","FQ2 2020","FQ2 2020","Currency=USD","Period=FQ","BEST_FPERIOD_OVERRIDE=FQ","FILING_STATUS=MR","SCALING_FORMAT=MLN","Sort=A","Dates=H","DateFormat=P","Fill=—","Direction=H","UseDPDF=Y")</f>
        <v>33.652999999999999</v>
      </c>
      <c r="J44" s="13">
        <f>_xll.BDH("ALNY US Equity","ARD_NET_CHANGE_IN_CASH","FQ3 2020","FQ3 2020","Currency=USD","Period=FQ","BEST_FPERIOD_OVERRIDE=FQ","FILING_STATUS=MR","SCALING_FORMAT=MLN","Sort=A","Dates=H","DateFormat=P","Fill=—","Direction=H","UseDPDF=Y")</f>
        <v>-50.472000000000001</v>
      </c>
      <c r="K44" s="13">
        <f>_xll.BDH("ALNY US Equity","ARD_NET_CHANGE_IN_CASH","FQ4 2020","FQ4 2020","Currency=USD","Period=FQ","BEST_FPERIOD_OVERRIDE=FQ","FILING_STATUS=MR","SCALING_FORMAT=MLN","Sort=A","Dates=H","DateFormat=P","Fill=—","Direction=H","UseDPDF=Y")</f>
        <v>-50.582000000000001</v>
      </c>
      <c r="L44" s="13">
        <f>_xll.BDH("ALNY US Equity","ARD_NET_CHANGE_IN_CASH","FQ1 2021","FQ1 2021","Currency=USD","Period=FQ","BEST_FPERIOD_OVERRIDE=FQ","FILING_STATUS=MR","SCALING_FORMAT=MLN","Sort=A","Dates=H","DateFormat=P","Fill=—","Direction=H","UseDPDF=Y")</f>
        <v>-117.041</v>
      </c>
      <c r="M44" s="13">
        <f>_xll.BDH("ALNY US Equity","ARD_NET_CHANGE_IN_CASH","FQ2 2021","FQ2 2021","Currency=USD","Period=FQ","BEST_FPERIOD_OVERRIDE=FQ","FILING_STATUS=MR","SCALING_FORMAT=MLN","Sort=A","Dates=H","DateFormat=P","Fill=—","Direction=H","UseDPDF=Y")</f>
        <v>249.01900000000001</v>
      </c>
      <c r="N44" s="13">
        <f>_xll.BDH("ALNY US Equity","ARD_NET_CHANGE_IN_CASH","FQ3 2021","FQ3 2021","Currency=USD","Period=FQ","BEST_FPERIOD_OVERRIDE=FQ","FILING_STATUS=MR","SCALING_FORMAT=MLN","Sort=A","Dates=H","DateFormat=P","Fill=—","Direction=H","UseDPDF=Y")</f>
        <v>597.41200000000003</v>
      </c>
      <c r="O44" s="13">
        <f>_xll.BDH("ALNY US Equity","ARD_NET_CHANGE_IN_CASH","FQ4 2021","FQ4 2021","Currency=USD","Period=FQ","BEST_FPERIOD_OVERRIDE=FQ","FILING_STATUS=MR","SCALING_FORMAT=MLN","Sort=A","Dates=H","DateFormat=P","Fill=—","Direction=H","UseDPDF=Y")</f>
        <v>323.10700000000003</v>
      </c>
      <c r="P44" s="13">
        <f>_xll.BDH("ALNY US Equity","ARD_NET_CHANGE_IN_CASH","FQ1 2022","FQ1 2022","Currency=USD","Period=FQ","BEST_FPERIOD_OVERRIDE=FQ","FILING_STATUS=MR","SCALING_FORMAT=MLN","Sort=A","Dates=H","DateFormat=P","Fill=—","Direction=H","UseDPDF=Y")</f>
        <v>-285.89400000000001</v>
      </c>
      <c r="Q44" s="13">
        <f>_xll.BDH("ALNY US Equity","ARD_NET_CHANGE_IN_CASH","FQ2 2022","FQ2 2022","Currency=USD","Period=FQ","BEST_FPERIOD_OVERRIDE=FQ","FILING_STATUS=MR","SCALING_FORMAT=MLN","Sort=A","Dates=H","DateFormat=P","Fill=—","Direction=H","UseDPDF=Y")</f>
        <v>-244.41800000000001</v>
      </c>
      <c r="R44" s="13">
        <f>_xll.BDH("ALNY US Equity","ARD_NET_CHANGE_IN_CASH","FQ3 2022","FQ3 2022","Currency=USD","Period=FQ","BEST_FPERIOD_OVERRIDE=FQ","FILING_STATUS=MR","SCALING_FORMAT=MLN","Sort=A","Dates=H","DateFormat=P","Fill=—","Direction=H","UseDPDF=Y")</f>
        <v>253.23599999999999</v>
      </c>
      <c r="S44" s="13">
        <f>_xll.BDH("ALNY US Equity","ARD_NET_CHANGE_IN_CASH","FQ4 2022","FQ4 2022","Currency=USD","Period=FQ","BEST_FPERIOD_OVERRIDE=FQ","FILING_STATUS=MR","SCALING_FORMAT=MLN","Sort=A","Dates=H","DateFormat=P","Fill=—","Direction=H","UseDPDF=Y")</f>
        <v>46.402999999999999</v>
      </c>
      <c r="T44" s="13">
        <f>_xll.BDH("ALNY US Equity","ARD_NET_CHANGE_IN_CASH","FQ1 2023","FQ1 2023","Currency=USD","Period=FQ","BEST_FPERIOD_OVERRIDE=FQ","FILING_STATUS=MR","SCALING_FORMAT=MLN","Sort=A","Dates=H","DateFormat=P","Fill=—","Direction=H","UseDPDF=Y")</f>
        <v>-194.14500000000001</v>
      </c>
      <c r="U44" s="13">
        <f>_xll.BDH("ALNY US Equity","ARD_NET_CHANGE_IN_CASH","FQ2 2023","FQ2 2023","Currency=USD","Period=FQ","BEST_FPERIOD_OVERRIDE=FQ","FILING_STATUS=MR","SCALING_FORMAT=MLN","Sort=A","Dates=H","DateFormat=P","Fill=—","Direction=H","UseDPDF=Y")</f>
        <v>-208.58</v>
      </c>
      <c r="V44" s="13">
        <f>_xll.BDH("ALNY US Equity","ARD_NET_CHANGE_IN_CASH","FQ3 2023","FQ3 2023","Currency=USD","Period=FQ","BEST_FPERIOD_OVERRIDE=FQ","FILING_STATUS=MR","SCALING_FORMAT=MLN","Sort=A","Dates=H","DateFormat=P","Fill=—","Direction=H","UseDPDF=Y")</f>
        <v>166.654</v>
      </c>
      <c r="W44" s="13">
        <f>_xll.BDH("ALNY US Equity","ARD_NET_CHANGE_IN_CASH","FQ4 2023","FQ4 2023","Currency=USD","Period=FQ","BEST_FPERIOD_OVERRIDE=FQ","FILING_STATUS=MR","SCALING_FORMAT=MLN","Sort=A","Dates=H","DateFormat=P","Fill=—","Direction=H","UseDPDF=Y")</f>
        <v>-53.671999999999997</v>
      </c>
      <c r="X44" s="13">
        <f>_xll.BDH("ALNY US Equity","ARD_NET_CHANGE_IN_CASH","FQ1 2024","FQ1 2024","Currency=USD","Period=FQ","BEST_FPERIOD_OVERRIDE=FQ","FILING_STATUS=MR","SCALING_FORMAT=MLN","Sort=A","Dates=H","DateFormat=P","Fill=—","Direction=H","UseDPDF=Y")</f>
        <v>-130.16499999999999</v>
      </c>
      <c r="Y44" s="13">
        <f>_xll.BDH("ALNY US Equity","ARD_NET_CHANGE_IN_CASH","FQ2 2024","FQ2 2024","Currency=USD","Period=FQ","BEST_FPERIOD_OVERRIDE=FQ","FILING_STATUS=MR","SCALING_FORMAT=MLN","Sort=A","Dates=H","DateFormat=P","Fill=—","Direction=H","UseDPDF=Y")</f>
        <v>156.309</v>
      </c>
      <c r="Z44" s="13">
        <f>_xll.BDH("ALNY US Equity","ARD_NET_CHANGE_IN_CASH","FQ3 2024","FQ3 2024","Currency=USD","Period=FQ","BEST_FPERIOD_OVERRIDE=FQ","FILING_STATUS=MR","SCALING_FORMAT=MLN","Sort=A","Dates=H","DateFormat=P","Fill=—","Direction=H","UseDPDF=Y")</f>
        <v>287.61399999999998</v>
      </c>
      <c r="AA44" s="13">
        <f>_xll.BDH("ALNY US Equity","ARD_NET_CHANGE_IN_CASH","FQ4 2024","FQ4 2024","Currency=USD","Period=FQ","BEST_FPERIOD_OVERRIDE=FQ","FILING_STATUS=MR","SCALING_FORMAT=MLN","Sort=A","Dates=H","DateFormat=P","Fill=—","Direction=H","UseDPDF=Y")</f>
        <v>153.768</v>
      </c>
    </row>
    <row r="45" spans="1:27" x14ac:dyDescent="0.25">
      <c r="A45" s="10" t="s">
        <v>1325</v>
      </c>
      <c r="B45" s="10" t="s">
        <v>1326</v>
      </c>
      <c r="C45" s="13">
        <f>_xll.BDH("ALNY US Equity","ARD_CASH_CASH_EQUIV_END_OF_PER","FQ4 2018","FQ4 2018","Currency=USD","Period=FQ","BEST_FPERIOD_OVERRIDE=FQ","FILING_STATUS=MR","SCALING_FORMAT=MLN","Sort=A","Dates=H","DateFormat=P","Fill=—","Direction=H","UseDPDF=Y")</f>
        <v>422.63099999999997</v>
      </c>
      <c r="D45" s="13">
        <f>_xll.BDH("ALNY US Equity","ARD_CASH_CASH_EQUIV_END_OF_PER","FQ1 2019","FQ1 2019","Currency=USD","Period=FQ","BEST_FPERIOD_OVERRIDE=FQ","FILING_STATUS=MR","SCALING_FORMAT=MLN","Sort=A","Dates=H","DateFormat=P","Fill=—","Direction=H","UseDPDF=Y")</f>
        <v>727.70399999999995</v>
      </c>
      <c r="E45" s="13">
        <f>_xll.BDH("ALNY US Equity","ARD_CASH_CASH_EQUIV_END_OF_PER","FQ2 2019","FQ2 2019","Currency=USD","Period=FQ","BEST_FPERIOD_OVERRIDE=FQ","FILING_STATUS=MR","SCALING_FORMAT=MLN","Sort=A","Dates=H","DateFormat=P","Fill=—","Direction=H","UseDPDF=Y")</f>
        <v>1139.604</v>
      </c>
      <c r="F45" s="13">
        <f>_xll.BDH("ALNY US Equity","ARD_CASH_CASH_EQUIV_END_OF_PER","FQ3 2019","FQ3 2019","Currency=USD","Period=FQ","BEST_FPERIOD_OVERRIDE=FQ","FILING_STATUS=MR","SCALING_FORMAT=MLN","Sort=A","Dates=H","DateFormat=P","Fill=—","Direction=H","UseDPDF=Y")</f>
        <v>925.75</v>
      </c>
      <c r="G45" s="13">
        <f>_xll.BDH("ALNY US Equity","ARD_CASH_CASH_EQUIV_END_OF_PER","FQ4 2019","FQ4 2019","Currency=USD","Period=FQ","BEST_FPERIOD_OVERRIDE=FQ","FILING_STATUS=MR","SCALING_FORMAT=MLN","Sort=A","Dates=H","DateFormat=P","Fill=—","Direction=H","UseDPDF=Y")</f>
        <v>549.62800000000004</v>
      </c>
      <c r="H45" s="13">
        <f>_xll.BDH("ALNY US Equity","ARD_CASH_CASH_EQUIV_END_OF_PER","FQ1 2020","FQ1 2020","Currency=USD","Period=FQ","BEST_FPERIOD_OVERRIDE=FQ","FILING_STATUS=MR","SCALING_FORMAT=MLN","Sort=A","Dates=H","DateFormat=P","Fill=—","Direction=H","UseDPDF=Y")</f>
        <v>470.39299999999997</v>
      </c>
      <c r="I45" s="13">
        <f>_xll.BDH("ALNY US Equity","ARD_CASH_CASH_EQUIV_END_OF_PER","FQ2 2020","FQ2 2020","Currency=USD","Period=FQ","BEST_FPERIOD_OVERRIDE=FQ","FILING_STATUS=MR","SCALING_FORMAT=MLN","Sort=A","Dates=H","DateFormat=P","Fill=—","Direction=H","UseDPDF=Y")</f>
        <v>583.28099999999995</v>
      </c>
      <c r="J45" s="13">
        <f>_xll.BDH("ALNY US Equity","ARD_CASH_CASH_EQUIV_END_OF_PER","FQ3 2020","FQ3 2020","Currency=USD","Period=FQ","BEST_FPERIOD_OVERRIDE=FQ","FILING_STATUS=MR","SCALING_FORMAT=MLN","Sort=A","Dates=H","DateFormat=P","Fill=—","Direction=H","UseDPDF=Y")</f>
        <v>499.15600000000001</v>
      </c>
      <c r="K45" s="13">
        <f>_xll.BDH("ALNY US Equity","ARD_CASH_CASH_EQUIV_END_OF_PER","FQ4 2020","FQ4 2020","Currency=USD","Period=FQ","BEST_FPERIOD_OVERRIDE=FQ","FILING_STATUS=MR","SCALING_FORMAT=MLN","Sort=A","Dates=H","DateFormat=P","Fill=—","Direction=H","UseDPDF=Y")</f>
        <v>499.04599999999999</v>
      </c>
      <c r="L45" s="13">
        <f>_xll.BDH("ALNY US Equity","ARD_CASH_CASH_EQUIV_END_OF_PER","FQ1 2021","FQ1 2021","Currency=USD","Period=FQ","BEST_FPERIOD_OVERRIDE=FQ","FILING_STATUS=MR","SCALING_FORMAT=MLN","Sort=A","Dates=H","DateFormat=P","Fill=—","Direction=H","UseDPDF=Y")</f>
        <v>382.005</v>
      </c>
      <c r="M45" s="13">
        <f>_xll.BDH("ALNY US Equity","ARD_CASH_CASH_EQUIV_END_OF_PER","FQ2 2021","FQ2 2021","Currency=USD","Period=FQ","BEST_FPERIOD_OVERRIDE=FQ","FILING_STATUS=MR","SCALING_FORMAT=MLN","Sort=A","Dates=H","DateFormat=P","Fill=—","Direction=H","UseDPDF=Y")</f>
        <v>748.06500000000005</v>
      </c>
      <c r="N45" s="13">
        <f>_xll.BDH("ALNY US Equity","ARD_CASH_CASH_EQUIV_END_OF_PER","FQ3 2021","FQ3 2021","Currency=USD","Period=FQ","BEST_FPERIOD_OVERRIDE=FQ","FILING_STATUS=MR","SCALING_FORMAT=MLN","Sort=A","Dates=H","DateFormat=P","Fill=—","Direction=H","UseDPDF=Y")</f>
        <v>1096.4580000000001</v>
      </c>
      <c r="O45" s="13">
        <f>_xll.BDH("ALNY US Equity","ARD_CASH_CASH_EQUIV_END_OF_PER","FQ4 2021","FQ4 2021","Currency=USD","Period=FQ","BEST_FPERIOD_OVERRIDE=FQ","FILING_STATUS=MR","SCALING_FORMAT=MLN","Sort=A","Dates=H","DateFormat=P","Fill=—","Direction=H","UseDPDF=Y")</f>
        <v>822.15300000000002</v>
      </c>
      <c r="P45" s="13">
        <f>_xll.BDH("ALNY US Equity","ARD_CASH_CASH_EQUIV_END_OF_PER","FQ1 2022","FQ1 2022","Currency=USD","Period=FQ","BEST_FPERIOD_OVERRIDE=FQ","FILING_STATUS=MR","SCALING_FORMAT=MLN","Sort=A","Dates=H","DateFormat=P","Fill=—","Direction=H","UseDPDF=Y")</f>
        <v>536.25900000000001</v>
      </c>
      <c r="Q45" s="13">
        <f>_xll.BDH("ALNY US Equity","ARD_CASH_CASH_EQUIV_END_OF_PER","FQ2 2022","FQ2 2022","Currency=USD","Period=FQ","BEST_FPERIOD_OVERRIDE=FQ","FILING_STATUS=MR","SCALING_FORMAT=MLN","Sort=A","Dates=H","DateFormat=P","Fill=—","Direction=H","UseDPDF=Y")</f>
        <v>577.73500000000001</v>
      </c>
      <c r="R45" s="13">
        <f>_xll.BDH("ALNY US Equity","ARD_CASH_CASH_EQUIV_END_OF_PER","FQ3 2022","FQ3 2022","Currency=USD","Period=FQ","BEST_FPERIOD_OVERRIDE=FQ","FILING_STATUS=MR","SCALING_FORMAT=MLN","Sort=A","Dates=H","DateFormat=P","Fill=—","Direction=H","UseDPDF=Y")</f>
        <v>1075.3889999999999</v>
      </c>
      <c r="S45" s="13">
        <f>_xll.BDH("ALNY US Equity","ARD_CASH_CASH_EQUIV_END_OF_PER","FQ4 2022","FQ4 2022","Currency=USD","Period=FQ","BEST_FPERIOD_OVERRIDE=FQ","FILING_STATUS=MR","SCALING_FORMAT=MLN","Sort=A","Dates=H","DateFormat=P","Fill=—","Direction=H","UseDPDF=Y")</f>
        <v>868.55600000000004</v>
      </c>
      <c r="T45" s="13">
        <f>_xll.BDH("ALNY US Equity","ARD_CASH_CASH_EQUIV_END_OF_PER","FQ1 2023","FQ1 2023","Currency=USD","Period=FQ","BEST_FPERIOD_OVERRIDE=FQ","FILING_STATUS=MR","SCALING_FORMAT=MLN","Sort=A","Dates=H","DateFormat=P","Fill=—","Direction=H","UseDPDF=Y")</f>
        <v>674.41099999999994</v>
      </c>
      <c r="U45" s="13">
        <f>_xll.BDH("ALNY US Equity","ARD_CASH_CASH_EQUIV_END_OF_PER","FQ2 2023","FQ2 2023","Currency=USD","Period=FQ","BEST_FPERIOD_OVERRIDE=FQ","FILING_STATUS=MR","SCALING_FORMAT=MLN","Sort=A","Dates=H","DateFormat=P","Fill=—","Direction=H","UseDPDF=Y")</f>
        <v>659.976</v>
      </c>
      <c r="V45" s="13">
        <f>_xll.BDH("ALNY US Equity","ARD_CASH_CASH_EQUIV_END_OF_PER","FQ3 2023","FQ3 2023","Currency=USD","Period=FQ","BEST_FPERIOD_OVERRIDE=FQ","FILING_STATUS=MR","SCALING_FORMAT=MLN","Sort=A","Dates=H","DateFormat=P","Fill=—","Direction=H","UseDPDF=Y")</f>
        <v>1035.21</v>
      </c>
      <c r="W45" s="13">
        <f>_xll.BDH("ALNY US Equity","ARD_CASH_CASH_EQUIV_END_OF_PER","FQ4 2023","FQ4 2023","Currency=USD","Period=FQ","BEST_FPERIOD_OVERRIDE=FQ","FILING_STATUS=MR","SCALING_FORMAT=MLN","Sort=A","Dates=H","DateFormat=P","Fill=—","Direction=H","UseDPDF=Y")</f>
        <v>814.88400000000001</v>
      </c>
      <c r="X45" s="13">
        <f>_xll.BDH("ALNY US Equity","ARD_CASH_CASH_EQUIV_END_OF_PER","FQ1 2024","FQ1 2024","Currency=USD","Period=FQ","BEST_FPERIOD_OVERRIDE=FQ","FILING_STATUS=MR","SCALING_FORMAT=MLN","Sort=A","Dates=H","DateFormat=P","Fill=—","Direction=H","UseDPDF=Y")</f>
        <v>684.71900000000005</v>
      </c>
      <c r="Y45" s="13">
        <f>_xll.BDH("ALNY US Equity","ARD_CASH_CASH_EQUIV_END_OF_PER","FQ2 2024","FQ2 2024","Currency=USD","Period=FQ","BEST_FPERIOD_OVERRIDE=FQ","FILING_STATUS=MR","SCALING_FORMAT=MLN","Sort=A","Dates=H","DateFormat=P","Fill=—","Direction=H","UseDPDF=Y")</f>
        <v>971.19299999999998</v>
      </c>
      <c r="Z45" s="13">
        <f>_xll.BDH("ALNY US Equity","ARD_CASH_CASH_EQUIV_END_OF_PER","FQ3 2024","FQ3 2024","Currency=USD","Period=FQ","BEST_FPERIOD_OVERRIDE=FQ","FILING_STATUS=MR","SCALING_FORMAT=MLN","Sort=A","Dates=H","DateFormat=P","Fill=—","Direction=H","UseDPDF=Y")</f>
        <v>1102.498</v>
      </c>
      <c r="AA45" s="13">
        <f>_xll.BDH("ALNY US Equity","ARD_CASH_CASH_EQUIV_END_OF_PER","FQ4 2024","FQ4 2024","Currency=USD","Period=FQ","BEST_FPERIOD_OVERRIDE=FQ","FILING_STATUS=MR","SCALING_FORMAT=MLN","Sort=A","Dates=H","DateFormat=P","Fill=—","Direction=H","UseDPDF=Y")</f>
        <v>968.65200000000004</v>
      </c>
    </row>
    <row r="46" spans="1:27" x14ac:dyDescent="0.25">
      <c r="A46" s="10" t="s">
        <v>1327</v>
      </c>
      <c r="B46" s="10" t="s">
        <v>1328</v>
      </c>
      <c r="C46" s="13">
        <f>_xll.BDH("ALNY US Equity","ARD_CASH_CASH_EQUIV_BEG_OF_PER","FQ4 2018","FQ4 2018","Currency=USD","Period=FQ","BEST_FPERIOD_OVERRIDE=FQ","FILING_STATUS=MR","SCALING_FORMAT=MLN","Sort=A","Dates=H","DateFormat=P","Fill=—","Direction=H","UseDPDF=Y")</f>
        <v>646.83199999999999</v>
      </c>
      <c r="D46" s="13">
        <f>_xll.BDH("ALNY US Equity","ARD_CASH_CASH_EQUIV_BEG_OF_PER","FQ1 2019","FQ1 2019","Currency=USD","Period=FQ","BEST_FPERIOD_OVERRIDE=FQ","FILING_STATUS=MR","SCALING_FORMAT=MLN","Sort=A","Dates=H","DateFormat=P","Fill=—","Direction=H","UseDPDF=Y")</f>
        <v>422.63099999999997</v>
      </c>
      <c r="E46" s="13">
        <f>_xll.BDH("ALNY US Equity","ARD_CASH_CASH_EQUIV_BEG_OF_PER","FQ2 2019","FQ2 2019","Currency=USD","Period=FQ","BEST_FPERIOD_OVERRIDE=FQ","FILING_STATUS=MR","SCALING_FORMAT=MLN","Sort=A","Dates=H","DateFormat=P","Fill=—","Direction=H","UseDPDF=Y")</f>
        <v>422.63099999999997</v>
      </c>
      <c r="F46" s="13">
        <f>_xll.BDH("ALNY US Equity","ARD_CASH_CASH_EQUIV_BEG_OF_PER","FQ3 2019","FQ3 2019","Currency=USD","Period=FQ","BEST_FPERIOD_OVERRIDE=FQ","FILING_STATUS=MR","SCALING_FORMAT=MLN","Sort=A","Dates=H","DateFormat=P","Fill=—","Direction=H","UseDPDF=Y")</f>
        <v>422.63099999999997</v>
      </c>
      <c r="G46" s="13">
        <f>_xll.BDH("ALNY US Equity","ARD_CASH_CASH_EQUIV_BEG_OF_PER","FQ4 2019","FQ4 2019","Currency=USD","Period=FQ","BEST_FPERIOD_OVERRIDE=FQ","FILING_STATUS=MR","SCALING_FORMAT=MLN","Sort=A","Dates=H","DateFormat=P","Fill=—","Direction=H","UseDPDF=Y")</f>
        <v>422.63099999999997</v>
      </c>
      <c r="H46" s="13">
        <f>_xll.BDH("ALNY US Equity","ARD_CASH_CASH_EQUIV_BEG_OF_PER","FQ1 2020","FQ1 2020","Currency=USD","Period=FQ","BEST_FPERIOD_OVERRIDE=FQ","FILING_STATUS=MR","SCALING_FORMAT=MLN","Sort=A","Dates=H","DateFormat=P","Fill=—","Direction=H","UseDPDF=Y")</f>
        <v>549.62800000000004</v>
      </c>
      <c r="I46" s="13">
        <f>_xll.BDH("ALNY US Equity","ARD_CASH_CASH_EQUIV_BEG_OF_PER","FQ2 2020","FQ2 2020","Currency=USD","Period=FQ","BEST_FPERIOD_OVERRIDE=FQ","FILING_STATUS=MR","SCALING_FORMAT=MLN","Sort=A","Dates=H","DateFormat=P","Fill=—","Direction=H","UseDPDF=Y")</f>
        <v>549.62800000000004</v>
      </c>
      <c r="J46" s="13">
        <f>_xll.BDH("ALNY US Equity","ARD_CASH_CASH_EQUIV_BEG_OF_PER","FQ3 2020","FQ3 2020","Currency=USD","Period=FQ","BEST_FPERIOD_OVERRIDE=FQ","FILING_STATUS=MR","SCALING_FORMAT=MLN","Sort=A","Dates=H","DateFormat=P","Fill=—","Direction=H","UseDPDF=Y")</f>
        <v>549.62800000000004</v>
      </c>
      <c r="K46" s="13">
        <f>_xll.BDH("ALNY US Equity","ARD_CASH_CASH_EQUIV_BEG_OF_PER","FQ4 2020","FQ4 2020","Currency=USD","Period=FQ","BEST_FPERIOD_OVERRIDE=FQ","FILING_STATUS=MR","SCALING_FORMAT=MLN","Sort=A","Dates=H","DateFormat=P","Fill=—","Direction=H","UseDPDF=Y")</f>
        <v>549.62800000000004</v>
      </c>
      <c r="L46" s="13">
        <f>_xll.BDH("ALNY US Equity","ARD_CASH_CASH_EQUIV_BEG_OF_PER","FQ1 2021","FQ1 2021","Currency=USD","Period=FQ","BEST_FPERIOD_OVERRIDE=FQ","FILING_STATUS=MR","SCALING_FORMAT=MLN","Sort=A","Dates=H","DateFormat=P","Fill=—","Direction=H","UseDPDF=Y")</f>
        <v>499.04599999999999</v>
      </c>
      <c r="M46" s="13">
        <f>_xll.BDH("ALNY US Equity","ARD_CASH_CASH_EQUIV_BEG_OF_PER","FQ2 2021","FQ2 2021","Currency=USD","Period=FQ","BEST_FPERIOD_OVERRIDE=FQ","FILING_STATUS=MR","SCALING_FORMAT=MLN","Sort=A","Dates=H","DateFormat=P","Fill=—","Direction=H","UseDPDF=Y")</f>
        <v>499.04599999999999</v>
      </c>
      <c r="N46" s="13">
        <f>_xll.BDH("ALNY US Equity","ARD_CASH_CASH_EQUIV_BEG_OF_PER","FQ3 2021","FQ3 2021","Currency=USD","Period=FQ","BEST_FPERIOD_OVERRIDE=FQ","FILING_STATUS=MR","SCALING_FORMAT=MLN","Sort=A","Dates=H","DateFormat=P","Fill=—","Direction=H","UseDPDF=Y")</f>
        <v>499.04599999999999</v>
      </c>
      <c r="O46" s="13">
        <f>_xll.BDH("ALNY US Equity","ARD_CASH_CASH_EQUIV_BEG_OF_PER","FQ4 2021","FQ4 2021","Currency=USD","Period=FQ","BEST_FPERIOD_OVERRIDE=FQ","FILING_STATUS=MR","SCALING_FORMAT=MLN","Sort=A","Dates=H","DateFormat=P","Fill=—","Direction=H","UseDPDF=Y")</f>
        <v>499.04599999999999</v>
      </c>
      <c r="P46" s="13">
        <f>_xll.BDH("ALNY US Equity","ARD_CASH_CASH_EQUIV_BEG_OF_PER","FQ1 2022","FQ1 2022","Currency=USD","Period=FQ","BEST_FPERIOD_OVERRIDE=FQ","FILING_STATUS=MR","SCALING_FORMAT=MLN","Sort=A","Dates=H","DateFormat=P","Fill=—","Direction=H","UseDPDF=Y")</f>
        <v>822.15300000000002</v>
      </c>
      <c r="Q46" s="13">
        <f>_xll.BDH("ALNY US Equity","ARD_CASH_CASH_EQUIV_BEG_OF_PER","FQ2 2022","FQ2 2022","Currency=USD","Period=FQ","BEST_FPERIOD_OVERRIDE=FQ","FILING_STATUS=MR","SCALING_FORMAT=MLN","Sort=A","Dates=H","DateFormat=P","Fill=—","Direction=H","UseDPDF=Y")</f>
        <v>822.15300000000002</v>
      </c>
      <c r="R46" s="13">
        <f>_xll.BDH("ALNY US Equity","ARD_CASH_CASH_EQUIV_BEG_OF_PER","FQ3 2022","FQ3 2022","Currency=USD","Period=FQ","BEST_FPERIOD_OVERRIDE=FQ","FILING_STATUS=MR","SCALING_FORMAT=MLN","Sort=A","Dates=H","DateFormat=P","Fill=—","Direction=H","UseDPDF=Y")</f>
        <v>822.15300000000002</v>
      </c>
      <c r="S46" s="13">
        <f>_xll.BDH("ALNY US Equity","ARD_CASH_CASH_EQUIV_BEG_OF_PER","FQ4 2022","FQ4 2022","Currency=USD","Period=FQ","BEST_FPERIOD_OVERRIDE=FQ","FILING_STATUS=MR","SCALING_FORMAT=MLN","Sort=A","Dates=H","DateFormat=P","Fill=—","Direction=H","UseDPDF=Y")</f>
        <v>822.15300000000002</v>
      </c>
      <c r="T46" s="13">
        <f>_xll.BDH("ALNY US Equity","ARD_CASH_CASH_EQUIV_BEG_OF_PER","FQ1 2023","FQ1 2023","Currency=USD","Period=FQ","BEST_FPERIOD_OVERRIDE=FQ","FILING_STATUS=MR","SCALING_FORMAT=MLN","Sort=A","Dates=H","DateFormat=P","Fill=—","Direction=H","UseDPDF=Y")</f>
        <v>868.55600000000004</v>
      </c>
      <c r="U46" s="13">
        <f>_xll.BDH("ALNY US Equity","ARD_CASH_CASH_EQUIV_BEG_OF_PER","FQ2 2023","FQ2 2023","Currency=USD","Period=FQ","BEST_FPERIOD_OVERRIDE=FQ","FILING_STATUS=MR","SCALING_FORMAT=MLN","Sort=A","Dates=H","DateFormat=P","Fill=—","Direction=H","UseDPDF=Y")</f>
        <v>868.55600000000004</v>
      </c>
      <c r="V46" s="13">
        <f>_xll.BDH("ALNY US Equity","ARD_CASH_CASH_EQUIV_BEG_OF_PER","FQ3 2023","FQ3 2023","Currency=USD","Period=FQ","BEST_FPERIOD_OVERRIDE=FQ","FILING_STATUS=MR","SCALING_FORMAT=MLN","Sort=A","Dates=H","DateFormat=P","Fill=—","Direction=H","UseDPDF=Y")</f>
        <v>868.55600000000004</v>
      </c>
      <c r="W46" s="13">
        <f>_xll.BDH("ALNY US Equity","ARD_CASH_CASH_EQUIV_BEG_OF_PER","FQ4 2023","FQ4 2023","Currency=USD","Period=FQ","BEST_FPERIOD_OVERRIDE=FQ","FILING_STATUS=MR","SCALING_FORMAT=MLN","Sort=A","Dates=H","DateFormat=P","Fill=—","Direction=H","UseDPDF=Y")</f>
        <v>868.55600000000004</v>
      </c>
      <c r="X46" s="13">
        <f>_xll.BDH("ALNY US Equity","ARD_CASH_CASH_EQUIV_BEG_OF_PER","FQ1 2024","FQ1 2024","Currency=USD","Period=FQ","BEST_FPERIOD_OVERRIDE=FQ","FILING_STATUS=MR","SCALING_FORMAT=MLN","Sort=A","Dates=H","DateFormat=P","Fill=—","Direction=H","UseDPDF=Y")</f>
        <v>814.88400000000001</v>
      </c>
      <c r="Y46" s="13">
        <f>_xll.BDH("ALNY US Equity","ARD_CASH_CASH_EQUIV_BEG_OF_PER","FQ2 2024","FQ2 2024","Currency=USD","Period=FQ","BEST_FPERIOD_OVERRIDE=FQ","FILING_STATUS=MR","SCALING_FORMAT=MLN","Sort=A","Dates=H","DateFormat=P","Fill=—","Direction=H","UseDPDF=Y")</f>
        <v>814.88400000000001</v>
      </c>
      <c r="Z46" s="13">
        <f>_xll.BDH("ALNY US Equity","ARD_CASH_CASH_EQUIV_BEG_OF_PER","FQ3 2024","FQ3 2024","Currency=USD","Period=FQ","BEST_FPERIOD_OVERRIDE=FQ","FILING_STATUS=MR","SCALING_FORMAT=MLN","Sort=A","Dates=H","DateFormat=P","Fill=—","Direction=H","UseDPDF=Y")</f>
        <v>814.88400000000001</v>
      </c>
      <c r="AA46" s="13">
        <f>_xll.BDH("ALNY US Equity","ARD_CASH_CASH_EQUIV_BEG_OF_PER","FQ4 2024","FQ4 2024","Currency=USD","Period=FQ","BEST_FPERIOD_OVERRIDE=FQ","FILING_STATUS=MR","SCALING_FORMAT=MLN","Sort=A","Dates=H","DateFormat=P","Fill=—","Direction=H","UseDPDF=Y")</f>
        <v>814.88400000000001</v>
      </c>
    </row>
    <row r="47" spans="1:27" x14ac:dyDescent="0.25">
      <c r="A47" s="10" t="s">
        <v>1329</v>
      </c>
      <c r="B47" s="10" t="s">
        <v>1330</v>
      </c>
      <c r="C47" s="13" t="str">
        <f>_xll.BDH("ALNY US Equity","ARD_DECREASE_IN_BORROWINGS","FQ4 2018","FQ4 2018","Currency=USD","Period=FQ","BEST_FPERIOD_OVERRIDE=FQ","FILING_STATUS=MR","SCALING_FORMAT=MLN","Sort=A","Dates=H","DateFormat=P","Fill=—","Direction=H","UseDPDF=Y")</f>
        <v>—</v>
      </c>
      <c r="D47" s="13" t="str">
        <f>_xll.BDH("ALNY US Equity","ARD_DECREASE_IN_BORROWINGS","FQ1 2019","FQ1 2019","Currency=USD","Period=FQ","BEST_FPERIOD_OVERRIDE=FQ","FILING_STATUS=MR","SCALING_FORMAT=MLN","Sort=A","Dates=H","DateFormat=P","Fill=—","Direction=H","UseDPDF=Y")</f>
        <v>—</v>
      </c>
      <c r="E47" s="13" t="str">
        <f>_xll.BDH("ALNY US Equity","ARD_DECREASE_IN_BORROWINGS","FQ2 2019","FQ2 2019","Currency=USD","Period=FQ","BEST_FPERIOD_OVERRIDE=FQ","FILING_STATUS=MR","SCALING_FORMAT=MLN","Sort=A","Dates=H","DateFormat=P","Fill=—","Direction=H","UseDPDF=Y")</f>
        <v>—</v>
      </c>
      <c r="F47" s="13">
        <f>_xll.BDH("ALNY US Equity","ARD_DECREASE_IN_BORROWINGS","FQ3 2019","FQ3 2019","Currency=USD","Period=FQ","BEST_FPERIOD_OVERRIDE=FQ","FILING_STATUS=MR","SCALING_FORMAT=MLN","Sort=A","Dates=H","DateFormat=P","Fill=—","Direction=H","UseDPDF=Y")</f>
        <v>-30</v>
      </c>
      <c r="G47" s="13">
        <f>_xll.BDH("ALNY US Equity","ARD_DECREASE_IN_BORROWINGS","FQ4 2019","FQ4 2019","Currency=USD","Period=FQ","BEST_FPERIOD_OVERRIDE=FQ","FILING_STATUS=MR","SCALING_FORMAT=MLN","Sort=A","Dates=H","DateFormat=P","Fill=—","Direction=H","UseDPDF=Y")</f>
        <v>-30</v>
      </c>
      <c r="H47" s="13" t="str">
        <f>_xll.BDH("ALNY US Equity","ARD_DECREASE_IN_BORROWINGS","FQ1 2020","FQ1 2020","Currency=USD","Period=FQ","BEST_FPERIOD_OVERRIDE=FQ","FILING_STATUS=MR","SCALING_FORMAT=MLN","Sort=A","Dates=H","DateFormat=P","Fill=—","Direction=H","UseDPDF=Y")</f>
        <v>—</v>
      </c>
      <c r="I47" s="13">
        <f>_xll.BDH("ALNY US Equity","ARD_DECREASE_IN_BORROWINGS","FQ2 2020","FQ2 2020","Currency=USD","Period=FQ","BEST_FPERIOD_OVERRIDE=FQ","FILING_STATUS=MR","SCALING_FORMAT=MLN","Sort=A","Dates=H","DateFormat=P","Fill=—","Direction=H","UseDPDF=Y")</f>
        <v>-8.1280000000000001</v>
      </c>
      <c r="J47" s="13">
        <f>_xll.BDH("ALNY US Equity","ARD_DECREASE_IN_BORROWINGS","FQ3 2020","FQ3 2020","Currency=USD","Period=FQ","BEST_FPERIOD_OVERRIDE=FQ","FILING_STATUS=MR","SCALING_FORMAT=MLN","Sort=A","Dates=H","DateFormat=P","Fill=—","Direction=H","UseDPDF=Y")</f>
        <v>-8.1280000000000001</v>
      </c>
      <c r="K47" s="13">
        <f>_xll.BDH("ALNY US Equity","ARD_DECREASE_IN_BORROWINGS","FQ4 2020","FQ4 2020","Currency=USD","Period=FQ","BEST_FPERIOD_OVERRIDE=FQ","FILING_STATUS=MR","SCALING_FORMAT=MLN","Sort=A","Dates=H","DateFormat=P","Fill=—","Direction=H","UseDPDF=Y")</f>
        <v>-13.403</v>
      </c>
      <c r="L47" s="13" t="str">
        <f>_xll.BDH("ALNY US Equity","ARD_DECREASE_IN_BORROWINGS","FQ1 2021","FQ1 2021","Currency=USD","Period=FQ","BEST_FPERIOD_OVERRIDE=FQ","FILING_STATUS=MR","SCALING_FORMAT=MLN","Sort=A","Dates=H","DateFormat=P","Fill=—","Direction=H","UseDPDF=Y")</f>
        <v>—</v>
      </c>
      <c r="M47" s="13">
        <f>_xll.BDH("ALNY US Equity","ARD_DECREASE_IN_BORROWINGS","FQ2 2021","FQ2 2021","Currency=USD","Period=FQ","BEST_FPERIOD_OVERRIDE=FQ","FILING_STATUS=MR","SCALING_FORMAT=MLN","Sort=A","Dates=H","DateFormat=P","Fill=—","Direction=H","UseDPDF=Y")</f>
        <v>-6.25</v>
      </c>
      <c r="N47" s="13">
        <f>_xll.BDH("ALNY US Equity","ARD_DECREASE_IN_BORROWINGS","FQ3 2021","FQ3 2021","Currency=USD","Period=FQ","BEST_FPERIOD_OVERRIDE=FQ","FILING_STATUS=MR","SCALING_FORMAT=MLN","Sort=A","Dates=H","DateFormat=P","Fill=—","Direction=H","UseDPDF=Y")</f>
        <v>-12.5</v>
      </c>
      <c r="O47" s="13" t="str">
        <f>_xll.BDH("ALNY US Equity","ARD_DECREASE_IN_BORROWINGS","FQ4 2021","FQ4 2021","Currency=USD","Period=FQ","BEST_FPERIOD_OVERRIDE=FQ","FILING_STATUS=MR","SCALING_FORMAT=MLN","Sort=A","Dates=H","DateFormat=P","Fill=—","Direction=H","UseDPDF=Y")</f>
        <v>—</v>
      </c>
      <c r="P47" s="13" t="str">
        <f>_xll.BDH("ALNY US Equity","ARD_DECREASE_IN_BORROWINGS","FQ1 2022","FQ1 2022","Currency=USD","Period=FQ","BEST_FPERIOD_OVERRIDE=FQ","FILING_STATUS=MR","SCALING_FORMAT=MLN","Sort=A","Dates=H","DateFormat=P","Fill=—","Direction=H","UseDPDF=Y")</f>
        <v>—</v>
      </c>
      <c r="Q47" s="13" t="str">
        <f>_xll.BDH("ALNY US Equity","ARD_DECREASE_IN_BORROWINGS","FQ2 2022","FQ2 2022","Currency=USD","Period=FQ","BEST_FPERIOD_OVERRIDE=FQ","FILING_STATUS=MR","SCALING_FORMAT=MLN","Sort=A","Dates=H","DateFormat=P","Fill=—","Direction=H","UseDPDF=Y")</f>
        <v>—</v>
      </c>
      <c r="R47" s="13">
        <f>_xll.BDH("ALNY US Equity","ARD_DECREASE_IN_BORROWINGS","FQ3 2022","FQ3 2022","Currency=USD","Period=FQ","BEST_FPERIOD_OVERRIDE=FQ","FILING_STATUS=MR","SCALING_FORMAT=MLN","Sort=A","Dates=H","DateFormat=P","Fill=—","Direction=H","UseDPDF=Y")</f>
        <v>-880.71799999999996</v>
      </c>
      <c r="S47" s="13" t="str">
        <f>_xll.BDH("ALNY US Equity","ARD_DECREASE_IN_BORROWINGS","FQ4 2022","FQ4 2022","Currency=USD","Period=FQ","BEST_FPERIOD_OVERRIDE=FQ","FILING_STATUS=MR","SCALING_FORMAT=MLN","Sort=A","Dates=H","DateFormat=P","Fill=—","Direction=H","UseDPDF=Y")</f>
        <v>—</v>
      </c>
      <c r="T47" s="13" t="str">
        <f>_xll.BDH("ALNY US Equity","ARD_DECREASE_IN_BORROWINGS","FQ1 2023","FQ1 2023","Currency=USD","Period=FQ","BEST_FPERIOD_OVERRIDE=FQ","FILING_STATUS=MR","SCALING_FORMAT=MLN","Sort=A","Dates=H","DateFormat=P","Fill=—","Direction=H","UseDPDF=Y")</f>
        <v>—</v>
      </c>
      <c r="U47" s="13" t="str">
        <f>_xll.BDH("ALNY US Equity","ARD_DECREASE_IN_BORROWINGS","FQ2 2023","FQ2 2023","Currency=USD","Period=FQ","BEST_FPERIOD_OVERRIDE=FQ","FILING_STATUS=MR","SCALING_FORMAT=MLN","Sort=A","Dates=H","DateFormat=P","Fill=—","Direction=H","UseDPDF=Y")</f>
        <v>—</v>
      </c>
      <c r="V47" s="13" t="str">
        <f>_xll.BDH("ALNY US Equity","ARD_DECREASE_IN_BORROWINGS","FQ3 2023","FQ3 2023","Currency=USD","Period=FQ","BEST_FPERIOD_OVERRIDE=FQ","FILING_STATUS=MR","SCALING_FORMAT=MLN","Sort=A","Dates=H","DateFormat=P","Fill=—","Direction=H","UseDPDF=Y")</f>
        <v>—</v>
      </c>
      <c r="W47" s="13">
        <f>_xll.BDH("ALNY US Equity","ARD_DECREASE_IN_BORROWINGS","FQ4 2023","FQ4 2023","Currency=USD","Period=FQ","BEST_FPERIOD_OVERRIDE=FQ","FILING_STATUS=MR","SCALING_FORMAT=MLN","Sort=A","Dates=H","DateFormat=P","Fill=—","Direction=H","UseDPDF=Y")</f>
        <v>0</v>
      </c>
      <c r="X47" s="13" t="str">
        <f>_xll.BDH("ALNY US Equity","ARD_DECREASE_IN_BORROWINGS","FQ1 2024","FQ1 2024","Currency=USD","Period=FQ","BEST_FPERIOD_OVERRIDE=FQ","FILING_STATUS=MR","SCALING_FORMAT=MLN","Sort=A","Dates=H","DateFormat=P","Fill=—","Direction=H","UseDPDF=Y")</f>
        <v>—</v>
      </c>
      <c r="Y47" s="13" t="str">
        <f>_xll.BDH("ALNY US Equity","ARD_DECREASE_IN_BORROWINGS","FQ2 2024","FQ2 2024","Currency=USD","Period=FQ","BEST_FPERIOD_OVERRIDE=FQ","FILING_STATUS=MR","SCALING_FORMAT=MLN","Sort=A","Dates=H","DateFormat=P","Fill=—","Direction=H","UseDPDF=Y")</f>
        <v>—</v>
      </c>
      <c r="Z47" s="13" t="str">
        <f>_xll.BDH("ALNY US Equity","ARD_DECREASE_IN_BORROWINGS","FQ3 2024","FQ3 2024","Currency=USD","Period=FQ","BEST_FPERIOD_OVERRIDE=FQ","FILING_STATUS=MR","SCALING_FORMAT=MLN","Sort=A","Dates=H","DateFormat=P","Fill=—","Direction=H","UseDPDF=Y")</f>
        <v>—</v>
      </c>
      <c r="AA47" s="13">
        <f>_xll.BDH("ALNY US Equity","ARD_DECREASE_IN_BORROWINGS","FQ4 2024","FQ4 2024","Currency=USD","Period=FQ","BEST_FPERIOD_OVERRIDE=FQ","FILING_STATUS=MR","SCALING_FORMAT=MLN","Sort=A","Dates=H","DateFormat=P","Fill=—","Direction=H","UseDPDF=Y")</f>
        <v>0</v>
      </c>
    </row>
    <row r="48" spans="1:27" x14ac:dyDescent="0.25">
      <c r="A48" s="10" t="s">
        <v>1331</v>
      </c>
      <c r="B48" s="10" t="s">
        <v>1332</v>
      </c>
      <c r="C48" s="13" t="str">
        <f>_xll.BDH("ALNY US Equity","ARD_INCREASE_IN_BORROWINGS","FQ4 2018","FQ4 2018","Currency=USD","Period=FQ","BEST_FPERIOD_OVERRIDE=FQ","FILING_STATUS=MR","SCALING_FORMAT=MLN","Sort=A","Dates=H","DateFormat=P","Fill=—","Direction=H","UseDPDF=Y")</f>
        <v>—</v>
      </c>
      <c r="D48" s="13" t="str">
        <f>_xll.BDH("ALNY US Equity","ARD_INCREASE_IN_BORROWINGS","FQ1 2019","FQ1 2019","Currency=USD","Period=FQ","BEST_FPERIOD_OVERRIDE=FQ","FILING_STATUS=MR","SCALING_FORMAT=MLN","Sort=A","Dates=H","DateFormat=P","Fill=—","Direction=H","UseDPDF=Y")</f>
        <v>—</v>
      </c>
      <c r="E48" s="13" t="str">
        <f>_xll.BDH("ALNY US Equity","ARD_INCREASE_IN_BORROWINGS","FQ2 2019","FQ2 2019","Currency=USD","Period=FQ","BEST_FPERIOD_OVERRIDE=FQ","FILING_STATUS=MR","SCALING_FORMAT=MLN","Sort=A","Dates=H","DateFormat=P","Fill=—","Direction=H","UseDPDF=Y")</f>
        <v>—</v>
      </c>
      <c r="F48" s="13" t="str">
        <f>_xll.BDH("ALNY US Equity","ARD_INCREASE_IN_BORROWINGS","FQ3 2019","FQ3 2019","Currency=USD","Period=FQ","BEST_FPERIOD_OVERRIDE=FQ","FILING_STATUS=MR","SCALING_FORMAT=MLN","Sort=A","Dates=H","DateFormat=P","Fill=—","Direction=H","UseDPDF=Y")</f>
        <v>—</v>
      </c>
      <c r="G48" s="13" t="str">
        <f>_xll.BDH("ALNY US Equity","ARD_INCREASE_IN_BORROWINGS","FQ4 2019","FQ4 2019","Currency=USD","Period=FQ","BEST_FPERIOD_OVERRIDE=FQ","FILING_STATUS=MR","SCALING_FORMAT=MLN","Sort=A","Dates=H","DateFormat=P","Fill=—","Direction=H","UseDPDF=Y")</f>
        <v>—</v>
      </c>
      <c r="H48" s="13" t="str">
        <f>_xll.BDH("ALNY US Equity","ARD_INCREASE_IN_BORROWINGS","FQ1 2020","FQ1 2020","Currency=USD","Period=FQ","BEST_FPERIOD_OVERRIDE=FQ","FILING_STATUS=MR","SCALING_FORMAT=MLN","Sort=A","Dates=H","DateFormat=P","Fill=—","Direction=H","UseDPDF=Y")</f>
        <v>—</v>
      </c>
      <c r="I48" s="13" t="str">
        <f>_xll.BDH("ALNY US Equity","ARD_INCREASE_IN_BORROWINGS","FQ2 2020","FQ2 2020","Currency=USD","Period=FQ","BEST_FPERIOD_OVERRIDE=FQ","FILING_STATUS=MR","SCALING_FORMAT=MLN","Sort=A","Dates=H","DateFormat=P","Fill=—","Direction=H","UseDPDF=Y")</f>
        <v>—</v>
      </c>
      <c r="J48" s="13" t="str">
        <f>_xll.BDH("ALNY US Equity","ARD_INCREASE_IN_BORROWINGS","FQ3 2020","FQ3 2020","Currency=USD","Period=FQ","BEST_FPERIOD_OVERRIDE=FQ","FILING_STATUS=MR","SCALING_FORMAT=MLN","Sort=A","Dates=H","DateFormat=P","Fill=—","Direction=H","UseDPDF=Y")</f>
        <v>—</v>
      </c>
      <c r="K48" s="13">
        <f>_xll.BDH("ALNY US Equity","ARD_INCREASE_IN_BORROWINGS","FQ4 2020","FQ4 2020","Currency=USD","Period=FQ","BEST_FPERIOD_OVERRIDE=FQ","FILING_STATUS=MR","SCALING_FORMAT=MLN","Sort=A","Dates=H","DateFormat=P","Fill=—","Direction=H","UseDPDF=Y")</f>
        <v>200</v>
      </c>
      <c r="L48" s="13" t="str">
        <f>_xll.BDH("ALNY US Equity","ARD_INCREASE_IN_BORROWINGS","FQ1 2021","FQ1 2021","Currency=USD","Period=FQ","BEST_FPERIOD_OVERRIDE=FQ","FILING_STATUS=MR","SCALING_FORMAT=MLN","Sort=A","Dates=H","DateFormat=P","Fill=—","Direction=H","UseDPDF=Y")</f>
        <v>—</v>
      </c>
      <c r="M48" s="13">
        <f>_xll.BDH("ALNY US Equity","ARD_INCREASE_IN_BORROWINGS","FQ2 2021","FQ2 2021","Currency=USD","Period=FQ","BEST_FPERIOD_OVERRIDE=FQ","FILING_STATUS=MR","SCALING_FORMAT=MLN","Sort=A","Dates=H","DateFormat=P","Fill=—","Direction=H","UseDPDF=Y")</f>
        <v>250</v>
      </c>
      <c r="N48" s="13">
        <f>_xll.BDH("ALNY US Equity","ARD_INCREASE_IN_BORROWINGS","FQ3 2021","FQ3 2021","Currency=USD","Period=FQ","BEST_FPERIOD_OVERRIDE=FQ","FILING_STATUS=MR","SCALING_FORMAT=MLN","Sort=A","Dates=H","DateFormat=P","Fill=—","Direction=H","UseDPDF=Y")</f>
        <v>250</v>
      </c>
      <c r="O48" s="13" t="str">
        <f>_xll.BDH("ALNY US Equity","ARD_INCREASE_IN_BORROWINGS","FQ4 2021","FQ4 2021","Currency=USD","Period=FQ","BEST_FPERIOD_OVERRIDE=FQ","FILING_STATUS=MR","SCALING_FORMAT=MLN","Sort=A","Dates=H","DateFormat=P","Fill=—","Direction=H","UseDPDF=Y")</f>
        <v>—</v>
      </c>
      <c r="P48" s="13" t="str">
        <f>_xll.BDH("ALNY US Equity","ARD_INCREASE_IN_BORROWINGS","FQ1 2022","FQ1 2022","Currency=USD","Period=FQ","BEST_FPERIOD_OVERRIDE=FQ","FILING_STATUS=MR","SCALING_FORMAT=MLN","Sort=A","Dates=H","DateFormat=P","Fill=—","Direction=H","UseDPDF=Y")</f>
        <v>—</v>
      </c>
      <c r="Q48" s="13">
        <f>_xll.BDH("ALNY US Equity","ARD_INCREASE_IN_BORROWINGS","FQ2 2022","FQ2 2022","Currency=USD","Period=FQ","BEST_FPERIOD_OVERRIDE=FQ","FILING_STATUS=MR","SCALING_FORMAT=MLN","Sort=A","Dates=H","DateFormat=P","Fill=—","Direction=H","UseDPDF=Y")</f>
        <v>0</v>
      </c>
      <c r="R48" s="13">
        <f>_xll.BDH("ALNY US Equity","ARD_INCREASE_IN_BORROWINGS","FQ3 2022","FQ3 2022","Currency=USD","Period=FQ","BEST_FPERIOD_OVERRIDE=FQ","FILING_STATUS=MR","SCALING_FORMAT=MLN","Sort=A","Dates=H","DateFormat=P","Fill=—","Direction=H","UseDPDF=Y")</f>
        <v>1016.888</v>
      </c>
      <c r="S48" s="13" t="str">
        <f>_xll.BDH("ALNY US Equity","ARD_INCREASE_IN_BORROWINGS","FQ4 2022","FQ4 2022","Currency=USD","Period=FQ","BEST_FPERIOD_OVERRIDE=FQ","FILING_STATUS=MR","SCALING_FORMAT=MLN","Sort=A","Dates=H","DateFormat=P","Fill=—","Direction=H","UseDPDF=Y")</f>
        <v>—</v>
      </c>
      <c r="T48" s="13" t="str">
        <f>_xll.BDH("ALNY US Equity","ARD_INCREASE_IN_BORROWINGS","FQ1 2023","FQ1 2023","Currency=USD","Period=FQ","BEST_FPERIOD_OVERRIDE=FQ","FILING_STATUS=MR","SCALING_FORMAT=MLN","Sort=A","Dates=H","DateFormat=P","Fill=—","Direction=H","UseDPDF=Y")</f>
        <v>—</v>
      </c>
      <c r="U48" s="13" t="str">
        <f>_xll.BDH("ALNY US Equity","ARD_INCREASE_IN_BORROWINGS","FQ2 2023","FQ2 2023","Currency=USD","Period=FQ","BEST_FPERIOD_OVERRIDE=FQ","FILING_STATUS=MR","SCALING_FORMAT=MLN","Sort=A","Dates=H","DateFormat=P","Fill=—","Direction=H","UseDPDF=Y")</f>
        <v>—</v>
      </c>
      <c r="V48" s="13" t="str">
        <f>_xll.BDH("ALNY US Equity","ARD_INCREASE_IN_BORROWINGS","FQ3 2023","FQ3 2023","Currency=USD","Period=FQ","BEST_FPERIOD_OVERRIDE=FQ","FILING_STATUS=MR","SCALING_FORMAT=MLN","Sort=A","Dates=H","DateFormat=P","Fill=—","Direction=H","UseDPDF=Y")</f>
        <v>—</v>
      </c>
      <c r="W48" s="13">
        <f>_xll.BDH("ALNY US Equity","ARD_INCREASE_IN_BORROWINGS","FQ4 2023","FQ4 2023","Currency=USD","Period=FQ","BEST_FPERIOD_OVERRIDE=FQ","FILING_STATUS=MR","SCALING_FORMAT=MLN","Sort=A","Dates=H","DateFormat=P","Fill=—","Direction=H","UseDPDF=Y")</f>
        <v>0</v>
      </c>
      <c r="X48" s="13" t="str">
        <f>_xll.BDH("ALNY US Equity","ARD_INCREASE_IN_BORROWINGS","FQ1 2024","FQ1 2024","Currency=USD","Period=FQ","BEST_FPERIOD_OVERRIDE=FQ","FILING_STATUS=MR","SCALING_FORMAT=MLN","Sort=A","Dates=H","DateFormat=P","Fill=—","Direction=H","UseDPDF=Y")</f>
        <v>—</v>
      </c>
      <c r="Y48" s="13" t="str">
        <f>_xll.BDH("ALNY US Equity","ARD_INCREASE_IN_BORROWINGS","FQ2 2024","FQ2 2024","Currency=USD","Period=FQ","BEST_FPERIOD_OVERRIDE=FQ","FILING_STATUS=MR","SCALING_FORMAT=MLN","Sort=A","Dates=H","DateFormat=P","Fill=—","Direction=H","UseDPDF=Y")</f>
        <v>—</v>
      </c>
      <c r="Z48" s="13" t="str">
        <f>_xll.BDH("ALNY US Equity","ARD_INCREASE_IN_BORROWINGS","FQ3 2024","FQ3 2024","Currency=USD","Period=FQ","BEST_FPERIOD_OVERRIDE=FQ","FILING_STATUS=MR","SCALING_FORMAT=MLN","Sort=A","Dates=H","DateFormat=P","Fill=—","Direction=H","UseDPDF=Y")</f>
        <v>—</v>
      </c>
      <c r="AA48" s="13">
        <f>_xll.BDH("ALNY US Equity","ARD_INCREASE_IN_BORROWINGS","FQ4 2024","FQ4 2024","Currency=USD","Period=FQ","BEST_FPERIOD_OVERRIDE=FQ","FILING_STATUS=MR","SCALING_FORMAT=MLN","Sort=A","Dates=H","DateFormat=P","Fill=—","Direction=H","UseDPDF=Y")</f>
        <v>0</v>
      </c>
    </row>
    <row r="49" spans="1:27" x14ac:dyDescent="0.25">
      <c r="A49" s="6" t="s">
        <v>1333</v>
      </c>
      <c r="B49" s="6" t="s">
        <v>1334</v>
      </c>
      <c r="C49" s="19">
        <f>_xll.BDH("ALNY US Equity","ARD_TOT_CASHFLOWS_FROM_FINANCING","FQ4 2018","FQ4 2018","Currency=USD","Period=FQ","BEST_FPERIOD_OVERRIDE=FQ","FILING_STATUS=MR","SCALING_FORMAT=MLN","Sort=A","Dates=H","DateFormat=P","Fill=—","Direction=H","UseDPDF=Y")</f>
        <v>65.47</v>
      </c>
      <c r="D49" s="19">
        <f>_xll.BDH("ALNY US Equity","ARD_TOT_CASHFLOWS_FROM_FINANCING","FQ1 2019","FQ1 2019","Currency=USD","Period=FQ","BEST_FPERIOD_OVERRIDE=FQ","FILING_STATUS=MR","SCALING_FORMAT=MLN","Sort=A","Dates=H","DateFormat=P","Fill=—","Direction=H","UseDPDF=Y")</f>
        <v>390.93099999999998</v>
      </c>
      <c r="E49" s="19">
        <f>_xll.BDH("ALNY US Equity","ARD_TOT_CASHFLOWS_FROM_FINANCING","FQ2 2019","FQ2 2019","Currency=USD","Period=FQ","BEST_FPERIOD_OVERRIDE=FQ","FILING_STATUS=MR","SCALING_FORMAT=MLN","Sort=A","Dates=H","DateFormat=P","Fill=—","Direction=H","UseDPDF=Y")</f>
        <v>803.54100000000005</v>
      </c>
      <c r="F49" s="19">
        <f>_xll.BDH("ALNY US Equity","ARD_TOT_CASHFLOWS_FROM_FINANCING","FQ3 2019","FQ3 2019","Currency=USD","Period=FQ","BEST_FPERIOD_OVERRIDE=FQ","FILING_STATUS=MR","SCALING_FORMAT=MLN","Sort=A","Dates=H","DateFormat=P","Fill=—","Direction=H","UseDPDF=Y")</f>
        <v>782.84199999999998</v>
      </c>
      <c r="G49" s="19">
        <f>_xll.BDH("ALNY US Equity","ARD_TOT_CASHFLOWS_FROM_FINANCING","FQ4 2019","FQ4 2019","Currency=USD","Period=FQ","BEST_FPERIOD_OVERRIDE=FQ","FILING_STATUS=MR","SCALING_FORMAT=MLN","Sort=A","Dates=H","DateFormat=P","Fill=—","Direction=H","UseDPDF=Y")</f>
        <v>823.18399999999997</v>
      </c>
      <c r="H49" s="19">
        <f>_xll.BDH("ALNY US Equity","ARD_TOT_CASHFLOWS_FROM_FINANCING","FQ1 2020","FQ1 2020","Currency=USD","Period=FQ","BEST_FPERIOD_OVERRIDE=FQ","FILING_STATUS=MR","SCALING_FORMAT=MLN","Sort=A","Dates=H","DateFormat=P","Fill=—","Direction=H","UseDPDF=Y")</f>
        <v>53.869</v>
      </c>
      <c r="I49" s="19">
        <f>_xll.BDH("ALNY US Equity","ARD_TOT_CASHFLOWS_FROM_FINANCING","FQ2 2020","FQ2 2020","Currency=USD","Period=FQ","BEST_FPERIOD_OVERRIDE=FQ","FILING_STATUS=MR","SCALING_FORMAT=MLN","Sort=A","Dates=H","DateFormat=P","Fill=—","Direction=H","UseDPDF=Y")</f>
        <v>742.88199999999995</v>
      </c>
      <c r="J49" s="19">
        <f>_xll.BDH("ALNY US Equity","ARD_TOT_CASHFLOWS_FROM_FINANCING","FQ3 2020","FQ3 2020","Currency=USD","Period=FQ","BEST_FPERIOD_OVERRIDE=FQ","FILING_STATUS=MR","SCALING_FORMAT=MLN","Sort=A","Dates=H","DateFormat=P","Fill=—","Direction=H","UseDPDF=Y")</f>
        <v>777.029</v>
      </c>
      <c r="K49" s="19">
        <f>_xll.BDH("ALNY US Equity","ARD_TOT_CASHFLOWS_FROM_FINANCING","FQ4 2020","FQ4 2020","Currency=USD","Period=FQ","BEST_FPERIOD_OVERRIDE=FQ","FILING_STATUS=MR","SCALING_FORMAT=MLN","Sort=A","Dates=H","DateFormat=P","Fill=—","Direction=H","UseDPDF=Y")</f>
        <v>994.97900000000004</v>
      </c>
      <c r="L49" s="19">
        <f>_xll.BDH("ALNY US Equity","ARD_TOT_CASHFLOWS_FROM_FINANCING","FQ1 2021","FQ1 2021","Currency=USD","Period=FQ","BEST_FPERIOD_OVERRIDE=FQ","FILING_STATUS=MR","SCALING_FORMAT=MLN","Sort=A","Dates=H","DateFormat=P","Fill=—","Direction=H","UseDPDF=Y")</f>
        <v>51.177</v>
      </c>
      <c r="M49" s="19">
        <f>_xll.BDH("ALNY US Equity","ARD_TOT_CASHFLOWS_FROM_FINANCING","FQ2 2021","FQ2 2021","Currency=USD","Period=FQ","BEST_FPERIOD_OVERRIDE=FQ","FILING_STATUS=MR","SCALING_FORMAT=MLN","Sort=A","Dates=H","DateFormat=P","Fill=—","Direction=H","UseDPDF=Y")</f>
        <v>380.988</v>
      </c>
      <c r="N49" s="19">
        <f>_xll.BDH("ALNY US Equity","ARD_TOT_CASHFLOWS_FROM_FINANCING","FQ3 2021","FQ3 2021","Currency=USD","Period=FQ","BEST_FPERIOD_OVERRIDE=FQ","FILING_STATUS=MR","SCALING_FORMAT=MLN","Sort=A","Dates=H","DateFormat=P","Fill=—","Direction=H","UseDPDF=Y")</f>
        <v>954.827</v>
      </c>
      <c r="O49" s="19">
        <f>_xll.BDH("ALNY US Equity","ARD_TOT_CASHFLOWS_FROM_FINANCING","FQ4 2021","FQ4 2021","Currency=USD","Period=FQ","BEST_FPERIOD_OVERRIDE=FQ","FILING_STATUS=MR","SCALING_FORMAT=MLN","Sort=A","Dates=H","DateFormat=P","Fill=—","Direction=H","UseDPDF=Y")</f>
        <v>1247.1179999999999</v>
      </c>
      <c r="P49" s="19">
        <f>_xll.BDH("ALNY US Equity","ARD_TOT_CASHFLOWS_FROM_FINANCING","FQ1 2022","FQ1 2022","Currency=USD","Period=FQ","BEST_FPERIOD_OVERRIDE=FQ","FILING_STATUS=MR","SCALING_FORMAT=MLN","Sort=A","Dates=H","DateFormat=P","Fill=—","Direction=H","UseDPDF=Y")</f>
        <v>34.956000000000003</v>
      </c>
      <c r="Q49" s="19">
        <f>_xll.BDH("ALNY US Equity","ARD_TOT_CASHFLOWS_FROM_FINANCING","FQ2 2022","FQ2 2022","Currency=USD","Period=FQ","BEST_FPERIOD_OVERRIDE=FQ","FILING_STATUS=MR","SCALING_FORMAT=MLN","Sort=A","Dates=H","DateFormat=P","Fill=—","Direction=H","UseDPDF=Y")</f>
        <v>65.293000000000006</v>
      </c>
      <c r="R49" s="19">
        <f>_xll.BDH("ALNY US Equity","ARD_TOT_CASHFLOWS_FROM_FINANCING","FQ3 2022","FQ3 2022","Currency=USD","Period=FQ","BEST_FPERIOD_OVERRIDE=FQ","FILING_STATUS=MR","SCALING_FORMAT=MLN","Sort=A","Dates=H","DateFormat=P","Fill=—","Direction=H","UseDPDF=Y")</f>
        <v>362.31599999999997</v>
      </c>
      <c r="S49" s="19">
        <f>_xll.BDH("ALNY US Equity","ARD_TOT_CASHFLOWS_FROM_FINANCING","FQ4 2022","FQ4 2022","Currency=USD","Period=FQ","BEST_FPERIOD_OVERRIDE=FQ","FILING_STATUS=MR","SCALING_FORMAT=MLN","Sort=A","Dates=H","DateFormat=P","Fill=—","Direction=H","UseDPDF=Y")</f>
        <v>425.75299999999999</v>
      </c>
      <c r="T49" s="19">
        <f>_xll.BDH("ALNY US Equity","ARD_TOT_CASHFLOWS_FROM_FINANCING","FQ1 2023","FQ1 2023","Currency=USD","Period=FQ","BEST_FPERIOD_OVERRIDE=FQ","FILING_STATUS=MR","SCALING_FORMAT=MLN","Sort=A","Dates=H","DateFormat=P","Fill=—","Direction=H","UseDPDF=Y")</f>
        <v>46.371000000000002</v>
      </c>
      <c r="U49" s="19">
        <f>_xll.BDH("ALNY US Equity","ARD_TOT_CASHFLOWS_FROM_FINANCING","FQ2 2023","FQ2 2023","Currency=USD","Period=FQ","BEST_FPERIOD_OVERRIDE=FQ","FILING_STATUS=MR","SCALING_FORMAT=MLN","Sort=A","Dates=H","DateFormat=P","Fill=—","Direction=H","UseDPDF=Y")</f>
        <v>99.765000000000001</v>
      </c>
      <c r="V49" s="19">
        <f>_xll.BDH("ALNY US Equity","ARD_TOT_CASHFLOWS_FROM_FINANCING","FQ3 2023","FQ3 2023","Currency=USD","Period=FQ","BEST_FPERIOD_OVERRIDE=FQ","FILING_STATUS=MR","SCALING_FORMAT=MLN","Sort=A","Dates=H","DateFormat=P","Fill=—","Direction=H","UseDPDF=Y")</f>
        <v>132.90299999999999</v>
      </c>
      <c r="W49" s="19">
        <f>_xll.BDH("ALNY US Equity","ARD_TOT_CASHFLOWS_FROM_FINANCING","FQ4 2023","FQ4 2023","Currency=USD","Period=FQ","BEST_FPERIOD_OVERRIDE=FQ","FILING_STATUS=MR","SCALING_FORMAT=MLN","Sort=A","Dates=H","DateFormat=P","Fill=—","Direction=H","UseDPDF=Y")</f>
        <v>172.131</v>
      </c>
      <c r="X49" s="19">
        <f>_xll.BDH("ALNY US Equity","ARD_TOT_CASHFLOWS_FROM_FINANCING","FQ1 2024","FQ1 2024","Currency=USD","Period=FQ","BEST_FPERIOD_OVERRIDE=FQ","FILING_STATUS=MR","SCALING_FORMAT=MLN","Sort=A","Dates=H","DateFormat=P","Fill=—","Direction=H","UseDPDF=Y")</f>
        <v>28.911000000000001</v>
      </c>
      <c r="Y49" s="19">
        <f>_xll.BDH("ALNY US Equity","ARD_TOT_CASHFLOWS_FROM_FINANCING","FQ2 2024","FQ2 2024","Currency=USD","Period=FQ","BEST_FPERIOD_OVERRIDE=FQ","FILING_STATUS=MR","SCALING_FORMAT=MLN","Sort=A","Dates=H","DateFormat=P","Fill=—","Direction=H","UseDPDF=Y")</f>
        <v>160.40700000000001</v>
      </c>
      <c r="Z49" s="19">
        <f>_xll.BDH("ALNY US Equity","ARD_TOT_CASHFLOWS_FROM_FINANCING","FQ3 2024","FQ3 2024","Currency=USD","Period=FQ","BEST_FPERIOD_OVERRIDE=FQ","FILING_STATUS=MR","SCALING_FORMAT=MLN","Sort=A","Dates=H","DateFormat=P","Fill=—","Direction=H","UseDPDF=Y")</f>
        <v>263.16199999999998</v>
      </c>
      <c r="AA49" s="19">
        <f>_xll.BDH("ALNY US Equity","ARD_TOT_CASHFLOWS_FROM_FINANCING","FQ4 2024","FQ4 2024","Currency=USD","Period=FQ","BEST_FPERIOD_OVERRIDE=FQ","FILING_STATUS=MR","SCALING_FORMAT=MLN","Sort=A","Dates=H","DateFormat=P","Fill=—","Direction=H","UseDPDF=Y")</f>
        <v>294.15899999999999</v>
      </c>
    </row>
    <row r="50" spans="1:27" x14ac:dyDescent="0.25">
      <c r="A50" s="10" t="s">
        <v>489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10" t="s">
        <v>1335</v>
      </c>
      <c r="B51" s="10" t="s">
        <v>1336</v>
      </c>
      <c r="C51" s="13">
        <f>_xll.BDH("ALNY US Equity","ARDR_CASH_PAID_FOR_TAXES","FQ4 2018","FQ4 2018","Currency=USD","Period=FQ","BEST_FPERIOD_OVERRIDE=FQ","FILING_STATUS=MR","SCALING_FORMAT=MLN","Sort=A","Dates=H","DateFormat=P","Fill=—","Direction=H","UseDPDF=Y")</f>
        <v>1.0660000000000001</v>
      </c>
      <c r="D51" s="13" t="str">
        <f>_xll.BDH("ALNY US Equity","ARDR_CASH_PAID_FOR_TAXES","FQ1 2019","FQ1 2019","Currency=USD","Period=FQ","BEST_FPERIOD_OVERRIDE=FQ","FILING_STATUS=MR","SCALING_FORMAT=MLN","Sort=A","Dates=H","DateFormat=P","Fill=—","Direction=H","UseDPDF=Y")</f>
        <v>—</v>
      </c>
      <c r="E51" s="13" t="str">
        <f>_xll.BDH("ALNY US Equity","ARDR_CASH_PAID_FOR_TAXES","FQ2 2019","FQ2 2019","Currency=USD","Period=FQ","BEST_FPERIOD_OVERRIDE=FQ","FILING_STATUS=MR","SCALING_FORMAT=MLN","Sort=A","Dates=H","DateFormat=P","Fill=—","Direction=H","UseDPDF=Y")</f>
        <v>—</v>
      </c>
      <c r="F51" s="13" t="str">
        <f>_xll.BDH("ALNY US Equity","ARDR_CASH_PAID_FOR_TAXES","FQ3 2019","FQ3 2019","Currency=USD","Period=FQ","BEST_FPERIOD_OVERRIDE=FQ","FILING_STATUS=MR","SCALING_FORMAT=MLN","Sort=A","Dates=H","DateFormat=P","Fill=—","Direction=H","UseDPDF=Y")</f>
        <v>—</v>
      </c>
      <c r="G51" s="13">
        <f>_xll.BDH("ALNY US Equity","ARDR_CASH_PAID_FOR_TAXES","FQ4 2019","FQ4 2019","Currency=USD","Period=FQ","BEST_FPERIOD_OVERRIDE=FQ","FILING_STATUS=MR","SCALING_FORMAT=MLN","Sort=A","Dates=H","DateFormat=P","Fill=—","Direction=H","UseDPDF=Y")</f>
        <v>2.5659999999999998</v>
      </c>
      <c r="H51" s="13" t="str">
        <f>_xll.BDH("ALNY US Equity","ARDR_CASH_PAID_FOR_TAXES","FQ1 2020","FQ1 2020","Currency=USD","Period=FQ","BEST_FPERIOD_OVERRIDE=FQ","FILING_STATUS=MR","SCALING_FORMAT=MLN","Sort=A","Dates=H","DateFormat=P","Fill=—","Direction=H","UseDPDF=Y")</f>
        <v>—</v>
      </c>
      <c r="I51" s="13" t="str">
        <f>_xll.BDH("ALNY US Equity","ARDR_CASH_PAID_FOR_TAXES","FQ2 2020","FQ2 2020","Currency=USD","Period=FQ","BEST_FPERIOD_OVERRIDE=FQ","FILING_STATUS=MR","SCALING_FORMAT=MLN","Sort=A","Dates=H","DateFormat=P","Fill=—","Direction=H","UseDPDF=Y")</f>
        <v>—</v>
      </c>
      <c r="J51" s="13" t="str">
        <f>_xll.BDH("ALNY US Equity","ARDR_CASH_PAID_FOR_TAXES","FQ3 2020","FQ3 2020","Currency=USD","Period=FQ","BEST_FPERIOD_OVERRIDE=FQ","FILING_STATUS=MR","SCALING_FORMAT=MLN","Sort=A","Dates=H","DateFormat=P","Fill=—","Direction=H","UseDPDF=Y")</f>
        <v>—</v>
      </c>
      <c r="K51" s="13" t="str">
        <f>_xll.BDH("ALNY US Equity","ARDR_CASH_PAID_FOR_TAXES","FQ4 2020","FQ4 2020","Currency=USD","Period=FQ","BEST_FPERIOD_OVERRIDE=FQ","FILING_STATUS=MR","SCALING_FORMAT=MLN","Sort=A","Dates=H","DateFormat=P","Fill=—","Direction=H","UseDPDF=Y")</f>
        <v>—</v>
      </c>
      <c r="L51" s="13" t="str">
        <f>_xll.BDH("ALNY US Equity","ARDR_CASH_PAID_FOR_TAXES","FQ1 2021","FQ1 2021","Currency=USD","Period=FQ","BEST_FPERIOD_OVERRIDE=FQ","FILING_STATUS=MR","SCALING_FORMAT=MLN","Sort=A","Dates=H","DateFormat=P","Fill=—","Direction=H","UseDPDF=Y")</f>
        <v>—</v>
      </c>
      <c r="M51" s="13" t="str">
        <f>_xll.BDH("ALNY US Equity","ARDR_CASH_PAID_FOR_TAXES","FQ2 2021","FQ2 2021","Currency=USD","Period=FQ","BEST_FPERIOD_OVERRIDE=FQ","FILING_STATUS=MR","SCALING_FORMAT=MLN","Sort=A","Dates=H","DateFormat=P","Fill=—","Direction=H","UseDPDF=Y")</f>
        <v>—</v>
      </c>
      <c r="N51" s="13" t="str">
        <f>_xll.BDH("ALNY US Equity","ARDR_CASH_PAID_FOR_TAXES","FQ3 2021","FQ3 2021","Currency=USD","Period=FQ","BEST_FPERIOD_OVERRIDE=FQ","FILING_STATUS=MR","SCALING_FORMAT=MLN","Sort=A","Dates=H","DateFormat=P","Fill=—","Direction=H","UseDPDF=Y")</f>
        <v>—</v>
      </c>
      <c r="O51" s="13" t="str">
        <f>_xll.BDH("ALNY US Equity","ARDR_CASH_PAID_FOR_TAXES","FQ4 2021","FQ4 2021","Currency=USD","Period=FQ","BEST_FPERIOD_OVERRIDE=FQ","FILING_STATUS=MR","SCALING_FORMAT=MLN","Sort=A","Dates=H","DateFormat=P","Fill=—","Direction=H","UseDPDF=Y")</f>
        <v>—</v>
      </c>
      <c r="P51" s="13" t="str">
        <f>_xll.BDH("ALNY US Equity","ARDR_CASH_PAID_FOR_TAXES","FQ1 2022","FQ1 2022","Currency=USD","Period=FQ","BEST_FPERIOD_OVERRIDE=FQ","FILING_STATUS=MR","SCALING_FORMAT=MLN","Sort=A","Dates=H","DateFormat=P","Fill=—","Direction=H","UseDPDF=Y")</f>
        <v>—</v>
      </c>
      <c r="Q51" s="13" t="str">
        <f>_xll.BDH("ALNY US Equity","ARDR_CASH_PAID_FOR_TAXES","FQ2 2022","FQ2 2022","Currency=USD","Period=FQ","BEST_FPERIOD_OVERRIDE=FQ","FILING_STATUS=MR","SCALING_FORMAT=MLN","Sort=A","Dates=H","DateFormat=P","Fill=—","Direction=H","UseDPDF=Y")</f>
        <v>—</v>
      </c>
      <c r="R51" s="13" t="str">
        <f>_xll.BDH("ALNY US Equity","ARDR_CASH_PAID_FOR_TAXES","FQ3 2022","FQ3 2022","Currency=USD","Period=FQ","BEST_FPERIOD_OVERRIDE=FQ","FILING_STATUS=MR","SCALING_FORMAT=MLN","Sort=A","Dates=H","DateFormat=P","Fill=—","Direction=H","UseDPDF=Y")</f>
        <v>—</v>
      </c>
      <c r="S51" s="13" t="str">
        <f>_xll.BDH("ALNY US Equity","ARDR_CASH_PAID_FOR_TAXES","FQ4 2022","FQ4 2022","Currency=USD","Period=FQ","BEST_FPERIOD_OVERRIDE=FQ","FILING_STATUS=MR","SCALING_FORMAT=MLN","Sort=A","Dates=H","DateFormat=P","Fill=—","Direction=H","UseDPDF=Y")</f>
        <v>—</v>
      </c>
      <c r="T51" s="13" t="str">
        <f>_xll.BDH("ALNY US Equity","ARDR_CASH_PAID_FOR_TAXES","FQ1 2023","FQ1 2023","Currency=USD","Period=FQ","BEST_FPERIOD_OVERRIDE=FQ","FILING_STATUS=MR","SCALING_FORMAT=MLN","Sort=A","Dates=H","DateFormat=P","Fill=—","Direction=H","UseDPDF=Y")</f>
        <v>—</v>
      </c>
      <c r="U51" s="13" t="str">
        <f>_xll.BDH("ALNY US Equity","ARDR_CASH_PAID_FOR_TAXES","FQ2 2023","FQ2 2023","Currency=USD","Period=FQ","BEST_FPERIOD_OVERRIDE=FQ","FILING_STATUS=MR","SCALING_FORMAT=MLN","Sort=A","Dates=H","DateFormat=P","Fill=—","Direction=H","UseDPDF=Y")</f>
        <v>—</v>
      </c>
      <c r="V51" s="13" t="str">
        <f>_xll.BDH("ALNY US Equity","ARDR_CASH_PAID_FOR_TAXES","FQ3 2023","FQ3 2023","Currency=USD","Period=FQ","BEST_FPERIOD_OVERRIDE=FQ","FILING_STATUS=MR","SCALING_FORMAT=MLN","Sort=A","Dates=H","DateFormat=P","Fill=—","Direction=H","UseDPDF=Y")</f>
        <v>—</v>
      </c>
      <c r="W51" s="13" t="str">
        <f>_xll.BDH("ALNY US Equity","ARDR_CASH_PAID_FOR_TAXES","FQ4 2023","FQ4 2023","Currency=USD","Period=FQ","BEST_FPERIOD_OVERRIDE=FQ","FILING_STATUS=MR","SCALING_FORMAT=MLN","Sort=A","Dates=H","DateFormat=P","Fill=—","Direction=H","UseDPDF=Y")</f>
        <v>—</v>
      </c>
      <c r="X51" s="13" t="str">
        <f>_xll.BDH("ALNY US Equity","ARDR_CASH_PAID_FOR_TAXES","FQ1 2024","FQ1 2024","Currency=USD","Period=FQ","BEST_FPERIOD_OVERRIDE=FQ","FILING_STATUS=MR","SCALING_FORMAT=MLN","Sort=A","Dates=H","DateFormat=P","Fill=—","Direction=H","UseDPDF=Y")</f>
        <v>—</v>
      </c>
      <c r="Y51" s="13" t="str">
        <f>_xll.BDH("ALNY US Equity","ARDR_CASH_PAID_FOR_TAXES","FQ2 2024","FQ2 2024","Currency=USD","Period=FQ","BEST_FPERIOD_OVERRIDE=FQ","FILING_STATUS=MR","SCALING_FORMAT=MLN","Sort=A","Dates=H","DateFormat=P","Fill=—","Direction=H","UseDPDF=Y")</f>
        <v>—</v>
      </c>
      <c r="Z51" s="13" t="str">
        <f>_xll.BDH("ALNY US Equity","ARDR_CASH_PAID_FOR_TAXES","FQ3 2024","FQ3 2024","Currency=USD","Period=FQ","BEST_FPERIOD_OVERRIDE=FQ","FILING_STATUS=MR","SCALING_FORMAT=MLN","Sort=A","Dates=H","DateFormat=P","Fill=—","Direction=H","UseDPDF=Y")</f>
        <v>—</v>
      </c>
      <c r="AA51" s="13" t="str">
        <f>_xll.BDH("ALNY US Equity","ARDR_CASH_PAID_FOR_TAXES","FQ4 2024","FQ4 2024","Currency=USD","Period=FQ","BEST_FPERIOD_OVERRIDE=FQ","FILING_STATUS=MR","SCALING_FORMAT=MLN","Sort=A","Dates=H","DateFormat=P","Fill=—","Direction=H","UseDPDF=Y")</f>
        <v>—</v>
      </c>
    </row>
    <row r="52" spans="1:27" x14ac:dyDescent="0.25">
      <c r="A52" s="10" t="s">
        <v>1337</v>
      </c>
      <c r="B52" s="10" t="s">
        <v>1338</v>
      </c>
      <c r="C52" s="13">
        <f>_xll.BDH("ALNY US Equity","ARDR_CASH_PAID_FOR_INTEREST","FQ4 2018","FQ4 2018","Currency=USD","Period=FQ","BEST_FPERIOD_OVERRIDE=FQ","FILING_STATUS=MR","SCALING_FORMAT=MLN","Sort=A","Dates=H","DateFormat=P","Fill=—","Direction=H","UseDPDF=Y")</f>
        <v>0.77500000000000002</v>
      </c>
      <c r="D52" s="13" t="str">
        <f>_xll.BDH("ALNY US Equity","ARDR_CASH_PAID_FOR_INTEREST","FQ1 2019","FQ1 2019","Currency=USD","Period=FQ","BEST_FPERIOD_OVERRIDE=FQ","FILING_STATUS=MR","SCALING_FORMAT=MLN","Sort=A","Dates=H","DateFormat=P","Fill=—","Direction=H","UseDPDF=Y")</f>
        <v>—</v>
      </c>
      <c r="E52" s="13" t="str">
        <f>_xll.BDH("ALNY US Equity","ARDR_CASH_PAID_FOR_INTEREST","FQ2 2019","FQ2 2019","Currency=USD","Period=FQ","BEST_FPERIOD_OVERRIDE=FQ","FILING_STATUS=MR","SCALING_FORMAT=MLN","Sort=A","Dates=H","DateFormat=P","Fill=—","Direction=H","UseDPDF=Y")</f>
        <v>—</v>
      </c>
      <c r="F52" s="13" t="str">
        <f>_xll.BDH("ALNY US Equity","ARDR_CASH_PAID_FOR_INTEREST","FQ3 2019","FQ3 2019","Currency=USD","Period=FQ","BEST_FPERIOD_OVERRIDE=FQ","FILING_STATUS=MR","SCALING_FORMAT=MLN","Sort=A","Dates=H","DateFormat=P","Fill=—","Direction=H","UseDPDF=Y")</f>
        <v>—</v>
      </c>
      <c r="G52" s="13">
        <f>_xll.BDH("ALNY US Equity","ARDR_CASH_PAID_FOR_INTEREST","FQ4 2019","FQ4 2019","Currency=USD","Period=FQ","BEST_FPERIOD_OVERRIDE=FQ","FILING_STATUS=MR","SCALING_FORMAT=MLN","Sort=A","Dates=H","DateFormat=P","Fill=—","Direction=H","UseDPDF=Y")</f>
        <v>0.17199999999999999</v>
      </c>
      <c r="H52" s="13" t="str">
        <f>_xll.BDH("ALNY US Equity","ARDR_CASH_PAID_FOR_INTEREST","FQ1 2020","FQ1 2020","Currency=USD","Period=FQ","BEST_FPERIOD_OVERRIDE=FQ","FILING_STATUS=MR","SCALING_FORMAT=MLN","Sort=A","Dates=H","DateFormat=P","Fill=—","Direction=H","UseDPDF=Y")</f>
        <v>—</v>
      </c>
      <c r="I52" s="13" t="str">
        <f>_xll.BDH("ALNY US Equity","ARDR_CASH_PAID_FOR_INTEREST","FQ2 2020","FQ2 2020","Currency=USD","Period=FQ","BEST_FPERIOD_OVERRIDE=FQ","FILING_STATUS=MR","SCALING_FORMAT=MLN","Sort=A","Dates=H","DateFormat=P","Fill=—","Direction=H","UseDPDF=Y")</f>
        <v>—</v>
      </c>
      <c r="J52" s="13" t="str">
        <f>_xll.BDH("ALNY US Equity","ARDR_CASH_PAID_FOR_INTEREST","FQ3 2020","FQ3 2020","Currency=USD","Period=FQ","BEST_FPERIOD_OVERRIDE=FQ","FILING_STATUS=MR","SCALING_FORMAT=MLN","Sort=A","Dates=H","DateFormat=P","Fill=—","Direction=H","UseDPDF=Y")</f>
        <v>—</v>
      </c>
      <c r="K52" s="13" t="str">
        <f>_xll.BDH("ALNY US Equity","ARDR_CASH_PAID_FOR_INTEREST","FQ4 2020","FQ4 2020","Currency=USD","Period=FQ","BEST_FPERIOD_OVERRIDE=FQ","FILING_STATUS=MR","SCALING_FORMAT=MLN","Sort=A","Dates=H","DateFormat=P","Fill=—","Direction=H","UseDPDF=Y")</f>
        <v>—</v>
      </c>
      <c r="L52" s="13" t="str">
        <f>_xll.BDH("ALNY US Equity","ARDR_CASH_PAID_FOR_INTEREST","FQ1 2021","FQ1 2021","Currency=USD","Period=FQ","BEST_FPERIOD_OVERRIDE=FQ","FILING_STATUS=MR","SCALING_FORMAT=MLN","Sort=A","Dates=H","DateFormat=P","Fill=—","Direction=H","UseDPDF=Y")</f>
        <v>—</v>
      </c>
      <c r="M52" s="13" t="str">
        <f>_xll.BDH("ALNY US Equity","ARDR_CASH_PAID_FOR_INTEREST","FQ2 2021","FQ2 2021","Currency=USD","Period=FQ","BEST_FPERIOD_OVERRIDE=FQ","FILING_STATUS=MR","SCALING_FORMAT=MLN","Sort=A","Dates=H","DateFormat=P","Fill=—","Direction=H","UseDPDF=Y")</f>
        <v>—</v>
      </c>
      <c r="N52" s="13" t="str">
        <f>_xll.BDH("ALNY US Equity","ARDR_CASH_PAID_FOR_INTEREST","FQ3 2021","FQ3 2021","Currency=USD","Period=FQ","BEST_FPERIOD_OVERRIDE=FQ","FILING_STATUS=MR","SCALING_FORMAT=MLN","Sort=A","Dates=H","DateFormat=P","Fill=—","Direction=H","UseDPDF=Y")</f>
        <v>—</v>
      </c>
      <c r="O52" s="13" t="str">
        <f>_xll.BDH("ALNY US Equity","ARDR_CASH_PAID_FOR_INTEREST","FQ4 2021","FQ4 2021","Currency=USD","Period=FQ","BEST_FPERIOD_OVERRIDE=FQ","FILING_STATUS=MR","SCALING_FORMAT=MLN","Sort=A","Dates=H","DateFormat=P","Fill=—","Direction=H","UseDPDF=Y")</f>
        <v>—</v>
      </c>
      <c r="P52" s="13" t="str">
        <f>_xll.BDH("ALNY US Equity","ARDR_CASH_PAID_FOR_INTEREST","FQ1 2022","FQ1 2022","Currency=USD","Period=FQ","BEST_FPERIOD_OVERRIDE=FQ","FILING_STATUS=MR","SCALING_FORMAT=MLN","Sort=A","Dates=H","DateFormat=P","Fill=—","Direction=H","UseDPDF=Y")</f>
        <v>—</v>
      </c>
      <c r="Q52" s="13" t="str">
        <f>_xll.BDH("ALNY US Equity","ARDR_CASH_PAID_FOR_INTEREST","FQ2 2022","FQ2 2022","Currency=USD","Period=FQ","BEST_FPERIOD_OVERRIDE=FQ","FILING_STATUS=MR","SCALING_FORMAT=MLN","Sort=A","Dates=H","DateFormat=P","Fill=—","Direction=H","UseDPDF=Y")</f>
        <v>—</v>
      </c>
      <c r="R52" s="13" t="str">
        <f>_xll.BDH("ALNY US Equity","ARDR_CASH_PAID_FOR_INTEREST","FQ3 2022","FQ3 2022","Currency=USD","Period=FQ","BEST_FPERIOD_OVERRIDE=FQ","FILING_STATUS=MR","SCALING_FORMAT=MLN","Sort=A","Dates=H","DateFormat=P","Fill=—","Direction=H","UseDPDF=Y")</f>
        <v>—</v>
      </c>
      <c r="S52" s="13">
        <f>_xll.BDH("ALNY US Equity","ARDR_CASH_PAID_FOR_INTEREST","FQ4 2022","FQ4 2022","Currency=USD","Period=FQ","BEST_FPERIOD_OVERRIDE=FQ","FILING_STATUS=MR","SCALING_FORMAT=MLN","Sort=A","Dates=H","DateFormat=P","Fill=—","Direction=H","UseDPDF=Y")</f>
        <v>45.234999999999999</v>
      </c>
      <c r="T52" s="13" t="str">
        <f>_xll.BDH("ALNY US Equity","ARDR_CASH_PAID_FOR_INTEREST","FQ1 2023","FQ1 2023","Currency=USD","Period=FQ","BEST_FPERIOD_OVERRIDE=FQ","FILING_STATUS=MR","SCALING_FORMAT=MLN","Sort=A","Dates=H","DateFormat=P","Fill=—","Direction=H","UseDPDF=Y")</f>
        <v>—</v>
      </c>
      <c r="U52" s="13">
        <f>_xll.BDH("ALNY US Equity","ARDR_CASH_PAID_FOR_INTEREST","FQ2 2023","FQ2 2023","Currency=USD","Period=FQ","BEST_FPERIOD_OVERRIDE=FQ","FILING_STATUS=MR","SCALING_FORMAT=MLN","Sort=A","Dates=H","DateFormat=P","Fill=—","Direction=H","UseDPDF=Y")</f>
        <v>17.128</v>
      </c>
      <c r="V52" s="13">
        <f>_xll.BDH("ALNY US Equity","ARDR_CASH_PAID_FOR_INTEREST","FQ3 2023","FQ3 2023","Currency=USD","Period=FQ","BEST_FPERIOD_OVERRIDE=FQ","FILING_STATUS=MR","SCALING_FORMAT=MLN","Sort=A","Dates=H","DateFormat=P","Fill=—","Direction=H","UseDPDF=Y")</f>
        <v>26.675000000000001</v>
      </c>
      <c r="W52" s="13">
        <f>_xll.BDH("ALNY US Equity","ARDR_CASH_PAID_FOR_INTEREST","FQ4 2023","FQ4 2023","Currency=USD","Period=FQ","BEST_FPERIOD_OVERRIDE=FQ","FILING_STATUS=MR","SCALING_FORMAT=MLN","Sort=A","Dates=H","DateFormat=P","Fill=—","Direction=H","UseDPDF=Y")</f>
        <v>32.118000000000002</v>
      </c>
      <c r="X52" s="13" t="str">
        <f>_xll.BDH("ALNY US Equity","ARDR_CASH_PAID_FOR_INTEREST","FQ1 2024","FQ1 2024","Currency=USD","Period=FQ","BEST_FPERIOD_OVERRIDE=FQ","FILING_STATUS=MR","SCALING_FORMAT=MLN","Sort=A","Dates=H","DateFormat=P","Fill=—","Direction=H","UseDPDF=Y")</f>
        <v>—</v>
      </c>
      <c r="Y52" s="13">
        <f>_xll.BDH("ALNY US Equity","ARDR_CASH_PAID_FOR_INTEREST","FQ2 2024","FQ2 2024","Currency=USD","Period=FQ","BEST_FPERIOD_OVERRIDE=FQ","FILING_STATUS=MR","SCALING_FORMAT=MLN","Sort=A","Dates=H","DateFormat=P","Fill=—","Direction=H","UseDPDF=Y")</f>
        <v>39.100999999999999</v>
      </c>
      <c r="Z52" s="13">
        <f>_xll.BDH("ALNY US Equity","ARDR_CASH_PAID_FOR_INTEREST","FQ3 2024","FQ3 2024","Currency=USD","Period=FQ","BEST_FPERIOD_OVERRIDE=FQ","FILING_STATUS=MR","SCALING_FORMAT=MLN","Sort=A","Dates=H","DateFormat=P","Fill=—","Direction=H","UseDPDF=Y")</f>
        <v>55.247999999999998</v>
      </c>
      <c r="AA52" s="13">
        <f>_xll.BDH("ALNY US Equity","ARDR_CASH_PAID_FOR_INTEREST","FQ4 2024","FQ4 2024","Currency=USD","Period=FQ","BEST_FPERIOD_OVERRIDE=FQ","FILING_STATUS=MR","SCALING_FORMAT=MLN","Sort=A","Dates=H","DateFormat=P","Fill=—","Direction=H","UseDPDF=Y")</f>
        <v>67.578000000000003</v>
      </c>
    </row>
    <row r="53" spans="1:27" x14ac:dyDescent="0.25">
      <c r="A53" s="7" t="s">
        <v>90</v>
      </c>
      <c r="B53" s="7"/>
      <c r="C53" s="7" t="s">
        <v>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5"/>
  <sheetViews>
    <sheetView workbookViewId="0">
      <selection activeCell="N18" sqref="A1:XFD1048576"/>
    </sheetView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1339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1340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1341</v>
      </c>
      <c r="B7" s="10" t="s">
        <v>1342</v>
      </c>
      <c r="C7" s="14">
        <f>_xll.BDH("ALNY US Equity","RETURN_COM_EQY","FQ4 2018","FQ4 2018","Currency=USD","Period=FQ","BEST_FPERIOD_OVERRIDE=FQ","FILING_STATUS=MR","FA_ADJUSTED=GAAP","Sort=A","Dates=H","DateFormat=P","Fill=—","Direction=H","UseDPDF=Y")</f>
        <v>-49.634900000000002</v>
      </c>
      <c r="D7" s="14">
        <f>_xll.BDH("ALNY US Equity","RETURN_COM_EQY","FQ1 2019","FQ1 2019","Currency=USD","Period=FQ","BEST_FPERIOD_OVERRIDE=FQ","FILING_STATUS=MR","FA_ADJUSTED=GAAP","Sort=A","Dates=H","DateFormat=P","Fill=—","Direction=H","UseDPDF=Y")</f>
        <v>-48.591700000000003</v>
      </c>
      <c r="E7" s="14">
        <f>_xll.BDH("ALNY US Equity","RETURN_COM_EQY","FQ2 2019","FQ2 2019","Currency=USD","Period=FQ","BEST_FPERIOD_OVERRIDE=FQ","FILING_STATUS=MR","FA_ADJUSTED=GAAP","Sort=A","Dates=H","DateFormat=P","Fill=—","Direction=H","UseDPDF=Y")</f>
        <v>-50.806399999999996</v>
      </c>
      <c r="F7" s="14">
        <f>_xll.BDH("ALNY US Equity","RETURN_COM_EQY","FQ3 2019","FQ3 2019","Currency=USD","Period=FQ","BEST_FPERIOD_OVERRIDE=FQ","FILING_STATUS=MR","FA_ADJUSTED=GAAP","Sort=A","Dates=H","DateFormat=P","Fill=—","Direction=H","UseDPDF=Y")</f>
        <v>-53.245800000000003</v>
      </c>
      <c r="G7" s="14">
        <f>_xll.BDH("ALNY US Equity","RETURN_COM_EQY","FQ4 2019","FQ4 2019","Currency=USD","Period=FQ","BEST_FPERIOD_OVERRIDE=FQ","FILING_STATUS=MR","FA_ADJUSTED=GAAP","Sort=A","Dates=H","DateFormat=P","Fill=—","Direction=H","UseDPDF=Y")</f>
        <v>-64.664500000000004</v>
      </c>
      <c r="H7" s="14">
        <f>_xll.BDH("ALNY US Equity","RETURN_COM_EQY","FQ1 2020","FQ1 2020","Currency=USD","Period=FQ","BEST_FPERIOD_OVERRIDE=FQ","FILING_STATUS=MR","FA_ADJUSTED=GAAP","Sort=A","Dates=H","DateFormat=P","Fill=—","Direction=H","UseDPDF=Y")</f>
        <v>-61.201900000000002</v>
      </c>
      <c r="I7" s="14">
        <f>_xll.BDH("ALNY US Equity","RETURN_COM_EQY","FQ2 2020","FQ2 2020","Currency=USD","Period=FQ","BEST_FPERIOD_OVERRIDE=FQ","FILING_STATUS=MR","FA_ADJUSTED=GAAP","Sort=A","Dates=H","DateFormat=P","Fill=—","Direction=H","UseDPDF=Y")</f>
        <v>-53.607300000000002</v>
      </c>
      <c r="J7" s="14">
        <f>_xll.BDH("ALNY US Equity","RETURN_COM_EQY","FQ3 2020","FQ3 2020","Currency=USD","Period=FQ","BEST_FPERIOD_OVERRIDE=FQ","FILING_STATUS=MR","FA_ADJUSTED=GAAP","Sort=A","Dates=H","DateFormat=P","Fill=—","Direction=H","UseDPDF=Y")</f>
        <v>-63.139000000000003</v>
      </c>
      <c r="K7" s="14">
        <f>_xll.BDH("ALNY US Equity","RETURN_COM_EQY","FQ4 2020","FQ4 2020","Currency=USD","Period=FQ","BEST_FPERIOD_OVERRIDE=FQ","FILING_STATUS=MR","FA_ADJUSTED=GAAP","Sort=A","Dates=H","DateFormat=P","Fill=—","Direction=H","UseDPDF=Y")</f>
        <v>-69.922799999999995</v>
      </c>
      <c r="L7" s="14">
        <f>_xll.BDH("ALNY US Equity","RETURN_COM_EQY","FQ1 2021","FQ1 2021","Currency=USD","Period=FQ","BEST_FPERIOD_OVERRIDE=FQ","FILING_STATUS=MR","FA_ADJUSTED=GAAP","Sort=A","Dates=H","DateFormat=P","Fill=—","Direction=H","UseDPDF=Y")</f>
        <v>-77.0107</v>
      </c>
      <c r="M7" s="14">
        <f>_xll.BDH("ALNY US Equity","RETURN_COM_EQY","FQ2 2021","FQ2 2021","Currency=USD","Period=FQ","BEST_FPERIOD_OVERRIDE=FQ","FILING_STATUS=MR","FA_ADJUSTED=GAAP","Sort=A","Dates=H","DateFormat=P","Fill=—","Direction=H","UseDPDF=Y")</f>
        <v>-78.708100000000002</v>
      </c>
      <c r="N7" s="14">
        <f>_xll.BDH("ALNY US Equity","RETURN_COM_EQY","FQ3 2021","FQ3 2021","Currency=USD","Period=FQ","BEST_FPERIOD_OVERRIDE=FQ","FILING_STATUS=MR","FA_ADJUSTED=GAAP","Sort=A","Dates=H","DateFormat=P","Fill=—","Direction=H","UseDPDF=Y")</f>
        <v>-85.026899999999998</v>
      </c>
      <c r="O7" s="14">
        <f>_xll.BDH("ALNY US Equity","RETURN_COM_EQY","FQ4 2021","FQ4 2021","Currency=USD","Period=FQ","BEST_FPERIOD_OVERRIDE=FQ","FILING_STATUS=MR","FA_ADJUSTED=GAAP","Sort=A","Dates=H","DateFormat=P","Fill=—","Direction=H","UseDPDF=Y")</f>
        <v>-106.3073</v>
      </c>
      <c r="P7" s="14">
        <f>_xll.BDH("ALNY US Equity","RETURN_COM_EQY","FQ1 2022","FQ1 2022","Currency=USD","Period=FQ","BEST_FPERIOD_OVERRIDE=FQ","FILING_STATUS=MR","FA_ADJUSTED=GAAP","Sort=A","Dates=H","DateFormat=P","Fill=—","Direction=H","UseDPDF=Y")</f>
        <v>-134.5342</v>
      </c>
      <c r="Q7" s="14">
        <f>_xll.BDH("ALNY US Equity","RETURN_COM_EQY","FQ2 2022","FQ2 2022","Currency=USD","Period=FQ","BEST_FPERIOD_OVERRIDE=FQ","FILING_STATUS=MR","FA_ADJUSTED=GAAP","Sort=A","Dates=H","DateFormat=P","Fill=—","Direction=H","UseDPDF=Y")</f>
        <v>-190.5411</v>
      </c>
      <c r="R7" s="14" t="str">
        <f>_xll.BDH("ALNY US Equity","RETURN_COM_EQY","FQ3 2022","FQ3 2022","Currency=USD","Period=FQ","BEST_FPERIOD_OVERRIDE=FQ","FILING_STATUS=MR","FA_ADJUSTED=GAAP","Sort=A","Dates=H","DateFormat=P","Fill=—","Direction=H","UseDPDF=Y")</f>
        <v>—</v>
      </c>
      <c r="S7" s="14" t="str">
        <f>_xll.BDH("ALNY US Equity","RETURN_COM_EQY","FQ4 2022","FQ4 2022","Currency=USD","Period=FQ","BEST_FPERIOD_OVERRIDE=FQ","FILING_STATUS=MR","FA_ADJUSTED=GAAP","Sort=A","Dates=H","DateFormat=P","Fill=—","Direction=H","UseDPDF=Y")</f>
        <v>—</v>
      </c>
      <c r="T7" s="14" t="str">
        <f>_xll.BDH("ALNY US Equity","RETURN_COM_EQY","FQ1 2023","FQ1 2023","Currency=USD","Period=FQ","BEST_FPERIOD_OVERRIDE=FQ","FILING_STATUS=MR","FA_ADJUSTED=GAAP","Sort=A","Dates=H","DateFormat=P","Fill=—","Direction=H","UseDPDF=Y")</f>
        <v>—</v>
      </c>
      <c r="U7" s="14" t="str">
        <f>_xll.BDH("ALNY US Equity","RETURN_COM_EQY","FQ2 2023","FQ2 2023","Currency=USD","Period=FQ","BEST_FPERIOD_OVERRIDE=FQ","FILING_STATUS=MR","FA_ADJUSTED=GAAP","Sort=A","Dates=H","DateFormat=P","Fill=—","Direction=H","UseDPDF=Y")</f>
        <v>—</v>
      </c>
      <c r="V7" s="14" t="str">
        <f>_xll.BDH("ALNY US Equity","RETURN_COM_EQY","FQ3 2023","FQ3 2023","Currency=USD","Period=FQ","BEST_FPERIOD_OVERRIDE=FQ","FILING_STATUS=MR","FA_ADJUSTED=GAAP","Sort=A","Dates=H","DateFormat=P","Fill=—","Direction=H","UseDPDF=Y")</f>
        <v>—</v>
      </c>
      <c r="W7" s="14" t="str">
        <f>_xll.BDH("ALNY US Equity","RETURN_COM_EQY","FQ4 2023","FQ4 2023","Currency=USD","Period=FQ","BEST_FPERIOD_OVERRIDE=FQ","FILING_STATUS=MR","FA_ADJUSTED=GAAP","Sort=A","Dates=H","DateFormat=P","Fill=—","Direction=H","UseDPDF=Y")</f>
        <v>—</v>
      </c>
      <c r="X7" s="14" t="str">
        <f>_xll.BDH("ALNY US Equity","RETURN_COM_EQY","FQ1 2024","FQ1 2024","Currency=USD","Period=FQ","BEST_FPERIOD_OVERRIDE=FQ","FILING_STATUS=MR","FA_ADJUSTED=GAAP","Sort=A","Dates=H","DateFormat=P","Fill=—","Direction=H","UseDPDF=Y")</f>
        <v>—</v>
      </c>
      <c r="Y7" s="14" t="str">
        <f>_xll.BDH("ALNY US Equity","RETURN_COM_EQY","FQ2 2024","FQ2 2024","Currency=USD","Period=FQ","BEST_FPERIOD_OVERRIDE=FQ","FILING_STATUS=MR","FA_ADJUSTED=GAAP","Sort=A","Dates=H","DateFormat=P","Fill=—","Direction=H","UseDPDF=Y")</f>
        <v>—</v>
      </c>
      <c r="Z7" s="14" t="str">
        <f>_xll.BDH("ALNY US Equity","RETURN_COM_EQY","FQ3 2024","FQ3 2024","Currency=USD","Period=FQ","BEST_FPERIOD_OVERRIDE=FQ","FILING_STATUS=MR","FA_ADJUSTED=GAAP","Sort=A","Dates=H","DateFormat=P","Fill=—","Direction=H","UseDPDF=Y")</f>
        <v>—</v>
      </c>
      <c r="AA7" s="14" t="str">
        <f>_xll.BDH("ALNY US Equity","RETURN_COM_EQY","FQ4 2024","FQ4 2024","Currency=USD","Period=FQ","BEST_FPERIOD_OVERRIDE=FQ","FILING_STATUS=MR","FA_ADJUSTED=GAAP","Sort=A","Dates=H","DateFormat=P","Fill=—","Direction=H","UseDPDF=Y")</f>
        <v>—</v>
      </c>
    </row>
    <row r="8" spans="1:27" x14ac:dyDescent="0.25">
      <c r="A8" s="10" t="s">
        <v>1343</v>
      </c>
      <c r="B8" s="10" t="s">
        <v>1344</v>
      </c>
      <c r="C8" s="14">
        <f>_xll.BDH("ALNY US Equity","RETURN_ON_ASSET","FQ4 2018","FQ4 2018","Currency=USD","Period=FQ","BEST_FPERIOD_OVERRIDE=FQ","FILING_STATUS=MR","FA_ADJUSTED=GAAP","Sort=A","Dates=H","DateFormat=P","Fill=—","Direction=H","UseDPDF=Y")</f>
        <v>-42.666499999999999</v>
      </c>
      <c r="D8" s="14">
        <f>_xll.BDH("ALNY US Equity","RETURN_ON_ASSET","FQ1 2019","FQ1 2019","Currency=USD","Period=FQ","BEST_FPERIOD_OVERRIDE=FQ","FILING_STATUS=MR","FA_ADJUSTED=GAAP","Sort=A","Dates=H","DateFormat=P","Fill=—","Direction=H","UseDPDF=Y")</f>
        <v>-40.750300000000003</v>
      </c>
      <c r="E8" s="14">
        <f>_xll.BDH("ALNY US Equity","RETURN_ON_ASSET","FQ2 2019","FQ2 2019","Currency=USD","Period=FQ","BEST_FPERIOD_OVERRIDE=FQ","FILING_STATUS=MR","FA_ADJUSTED=GAAP","Sort=A","Dates=H","DateFormat=P","Fill=—","Direction=H","UseDPDF=Y")</f>
        <v>-38.089500000000001</v>
      </c>
      <c r="F8" s="14">
        <f>_xll.BDH("ALNY US Equity","RETURN_ON_ASSET","FQ3 2019","FQ3 2019","Currency=USD","Period=FQ","BEST_FPERIOD_OVERRIDE=FQ","FILING_STATUS=MR","FA_ADJUSTED=GAAP","Sort=A","Dates=H","DateFormat=P","Fill=—","Direction=H","UseDPDF=Y")</f>
        <v>-38.9527</v>
      </c>
      <c r="G8" s="14">
        <f>_xll.BDH("ALNY US Equity","RETURN_ON_ASSET","FQ4 2019","FQ4 2019","Currency=USD","Period=FQ","BEST_FPERIOD_OVERRIDE=FQ","FILING_STATUS=MR","FA_ADJUSTED=GAAP","Sort=A","Dates=H","DateFormat=P","Fill=—","Direction=H","UseDPDF=Y")</f>
        <v>-44.641300000000001</v>
      </c>
      <c r="H8" s="14">
        <f>_xll.BDH("ALNY US Equity","RETURN_ON_ASSET","FQ1 2020","FQ1 2020","Currency=USD","Period=FQ","BEST_FPERIOD_OVERRIDE=FQ","FILING_STATUS=MR","FA_ADJUSTED=GAAP","Sort=A","Dates=H","DateFormat=P","Fill=—","Direction=H","UseDPDF=Y")</f>
        <v>-41.290199999999999</v>
      </c>
      <c r="I8" s="14">
        <f>_xll.BDH("ALNY US Equity","RETURN_ON_ASSET","FQ2 2020","FQ2 2020","Currency=USD","Period=FQ","BEST_FPERIOD_OVERRIDE=FQ","FILING_STATUS=MR","FA_ADJUSTED=GAAP","Sort=A","Dates=H","DateFormat=P","Fill=—","Direction=H","UseDPDF=Y")</f>
        <v>-27.785299999999999</v>
      </c>
      <c r="J8" s="14">
        <f>_xll.BDH("ALNY US Equity","RETURN_ON_ASSET","FQ3 2020","FQ3 2020","Currency=USD","Period=FQ","BEST_FPERIOD_OVERRIDE=FQ","FILING_STATUS=MR","FA_ADJUSTED=GAAP","Sort=A","Dates=H","DateFormat=P","Fill=—","Direction=H","UseDPDF=Y")</f>
        <v>-30.464700000000001</v>
      </c>
      <c r="K8" s="14">
        <f>_xll.BDH("ALNY US Equity","RETURN_ON_ASSET","FQ4 2020","FQ4 2020","Currency=USD","Period=FQ","BEST_FPERIOD_OVERRIDE=FQ","FILING_STATUS=MR","FA_ADJUSTED=GAAP","Sort=A","Dates=H","DateFormat=P","Fill=—","Direction=H","UseDPDF=Y")</f>
        <v>-29.584700000000002</v>
      </c>
      <c r="L8" s="14">
        <f>_xll.BDH("ALNY US Equity","RETURN_ON_ASSET","FQ1 2021","FQ1 2021","Currency=USD","Period=FQ","BEST_FPERIOD_OVERRIDE=FQ","FILING_STATUS=MR","FA_ADJUSTED=GAAP","Sort=A","Dates=H","DateFormat=P","Fill=—","Direction=H","UseDPDF=Y")</f>
        <v>-31.666399999999999</v>
      </c>
      <c r="M8" s="14">
        <f>_xll.BDH("ALNY US Equity","RETURN_ON_ASSET","FQ2 2021","FQ2 2021","Currency=USD","Period=FQ","BEST_FPERIOD_OVERRIDE=FQ","FILING_STATUS=MR","FA_ADJUSTED=GAAP","Sort=A","Dates=H","DateFormat=P","Fill=—","Direction=H","UseDPDF=Y")</f>
        <v>-25.761399999999998</v>
      </c>
      <c r="N8" s="14">
        <f>_xll.BDH("ALNY US Equity","RETURN_ON_ASSET","FQ3 2021","FQ3 2021","Currency=USD","Period=FQ","BEST_FPERIOD_OVERRIDE=FQ","FILING_STATUS=MR","FA_ADJUSTED=GAAP","Sort=A","Dates=H","DateFormat=P","Fill=—","Direction=H","UseDPDF=Y")</f>
        <v>-24.718399999999999</v>
      </c>
      <c r="O8" s="14">
        <f>_xll.BDH("ALNY US Equity","RETURN_ON_ASSET","FQ4 2021","FQ4 2021","Currency=USD","Period=FQ","BEST_FPERIOD_OVERRIDE=FQ","FILING_STATUS=MR","FA_ADJUSTED=GAAP","Sort=A","Dates=H","DateFormat=P","Fill=—","Direction=H","UseDPDF=Y")</f>
        <v>-24.192299999999999</v>
      </c>
      <c r="P8" s="14">
        <f>_xll.BDH("ALNY US Equity","RETURN_ON_ASSET","FQ1 2022","FQ1 2022","Currency=USD","Period=FQ","BEST_FPERIOD_OVERRIDE=FQ","FILING_STATUS=MR","FA_ADJUSTED=GAAP","Sort=A","Dates=H","DateFormat=P","Fill=—","Direction=H","UseDPDF=Y")</f>
        <v>-26.697500000000002</v>
      </c>
      <c r="Q8" s="14">
        <f>_xll.BDH("ALNY US Equity","RETURN_ON_ASSET","FQ2 2022","FQ2 2022","Currency=USD","Period=FQ","BEST_FPERIOD_OVERRIDE=FQ","FILING_STATUS=MR","FA_ADJUSTED=GAAP","Sort=A","Dates=H","DateFormat=P","Fill=—","Direction=H","UseDPDF=Y")</f>
        <v>-28.676600000000001</v>
      </c>
      <c r="R8" s="14">
        <f>_xll.BDH("ALNY US Equity","RETURN_ON_ASSET","FQ3 2022","FQ3 2022","Currency=USD","Period=FQ","BEST_FPERIOD_OVERRIDE=FQ","FILING_STATUS=MR","FA_ADJUSTED=GAAP","Sort=A","Dates=H","DateFormat=P","Fill=—","Direction=H","UseDPDF=Y")</f>
        <v>-33.738500000000002</v>
      </c>
      <c r="S8" s="14">
        <f>_xll.BDH("ALNY US Equity","RETURN_ON_ASSET","FQ4 2022","FQ4 2022","Currency=USD","Period=FQ","BEST_FPERIOD_OVERRIDE=FQ","FILING_STATUS=MR","FA_ADJUSTED=GAAP","Sort=A","Dates=H","DateFormat=P","Fill=—","Direction=H","UseDPDF=Y")</f>
        <v>-31.466200000000001</v>
      </c>
      <c r="T8" s="14">
        <f>_xll.BDH("ALNY US Equity","RETURN_ON_ASSET","FQ1 2023","FQ1 2023","Currency=USD","Period=FQ","BEST_FPERIOD_OVERRIDE=FQ","FILING_STATUS=MR","FA_ADJUSTED=GAAP","Sort=A","Dates=H","DateFormat=P","Fill=—","Direction=H","UseDPDF=Y")</f>
        <v>-31.2041</v>
      </c>
      <c r="U8" s="14">
        <f>_xll.BDH("ALNY US Equity","RETURN_ON_ASSET","FQ2 2023","FQ2 2023","Currency=USD","Period=FQ","BEST_FPERIOD_OVERRIDE=FQ","FILING_STATUS=MR","FA_ADJUSTED=GAAP","Sort=A","Dates=H","DateFormat=P","Fill=—","Direction=H","UseDPDF=Y")</f>
        <v>-31.592700000000001</v>
      </c>
      <c r="V8" s="14">
        <f>_xll.BDH("ALNY US Equity","RETURN_ON_ASSET","FQ3 2023","FQ3 2023","Currency=USD","Period=FQ","BEST_FPERIOD_OVERRIDE=FQ","FILING_STATUS=MR","FA_ADJUSTED=GAAP","Sort=A","Dates=H","DateFormat=P","Fill=—","Direction=H","UseDPDF=Y")</f>
        <v>-13.828099999999999</v>
      </c>
      <c r="W8" s="14">
        <f>_xll.BDH("ALNY US Equity","RETURN_ON_ASSET","FQ4 2023","FQ4 2023","Currency=USD","Period=FQ","BEST_FPERIOD_OVERRIDE=FQ","FILING_STATUS=MR","FA_ADJUSTED=GAAP","Sort=A","Dates=H","DateFormat=P","Fill=—","Direction=H","UseDPDF=Y")</f>
        <v>-11.9368</v>
      </c>
      <c r="X8" s="14">
        <f>_xll.BDH("ALNY US Equity","RETURN_ON_ASSET","FQ1 2024","FQ1 2024","Currency=USD","Period=FQ","BEST_FPERIOD_OVERRIDE=FQ","FILING_STATUS=MR","FA_ADJUSTED=GAAP","Sort=A","Dates=H","DateFormat=P","Fill=—","Direction=H","UseDPDF=Y")</f>
        <v>-9.2035</v>
      </c>
      <c r="Y8" s="14">
        <f>_xll.BDH("ALNY US Equity","RETURN_ON_ASSET","FQ2 2024","FQ2 2024","Currency=USD","Period=FQ","BEST_FPERIOD_OVERRIDE=FQ","FILING_STATUS=MR","FA_ADJUSTED=GAAP","Sort=A","Dates=H","DateFormat=P","Fill=—","Direction=H","UseDPDF=Y")</f>
        <v>-1.9681999999999999</v>
      </c>
      <c r="Z8" s="14">
        <f>_xll.BDH("ALNY US Equity","RETURN_ON_ASSET","FQ3 2024","FQ3 2024","Currency=USD","Period=FQ","BEST_FPERIOD_OVERRIDE=FQ","FILING_STATUS=MR","FA_ADJUSTED=GAAP","Sort=A","Dates=H","DateFormat=P","Fill=—","Direction=H","UseDPDF=Y")</f>
        <v>-8.2609999999999992</v>
      </c>
      <c r="AA8" s="14">
        <f>_xll.BDH("ALNY US Equity","RETURN_ON_ASSET","FQ4 2024","FQ4 2024","Currency=USD","Period=FQ","BEST_FPERIOD_OVERRIDE=FQ","FILING_STATUS=MR","FA_ADJUSTED=GAAP","Sort=A","Dates=H","DateFormat=P","Fill=—","Direction=H","UseDPDF=Y")</f>
        <v>-6.8936999999999999</v>
      </c>
    </row>
    <row r="9" spans="1:27" x14ac:dyDescent="0.25">
      <c r="A9" s="10" t="s">
        <v>1345</v>
      </c>
      <c r="B9" s="10" t="s">
        <v>1346</v>
      </c>
      <c r="C9" s="14" t="str">
        <f>_xll.BDH("ALNY US Equity","RETURN_ON_CAP","FQ4 2018","FQ4 2018","Currency=USD","Period=FQ","BEST_FPERIOD_OVERRIDE=FQ","FILING_STATUS=MR","FA_ADJUSTED=GAAP","Sort=A","Dates=H","DateFormat=P","Fill=—","Direction=H","UseDPDF=Y")</f>
        <v>—</v>
      </c>
      <c r="D9" s="14" t="str">
        <f>_xll.BDH("ALNY US Equity","RETURN_ON_CAP","FQ1 2019","FQ1 2019","Currency=USD","Period=FQ","BEST_FPERIOD_OVERRIDE=FQ","FILING_STATUS=MR","FA_ADJUSTED=GAAP","Sort=A","Dates=H","DateFormat=P","Fill=—","Direction=H","UseDPDF=Y")</f>
        <v>—</v>
      </c>
      <c r="E9" s="14" t="str">
        <f>_xll.BDH("ALNY US Equity","RETURN_ON_CAP","FQ2 2019","FQ2 2019","Currency=USD","Period=FQ","BEST_FPERIOD_OVERRIDE=FQ","FILING_STATUS=MR","FA_ADJUSTED=GAAP","Sort=A","Dates=H","DateFormat=P","Fill=—","Direction=H","UseDPDF=Y")</f>
        <v>—</v>
      </c>
      <c r="F9" s="14" t="str">
        <f>_xll.BDH("ALNY US Equity","RETURN_ON_CAP","FQ3 2019","FQ3 2019","Currency=USD","Period=FQ","BEST_FPERIOD_OVERRIDE=FQ","FILING_STATUS=MR","FA_ADJUSTED=GAAP","Sort=A","Dates=H","DateFormat=P","Fill=—","Direction=H","UseDPDF=Y")</f>
        <v>—</v>
      </c>
      <c r="G9" s="14" t="str">
        <f>_xll.BDH("ALNY US Equity","RETURN_ON_CAP","FQ4 2019","FQ4 2019","Currency=USD","Period=FQ","BEST_FPERIOD_OVERRIDE=FQ","FILING_STATUS=MR","FA_ADJUSTED=GAAP","Sort=A","Dates=H","DateFormat=P","Fill=—","Direction=H","UseDPDF=Y")</f>
        <v>—</v>
      </c>
      <c r="H9" s="14" t="str">
        <f>_xll.BDH("ALNY US Equity","RETURN_ON_CAP","FQ1 2020","FQ1 2020","Currency=USD","Period=FQ","BEST_FPERIOD_OVERRIDE=FQ","FILING_STATUS=MR","FA_ADJUSTED=GAAP","Sort=A","Dates=H","DateFormat=P","Fill=—","Direction=H","UseDPDF=Y")</f>
        <v>—</v>
      </c>
      <c r="I9" s="14" t="str">
        <f>_xll.BDH("ALNY US Equity","RETURN_ON_CAP","FQ2 2020","FQ2 2020","Currency=USD","Period=FQ","BEST_FPERIOD_OVERRIDE=FQ","FILING_STATUS=MR","FA_ADJUSTED=GAAP","Sort=A","Dates=H","DateFormat=P","Fill=—","Direction=H","UseDPDF=Y")</f>
        <v>—</v>
      </c>
      <c r="J9" s="14" t="str">
        <f>_xll.BDH("ALNY US Equity","RETURN_ON_CAP","FQ3 2020","FQ3 2020","Currency=USD","Period=FQ","BEST_FPERIOD_OVERRIDE=FQ","FILING_STATUS=MR","FA_ADJUSTED=GAAP","Sort=A","Dates=H","DateFormat=P","Fill=—","Direction=H","UseDPDF=Y")</f>
        <v>—</v>
      </c>
      <c r="K9" s="14" t="str">
        <f>_xll.BDH("ALNY US Equity","RETURN_ON_CAP","FQ4 2020","FQ4 2020","Currency=USD","Period=FQ","BEST_FPERIOD_OVERRIDE=FQ","FILING_STATUS=MR","FA_ADJUSTED=GAAP","Sort=A","Dates=H","DateFormat=P","Fill=—","Direction=H","UseDPDF=Y")</f>
        <v>—</v>
      </c>
      <c r="L9" s="14">
        <f>_xll.BDH("ALNY US Equity","RETURN_ON_CAP","FQ1 2021","FQ1 2021","Currency=USD","Period=FQ","BEST_FPERIOD_OVERRIDE=FQ","FILING_STATUS=MR","FA_ADJUSTED=GAAP","Sort=A","Dates=H","DateFormat=P","Fill=—","Direction=H","UseDPDF=Y")</f>
        <v>-50.587000000000003</v>
      </c>
      <c r="M9" s="14">
        <f>_xll.BDH("ALNY US Equity","RETURN_ON_CAP","FQ2 2021","FQ2 2021","Currency=USD","Period=FQ","BEST_FPERIOD_OVERRIDE=FQ","FILING_STATUS=MR","FA_ADJUSTED=GAAP","Sort=A","Dates=H","DateFormat=P","Fill=—","Direction=H","UseDPDF=Y")</f>
        <v>-47.4206</v>
      </c>
      <c r="N9" s="14">
        <f>_xll.BDH("ALNY US Equity","RETURN_ON_CAP","FQ3 2021","FQ3 2021","Currency=USD","Period=FQ","BEST_FPERIOD_OVERRIDE=FQ","FILING_STATUS=MR","FA_ADJUSTED=GAAP","Sort=A","Dates=H","DateFormat=P","Fill=—","Direction=H","UseDPDF=Y")</f>
        <v>-47.796100000000003</v>
      </c>
      <c r="O9" s="14">
        <f>_xll.BDH("ALNY US Equity","RETURN_ON_CAP","FQ4 2021","FQ4 2021","Currency=USD","Period=FQ","BEST_FPERIOD_OVERRIDE=FQ","FILING_STATUS=MR","FA_ADJUSTED=GAAP","Sort=A","Dates=H","DateFormat=P","Fill=—","Direction=H","UseDPDF=Y")</f>
        <v>-47.376399999999997</v>
      </c>
      <c r="P9" s="14">
        <f>_xll.BDH("ALNY US Equity","RETURN_ON_CAP","FQ1 2022","FQ1 2022","Currency=USD","Period=FQ","BEST_FPERIOD_OVERRIDE=FQ","FILING_STATUS=MR","FA_ADJUSTED=GAAP","Sort=A","Dates=H","DateFormat=P","Fill=—","Direction=H","UseDPDF=Y")</f>
        <v>-54.349600000000002</v>
      </c>
      <c r="Q9" s="14">
        <f>_xll.BDH("ALNY US Equity","RETURN_ON_CAP","FQ2 2022","FQ2 2022","Currency=USD","Period=FQ","BEST_FPERIOD_OVERRIDE=FQ","FILING_STATUS=MR","FA_ADJUSTED=GAAP","Sort=A","Dates=H","DateFormat=P","Fill=—","Direction=H","UseDPDF=Y")</f>
        <v>-61.312600000000003</v>
      </c>
      <c r="R9" s="14">
        <f>_xll.BDH("ALNY US Equity","RETURN_ON_CAP","FQ3 2022","FQ3 2022","Currency=USD","Period=FQ","BEST_FPERIOD_OVERRIDE=FQ","FILING_STATUS=MR","FA_ADJUSTED=GAAP","Sort=A","Dates=H","DateFormat=P","Fill=—","Direction=H","UseDPDF=Y")</f>
        <v>-70.501199999999997</v>
      </c>
      <c r="S9" s="14">
        <f>_xll.BDH("ALNY US Equity","RETURN_ON_CAP","FQ4 2022","FQ4 2022","Currency=USD","Period=FQ","BEST_FPERIOD_OVERRIDE=FQ","FILING_STATUS=MR","FA_ADJUSTED=GAAP","Sort=A","Dates=H","DateFormat=P","Fill=—","Direction=H","UseDPDF=Y")</f>
        <v>-73.363</v>
      </c>
      <c r="T9" s="14">
        <f>_xll.BDH("ALNY US Equity","RETURN_ON_CAP","FQ1 2023","FQ1 2023","Currency=USD","Period=FQ","BEST_FPERIOD_OVERRIDE=FQ","FILING_STATUS=MR","FA_ADJUSTED=GAAP","Sort=A","Dates=H","DateFormat=P","Fill=—","Direction=H","UseDPDF=Y")</f>
        <v>-77.496099999999998</v>
      </c>
      <c r="U9" s="14">
        <f>_xll.BDH("ALNY US Equity","RETURN_ON_CAP","FQ2 2023","FQ2 2023","Currency=USD","Period=FQ","BEST_FPERIOD_OVERRIDE=FQ","FILING_STATUS=MR","FA_ADJUSTED=GAAP","Sort=A","Dates=H","DateFormat=P","Fill=—","Direction=H","UseDPDF=Y")</f>
        <v>-92.691500000000005</v>
      </c>
      <c r="V9" s="14">
        <f>_xll.BDH("ALNY US Equity","RETURN_ON_CAP","FQ3 2023","FQ3 2023","Currency=USD","Period=FQ","BEST_FPERIOD_OVERRIDE=FQ","FILING_STATUS=MR","FA_ADJUSTED=GAAP","Sort=A","Dates=H","DateFormat=P","Fill=—","Direction=H","UseDPDF=Y")</f>
        <v>-31.753499999999999</v>
      </c>
      <c r="W9" s="14">
        <f>_xll.BDH("ALNY US Equity","RETURN_ON_CAP","FQ4 2023","FQ4 2023","Currency=USD","Period=FQ","BEST_FPERIOD_OVERRIDE=FQ","FILING_STATUS=MR","FA_ADJUSTED=GAAP","Sort=A","Dates=H","DateFormat=P","Fill=—","Direction=H","UseDPDF=Y")</f>
        <v>-30.664300000000001</v>
      </c>
      <c r="X9" s="14">
        <f>_xll.BDH("ALNY US Equity","RETURN_ON_CAP","FQ1 2024","FQ1 2024","Currency=USD","Period=FQ","BEST_FPERIOD_OVERRIDE=FQ","FILING_STATUS=MR","FA_ADJUSTED=GAAP","Sort=A","Dates=H","DateFormat=P","Fill=—","Direction=H","UseDPDF=Y")</f>
        <v>-21.589300000000001</v>
      </c>
      <c r="Y9" s="14">
        <f>_xll.BDH("ALNY US Equity","RETURN_ON_CAP","FQ2 2024","FQ2 2024","Currency=USD","Period=FQ","BEST_FPERIOD_OVERRIDE=FQ","FILING_STATUS=MR","FA_ADJUSTED=GAAP","Sort=A","Dates=H","DateFormat=P","Fill=—","Direction=H","UseDPDF=Y")</f>
        <v>1.7099</v>
      </c>
      <c r="Z9" s="14">
        <f>_xll.BDH("ALNY US Equity","RETURN_ON_CAP","FQ3 2024","FQ3 2024","Currency=USD","Period=FQ","BEST_FPERIOD_OVERRIDE=FQ","FILING_STATUS=MR","FA_ADJUSTED=GAAP","Sort=A","Dates=H","DateFormat=P","Fill=—","Direction=H","UseDPDF=Y")</f>
        <v>-18.2636</v>
      </c>
      <c r="AA9" s="14">
        <f>_xll.BDH("ALNY US Equity","RETURN_ON_CAP","FQ4 2024","FQ4 2024","Currency=USD","Period=FQ","BEST_FPERIOD_OVERRIDE=FQ","FILING_STATUS=MR","FA_ADJUSTED=GAAP","Sort=A","Dates=H","DateFormat=P","Fill=—","Direction=H","UseDPDF=Y")</f>
        <v>-13.57</v>
      </c>
    </row>
    <row r="10" spans="1:27" x14ac:dyDescent="0.25">
      <c r="A10" s="10" t="s">
        <v>1347</v>
      </c>
      <c r="B10" s="10" t="s">
        <v>1348</v>
      </c>
      <c r="C10" s="14">
        <f>_xll.BDH("ALNY US Equity","RETURN_ON_INV_CAPITAL","FQ4 2018","FQ4 2018","Currency=USD","Period=FQ","BEST_FPERIOD_OVERRIDE=FQ","FILING_STATUS=MR","FA_ADJUSTED=GAAP","Sort=A","Dates=H","DateFormat=P","Fill=—","Direction=H","UseDPDF=Y")</f>
        <v>-51.4101</v>
      </c>
      <c r="D10" s="14">
        <f>_xll.BDH("ALNY US Equity","RETURN_ON_INV_CAPITAL","FQ1 2019","FQ1 2019","Currency=USD","Period=FQ","BEST_FPERIOD_OVERRIDE=FQ","FILING_STATUS=MR","FA_ADJUSTED=GAAP","Sort=A","Dates=H","DateFormat=P","Fill=—","Direction=H","UseDPDF=Y")</f>
        <v>-46.215699999999998</v>
      </c>
      <c r="E10" s="14">
        <f>_xll.BDH("ALNY US Equity","RETURN_ON_INV_CAPITAL","FQ2 2019","FQ2 2019","Currency=USD","Period=FQ","BEST_FPERIOD_OVERRIDE=FQ","FILING_STATUS=MR","FA_ADJUSTED=GAAP","Sort=A","Dates=H","DateFormat=P","Fill=—","Direction=H","UseDPDF=Y")</f>
        <v>-47.7027</v>
      </c>
      <c r="F10" s="14">
        <f>_xll.BDH("ALNY US Equity","RETURN_ON_INV_CAPITAL","FQ3 2019","FQ3 2019","Currency=USD","Period=FQ","BEST_FPERIOD_OVERRIDE=FQ","FILING_STATUS=MR","FA_ADJUSTED=GAAP","Sort=A","Dates=H","DateFormat=P","Fill=—","Direction=H","UseDPDF=Y")</f>
        <v>-49.974699999999999</v>
      </c>
      <c r="G10" s="14">
        <f>_xll.BDH("ALNY US Equity","RETURN_ON_INV_CAPITAL","FQ4 2019","FQ4 2019","Currency=USD","Period=FQ","BEST_FPERIOD_OVERRIDE=FQ","FILING_STATUS=MR","FA_ADJUSTED=GAAP","Sort=A","Dates=H","DateFormat=P","Fill=—","Direction=H","UseDPDF=Y")</f>
        <v>-60.427599999999998</v>
      </c>
      <c r="H10" s="14">
        <f>_xll.BDH("ALNY US Equity","RETURN_ON_INV_CAPITAL","FQ1 2020","FQ1 2020","Currency=USD","Period=FQ","BEST_FPERIOD_OVERRIDE=FQ","FILING_STATUS=MR","FA_ADJUSTED=GAAP","Sort=A","Dates=H","DateFormat=P","Fill=—","Direction=H","UseDPDF=Y")</f>
        <v>-53.572200000000002</v>
      </c>
      <c r="I10" s="14">
        <f>_xll.BDH("ALNY US Equity","RETURN_ON_INV_CAPITAL","FQ2 2020","FQ2 2020","Currency=USD","Period=FQ","BEST_FPERIOD_OVERRIDE=FQ","FILING_STATUS=MR","FA_ADJUSTED=GAAP","Sort=A","Dates=H","DateFormat=P","Fill=—","Direction=H","UseDPDF=Y")</f>
        <v>-47.684800000000003</v>
      </c>
      <c r="J10" s="14">
        <f>_xll.BDH("ALNY US Equity","RETURN_ON_INV_CAPITAL","FQ3 2020","FQ3 2020","Currency=USD","Period=FQ","BEST_FPERIOD_OVERRIDE=FQ","FILING_STATUS=MR","FA_ADJUSTED=GAAP","Sort=A","Dates=H","DateFormat=P","Fill=—","Direction=H","UseDPDF=Y")</f>
        <v>-53.553400000000003</v>
      </c>
      <c r="K10" s="14">
        <f>_xll.BDH("ALNY US Equity","RETURN_ON_INV_CAPITAL","FQ4 2020","FQ4 2020","Currency=USD","Period=FQ","BEST_FPERIOD_OVERRIDE=FQ","FILING_STATUS=MR","FA_ADJUSTED=GAAP","Sort=A","Dates=H","DateFormat=P","Fill=—","Direction=H","UseDPDF=Y")</f>
        <v>-51.026600000000002</v>
      </c>
      <c r="L10" s="14">
        <f>_xll.BDH("ALNY US Equity","RETURN_ON_INV_CAPITAL","FQ1 2021","FQ1 2021","Currency=USD","Period=FQ","BEST_FPERIOD_OVERRIDE=FQ","FILING_STATUS=MR","FA_ADJUSTED=GAAP","Sort=A","Dates=H","DateFormat=P","Fill=—","Direction=H","UseDPDF=Y")</f>
        <v>-53.0501</v>
      </c>
      <c r="M10" s="14">
        <f>_xll.BDH("ALNY US Equity","RETURN_ON_INV_CAPITAL","FQ2 2021","FQ2 2021","Currency=USD","Period=FQ","BEST_FPERIOD_OVERRIDE=FQ","FILING_STATUS=MR","FA_ADJUSTED=GAAP","Sort=A","Dates=H","DateFormat=P","Fill=—","Direction=H","UseDPDF=Y")</f>
        <v>-47.010399999999997</v>
      </c>
      <c r="N10" s="14">
        <f>_xll.BDH("ALNY US Equity","RETURN_ON_INV_CAPITAL","FQ3 2021","FQ3 2021","Currency=USD","Period=FQ","BEST_FPERIOD_OVERRIDE=FQ","FILING_STATUS=MR","FA_ADJUSTED=GAAP","Sort=A","Dates=H","DateFormat=P","Fill=—","Direction=H","UseDPDF=Y")</f>
        <v>-48.188099999999999</v>
      </c>
      <c r="O10" s="14">
        <f>_xll.BDH("ALNY US Equity","RETURN_ON_INV_CAPITAL","FQ4 2021","FQ4 2021","Currency=USD","Period=FQ","BEST_FPERIOD_OVERRIDE=FQ","FILING_STATUS=MR","FA_ADJUSTED=GAAP","Sort=A","Dates=H","DateFormat=P","Fill=—","Direction=H","UseDPDF=Y")</f>
        <v>-47.352600000000002</v>
      </c>
      <c r="P10" s="14">
        <f>_xll.BDH("ALNY US Equity","RETURN_ON_INV_CAPITAL","FQ1 2022","FQ1 2022","Currency=USD","Period=FQ","BEST_FPERIOD_OVERRIDE=FQ","FILING_STATUS=MR","FA_ADJUSTED=GAAP","Sort=A","Dates=H","DateFormat=P","Fill=—","Direction=H","UseDPDF=Y")</f>
        <v>-50.444299999999998</v>
      </c>
      <c r="Q10" s="14">
        <f>_xll.BDH("ALNY US Equity","RETURN_ON_INV_CAPITAL","FQ2 2022","FQ2 2022","Currency=USD","Period=FQ","BEST_FPERIOD_OVERRIDE=FQ","FILING_STATUS=MR","FA_ADJUSTED=GAAP","Sort=A","Dates=H","DateFormat=P","Fill=—","Direction=H","UseDPDF=Y")</f>
        <v>-55.527000000000001</v>
      </c>
      <c r="R10" s="14">
        <f>_xll.BDH("ALNY US Equity","RETURN_ON_INV_CAPITAL","FQ3 2022","FQ3 2022","Currency=USD","Period=FQ","BEST_FPERIOD_OVERRIDE=FQ","FILING_STATUS=MR","FA_ADJUSTED=GAAP","Sort=A","Dates=H","DateFormat=P","Fill=—","Direction=H","UseDPDF=Y")</f>
        <v>-58.532299999999999</v>
      </c>
      <c r="S10" s="14">
        <f>_xll.BDH("ALNY US Equity","RETURN_ON_INV_CAPITAL","FQ4 2022","FQ4 2022","Currency=USD","Period=FQ","BEST_FPERIOD_OVERRIDE=FQ","FILING_STATUS=MR","FA_ADJUSTED=GAAP","Sort=A","Dates=H","DateFormat=P","Fill=—","Direction=H","UseDPDF=Y")</f>
        <v>-62.670699999999997</v>
      </c>
      <c r="T10" s="14">
        <f>_xll.BDH("ALNY US Equity","RETURN_ON_INV_CAPITAL","FQ1 2023","FQ1 2023","Currency=USD","Period=FQ","BEST_FPERIOD_OVERRIDE=FQ","FILING_STATUS=MR","FA_ADJUSTED=GAAP","Sort=A","Dates=H","DateFormat=P","Fill=—","Direction=H","UseDPDF=Y")</f>
        <v>-69.184100000000001</v>
      </c>
      <c r="U10" s="14">
        <f>_xll.BDH("ALNY US Equity","RETURN_ON_INV_CAPITAL","FQ2 2023","FQ2 2023","Currency=USD","Period=FQ","BEST_FPERIOD_OVERRIDE=FQ","FILING_STATUS=MR","FA_ADJUSTED=GAAP","Sort=A","Dates=H","DateFormat=P","Fill=—","Direction=H","UseDPDF=Y")</f>
        <v>-84.822400000000002</v>
      </c>
      <c r="V10" s="14">
        <f>_xll.BDH("ALNY US Equity","RETURN_ON_INV_CAPITAL","FQ3 2023","FQ3 2023","Currency=USD","Period=FQ","BEST_FPERIOD_OVERRIDE=FQ","FILING_STATUS=MR","FA_ADJUSTED=GAAP","Sort=A","Dates=H","DateFormat=P","Fill=—","Direction=H","UseDPDF=Y")</f>
        <v>-29.103400000000001</v>
      </c>
      <c r="W10" s="14">
        <f>_xll.BDH("ALNY US Equity","RETURN_ON_INV_CAPITAL","FQ4 2023","FQ4 2023","Currency=USD","Period=FQ","BEST_FPERIOD_OVERRIDE=FQ","FILING_STATUS=MR","FA_ADJUSTED=GAAP","Sort=A","Dates=H","DateFormat=P","Fill=—","Direction=H","UseDPDF=Y")</f>
        <v>-27.477399999999999</v>
      </c>
      <c r="X10" s="14">
        <f>_xll.BDH("ALNY US Equity","RETURN_ON_INV_CAPITAL","FQ1 2024","FQ1 2024","Currency=USD","Period=FQ","BEST_FPERIOD_OVERRIDE=FQ","FILING_STATUS=MR","FA_ADJUSTED=GAAP","Sort=A","Dates=H","DateFormat=P","Fill=—","Direction=H","UseDPDF=Y")</f>
        <v>-18.889700000000001</v>
      </c>
      <c r="Y10" s="14">
        <f>_xll.BDH("ALNY US Equity","RETURN_ON_INV_CAPITAL","FQ2 2024","FQ2 2024","Currency=USD","Period=FQ","BEST_FPERIOD_OVERRIDE=FQ","FILING_STATUS=MR","FA_ADJUSTED=GAAP","Sort=A","Dates=H","DateFormat=P","Fill=—","Direction=H","UseDPDF=Y")</f>
        <v>3.8820000000000001</v>
      </c>
      <c r="Z10" s="14">
        <f>_xll.BDH("ALNY US Equity","RETURN_ON_INV_CAPITAL","FQ3 2024","FQ3 2024","Currency=USD","Period=FQ","BEST_FPERIOD_OVERRIDE=FQ","FILING_STATUS=MR","FA_ADJUSTED=GAAP","Sort=A","Dates=H","DateFormat=P","Fill=—","Direction=H","UseDPDF=Y")</f>
        <v>-18.343299999999999</v>
      </c>
      <c r="AA10" s="14">
        <f>_xll.BDH("ALNY US Equity","RETURN_ON_INV_CAPITAL","FQ4 2024","FQ4 2024","Currency=USD","Period=FQ","BEST_FPERIOD_OVERRIDE=FQ","FILING_STATUS=MR","FA_ADJUSTED=GAAP","Sort=A","Dates=H","DateFormat=P","Fill=—","Direction=H","UseDPDF=Y")</f>
        <v>-9.7856000000000005</v>
      </c>
    </row>
    <row r="11" spans="1:27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6" t="s">
        <v>1349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0" t="s">
        <v>380</v>
      </c>
      <c r="B13" s="10" t="s">
        <v>153</v>
      </c>
      <c r="C13" s="14">
        <f>_xll.BDH("ALNY US Equity","GROSS_MARGIN","FQ4 2018","FQ4 2018","Currency=USD","Period=FQ","BEST_FPERIOD_OVERRIDE=FQ","FILING_STATUS=MR","FA_ADJUSTED=GAAP","Sort=A","Dates=H","DateFormat=P","Fill=—","Direction=H","UseDPDF=Y")</f>
        <v>92.0839</v>
      </c>
      <c r="D13" s="14">
        <f>_xll.BDH("ALNY US Equity","GROSS_MARGIN","FQ1 2019","FQ1 2019","Currency=USD","Period=FQ","BEST_FPERIOD_OVERRIDE=FQ","FILING_STATUS=MR","FA_ADJUSTED=GAAP","Sort=A","Dates=H","DateFormat=P","Fill=—","Direction=H","UseDPDF=Y")</f>
        <v>89.947100000000006</v>
      </c>
      <c r="E13" s="14">
        <f>_xll.BDH("ALNY US Equity","GROSS_MARGIN","FQ2 2019","FQ2 2019","Currency=USD","Period=FQ","BEST_FPERIOD_OVERRIDE=FQ","FILING_STATUS=MR","FA_ADJUSTED=GAAP","Sort=A","Dates=H","DateFormat=P","Fill=—","Direction=H","UseDPDF=Y")</f>
        <v>90.325199999999995</v>
      </c>
      <c r="F13" s="14">
        <f>_xll.BDH("ALNY US Equity","GROSS_MARGIN","FQ3 2019","FQ3 2019","Currency=USD","Period=FQ","BEST_FPERIOD_OVERRIDE=FQ","FILING_STATUS=MR","FA_ADJUSTED=GAAP","Sort=A","Dates=H","DateFormat=P","Fill=—","Direction=H","UseDPDF=Y")</f>
        <v>92.559299999999993</v>
      </c>
      <c r="G13" s="14">
        <f>_xll.BDH("ALNY US Equity","GROSS_MARGIN","FQ4 2019","FQ4 2019","Currency=USD","Period=FQ","BEST_FPERIOD_OVERRIDE=FQ","FILING_STATUS=MR","FA_ADJUSTED=GAAP","Sort=A","Dates=H","DateFormat=P","Fill=—","Direction=H","UseDPDF=Y")</f>
        <v>83.013599999999997</v>
      </c>
      <c r="H13" s="14">
        <f>_xll.BDH("ALNY US Equity","GROSS_MARGIN","FQ1 2020","FQ1 2020","Currency=USD","Period=FQ","BEST_FPERIOD_OVERRIDE=FQ","FILING_STATUS=MR","FA_ADJUSTED=GAAP","Sort=A","Dates=H","DateFormat=P","Fill=—","Direction=H","UseDPDF=Y")</f>
        <v>86.627899999999997</v>
      </c>
      <c r="I13" s="14">
        <f>_xll.BDH("ALNY US Equity","GROSS_MARGIN","FQ2 2020","FQ2 2020","Currency=USD","Period=FQ","BEST_FPERIOD_OVERRIDE=FQ","FILING_STATUS=MR","FA_ADJUSTED=GAAP","Sort=A","Dates=H","DateFormat=P","Fill=—","Direction=H","UseDPDF=Y")</f>
        <v>80.830500000000001</v>
      </c>
      <c r="J13" s="14">
        <f>_xll.BDH("ALNY US Equity","GROSS_MARGIN","FQ3 2020","FQ3 2020","Currency=USD","Period=FQ","BEST_FPERIOD_OVERRIDE=FQ","FILING_STATUS=MR","FA_ADJUSTED=GAAP","Sort=A","Dates=H","DateFormat=P","Fill=—","Direction=H","UseDPDF=Y")</f>
        <v>82.680599999999998</v>
      </c>
      <c r="K13" s="14">
        <f>_xll.BDH("ALNY US Equity","GROSS_MARGIN","FQ4 2020","FQ4 2020","Currency=USD","Period=FQ","BEST_FPERIOD_OVERRIDE=FQ","FILING_STATUS=MR","FA_ADJUSTED=GAAP","Sort=A","Dates=H","DateFormat=P","Fill=—","Direction=H","UseDPDF=Y")</f>
        <v>85.923400000000001</v>
      </c>
      <c r="L13" s="14">
        <f>_xll.BDH("ALNY US Equity","GROSS_MARGIN","FQ1 2021","FQ1 2021","Currency=USD","Period=FQ","BEST_FPERIOD_OVERRIDE=FQ","FILING_STATUS=MR","FA_ADJUSTED=GAAP","Sort=A","Dates=H","DateFormat=P","Fill=—","Direction=H","UseDPDF=Y")</f>
        <v>82.506799999999998</v>
      </c>
      <c r="M13" s="14">
        <f>_xll.BDH("ALNY US Equity","GROSS_MARGIN","FQ2 2021","FQ2 2021","Currency=USD","Period=FQ","BEST_FPERIOD_OVERRIDE=FQ","FILING_STATUS=MR","FA_ADJUSTED=GAAP","Sort=A","Dates=H","DateFormat=P","Fill=—","Direction=H","UseDPDF=Y")</f>
        <v>82.428299999999993</v>
      </c>
      <c r="N13" s="14">
        <f>_xll.BDH("ALNY US Equity","GROSS_MARGIN","FQ3 2021","FQ3 2021","Currency=USD","Period=FQ","BEST_FPERIOD_OVERRIDE=FQ","FILING_STATUS=MR","FA_ADJUSTED=GAAP","Sort=A","Dates=H","DateFormat=P","Fill=—","Direction=H","UseDPDF=Y")</f>
        <v>82.592100000000002</v>
      </c>
      <c r="O13" s="14">
        <f>_xll.BDH("ALNY US Equity","GROSS_MARGIN","FQ4 2021","FQ4 2021","Currency=USD","Period=FQ","BEST_FPERIOD_OVERRIDE=FQ","FILING_STATUS=MR","FA_ADJUSTED=GAAP","Sort=A","Dates=H","DateFormat=P","Fill=—","Direction=H","UseDPDF=Y")</f>
        <v>85.431799999999996</v>
      </c>
      <c r="P13" s="14">
        <f>_xll.BDH("ALNY US Equity","GROSS_MARGIN","FQ1 2022","FQ1 2022","Currency=USD","Period=FQ","BEST_FPERIOD_OVERRIDE=FQ","FILING_STATUS=MR","FA_ADJUSTED=GAAP","Sort=A","Dates=H","DateFormat=P","Fill=—","Direction=H","UseDPDF=Y")</f>
        <v>83.293999999999997</v>
      </c>
      <c r="Q13" s="14">
        <f>_xll.BDH("ALNY US Equity","GROSS_MARGIN","FQ2 2022","FQ2 2022","Currency=USD","Period=FQ","BEST_FPERIOD_OVERRIDE=FQ","FILING_STATUS=MR","FA_ADJUSTED=GAAP","Sort=A","Dates=H","DateFormat=P","Fill=—","Direction=H","UseDPDF=Y")</f>
        <v>81.848399999999998</v>
      </c>
      <c r="R13" s="14">
        <f>_xll.BDH("ALNY US Equity","GROSS_MARGIN","FQ3 2022","FQ3 2022","Currency=USD","Period=FQ","BEST_FPERIOD_OVERRIDE=FQ","FILING_STATUS=MR","FA_ADJUSTED=GAAP","Sort=A","Dates=H","DateFormat=P","Fill=—","Direction=H","UseDPDF=Y")</f>
        <v>84.443799999999996</v>
      </c>
      <c r="S13" s="14">
        <f>_xll.BDH("ALNY US Equity","GROSS_MARGIN","FQ4 2022","FQ4 2022","Currency=USD","Period=FQ","BEST_FPERIOD_OVERRIDE=FQ","FILING_STATUS=MR","FA_ADJUSTED=GAAP","Sort=A","Dates=H","DateFormat=P","Fill=—","Direction=H","UseDPDF=Y")</f>
        <v>84.698300000000003</v>
      </c>
      <c r="T13" s="14">
        <f>_xll.BDH("ALNY US Equity","GROSS_MARGIN","FQ1 2023","FQ1 2023","Currency=USD","Period=FQ","BEST_FPERIOD_OVERRIDE=FQ","FILING_STATUS=MR","FA_ADJUSTED=GAAP","Sort=A","Dates=H","DateFormat=P","Fill=—","Direction=H","UseDPDF=Y")</f>
        <v>82.815299999999993</v>
      </c>
      <c r="U13" s="14">
        <f>_xll.BDH("ALNY US Equity","GROSS_MARGIN","FQ2 2023","FQ2 2023","Currency=USD","Period=FQ","BEST_FPERIOD_OVERRIDE=FQ","FILING_STATUS=MR","FA_ADJUSTED=GAAP","Sort=A","Dates=H","DateFormat=P","Fill=—","Direction=H","UseDPDF=Y")</f>
        <v>73.217600000000004</v>
      </c>
      <c r="V13" s="14">
        <f>_xll.BDH("ALNY US Equity","GROSS_MARGIN","FQ3 2023","FQ3 2023","Currency=USD","Period=FQ","BEST_FPERIOD_OVERRIDE=FQ","FILING_STATUS=MR","FA_ADJUSTED=GAAP","Sort=A","Dates=H","DateFormat=P","Fill=—","Direction=H","UseDPDF=Y")</f>
        <v>88.7667</v>
      </c>
      <c r="W13" s="14">
        <f>_xll.BDH("ALNY US Equity","GROSS_MARGIN","FQ4 2023","FQ4 2023","Currency=USD","Period=FQ","BEST_FPERIOD_OVERRIDE=FQ","FILING_STATUS=MR","FA_ADJUSTED=GAAP","Sort=A","Dates=H","DateFormat=P","Fill=—","Direction=H","UseDPDF=Y")</f>
        <v>80.474299999999999</v>
      </c>
      <c r="X13" s="14">
        <f>_xll.BDH("ALNY US Equity","GROSS_MARGIN","FQ1 2024","FQ1 2024","Currency=USD","Period=FQ","BEST_FPERIOD_OVERRIDE=FQ","FILING_STATUS=MR","FA_ADJUSTED=GAAP","Sort=A","Dates=H","DateFormat=P","Fill=—","Direction=H","UseDPDF=Y")</f>
        <v>86.653499999999994</v>
      </c>
      <c r="Y13" s="14">
        <f>_xll.BDH("ALNY US Equity","GROSS_MARGIN","FQ2 2024","FQ2 2024","Currency=USD","Period=FQ","BEST_FPERIOD_OVERRIDE=FQ","FILING_STATUS=MR","FA_ADJUSTED=GAAP","Sort=A","Dates=H","DateFormat=P","Fill=—","Direction=H","UseDPDF=Y")</f>
        <v>89.592399999999998</v>
      </c>
      <c r="Z13" s="14">
        <f>_xll.BDH("ALNY US Equity","GROSS_MARGIN","FQ3 2024","FQ3 2024","Currency=USD","Period=FQ","BEST_FPERIOD_OVERRIDE=FQ","FILING_STATUS=MR","FA_ADJUSTED=GAAP","Sort=A","Dates=H","DateFormat=P","Fill=—","Direction=H","UseDPDF=Y")</f>
        <v>82.850499999999997</v>
      </c>
      <c r="AA13" s="14">
        <f>_xll.BDH("ALNY US Equity","GROSS_MARGIN","FQ4 2024","FQ4 2024","Currency=USD","Period=FQ","BEST_FPERIOD_OVERRIDE=FQ","FILING_STATUS=MR","FA_ADJUSTED=GAAP","Sort=A","Dates=H","DateFormat=P","Fill=—","Direction=H","UseDPDF=Y")</f>
        <v>82.666399999999996</v>
      </c>
    </row>
    <row r="14" spans="1:27" x14ac:dyDescent="0.25">
      <c r="A14" s="10" t="s">
        <v>1350</v>
      </c>
      <c r="B14" s="10" t="s">
        <v>1351</v>
      </c>
      <c r="C14" s="14">
        <f>_xll.BDH("ALNY US Equity","EBITDA_TO_REVENUE","FQ4 2018","FQ4 2018","Currency=USD","Period=FQ","BEST_FPERIOD_OVERRIDE=FQ","FILING_STATUS=MR","FA_ADJUSTED=GAAP","Sort=A","Dates=H","DateFormat=P","Fill=—","Direction=H","UseDPDF=Y")</f>
        <v>-1058.2608</v>
      </c>
      <c r="D14" s="14">
        <f>_xll.BDH("ALNY US Equity","EBITDA_TO_REVENUE","FQ1 2019","FQ1 2019","Currency=USD","Period=FQ","BEST_FPERIOD_OVERRIDE=FQ","FILING_STATUS=MR","FA_ADJUSTED=GAAP","Sort=A","Dates=H","DateFormat=P","Fill=—","Direction=H","UseDPDF=Y")</f>
        <v>-502.45690000000002</v>
      </c>
      <c r="E14" s="14">
        <f>_xll.BDH("ALNY US Equity","EBITDA_TO_REVENUE","FQ2 2019","FQ2 2019","Currency=USD","Period=FQ","BEST_FPERIOD_OVERRIDE=FQ","FILING_STATUS=MR","FA_ADJUSTED=GAAP","Sort=A","Dates=H","DateFormat=P","Fill=—","Direction=H","UseDPDF=Y")</f>
        <v>-485.8322</v>
      </c>
      <c r="F14" s="14">
        <f>_xll.BDH("ALNY US Equity","EBITDA_TO_REVENUE","FQ3 2019","FQ3 2019","Currency=USD","Period=FQ","BEST_FPERIOD_OVERRIDE=FQ","FILING_STATUS=MR","FA_ADJUSTED=GAAP","Sort=A","Dates=H","DateFormat=P","Fill=—","Direction=H","UseDPDF=Y")</f>
        <v>-270.28730000000002</v>
      </c>
      <c r="G14" s="14">
        <f>_xll.BDH("ALNY US Equity","EBITDA_TO_REVENUE","FQ4 2019","FQ4 2019","Currency=USD","Period=FQ","BEST_FPERIOD_OVERRIDE=FQ","FILING_STATUS=MR","FA_ADJUSTED=GAAP","Sort=A","Dates=H","DateFormat=P","Fill=—","Direction=H","UseDPDF=Y")</f>
        <v>-380.24160000000001</v>
      </c>
      <c r="H14" s="14">
        <f>_xll.BDH("ALNY US Equity","EBITDA_TO_REVENUE","FQ1 2020","FQ1 2020","Currency=USD","Period=FQ","BEST_FPERIOD_OVERRIDE=FQ","FILING_STATUS=MR","FA_ADJUSTED=GAAP","Sort=A","Dates=H","DateFormat=P","Fill=—","Direction=H","UseDPDF=Y")</f>
        <v>-194.1694</v>
      </c>
      <c r="I14" s="14">
        <f>_xll.BDH("ALNY US Equity","EBITDA_TO_REVENUE","FQ2 2020","FQ2 2020","Currency=USD","Period=FQ","BEST_FPERIOD_OVERRIDE=FQ","FILING_STATUS=MR","FA_ADJUSTED=GAAP","Sort=A","Dates=H","DateFormat=P","Fill=—","Direction=H","UseDPDF=Y")</f>
        <v>-174.18</v>
      </c>
      <c r="J14" s="14">
        <f>_xll.BDH("ALNY US Equity","EBITDA_TO_REVENUE","FQ3 2020","FQ3 2020","Currency=USD","Period=FQ","BEST_FPERIOD_OVERRIDE=FQ","FILING_STATUS=MR","FA_ADJUSTED=GAAP","Sort=A","Dates=H","DateFormat=P","Fill=—","Direction=H","UseDPDF=Y")</f>
        <v>-164.0231</v>
      </c>
      <c r="K14" s="14">
        <f>_xll.BDH("ALNY US Equity","EBITDA_TO_REVENUE","FQ4 2020","FQ4 2020","Currency=USD","Period=FQ","BEST_FPERIOD_OVERRIDE=FQ","FILING_STATUS=MR","FA_ADJUSTED=GAAP","Sort=A","Dates=H","DateFormat=P","Fill=—","Direction=H","UseDPDF=Y")</f>
        <v>-105.9794</v>
      </c>
      <c r="L14" s="14">
        <f>_xll.BDH("ALNY US Equity","EBITDA_TO_REVENUE","FQ1 2021","FQ1 2021","Currency=USD","Period=FQ","BEST_FPERIOD_OVERRIDE=FQ","FILING_STATUS=MR","FA_ADJUSTED=GAAP","Sort=A","Dates=H","DateFormat=P","Fill=—","Direction=H","UseDPDF=Y")</f>
        <v>-92.017600000000002</v>
      </c>
      <c r="M14" s="14">
        <f>_xll.BDH("ALNY US Equity","EBITDA_TO_REVENUE","FQ2 2021","FQ2 2021","Currency=USD","Period=FQ","BEST_FPERIOD_OVERRIDE=FQ","FILING_STATUS=MR","FA_ADJUSTED=GAAP","Sort=A","Dates=H","DateFormat=P","Fill=—","Direction=H","UseDPDF=Y")</f>
        <v>-56.221899999999998</v>
      </c>
      <c r="N14" s="14">
        <f>_xll.BDH("ALNY US Equity","EBITDA_TO_REVENUE","FQ3 2021","FQ3 2021","Currency=USD","Period=FQ","BEST_FPERIOD_OVERRIDE=FQ","FILING_STATUS=MR","FA_ADJUSTED=GAAP","Sort=A","Dates=H","DateFormat=P","Fill=—","Direction=H","UseDPDF=Y")</f>
        <v>-84.450500000000005</v>
      </c>
      <c r="O14" s="14">
        <f>_xll.BDH("ALNY US Equity","EBITDA_TO_REVENUE","FQ4 2021","FQ4 2021","Currency=USD","Period=FQ","BEST_FPERIOD_OVERRIDE=FQ","FILING_STATUS=MR","FA_ADJUSTED=GAAP","Sort=A","Dates=H","DateFormat=P","Fill=—","Direction=H","UseDPDF=Y")</f>
        <v>-66.958100000000002</v>
      </c>
      <c r="P14" s="14">
        <f>_xll.BDH("ALNY US Equity","EBITDA_TO_REVENUE","FQ1 2022","FQ1 2022","Currency=USD","Period=FQ","BEST_FPERIOD_OVERRIDE=FQ","FILING_STATUS=MR","FA_ADJUSTED=GAAP","Sort=A","Dates=H","DateFormat=P","Fill=—","Direction=H","UseDPDF=Y")</f>
        <v>-59.5304</v>
      </c>
      <c r="Q14" s="14">
        <f>_xll.BDH("ALNY US Equity","EBITDA_TO_REVENUE","FQ2 2022","FQ2 2022","Currency=USD","Period=FQ","BEST_FPERIOD_OVERRIDE=FQ","FILING_STATUS=MR","FA_ADJUSTED=GAAP","Sort=A","Dates=H","DateFormat=P","Fill=—","Direction=H","UseDPDF=Y")</f>
        <v>-76.261200000000002</v>
      </c>
      <c r="R14" s="14">
        <f>_xll.BDH("ALNY US Equity","EBITDA_TO_REVENUE","FQ3 2022","FQ3 2022","Currency=USD","Period=FQ","BEST_FPERIOD_OVERRIDE=FQ","FILING_STATUS=MR","FA_ADJUSTED=GAAP","Sort=A","Dates=H","DateFormat=P","Fill=—","Direction=H","UseDPDF=Y")</f>
        <v>-89.816299999999998</v>
      </c>
      <c r="S14" s="14">
        <f>_xll.BDH("ALNY US Equity","EBITDA_TO_REVENUE","FQ4 2022","FQ4 2022","Currency=USD","Period=FQ","BEST_FPERIOD_OVERRIDE=FQ","FILING_STATUS=MR","FA_ADJUSTED=GAAP","Sort=A","Dates=H","DateFormat=P","Fill=—","Direction=H","UseDPDF=Y")</f>
        <v>-48.869199999999999</v>
      </c>
      <c r="T14" s="14">
        <f>_xll.BDH("ALNY US Equity","EBITDA_TO_REVENUE","FQ1 2023","FQ1 2023","Currency=USD","Period=FQ","BEST_FPERIOD_OVERRIDE=FQ","FILING_STATUS=MR","FA_ADJUSTED=GAAP","Sort=A","Dates=H","DateFormat=P","Fill=—","Direction=H","UseDPDF=Y")</f>
        <v>-38.750999999999998</v>
      </c>
      <c r="U14" s="14">
        <f>_xll.BDH("ALNY US Equity","EBITDA_TO_REVENUE","FQ2 2023","FQ2 2023","Currency=USD","Period=FQ","BEST_FPERIOD_OVERRIDE=FQ","FILING_STATUS=MR","FA_ADJUSTED=GAAP","Sort=A","Dates=H","DateFormat=P","Fill=—","Direction=H","UseDPDF=Y")</f>
        <v>-64.747100000000003</v>
      </c>
      <c r="V14" s="14">
        <f>_xll.BDH("ALNY US Equity","EBITDA_TO_REVENUE","FQ3 2023","FQ3 2023","Currency=USD","Period=FQ","BEST_FPERIOD_OVERRIDE=FQ","FILING_STATUS=MR","FA_ADJUSTED=GAAP","Sort=A","Dates=H","DateFormat=P","Fill=—","Direction=H","UseDPDF=Y")</f>
        <v>31.630800000000001</v>
      </c>
      <c r="W14" s="14">
        <f>_xll.BDH("ALNY US Equity","EBITDA_TO_REVENUE","FQ4 2023","FQ4 2023","Currency=USD","Period=FQ","BEST_FPERIOD_OVERRIDE=FQ","FILING_STATUS=MR","FA_ADJUSTED=GAAP","Sort=A","Dates=H","DateFormat=P","Fill=—","Direction=H","UseDPDF=Y")</f>
        <v>-21.020499999999998</v>
      </c>
      <c r="X14" s="14">
        <f>_xll.BDH("ALNY US Equity","EBITDA_TO_REVENUE","FQ1 2024","FQ1 2024","Currency=USD","Period=FQ","BEST_FPERIOD_OVERRIDE=FQ","FILING_STATUS=MR","FA_ADJUSTED=GAAP","Sort=A","Dates=H","DateFormat=P","Fill=—","Direction=H","UseDPDF=Y")</f>
        <v>-3.6309999999999998</v>
      </c>
      <c r="Y14" s="14">
        <f>_xll.BDH("ALNY US Equity","EBITDA_TO_REVENUE","FQ2 2024","FQ2 2024","Currency=USD","Period=FQ","BEST_FPERIOD_OVERRIDE=FQ","FILING_STATUS=MR","FA_ADJUSTED=GAAP","Sort=A","Dates=H","DateFormat=P","Fill=—","Direction=H","UseDPDF=Y")</f>
        <v>11.1099</v>
      </c>
      <c r="Z14" s="14">
        <f>_xll.BDH("ALNY US Equity","EBITDA_TO_REVENUE","FQ3 2024","FQ3 2024","Currency=USD","Period=FQ","BEST_FPERIOD_OVERRIDE=FQ","FILING_STATUS=MR","FA_ADJUSTED=GAAP","Sort=A","Dates=H","DateFormat=P","Fill=—","Direction=H","UseDPDF=Y")</f>
        <v>-9.9550999999999998</v>
      </c>
      <c r="AA14" s="14">
        <f>_xll.BDH("ALNY US Equity","EBITDA_TO_REVENUE","FQ4 2024","FQ4 2024","Currency=USD","Period=FQ","BEST_FPERIOD_OVERRIDE=FQ","FILING_STATUS=MR","FA_ADJUSTED=GAAP","Sort=A","Dates=H","DateFormat=P","Fill=—","Direction=H","UseDPDF=Y")</f>
        <v>-15.3399</v>
      </c>
    </row>
    <row r="15" spans="1:27" x14ac:dyDescent="0.25">
      <c r="A15" s="10" t="s">
        <v>381</v>
      </c>
      <c r="B15" s="10" t="s">
        <v>382</v>
      </c>
      <c r="C15" s="14">
        <f>_xll.BDH("ALNY US Equity","OPER_MARGIN","FQ4 2018","FQ4 2018","Currency=USD","Period=FQ","BEST_FPERIOD_OVERRIDE=FQ","FILING_STATUS=MR","FA_ADJUSTED=GAAP","Sort=A","Dates=H","DateFormat=P","Fill=—","Direction=H","UseDPDF=Y")</f>
        <v>-1047.6679999999999</v>
      </c>
      <c r="D15" s="14">
        <f>_xll.BDH("ALNY US Equity","OPER_MARGIN","FQ1 2019","FQ1 2019","Currency=USD","Period=FQ","BEST_FPERIOD_OVERRIDE=FQ","FILING_STATUS=MR","FA_ADJUSTED=GAAP","Sort=A","Dates=H","DateFormat=P","Fill=—","Direction=H","UseDPDF=Y")</f>
        <v>-567.03309999999999</v>
      </c>
      <c r="E15" s="14">
        <f>_xll.BDH("ALNY US Equity","OPER_MARGIN","FQ2 2019","FQ2 2019","Currency=USD","Period=FQ","BEST_FPERIOD_OVERRIDE=FQ","FILING_STATUS=MR","FA_ADJUSTED=GAAP","Sort=A","Dates=H","DateFormat=P","Fill=—","Direction=H","UseDPDF=Y")</f>
        <v>-528.40499999999997</v>
      </c>
      <c r="F15" s="14">
        <f>_xll.BDH("ALNY US Equity","OPER_MARGIN","FQ3 2019","FQ3 2019","Currency=USD","Period=FQ","BEST_FPERIOD_OVERRIDE=FQ","FILING_STATUS=MR","FA_ADJUSTED=GAAP","Sort=A","Dates=H","DateFormat=P","Fill=—","Direction=H","UseDPDF=Y")</f>
        <v>-308.72949999999997</v>
      </c>
      <c r="G15" s="14">
        <f>_xll.BDH("ALNY US Equity","OPER_MARGIN","FQ4 2019","FQ4 2019","Currency=USD","Period=FQ","BEST_FPERIOD_OVERRIDE=FQ","FILING_STATUS=MR","FA_ADJUSTED=GAAP","Sort=A","Dates=H","DateFormat=P","Fill=—","Direction=H","UseDPDF=Y")</f>
        <v>-415.83260000000001</v>
      </c>
      <c r="H15" s="14">
        <f>_xll.BDH("ALNY US Equity","OPER_MARGIN","FQ1 2020","FQ1 2020","Currency=USD","Period=FQ","BEST_FPERIOD_OVERRIDE=FQ","FILING_STATUS=MR","FA_ADJUSTED=GAAP","Sort=A","Dates=H","DateFormat=P","Fill=—","Direction=H","UseDPDF=Y")</f>
        <v>-211.26499999999999</v>
      </c>
      <c r="I15" s="14">
        <f>_xll.BDH("ALNY US Equity","OPER_MARGIN","FQ2 2020","FQ2 2020","Currency=USD","Period=FQ","BEST_FPERIOD_OVERRIDE=FQ","FILING_STATUS=MR","FA_ADJUSTED=GAAP","Sort=A","Dates=H","DateFormat=P","Fill=—","Direction=H","UseDPDF=Y")</f>
        <v>-191.28049999999999</v>
      </c>
      <c r="J15" s="14">
        <f>_xll.BDH("ALNY US Equity","OPER_MARGIN","FQ3 2020","FQ3 2020","Currency=USD","Period=FQ","BEST_FPERIOD_OVERRIDE=FQ","FILING_STATUS=MR","FA_ADJUSTED=GAAP","Sort=A","Dates=H","DateFormat=P","Fill=—","Direction=H","UseDPDF=Y")</f>
        <v>-178.93809999999999</v>
      </c>
      <c r="K15" s="14">
        <f>_xll.BDH("ALNY US Equity","OPER_MARGIN","FQ4 2020","FQ4 2020","Currency=USD","Period=FQ","BEST_FPERIOD_OVERRIDE=FQ","FILING_STATUS=MR","FA_ADJUSTED=GAAP","Sort=A","Dates=H","DateFormat=P","Fill=—","Direction=H","UseDPDF=Y")</f>
        <v>-118.7452</v>
      </c>
      <c r="L15" s="14">
        <f>_xll.BDH("ALNY US Equity","OPER_MARGIN","FQ1 2021","FQ1 2021","Currency=USD","Period=FQ","BEST_FPERIOD_OVERRIDE=FQ","FILING_STATUS=MR","FA_ADJUSTED=GAAP","Sort=A","Dates=H","DateFormat=P","Fill=—","Direction=H","UseDPDF=Y")</f>
        <v>-104.89279999999999</v>
      </c>
      <c r="M15" s="14">
        <f>_xll.BDH("ALNY US Equity","OPER_MARGIN","FQ2 2021","FQ2 2021","Currency=USD","Period=FQ","BEST_FPERIOD_OVERRIDE=FQ","FILING_STATUS=MR","FA_ADJUSTED=GAAP","Sort=A","Dates=H","DateFormat=P","Fill=—","Direction=H","UseDPDF=Y")</f>
        <v>-66.269800000000004</v>
      </c>
      <c r="N15" s="14">
        <f>_xll.BDH("ALNY US Equity","OPER_MARGIN","FQ3 2021","FQ3 2021","Currency=USD","Period=FQ","BEST_FPERIOD_OVERRIDE=FQ","FILING_STATUS=MR","FA_ADJUSTED=GAAP","Sort=A","Dates=H","DateFormat=P","Fill=—","Direction=H","UseDPDF=Y")</f>
        <v>-96.825699999999998</v>
      </c>
      <c r="O15" s="14">
        <f>_xll.BDH("ALNY US Equity","OPER_MARGIN","FQ4 2021","FQ4 2021","Currency=USD","Period=FQ","BEST_FPERIOD_OVERRIDE=FQ","FILING_STATUS=MR","FA_ADJUSTED=GAAP","Sort=A","Dates=H","DateFormat=P","Fill=—","Direction=H","UseDPDF=Y")</f>
        <v>-75.255200000000002</v>
      </c>
      <c r="P15" s="14">
        <f>_xll.BDH("ALNY US Equity","OPER_MARGIN","FQ1 2022","FQ1 2022","Currency=USD","Period=FQ","BEST_FPERIOD_OVERRIDE=FQ","FILING_STATUS=MR","FA_ADJUSTED=GAAP","Sort=A","Dates=H","DateFormat=P","Fill=—","Direction=H","UseDPDF=Y")</f>
        <v>-68.804599999999994</v>
      </c>
      <c r="Q15" s="14">
        <f>_xll.BDH("ALNY US Equity","OPER_MARGIN","FQ2 2022","FQ2 2022","Currency=USD","Period=FQ","BEST_FPERIOD_OVERRIDE=FQ","FILING_STATUS=MR","FA_ADJUSTED=GAAP","Sort=A","Dates=H","DateFormat=P","Fill=—","Direction=H","UseDPDF=Y")</f>
        <v>-85.262699999999995</v>
      </c>
      <c r="R15" s="14">
        <f>_xll.BDH("ALNY US Equity","OPER_MARGIN","FQ3 2022","FQ3 2022","Currency=USD","Period=FQ","BEST_FPERIOD_OVERRIDE=FQ","FILING_STATUS=MR","FA_ADJUSTED=GAAP","Sort=A","Dates=H","DateFormat=P","Fill=—","Direction=H","UseDPDF=Y")</f>
        <v>-97.629300000000001</v>
      </c>
      <c r="S15" s="14">
        <f>_xll.BDH("ALNY US Equity","OPER_MARGIN","FQ4 2022","FQ4 2022","Currency=USD","Period=FQ","BEST_FPERIOD_OVERRIDE=FQ","FILING_STATUS=MR","FA_ADJUSTED=GAAP","Sort=A","Dates=H","DateFormat=P","Fill=—","Direction=H","UseDPDF=Y")</f>
        <v>-56.296799999999998</v>
      </c>
      <c r="T15" s="14">
        <f>_xll.BDH("ALNY US Equity","OPER_MARGIN","FQ1 2023","FQ1 2023","Currency=USD","Period=FQ","BEST_FPERIOD_OVERRIDE=FQ","FILING_STATUS=MR","FA_ADJUSTED=GAAP","Sort=A","Dates=H","DateFormat=P","Fill=—","Direction=H","UseDPDF=Y")</f>
        <v>-46.918799999999997</v>
      </c>
      <c r="U15" s="14">
        <f>_xll.BDH("ALNY US Equity","OPER_MARGIN","FQ2 2023","FQ2 2023","Currency=USD","Period=FQ","BEST_FPERIOD_OVERRIDE=FQ","FILING_STATUS=MR","FA_ADJUSTED=GAAP","Sort=A","Dates=H","DateFormat=P","Fill=—","Direction=H","UseDPDF=Y")</f>
        <v>-72.102900000000005</v>
      </c>
      <c r="V15" s="14">
        <f>_xll.BDH("ALNY US Equity","OPER_MARGIN","FQ3 2023","FQ3 2023","Currency=USD","Period=FQ","BEST_FPERIOD_OVERRIDE=FQ","FILING_STATUS=MR","FA_ADJUSTED=GAAP","Sort=A","Dates=H","DateFormat=P","Fill=—","Direction=H","UseDPDF=Y")</f>
        <v>28.4955</v>
      </c>
      <c r="W15" s="14">
        <f>_xll.BDH("ALNY US Equity","OPER_MARGIN","FQ4 2023","FQ4 2023","Currency=USD","Period=FQ","BEST_FPERIOD_OVERRIDE=FQ","FILING_STATUS=MR","FA_ADJUSTED=GAAP","Sort=A","Dates=H","DateFormat=P","Fill=—","Direction=H","UseDPDF=Y")</f>
        <v>-26.4724</v>
      </c>
      <c r="X15" s="14">
        <f>_xll.BDH("ALNY US Equity","OPER_MARGIN","FQ1 2024","FQ1 2024","Currency=USD","Period=FQ","BEST_FPERIOD_OVERRIDE=FQ","FILING_STATUS=MR","FA_ADJUSTED=GAAP","Sort=A","Dates=H","DateFormat=P","Fill=—","Direction=H","UseDPDF=Y")</f>
        <v>-8.7866</v>
      </c>
      <c r="Y15" s="14">
        <f>_xll.BDH("ALNY US Equity","OPER_MARGIN","FQ2 2024","FQ2 2024","Currency=USD","Period=FQ","BEST_FPERIOD_OVERRIDE=FQ","FILING_STATUS=MR","FA_ADJUSTED=GAAP","Sort=A","Dates=H","DateFormat=P","Fill=—","Direction=H","UseDPDF=Y")</f>
        <v>7.3677000000000001</v>
      </c>
      <c r="Z15" s="14">
        <f>_xll.BDH("ALNY US Equity","OPER_MARGIN","FQ3 2024","FQ3 2024","Currency=USD","Period=FQ","BEST_FPERIOD_OVERRIDE=FQ","FILING_STATUS=MR","FA_ADJUSTED=GAAP","Sort=A","Dates=H","DateFormat=P","Fill=—","Direction=H","UseDPDF=Y")</f>
        <v>-15.3528</v>
      </c>
      <c r="AA15" s="14">
        <f>_xll.BDH("ALNY US Equity","OPER_MARGIN","FQ4 2024","FQ4 2024","Currency=USD","Period=FQ","BEST_FPERIOD_OVERRIDE=FQ","FILING_STATUS=MR","FA_ADJUSTED=GAAP","Sort=A","Dates=H","DateFormat=P","Fill=—","Direction=H","UseDPDF=Y")</f>
        <v>-17.728400000000001</v>
      </c>
    </row>
    <row r="16" spans="1:27" x14ac:dyDescent="0.25">
      <c r="A16" s="10" t="s">
        <v>1352</v>
      </c>
      <c r="B16" s="10" t="s">
        <v>1353</v>
      </c>
      <c r="C16" s="14">
        <f>_xll.BDH("ALNY US Equity","INCREMENTAL_OPERATING_MARGIN","FQ4 2018","FQ4 2018","Currency=USD","Period=FQ","BEST_FPERIOD_OVERRIDE=FQ","FILING_STATUS=MR","FA_ADJUSTED=GAAP","Sort=A","Dates=H","DateFormat=P","Fill=—","Direction=H","UseDPDF=Y")</f>
        <v>-432.4966</v>
      </c>
      <c r="D16" s="14" t="str">
        <f>_xll.BDH("ALNY US Equity","INCREMENTAL_OPERATING_MARGIN","FQ1 2019","FQ1 2019","Currency=USD","Period=FQ","BEST_FPERIOD_OVERRIDE=FQ","FILING_STATUS=MR","FA_ADJUSTED=GAAP","Sort=A","Dates=H","DateFormat=P","Fill=—","Direction=H","UseDPDF=Y")</f>
        <v>—</v>
      </c>
      <c r="E16" s="14" t="str">
        <f>_xll.BDH("ALNY US Equity","INCREMENTAL_OPERATING_MARGIN","FQ2 2019","FQ2 2019","Currency=USD","Period=FQ","BEST_FPERIOD_OVERRIDE=FQ","FILING_STATUS=MR","FA_ADJUSTED=GAAP","Sort=A","Dates=H","DateFormat=P","Fill=—","Direction=H","UseDPDF=Y")</f>
        <v>—</v>
      </c>
      <c r="F16" s="14">
        <f>_xll.BDH("ALNY US Equity","INCREMENTAL_OPERATING_MARGIN","FQ3 2019","FQ3 2019","Currency=USD","Period=FQ","BEST_FPERIOD_OVERRIDE=FQ","FILING_STATUS=MR","FA_ADJUSTED=GAAP","Sort=A","Dates=H","DateFormat=P","Fill=—","Direction=H","UseDPDF=Y")</f>
        <v>56.2699</v>
      </c>
      <c r="G16" s="14" t="str">
        <f>_xll.BDH("ALNY US Equity","INCREMENTAL_OPERATING_MARGIN","FQ4 2019","FQ4 2019","Currency=USD","Period=FQ","BEST_FPERIOD_OVERRIDE=FQ","FILING_STATUS=MR","FA_ADJUSTED=GAAP","Sort=A","Dates=H","DateFormat=P","Fill=—","Direction=H","UseDPDF=Y")</f>
        <v>—</v>
      </c>
      <c r="H16" s="14" t="str">
        <f>_xll.BDH("ALNY US Equity","INCREMENTAL_OPERATING_MARGIN","FQ1 2020","FQ1 2020","Currency=USD","Period=FQ","BEST_FPERIOD_OVERRIDE=FQ","FILING_STATUS=MR","FA_ADJUSTED=GAAP","Sort=A","Dates=H","DateFormat=P","Fill=—","Direction=H","UseDPDF=Y")</f>
        <v>—</v>
      </c>
      <c r="I16" s="14">
        <f>_xll.BDH("ALNY US Equity","INCREMENTAL_OPERATING_MARGIN","FQ2 2020","FQ2 2020","Currency=USD","Period=FQ","BEST_FPERIOD_OVERRIDE=FQ","FILING_STATUS=MR","FA_ADJUSTED=GAAP","Sort=A","Dates=H","DateFormat=P","Fill=—","Direction=H","UseDPDF=Y")</f>
        <v>63.1447</v>
      </c>
      <c r="J16" s="14" t="str">
        <f>_xll.BDH("ALNY US Equity","INCREMENTAL_OPERATING_MARGIN","FQ3 2020","FQ3 2020","Currency=USD","Period=FQ","BEST_FPERIOD_OVERRIDE=FQ","FILING_STATUS=MR","FA_ADJUSTED=GAAP","Sort=A","Dates=H","DateFormat=P","Fill=—","Direction=H","UseDPDF=Y")</f>
        <v>—</v>
      </c>
      <c r="K16" s="14">
        <f>_xll.BDH("ALNY US Equity","INCREMENTAL_OPERATING_MARGIN","FQ4 2020","FQ4 2020","Currency=USD","Period=FQ","BEST_FPERIOD_OVERRIDE=FQ","FILING_STATUS=MR","FA_ADJUSTED=GAAP","Sort=A","Dates=H","DateFormat=P","Fill=—","Direction=H","UseDPDF=Y")</f>
        <v>113.0277</v>
      </c>
      <c r="L16" s="14">
        <f>_xll.BDH("ALNY US Equity","INCREMENTAL_OPERATING_MARGIN","FQ1 2021","FQ1 2021","Currency=USD","Period=FQ","BEST_FPERIOD_OVERRIDE=FQ","FILING_STATUS=MR","FA_ADJUSTED=GAAP","Sort=A","Dates=H","DateFormat=P","Fill=—","Direction=H","UseDPDF=Y")</f>
        <v>30.610800000000001</v>
      </c>
      <c r="M16" s="14">
        <f>_xll.BDH("ALNY US Equity","INCREMENTAL_OPERATING_MARGIN","FQ2 2021","FQ2 2021","Currency=USD","Period=FQ","BEST_FPERIOD_OVERRIDE=FQ","FILING_STATUS=MR","FA_ADJUSTED=GAAP","Sort=A","Dates=H","DateFormat=P","Fill=—","Direction=H","UseDPDF=Y")</f>
        <v>45.1999</v>
      </c>
      <c r="N16" s="14">
        <f>_xll.BDH("ALNY US Equity","INCREMENTAL_OPERATING_MARGIN","FQ3 2021","FQ3 2021","Currency=USD","Period=FQ","BEST_FPERIOD_OVERRIDE=FQ","FILING_STATUS=MR","FA_ADJUSTED=GAAP","Sort=A","Dates=H","DateFormat=P","Fill=—","Direction=H","UseDPDF=Y")</f>
        <v>70.446700000000007</v>
      </c>
      <c r="O16" s="14" t="str">
        <f>_xll.BDH("ALNY US Equity","INCREMENTAL_OPERATING_MARGIN","FQ4 2021","FQ4 2021","Currency=USD","Period=FQ","BEST_FPERIOD_OVERRIDE=FQ","FILING_STATUS=MR","FA_ADJUSTED=GAAP","Sort=A","Dates=H","DateFormat=P","Fill=—","Direction=H","UseDPDF=Y")</f>
        <v>—</v>
      </c>
      <c r="P16" s="14">
        <f>_xll.BDH("ALNY US Equity","INCREMENTAL_OPERATING_MARGIN","FQ1 2022","FQ1 2022","Currency=USD","Period=FQ","BEST_FPERIOD_OVERRIDE=FQ","FILING_STATUS=MR","FA_ADJUSTED=GAAP","Sort=A","Dates=H","DateFormat=P","Fill=—","Direction=H","UseDPDF=Y")</f>
        <v>110.7276</v>
      </c>
      <c r="Q16" s="14" t="str">
        <f>_xll.BDH("ALNY US Equity","INCREMENTAL_OPERATING_MARGIN","FQ2 2022","FQ2 2022","Currency=USD","Period=FQ","BEST_FPERIOD_OVERRIDE=FQ","FILING_STATUS=MR","FA_ADJUSTED=GAAP","Sort=A","Dates=H","DateFormat=P","Fill=—","Direction=H","UseDPDF=Y")</f>
        <v>—</v>
      </c>
      <c r="R16" s="14" t="str">
        <f>_xll.BDH("ALNY US Equity","INCREMENTAL_OPERATING_MARGIN","FQ3 2022","FQ3 2022","Currency=USD","Period=FQ","BEST_FPERIOD_OVERRIDE=FQ","FILING_STATUS=MR","FA_ADJUSTED=GAAP","Sort=A","Dates=H","DateFormat=P","Fill=—","Direction=H","UseDPDF=Y")</f>
        <v>—</v>
      </c>
      <c r="S16" s="14">
        <f>_xll.BDH("ALNY US Equity","INCREMENTAL_OPERATING_MARGIN","FQ4 2022","FQ4 2022","Currency=USD","Period=FQ","BEST_FPERIOD_OVERRIDE=FQ","FILING_STATUS=MR","FA_ADJUSTED=GAAP","Sort=A","Dates=H","DateFormat=P","Fill=—","Direction=H","UseDPDF=Y")</f>
        <v>7.7739000000000003</v>
      </c>
      <c r="T16" s="14" t="str">
        <f>_xll.BDH("ALNY US Equity","INCREMENTAL_OPERATING_MARGIN","FQ1 2023","FQ1 2023","Currency=USD","Period=FQ","BEST_FPERIOD_OVERRIDE=FQ","FILING_STATUS=MR","FA_ADJUSTED=GAAP","Sort=A","Dates=H","DateFormat=P","Fill=—","Direction=H","UseDPDF=Y")</f>
        <v>—</v>
      </c>
      <c r="U16" s="14" t="str">
        <f>_xll.BDH("ALNY US Equity","INCREMENTAL_OPERATING_MARGIN","FQ2 2023","FQ2 2023","Currency=USD","Period=FQ","BEST_FPERIOD_OVERRIDE=FQ","FILING_STATUS=MR","FA_ADJUSTED=GAAP","Sort=A","Dates=H","DateFormat=P","Fill=—","Direction=H","UseDPDF=Y")</f>
        <v>—</v>
      </c>
      <c r="V16" s="14">
        <f>_xll.BDH("ALNY US Equity","INCREMENTAL_OPERATING_MARGIN","FQ3 2023","FQ3 2023","Currency=USD","Period=FQ","BEST_FPERIOD_OVERRIDE=FQ","FILING_STATUS=MR","FA_ADJUSTED=GAAP","Sort=A","Dates=H","DateFormat=P","Fill=—","Direction=H","UseDPDF=Y")</f>
        <v>97.055499999999995</v>
      </c>
      <c r="W16" s="14">
        <f>_xll.BDH("ALNY US Equity","INCREMENTAL_OPERATING_MARGIN","FQ4 2023","FQ4 2023","Currency=USD","Period=FQ","BEST_FPERIOD_OVERRIDE=FQ","FILING_STATUS=MR","FA_ADJUSTED=GAAP","Sort=A","Dates=H","DateFormat=P","Fill=—","Direction=H","UseDPDF=Y")</f>
        <v>68.979699999999994</v>
      </c>
      <c r="X16" s="14">
        <f>_xll.BDH("ALNY US Equity","INCREMENTAL_OPERATING_MARGIN","FQ1 2024","FQ1 2024","Currency=USD","Period=FQ","BEST_FPERIOD_OVERRIDE=FQ","FILING_STATUS=MR","FA_ADJUSTED=GAAP","Sort=A","Dates=H","DateFormat=P","Fill=—","Direction=H","UseDPDF=Y")</f>
        <v>60.769100000000002</v>
      </c>
      <c r="Y16" s="14">
        <f>_xll.BDH("ALNY US Equity","INCREMENTAL_OPERATING_MARGIN","FQ2 2024","FQ2 2024","Currency=USD","Period=FQ","BEST_FPERIOD_OVERRIDE=FQ","FILING_STATUS=MR","FA_ADJUSTED=GAAP","Sort=A","Dates=H","DateFormat=P","Fill=—","Direction=H","UseDPDF=Y")</f>
        <v>81.638400000000004</v>
      </c>
      <c r="Z16" s="14">
        <f>_xll.BDH("ALNY US Equity","INCREMENTAL_OPERATING_MARGIN","FQ3 2024","FQ3 2024","Currency=USD","Period=FQ","BEST_FPERIOD_OVERRIDE=FQ","FILING_STATUS=MR","FA_ADJUSTED=GAAP","Sort=A","Dates=H","DateFormat=P","Fill=—","Direction=H","UseDPDF=Y")</f>
        <v>-116.4901</v>
      </c>
      <c r="AA16" s="14">
        <f>_xll.BDH("ALNY US Equity","INCREMENTAL_OPERATING_MARGIN","FQ4 2024","FQ4 2024","Currency=USD","Period=FQ","BEST_FPERIOD_OVERRIDE=FQ","FILING_STATUS=MR","FA_ADJUSTED=GAAP","Sort=A","Dates=H","DateFormat=P","Fill=—","Direction=H","UseDPDF=Y")</f>
        <v>7.3281999999999998</v>
      </c>
    </row>
    <row r="17" spans="1:27" x14ac:dyDescent="0.25">
      <c r="A17" s="10" t="s">
        <v>1354</v>
      </c>
      <c r="B17" s="10" t="s">
        <v>1355</v>
      </c>
      <c r="C17" s="14">
        <f>_xll.BDH("ALNY US Equity","PRETAX_INC_TO_NET_SALES","FQ4 2018","FQ4 2018","Currency=USD","Period=FQ","BEST_FPERIOD_OVERRIDE=FQ","FILING_STATUS=MR","FA_ADJUSTED=GAAP","Sort=A","Dates=H","DateFormat=P","Fill=—","Direction=H","UseDPDF=Y")</f>
        <v>-1003.5658</v>
      </c>
      <c r="D17" s="14">
        <f>_xll.BDH("ALNY US Equity","PRETAX_INC_TO_NET_SALES","FQ1 2019","FQ1 2019","Currency=USD","Period=FQ","BEST_FPERIOD_OVERRIDE=FQ","FILING_STATUS=MR","FA_ADJUSTED=GAAP","Sort=A","Dates=H","DateFormat=P","Fill=—","Direction=H","UseDPDF=Y")</f>
        <v>-544.30229999999995</v>
      </c>
      <c r="E17" s="14">
        <f>_xll.BDH("ALNY US Equity","PRETAX_INC_TO_NET_SALES","FQ2 2019","FQ2 2019","Currency=USD","Period=FQ","BEST_FPERIOD_OVERRIDE=FQ","FILING_STATUS=MR","FA_ADJUSTED=GAAP","Sort=A","Dates=H","DateFormat=P","Fill=—","Direction=H","UseDPDF=Y")</f>
        <v>-488.70819999999998</v>
      </c>
      <c r="F17" s="14">
        <f>_xll.BDH("ALNY US Equity","PRETAX_INC_TO_NET_SALES","FQ3 2019","FQ3 2019","Currency=USD","Period=FQ","BEST_FPERIOD_OVERRIDE=FQ","FILING_STATUS=MR","FA_ADJUSTED=GAAP","Sort=A","Dates=H","DateFormat=P","Fill=—","Direction=H","UseDPDF=Y")</f>
        <v>-298.21010000000001</v>
      </c>
      <c r="G17" s="14">
        <f>_xll.BDH("ALNY US Equity","PRETAX_INC_TO_NET_SALES","FQ4 2019","FQ4 2019","Currency=USD","Period=FQ","BEST_FPERIOD_OVERRIDE=FQ","FILING_STATUS=MR","FA_ADJUSTED=GAAP","Sort=A","Dates=H","DateFormat=P","Fill=—","Direction=H","UseDPDF=Y")</f>
        <v>-385.8526</v>
      </c>
      <c r="H17" s="14">
        <f>_xll.BDH("ALNY US Equity","PRETAX_INC_TO_NET_SALES","FQ1 2020","FQ1 2020","Currency=USD","Period=FQ","BEST_FPERIOD_OVERRIDE=FQ","FILING_STATUS=MR","FA_ADJUSTED=GAAP","Sort=A","Dates=H","DateFormat=P","Fill=—","Direction=H","UseDPDF=Y")</f>
        <v>-182.6028</v>
      </c>
      <c r="I17" s="14">
        <f>_xll.BDH("ALNY US Equity","PRETAX_INC_TO_NET_SALES","FQ2 2020","FQ2 2020","Currency=USD","Period=FQ","BEST_FPERIOD_OVERRIDE=FQ","FILING_STATUS=MR","FA_ADJUSTED=GAAP","Sort=A","Dates=H","DateFormat=P","Fill=—","Direction=H","UseDPDF=Y")</f>
        <v>-171.12309999999999</v>
      </c>
      <c r="J17" s="14">
        <f>_xll.BDH("ALNY US Equity","PRETAX_INC_TO_NET_SALES","FQ3 2020","FQ3 2020","Currency=USD","Period=FQ","BEST_FPERIOD_OVERRIDE=FQ","FILING_STATUS=MR","FA_ADJUSTED=GAAP","Sort=A","Dates=H","DateFormat=P","Fill=—","Direction=H","UseDPDF=Y")</f>
        <v>-200.59280000000001</v>
      </c>
      <c r="K17" s="14">
        <f>_xll.BDH("ALNY US Equity","PRETAX_INC_TO_NET_SALES","FQ4 2020","FQ4 2020","Currency=USD","Period=FQ","BEST_FPERIOD_OVERRIDE=FQ","FILING_STATUS=MR","FA_ADJUSTED=GAAP","Sort=A","Dates=H","DateFormat=P","Fill=—","Direction=H","UseDPDF=Y")</f>
        <v>-148.93369999999999</v>
      </c>
      <c r="L17" s="14">
        <f>_xll.BDH("ALNY US Equity","PRETAX_INC_TO_NET_SALES","FQ1 2021","FQ1 2021","Currency=USD","Period=FQ","BEST_FPERIOD_OVERRIDE=FQ","FILING_STATUS=MR","FA_ADJUSTED=GAAP","Sort=A","Dates=H","DateFormat=P","Fill=—","Direction=H","UseDPDF=Y")</f>
        <v>-112.2259</v>
      </c>
      <c r="M17" s="14">
        <f>_xll.BDH("ALNY US Equity","PRETAX_INC_TO_NET_SALES","FQ2 2021","FQ2 2021","Currency=USD","Period=FQ","BEST_FPERIOD_OVERRIDE=FQ","FILING_STATUS=MR","FA_ADJUSTED=GAAP","Sort=A","Dates=H","DateFormat=P","Fill=—","Direction=H","UseDPDF=Y")</f>
        <v>-85.3904</v>
      </c>
      <c r="N17" s="14">
        <f>_xll.BDH("ALNY US Equity","PRETAX_INC_TO_NET_SALES","FQ3 2021","FQ3 2021","Currency=USD","Period=FQ","BEST_FPERIOD_OVERRIDE=FQ","FILING_STATUS=MR","FA_ADJUSTED=GAAP","Sort=A","Dates=H","DateFormat=P","Fill=—","Direction=H","UseDPDF=Y")</f>
        <v>-108.84869999999999</v>
      </c>
      <c r="O17" s="14">
        <f>_xll.BDH("ALNY US Equity","PRETAX_INC_TO_NET_SALES","FQ4 2021","FQ4 2021","Currency=USD","Period=FQ","BEST_FPERIOD_OVERRIDE=FQ","FILING_STATUS=MR","FA_ADJUSTED=GAAP","Sort=A","Dates=H","DateFormat=P","Fill=—","Direction=H","UseDPDF=Y")</f>
        <v>-100.6835</v>
      </c>
      <c r="P17" s="14">
        <f>_xll.BDH("ALNY US Equity","PRETAX_INC_TO_NET_SALES","FQ1 2022","FQ1 2022","Currency=USD","Period=FQ","BEST_FPERIOD_OVERRIDE=FQ","FILING_STATUS=MR","FA_ADJUSTED=GAAP","Sort=A","Dates=H","DateFormat=P","Fill=—","Direction=H","UseDPDF=Y")</f>
        <v>-112.2372</v>
      </c>
      <c r="Q17" s="14">
        <f>_xll.BDH("ALNY US Equity","PRETAX_INC_TO_NET_SALES","FQ2 2022","FQ2 2022","Currency=USD","Period=FQ","BEST_FPERIOD_OVERRIDE=FQ","FILING_STATUS=MR","FA_ADJUSTED=GAAP","Sort=A","Dates=H","DateFormat=P","Fill=—","Direction=H","UseDPDF=Y")</f>
        <v>-122.17570000000001</v>
      </c>
      <c r="R17" s="14">
        <f>_xll.BDH("ALNY US Equity","PRETAX_INC_TO_NET_SALES","FQ3 2022","FQ3 2022","Currency=USD","Period=FQ","BEST_FPERIOD_OVERRIDE=FQ","FILING_STATUS=MR","FA_ADJUSTED=GAAP","Sort=A","Dates=H","DateFormat=P","Fill=—","Direction=H","UseDPDF=Y")</f>
        <v>-153.5883</v>
      </c>
      <c r="S17" s="14">
        <f>_xll.BDH("ALNY US Equity","PRETAX_INC_TO_NET_SALES","FQ4 2022","FQ4 2022","Currency=USD","Period=FQ","BEST_FPERIOD_OVERRIDE=FQ","FILING_STATUS=MR","FA_ADJUSTED=GAAP","Sort=A","Dates=H","DateFormat=P","Fill=—","Direction=H","UseDPDF=Y")</f>
        <v>-61.790900000000001</v>
      </c>
      <c r="T17" s="14">
        <f>_xll.BDH("ALNY US Equity","PRETAX_INC_TO_NET_SALES","FQ1 2023","FQ1 2023","Currency=USD","Period=FQ","BEST_FPERIOD_OVERRIDE=FQ","FILING_STATUS=MR","FA_ADJUSTED=GAAP","Sort=A","Dates=H","DateFormat=P","Fill=—","Direction=H","UseDPDF=Y")</f>
        <v>-53.982900000000001</v>
      </c>
      <c r="U17" s="14">
        <f>_xll.BDH("ALNY US Equity","PRETAX_INC_TO_NET_SALES","FQ2 2023","FQ2 2023","Currency=USD","Period=FQ","BEST_FPERIOD_OVERRIDE=FQ","FILING_STATUS=MR","FA_ADJUSTED=GAAP","Sort=A","Dates=H","DateFormat=P","Fill=—","Direction=H","UseDPDF=Y")</f>
        <v>-86.025300000000001</v>
      </c>
      <c r="V17" s="14">
        <f>_xll.BDH("ALNY US Equity","PRETAX_INC_TO_NET_SALES","FQ3 2023","FQ3 2023","Currency=USD","Period=FQ","BEST_FPERIOD_OVERRIDE=FQ","FILING_STATUS=MR","FA_ADJUSTED=GAAP","Sort=A","Dates=H","DateFormat=P","Fill=—","Direction=H","UseDPDF=Y")</f>
        <v>20.084599999999998</v>
      </c>
      <c r="W17" s="14">
        <f>_xll.BDH("ALNY US Equity","PRETAX_INC_TO_NET_SALES","FQ4 2023","FQ4 2023","Currency=USD","Period=FQ","BEST_FPERIOD_OVERRIDE=FQ","FILING_STATUS=MR","FA_ADJUSTED=GAAP","Sort=A","Dates=H","DateFormat=P","Fill=—","Direction=H","UseDPDF=Y")</f>
        <v>-31.3126</v>
      </c>
      <c r="X17" s="14">
        <f>_xll.BDH("ALNY US Equity","PRETAX_INC_TO_NET_SALES","FQ1 2024","FQ1 2024","Currency=USD","Period=FQ","BEST_FPERIOD_OVERRIDE=FQ","FILING_STATUS=MR","FA_ADJUSTED=GAAP","Sort=A","Dates=H","DateFormat=P","Fill=—","Direction=H","UseDPDF=Y")</f>
        <v>-12.863200000000001</v>
      </c>
      <c r="Y17" s="14">
        <f>_xll.BDH("ALNY US Equity","PRETAX_INC_TO_NET_SALES","FQ2 2024","FQ2 2024","Currency=USD","Period=FQ","BEST_FPERIOD_OVERRIDE=FQ","FILING_STATUS=MR","FA_ADJUSTED=GAAP","Sort=A","Dates=H","DateFormat=P","Fill=—","Direction=H","UseDPDF=Y")</f>
        <v>-1.6923999999999999</v>
      </c>
      <c r="Z17" s="14">
        <f>_xll.BDH("ALNY US Equity","PRETAX_INC_TO_NET_SALES","FQ3 2024","FQ3 2024","Currency=USD","Period=FQ","BEST_FPERIOD_OVERRIDE=FQ","FILING_STATUS=MR","FA_ADJUSTED=GAAP","Sort=A","Dates=H","DateFormat=P","Fill=—","Direction=H","UseDPDF=Y")</f>
        <v>-21.692699999999999</v>
      </c>
      <c r="AA17" s="14">
        <f>_xll.BDH("ALNY US Equity","PRETAX_INC_TO_NET_SALES","FQ4 2024","FQ4 2024","Currency=USD","Period=FQ","BEST_FPERIOD_OVERRIDE=FQ","FILING_STATUS=MR","FA_ADJUSTED=GAAP","Sort=A","Dates=H","DateFormat=P","Fill=—","Direction=H","UseDPDF=Y")</f>
        <v>-32.698799999999999</v>
      </c>
    </row>
    <row r="18" spans="1:27" x14ac:dyDescent="0.25">
      <c r="A18" s="10" t="s">
        <v>1356</v>
      </c>
      <c r="B18" s="10" t="s">
        <v>1357</v>
      </c>
      <c r="C18" s="14">
        <f>_xll.BDH("ALNY US Equity","INC_BEF_XO_ITEMS_TO_NET_SALES","FQ4 2018","FQ4 2018","Currency=USD","Period=FQ","BEST_FPERIOD_OVERRIDE=FQ","FILING_STATUS=MR","FA_ADJUSTED=GAAP","Sort=A","Dates=H","DateFormat=P","Fill=—","Direction=H","UseDPDF=Y")</f>
        <v>-1005.2822</v>
      </c>
      <c r="D18" s="14">
        <f>_xll.BDH("ALNY US Equity","INC_BEF_XO_ITEMS_TO_NET_SALES","FQ1 2019","FQ1 2019","Currency=USD","Period=FQ","BEST_FPERIOD_OVERRIDE=FQ","FILING_STATUS=MR","FA_ADJUSTED=GAAP","Sort=A","Dates=H","DateFormat=P","Fill=—","Direction=H","UseDPDF=Y")</f>
        <v>-546.38969999999995</v>
      </c>
      <c r="E18" s="14">
        <f>_xll.BDH("ALNY US Equity","INC_BEF_XO_ITEMS_TO_NET_SALES","FQ2 2019","FQ2 2019","Currency=USD","Period=FQ","BEST_FPERIOD_OVERRIDE=FQ","FILING_STATUS=MR","FA_ADJUSTED=GAAP","Sort=A","Dates=H","DateFormat=P","Fill=—","Direction=H","UseDPDF=Y")</f>
        <v>-490.85520000000002</v>
      </c>
      <c r="F18" s="14">
        <f>_xll.BDH("ALNY US Equity","INC_BEF_XO_ITEMS_TO_NET_SALES","FQ3 2019","FQ3 2019","Currency=USD","Period=FQ","BEST_FPERIOD_OVERRIDE=FQ","FILING_STATUS=MR","FA_ADJUSTED=GAAP","Sort=A","Dates=H","DateFormat=P","Fill=—","Direction=H","UseDPDF=Y")</f>
        <v>-297.64780000000002</v>
      </c>
      <c r="G18" s="14">
        <f>_xll.BDH("ALNY US Equity","INC_BEF_XO_ITEMS_TO_NET_SALES","FQ4 2019","FQ4 2019","Currency=USD","Period=FQ","BEST_FPERIOD_OVERRIDE=FQ","FILING_STATUS=MR","FA_ADJUSTED=GAAP","Sort=A","Dates=H","DateFormat=P","Fill=—","Direction=H","UseDPDF=Y")</f>
        <v>-385.29739999999998</v>
      </c>
      <c r="H18" s="14">
        <f>_xll.BDH("ALNY US Equity","INC_BEF_XO_ITEMS_TO_NET_SALES","FQ1 2020","FQ1 2020","Currency=USD","Period=FQ","BEST_FPERIOD_OVERRIDE=FQ","FILING_STATUS=MR","FA_ADJUSTED=GAAP","Sort=A","Dates=H","DateFormat=P","Fill=—","Direction=H","UseDPDF=Y")</f>
        <v>-183.18090000000001</v>
      </c>
      <c r="I18" s="14">
        <f>_xll.BDH("ALNY US Equity","INC_BEF_XO_ITEMS_TO_NET_SALES","FQ2 2020","FQ2 2020","Currency=USD","Period=FQ","BEST_FPERIOD_OVERRIDE=FQ","FILING_STATUS=MR","FA_ADJUSTED=GAAP","Sort=A","Dates=H","DateFormat=P","Fill=—","Direction=H","UseDPDF=Y")</f>
        <v>-172.39859999999999</v>
      </c>
      <c r="J18" s="14">
        <f>_xll.BDH("ALNY US Equity","INC_BEF_XO_ITEMS_TO_NET_SALES","FQ3 2020","FQ3 2020","Currency=USD","Period=FQ","BEST_FPERIOD_OVERRIDE=FQ","FILING_STATUS=MR","FA_ADJUSTED=GAAP","Sort=A","Dates=H","DateFormat=P","Fill=—","Direction=H","UseDPDF=Y")</f>
        <v>-201.2594</v>
      </c>
      <c r="K18" s="14">
        <f>_xll.BDH("ALNY US Equity","INC_BEF_XO_ITEMS_TO_NET_SALES","FQ4 2020","FQ4 2020","Currency=USD","Period=FQ","BEST_FPERIOD_OVERRIDE=FQ","FILING_STATUS=MR","FA_ADJUSTED=GAAP","Sort=A","Dates=H","DateFormat=P","Fill=—","Direction=H","UseDPDF=Y")</f>
        <v>-148.89769999999999</v>
      </c>
      <c r="L18" s="14">
        <f>_xll.BDH("ALNY US Equity","INC_BEF_XO_ITEMS_TO_NET_SALES","FQ1 2021","FQ1 2021","Currency=USD","Period=FQ","BEST_FPERIOD_OVERRIDE=FQ","FILING_STATUS=MR","FA_ADJUSTED=GAAP","Sort=A","Dates=H","DateFormat=P","Fill=—","Direction=H","UseDPDF=Y")</f>
        <v>-112.79810000000001</v>
      </c>
      <c r="M18" s="14">
        <f>_xll.BDH("ALNY US Equity","INC_BEF_XO_ITEMS_TO_NET_SALES","FQ2 2021","FQ2 2021","Currency=USD","Period=FQ","BEST_FPERIOD_OVERRIDE=FQ","FILING_STATUS=MR","FA_ADJUSTED=GAAP","Sort=A","Dates=H","DateFormat=P","Fill=—","Direction=H","UseDPDF=Y")</f>
        <v>-85.947100000000006</v>
      </c>
      <c r="N18" s="14">
        <f>_xll.BDH("ALNY US Equity","INC_BEF_XO_ITEMS_TO_NET_SALES","FQ3 2021","FQ3 2021","Currency=USD","Period=FQ","BEST_FPERIOD_OVERRIDE=FQ","FILING_STATUS=MR","FA_ADJUSTED=GAAP","Sort=A","Dates=H","DateFormat=P","Fill=—","Direction=H","UseDPDF=Y")</f>
        <v>-108.99679999999999</v>
      </c>
      <c r="O18" s="14">
        <f>_xll.BDH("ALNY US Equity","INC_BEF_XO_ITEMS_TO_NET_SALES","FQ4 2021","FQ4 2021","Currency=USD","Period=FQ","BEST_FPERIOD_OVERRIDE=FQ","FILING_STATUS=MR","FA_ADJUSTED=GAAP","Sort=A","Dates=H","DateFormat=P","Fill=—","Direction=H","UseDPDF=Y")</f>
        <v>-99.971000000000004</v>
      </c>
      <c r="P18" s="14">
        <f>_xll.BDH("ALNY US Equity","INC_BEF_XO_ITEMS_TO_NET_SALES","FQ1 2022","FQ1 2022","Currency=USD","Period=FQ","BEST_FPERIOD_OVERRIDE=FQ","FILING_STATUS=MR","FA_ADJUSTED=GAAP","Sort=A","Dates=H","DateFormat=P","Fill=—","Direction=H","UseDPDF=Y")</f>
        <v>-112.6991</v>
      </c>
      <c r="Q18" s="14">
        <f>_xll.BDH("ALNY US Equity","INC_BEF_XO_ITEMS_TO_NET_SALES","FQ2 2022","FQ2 2022","Currency=USD","Period=FQ","BEST_FPERIOD_OVERRIDE=FQ","FILING_STATUS=MR","FA_ADJUSTED=GAAP","Sort=A","Dates=H","DateFormat=P","Fill=—","Direction=H","UseDPDF=Y")</f>
        <v>-123.3896</v>
      </c>
      <c r="R18" s="14">
        <f>_xll.BDH("ALNY US Equity","INC_BEF_XO_ITEMS_TO_NET_SALES","FQ3 2022","FQ3 2022","Currency=USD","Period=FQ","BEST_FPERIOD_OVERRIDE=FQ","FILING_STATUS=MR","FA_ADJUSTED=GAAP","Sort=A","Dates=H","DateFormat=P","Fill=—","Direction=H","UseDPDF=Y")</f>
        <v>-153.5796</v>
      </c>
      <c r="S18" s="14">
        <f>_xll.BDH("ALNY US Equity","INC_BEF_XO_ITEMS_TO_NET_SALES","FQ4 2022","FQ4 2022","Currency=USD","Period=FQ","BEST_FPERIOD_OVERRIDE=FQ","FILING_STATUS=MR","FA_ADJUSTED=GAAP","Sort=A","Dates=H","DateFormat=P","Fill=—","Direction=H","UseDPDF=Y")</f>
        <v>-61.931699999999999</v>
      </c>
      <c r="T18" s="14">
        <f>_xll.BDH("ALNY US Equity","INC_BEF_XO_ITEMS_TO_NET_SALES","FQ1 2023","FQ1 2023","Currency=USD","Period=FQ","BEST_FPERIOD_OVERRIDE=FQ","FILING_STATUS=MR","FA_ADJUSTED=GAAP","Sort=A","Dates=H","DateFormat=P","Fill=—","Direction=H","UseDPDF=Y")</f>
        <v>-54.527500000000003</v>
      </c>
      <c r="U18" s="14">
        <f>_xll.BDH("ALNY US Equity","INC_BEF_XO_ITEMS_TO_NET_SALES","FQ2 2023","FQ2 2023","Currency=USD","Period=FQ","BEST_FPERIOD_OVERRIDE=FQ","FILING_STATUS=MR","FA_ADJUSTED=GAAP","Sort=A","Dates=H","DateFormat=P","Fill=—","Direction=H","UseDPDF=Y")</f>
        <v>-86.594700000000003</v>
      </c>
      <c r="V18" s="14">
        <f>_xll.BDH("ALNY US Equity","INC_BEF_XO_ITEMS_TO_NET_SALES","FQ3 2023","FQ3 2023","Currency=USD","Period=FQ","BEST_FPERIOD_OVERRIDE=FQ","FILING_STATUS=MR","FA_ADJUSTED=GAAP","Sort=A","Dates=H","DateFormat=P","Fill=—","Direction=H","UseDPDF=Y")</f>
        <v>19.686499999999999</v>
      </c>
      <c r="W18" s="14">
        <f>_xll.BDH("ALNY US Equity","INC_BEF_XO_ITEMS_TO_NET_SALES","FQ4 2023","FQ4 2023","Currency=USD","Period=FQ","BEST_FPERIOD_OVERRIDE=FQ","FILING_STATUS=MR","FA_ADJUSTED=GAAP","Sort=A","Dates=H","DateFormat=P","Fill=—","Direction=H","UseDPDF=Y")</f>
        <v>-31.354199999999999</v>
      </c>
      <c r="X18" s="14">
        <f>_xll.BDH("ALNY US Equity","INC_BEF_XO_ITEMS_TO_NET_SALES","FQ1 2024","FQ1 2024","Currency=USD","Period=FQ","BEST_FPERIOD_OVERRIDE=FQ","FILING_STATUS=MR","FA_ADJUSTED=GAAP","Sort=A","Dates=H","DateFormat=P","Fill=—","Direction=H","UseDPDF=Y")</f>
        <v>-13.338200000000001</v>
      </c>
      <c r="Y18" s="14">
        <f>_xll.BDH("ALNY US Equity","INC_BEF_XO_ITEMS_TO_NET_SALES","FQ2 2024","FQ2 2024","Currency=USD","Period=FQ","BEST_FPERIOD_OVERRIDE=FQ","FILING_STATUS=MR","FA_ADJUSTED=GAAP","Sort=A","Dates=H","DateFormat=P","Fill=—","Direction=H","UseDPDF=Y")</f>
        <v>-2.5596000000000001</v>
      </c>
      <c r="Z18" s="14">
        <f>_xll.BDH("ALNY US Equity","INC_BEF_XO_ITEMS_TO_NET_SALES","FQ3 2024","FQ3 2024","Currency=USD","Period=FQ","BEST_FPERIOD_OVERRIDE=FQ","FILING_STATUS=MR","FA_ADJUSTED=GAAP","Sort=A","Dates=H","DateFormat=P","Fill=—","Direction=H","UseDPDF=Y")</f>
        <v>-22.273099999999999</v>
      </c>
      <c r="AA18" s="14">
        <f>_xll.BDH("ALNY US Equity","INC_BEF_XO_ITEMS_TO_NET_SALES","FQ4 2024","FQ4 2024","Currency=USD","Period=FQ","BEST_FPERIOD_OVERRIDE=FQ","FILING_STATUS=MR","FA_ADJUSTED=GAAP","Sort=A","Dates=H","DateFormat=P","Fill=—","Direction=H","UseDPDF=Y")</f>
        <v>-14.1213</v>
      </c>
    </row>
    <row r="19" spans="1:27" x14ac:dyDescent="0.25">
      <c r="A19" s="10" t="s">
        <v>1358</v>
      </c>
      <c r="B19" s="10" t="s">
        <v>384</v>
      </c>
      <c r="C19" s="14">
        <f>_xll.BDH("ALNY US Equity","PROF_MARGIN","FQ4 2018","FQ4 2018","Currency=USD","Period=FQ","BEST_FPERIOD_OVERRIDE=FQ","FILING_STATUS=MR","FA_ADJUSTED=GAAP","Sort=A","Dates=H","DateFormat=P","Fill=—","Direction=H","UseDPDF=Y")</f>
        <v>-1005.2822</v>
      </c>
      <c r="D19" s="14">
        <f>_xll.BDH("ALNY US Equity","PROF_MARGIN","FQ1 2019","FQ1 2019","Currency=USD","Period=FQ","BEST_FPERIOD_OVERRIDE=FQ","FILING_STATUS=MR","FA_ADJUSTED=GAAP","Sort=A","Dates=H","DateFormat=P","Fill=—","Direction=H","UseDPDF=Y")</f>
        <v>-546.38969999999995</v>
      </c>
      <c r="E19" s="14">
        <f>_xll.BDH("ALNY US Equity","PROF_MARGIN","FQ2 2019","FQ2 2019","Currency=USD","Period=FQ","BEST_FPERIOD_OVERRIDE=FQ","FILING_STATUS=MR","FA_ADJUSTED=GAAP","Sort=A","Dates=H","DateFormat=P","Fill=—","Direction=H","UseDPDF=Y")</f>
        <v>-490.85520000000002</v>
      </c>
      <c r="F19" s="14">
        <f>_xll.BDH("ALNY US Equity","PROF_MARGIN","FQ3 2019","FQ3 2019","Currency=USD","Period=FQ","BEST_FPERIOD_OVERRIDE=FQ","FILING_STATUS=MR","FA_ADJUSTED=GAAP","Sort=A","Dates=H","DateFormat=P","Fill=—","Direction=H","UseDPDF=Y")</f>
        <v>-297.64780000000002</v>
      </c>
      <c r="G19" s="14">
        <f>_xll.BDH("ALNY US Equity","PROF_MARGIN","FQ4 2019","FQ4 2019","Currency=USD","Period=FQ","BEST_FPERIOD_OVERRIDE=FQ","FILING_STATUS=MR","FA_ADJUSTED=GAAP","Sort=A","Dates=H","DateFormat=P","Fill=—","Direction=H","UseDPDF=Y")</f>
        <v>-385.29739999999998</v>
      </c>
      <c r="H19" s="14">
        <f>_xll.BDH("ALNY US Equity","PROF_MARGIN","FQ1 2020","FQ1 2020","Currency=USD","Period=FQ","BEST_FPERIOD_OVERRIDE=FQ","FILING_STATUS=MR","FA_ADJUSTED=GAAP","Sort=A","Dates=H","DateFormat=P","Fill=—","Direction=H","UseDPDF=Y")</f>
        <v>-183.18090000000001</v>
      </c>
      <c r="I19" s="14">
        <f>_xll.BDH("ALNY US Equity","PROF_MARGIN","FQ2 2020","FQ2 2020","Currency=USD","Period=FQ","BEST_FPERIOD_OVERRIDE=FQ","FILING_STATUS=MR","FA_ADJUSTED=GAAP","Sort=A","Dates=H","DateFormat=P","Fill=—","Direction=H","UseDPDF=Y")</f>
        <v>-172.39859999999999</v>
      </c>
      <c r="J19" s="14">
        <f>_xll.BDH("ALNY US Equity","PROF_MARGIN","FQ3 2020","FQ3 2020","Currency=USD","Period=FQ","BEST_FPERIOD_OVERRIDE=FQ","FILING_STATUS=MR","FA_ADJUSTED=GAAP","Sort=A","Dates=H","DateFormat=P","Fill=—","Direction=H","UseDPDF=Y")</f>
        <v>-201.2594</v>
      </c>
      <c r="K19" s="14">
        <f>_xll.BDH("ALNY US Equity","PROF_MARGIN","FQ4 2020","FQ4 2020","Currency=USD","Period=FQ","BEST_FPERIOD_OVERRIDE=FQ","FILING_STATUS=MR","FA_ADJUSTED=GAAP","Sort=A","Dates=H","DateFormat=P","Fill=—","Direction=H","UseDPDF=Y")</f>
        <v>-148.89769999999999</v>
      </c>
      <c r="L19" s="14">
        <f>_xll.BDH("ALNY US Equity","PROF_MARGIN","FQ1 2021","FQ1 2021","Currency=USD","Period=FQ","BEST_FPERIOD_OVERRIDE=FQ","FILING_STATUS=MR","FA_ADJUSTED=GAAP","Sort=A","Dates=H","DateFormat=P","Fill=—","Direction=H","UseDPDF=Y")</f>
        <v>-112.79810000000001</v>
      </c>
      <c r="M19" s="14">
        <f>_xll.BDH("ALNY US Equity","PROF_MARGIN","FQ2 2021","FQ2 2021","Currency=USD","Period=FQ","BEST_FPERIOD_OVERRIDE=FQ","FILING_STATUS=MR","FA_ADJUSTED=GAAP","Sort=A","Dates=H","DateFormat=P","Fill=—","Direction=H","UseDPDF=Y")</f>
        <v>-85.947100000000006</v>
      </c>
      <c r="N19" s="14">
        <f>_xll.BDH("ALNY US Equity","PROF_MARGIN","FQ3 2021","FQ3 2021","Currency=USD","Period=FQ","BEST_FPERIOD_OVERRIDE=FQ","FILING_STATUS=MR","FA_ADJUSTED=GAAP","Sort=A","Dates=H","DateFormat=P","Fill=—","Direction=H","UseDPDF=Y")</f>
        <v>-108.99679999999999</v>
      </c>
      <c r="O19" s="14">
        <f>_xll.BDH("ALNY US Equity","PROF_MARGIN","FQ4 2021","FQ4 2021","Currency=USD","Period=FQ","BEST_FPERIOD_OVERRIDE=FQ","FILING_STATUS=MR","FA_ADJUSTED=GAAP","Sort=A","Dates=H","DateFormat=P","Fill=—","Direction=H","UseDPDF=Y")</f>
        <v>-99.971000000000004</v>
      </c>
      <c r="P19" s="14">
        <f>_xll.BDH("ALNY US Equity","PROF_MARGIN","FQ1 2022","FQ1 2022","Currency=USD","Period=FQ","BEST_FPERIOD_OVERRIDE=FQ","FILING_STATUS=MR","FA_ADJUSTED=GAAP","Sort=A","Dates=H","DateFormat=P","Fill=—","Direction=H","UseDPDF=Y")</f>
        <v>-112.6991</v>
      </c>
      <c r="Q19" s="14">
        <f>_xll.BDH("ALNY US Equity","PROF_MARGIN","FQ2 2022","FQ2 2022","Currency=USD","Period=FQ","BEST_FPERIOD_OVERRIDE=FQ","FILING_STATUS=MR","FA_ADJUSTED=GAAP","Sort=A","Dates=H","DateFormat=P","Fill=—","Direction=H","UseDPDF=Y")</f>
        <v>-123.3896</v>
      </c>
      <c r="R19" s="14">
        <f>_xll.BDH("ALNY US Equity","PROF_MARGIN","FQ3 2022","FQ3 2022","Currency=USD","Period=FQ","BEST_FPERIOD_OVERRIDE=FQ","FILING_STATUS=MR","FA_ADJUSTED=GAAP","Sort=A","Dates=H","DateFormat=P","Fill=—","Direction=H","UseDPDF=Y")</f>
        <v>-153.5796</v>
      </c>
      <c r="S19" s="14">
        <f>_xll.BDH("ALNY US Equity","PROF_MARGIN","FQ4 2022","FQ4 2022","Currency=USD","Period=FQ","BEST_FPERIOD_OVERRIDE=FQ","FILING_STATUS=MR","FA_ADJUSTED=GAAP","Sort=A","Dates=H","DateFormat=P","Fill=—","Direction=H","UseDPDF=Y")</f>
        <v>-61.931699999999999</v>
      </c>
      <c r="T19" s="14">
        <f>_xll.BDH("ALNY US Equity","PROF_MARGIN","FQ1 2023","FQ1 2023","Currency=USD","Period=FQ","BEST_FPERIOD_OVERRIDE=FQ","FILING_STATUS=MR","FA_ADJUSTED=GAAP","Sort=A","Dates=H","DateFormat=P","Fill=—","Direction=H","UseDPDF=Y")</f>
        <v>-54.527500000000003</v>
      </c>
      <c r="U19" s="14">
        <f>_xll.BDH("ALNY US Equity","PROF_MARGIN","FQ2 2023","FQ2 2023","Currency=USD","Period=FQ","BEST_FPERIOD_OVERRIDE=FQ","FILING_STATUS=MR","FA_ADJUSTED=GAAP","Sort=A","Dates=H","DateFormat=P","Fill=—","Direction=H","UseDPDF=Y")</f>
        <v>-86.594700000000003</v>
      </c>
      <c r="V19" s="14">
        <f>_xll.BDH("ALNY US Equity","PROF_MARGIN","FQ3 2023","FQ3 2023","Currency=USD","Period=FQ","BEST_FPERIOD_OVERRIDE=FQ","FILING_STATUS=MR","FA_ADJUSTED=GAAP","Sort=A","Dates=H","DateFormat=P","Fill=—","Direction=H","UseDPDF=Y")</f>
        <v>19.686499999999999</v>
      </c>
      <c r="W19" s="14">
        <f>_xll.BDH("ALNY US Equity","PROF_MARGIN","FQ4 2023","FQ4 2023","Currency=USD","Period=FQ","BEST_FPERIOD_OVERRIDE=FQ","FILING_STATUS=MR","FA_ADJUSTED=GAAP","Sort=A","Dates=H","DateFormat=P","Fill=—","Direction=H","UseDPDF=Y")</f>
        <v>-31.354199999999999</v>
      </c>
      <c r="X19" s="14">
        <f>_xll.BDH("ALNY US Equity","PROF_MARGIN","FQ1 2024","FQ1 2024","Currency=USD","Period=FQ","BEST_FPERIOD_OVERRIDE=FQ","FILING_STATUS=MR","FA_ADJUSTED=GAAP","Sort=A","Dates=H","DateFormat=P","Fill=—","Direction=H","UseDPDF=Y")</f>
        <v>-13.338200000000001</v>
      </c>
      <c r="Y19" s="14">
        <f>_xll.BDH("ALNY US Equity","PROF_MARGIN","FQ2 2024","FQ2 2024","Currency=USD","Period=FQ","BEST_FPERIOD_OVERRIDE=FQ","FILING_STATUS=MR","FA_ADJUSTED=GAAP","Sort=A","Dates=H","DateFormat=P","Fill=—","Direction=H","UseDPDF=Y")</f>
        <v>-2.5596000000000001</v>
      </c>
      <c r="Z19" s="14">
        <f>_xll.BDH("ALNY US Equity","PROF_MARGIN","FQ3 2024","FQ3 2024","Currency=USD","Period=FQ","BEST_FPERIOD_OVERRIDE=FQ","FILING_STATUS=MR","FA_ADJUSTED=GAAP","Sort=A","Dates=H","DateFormat=P","Fill=—","Direction=H","UseDPDF=Y")</f>
        <v>-22.273099999999999</v>
      </c>
      <c r="AA19" s="14">
        <f>_xll.BDH("ALNY US Equity","PROF_MARGIN","FQ4 2024","FQ4 2024","Currency=USD","Period=FQ","BEST_FPERIOD_OVERRIDE=FQ","FILING_STATUS=MR","FA_ADJUSTED=GAAP","Sort=A","Dates=H","DateFormat=P","Fill=—","Direction=H","UseDPDF=Y")</f>
        <v>-14.1213</v>
      </c>
    </row>
    <row r="20" spans="1:27" x14ac:dyDescent="0.25">
      <c r="A20" s="10" t="s">
        <v>1359</v>
      </c>
      <c r="B20" s="10" t="s">
        <v>1360</v>
      </c>
      <c r="C20" s="14">
        <f>_xll.BDH("ALNY US Equity","NET_INCOME_TO_COMMON_MARGIN","FQ4 2018","FQ4 2018","Currency=USD","Period=FQ","BEST_FPERIOD_OVERRIDE=FQ","FILING_STATUS=MR","FA_ADJUSTED=GAAP","Sort=A","Dates=H","DateFormat=P","Fill=—","Direction=H","UseDPDF=Y")</f>
        <v>-1005.2822</v>
      </c>
      <c r="D20" s="14">
        <f>_xll.BDH("ALNY US Equity","NET_INCOME_TO_COMMON_MARGIN","FQ1 2019","FQ1 2019","Currency=USD","Period=FQ","BEST_FPERIOD_OVERRIDE=FQ","FILING_STATUS=MR","FA_ADJUSTED=GAAP","Sort=A","Dates=H","DateFormat=P","Fill=—","Direction=H","UseDPDF=Y")</f>
        <v>-546.38969999999995</v>
      </c>
      <c r="E20" s="14">
        <f>_xll.BDH("ALNY US Equity","NET_INCOME_TO_COMMON_MARGIN","FQ2 2019","FQ2 2019","Currency=USD","Period=FQ","BEST_FPERIOD_OVERRIDE=FQ","FILING_STATUS=MR","FA_ADJUSTED=GAAP","Sort=A","Dates=H","DateFormat=P","Fill=—","Direction=H","UseDPDF=Y")</f>
        <v>-490.85520000000002</v>
      </c>
      <c r="F20" s="14">
        <f>_xll.BDH("ALNY US Equity","NET_INCOME_TO_COMMON_MARGIN","FQ3 2019","FQ3 2019","Currency=USD","Period=FQ","BEST_FPERIOD_OVERRIDE=FQ","FILING_STATUS=MR","FA_ADJUSTED=GAAP","Sort=A","Dates=H","DateFormat=P","Fill=—","Direction=H","UseDPDF=Y")</f>
        <v>-297.64780000000002</v>
      </c>
      <c r="G20" s="14">
        <f>_xll.BDH("ALNY US Equity","NET_INCOME_TO_COMMON_MARGIN","FQ4 2019","FQ4 2019","Currency=USD","Period=FQ","BEST_FPERIOD_OVERRIDE=FQ","FILING_STATUS=MR","FA_ADJUSTED=GAAP","Sort=A","Dates=H","DateFormat=P","Fill=—","Direction=H","UseDPDF=Y")</f>
        <v>-385.29739999999998</v>
      </c>
      <c r="H20" s="14">
        <f>_xll.BDH("ALNY US Equity","NET_INCOME_TO_COMMON_MARGIN","FQ1 2020","FQ1 2020","Currency=USD","Period=FQ","BEST_FPERIOD_OVERRIDE=FQ","FILING_STATUS=MR","FA_ADJUSTED=GAAP","Sort=A","Dates=H","DateFormat=P","Fill=—","Direction=H","UseDPDF=Y")</f>
        <v>-183.18090000000001</v>
      </c>
      <c r="I20" s="14">
        <f>_xll.BDH("ALNY US Equity","NET_INCOME_TO_COMMON_MARGIN","FQ2 2020","FQ2 2020","Currency=USD","Period=FQ","BEST_FPERIOD_OVERRIDE=FQ","FILING_STATUS=MR","FA_ADJUSTED=GAAP","Sort=A","Dates=H","DateFormat=P","Fill=—","Direction=H","UseDPDF=Y")</f>
        <v>-172.39859999999999</v>
      </c>
      <c r="J20" s="14">
        <f>_xll.BDH("ALNY US Equity","NET_INCOME_TO_COMMON_MARGIN","FQ3 2020","FQ3 2020","Currency=USD","Period=FQ","BEST_FPERIOD_OVERRIDE=FQ","FILING_STATUS=MR","FA_ADJUSTED=GAAP","Sort=A","Dates=H","DateFormat=P","Fill=—","Direction=H","UseDPDF=Y")</f>
        <v>-201.2594</v>
      </c>
      <c r="K20" s="14">
        <f>_xll.BDH("ALNY US Equity","NET_INCOME_TO_COMMON_MARGIN","FQ4 2020","FQ4 2020","Currency=USD","Period=FQ","BEST_FPERIOD_OVERRIDE=FQ","FILING_STATUS=MR","FA_ADJUSTED=GAAP","Sort=A","Dates=H","DateFormat=P","Fill=—","Direction=H","UseDPDF=Y")</f>
        <v>-148.89769999999999</v>
      </c>
      <c r="L20" s="14">
        <f>_xll.BDH("ALNY US Equity","NET_INCOME_TO_COMMON_MARGIN","FQ1 2021","FQ1 2021","Currency=USD","Period=FQ","BEST_FPERIOD_OVERRIDE=FQ","FILING_STATUS=MR","FA_ADJUSTED=GAAP","Sort=A","Dates=H","DateFormat=P","Fill=—","Direction=H","UseDPDF=Y")</f>
        <v>-112.79810000000001</v>
      </c>
      <c r="M20" s="14">
        <f>_xll.BDH("ALNY US Equity","NET_INCOME_TO_COMMON_MARGIN","FQ2 2021","FQ2 2021","Currency=USD","Period=FQ","BEST_FPERIOD_OVERRIDE=FQ","FILING_STATUS=MR","FA_ADJUSTED=GAAP","Sort=A","Dates=H","DateFormat=P","Fill=—","Direction=H","UseDPDF=Y")</f>
        <v>-85.947100000000006</v>
      </c>
      <c r="N20" s="14">
        <f>_xll.BDH("ALNY US Equity","NET_INCOME_TO_COMMON_MARGIN","FQ3 2021","FQ3 2021","Currency=USD","Period=FQ","BEST_FPERIOD_OVERRIDE=FQ","FILING_STATUS=MR","FA_ADJUSTED=GAAP","Sort=A","Dates=H","DateFormat=P","Fill=—","Direction=H","UseDPDF=Y")</f>
        <v>-108.99679999999999</v>
      </c>
      <c r="O20" s="14">
        <f>_xll.BDH("ALNY US Equity","NET_INCOME_TO_COMMON_MARGIN","FQ4 2021","FQ4 2021","Currency=USD","Period=FQ","BEST_FPERIOD_OVERRIDE=FQ","FILING_STATUS=MR","FA_ADJUSTED=GAAP","Sort=A","Dates=H","DateFormat=P","Fill=—","Direction=H","UseDPDF=Y")</f>
        <v>-99.971000000000004</v>
      </c>
      <c r="P20" s="14">
        <f>_xll.BDH("ALNY US Equity","NET_INCOME_TO_COMMON_MARGIN","FQ1 2022","FQ1 2022","Currency=USD","Period=FQ","BEST_FPERIOD_OVERRIDE=FQ","FILING_STATUS=MR","FA_ADJUSTED=GAAP","Sort=A","Dates=H","DateFormat=P","Fill=—","Direction=H","UseDPDF=Y")</f>
        <v>-112.6991</v>
      </c>
      <c r="Q20" s="14">
        <f>_xll.BDH("ALNY US Equity","NET_INCOME_TO_COMMON_MARGIN","FQ2 2022","FQ2 2022","Currency=USD","Period=FQ","BEST_FPERIOD_OVERRIDE=FQ","FILING_STATUS=MR","FA_ADJUSTED=GAAP","Sort=A","Dates=H","DateFormat=P","Fill=—","Direction=H","UseDPDF=Y")</f>
        <v>-123.3896</v>
      </c>
      <c r="R20" s="14">
        <f>_xll.BDH("ALNY US Equity","NET_INCOME_TO_COMMON_MARGIN","FQ3 2022","FQ3 2022","Currency=USD","Period=FQ","BEST_FPERIOD_OVERRIDE=FQ","FILING_STATUS=MR","FA_ADJUSTED=GAAP","Sort=A","Dates=H","DateFormat=P","Fill=—","Direction=H","UseDPDF=Y")</f>
        <v>-153.5796</v>
      </c>
      <c r="S20" s="14">
        <f>_xll.BDH("ALNY US Equity","NET_INCOME_TO_COMMON_MARGIN","FQ4 2022","FQ4 2022","Currency=USD","Period=FQ","BEST_FPERIOD_OVERRIDE=FQ","FILING_STATUS=MR","FA_ADJUSTED=GAAP","Sort=A","Dates=H","DateFormat=P","Fill=—","Direction=H","UseDPDF=Y")</f>
        <v>-61.931699999999999</v>
      </c>
      <c r="T20" s="14">
        <f>_xll.BDH("ALNY US Equity","NET_INCOME_TO_COMMON_MARGIN","FQ1 2023","FQ1 2023","Currency=USD","Period=FQ","BEST_FPERIOD_OVERRIDE=FQ","FILING_STATUS=MR","FA_ADJUSTED=GAAP","Sort=A","Dates=H","DateFormat=P","Fill=—","Direction=H","UseDPDF=Y")</f>
        <v>-54.527500000000003</v>
      </c>
      <c r="U20" s="14">
        <f>_xll.BDH("ALNY US Equity","NET_INCOME_TO_COMMON_MARGIN","FQ2 2023","FQ2 2023","Currency=USD","Period=FQ","BEST_FPERIOD_OVERRIDE=FQ","FILING_STATUS=MR","FA_ADJUSTED=GAAP","Sort=A","Dates=H","DateFormat=P","Fill=—","Direction=H","UseDPDF=Y")</f>
        <v>-86.594700000000003</v>
      </c>
      <c r="V20" s="14">
        <f>_xll.BDH("ALNY US Equity","NET_INCOME_TO_COMMON_MARGIN","FQ3 2023","FQ3 2023","Currency=USD","Period=FQ","BEST_FPERIOD_OVERRIDE=FQ","FILING_STATUS=MR","FA_ADJUSTED=GAAP","Sort=A","Dates=H","DateFormat=P","Fill=—","Direction=H","UseDPDF=Y")</f>
        <v>19.686499999999999</v>
      </c>
      <c r="W20" s="14">
        <f>_xll.BDH("ALNY US Equity","NET_INCOME_TO_COMMON_MARGIN","FQ4 2023","FQ4 2023","Currency=USD","Period=FQ","BEST_FPERIOD_OVERRIDE=FQ","FILING_STATUS=MR","FA_ADJUSTED=GAAP","Sort=A","Dates=H","DateFormat=P","Fill=—","Direction=H","UseDPDF=Y")</f>
        <v>-31.354199999999999</v>
      </c>
      <c r="X20" s="14">
        <f>_xll.BDH("ALNY US Equity","NET_INCOME_TO_COMMON_MARGIN","FQ1 2024","FQ1 2024","Currency=USD","Period=FQ","BEST_FPERIOD_OVERRIDE=FQ","FILING_STATUS=MR","FA_ADJUSTED=GAAP","Sort=A","Dates=H","DateFormat=P","Fill=—","Direction=H","UseDPDF=Y")</f>
        <v>-13.338200000000001</v>
      </c>
      <c r="Y20" s="14">
        <f>_xll.BDH("ALNY US Equity","NET_INCOME_TO_COMMON_MARGIN","FQ2 2024","FQ2 2024","Currency=USD","Period=FQ","BEST_FPERIOD_OVERRIDE=FQ","FILING_STATUS=MR","FA_ADJUSTED=GAAP","Sort=A","Dates=H","DateFormat=P","Fill=—","Direction=H","UseDPDF=Y")</f>
        <v>-2.5596000000000001</v>
      </c>
      <c r="Z20" s="14">
        <f>_xll.BDH("ALNY US Equity","NET_INCOME_TO_COMMON_MARGIN","FQ3 2024","FQ3 2024","Currency=USD","Period=FQ","BEST_FPERIOD_OVERRIDE=FQ","FILING_STATUS=MR","FA_ADJUSTED=GAAP","Sort=A","Dates=H","DateFormat=P","Fill=—","Direction=H","UseDPDF=Y")</f>
        <v>-22.273099999999999</v>
      </c>
      <c r="AA20" s="14">
        <f>_xll.BDH("ALNY US Equity","NET_INCOME_TO_COMMON_MARGIN","FQ4 2024","FQ4 2024","Currency=USD","Period=FQ","BEST_FPERIOD_OVERRIDE=FQ","FILING_STATUS=MR","FA_ADJUSTED=GAAP","Sort=A","Dates=H","DateFormat=P","Fill=—","Direction=H","UseDPDF=Y")</f>
        <v>-14.1213</v>
      </c>
    </row>
    <row r="21" spans="1:2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6" t="s">
        <v>1361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0" t="s">
        <v>1362</v>
      </c>
      <c r="B23" s="10" t="s">
        <v>1363</v>
      </c>
      <c r="C23" s="14" t="str">
        <f>_xll.BDH("ALNY US Equity","EFF_TAX_RATE","FQ4 2018","FQ4 2018","Currency=USD","Period=FQ","BEST_FPERIOD_OVERRIDE=FQ","FILING_STATUS=MR","FA_ADJUSTED=GAAP","Sort=A","Dates=H","DateFormat=P","Fill=—","Direction=H","UseDPDF=Y")</f>
        <v>—</v>
      </c>
      <c r="D23" s="14" t="str">
        <f>_xll.BDH("ALNY US Equity","EFF_TAX_RATE","FQ1 2019","FQ1 2019","Currency=USD","Period=FQ","BEST_FPERIOD_OVERRIDE=FQ","FILING_STATUS=MR","FA_ADJUSTED=GAAP","Sort=A","Dates=H","DateFormat=P","Fill=—","Direction=H","UseDPDF=Y")</f>
        <v>—</v>
      </c>
      <c r="E23" s="14" t="str">
        <f>_xll.BDH("ALNY US Equity","EFF_TAX_RATE","FQ2 2019","FQ2 2019","Currency=USD","Period=FQ","BEST_FPERIOD_OVERRIDE=FQ","FILING_STATUS=MR","FA_ADJUSTED=GAAP","Sort=A","Dates=H","DateFormat=P","Fill=—","Direction=H","UseDPDF=Y")</f>
        <v>—</v>
      </c>
      <c r="F23" s="14" t="str">
        <f>_xll.BDH("ALNY US Equity","EFF_TAX_RATE","FQ3 2019","FQ3 2019","Currency=USD","Period=FQ","BEST_FPERIOD_OVERRIDE=FQ","FILING_STATUS=MR","FA_ADJUSTED=GAAP","Sort=A","Dates=H","DateFormat=P","Fill=—","Direction=H","UseDPDF=Y")</f>
        <v>—</v>
      </c>
      <c r="G23" s="14" t="str">
        <f>_xll.BDH("ALNY US Equity","EFF_TAX_RATE","FQ4 2019","FQ4 2019","Currency=USD","Period=FQ","BEST_FPERIOD_OVERRIDE=FQ","FILING_STATUS=MR","FA_ADJUSTED=GAAP","Sort=A","Dates=H","DateFormat=P","Fill=—","Direction=H","UseDPDF=Y")</f>
        <v>—</v>
      </c>
      <c r="H23" s="14" t="str">
        <f>_xll.BDH("ALNY US Equity","EFF_TAX_RATE","FQ1 2020","FQ1 2020","Currency=USD","Period=FQ","BEST_FPERIOD_OVERRIDE=FQ","FILING_STATUS=MR","FA_ADJUSTED=GAAP","Sort=A","Dates=H","DateFormat=P","Fill=—","Direction=H","UseDPDF=Y")</f>
        <v>—</v>
      </c>
      <c r="I23" s="14" t="str">
        <f>_xll.BDH("ALNY US Equity","EFF_TAX_RATE","FQ2 2020","FQ2 2020","Currency=USD","Period=FQ","BEST_FPERIOD_OVERRIDE=FQ","FILING_STATUS=MR","FA_ADJUSTED=GAAP","Sort=A","Dates=H","DateFormat=P","Fill=—","Direction=H","UseDPDF=Y")</f>
        <v>—</v>
      </c>
      <c r="J23" s="14" t="str">
        <f>_xll.BDH("ALNY US Equity","EFF_TAX_RATE","FQ3 2020","FQ3 2020","Currency=USD","Period=FQ","BEST_FPERIOD_OVERRIDE=FQ","FILING_STATUS=MR","FA_ADJUSTED=GAAP","Sort=A","Dates=H","DateFormat=P","Fill=—","Direction=H","UseDPDF=Y")</f>
        <v>—</v>
      </c>
      <c r="K23" s="14" t="str">
        <f>_xll.BDH("ALNY US Equity","EFF_TAX_RATE","FQ4 2020","FQ4 2020","Currency=USD","Period=FQ","BEST_FPERIOD_OVERRIDE=FQ","FILING_STATUS=MR","FA_ADJUSTED=GAAP","Sort=A","Dates=H","DateFormat=P","Fill=—","Direction=H","UseDPDF=Y")</f>
        <v>—</v>
      </c>
      <c r="L23" s="14" t="str">
        <f>_xll.BDH("ALNY US Equity","EFF_TAX_RATE","FQ1 2021","FQ1 2021","Currency=USD","Period=FQ","BEST_FPERIOD_OVERRIDE=FQ","FILING_STATUS=MR","FA_ADJUSTED=GAAP","Sort=A","Dates=H","DateFormat=P","Fill=—","Direction=H","UseDPDF=Y")</f>
        <v>—</v>
      </c>
      <c r="M23" s="14" t="str">
        <f>_xll.BDH("ALNY US Equity","EFF_TAX_RATE","FQ2 2021","FQ2 2021","Currency=USD","Period=FQ","BEST_FPERIOD_OVERRIDE=FQ","FILING_STATUS=MR","FA_ADJUSTED=GAAP","Sort=A","Dates=H","DateFormat=P","Fill=—","Direction=H","UseDPDF=Y")</f>
        <v>—</v>
      </c>
      <c r="N23" s="14" t="str">
        <f>_xll.BDH("ALNY US Equity","EFF_TAX_RATE","FQ3 2021","FQ3 2021","Currency=USD","Period=FQ","BEST_FPERIOD_OVERRIDE=FQ","FILING_STATUS=MR","FA_ADJUSTED=GAAP","Sort=A","Dates=H","DateFormat=P","Fill=—","Direction=H","UseDPDF=Y")</f>
        <v>—</v>
      </c>
      <c r="O23" s="14" t="str">
        <f>_xll.BDH("ALNY US Equity","EFF_TAX_RATE","FQ4 2021","FQ4 2021","Currency=USD","Period=FQ","BEST_FPERIOD_OVERRIDE=FQ","FILING_STATUS=MR","FA_ADJUSTED=GAAP","Sort=A","Dates=H","DateFormat=P","Fill=—","Direction=H","UseDPDF=Y")</f>
        <v>—</v>
      </c>
      <c r="P23" s="14" t="str">
        <f>_xll.BDH("ALNY US Equity","EFF_TAX_RATE","FQ1 2022","FQ1 2022","Currency=USD","Period=FQ","BEST_FPERIOD_OVERRIDE=FQ","FILING_STATUS=MR","FA_ADJUSTED=GAAP","Sort=A","Dates=H","DateFormat=P","Fill=—","Direction=H","UseDPDF=Y")</f>
        <v>—</v>
      </c>
      <c r="Q23" s="14" t="str">
        <f>_xll.BDH("ALNY US Equity","EFF_TAX_RATE","FQ2 2022","FQ2 2022","Currency=USD","Period=FQ","BEST_FPERIOD_OVERRIDE=FQ","FILING_STATUS=MR","FA_ADJUSTED=GAAP","Sort=A","Dates=H","DateFormat=P","Fill=—","Direction=H","UseDPDF=Y")</f>
        <v>—</v>
      </c>
      <c r="R23" s="14" t="str">
        <f>_xll.BDH("ALNY US Equity","EFF_TAX_RATE","FQ3 2022","FQ3 2022","Currency=USD","Period=FQ","BEST_FPERIOD_OVERRIDE=FQ","FILING_STATUS=MR","FA_ADJUSTED=GAAP","Sort=A","Dates=H","DateFormat=P","Fill=—","Direction=H","UseDPDF=Y")</f>
        <v>—</v>
      </c>
      <c r="S23" s="14" t="str">
        <f>_xll.BDH("ALNY US Equity","EFF_TAX_RATE","FQ4 2022","FQ4 2022","Currency=USD","Period=FQ","BEST_FPERIOD_OVERRIDE=FQ","FILING_STATUS=MR","FA_ADJUSTED=GAAP","Sort=A","Dates=H","DateFormat=P","Fill=—","Direction=H","UseDPDF=Y")</f>
        <v>—</v>
      </c>
      <c r="T23" s="14" t="str">
        <f>_xll.BDH("ALNY US Equity","EFF_TAX_RATE","FQ1 2023","FQ1 2023","Currency=USD","Period=FQ","BEST_FPERIOD_OVERRIDE=FQ","FILING_STATUS=MR","FA_ADJUSTED=GAAP","Sort=A","Dates=H","DateFormat=P","Fill=—","Direction=H","UseDPDF=Y")</f>
        <v>—</v>
      </c>
      <c r="U23" s="14" t="str">
        <f>_xll.BDH("ALNY US Equity","EFF_TAX_RATE","FQ2 2023","FQ2 2023","Currency=USD","Period=FQ","BEST_FPERIOD_OVERRIDE=FQ","FILING_STATUS=MR","FA_ADJUSTED=GAAP","Sort=A","Dates=H","DateFormat=P","Fill=—","Direction=H","UseDPDF=Y")</f>
        <v>—</v>
      </c>
      <c r="V23" s="14">
        <f>_xll.BDH("ALNY US Equity","EFF_TAX_RATE","FQ3 2023","FQ3 2023","Currency=USD","Period=FQ","BEST_FPERIOD_OVERRIDE=FQ","FILING_STATUS=MR","FA_ADJUSTED=GAAP","Sort=A","Dates=H","DateFormat=P","Fill=—","Direction=H","UseDPDF=Y")</f>
        <v>1.9822</v>
      </c>
      <c r="W23" s="14" t="str">
        <f>_xll.BDH("ALNY US Equity","EFF_TAX_RATE","FQ4 2023","FQ4 2023","Currency=USD","Period=FQ","BEST_FPERIOD_OVERRIDE=FQ","FILING_STATUS=MR","FA_ADJUSTED=GAAP","Sort=A","Dates=H","DateFormat=P","Fill=—","Direction=H","UseDPDF=Y")</f>
        <v>—</v>
      </c>
      <c r="X23" s="14" t="str">
        <f>_xll.BDH("ALNY US Equity","EFF_TAX_RATE","FQ1 2024","FQ1 2024","Currency=USD","Period=FQ","BEST_FPERIOD_OVERRIDE=FQ","FILING_STATUS=MR","FA_ADJUSTED=GAAP","Sort=A","Dates=H","DateFormat=P","Fill=—","Direction=H","UseDPDF=Y")</f>
        <v>—</v>
      </c>
      <c r="Y23" s="14" t="str">
        <f>_xll.BDH("ALNY US Equity","EFF_TAX_RATE","FQ2 2024","FQ2 2024","Currency=USD","Period=FQ","BEST_FPERIOD_OVERRIDE=FQ","FILING_STATUS=MR","FA_ADJUSTED=GAAP","Sort=A","Dates=H","DateFormat=P","Fill=—","Direction=H","UseDPDF=Y")</f>
        <v>—</v>
      </c>
      <c r="Z23" s="14" t="str">
        <f>_xll.BDH("ALNY US Equity","EFF_TAX_RATE","FQ3 2024","FQ3 2024","Currency=USD","Period=FQ","BEST_FPERIOD_OVERRIDE=FQ","FILING_STATUS=MR","FA_ADJUSTED=GAAP","Sort=A","Dates=H","DateFormat=P","Fill=—","Direction=H","UseDPDF=Y")</f>
        <v>—</v>
      </c>
      <c r="AA23" s="14" t="str">
        <f>_xll.BDH("ALNY US Equity","EFF_TAX_RATE","FQ4 2024","FQ4 2024","Currency=USD","Period=FQ","BEST_FPERIOD_OVERRIDE=FQ","FILING_STATUS=MR","FA_ADJUSTED=GAAP","Sort=A","Dates=H","DateFormat=P","Fill=—","Direction=H","UseDPDF=Y")</f>
        <v>—</v>
      </c>
    </row>
    <row r="24" spans="1:27" x14ac:dyDescent="0.25">
      <c r="A24" s="10" t="s">
        <v>1364</v>
      </c>
      <c r="B24" s="10" t="s">
        <v>1365</v>
      </c>
      <c r="C24" s="14" t="str">
        <f>_xll.BDH("ALNY US Equity","DVD_PAYOUT_RATIO","FQ4 2018","FQ4 2018","Currency=USD","Period=FQ","BEST_FPERIOD_OVERRIDE=FQ","FILING_STATUS=MR","FA_ADJUSTED=GAAP","Sort=A","Dates=H","DateFormat=P","Fill=—","Direction=H","UseDPDF=Y")</f>
        <v>—</v>
      </c>
      <c r="D24" s="14" t="str">
        <f>_xll.BDH("ALNY US Equity","DVD_PAYOUT_RATIO","FQ1 2019","FQ1 2019","Currency=USD","Period=FQ","BEST_FPERIOD_OVERRIDE=FQ","FILING_STATUS=MR","FA_ADJUSTED=GAAP","Sort=A","Dates=H","DateFormat=P","Fill=—","Direction=H","UseDPDF=Y")</f>
        <v>—</v>
      </c>
      <c r="E24" s="14" t="str">
        <f>_xll.BDH("ALNY US Equity","DVD_PAYOUT_RATIO","FQ2 2019","FQ2 2019","Currency=USD","Period=FQ","BEST_FPERIOD_OVERRIDE=FQ","FILING_STATUS=MR","FA_ADJUSTED=GAAP","Sort=A","Dates=H","DateFormat=P","Fill=—","Direction=H","UseDPDF=Y")</f>
        <v>—</v>
      </c>
      <c r="F24" s="14" t="str">
        <f>_xll.BDH("ALNY US Equity","DVD_PAYOUT_RATIO","FQ3 2019","FQ3 2019","Currency=USD","Period=FQ","BEST_FPERIOD_OVERRIDE=FQ","FILING_STATUS=MR","FA_ADJUSTED=GAAP","Sort=A","Dates=H","DateFormat=P","Fill=—","Direction=H","UseDPDF=Y")</f>
        <v>—</v>
      </c>
      <c r="G24" s="14" t="str">
        <f>_xll.BDH("ALNY US Equity","DVD_PAYOUT_RATIO","FQ4 2019","FQ4 2019","Currency=USD","Period=FQ","BEST_FPERIOD_OVERRIDE=FQ","FILING_STATUS=MR","FA_ADJUSTED=GAAP","Sort=A","Dates=H","DateFormat=P","Fill=—","Direction=H","UseDPDF=Y")</f>
        <v>—</v>
      </c>
      <c r="H24" s="14" t="str">
        <f>_xll.BDH("ALNY US Equity","DVD_PAYOUT_RATIO","FQ1 2020","FQ1 2020","Currency=USD","Period=FQ","BEST_FPERIOD_OVERRIDE=FQ","FILING_STATUS=MR","FA_ADJUSTED=GAAP","Sort=A","Dates=H","DateFormat=P","Fill=—","Direction=H","UseDPDF=Y")</f>
        <v>—</v>
      </c>
      <c r="I24" s="14" t="str">
        <f>_xll.BDH("ALNY US Equity","DVD_PAYOUT_RATIO","FQ2 2020","FQ2 2020","Currency=USD","Period=FQ","BEST_FPERIOD_OVERRIDE=FQ","FILING_STATUS=MR","FA_ADJUSTED=GAAP","Sort=A","Dates=H","DateFormat=P","Fill=—","Direction=H","UseDPDF=Y")</f>
        <v>—</v>
      </c>
      <c r="J24" s="14" t="str">
        <f>_xll.BDH("ALNY US Equity","DVD_PAYOUT_RATIO","FQ3 2020","FQ3 2020","Currency=USD","Period=FQ","BEST_FPERIOD_OVERRIDE=FQ","FILING_STATUS=MR","FA_ADJUSTED=GAAP","Sort=A","Dates=H","DateFormat=P","Fill=—","Direction=H","UseDPDF=Y")</f>
        <v>—</v>
      </c>
      <c r="K24" s="14" t="str">
        <f>_xll.BDH("ALNY US Equity","DVD_PAYOUT_RATIO","FQ4 2020","FQ4 2020","Currency=USD","Period=FQ","BEST_FPERIOD_OVERRIDE=FQ","FILING_STATUS=MR","FA_ADJUSTED=GAAP","Sort=A","Dates=H","DateFormat=P","Fill=—","Direction=H","UseDPDF=Y")</f>
        <v>—</v>
      </c>
      <c r="L24" s="14" t="str">
        <f>_xll.BDH("ALNY US Equity","DVD_PAYOUT_RATIO","FQ1 2021","FQ1 2021","Currency=USD","Period=FQ","BEST_FPERIOD_OVERRIDE=FQ","FILING_STATUS=MR","FA_ADJUSTED=GAAP","Sort=A","Dates=H","DateFormat=P","Fill=—","Direction=H","UseDPDF=Y")</f>
        <v>—</v>
      </c>
      <c r="M24" s="14" t="str">
        <f>_xll.BDH("ALNY US Equity","DVD_PAYOUT_RATIO","FQ2 2021","FQ2 2021","Currency=USD","Period=FQ","BEST_FPERIOD_OVERRIDE=FQ","FILING_STATUS=MR","FA_ADJUSTED=GAAP","Sort=A","Dates=H","DateFormat=P","Fill=—","Direction=H","UseDPDF=Y")</f>
        <v>—</v>
      </c>
      <c r="N24" s="14" t="str">
        <f>_xll.BDH("ALNY US Equity","DVD_PAYOUT_RATIO","FQ3 2021","FQ3 2021","Currency=USD","Period=FQ","BEST_FPERIOD_OVERRIDE=FQ","FILING_STATUS=MR","FA_ADJUSTED=GAAP","Sort=A","Dates=H","DateFormat=P","Fill=—","Direction=H","UseDPDF=Y")</f>
        <v>—</v>
      </c>
      <c r="O24" s="14" t="str">
        <f>_xll.BDH("ALNY US Equity","DVD_PAYOUT_RATIO","FQ4 2021","FQ4 2021","Currency=USD","Period=FQ","BEST_FPERIOD_OVERRIDE=FQ","FILING_STATUS=MR","FA_ADJUSTED=GAAP","Sort=A","Dates=H","DateFormat=P","Fill=—","Direction=H","UseDPDF=Y")</f>
        <v>—</v>
      </c>
      <c r="P24" s="14" t="str">
        <f>_xll.BDH("ALNY US Equity","DVD_PAYOUT_RATIO","FQ1 2022","FQ1 2022","Currency=USD","Period=FQ","BEST_FPERIOD_OVERRIDE=FQ","FILING_STATUS=MR","FA_ADJUSTED=GAAP","Sort=A","Dates=H","DateFormat=P","Fill=—","Direction=H","UseDPDF=Y")</f>
        <v>—</v>
      </c>
      <c r="Q24" s="14" t="str">
        <f>_xll.BDH("ALNY US Equity","DVD_PAYOUT_RATIO","FQ2 2022","FQ2 2022","Currency=USD","Period=FQ","BEST_FPERIOD_OVERRIDE=FQ","FILING_STATUS=MR","FA_ADJUSTED=GAAP","Sort=A","Dates=H","DateFormat=P","Fill=—","Direction=H","UseDPDF=Y")</f>
        <v>—</v>
      </c>
      <c r="R24" s="14" t="str">
        <f>_xll.BDH("ALNY US Equity","DVD_PAYOUT_RATIO","FQ3 2022","FQ3 2022","Currency=USD","Period=FQ","BEST_FPERIOD_OVERRIDE=FQ","FILING_STATUS=MR","FA_ADJUSTED=GAAP","Sort=A","Dates=H","DateFormat=P","Fill=—","Direction=H","UseDPDF=Y")</f>
        <v>—</v>
      </c>
      <c r="S24" s="14" t="str">
        <f>_xll.BDH("ALNY US Equity","DVD_PAYOUT_RATIO","FQ4 2022","FQ4 2022","Currency=USD","Period=FQ","BEST_FPERIOD_OVERRIDE=FQ","FILING_STATUS=MR","FA_ADJUSTED=GAAP","Sort=A","Dates=H","DateFormat=P","Fill=—","Direction=H","UseDPDF=Y")</f>
        <v>—</v>
      </c>
      <c r="T24" s="14" t="str">
        <f>_xll.BDH("ALNY US Equity","DVD_PAYOUT_RATIO","FQ1 2023","FQ1 2023","Currency=USD","Period=FQ","BEST_FPERIOD_OVERRIDE=FQ","FILING_STATUS=MR","FA_ADJUSTED=GAAP","Sort=A","Dates=H","DateFormat=P","Fill=—","Direction=H","UseDPDF=Y")</f>
        <v>—</v>
      </c>
      <c r="U24" s="14" t="str">
        <f>_xll.BDH("ALNY US Equity","DVD_PAYOUT_RATIO","FQ2 2023","FQ2 2023","Currency=USD","Period=FQ","BEST_FPERIOD_OVERRIDE=FQ","FILING_STATUS=MR","FA_ADJUSTED=GAAP","Sort=A","Dates=H","DateFormat=P","Fill=—","Direction=H","UseDPDF=Y")</f>
        <v>—</v>
      </c>
      <c r="V24" s="14">
        <f>_xll.BDH("ALNY US Equity","DVD_PAYOUT_RATIO","FQ3 2023","FQ3 2023","Currency=USD","Period=FQ","BEST_FPERIOD_OVERRIDE=FQ","FILING_STATUS=MR","FA_ADJUSTED=GAAP","Sort=A","Dates=H","DateFormat=P","Fill=—","Direction=H","UseDPDF=Y")</f>
        <v>0</v>
      </c>
      <c r="W24" s="14" t="str">
        <f>_xll.BDH("ALNY US Equity","DVD_PAYOUT_RATIO","FQ4 2023","FQ4 2023","Currency=USD","Period=FQ","BEST_FPERIOD_OVERRIDE=FQ","FILING_STATUS=MR","FA_ADJUSTED=GAAP","Sort=A","Dates=H","DateFormat=P","Fill=—","Direction=H","UseDPDF=Y")</f>
        <v>—</v>
      </c>
      <c r="X24" s="14" t="str">
        <f>_xll.BDH("ALNY US Equity","DVD_PAYOUT_RATIO","FQ1 2024","FQ1 2024","Currency=USD","Period=FQ","BEST_FPERIOD_OVERRIDE=FQ","FILING_STATUS=MR","FA_ADJUSTED=GAAP","Sort=A","Dates=H","DateFormat=P","Fill=—","Direction=H","UseDPDF=Y")</f>
        <v>—</v>
      </c>
      <c r="Y24" s="14" t="str">
        <f>_xll.BDH("ALNY US Equity","DVD_PAYOUT_RATIO","FQ2 2024","FQ2 2024","Currency=USD","Period=FQ","BEST_FPERIOD_OVERRIDE=FQ","FILING_STATUS=MR","FA_ADJUSTED=GAAP","Sort=A","Dates=H","DateFormat=P","Fill=—","Direction=H","UseDPDF=Y")</f>
        <v>—</v>
      </c>
      <c r="Z24" s="14" t="str">
        <f>_xll.BDH("ALNY US Equity","DVD_PAYOUT_RATIO","FQ3 2024","FQ3 2024","Currency=USD","Period=FQ","BEST_FPERIOD_OVERRIDE=FQ","FILING_STATUS=MR","FA_ADJUSTED=GAAP","Sort=A","Dates=H","DateFormat=P","Fill=—","Direction=H","UseDPDF=Y")</f>
        <v>—</v>
      </c>
      <c r="AA24" s="14" t="str">
        <f>_xll.BDH("ALNY US Equity","DVD_PAYOUT_RATIO","FQ4 2024","FQ4 2024","Currency=USD","Period=FQ","BEST_FPERIOD_OVERRIDE=FQ","FILING_STATUS=MR","FA_ADJUSTED=GAAP","Sort=A","Dates=H","DateFormat=P","Fill=—","Direction=H","UseDPDF=Y")</f>
        <v>—</v>
      </c>
    </row>
    <row r="25" spans="1:27" x14ac:dyDescent="0.25">
      <c r="A25" s="7" t="s">
        <v>90</v>
      </c>
      <c r="B25" s="7"/>
      <c r="C25" s="7" t="s">
        <v>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79"/>
  <sheetViews>
    <sheetView topLeftCell="F1"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1366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1367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0</v>
      </c>
      <c r="B7" s="10" t="s">
        <v>73</v>
      </c>
      <c r="C7" s="14">
        <f>_xll.BDH("ALNY US Equity","SALES_GROWTH","FQ4 2018","FQ4 2018","Currency=USD","Period=FQ","BEST_FPERIOD_OVERRIDE=FQ","FILING_STATUS=MR","FA_ADJUSTED=GAAP","Sort=A","Dates=H","DateFormat=P","Fill=—","Direction=H","UseDPDF=Y")</f>
        <v>-44.539099999999998</v>
      </c>
      <c r="D7" s="14">
        <f>_xll.BDH("ALNY US Equity","SALES_GROWTH","FQ1 2019","FQ1 2019","Currency=USD","Period=FQ","BEST_FPERIOD_OVERRIDE=FQ","FILING_STATUS=MR","FA_ADJUSTED=GAAP","Sort=A","Dates=H","DateFormat=P","Fill=—","Direction=H","UseDPDF=Y")</f>
        <v>52.034300000000002</v>
      </c>
      <c r="E7" s="14">
        <f>_xll.BDH("ALNY US Equity","SALES_GROWTH","FQ2 2019","FQ2 2019","Currency=USD","Period=FQ","BEST_FPERIOD_OVERRIDE=FQ","FILING_STATUS=MR","FA_ADJUSTED=GAAP","Sort=A","Dates=H","DateFormat=P","Fill=—","Direction=H","UseDPDF=Y")</f>
        <v>49.510100000000001</v>
      </c>
      <c r="F7" s="14">
        <f>_xll.BDH("ALNY US Equity","SALES_GROWTH","FQ3 2019","FQ3 2019","Currency=USD","Period=FQ","BEST_FPERIOD_OVERRIDE=FQ","FILING_STATUS=MR","FA_ADJUSTED=GAAP","Sort=A","Dates=H","DateFormat=P","Fill=—","Direction=H","UseDPDF=Y")</f>
        <v>3286.2251999999999</v>
      </c>
      <c r="G7" s="14">
        <f>_xll.BDH("ALNY US Equity","SALES_GROWTH","FQ4 2019","FQ4 2019","Currency=USD","Period=FQ","BEST_FPERIOD_OVERRIDE=FQ","FILING_STATUS=MR","FA_ADJUSTED=GAAP","Sort=A","Dates=H","DateFormat=P","Fill=—","Direction=H","UseDPDF=Y")</f>
        <v>240.80250000000001</v>
      </c>
      <c r="H7" s="14">
        <f>_xll.BDH("ALNY US Equity","SALES_GROWTH","FQ1 2020","FQ1 2020","Currency=USD","Period=FQ","BEST_FPERIOD_OVERRIDE=FQ","FILING_STATUS=MR","FA_ADJUSTED=GAAP","Sort=A","Dates=H","DateFormat=P","Fill=—","Direction=H","UseDPDF=Y")</f>
        <v>198.78059999999999</v>
      </c>
      <c r="I7" s="14">
        <f>_xll.BDH("ALNY US Equity","SALES_GROWTH","FQ2 2020","FQ2 2020","Currency=USD","Period=FQ","BEST_FPERIOD_OVERRIDE=FQ","FILING_STATUS=MR","FA_ADJUSTED=GAAP","Sort=A","Dates=H","DateFormat=P","Fill=—","Direction=H","UseDPDF=Y")</f>
        <v>132.5044</v>
      </c>
      <c r="J7" s="14">
        <f>_xll.BDH("ALNY US Equity","SALES_GROWTH","FQ3 2020","FQ3 2020","Currency=USD","Period=FQ","BEST_FPERIOD_OVERRIDE=FQ","FILING_STATUS=MR","FA_ADJUSTED=GAAP","Sort=A","Dates=H","DateFormat=P","Fill=—","Direction=H","UseDPDF=Y")</f>
        <v>79.633499999999998</v>
      </c>
      <c r="K7" s="14">
        <f>_xll.BDH("ALNY US Equity","SALES_GROWTH","FQ4 2020","FQ4 2020","Currency=USD","Period=FQ","BEST_FPERIOD_OVERRIDE=FQ","FILING_STATUS=MR","FA_ADJUSTED=GAAP","Sort=A","Dates=H","DateFormat=P","Fill=—","Direction=H","UseDPDF=Y")</f>
        <v>128.18039999999999</v>
      </c>
      <c r="L7" s="14">
        <f>_xll.BDH("ALNY US Equity","SALES_GROWTH","FQ1 2021","FQ1 2021","Currency=USD","Period=FQ","BEST_FPERIOD_OVERRIDE=FQ","FILING_STATUS=MR","FA_ADJUSTED=GAAP","Sort=A","Dates=H","DateFormat=P","Fill=—","Direction=H","UseDPDF=Y")</f>
        <v>78.501300000000001</v>
      </c>
      <c r="M7" s="14">
        <f>_xll.BDH("ALNY US Equity","SALES_GROWTH","FQ2 2021","FQ2 2021","Currency=USD","Period=FQ","BEST_FPERIOD_OVERRIDE=FQ","FILING_STATUS=MR","FA_ADJUSTED=GAAP","Sort=A","Dates=H","DateFormat=P","Fill=—","Direction=H","UseDPDF=Y")</f>
        <v>112.1477</v>
      </c>
      <c r="N7" s="14">
        <f>_xll.BDH("ALNY US Equity","SALES_GROWTH","FQ3 2021","FQ3 2021","Currency=USD","Period=FQ","BEST_FPERIOD_OVERRIDE=FQ","FILING_STATUS=MR","FA_ADJUSTED=GAAP","Sort=A","Dates=H","DateFormat=P","Fill=—","Direction=H","UseDPDF=Y")</f>
        <v>49.088999999999999</v>
      </c>
      <c r="O7" s="14">
        <f>_xll.BDH("ALNY US Equity","SALES_GROWTH","FQ4 2021","FQ4 2021","Currency=USD","Period=FQ","BEST_FPERIOD_OVERRIDE=FQ","FILING_STATUS=MR","FA_ADJUSTED=GAAP","Sort=A","Dates=H","DateFormat=P","Fill=—","Direction=H","UseDPDF=Y")</f>
        <v>58.065399999999997</v>
      </c>
      <c r="P7" s="14">
        <f>_xll.BDH("ALNY US Equity","SALES_GROWTH","FQ1 2022","FQ1 2022","Currency=USD","Period=FQ","BEST_FPERIOD_OVERRIDE=FQ","FILING_STATUS=MR","FA_ADJUSTED=GAAP","Sort=A","Dates=H","DateFormat=P","Fill=—","Direction=H","UseDPDF=Y")</f>
        <v>20.101299999999998</v>
      </c>
      <c r="Q7" s="14">
        <f>_xll.BDH("ALNY US Equity","SALES_GROWTH","FQ2 2022","FQ2 2022","Currency=USD","Period=FQ","BEST_FPERIOD_OVERRIDE=FQ","FILING_STATUS=MR","FA_ADJUSTED=GAAP","Sort=A","Dates=H","DateFormat=P","Fill=—","Direction=H","UseDPDF=Y")</f>
        <v>1.9338</v>
      </c>
      <c r="R7" s="14">
        <f>_xll.BDH("ALNY US Equity","SALES_GROWTH","FQ3 2022","FQ3 2022","Currency=USD","Period=FQ","BEST_FPERIOD_OVERRIDE=FQ","FILING_STATUS=MR","FA_ADJUSTED=GAAP","Sort=A","Dates=H","DateFormat=P","Fill=—","Direction=H","UseDPDF=Y")</f>
        <v>40.863300000000002</v>
      </c>
      <c r="S7" s="14">
        <f>_xll.BDH("ALNY US Equity","SALES_GROWTH","FQ4 2022","FQ4 2022","Currency=USD","Period=FQ","BEST_FPERIOD_OVERRIDE=FQ","FILING_STATUS=MR","FA_ADJUSTED=GAAP","Sort=A","Dates=H","DateFormat=P","Fill=—","Direction=H","UseDPDF=Y")</f>
        <v>29.5898</v>
      </c>
      <c r="T7" s="14">
        <f>_xll.BDH("ALNY US Equity","SALES_GROWTH","FQ1 2023","FQ1 2023","Currency=USD","Period=FQ","BEST_FPERIOD_OVERRIDE=FQ","FILING_STATUS=MR","FA_ADJUSTED=GAAP","Sort=A","Dates=H","DateFormat=P","Fill=—","Direction=H","UseDPDF=Y")</f>
        <v>49.7194</v>
      </c>
      <c r="U7" s="14">
        <f>_xll.BDH("ALNY US Equity","SALES_GROWTH","FQ2 2023","FQ2 2023","Currency=USD","Period=FQ","BEST_FPERIOD_OVERRIDE=FQ","FILING_STATUS=MR","FA_ADJUSTED=GAAP","Sort=A","Dates=H","DateFormat=P","Fill=—","Direction=H","UseDPDF=Y")</f>
        <v>41.783099999999997</v>
      </c>
      <c r="V7" s="14">
        <f>_xll.BDH("ALNY US Equity","SALES_GROWTH","FQ3 2023","FQ3 2023","Currency=USD","Period=FQ","BEST_FPERIOD_OVERRIDE=FQ","FILING_STATUS=MR","FA_ADJUSTED=GAAP","Sort=A","Dates=H","DateFormat=P","Fill=—","Direction=H","UseDPDF=Y")</f>
        <v>183.96250000000001</v>
      </c>
      <c r="W7" s="14">
        <f>_xll.BDH("ALNY US Equity","SALES_GROWTH","FQ4 2023","FQ4 2023","Currency=USD","Period=FQ","BEST_FPERIOD_OVERRIDE=FQ","FILING_STATUS=MR","FA_ADJUSTED=GAAP","Sort=A","Dates=H","DateFormat=P","Fill=—","Direction=H","UseDPDF=Y")</f>
        <v>31.2454</v>
      </c>
      <c r="X7" s="14">
        <f>_xll.BDH("ALNY US Equity","SALES_GROWTH","FQ1 2024","FQ1 2024","Currency=USD","Period=FQ","BEST_FPERIOD_OVERRIDE=FQ","FILING_STATUS=MR","FA_ADJUSTED=GAAP","Sort=A","Dates=H","DateFormat=P","Fill=—","Direction=H","UseDPDF=Y")</f>
        <v>54.822600000000001</v>
      </c>
      <c r="Y7" s="14">
        <f>_xll.BDH("ALNY US Equity","SALES_GROWTH","FQ2 2024","FQ2 2024","Currency=USD","Period=FQ","BEST_FPERIOD_OVERRIDE=FQ","FILING_STATUS=MR","FA_ADJUSTED=GAAP","Sort=A","Dates=H","DateFormat=P","Fill=—","Direction=H","UseDPDF=Y")</f>
        <v>107.0013</v>
      </c>
      <c r="Z7" s="14">
        <f>_xll.BDH("ALNY US Equity","SALES_GROWTH","FQ3 2024","FQ3 2024","Currency=USD","Period=FQ","BEST_FPERIOD_OVERRIDE=FQ","FILING_STATUS=MR","FA_ADJUSTED=GAAP","Sort=A","Dates=H","DateFormat=P","Fill=—","Direction=H","UseDPDF=Y")</f>
        <v>-33.258000000000003</v>
      </c>
      <c r="AA7" s="14">
        <f>_xll.BDH("ALNY US Equity","SALES_GROWTH","FQ4 2024","FQ4 2024","Currency=USD","Period=FQ","BEST_FPERIOD_OVERRIDE=FQ","FILING_STATUS=MR","FA_ADJUSTED=GAAP","Sort=A","Dates=H","DateFormat=P","Fill=—","Direction=H","UseDPDF=Y")</f>
        <v>34.896900000000002</v>
      </c>
    </row>
    <row r="8" spans="1:27" x14ac:dyDescent="0.25">
      <c r="A8" s="10" t="s">
        <v>78</v>
      </c>
      <c r="B8" s="10" t="s">
        <v>1368</v>
      </c>
      <c r="C8" s="14">
        <f>_xll.BDH("ALNY US Equity","EBITDA_GROWTH","FQ4 2018","FQ4 2018","Currency=USD","Period=FQ","BEST_FPERIOD_OVERRIDE=FQ","FILING_STATUS=MR","FA_ADJUSTED=GAAP","Sort=A","Dates=H","DateFormat=P","Fill=—","Direction=H","UseDPDF=Y")</f>
        <v>-55.014699999999998</v>
      </c>
      <c r="D8" s="14">
        <f>_xll.BDH("ALNY US Equity","EBITDA_GROWTH","FQ1 2019","FQ1 2019","Currency=USD","Period=FQ","BEST_FPERIOD_OVERRIDE=FQ","FILING_STATUS=MR","FA_ADJUSTED=GAAP","Sort=A","Dates=H","DateFormat=P","Fill=—","Direction=H","UseDPDF=Y")</f>
        <v>-15.9894</v>
      </c>
      <c r="E8" s="14">
        <f>_xll.BDH("ALNY US Equity","EBITDA_GROWTH","FQ2 2019","FQ2 2019","Currency=USD","Period=FQ","BEST_FPERIOD_OVERRIDE=FQ","FILING_STATUS=MR","FA_ADJUSTED=GAAP","Sort=A","Dates=H","DateFormat=P","Fill=—","Direction=H","UseDPDF=Y")</f>
        <v>-14.2651</v>
      </c>
      <c r="F8" s="14">
        <f>_xll.BDH("ALNY US Equity","EBITDA_GROWTH","FQ3 2019","FQ3 2019","Currency=USD","Period=FQ","BEST_FPERIOD_OVERRIDE=FQ","FILING_STATUS=MR","FA_ADJUSTED=GAAP","Sort=A","Dates=H","DateFormat=P","Fill=—","Direction=H","UseDPDF=Y")</f>
        <v>24.649000000000001</v>
      </c>
      <c r="G8" s="14">
        <f>_xll.BDH("ALNY US Equity","EBITDA_GROWTH","FQ4 2019","FQ4 2019","Currency=USD","Period=FQ","BEST_FPERIOD_OVERRIDE=FQ","FILING_STATUS=MR","FA_ADJUSTED=GAAP","Sort=A","Dates=H","DateFormat=P","Fill=—","Direction=H","UseDPDF=Y")</f>
        <v>-22.453099999999999</v>
      </c>
      <c r="H8" s="14">
        <f>_xll.BDH("ALNY US Equity","EBITDA_GROWTH","FQ1 2020","FQ1 2020","Currency=USD","Period=FQ","BEST_FPERIOD_OVERRIDE=FQ","FILING_STATUS=MR","FA_ADJUSTED=GAAP","Sort=A","Dates=H","DateFormat=P","Fill=—","Direction=H","UseDPDF=Y")</f>
        <v>-15.460800000000001</v>
      </c>
      <c r="I8" s="14">
        <f>_xll.BDH("ALNY US Equity","EBITDA_GROWTH","FQ2 2020","FQ2 2020","Currency=USD","Period=FQ","BEST_FPERIOD_OVERRIDE=FQ","FILING_STATUS=MR","FA_ADJUSTED=GAAP","Sort=A","Dates=H","DateFormat=P","Fill=—","Direction=H","UseDPDF=Y")</f>
        <v>16.642800000000001</v>
      </c>
      <c r="J8" s="14">
        <f>_xll.BDH("ALNY US Equity","EBITDA_GROWTH","FQ3 2020","FQ3 2020","Currency=USD","Period=FQ","BEST_FPERIOD_OVERRIDE=FQ","FILING_STATUS=MR","FA_ADJUSTED=GAAP","Sort=A","Dates=H","DateFormat=P","Fill=—","Direction=H","UseDPDF=Y")</f>
        <v>-9.0100999999999996</v>
      </c>
      <c r="K8" s="14">
        <f>_xll.BDH("ALNY US Equity","EBITDA_GROWTH","FQ4 2020","FQ4 2020","Currency=USD","Period=FQ","BEST_FPERIOD_OVERRIDE=FQ","FILING_STATUS=MR","FA_ADJUSTED=GAAP","Sort=A","Dates=H","DateFormat=P","Fill=—","Direction=H","UseDPDF=Y")</f>
        <v>36.402500000000003</v>
      </c>
      <c r="L8" s="14">
        <f>_xll.BDH("ALNY US Equity","EBITDA_GROWTH","FQ1 2021","FQ1 2021","Currency=USD","Period=FQ","BEST_FPERIOD_OVERRIDE=FQ","FILING_STATUS=MR","FA_ADJUSTED=GAAP","Sort=A","Dates=H","DateFormat=P","Fill=—","Direction=H","UseDPDF=Y")</f>
        <v>15.4076</v>
      </c>
      <c r="M8" s="14">
        <f>_xll.BDH("ALNY US Equity","EBITDA_GROWTH","FQ2 2021","FQ2 2021","Currency=USD","Period=FQ","BEST_FPERIOD_OVERRIDE=FQ","FILING_STATUS=MR","FA_ADJUSTED=GAAP","Sort=A","Dates=H","DateFormat=P","Fill=—","Direction=H","UseDPDF=Y")</f>
        <v>31.5229</v>
      </c>
      <c r="N8" s="14">
        <f>_xll.BDH("ALNY US Equity","EBITDA_GROWTH","FQ3 2021","FQ3 2021","Currency=USD","Period=FQ","BEST_FPERIOD_OVERRIDE=FQ","FILING_STATUS=MR","FA_ADJUSTED=GAAP","Sort=A","Dates=H","DateFormat=P","Fill=—","Direction=H","UseDPDF=Y")</f>
        <v>23.238600000000002</v>
      </c>
      <c r="O8" s="14">
        <f>_xll.BDH("ALNY US Equity","EBITDA_GROWTH","FQ4 2021","FQ4 2021","Currency=USD","Period=FQ","BEST_FPERIOD_OVERRIDE=FQ","FILING_STATUS=MR","FA_ADJUSTED=GAAP","Sort=A","Dates=H","DateFormat=P","Fill=—","Direction=H","UseDPDF=Y")</f>
        <v>0.1338</v>
      </c>
      <c r="P8" s="14">
        <f>_xll.BDH("ALNY US Equity","EBITDA_GROWTH","FQ1 2022","FQ1 2022","Currency=USD","Period=FQ","BEST_FPERIOD_OVERRIDE=FQ","FILING_STATUS=MR","FA_ADJUSTED=GAAP","Sort=A","Dates=H","DateFormat=P","Fill=—","Direction=H","UseDPDF=Y")</f>
        <v>22.300999999999998</v>
      </c>
      <c r="Q8" s="14">
        <f>_xll.BDH("ALNY US Equity","EBITDA_GROWTH","FQ2 2022","FQ2 2022","Currency=USD","Period=FQ","BEST_FPERIOD_OVERRIDE=FQ","FILING_STATUS=MR","FA_ADJUSTED=GAAP","Sort=A","Dates=H","DateFormat=P","Fill=—","Direction=H","UseDPDF=Y")</f>
        <v>-38.266399999999997</v>
      </c>
      <c r="R8" s="14">
        <f>_xll.BDH("ALNY US Equity","EBITDA_GROWTH","FQ3 2022","FQ3 2022","Currency=USD","Period=FQ","BEST_FPERIOD_OVERRIDE=FQ","FILING_STATUS=MR","FA_ADJUSTED=GAAP","Sort=A","Dates=H","DateFormat=P","Fill=—","Direction=H","UseDPDF=Y")</f>
        <v>-49.813499999999998</v>
      </c>
      <c r="S8" s="14">
        <f>_xll.BDH("ALNY US Equity","EBITDA_GROWTH","FQ4 2022","FQ4 2022","Currency=USD","Period=FQ","BEST_FPERIOD_OVERRIDE=FQ","FILING_STATUS=MR","FA_ADJUSTED=GAAP","Sort=A","Dates=H","DateFormat=P","Fill=—","Direction=H","UseDPDF=Y")</f>
        <v>5.4191000000000003</v>
      </c>
      <c r="T8" s="14">
        <f>_xll.BDH("ALNY US Equity","EBITDA_GROWTH","FQ1 2023","FQ1 2023","Currency=USD","Period=FQ","BEST_FPERIOD_OVERRIDE=FQ","FILING_STATUS=MR","FA_ADJUSTED=GAAP","Sort=A","Dates=H","DateFormat=P","Fill=—","Direction=H","UseDPDF=Y")</f>
        <v>2.5411000000000001</v>
      </c>
      <c r="U8" s="14">
        <f>_xll.BDH("ALNY US Equity","EBITDA_GROWTH","FQ2 2023","FQ2 2023","Currency=USD","Period=FQ","BEST_FPERIOD_OVERRIDE=FQ","FILING_STATUS=MR","FA_ADJUSTED=GAAP","Sort=A","Dates=H","DateFormat=P","Fill=—","Direction=H","UseDPDF=Y")</f>
        <v>-20.376300000000001</v>
      </c>
      <c r="V8" s="14" t="str">
        <f>_xll.BDH("ALNY US Equity","EBITDA_GROWTH","FQ3 2023","FQ3 2023","Currency=USD","Period=FQ","BEST_FPERIOD_OVERRIDE=FQ","FILING_STATUS=MR","FA_ADJUSTED=GAAP","Sort=A","Dates=H","DateFormat=P","Fill=—","Direction=H","UseDPDF=Y")</f>
        <v>—</v>
      </c>
      <c r="W8" s="14">
        <f>_xll.BDH("ALNY US Equity","EBITDA_GROWTH","FQ4 2023","FQ4 2023","Currency=USD","Period=FQ","BEST_FPERIOD_OVERRIDE=FQ","FILING_STATUS=MR","FA_ADJUSTED=GAAP","Sort=A","Dates=H","DateFormat=P","Fill=—","Direction=H","UseDPDF=Y")</f>
        <v>43.546300000000002</v>
      </c>
      <c r="X8" s="14">
        <f>_xll.BDH("ALNY US Equity","EBITDA_GROWTH","FQ1 2024","FQ1 2024","Currency=USD","Period=FQ","BEST_FPERIOD_OVERRIDE=FQ","FILING_STATUS=MR","FA_ADJUSTED=GAAP","Sort=A","Dates=H","DateFormat=P","Fill=—","Direction=H","UseDPDF=Y")</f>
        <v>85.493200000000002</v>
      </c>
      <c r="Y8" s="14" t="str">
        <f>_xll.BDH("ALNY US Equity","EBITDA_GROWTH","FQ2 2024","FQ2 2024","Currency=USD","Period=FQ","BEST_FPERIOD_OVERRIDE=FQ","FILING_STATUS=MR","FA_ADJUSTED=GAAP","Sort=A","Dates=H","DateFormat=P","Fill=—","Direction=H","UseDPDF=Y")</f>
        <v>—</v>
      </c>
      <c r="Z8" s="14" t="str">
        <f>_xll.BDH("ALNY US Equity","EBITDA_GROWTH","FQ3 2024","FQ3 2024","Currency=USD","Period=FQ","BEST_FPERIOD_OVERRIDE=FQ","FILING_STATUS=MR","FA_ADJUSTED=GAAP","Sort=A","Dates=H","DateFormat=P","Fill=—","Direction=H","UseDPDF=Y")</f>
        <v>—</v>
      </c>
      <c r="AA8" s="14">
        <f>_xll.BDH("ALNY US Equity","EBITDA_GROWTH","FQ4 2024","FQ4 2024","Currency=USD","Period=FQ","BEST_FPERIOD_OVERRIDE=FQ","FILING_STATUS=MR","FA_ADJUSTED=GAAP","Sort=A","Dates=H","DateFormat=P","Fill=—","Direction=H","UseDPDF=Y")</f>
        <v>1.5579000000000001</v>
      </c>
    </row>
    <row r="9" spans="1:27" x14ac:dyDescent="0.25">
      <c r="A9" s="10" t="s">
        <v>98</v>
      </c>
      <c r="B9" s="10" t="s">
        <v>1369</v>
      </c>
      <c r="C9" s="14">
        <f>_xll.BDH("ALNY US Equity","OPER_INC_GROWTH","FQ4 2018","FQ4 2018","Currency=USD","Period=FQ","BEST_FPERIOD_OVERRIDE=FQ","FILING_STATUS=MR","FA_ADJUSTED=GAAP","Sort=A","Dates=H","DateFormat=P","Fill=—","Direction=H","UseDPDF=Y")</f>
        <v>-49.593699999999998</v>
      </c>
      <c r="D9" s="14">
        <f>_xll.BDH("ALNY US Equity","OPER_INC_GROWTH","FQ1 2019","FQ1 2019","Currency=USD","Period=FQ","BEST_FPERIOD_OVERRIDE=FQ","FILING_STATUS=MR","FA_ADJUSTED=GAAP","Sort=A","Dates=H","DateFormat=P","Fill=—","Direction=H","UseDPDF=Y")</f>
        <v>-28.074400000000001</v>
      </c>
      <c r="E9" s="14">
        <f>_xll.BDH("ALNY US Equity","OPER_INC_GROWTH","FQ2 2019","FQ2 2019","Currency=USD","Period=FQ","BEST_FPERIOD_OVERRIDE=FQ","FILING_STATUS=MR","FA_ADJUSTED=GAAP","Sort=A","Dates=H","DateFormat=P","Fill=—","Direction=H","UseDPDF=Y")</f>
        <v>-22.831299999999999</v>
      </c>
      <c r="F9" s="14">
        <f>_xll.BDH("ALNY US Equity","OPER_INC_GROWTH","FQ3 2019","FQ3 2019","Currency=USD","Period=FQ","BEST_FPERIOD_OVERRIDE=FQ","FILING_STATUS=MR","FA_ADJUSTED=GAAP","Sort=A","Dates=H","DateFormat=P","Fill=—","Direction=H","UseDPDF=Y")</f>
        <v>15.0296</v>
      </c>
      <c r="G9" s="14">
        <f>_xll.BDH("ALNY US Equity","OPER_INC_GROWTH","FQ4 2019","FQ4 2019","Currency=USD","Period=FQ","BEST_FPERIOD_OVERRIDE=FQ","FILING_STATUS=MR","FA_ADJUSTED=GAAP","Sort=A","Dates=H","DateFormat=P","Fill=—","Direction=H","UseDPDF=Y")</f>
        <v>-35.268799999999999</v>
      </c>
      <c r="H9" s="14">
        <f>_xll.BDH("ALNY US Equity","OPER_INC_GROWTH","FQ1 2020","FQ1 2020","Currency=USD","Period=FQ","BEST_FPERIOD_OVERRIDE=FQ","FILING_STATUS=MR","FA_ADJUSTED=GAAP","Sort=A","Dates=H","DateFormat=P","Fill=—","Direction=H","UseDPDF=Y")</f>
        <v>-11.319599999999999</v>
      </c>
      <c r="I9" s="14">
        <f>_xll.BDH("ALNY US Equity","OPER_INC_GROWTH","FQ2 2020","FQ2 2020","Currency=USD","Period=FQ","BEST_FPERIOD_OVERRIDE=FQ","FILING_STATUS=MR","FA_ADJUSTED=GAAP","Sort=A","Dates=H","DateFormat=P","Fill=—","Direction=H","UseDPDF=Y")</f>
        <v>15.8344</v>
      </c>
      <c r="J9" s="14">
        <f>_xll.BDH("ALNY US Equity","OPER_INC_GROWTH","FQ3 2020","FQ3 2020","Currency=USD","Period=FQ","BEST_FPERIOD_OVERRIDE=FQ","FILING_STATUS=MR","FA_ADJUSTED=GAAP","Sort=A","Dates=H","DateFormat=P","Fill=—","Direction=H","UseDPDF=Y")</f>
        <v>-4.1147</v>
      </c>
      <c r="K9" s="14">
        <f>_xll.BDH("ALNY US Equity","OPER_INC_GROWTH","FQ4 2020","FQ4 2020","Currency=USD","Period=FQ","BEST_FPERIOD_OVERRIDE=FQ","FILING_STATUS=MR","FA_ADJUSTED=GAAP","Sort=A","Dates=H","DateFormat=P","Fill=—","Direction=H","UseDPDF=Y")</f>
        <v>34.840800000000002</v>
      </c>
      <c r="L9" s="14">
        <f>_xll.BDH("ALNY US Equity","OPER_INC_GROWTH","FQ1 2021","FQ1 2021","Currency=USD","Period=FQ","BEST_FPERIOD_OVERRIDE=FQ","FILING_STATUS=MR","FA_ADJUSTED=GAAP","Sort=A","Dates=H","DateFormat=P","Fill=—","Direction=H","UseDPDF=Y")</f>
        <v>11.3743</v>
      </c>
      <c r="M9" s="14">
        <f>_xll.BDH("ALNY US Equity","OPER_INC_GROWTH","FQ2 2021","FQ2 2021","Currency=USD","Period=FQ","BEST_FPERIOD_OVERRIDE=FQ","FILING_STATUS=MR","FA_ADJUSTED=GAAP","Sort=A","Dates=H","DateFormat=P","Fill=—","Direction=H","UseDPDF=Y")</f>
        <v>26.500699999999998</v>
      </c>
      <c r="N9" s="14">
        <f>_xll.BDH("ALNY US Equity","OPER_INC_GROWTH","FQ3 2021","FQ3 2021","Currency=USD","Period=FQ","BEST_FPERIOD_OVERRIDE=FQ","FILING_STATUS=MR","FA_ADJUSTED=GAAP","Sort=A","Dates=H","DateFormat=P","Fill=—","Direction=H","UseDPDF=Y")</f>
        <v>19.326000000000001</v>
      </c>
      <c r="O9" s="14">
        <f>_xll.BDH("ALNY US Equity","OPER_INC_GROWTH","FQ4 2021","FQ4 2021","Currency=USD","Period=FQ","BEST_FPERIOD_OVERRIDE=FQ","FILING_STATUS=MR","FA_ADJUSTED=GAAP","Sort=A","Dates=H","DateFormat=P","Fill=—","Direction=H","UseDPDF=Y")</f>
        <v>-0.17449999999999999</v>
      </c>
      <c r="P9" s="14">
        <f>_xll.BDH("ALNY US Equity","OPER_INC_GROWTH","FQ1 2022","FQ1 2022","Currency=USD","Period=FQ","BEST_FPERIOD_OVERRIDE=FQ","FILING_STATUS=MR","FA_ADJUSTED=GAAP","Sort=A","Dates=H","DateFormat=P","Fill=—","Direction=H","UseDPDF=Y")</f>
        <v>21.2194</v>
      </c>
      <c r="Q9" s="14">
        <f>_xll.BDH("ALNY US Equity","OPER_INC_GROWTH","FQ2 2022","FQ2 2022","Currency=USD","Period=FQ","BEST_FPERIOD_OVERRIDE=FQ","FILING_STATUS=MR","FA_ADJUSTED=GAAP","Sort=A","Dates=H","DateFormat=P","Fill=—","Direction=H","UseDPDF=Y")</f>
        <v>-31.148099999999999</v>
      </c>
      <c r="R9" s="14">
        <f>_xll.BDH("ALNY US Equity","OPER_INC_GROWTH","FQ3 2022","FQ3 2022","Currency=USD","Period=FQ","BEST_FPERIOD_OVERRIDE=FQ","FILING_STATUS=MR","FA_ADJUSTED=GAAP","Sort=A","Dates=H","DateFormat=P","Fill=—","Direction=H","UseDPDF=Y")</f>
        <v>-42.032299999999999</v>
      </c>
      <c r="S9" s="14">
        <f>_xll.BDH("ALNY US Equity","OPER_INC_GROWTH","FQ4 2022","FQ4 2022","Currency=USD","Period=FQ","BEST_FPERIOD_OVERRIDE=FQ","FILING_STATUS=MR","FA_ADJUSTED=GAAP","Sort=A","Dates=H","DateFormat=P","Fill=—","Direction=H","UseDPDF=Y")</f>
        <v>3.0566</v>
      </c>
      <c r="T9" s="14">
        <f>_xll.BDH("ALNY US Equity","OPER_INC_GROWTH","FQ1 2023","FQ1 2023","Currency=USD","Period=FQ","BEST_FPERIOD_OVERRIDE=FQ","FILING_STATUS=MR","FA_ADJUSTED=GAAP","Sort=A","Dates=H","DateFormat=P","Fill=—","Direction=H","UseDPDF=Y")</f>
        <v>-2.0956999999999999</v>
      </c>
      <c r="U9" s="14">
        <f>_xll.BDH("ALNY US Equity","OPER_INC_GROWTH","FQ2 2023","FQ2 2023","Currency=USD","Period=FQ","BEST_FPERIOD_OVERRIDE=FQ","FILING_STATUS=MR","FA_ADJUSTED=GAAP","Sort=A","Dates=H","DateFormat=P","Fill=—","Direction=H","UseDPDF=Y")</f>
        <v>-19.899699999999999</v>
      </c>
      <c r="V9" s="14" t="str">
        <f>_xll.BDH("ALNY US Equity","OPER_INC_GROWTH","FQ3 2023","FQ3 2023","Currency=USD","Period=FQ","BEST_FPERIOD_OVERRIDE=FQ","FILING_STATUS=MR","FA_ADJUSTED=GAAP","Sort=A","Dates=H","DateFormat=P","Fill=—","Direction=H","UseDPDF=Y")</f>
        <v>—</v>
      </c>
      <c r="W9" s="14">
        <f>_xll.BDH("ALNY US Equity","OPER_INC_GROWTH","FQ4 2023","FQ4 2023","Currency=USD","Period=FQ","BEST_FPERIOD_OVERRIDE=FQ","FILING_STATUS=MR","FA_ADJUSTED=GAAP","Sort=A","Dates=H","DateFormat=P","Fill=—","Direction=H","UseDPDF=Y")</f>
        <v>38.284500000000001</v>
      </c>
      <c r="X9" s="14">
        <f>_xll.BDH("ALNY US Equity","OPER_INC_GROWTH","FQ1 2024","FQ1 2024","Currency=USD","Period=FQ","BEST_FPERIOD_OVERRIDE=FQ","FILING_STATUS=MR","FA_ADJUSTED=GAAP","Sort=A","Dates=H","DateFormat=P","Fill=—","Direction=H","UseDPDF=Y")</f>
        <v>71.006</v>
      </c>
      <c r="Y9" s="14" t="str">
        <f>_xll.BDH("ALNY US Equity","OPER_INC_GROWTH","FQ2 2024","FQ2 2024","Currency=USD","Period=FQ","BEST_FPERIOD_OVERRIDE=FQ","FILING_STATUS=MR","FA_ADJUSTED=GAAP","Sort=A","Dates=H","DateFormat=P","Fill=—","Direction=H","UseDPDF=Y")</f>
        <v>—</v>
      </c>
      <c r="Z9" s="14" t="str">
        <f>_xll.BDH("ALNY US Equity","OPER_INC_GROWTH","FQ3 2024","FQ3 2024","Currency=USD","Period=FQ","BEST_FPERIOD_OVERRIDE=FQ","FILING_STATUS=MR","FA_ADJUSTED=GAAP","Sort=A","Dates=H","DateFormat=P","Fill=—","Direction=H","UseDPDF=Y")</f>
        <v>—</v>
      </c>
      <c r="AA9" s="14">
        <f>_xll.BDH("ALNY US Equity","OPER_INC_GROWTH","FQ4 2024","FQ4 2024","Currency=USD","Period=FQ","BEST_FPERIOD_OVERRIDE=FQ","FILING_STATUS=MR","FA_ADJUSTED=GAAP","Sort=A","Dates=H","DateFormat=P","Fill=—","Direction=H","UseDPDF=Y")</f>
        <v>9.6602999999999994</v>
      </c>
    </row>
    <row r="10" spans="1:27" x14ac:dyDescent="0.25">
      <c r="A10" s="10" t="s">
        <v>100</v>
      </c>
      <c r="B10" s="10" t="s">
        <v>1370</v>
      </c>
      <c r="C10" s="14">
        <f>_xll.BDH("ALNY US Equity","EARN_FOR_COM_GROWTH","FQ4 2018","FQ4 2018","Currency=USD","Period=FQ","BEST_FPERIOD_OVERRIDE=FQ","FILING_STATUS=MR","FA_ADJUSTED=GAAP","Sort=A","Dates=H","DateFormat=P","Fill=—","Direction=H","UseDPDF=Y")</f>
        <v>-48.664499999999997</v>
      </c>
      <c r="D10" s="14">
        <f>_xll.BDH("ALNY US Equity","EARN_FOR_COM_GROWTH","FQ1 2019","FQ1 2019","Currency=USD","Period=FQ","BEST_FPERIOD_OVERRIDE=FQ","FILING_STATUS=MR","FA_ADJUSTED=GAAP","Sort=A","Dates=H","DateFormat=P","Fill=—","Direction=H","UseDPDF=Y")</f>
        <v>-28.822199999999999</v>
      </c>
      <c r="E10" s="14">
        <f>_xll.BDH("ALNY US Equity","EARN_FOR_COM_GROWTH","FQ2 2019","FQ2 2019","Currency=USD","Period=FQ","BEST_FPERIOD_OVERRIDE=FQ","FILING_STATUS=MR","FA_ADJUSTED=GAAP","Sort=A","Dates=H","DateFormat=P","Fill=—","Direction=H","UseDPDF=Y")</f>
        <v>-34.189900000000002</v>
      </c>
      <c r="F10" s="14">
        <f>_xll.BDH("ALNY US Equity","EARN_FOR_COM_GROWTH","FQ3 2019","FQ3 2019","Currency=USD","Period=FQ","BEST_FPERIOD_OVERRIDE=FQ","FILING_STATUS=MR","FA_ADJUSTED=GAAP","Sort=A","Dates=H","DateFormat=P","Fill=—","Direction=H","UseDPDF=Y")</f>
        <v>14.9815</v>
      </c>
      <c r="G10" s="14">
        <f>_xll.BDH("ALNY US Equity","EARN_FOR_COM_GROWTH","FQ4 2019","FQ4 2019","Currency=USD","Period=FQ","BEST_FPERIOD_OVERRIDE=FQ","FILING_STATUS=MR","FA_ADJUSTED=GAAP","Sort=A","Dates=H","DateFormat=P","Fill=—","Direction=H","UseDPDF=Y")</f>
        <v>-30.6204</v>
      </c>
      <c r="H10" s="14">
        <f>_xll.BDH("ALNY US Equity","EARN_FOR_COM_GROWTH","FQ1 2020","FQ1 2020","Currency=USD","Period=FQ","BEST_FPERIOD_OVERRIDE=FQ","FILING_STATUS=MR","FA_ADJUSTED=GAAP","Sort=A","Dates=H","DateFormat=P","Fill=—","Direction=H","UseDPDF=Y")</f>
        <v>-0.16819999999999999</v>
      </c>
      <c r="I10" s="14">
        <f>_xll.BDH("ALNY US Equity","EARN_FOR_COM_GROWTH","FQ2 2020","FQ2 2020","Currency=USD","Period=FQ","BEST_FPERIOD_OVERRIDE=FQ","FILING_STATUS=MR","FA_ADJUSTED=GAAP","Sort=A","Dates=H","DateFormat=P","Fill=—","Direction=H","UseDPDF=Y")</f>
        <v>18.339600000000001</v>
      </c>
      <c r="J10" s="14">
        <f>_xll.BDH("ALNY US Equity","EARN_FOR_COM_GROWTH","FQ3 2020","FQ3 2020","Currency=USD","Period=FQ","BEST_FPERIOD_OVERRIDE=FQ","FILING_STATUS=MR","FA_ADJUSTED=GAAP","Sort=A","Dates=H","DateFormat=P","Fill=—","Direction=H","UseDPDF=Y")</f>
        <v>-21.4621</v>
      </c>
      <c r="K10" s="14">
        <f>_xll.BDH("ALNY US Equity","EARN_FOR_COM_GROWTH","FQ4 2020","FQ4 2020","Currency=USD","Period=FQ","BEST_FPERIOD_OVERRIDE=FQ","FILING_STATUS=MR","FA_ADJUSTED=GAAP","Sort=A","Dates=H","DateFormat=P","Fill=—","Direction=H","UseDPDF=Y")</f>
        <v>11.82</v>
      </c>
      <c r="L10" s="14">
        <f>_xll.BDH("ALNY US Equity","EARN_FOR_COM_GROWTH","FQ1 2021","FQ1 2021","Currency=USD","Period=FQ","BEST_FPERIOD_OVERRIDE=FQ","FILING_STATUS=MR","FA_ADJUSTED=GAAP","Sort=A","Dates=H","DateFormat=P","Fill=—","Direction=H","UseDPDF=Y")</f>
        <v>-9.9164999999999992</v>
      </c>
      <c r="M10" s="14">
        <f>_xll.BDH("ALNY US Equity","EARN_FOR_COM_GROWTH","FQ2 2021","FQ2 2021","Currency=USD","Period=FQ","BEST_FPERIOD_OVERRIDE=FQ","FILING_STATUS=MR","FA_ADJUSTED=GAAP","Sort=A","Dates=H","DateFormat=P","Fill=—","Direction=H","UseDPDF=Y")</f>
        <v>-5.7636000000000003</v>
      </c>
      <c r="N10" s="14">
        <f>_xll.BDH("ALNY US Equity","EARN_FOR_COM_GROWTH","FQ3 2021","FQ3 2021","Currency=USD","Period=FQ","BEST_FPERIOD_OVERRIDE=FQ","FILING_STATUS=MR","FA_ADJUSTED=GAAP","Sort=A","Dates=H","DateFormat=P","Fill=—","Direction=H","UseDPDF=Y")</f>
        <v>19.257300000000001</v>
      </c>
      <c r="O10" s="14">
        <f>_xll.BDH("ALNY US Equity","EARN_FOR_COM_GROWTH","FQ4 2021","FQ4 2021","Currency=USD","Period=FQ","BEST_FPERIOD_OVERRIDE=FQ","FILING_STATUS=MR","FA_ADJUSTED=GAAP","Sort=A","Dates=H","DateFormat=P","Fill=—","Direction=H","UseDPDF=Y")</f>
        <v>-6.1262999999999996</v>
      </c>
      <c r="P10" s="14">
        <f>_xll.BDH("ALNY US Equity","EARN_FOR_COM_GROWTH","FQ1 2022","FQ1 2022","Currency=USD","Period=FQ","BEST_FPERIOD_OVERRIDE=FQ","FILING_STATUS=MR","FA_ADJUSTED=GAAP","Sort=A","Dates=H","DateFormat=P","Fill=—","Direction=H","UseDPDF=Y")</f>
        <v>-19.995899999999999</v>
      </c>
      <c r="Q10" s="14">
        <f>_xll.BDH("ALNY US Equity","EARN_FOR_COM_GROWTH","FQ2 2022","FQ2 2022","Currency=USD","Period=FQ","BEST_FPERIOD_OVERRIDE=FQ","FILING_STATUS=MR","FA_ADJUSTED=GAAP","Sort=A","Dates=H","DateFormat=P","Fill=—","Direction=H","UseDPDF=Y")</f>
        <v>-46.340699999999998</v>
      </c>
      <c r="R10" s="14">
        <f>_xll.BDH("ALNY US Equity","EARN_FOR_COM_GROWTH","FQ3 2022","FQ3 2022","Currency=USD","Period=FQ","BEST_FPERIOD_OVERRIDE=FQ","FILING_STATUS=MR","FA_ADJUSTED=GAAP","Sort=A","Dates=H","DateFormat=P","Fill=—","Direction=H","UseDPDF=Y")</f>
        <v>-98.4803</v>
      </c>
      <c r="S10" s="14">
        <f>_xll.BDH("ALNY US Equity","EARN_FOR_COM_GROWTH","FQ4 2022","FQ4 2022","Currency=USD","Period=FQ","BEST_FPERIOD_OVERRIDE=FQ","FILING_STATUS=MR","FA_ADJUSTED=GAAP","Sort=A","Dates=H","DateFormat=P","Fill=—","Direction=H","UseDPDF=Y")</f>
        <v>19.7195</v>
      </c>
      <c r="T10" s="14">
        <f>_xll.BDH("ALNY US Equity","EARN_FOR_COM_GROWTH","FQ1 2023","FQ1 2023","Currency=USD","Period=FQ","BEST_FPERIOD_OVERRIDE=FQ","FILING_STATUS=MR","FA_ADJUSTED=GAAP","Sort=A","Dates=H","DateFormat=P","Fill=—","Direction=H","UseDPDF=Y")</f>
        <v>27.5608</v>
      </c>
      <c r="U10" s="14">
        <f>_xll.BDH("ALNY US Equity","EARN_FOR_COM_GROWTH","FQ2 2023","FQ2 2023","Currency=USD","Period=FQ","BEST_FPERIOD_OVERRIDE=FQ","FILING_STATUS=MR","FA_ADJUSTED=GAAP","Sort=A","Dates=H","DateFormat=P","Fill=—","Direction=H","UseDPDF=Y")</f>
        <v>0.49680000000000002</v>
      </c>
      <c r="V10" s="14" t="str">
        <f>_xll.BDH("ALNY US Equity","EARN_FOR_COM_GROWTH","FQ3 2023","FQ3 2023","Currency=USD","Period=FQ","BEST_FPERIOD_OVERRIDE=FQ","FILING_STATUS=MR","FA_ADJUSTED=GAAP","Sort=A","Dates=H","DateFormat=P","Fill=—","Direction=H","UseDPDF=Y")</f>
        <v>—</v>
      </c>
      <c r="W10" s="14">
        <f>_xll.BDH("ALNY US Equity","EARN_FOR_COM_GROWTH","FQ4 2023","FQ4 2023","Currency=USD","Period=FQ","BEST_FPERIOD_OVERRIDE=FQ","FILING_STATUS=MR","FA_ADJUSTED=GAAP","Sort=A","Dates=H","DateFormat=P","Fill=—","Direction=H","UseDPDF=Y")</f>
        <v>33.554400000000001</v>
      </c>
      <c r="X10" s="14">
        <f>_xll.BDH("ALNY US Equity","EARN_FOR_COM_GROWTH","FQ1 2024","FQ1 2024","Currency=USD","Period=FQ","BEST_FPERIOD_OVERRIDE=FQ","FILING_STATUS=MR","FA_ADJUSTED=GAAP","Sort=A","Dates=H","DateFormat=P","Fill=—","Direction=H","UseDPDF=Y")</f>
        <v>62.128300000000003</v>
      </c>
      <c r="Y10" s="14">
        <f>_xll.BDH("ALNY US Equity","EARN_FOR_COM_GROWTH","FQ2 2024","FQ2 2024","Currency=USD","Period=FQ","BEST_FPERIOD_OVERRIDE=FQ","FILING_STATUS=MR","FA_ADJUSTED=GAAP","Sort=A","Dates=H","DateFormat=P","Fill=—","Direction=H","UseDPDF=Y")</f>
        <v>93.881299999999996</v>
      </c>
      <c r="Z10" s="14" t="str">
        <f>_xll.BDH("ALNY US Equity","EARN_FOR_COM_GROWTH","FQ3 2024","FQ3 2024","Currency=USD","Period=FQ","BEST_FPERIOD_OVERRIDE=FQ","FILING_STATUS=MR","FA_ADJUSTED=GAAP","Sort=A","Dates=H","DateFormat=P","Fill=—","Direction=H","UseDPDF=Y")</f>
        <v>—</v>
      </c>
      <c r="AA10" s="14">
        <f>_xll.BDH("ALNY US Equity","EARN_FOR_COM_GROWTH","FQ4 2024","FQ4 2024","Currency=USD","Period=FQ","BEST_FPERIOD_OVERRIDE=FQ","FILING_STATUS=MR","FA_ADJUSTED=GAAP","Sort=A","Dates=H","DateFormat=P","Fill=—","Direction=H","UseDPDF=Y")</f>
        <v>39.244900000000001</v>
      </c>
    </row>
    <row r="11" spans="1:27" x14ac:dyDescent="0.25">
      <c r="A11" s="10" t="s">
        <v>1371</v>
      </c>
      <c r="B11" s="10" t="s">
        <v>83</v>
      </c>
      <c r="C11" s="14">
        <f>_xll.BDH("ALNY US Equity","DILUTED_EPS_AFT_XO_ITEMS_GROWTH","FQ4 2018","FQ4 2018","Currency=USD","Period=FQ","BEST_FPERIOD_OVERRIDE=FQ","FILING_STATUS=MR","FA_ADJUSTED=GAAP","Sort=A","Dates=H","DateFormat=P","Fill=—","Direction=H","UseDPDF=Y")</f>
        <v>-41.216200000000001</v>
      </c>
      <c r="D11" s="14">
        <f>_xll.BDH("ALNY US Equity","DILUTED_EPS_AFT_XO_ITEMS_GROWTH","FQ1 2019","FQ1 2019","Currency=USD","Period=FQ","BEST_FPERIOD_OVERRIDE=FQ","FILING_STATUS=MR","FA_ADJUSTED=GAAP","Sort=A","Dates=H","DateFormat=P","Fill=—","Direction=H","UseDPDF=Y")</f>
        <v>-22.695</v>
      </c>
      <c r="E11" s="14">
        <f>_xll.BDH("ALNY US Equity","DILUTED_EPS_AFT_XO_ITEMS_GROWTH","FQ2 2019","FQ2 2019","Currency=USD","Period=FQ","BEST_FPERIOD_OVERRIDE=FQ","FILING_STATUS=MR","FA_ADJUSTED=GAAP","Sort=A","Dates=H","DateFormat=P","Fill=—","Direction=H","UseDPDF=Y")</f>
        <v>-23.926400000000001</v>
      </c>
      <c r="F11" s="14">
        <f>_xll.BDH("ALNY US Equity","DILUTED_EPS_AFT_XO_ITEMS_GROWTH","FQ3 2019","FQ3 2019","Currency=USD","Period=FQ","BEST_FPERIOD_OVERRIDE=FQ","FILING_STATUS=MR","FA_ADJUSTED=GAAP","Sort=A","Dates=H","DateFormat=P","Fill=—","Direction=H","UseDPDF=Y")</f>
        <v>20.9877</v>
      </c>
      <c r="G11" s="14">
        <f>_xll.BDH("ALNY US Equity","DILUTED_EPS_AFT_XO_ITEMS_GROWTH","FQ4 2019","FQ4 2019","Currency=USD","Period=FQ","BEST_FPERIOD_OVERRIDE=FQ","FILING_STATUS=MR","FA_ADJUSTED=GAAP","Sort=A","Dates=H","DateFormat=P","Fill=—","Direction=H","UseDPDF=Y")</f>
        <v>-18.181799999999999</v>
      </c>
      <c r="H11" s="14">
        <f>_xll.BDH("ALNY US Equity","DILUTED_EPS_AFT_XO_ITEMS_GROWTH","FQ1 2020","FQ1 2020","Currency=USD","Period=FQ","BEST_FPERIOD_OVERRIDE=FQ","FILING_STATUS=MR","FA_ADJUSTED=GAAP","Sort=A","Dates=H","DateFormat=P","Fill=—","Direction=H","UseDPDF=Y")</f>
        <v>6.3583999999999996</v>
      </c>
      <c r="I11" s="14">
        <f>_xll.BDH("ALNY US Equity","DILUTED_EPS_AFT_XO_ITEMS_GROWTH","FQ2 2020","FQ2 2020","Currency=USD","Period=FQ","BEST_FPERIOD_OVERRIDE=FQ","FILING_STATUS=MR","FA_ADJUSTED=GAAP","Sort=A","Dates=H","DateFormat=P","Fill=—","Direction=H","UseDPDF=Y")</f>
        <v>22.772300000000001</v>
      </c>
      <c r="J11" s="14">
        <f>_xll.BDH("ALNY US Equity","DILUTED_EPS_AFT_XO_ITEMS_GROWTH","FQ3 2020","FQ3 2020","Currency=USD","Period=FQ","BEST_FPERIOD_OVERRIDE=FQ","FILING_STATUS=MR","FA_ADJUSTED=GAAP","Sort=A","Dates=H","DateFormat=P","Fill=—","Direction=H","UseDPDF=Y")</f>
        <v>-13.541700000000001</v>
      </c>
      <c r="K11" s="14">
        <f>_xll.BDH("ALNY US Equity","DILUTED_EPS_AFT_XO_ITEMS_GROWTH","FQ4 2020","FQ4 2020","Currency=USD","Period=FQ","BEST_FPERIOD_OVERRIDE=FQ","FILING_STATUS=MR","FA_ADJUSTED=GAAP","Sort=A","Dates=H","DateFormat=P","Fill=—","Direction=H","UseDPDF=Y")</f>
        <v>15.384600000000001</v>
      </c>
      <c r="L11" s="14">
        <f>_xll.BDH("ALNY US Equity","DILUTED_EPS_AFT_XO_ITEMS_GROWTH","FQ1 2021","FQ1 2021","Currency=USD","Period=FQ","BEST_FPERIOD_OVERRIDE=FQ","FILING_STATUS=MR","FA_ADJUSTED=GAAP","Sort=A","Dates=H","DateFormat=P","Fill=—","Direction=H","UseDPDF=Y")</f>
        <v>-5.5556000000000001</v>
      </c>
      <c r="M11" s="14">
        <f>_xll.BDH("ALNY US Equity","DILUTED_EPS_AFT_XO_ITEMS_GROWTH","FQ2 2021","FQ2 2021","Currency=USD","Period=FQ","BEST_FPERIOD_OVERRIDE=FQ","FILING_STATUS=MR","FA_ADJUSTED=GAAP","Sort=A","Dates=H","DateFormat=P","Fill=—","Direction=H","UseDPDF=Y")</f>
        <v>-3.2050999999999998</v>
      </c>
      <c r="N11" s="14">
        <f>_xll.BDH("ALNY US Equity","DILUTED_EPS_AFT_XO_ITEMS_GROWTH","FQ3 2021","FQ3 2021","Currency=USD","Period=FQ","BEST_FPERIOD_OVERRIDE=FQ","FILING_STATUS=MR","FA_ADJUSTED=GAAP","Sort=A","Dates=H","DateFormat=P","Fill=—","Direction=H","UseDPDF=Y")</f>
        <v>21.100899999999999</v>
      </c>
      <c r="O11" s="14">
        <f>_xll.BDH("ALNY US Equity","DILUTED_EPS_AFT_XO_ITEMS_GROWTH","FQ4 2021","FQ4 2021","Currency=USD","Period=FQ","BEST_FPERIOD_OVERRIDE=FQ","FILING_STATUS=MR","FA_ADJUSTED=GAAP","Sort=A","Dates=H","DateFormat=P","Fill=—","Direction=H","UseDPDF=Y")</f>
        <v>-3.3492999999999999</v>
      </c>
      <c r="P11" s="14">
        <f>_xll.BDH("ALNY US Equity","DILUTED_EPS_AFT_XO_ITEMS_GROWTH","FQ1 2022","FQ1 2022","Currency=USD","Period=FQ","BEST_FPERIOD_OVERRIDE=FQ","FILING_STATUS=MR","FA_ADJUSTED=GAAP","Sort=A","Dates=H","DateFormat=P","Fill=—","Direction=H","UseDPDF=Y")</f>
        <v>-16.959099999999999</v>
      </c>
      <c r="Q11" s="14">
        <f>_xll.BDH("ALNY US Equity","DILUTED_EPS_AFT_XO_ITEMS_GROWTH","FQ2 2022","FQ2 2022","Currency=USD","Period=FQ","BEST_FPERIOD_OVERRIDE=FQ","FILING_STATUS=MR","FA_ADJUSTED=GAAP","Sort=A","Dates=H","DateFormat=P","Fill=—","Direction=H","UseDPDF=Y")</f>
        <v>-42.235999999999997</v>
      </c>
      <c r="R11" s="14">
        <f>_xll.BDH("ALNY US Equity","DILUTED_EPS_AFT_XO_ITEMS_GROWTH","FQ3 2022","FQ3 2022","Currency=USD","Period=FQ","BEST_FPERIOD_OVERRIDE=FQ","FILING_STATUS=MR","FA_ADJUSTED=GAAP","Sort=A","Dates=H","DateFormat=P","Fill=—","Direction=H","UseDPDF=Y")</f>
        <v>-93.023300000000006</v>
      </c>
      <c r="S11" s="14">
        <f>_xll.BDH("ALNY US Equity","DILUTED_EPS_AFT_XO_ITEMS_GROWTH","FQ4 2022","FQ4 2022","Currency=USD","Period=FQ","BEST_FPERIOD_OVERRIDE=FQ","FILING_STATUS=MR","FA_ADJUSTED=GAAP","Sort=A","Dates=H","DateFormat=P","Fill=—","Direction=H","UseDPDF=Y")</f>
        <v>22.222200000000001</v>
      </c>
      <c r="T11" s="14">
        <f>_xll.BDH("ALNY US Equity","DILUTED_EPS_AFT_XO_ITEMS_GROWTH","FQ1 2023","FQ1 2023","Currency=USD","Period=FQ","BEST_FPERIOD_OVERRIDE=FQ","FILING_STATUS=MR","FA_ADJUSTED=GAAP","Sort=A","Dates=H","DateFormat=P","Fill=—","Direction=H","UseDPDF=Y")</f>
        <v>30</v>
      </c>
      <c r="U11" s="14">
        <f>_xll.BDH("ALNY US Equity","DILUTED_EPS_AFT_XO_ITEMS_GROWTH","FQ2 2023","FQ2 2023","Currency=USD","Period=FQ","BEST_FPERIOD_OVERRIDE=FQ","FILING_STATUS=MR","FA_ADJUSTED=GAAP","Sort=A","Dates=H","DateFormat=P","Fill=—","Direction=H","UseDPDF=Y")</f>
        <v>3.4933999999999998</v>
      </c>
      <c r="V11" s="14" t="str">
        <f>_xll.BDH("ALNY US Equity","DILUTED_EPS_AFT_XO_ITEMS_GROWTH","FQ3 2023","FQ3 2023","Currency=USD","Period=FQ","BEST_FPERIOD_OVERRIDE=FQ","FILING_STATUS=MR","FA_ADJUSTED=GAAP","Sort=A","Dates=H","DateFormat=P","Fill=—","Direction=H","UseDPDF=Y")</f>
        <v>—</v>
      </c>
      <c r="W11" s="14">
        <f>_xll.BDH("ALNY US Equity","DILUTED_EPS_AFT_XO_ITEMS_GROWTH","FQ4 2023","FQ4 2023","Currency=USD","Period=FQ","BEST_FPERIOD_OVERRIDE=FQ","FILING_STATUS=MR","FA_ADJUSTED=GAAP","Sort=A","Dates=H","DateFormat=P","Fill=—","Direction=H","UseDPDF=Y")</f>
        <v>34.523800000000001</v>
      </c>
      <c r="X11" s="14">
        <f>_xll.BDH("ALNY US Equity","DILUTED_EPS_AFT_XO_ITEMS_GROWTH","FQ1 2024","FQ1 2024","Currency=USD","Period=FQ","BEST_FPERIOD_OVERRIDE=FQ","FILING_STATUS=MR","FA_ADJUSTED=GAAP","Sort=A","Dates=H","DateFormat=P","Fill=—","Direction=H","UseDPDF=Y")</f>
        <v>62.857100000000003</v>
      </c>
      <c r="Y11" s="14">
        <f>_xll.BDH("ALNY US Equity","DILUTED_EPS_AFT_XO_ITEMS_GROWTH","FQ2 2024","FQ2 2024","Currency=USD","Period=FQ","BEST_FPERIOD_OVERRIDE=FQ","FILING_STATUS=MR","FA_ADJUSTED=GAAP","Sort=A","Dates=H","DateFormat=P","Fill=—","Direction=H","UseDPDF=Y")</f>
        <v>94.117599999999996</v>
      </c>
      <c r="Z11" s="14" t="str">
        <f>_xll.BDH("ALNY US Equity","DILUTED_EPS_AFT_XO_ITEMS_GROWTH","FQ3 2024","FQ3 2024","Currency=USD","Period=FQ","BEST_FPERIOD_OVERRIDE=FQ","FILING_STATUS=MR","FA_ADJUSTED=GAAP","Sort=A","Dates=H","DateFormat=P","Fill=—","Direction=H","UseDPDF=Y")</f>
        <v>—</v>
      </c>
      <c r="AA11" s="14">
        <f>_xll.BDH("ALNY US Equity","DILUTED_EPS_AFT_XO_ITEMS_GROWTH","FQ4 2024","FQ4 2024","Currency=USD","Period=FQ","BEST_FPERIOD_OVERRIDE=FQ","FILING_STATUS=MR","FA_ADJUSTED=GAAP","Sort=A","Dates=H","DateFormat=P","Fill=—","Direction=H","UseDPDF=Y")</f>
        <v>40.909100000000002</v>
      </c>
    </row>
    <row r="12" spans="1:27" x14ac:dyDescent="0.25">
      <c r="A12" s="10" t="s">
        <v>1372</v>
      </c>
      <c r="B12" s="10" t="s">
        <v>1373</v>
      </c>
      <c r="C12" s="14">
        <f>_xll.BDH("ALNY US Equity","DILUTED_EPS_BEF_XO_ITEMS_GROWTH","FQ4 2018","FQ4 2018","Currency=USD","Period=FQ","BEST_FPERIOD_OVERRIDE=FQ","FILING_STATUS=MR","Sort=A","Dates=H","DateFormat=P","Fill=—","Direction=H","UseDPDF=Y")</f>
        <v>-41.216200000000001</v>
      </c>
      <c r="D12" s="14">
        <f>_xll.BDH("ALNY US Equity","DILUTED_EPS_BEF_XO_ITEMS_GROWTH","FQ1 2019","FQ1 2019","Currency=USD","Period=FQ","BEST_FPERIOD_OVERRIDE=FQ","FILING_STATUS=MR","Sort=A","Dates=H","DateFormat=P","Fill=—","Direction=H","UseDPDF=Y")</f>
        <v>-22.695</v>
      </c>
      <c r="E12" s="14">
        <f>_xll.BDH("ALNY US Equity","DILUTED_EPS_BEF_XO_ITEMS_GROWTH","FQ2 2019","FQ2 2019","Currency=USD","Period=FQ","BEST_FPERIOD_OVERRIDE=FQ","FILING_STATUS=MR","Sort=A","Dates=H","DateFormat=P","Fill=—","Direction=H","UseDPDF=Y")</f>
        <v>-23.926400000000001</v>
      </c>
      <c r="F12" s="14">
        <f>_xll.BDH("ALNY US Equity","DILUTED_EPS_BEF_XO_ITEMS_GROWTH","FQ3 2019","FQ3 2019","Currency=USD","Period=FQ","BEST_FPERIOD_OVERRIDE=FQ","FILING_STATUS=MR","Sort=A","Dates=H","DateFormat=P","Fill=—","Direction=H","UseDPDF=Y")</f>
        <v>20.9877</v>
      </c>
      <c r="G12" s="14">
        <f>_xll.BDH("ALNY US Equity","DILUTED_EPS_BEF_XO_ITEMS_GROWTH","FQ4 2019","FQ4 2019","Currency=USD","Period=FQ","BEST_FPERIOD_OVERRIDE=FQ","FILING_STATUS=MR","Sort=A","Dates=H","DateFormat=P","Fill=—","Direction=H","UseDPDF=Y")</f>
        <v>-18.181799999999999</v>
      </c>
      <c r="H12" s="14">
        <f>_xll.BDH("ALNY US Equity","DILUTED_EPS_BEF_XO_ITEMS_GROWTH","FQ1 2020","FQ1 2020","Currency=USD","Period=FQ","BEST_FPERIOD_OVERRIDE=FQ","FILING_STATUS=MR","Sort=A","Dates=H","DateFormat=P","Fill=—","Direction=H","UseDPDF=Y")</f>
        <v>6.3583999999999996</v>
      </c>
      <c r="I12" s="14">
        <f>_xll.BDH("ALNY US Equity","DILUTED_EPS_BEF_XO_ITEMS_GROWTH","FQ2 2020","FQ2 2020","Currency=USD","Period=FQ","BEST_FPERIOD_OVERRIDE=FQ","FILING_STATUS=MR","Sort=A","Dates=H","DateFormat=P","Fill=—","Direction=H","UseDPDF=Y")</f>
        <v>22.772300000000001</v>
      </c>
      <c r="J12" s="14">
        <f>_xll.BDH("ALNY US Equity","DILUTED_EPS_BEF_XO_ITEMS_GROWTH","FQ3 2020","FQ3 2020","Currency=USD","Period=FQ","BEST_FPERIOD_OVERRIDE=FQ","FILING_STATUS=MR","Sort=A","Dates=H","DateFormat=P","Fill=—","Direction=H","UseDPDF=Y")</f>
        <v>-13.541700000000001</v>
      </c>
      <c r="K12" s="14">
        <f>_xll.BDH("ALNY US Equity","DILUTED_EPS_BEF_XO_ITEMS_GROWTH","FQ4 2020","FQ4 2020","Currency=USD","Period=FQ","BEST_FPERIOD_OVERRIDE=FQ","FILING_STATUS=MR","Sort=A","Dates=H","DateFormat=P","Fill=—","Direction=H","UseDPDF=Y")</f>
        <v>15.384600000000001</v>
      </c>
      <c r="L12" s="14">
        <f>_xll.BDH("ALNY US Equity","DILUTED_EPS_BEF_XO_ITEMS_GROWTH","FQ1 2021","FQ1 2021","Currency=USD","Period=FQ","BEST_FPERIOD_OVERRIDE=FQ","FILING_STATUS=MR","Sort=A","Dates=H","DateFormat=P","Fill=—","Direction=H","UseDPDF=Y")</f>
        <v>-5.5556000000000001</v>
      </c>
      <c r="M12" s="14">
        <f>_xll.BDH("ALNY US Equity","DILUTED_EPS_BEF_XO_ITEMS_GROWTH","FQ2 2021","FQ2 2021","Currency=USD","Period=FQ","BEST_FPERIOD_OVERRIDE=FQ","FILING_STATUS=MR","Sort=A","Dates=H","DateFormat=P","Fill=—","Direction=H","UseDPDF=Y")</f>
        <v>-3.2050999999999998</v>
      </c>
      <c r="N12" s="14">
        <f>_xll.BDH("ALNY US Equity","DILUTED_EPS_BEF_XO_ITEMS_GROWTH","FQ3 2021","FQ3 2021","Currency=USD","Period=FQ","BEST_FPERIOD_OVERRIDE=FQ","FILING_STATUS=MR","Sort=A","Dates=H","DateFormat=P","Fill=—","Direction=H","UseDPDF=Y")</f>
        <v>21.100899999999999</v>
      </c>
      <c r="O12" s="14">
        <f>_xll.BDH("ALNY US Equity","DILUTED_EPS_BEF_XO_ITEMS_GROWTH","FQ4 2021","FQ4 2021","Currency=USD","Period=FQ","BEST_FPERIOD_OVERRIDE=FQ","FILING_STATUS=MR","Sort=A","Dates=H","DateFormat=P","Fill=—","Direction=H","UseDPDF=Y")</f>
        <v>-3.3492999999999999</v>
      </c>
      <c r="P12" s="14">
        <f>_xll.BDH("ALNY US Equity","DILUTED_EPS_BEF_XO_ITEMS_GROWTH","FQ1 2022","FQ1 2022","Currency=USD","Period=FQ","BEST_FPERIOD_OVERRIDE=FQ","FILING_STATUS=MR","Sort=A","Dates=H","DateFormat=P","Fill=—","Direction=H","UseDPDF=Y")</f>
        <v>-16.959099999999999</v>
      </c>
      <c r="Q12" s="14">
        <f>_xll.BDH("ALNY US Equity","DILUTED_EPS_BEF_XO_ITEMS_GROWTH","FQ2 2022","FQ2 2022","Currency=USD","Period=FQ","BEST_FPERIOD_OVERRIDE=FQ","FILING_STATUS=MR","Sort=A","Dates=H","DateFormat=P","Fill=—","Direction=H","UseDPDF=Y")</f>
        <v>-42.235999999999997</v>
      </c>
      <c r="R12" s="14">
        <f>_xll.BDH("ALNY US Equity","DILUTED_EPS_BEF_XO_ITEMS_GROWTH","FQ3 2022","FQ3 2022","Currency=USD","Period=FQ","BEST_FPERIOD_OVERRIDE=FQ","FILING_STATUS=MR","Sort=A","Dates=H","DateFormat=P","Fill=—","Direction=H","UseDPDF=Y")</f>
        <v>-93.023300000000006</v>
      </c>
      <c r="S12" s="14">
        <f>_xll.BDH("ALNY US Equity","DILUTED_EPS_BEF_XO_ITEMS_GROWTH","FQ4 2022","FQ4 2022","Currency=USD","Period=FQ","BEST_FPERIOD_OVERRIDE=FQ","FILING_STATUS=MR","Sort=A","Dates=H","DateFormat=P","Fill=—","Direction=H","UseDPDF=Y")</f>
        <v>22.222200000000001</v>
      </c>
      <c r="T12" s="14">
        <f>_xll.BDH("ALNY US Equity","DILUTED_EPS_BEF_XO_ITEMS_GROWTH","FQ1 2023","FQ1 2023","Currency=USD","Period=FQ","BEST_FPERIOD_OVERRIDE=FQ","FILING_STATUS=MR","Sort=A","Dates=H","DateFormat=P","Fill=—","Direction=H","UseDPDF=Y")</f>
        <v>30</v>
      </c>
      <c r="U12" s="14">
        <f>_xll.BDH("ALNY US Equity","DILUTED_EPS_BEF_XO_ITEMS_GROWTH","FQ2 2023","FQ2 2023","Currency=USD","Period=FQ","BEST_FPERIOD_OVERRIDE=FQ","FILING_STATUS=MR","Sort=A","Dates=H","DateFormat=P","Fill=—","Direction=H","UseDPDF=Y")</f>
        <v>3.4933999999999998</v>
      </c>
      <c r="V12" s="14" t="str">
        <f>_xll.BDH("ALNY US Equity","DILUTED_EPS_BEF_XO_ITEMS_GROWTH","FQ3 2023","FQ3 2023","Currency=USD","Period=FQ","BEST_FPERIOD_OVERRIDE=FQ","FILING_STATUS=MR","Sort=A","Dates=H","DateFormat=P","Fill=—","Direction=H","UseDPDF=Y")</f>
        <v>—</v>
      </c>
      <c r="W12" s="14">
        <f>_xll.BDH("ALNY US Equity","DILUTED_EPS_BEF_XO_ITEMS_GROWTH","FQ4 2023","FQ4 2023","Currency=USD","Period=FQ","BEST_FPERIOD_OVERRIDE=FQ","FILING_STATUS=MR","Sort=A","Dates=H","DateFormat=P","Fill=—","Direction=H","UseDPDF=Y")</f>
        <v>34.523800000000001</v>
      </c>
      <c r="X12" s="14">
        <f>_xll.BDH("ALNY US Equity","DILUTED_EPS_BEF_XO_ITEMS_GROWTH","FQ1 2024","FQ1 2024","Currency=USD","Period=FQ","BEST_FPERIOD_OVERRIDE=FQ","FILING_STATUS=MR","Sort=A","Dates=H","DateFormat=P","Fill=—","Direction=H","UseDPDF=Y")</f>
        <v>62.857100000000003</v>
      </c>
      <c r="Y12" s="14">
        <f>_xll.BDH("ALNY US Equity","DILUTED_EPS_BEF_XO_ITEMS_GROWTH","FQ2 2024","FQ2 2024","Currency=USD","Period=FQ","BEST_FPERIOD_OVERRIDE=FQ","FILING_STATUS=MR","Sort=A","Dates=H","DateFormat=P","Fill=—","Direction=H","UseDPDF=Y")</f>
        <v>94.117599999999996</v>
      </c>
      <c r="Z12" s="14" t="str">
        <f>_xll.BDH("ALNY US Equity","DILUTED_EPS_BEF_XO_ITEMS_GROWTH","FQ3 2024","FQ3 2024","Currency=USD","Period=FQ","BEST_FPERIOD_OVERRIDE=FQ","FILING_STATUS=MR","Sort=A","Dates=H","DateFormat=P","Fill=—","Direction=H","UseDPDF=Y")</f>
        <v>—</v>
      </c>
      <c r="AA12" s="14">
        <f>_xll.BDH("ALNY US Equity","DILUTED_EPS_BEF_XO_ITEMS_GROWTH","FQ4 2024","FQ4 2024","Currency=USD","Period=FQ","BEST_FPERIOD_OVERRIDE=FQ","FILING_STATUS=MR","Sort=A","Dates=H","DateFormat=P","Fill=—","Direction=H","UseDPDF=Y")</f>
        <v>40.909100000000002</v>
      </c>
    </row>
    <row r="13" spans="1:27" x14ac:dyDescent="0.25">
      <c r="A13" s="10" t="s">
        <v>1374</v>
      </c>
      <c r="B13" s="10" t="s">
        <v>1375</v>
      </c>
      <c r="C13" s="14">
        <f>_xll.BDH("ALNY US Equity","RR_DIL_EPS_CONT_OPS_GROWTH","FQ4 2018","FQ4 2018","Currency=USD","Period=FQ","BEST_FPERIOD_OVERRIDE=FQ","FILING_STATUS=MR","Sort=A","Dates=H","DateFormat=P","Fill=—","Direction=H","UseDPDF=Y")</f>
        <v>-41.216200000000001</v>
      </c>
      <c r="D13" s="14">
        <f>_xll.BDH("ALNY US Equity","RR_DIL_EPS_CONT_OPS_GROWTH","FQ1 2019","FQ1 2019","Currency=USD","Period=FQ","BEST_FPERIOD_OVERRIDE=FQ","FILING_STATUS=MR","Sort=A","Dates=H","DateFormat=P","Fill=—","Direction=H","UseDPDF=Y")</f>
        <v>-22.695</v>
      </c>
      <c r="E13" s="14">
        <f>_xll.BDH("ALNY US Equity","RR_DIL_EPS_CONT_OPS_GROWTH","FQ2 2019","FQ2 2019","Currency=USD","Period=FQ","BEST_FPERIOD_OVERRIDE=FQ","FILING_STATUS=MR","Sort=A","Dates=H","DateFormat=P","Fill=—","Direction=H","UseDPDF=Y")</f>
        <v>-14.9162</v>
      </c>
      <c r="F13" s="14">
        <f>_xll.BDH("ALNY US Equity","RR_DIL_EPS_CONT_OPS_GROWTH","FQ3 2019","FQ3 2019","Currency=USD","Period=FQ","BEST_FPERIOD_OVERRIDE=FQ","FILING_STATUS=MR","Sort=A","Dates=H","DateFormat=P","Fill=—","Direction=H","UseDPDF=Y")</f>
        <v>20.9877</v>
      </c>
      <c r="G13" s="14">
        <f>_xll.BDH("ALNY US Equity","RR_DIL_EPS_CONT_OPS_GROWTH","FQ4 2019","FQ4 2019","Currency=USD","Period=FQ","BEST_FPERIOD_OVERRIDE=FQ","FILING_STATUS=MR","Sort=A","Dates=H","DateFormat=P","Fill=—","Direction=H","UseDPDF=Y")</f>
        <v>-23.075500000000002</v>
      </c>
      <c r="H13" s="14">
        <f>_xll.BDH("ALNY US Equity","RR_DIL_EPS_CONT_OPS_GROWTH","FQ1 2020","FQ1 2020","Currency=USD","Period=FQ","BEST_FPERIOD_OVERRIDE=FQ","FILING_STATUS=MR","Sort=A","Dates=H","DateFormat=P","Fill=—","Direction=H","UseDPDF=Y")</f>
        <v>-6.0027999999999997</v>
      </c>
      <c r="I13" s="14">
        <f>_xll.BDH("ALNY US Equity","RR_DIL_EPS_CONT_OPS_GROWTH","FQ2 2020","FQ2 2020","Currency=USD","Period=FQ","BEST_FPERIOD_OVERRIDE=FQ","FILING_STATUS=MR","Sort=A","Dates=H","DateFormat=P","Fill=—","Direction=H","UseDPDF=Y")</f>
        <v>7.0765000000000002</v>
      </c>
      <c r="J13" s="14">
        <f>_xll.BDH("ALNY US Equity","RR_DIL_EPS_CONT_OPS_GROWTH","FQ3 2020","FQ3 2020","Currency=USD","Period=FQ","BEST_FPERIOD_OVERRIDE=FQ","FILING_STATUS=MR","Sort=A","Dates=H","DateFormat=P","Fill=—","Direction=H","UseDPDF=Y")</f>
        <v>0.82269999999999999</v>
      </c>
      <c r="K13" s="14">
        <f>_xll.BDH("ALNY US Equity","RR_DIL_EPS_CONT_OPS_GROWTH","FQ4 2020","FQ4 2020","Currency=USD","Period=FQ","BEST_FPERIOD_OVERRIDE=FQ","FILING_STATUS=MR","Sort=A","Dates=H","DateFormat=P","Fill=—","Direction=H","UseDPDF=Y")</f>
        <v>26.195900000000002</v>
      </c>
      <c r="L13" s="14">
        <f>_xll.BDH("ALNY US Equity","RR_DIL_EPS_CONT_OPS_GROWTH","FQ1 2021","FQ1 2021","Currency=USD","Period=FQ","BEST_FPERIOD_OVERRIDE=FQ","FILING_STATUS=MR","Sort=A","Dates=H","DateFormat=P","Fill=—","Direction=H","UseDPDF=Y")</f>
        <v>-15.1835</v>
      </c>
      <c r="M13" s="14">
        <f>_xll.BDH("ALNY US Equity","RR_DIL_EPS_CONT_OPS_GROWTH","FQ2 2021","FQ2 2021","Currency=USD","Period=FQ","BEST_FPERIOD_OVERRIDE=FQ","FILING_STATUS=MR","Sort=A","Dates=H","DateFormat=P","Fill=—","Direction=H","UseDPDF=Y")</f>
        <v>19.738700000000001</v>
      </c>
      <c r="N13" s="14">
        <f>_xll.BDH("ALNY US Equity","RR_DIL_EPS_CONT_OPS_GROWTH","FQ3 2021","FQ3 2021","Currency=USD","Period=FQ","BEST_FPERIOD_OVERRIDE=FQ","FILING_STATUS=MR","Sort=A","Dates=H","DateFormat=P","Fill=—","Direction=H","UseDPDF=Y")</f>
        <v>5.8426999999999998</v>
      </c>
      <c r="O13" s="14">
        <f>_xll.BDH("ALNY US Equity","RR_DIL_EPS_CONT_OPS_GROWTH","FQ4 2021","FQ4 2021","Currency=USD","Period=FQ","BEST_FPERIOD_OVERRIDE=FQ","FILING_STATUS=MR","Sort=A","Dates=H","DateFormat=P","Fill=—","Direction=H","UseDPDF=Y")</f>
        <v>-11.3241</v>
      </c>
      <c r="P13" s="14">
        <f>_xll.BDH("ALNY US Equity","RR_DIL_EPS_CONT_OPS_GROWTH","FQ1 2022","FQ1 2022","Currency=USD","Period=FQ","BEST_FPERIOD_OVERRIDE=FQ","FILING_STATUS=MR","Sort=A","Dates=H","DateFormat=P","Fill=—","Direction=H","UseDPDF=Y")</f>
        <v>17.569500000000001</v>
      </c>
      <c r="Q13" s="14">
        <f>_xll.BDH("ALNY US Equity","RR_DIL_EPS_CONT_OPS_GROWTH","FQ2 2022","FQ2 2022","Currency=USD","Period=FQ","BEST_FPERIOD_OVERRIDE=FQ","FILING_STATUS=MR","Sort=A","Dates=H","DateFormat=P","Fill=—","Direction=H","UseDPDF=Y")</f>
        <v>-45.354100000000003</v>
      </c>
      <c r="R13" s="14">
        <f>_xll.BDH("ALNY US Equity","RR_DIL_EPS_CONT_OPS_GROWTH","FQ3 2022","FQ3 2022","Currency=USD","Period=FQ","BEST_FPERIOD_OVERRIDE=FQ","FILING_STATUS=MR","Sort=A","Dates=H","DateFormat=P","Fill=—","Direction=H","UseDPDF=Y")</f>
        <v>-46.7714</v>
      </c>
      <c r="S13" s="14">
        <f>_xll.BDH("ALNY US Equity","RR_DIL_EPS_CONT_OPS_GROWTH","FQ4 2022","FQ4 2022","Currency=USD","Period=FQ","BEST_FPERIOD_OVERRIDE=FQ","FILING_STATUS=MR","Sort=A","Dates=H","DateFormat=P","Fill=—","Direction=H","UseDPDF=Y")</f>
        <v>17.7438</v>
      </c>
      <c r="T13" s="14">
        <f>_xll.BDH("ALNY US Equity","RR_DIL_EPS_CONT_OPS_GROWTH","FQ1 2023","FQ1 2023","Currency=USD","Period=FQ","BEST_FPERIOD_OVERRIDE=FQ","FILING_STATUS=MR","Sort=A","Dates=H","DateFormat=P","Fill=—","Direction=H","UseDPDF=Y")</f>
        <v>20.483499999999999</v>
      </c>
      <c r="U13" s="14">
        <f>_xll.BDH("ALNY US Equity","RR_DIL_EPS_CONT_OPS_GROWTH","FQ2 2023","FQ2 2023","Currency=USD","Period=FQ","BEST_FPERIOD_OVERRIDE=FQ","FILING_STATUS=MR","Sort=A","Dates=H","DateFormat=P","Fill=—","Direction=H","UseDPDF=Y")</f>
        <v>2.6259000000000001</v>
      </c>
      <c r="V13" s="14" t="str">
        <f>_xll.BDH("ALNY US Equity","RR_DIL_EPS_CONT_OPS_GROWTH","FQ3 2023","FQ3 2023","Currency=USD","Period=FQ","BEST_FPERIOD_OVERRIDE=FQ","FILING_STATUS=MR","Sort=A","Dates=H","DateFormat=P","Fill=—","Direction=H","UseDPDF=Y")</f>
        <v>—</v>
      </c>
      <c r="W13" s="14">
        <f>_xll.BDH("ALNY US Equity","RR_DIL_EPS_CONT_OPS_GROWTH","FQ4 2023","FQ4 2023","Currency=USD","Period=FQ","BEST_FPERIOD_OVERRIDE=FQ","FILING_STATUS=MR","Sort=A","Dates=H","DateFormat=P","Fill=—","Direction=H","UseDPDF=Y")</f>
        <v>36.373199999999997</v>
      </c>
      <c r="X13" s="14">
        <f>_xll.BDH("ALNY US Equity","RR_DIL_EPS_CONT_OPS_GROWTH","FQ1 2024","FQ1 2024","Currency=USD","Period=FQ","BEST_FPERIOD_OVERRIDE=FQ","FILING_STATUS=MR","Sort=A","Dates=H","DateFormat=P","Fill=—","Direction=H","UseDPDF=Y")</f>
        <v>62.200600000000001</v>
      </c>
      <c r="Y13" s="14">
        <f>_xll.BDH("ALNY US Equity","RR_DIL_EPS_CONT_OPS_GROWTH","FQ2 2024","FQ2 2024","Currency=USD","Period=FQ","BEST_FPERIOD_OVERRIDE=FQ","FILING_STATUS=MR","Sort=A","Dates=H","DateFormat=P","Fill=—","Direction=H","UseDPDF=Y")</f>
        <v>94.496499999999997</v>
      </c>
      <c r="Z13" s="14" t="str">
        <f>_xll.BDH("ALNY US Equity","RR_DIL_EPS_CONT_OPS_GROWTH","FQ3 2024","FQ3 2024","Currency=USD","Period=FQ","BEST_FPERIOD_OVERRIDE=FQ","FILING_STATUS=MR","Sort=A","Dates=H","DateFormat=P","Fill=—","Direction=H","UseDPDF=Y")</f>
        <v>—</v>
      </c>
      <c r="AA13" s="14">
        <f>_xll.BDH("ALNY US Equity","RR_DIL_EPS_CONT_OPS_GROWTH","FQ4 2024","FQ4 2024","Currency=USD","Period=FQ","BEST_FPERIOD_OVERRIDE=FQ","FILING_STATUS=MR","Sort=A","Dates=H","DateFormat=P","Fill=—","Direction=H","UseDPDF=Y")</f>
        <v>41.351599999999998</v>
      </c>
    </row>
    <row r="14" spans="1:27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0" t="s">
        <v>1376</v>
      </c>
      <c r="B15" s="10" t="s">
        <v>1377</v>
      </c>
      <c r="C15" s="14" t="str">
        <f>_xll.BDH("ALNY US Equity","ACCOUNTS_RECEIVABLE_GROWTH","FQ4 2018","FQ4 2018","Currency=USD","Period=FQ","BEST_FPERIOD_OVERRIDE=FQ","FILING_STATUS=MR","Sort=A","Dates=H","DateFormat=P","Fill=—","Direction=H","UseDPDF=Y")</f>
        <v>—</v>
      </c>
      <c r="D15" s="14" t="str">
        <f>_xll.BDH("ALNY US Equity","ACCOUNTS_RECEIVABLE_GROWTH","FQ1 2019","FQ1 2019","Currency=USD","Period=FQ","BEST_FPERIOD_OVERRIDE=FQ","FILING_STATUS=MR","Sort=A","Dates=H","DateFormat=P","Fill=—","Direction=H","UseDPDF=Y")</f>
        <v>—</v>
      </c>
      <c r="E15" s="14" t="str">
        <f>_xll.BDH("ALNY US Equity","ACCOUNTS_RECEIVABLE_GROWTH","FQ2 2019","FQ2 2019","Currency=USD","Period=FQ","BEST_FPERIOD_OVERRIDE=FQ","FILING_STATUS=MR","Sort=A","Dates=H","DateFormat=P","Fill=—","Direction=H","UseDPDF=Y")</f>
        <v>—</v>
      </c>
      <c r="F15" s="14">
        <f>_xll.BDH("ALNY US Equity","ACCOUNTS_RECEIVABLE_GROWTH","FQ3 2019","FQ3 2019","Currency=USD","Period=FQ","BEST_FPERIOD_OVERRIDE=FQ","FILING_STATUS=MR","Sort=A","Dates=H","DateFormat=P","Fill=—","Direction=H","UseDPDF=Y")</f>
        <v>1330.9637</v>
      </c>
      <c r="G15" s="14">
        <f>_xll.BDH("ALNY US Equity","ACCOUNTS_RECEIVABLE_GROWTH","FQ4 2019","FQ4 2019","Currency=USD","Period=FQ","BEST_FPERIOD_OVERRIDE=FQ","FILING_STATUS=MR","Sort=A","Dates=H","DateFormat=P","Fill=—","Direction=H","UseDPDF=Y")</f>
        <v>129.2697</v>
      </c>
      <c r="H15" s="14">
        <f>_xll.BDH("ALNY US Equity","ACCOUNTS_RECEIVABLE_GROWTH","FQ1 2020","FQ1 2020","Currency=USD","Period=FQ","BEST_FPERIOD_OVERRIDE=FQ","FILING_STATUS=MR","Sort=A","Dates=H","DateFormat=P","Fill=—","Direction=H","UseDPDF=Y")</f>
        <v>123.5792</v>
      </c>
      <c r="I15" s="14">
        <f>_xll.BDH("ALNY US Equity","ACCOUNTS_RECEIVABLE_GROWTH","FQ2 2020","FQ2 2020","Currency=USD","Period=FQ","BEST_FPERIOD_OVERRIDE=FQ","FILING_STATUS=MR","Sort=A","Dates=H","DateFormat=P","Fill=—","Direction=H","UseDPDF=Y")</f>
        <v>124.8447</v>
      </c>
      <c r="J15" s="14">
        <f>_xll.BDH("ALNY US Equity","ACCOUNTS_RECEIVABLE_GROWTH","FQ3 2020","FQ3 2020","Currency=USD","Period=FQ","BEST_FPERIOD_OVERRIDE=FQ","FILING_STATUS=MR","Sort=A","Dates=H","DateFormat=P","Fill=—","Direction=H","UseDPDF=Y")</f>
        <v>64.455699999999993</v>
      </c>
      <c r="K15" s="14">
        <f>_xll.BDH("ALNY US Equity","ACCOUNTS_RECEIVABLE_GROWTH","FQ4 2020","FQ4 2020","Currency=USD","Period=FQ","BEST_FPERIOD_OVERRIDE=FQ","FILING_STATUS=MR","Sort=A","Dates=H","DateFormat=P","Fill=—","Direction=H","UseDPDF=Y")</f>
        <v>138.10890000000001</v>
      </c>
      <c r="L15" s="14">
        <f>_xll.BDH("ALNY US Equity","ACCOUNTS_RECEIVABLE_GROWTH","FQ1 2021","FQ1 2021","Currency=USD","Period=FQ","BEST_FPERIOD_OVERRIDE=FQ","FILING_STATUS=MR","Sort=A","Dates=H","DateFormat=P","Fill=—","Direction=H","UseDPDF=Y")</f>
        <v>46.384900000000002</v>
      </c>
      <c r="M15" s="14">
        <f>_xll.BDH("ALNY US Equity","ACCOUNTS_RECEIVABLE_GROWTH","FQ2 2021","FQ2 2021","Currency=USD","Period=FQ","BEST_FPERIOD_OVERRIDE=FQ","FILING_STATUS=MR","Sort=A","Dates=H","DateFormat=P","Fill=—","Direction=H","UseDPDF=Y")</f>
        <v>112.09139999999999</v>
      </c>
      <c r="N15" s="14">
        <f>_xll.BDH("ALNY US Equity","ACCOUNTS_RECEIVABLE_GROWTH","FQ3 2021","FQ3 2021","Currency=USD","Period=FQ","BEST_FPERIOD_OVERRIDE=FQ","FILING_STATUS=MR","Sort=A","Dates=H","DateFormat=P","Fill=—","Direction=H","UseDPDF=Y")</f>
        <v>78.295699999999997</v>
      </c>
      <c r="O15" s="14">
        <f>_xll.BDH("ALNY US Equity","ACCOUNTS_RECEIVABLE_GROWTH","FQ4 2021","FQ4 2021","Currency=USD","Period=FQ","BEST_FPERIOD_OVERRIDE=FQ","FILING_STATUS=MR","Sort=A","Dates=H","DateFormat=P","Fill=—","Direction=H","UseDPDF=Y")</f>
        <v>93.892399999999995</v>
      </c>
      <c r="P15" s="14">
        <f>_xll.BDH("ALNY US Equity","ACCOUNTS_RECEIVABLE_GROWTH","FQ1 2022","FQ1 2022","Currency=USD","Period=FQ","BEST_FPERIOD_OVERRIDE=FQ","FILING_STATUS=MR","Sort=A","Dates=H","DateFormat=P","Fill=—","Direction=H","UseDPDF=Y")</f>
        <v>41.497500000000002</v>
      </c>
      <c r="Q15" s="14">
        <f>_xll.BDH("ALNY US Equity","ACCOUNTS_RECEIVABLE_GROWTH","FQ2 2022","FQ2 2022","Currency=USD","Period=FQ","BEST_FPERIOD_OVERRIDE=FQ","FILING_STATUS=MR","Sort=A","Dates=H","DateFormat=P","Fill=—","Direction=H","UseDPDF=Y")</f>
        <v>-2.9443000000000001</v>
      </c>
      <c r="R15" s="14">
        <f>_xll.BDH("ALNY US Equity","ACCOUNTS_RECEIVABLE_GROWTH","FQ3 2022","FQ3 2022","Currency=USD","Period=FQ","BEST_FPERIOD_OVERRIDE=FQ","FILING_STATUS=MR","Sort=A","Dates=H","DateFormat=P","Fill=—","Direction=H","UseDPDF=Y")</f>
        <v>30.800899999999999</v>
      </c>
      <c r="S15" s="14">
        <f>_xll.BDH("ALNY US Equity","ACCOUNTS_RECEIVABLE_GROWTH","FQ4 2022","FQ4 2022","Currency=USD","Period=FQ","BEST_FPERIOD_OVERRIDE=FQ","FILING_STATUS=MR","Sort=A","Dates=H","DateFormat=P","Fill=—","Direction=H","UseDPDF=Y")</f>
        <v>19.837700000000002</v>
      </c>
      <c r="T15" s="14">
        <f>_xll.BDH("ALNY US Equity","ACCOUNTS_RECEIVABLE_GROWTH","FQ1 2023","FQ1 2023","Currency=USD","Period=FQ","BEST_FPERIOD_OVERRIDE=FQ","FILING_STATUS=MR","Sort=A","Dates=H","DateFormat=P","Fill=—","Direction=H","UseDPDF=Y")</f>
        <v>40.183900000000001</v>
      </c>
      <c r="U15" s="14">
        <f>_xll.BDH("ALNY US Equity","ACCOUNTS_RECEIVABLE_GROWTH","FQ2 2023","FQ2 2023","Currency=USD","Period=FQ","BEST_FPERIOD_OVERRIDE=FQ","FILING_STATUS=MR","Sort=A","Dates=H","DateFormat=P","Fill=—","Direction=H","UseDPDF=Y")</f>
        <v>55.080800000000004</v>
      </c>
      <c r="V15" s="14">
        <f>_xll.BDH("ALNY US Equity","ACCOUNTS_RECEIVABLE_GROWTH","FQ3 2023","FQ3 2023","Currency=USD","Period=FQ","BEST_FPERIOD_OVERRIDE=FQ","FILING_STATUS=MR","Sort=A","Dates=H","DateFormat=P","Fill=—","Direction=H","UseDPDF=Y")</f>
        <v>76.380499999999998</v>
      </c>
      <c r="W15" s="14">
        <f>_xll.BDH("ALNY US Equity","ACCOUNTS_RECEIVABLE_GROWTH","FQ4 2023","FQ4 2023","Currency=USD","Period=FQ","BEST_FPERIOD_OVERRIDE=FQ","FILING_STATUS=MR","Sort=A","Dates=H","DateFormat=P","Fill=—","Direction=H","UseDPDF=Y")</f>
        <v>37.747</v>
      </c>
      <c r="X15" s="14">
        <f>_xll.BDH("ALNY US Equity","ACCOUNTS_RECEIVABLE_GROWTH","FQ1 2024","FQ1 2024","Currency=USD","Period=FQ","BEST_FPERIOD_OVERRIDE=FQ","FILING_STATUS=MR","Sort=A","Dates=H","DateFormat=P","Fill=—","Direction=H","UseDPDF=Y")</f>
        <v>46.4572</v>
      </c>
      <c r="Y15" s="14">
        <f>_xll.BDH("ALNY US Equity","ACCOUNTS_RECEIVABLE_GROWTH","FQ2 2024","FQ2 2024","Currency=USD","Period=FQ","BEST_FPERIOD_OVERRIDE=FQ","FILING_STATUS=MR","Sort=A","Dates=H","DateFormat=P","Fill=—","Direction=H","UseDPDF=Y")</f>
        <v>40.268300000000004</v>
      </c>
      <c r="Z15" s="14">
        <f>_xll.BDH("ALNY US Equity","ACCOUNTS_RECEIVABLE_GROWTH","FQ3 2024","FQ3 2024","Currency=USD","Period=FQ","BEST_FPERIOD_OVERRIDE=FQ","FILING_STATUS=MR","Sort=A","Dates=H","DateFormat=P","Fill=—","Direction=H","UseDPDF=Y")</f>
        <v>8.7286999999999999</v>
      </c>
      <c r="AA15" s="14">
        <f>_xll.BDH("ALNY US Equity","ACCOUNTS_RECEIVABLE_GROWTH","FQ4 2024","FQ4 2024","Currency=USD","Period=FQ","BEST_FPERIOD_OVERRIDE=FQ","FILING_STATUS=MR","Sort=A","Dates=H","DateFormat=P","Fill=—","Direction=H","UseDPDF=Y")</f>
        <v>23.649799999999999</v>
      </c>
    </row>
    <row r="16" spans="1:27" x14ac:dyDescent="0.25">
      <c r="A16" s="10" t="s">
        <v>1378</v>
      </c>
      <c r="B16" s="10" t="s">
        <v>1379</v>
      </c>
      <c r="C16" s="14" t="str">
        <f>_xll.BDH("ALNY US Equity","INVENTORY_GROWTH","FQ4 2018","FQ4 2018","Currency=USD","Period=FQ","BEST_FPERIOD_OVERRIDE=FQ","FILING_STATUS=MR","Sort=A","Dates=H","DateFormat=P","Fill=—","Direction=H","UseDPDF=Y")</f>
        <v>—</v>
      </c>
      <c r="D16" s="14" t="str">
        <f>_xll.BDH("ALNY US Equity","INVENTORY_GROWTH","FQ1 2019","FQ1 2019","Currency=USD","Period=FQ","BEST_FPERIOD_OVERRIDE=FQ","FILING_STATUS=MR","Sort=A","Dates=H","DateFormat=P","Fill=—","Direction=H","UseDPDF=Y")</f>
        <v>—</v>
      </c>
      <c r="E16" s="14" t="str">
        <f>_xll.BDH("ALNY US Equity","INVENTORY_GROWTH","FQ2 2019","FQ2 2019","Currency=USD","Period=FQ","BEST_FPERIOD_OVERRIDE=FQ","FILING_STATUS=MR","Sort=A","Dates=H","DateFormat=P","Fill=—","Direction=H","UseDPDF=Y")</f>
        <v>—</v>
      </c>
      <c r="F16" s="14">
        <f>_xll.BDH("ALNY US Equity","INVENTORY_GROWTH","FQ3 2019","FQ3 2019","Currency=USD","Period=FQ","BEST_FPERIOD_OVERRIDE=FQ","FILING_STATUS=MR","Sort=A","Dates=H","DateFormat=P","Fill=—","Direction=H","UseDPDF=Y")</f>
        <v>392.39240000000001</v>
      </c>
      <c r="G16" s="14">
        <f>_xll.BDH("ALNY US Equity","INVENTORY_GROWTH","FQ4 2019","FQ4 2019","Currency=USD","Period=FQ","BEST_FPERIOD_OVERRIDE=FQ","FILING_STATUS=MR","Sort=A","Dates=H","DateFormat=P","Fill=—","Direction=H","UseDPDF=Y")</f>
        <v>134.12</v>
      </c>
      <c r="H16" s="14">
        <f>_xll.BDH("ALNY US Equity","INVENTORY_GROWTH","FQ1 2020","FQ1 2020","Currency=USD","Period=FQ","BEST_FPERIOD_OVERRIDE=FQ","FILING_STATUS=MR","Sort=A","Dates=H","DateFormat=P","Fill=—","Direction=H","UseDPDF=Y")</f>
        <v>113.4308</v>
      </c>
      <c r="I16" s="14">
        <f>_xll.BDH("ALNY US Equity","INVENTORY_GROWTH","FQ2 2020","FQ2 2020","Currency=USD","Period=FQ","BEST_FPERIOD_OVERRIDE=FQ","FILING_STATUS=MR","Sort=A","Dates=H","DateFormat=P","Fill=—","Direction=H","UseDPDF=Y")</f>
        <v>90.745800000000003</v>
      </c>
      <c r="J16" s="14">
        <f>_xll.BDH("ALNY US Equity","INVENTORY_GROWTH","FQ3 2020","FQ3 2020","Currency=USD","Period=FQ","BEST_FPERIOD_OVERRIDE=FQ","FILING_STATUS=MR","Sort=A","Dates=H","DateFormat=P","Fill=—","Direction=H","UseDPDF=Y")</f>
        <v>22.689800000000002</v>
      </c>
      <c r="K16" s="14">
        <f>_xll.BDH("ALNY US Equity","INVENTORY_GROWTH","FQ4 2020","FQ4 2020","Currency=USD","Period=FQ","BEST_FPERIOD_OVERRIDE=FQ","FILING_STATUS=MR","Sort=A","Dates=H","DateFormat=P","Fill=—","Direction=H","UseDPDF=Y")</f>
        <v>33.459899999999998</v>
      </c>
      <c r="L16" s="14">
        <f>_xll.BDH("ALNY US Equity","INVENTORY_GROWTH","FQ1 2021","FQ1 2021","Currency=USD","Period=FQ","BEST_FPERIOD_OVERRIDE=FQ","FILING_STATUS=MR","Sort=A","Dates=H","DateFormat=P","Fill=—","Direction=H","UseDPDF=Y")</f>
        <v>8.2576999999999998</v>
      </c>
      <c r="M16" s="14">
        <f>_xll.BDH("ALNY US Equity","INVENTORY_GROWTH","FQ2 2021","FQ2 2021","Currency=USD","Period=FQ","BEST_FPERIOD_OVERRIDE=FQ","FILING_STATUS=MR","Sort=A","Dates=H","DateFormat=P","Fill=—","Direction=H","UseDPDF=Y")</f>
        <v>8.9642999999999997</v>
      </c>
      <c r="N16" s="14">
        <f>_xll.BDH("ALNY US Equity","INVENTORY_GROWTH","FQ3 2021","FQ3 2021","Currency=USD","Period=FQ","BEST_FPERIOD_OVERRIDE=FQ","FILING_STATUS=MR","Sort=A","Dates=H","DateFormat=P","Fill=—","Direction=H","UseDPDF=Y")</f>
        <v>46.244500000000002</v>
      </c>
      <c r="O16" s="14">
        <f>_xll.BDH("ALNY US Equity","INVENTORY_GROWTH","FQ4 2021","FQ4 2021","Currency=USD","Period=FQ","BEST_FPERIOD_OVERRIDE=FQ","FILING_STATUS=MR","Sort=A","Dates=H","DateFormat=P","Fill=—","Direction=H","UseDPDF=Y")</f>
        <v>14.8414</v>
      </c>
      <c r="P16" s="14">
        <f>_xll.BDH("ALNY US Equity","INVENTORY_GROWTH","FQ1 2022","FQ1 2022","Currency=USD","Period=FQ","BEST_FPERIOD_OVERRIDE=FQ","FILING_STATUS=MR","Sort=A","Dates=H","DateFormat=P","Fill=—","Direction=H","UseDPDF=Y")</f>
        <v>6.1887999999999996</v>
      </c>
      <c r="Q16" s="14">
        <f>_xll.BDH("ALNY US Equity","INVENTORY_GROWTH","FQ2 2022","FQ2 2022","Currency=USD","Period=FQ","BEST_FPERIOD_OVERRIDE=FQ","FILING_STATUS=MR","Sort=A","Dates=H","DateFormat=P","Fill=—","Direction=H","UseDPDF=Y")</f>
        <v>5.4743000000000004</v>
      </c>
      <c r="R16" s="14">
        <f>_xll.BDH("ALNY US Equity","INVENTORY_GROWTH","FQ3 2022","FQ3 2022","Currency=USD","Period=FQ","BEST_FPERIOD_OVERRIDE=FQ","FILING_STATUS=MR","Sort=A","Dates=H","DateFormat=P","Fill=—","Direction=H","UseDPDF=Y")</f>
        <v>17.967500000000001</v>
      </c>
      <c r="S16" s="14">
        <f>_xll.BDH("ALNY US Equity","INVENTORY_GROWTH","FQ4 2022","FQ4 2022","Currency=USD","Period=FQ","BEST_FPERIOD_OVERRIDE=FQ","FILING_STATUS=MR","Sort=A","Dates=H","DateFormat=P","Fill=—","Direction=H","UseDPDF=Y")</f>
        <v>49.325499999999998</v>
      </c>
      <c r="T16" s="14">
        <f>_xll.BDH("ALNY US Equity","INVENTORY_GROWTH","FQ1 2023","FQ1 2023","Currency=USD","Period=FQ","BEST_FPERIOD_OVERRIDE=FQ","FILING_STATUS=MR","Sort=A","Dates=H","DateFormat=P","Fill=—","Direction=H","UseDPDF=Y")</f>
        <v>67.964500000000001</v>
      </c>
      <c r="U16" s="14">
        <f>_xll.BDH("ALNY US Equity","INVENTORY_GROWTH","FQ2 2023","FQ2 2023","Currency=USD","Period=FQ","BEST_FPERIOD_OVERRIDE=FQ","FILING_STATUS=MR","Sort=A","Dates=H","DateFormat=P","Fill=—","Direction=H","UseDPDF=Y")</f>
        <v>12.898999999999999</v>
      </c>
      <c r="V16" s="14">
        <f>_xll.BDH("ALNY US Equity","INVENTORY_GROWTH","FQ3 2023","FQ3 2023","Currency=USD","Period=FQ","BEST_FPERIOD_OVERRIDE=FQ","FILING_STATUS=MR","Sort=A","Dates=H","DateFormat=P","Fill=—","Direction=H","UseDPDF=Y")</f>
        <v>-17.073499999999999</v>
      </c>
      <c r="W16" s="14">
        <f>_xll.BDH("ALNY US Equity","INVENTORY_GROWTH","FQ4 2023","FQ4 2023","Currency=USD","Period=FQ","BEST_FPERIOD_OVERRIDE=FQ","FILING_STATUS=MR","Sort=A","Dates=H","DateFormat=P","Fill=—","Direction=H","UseDPDF=Y")</f>
        <v>-30.874199999999998</v>
      </c>
      <c r="X16" s="14">
        <f>_xll.BDH("ALNY US Equity","INVENTORY_GROWTH","FQ1 2024","FQ1 2024","Currency=USD","Period=FQ","BEST_FPERIOD_OVERRIDE=FQ","FILING_STATUS=MR","Sort=A","Dates=H","DateFormat=P","Fill=—","Direction=H","UseDPDF=Y")</f>
        <v>-28.7316</v>
      </c>
      <c r="Y16" s="14">
        <f>_xll.BDH("ALNY US Equity","INVENTORY_GROWTH","FQ2 2024","FQ2 2024","Currency=USD","Period=FQ","BEST_FPERIOD_OVERRIDE=FQ","FILING_STATUS=MR","Sort=A","Dates=H","DateFormat=P","Fill=—","Direction=H","UseDPDF=Y")</f>
        <v>-16.3977</v>
      </c>
      <c r="Z16" s="14">
        <f>_xll.BDH("ALNY US Equity","INVENTORY_GROWTH","FQ3 2024","FQ3 2024","Currency=USD","Period=FQ","BEST_FPERIOD_OVERRIDE=FQ","FILING_STATUS=MR","Sort=A","Dates=H","DateFormat=P","Fill=—","Direction=H","UseDPDF=Y")</f>
        <v>-20.657599999999999</v>
      </c>
      <c r="AA16" s="14">
        <f>_xll.BDH("ALNY US Equity","INVENTORY_GROWTH","FQ4 2024","FQ4 2024","Currency=USD","Period=FQ","BEST_FPERIOD_OVERRIDE=FQ","FILING_STATUS=MR","Sort=A","Dates=H","DateFormat=P","Fill=—","Direction=H","UseDPDF=Y")</f>
        <v>-11.9321</v>
      </c>
    </row>
    <row r="17" spans="1:27" x14ac:dyDescent="0.25">
      <c r="A17" s="10" t="s">
        <v>1380</v>
      </c>
      <c r="B17" s="10" t="s">
        <v>1381</v>
      </c>
      <c r="C17" s="14">
        <f>_xll.BDH("ALNY US Equity","NET_FIXED_ASSETS_1_YEAR_GROWTH","FQ4 2018","FQ4 2018","Currency=USD","Period=FQ","BEST_FPERIOD_OVERRIDE=FQ","FILING_STATUS=MR","Sort=A","Dates=H","DateFormat=P","Fill=—","Direction=H","UseDPDF=Y")</f>
        <v>76.282600000000002</v>
      </c>
      <c r="D17" s="14">
        <f>_xll.BDH("ALNY US Equity","NET_FIXED_ASSETS_1_YEAR_GROWTH","FQ1 2019","FQ1 2019","Currency=USD","Period=FQ","BEST_FPERIOD_OVERRIDE=FQ","FILING_STATUS=MR","Sort=A","Dates=H","DateFormat=P","Fill=—","Direction=H","UseDPDF=Y")</f>
        <v>181.27869999999999</v>
      </c>
      <c r="E17" s="14">
        <f>_xll.BDH("ALNY US Equity","NET_FIXED_ASSETS_1_YEAR_GROWTH","FQ2 2019","FQ2 2019","Currency=USD","Period=FQ","BEST_FPERIOD_OVERRIDE=FQ","FILING_STATUS=MR","Sort=A","Dates=H","DateFormat=P","Fill=—","Direction=H","UseDPDF=Y")</f>
        <v>162.5213</v>
      </c>
      <c r="F17" s="14">
        <f>_xll.BDH("ALNY US Equity","NET_FIXED_ASSETS_1_YEAR_GROWTH","FQ3 2019","FQ3 2019","Currency=USD","Period=FQ","BEST_FPERIOD_OVERRIDE=FQ","FILING_STATUS=MR","Sort=A","Dates=H","DateFormat=P","Fill=—","Direction=H","UseDPDF=Y")</f>
        <v>127.35939999999999</v>
      </c>
      <c r="G17" s="14">
        <f>_xll.BDH("ALNY US Equity","NET_FIXED_ASSETS_1_YEAR_GROWTH","FQ4 2019","FQ4 2019","Currency=USD","Period=FQ","BEST_FPERIOD_OVERRIDE=FQ","FILING_STATUS=MR","Sort=A","Dates=H","DateFormat=P","Fill=—","Direction=H","UseDPDF=Y")</f>
        <v>101.578</v>
      </c>
      <c r="H17" s="14">
        <f>_xll.BDH("ALNY US Equity","NET_FIXED_ASSETS_1_YEAR_GROWTH","FQ1 2020","FQ1 2020","Currency=USD","Period=FQ","BEST_FPERIOD_OVERRIDE=FQ","FILING_STATUS=MR","Sort=A","Dates=H","DateFormat=P","Fill=—","Direction=H","UseDPDF=Y")</f>
        <v>14.604200000000001</v>
      </c>
      <c r="I17" s="14">
        <f>_xll.BDH("ALNY US Equity","NET_FIXED_ASSETS_1_YEAR_GROWTH","FQ2 2020","FQ2 2020","Currency=USD","Period=FQ","BEST_FPERIOD_OVERRIDE=FQ","FILING_STATUS=MR","Sort=A","Dates=H","DateFormat=P","Fill=—","Direction=H","UseDPDF=Y")</f>
        <v>11.815899999999999</v>
      </c>
      <c r="J17" s="14">
        <f>_xll.BDH("ALNY US Equity","NET_FIXED_ASSETS_1_YEAR_GROWTH","FQ3 2020","FQ3 2020","Currency=USD","Period=FQ","BEST_FPERIOD_OVERRIDE=FQ","FILING_STATUS=MR","Sort=A","Dates=H","DateFormat=P","Fill=—","Direction=H","UseDPDF=Y")</f>
        <v>11.295999999999999</v>
      </c>
      <c r="K17" s="14">
        <f>_xll.BDH("ALNY US Equity","NET_FIXED_ASSETS_1_YEAR_GROWTH","FQ4 2020","FQ4 2020","Currency=USD","Period=FQ","BEST_FPERIOD_OVERRIDE=FQ","FILING_STATUS=MR","Sort=A","Dates=H","DateFormat=P","Fill=—","Direction=H","UseDPDF=Y")</f>
        <v>9.3039000000000005</v>
      </c>
      <c r="L17" s="14">
        <f>_xll.BDH("ALNY US Equity","NET_FIXED_ASSETS_1_YEAR_GROWTH","FQ1 2021","FQ1 2021","Currency=USD","Period=FQ","BEST_FPERIOD_OVERRIDE=FQ","FILING_STATUS=MR","Sort=A","Dates=H","DateFormat=P","Fill=—","Direction=H","UseDPDF=Y")</f>
        <v>7.7854999999999999</v>
      </c>
      <c r="M17" s="14">
        <f>_xll.BDH("ALNY US Equity","NET_FIXED_ASSETS_1_YEAR_GROWTH","FQ2 2021","FQ2 2021","Currency=USD","Period=FQ","BEST_FPERIOD_OVERRIDE=FQ","FILING_STATUS=MR","Sort=A","Dates=H","DateFormat=P","Fill=—","Direction=H","UseDPDF=Y")</f>
        <v>5.9791999999999996</v>
      </c>
      <c r="N17" s="14">
        <f>_xll.BDH("ALNY US Equity","NET_FIXED_ASSETS_1_YEAR_GROWTH","FQ3 2021","FQ3 2021","Currency=USD","Period=FQ","BEST_FPERIOD_OVERRIDE=FQ","FILING_STATUS=MR","Sort=A","Dates=H","DateFormat=P","Fill=—","Direction=H","UseDPDF=Y")</f>
        <v>4.4744000000000002</v>
      </c>
      <c r="O17" s="14">
        <f>_xll.BDH("ALNY US Equity","NET_FIXED_ASSETS_1_YEAR_GROWTH","FQ4 2021","FQ4 2021","Currency=USD","Period=FQ","BEST_FPERIOD_OVERRIDE=FQ","FILING_STATUS=MR","Sort=A","Dates=H","DateFormat=P","Fill=—","Direction=H","UseDPDF=Y")</f>
        <v>3.8384</v>
      </c>
      <c r="P17" s="14">
        <f>_xll.BDH("ALNY US Equity","NET_FIXED_ASSETS_1_YEAR_GROWTH","FQ1 2022","FQ1 2022","Currency=USD","Period=FQ","BEST_FPERIOD_OVERRIDE=FQ","FILING_STATUS=MR","Sort=A","Dates=H","DateFormat=P","Fill=—","Direction=H","UseDPDF=Y")</f>
        <v>4.4705000000000004</v>
      </c>
      <c r="Q17" s="14">
        <f>_xll.BDH("ALNY US Equity","NET_FIXED_ASSETS_1_YEAR_GROWTH","FQ2 2022","FQ2 2022","Currency=USD","Period=FQ","BEST_FPERIOD_OVERRIDE=FQ","FILING_STATUS=MR","Sort=A","Dates=H","DateFormat=P","Fill=—","Direction=H","UseDPDF=Y")</f>
        <v>3.2919999999999998</v>
      </c>
      <c r="R17" s="14">
        <f>_xll.BDH("ALNY US Equity","NET_FIXED_ASSETS_1_YEAR_GROWTH","FQ3 2022","FQ3 2022","Currency=USD","Period=FQ","BEST_FPERIOD_OVERRIDE=FQ","FILING_STATUS=MR","Sort=A","Dates=H","DateFormat=P","Fill=—","Direction=H","UseDPDF=Y")</f>
        <v>1.7798</v>
      </c>
      <c r="S17" s="14">
        <f>_xll.BDH("ALNY US Equity","NET_FIXED_ASSETS_1_YEAR_GROWTH","FQ4 2022","FQ4 2022","Currency=USD","Period=FQ","BEST_FPERIOD_OVERRIDE=FQ","FILING_STATUS=MR","Sort=A","Dates=H","DateFormat=P","Fill=—","Direction=H","UseDPDF=Y")</f>
        <v>0.68110000000000004</v>
      </c>
      <c r="T17" s="14">
        <f>_xll.BDH("ALNY US Equity","NET_FIXED_ASSETS_1_YEAR_GROWTH","FQ1 2023","FQ1 2023","Currency=USD","Period=FQ","BEST_FPERIOD_OVERRIDE=FQ","FILING_STATUS=MR","Sort=A","Dates=H","DateFormat=P","Fill=—","Direction=H","UseDPDF=Y")</f>
        <v>0.67149999999999999</v>
      </c>
      <c r="U17" s="14">
        <f>_xll.BDH("ALNY US Equity","NET_FIXED_ASSETS_1_YEAR_GROWTH","FQ2 2023","FQ2 2023","Currency=USD","Period=FQ","BEST_FPERIOD_OVERRIDE=FQ","FILING_STATUS=MR","Sort=A","Dates=H","DateFormat=P","Fill=—","Direction=H","UseDPDF=Y")</f>
        <v>0.56730000000000003</v>
      </c>
      <c r="V17" s="14">
        <f>_xll.BDH("ALNY US Equity","NET_FIXED_ASSETS_1_YEAR_GROWTH","FQ3 2023","FQ3 2023","Currency=USD","Period=FQ","BEST_FPERIOD_OVERRIDE=FQ","FILING_STATUS=MR","Sort=A","Dates=H","DateFormat=P","Fill=—","Direction=H","UseDPDF=Y")</f>
        <v>-0.61980000000000002</v>
      </c>
      <c r="W17" s="14">
        <f>_xll.BDH("ALNY US Equity","NET_FIXED_ASSETS_1_YEAR_GROWTH","FQ4 2023","FQ4 2023","Currency=USD","Period=FQ","BEST_FPERIOD_OVERRIDE=FQ","FILING_STATUS=MR","Sort=A","Dates=H","DateFormat=P","Fill=—","Direction=H","UseDPDF=Y")</f>
        <v>-1.7384999999999999</v>
      </c>
      <c r="X17" s="14">
        <f>_xll.BDH("ALNY US Equity","NET_FIXED_ASSETS_1_YEAR_GROWTH","FQ1 2024","FQ1 2024","Currency=USD","Period=FQ","BEST_FPERIOD_OVERRIDE=FQ","FILING_STATUS=MR","Sort=A","Dates=H","DateFormat=P","Fill=—","Direction=H","UseDPDF=Y")</f>
        <v>-2.5950000000000002</v>
      </c>
      <c r="Y17" s="14">
        <f>_xll.BDH("ALNY US Equity","NET_FIXED_ASSETS_1_YEAR_GROWTH","FQ2 2024","FQ2 2024","Currency=USD","Period=FQ","BEST_FPERIOD_OVERRIDE=FQ","FILING_STATUS=MR","Sort=A","Dates=H","DateFormat=P","Fill=—","Direction=H","UseDPDF=Y")</f>
        <v>-2.8268</v>
      </c>
      <c r="Z17" s="14">
        <f>_xll.BDH("ALNY US Equity","NET_FIXED_ASSETS_1_YEAR_GROWTH","FQ3 2024","FQ3 2024","Currency=USD","Period=FQ","BEST_FPERIOD_OVERRIDE=FQ","FILING_STATUS=MR","Sort=A","Dates=H","DateFormat=P","Fill=—","Direction=H","UseDPDF=Y")</f>
        <v>-3.5209999999999999</v>
      </c>
      <c r="AA17" s="14">
        <f>_xll.BDH("ALNY US Equity","NET_FIXED_ASSETS_1_YEAR_GROWTH","FQ4 2024","FQ4 2024","Currency=USD","Period=FQ","BEST_FPERIOD_OVERRIDE=FQ","FILING_STATUS=MR","Sort=A","Dates=H","DateFormat=P","Fill=—","Direction=H","UseDPDF=Y")</f>
        <v>-4.3893000000000004</v>
      </c>
    </row>
    <row r="18" spans="1:27" x14ac:dyDescent="0.25">
      <c r="A18" s="10" t="s">
        <v>112</v>
      </c>
      <c r="B18" s="10" t="s">
        <v>1382</v>
      </c>
      <c r="C18" s="14">
        <f>_xll.BDH("ALNY US Equity","ASSET_GROWTH","FQ4 2018","FQ4 2018","Currency=USD","Period=FQ","BEST_FPERIOD_OVERRIDE=FQ","FILING_STATUS=MR","Sort=A","Dates=H","DateFormat=P","Fill=—","Direction=H","UseDPDF=Y")</f>
        <v>-21.0519</v>
      </c>
      <c r="D18" s="14">
        <f>_xll.BDH("ALNY US Equity","ASSET_GROWTH","FQ1 2019","FQ1 2019","Currency=USD","Period=FQ","BEST_FPERIOD_OVERRIDE=FQ","FILING_STATUS=MR","Sort=A","Dates=H","DateFormat=P","Fill=—","Direction=H","UseDPDF=Y")</f>
        <v>4.7245999999999997</v>
      </c>
      <c r="E18" s="14">
        <f>_xll.BDH("ALNY US Equity","ASSET_GROWTH","FQ2 2019","FQ2 2019","Currency=USD","Period=FQ","BEST_FPERIOD_OVERRIDE=FQ","FILING_STATUS=MR","Sort=A","Dates=H","DateFormat=P","Fill=—","Direction=H","UseDPDF=Y")</f>
        <v>51.806600000000003</v>
      </c>
      <c r="F18" s="14">
        <f>_xll.BDH("ALNY US Equity","ASSET_GROWTH","FQ3 2019","FQ3 2019","Currency=USD","Period=FQ","BEST_FPERIOD_OVERRIDE=FQ","FILING_STATUS=MR","Sort=A","Dates=H","DateFormat=P","Fill=—","Direction=H","UseDPDF=Y")</f>
        <v>51.679400000000001</v>
      </c>
      <c r="G18" s="14">
        <f>_xll.BDH("ALNY US Equity","ASSET_GROWTH","FQ4 2019","FQ4 2019","Currency=USD","Period=FQ","BEST_FPERIOD_OVERRIDE=FQ","FILING_STATUS=MR","Sort=A","Dates=H","DateFormat=P","Fill=—","Direction=H","UseDPDF=Y")</f>
        <v>52.091099999999997</v>
      </c>
      <c r="H18" s="14">
        <f>_xll.BDH("ALNY US Equity","ASSET_GROWTH","FQ1 2020","FQ1 2020","Currency=USD","Period=FQ","BEST_FPERIOD_OVERRIDE=FQ","FILING_STATUS=MR","Sort=A","Dates=H","DateFormat=P","Fill=—","Direction=H","UseDPDF=Y")</f>
        <v>13.1889</v>
      </c>
      <c r="I18" s="14">
        <f>_xll.BDH("ALNY US Equity","ASSET_GROWTH","FQ2 2020","FQ2 2020","Currency=USD","Period=FQ","BEST_FPERIOD_OVERRIDE=FQ","FILING_STATUS=MR","Sort=A","Dates=H","DateFormat=P","Fill=—","Direction=H","UseDPDF=Y")</f>
        <v>24.221499999999999</v>
      </c>
      <c r="J18" s="14">
        <f>_xll.BDH("ALNY US Equity","ASSET_GROWTH","FQ3 2020","FQ3 2020","Currency=USD","Period=FQ","BEST_FPERIOD_OVERRIDE=FQ","FILING_STATUS=MR","Sort=A","Dates=H","DateFormat=P","Fill=—","Direction=H","UseDPDF=Y")</f>
        <v>30.1249</v>
      </c>
      <c r="K18" s="14">
        <f>_xll.BDH("ALNY US Equity","ASSET_GROWTH","FQ4 2020","FQ4 2020","Currency=USD","Period=FQ","BEST_FPERIOD_OVERRIDE=FQ","FILING_STATUS=MR","Sort=A","Dates=H","DateFormat=P","Fill=—","Direction=H","UseDPDF=Y")</f>
        <v>42.249299999999998</v>
      </c>
      <c r="L18" s="14">
        <f>_xll.BDH("ALNY US Equity","ASSET_GROWTH","FQ1 2021","FQ1 2021","Currency=USD","Period=FQ","BEST_FPERIOD_OVERRIDE=FQ","FILING_STATUS=MR","Sort=A","Dates=H","DateFormat=P","Fill=—","Direction=H","UseDPDF=Y")</f>
        <v>42.798499999999997</v>
      </c>
      <c r="M18" s="14">
        <f>_xll.BDH("ALNY US Equity","ASSET_GROWTH","FQ2 2021","FQ2 2021","Currency=USD","Period=FQ","BEST_FPERIOD_OVERRIDE=FQ","FILING_STATUS=MR","Sort=A","Dates=H","DateFormat=P","Fill=—","Direction=H","UseDPDF=Y")</f>
        <v>4.0026000000000002</v>
      </c>
      <c r="N18" s="14">
        <f>_xll.BDH("ALNY US Equity","ASSET_GROWTH","FQ3 2021","FQ3 2021","Currency=USD","Period=FQ","BEST_FPERIOD_OVERRIDE=FQ","FILING_STATUS=MR","Sort=A","Dates=H","DateFormat=P","Fill=—","Direction=H","UseDPDF=Y")</f>
        <v>4.9898999999999996</v>
      </c>
      <c r="O18" s="14">
        <f>_xll.BDH("ALNY US Equity","ASSET_GROWTH","FQ4 2021","FQ4 2021","Currency=USD","Period=FQ","BEST_FPERIOD_OVERRIDE=FQ","FILING_STATUS=MR","Sort=A","Dates=H","DateFormat=P","Fill=—","Direction=H","UseDPDF=Y")</f>
        <v>6.9339000000000004</v>
      </c>
      <c r="P18" s="14">
        <f>_xll.BDH("ALNY US Equity","ASSET_GROWTH","FQ1 2022","FQ1 2022","Currency=USD","Period=FQ","BEST_FPERIOD_OVERRIDE=FQ","FILING_STATUS=MR","Sort=A","Dates=H","DateFormat=P","Fill=—","Direction=H","UseDPDF=Y")</f>
        <v>5.4764999999999997</v>
      </c>
      <c r="Q18" s="14">
        <f>_xll.BDH("ALNY US Equity","ASSET_GROWTH","FQ2 2022","FQ2 2022","Currency=USD","Period=FQ","BEST_FPERIOD_OVERRIDE=FQ","FILING_STATUS=MR","Sort=A","Dates=H","DateFormat=P","Fill=—","Direction=H","UseDPDF=Y")</f>
        <v>-5.1009000000000002</v>
      </c>
      <c r="R18" s="14">
        <f>_xll.BDH("ALNY US Equity","ASSET_GROWTH","FQ3 2022","FQ3 2022","Currency=USD","Period=FQ","BEST_FPERIOD_OVERRIDE=FQ","FILING_STATUS=MR","Sort=A","Dates=H","DateFormat=P","Fill=—","Direction=H","UseDPDF=Y")</f>
        <v>1.8127</v>
      </c>
      <c r="S18" s="14">
        <f>_xll.BDH("ALNY US Equity","ASSET_GROWTH","FQ4 2022","FQ4 2022","Currency=USD","Period=FQ","BEST_FPERIOD_OVERRIDE=FQ","FILING_STATUS=MR","Sort=A","Dates=H","DateFormat=P","Fill=—","Direction=H","UseDPDF=Y")</f>
        <v>-2.6608999999999998</v>
      </c>
      <c r="T18" s="14">
        <f>_xll.BDH("ALNY US Equity","ASSET_GROWTH","FQ1 2023","FQ1 2023","Currency=USD","Period=FQ","BEST_FPERIOD_OVERRIDE=FQ","FILING_STATUS=MR","Sort=A","Dates=H","DateFormat=P","Fill=—","Direction=H","UseDPDF=Y")</f>
        <v>-1.2117</v>
      </c>
      <c r="U18" s="14">
        <f>_xll.BDH("ALNY US Equity","ASSET_GROWTH","FQ2 2023","FQ2 2023","Currency=USD","Period=FQ","BEST_FPERIOD_OVERRIDE=FQ","FILING_STATUS=MR","Sort=A","Dates=H","DateFormat=P","Fill=—","Direction=H","UseDPDF=Y")</f>
        <v>2.1613000000000002</v>
      </c>
      <c r="V18" s="14">
        <f>_xll.BDH("ALNY US Equity","ASSET_GROWTH","FQ3 2023","FQ3 2023","Currency=USD","Period=FQ","BEST_FPERIOD_OVERRIDE=FQ","FILING_STATUS=MR","Sort=A","Dates=H","DateFormat=P","Fill=—","Direction=H","UseDPDF=Y")</f>
        <v>8.5938999999999997</v>
      </c>
      <c r="W18" s="14">
        <f>_xll.BDH("ALNY US Equity","ASSET_GROWTH","FQ4 2023","FQ4 2023","Currency=USD","Period=FQ","BEST_FPERIOD_OVERRIDE=FQ","FILING_STATUS=MR","Sort=A","Dates=H","DateFormat=P","Fill=—","Direction=H","UseDPDF=Y")</f>
        <v>7.9946999999999999</v>
      </c>
      <c r="X18" s="14">
        <f>_xll.BDH("ALNY US Equity","ASSET_GROWTH","FQ1 2024","FQ1 2024","Currency=USD","Period=FQ","BEST_FPERIOD_OVERRIDE=FQ","FILING_STATUS=MR","Sort=A","Dates=H","DateFormat=P","Fill=—","Direction=H","UseDPDF=Y")</f>
        <v>12.7492</v>
      </c>
      <c r="Y18" s="14">
        <f>_xll.BDH("ALNY US Equity","ASSET_GROWTH","FQ2 2024","FQ2 2024","Currency=USD","Period=FQ","BEST_FPERIOD_OVERRIDE=FQ","FILING_STATUS=MR","Sort=A","Dates=H","DateFormat=P","Fill=—","Direction=H","UseDPDF=Y")</f>
        <v>17.8474</v>
      </c>
      <c r="Z18" s="14">
        <f>_xll.BDH("ALNY US Equity","ASSET_GROWTH","FQ3 2024","FQ3 2024","Currency=USD","Period=FQ","BEST_FPERIOD_OVERRIDE=FQ","FILING_STATUS=MR","Sort=A","Dates=H","DateFormat=P","Fill=—","Direction=H","UseDPDF=Y")</f>
        <v>9.5327000000000002</v>
      </c>
      <c r="AA18" s="14">
        <f>_xll.BDH("ALNY US Equity","ASSET_GROWTH","FQ4 2024","FQ4 2024","Currency=USD","Period=FQ","BEST_FPERIOD_OVERRIDE=FQ","FILING_STATUS=MR","Sort=A","Dates=H","DateFormat=P","Fill=—","Direction=H","UseDPDF=Y")</f>
        <v>10.708</v>
      </c>
    </row>
    <row r="19" spans="1:27" x14ac:dyDescent="0.25">
      <c r="A19" s="10" t="s">
        <v>1383</v>
      </c>
      <c r="B19" s="10" t="s">
        <v>1384</v>
      </c>
      <c r="C19" s="14">
        <f>_xll.BDH("ALNY US Equity","MODIFIED_WORK_CAP_GROWTH","FQ4 2018","FQ4 2018","Currency=USD","Period=FQ","BEST_FPERIOD_OVERRIDE=FQ","FILING_STATUS=MR","Sort=A","Dates=H","DateFormat=P","Fill=—","Direction=H","UseDPDF=Y")</f>
        <v>40.469099999999997</v>
      </c>
      <c r="D19" s="14" t="str">
        <f>_xll.BDH("ALNY US Equity","MODIFIED_WORK_CAP_GROWTH","FQ1 2019","FQ1 2019","Currency=USD","Period=FQ","BEST_FPERIOD_OVERRIDE=FQ","FILING_STATUS=MR","Sort=A","Dates=H","DateFormat=P","Fill=—","Direction=H","UseDPDF=Y")</f>
        <v>—</v>
      </c>
      <c r="E19" s="14" t="str">
        <f>_xll.BDH("ALNY US Equity","MODIFIED_WORK_CAP_GROWTH","FQ2 2019","FQ2 2019","Currency=USD","Period=FQ","BEST_FPERIOD_OVERRIDE=FQ","FILING_STATUS=MR","Sort=A","Dates=H","DateFormat=P","Fill=—","Direction=H","UseDPDF=Y")</f>
        <v>—</v>
      </c>
      <c r="F19" s="14" t="str">
        <f>_xll.BDH("ALNY US Equity","MODIFIED_WORK_CAP_GROWTH","FQ3 2019","FQ3 2019","Currency=USD","Period=FQ","BEST_FPERIOD_OVERRIDE=FQ","FILING_STATUS=MR","Sort=A","Dates=H","DateFormat=P","Fill=—","Direction=H","UseDPDF=Y")</f>
        <v>—</v>
      </c>
      <c r="G19" s="14" t="str">
        <f>_xll.BDH("ALNY US Equity","MODIFIED_WORK_CAP_GROWTH","FQ4 2019","FQ4 2019","Currency=USD","Period=FQ","BEST_FPERIOD_OVERRIDE=FQ","FILING_STATUS=MR","Sort=A","Dates=H","DateFormat=P","Fill=—","Direction=H","UseDPDF=Y")</f>
        <v>—</v>
      </c>
      <c r="H19" s="14">
        <f>_xll.BDH("ALNY US Equity","MODIFIED_WORK_CAP_GROWTH","FQ1 2020","FQ1 2020","Currency=USD","Period=FQ","BEST_FPERIOD_OVERRIDE=FQ","FILING_STATUS=MR","Sort=A","Dates=H","DateFormat=P","Fill=—","Direction=H","UseDPDF=Y")</f>
        <v>139.70689999999999</v>
      </c>
      <c r="I19" s="14">
        <f>_xll.BDH("ALNY US Equity","MODIFIED_WORK_CAP_GROWTH","FQ2 2020","FQ2 2020","Currency=USD","Period=FQ","BEST_FPERIOD_OVERRIDE=FQ","FILING_STATUS=MR","Sort=A","Dates=H","DateFormat=P","Fill=—","Direction=H","UseDPDF=Y")</f>
        <v>108375.67570000001</v>
      </c>
      <c r="J19" s="14">
        <f>_xll.BDH("ALNY US Equity","MODIFIED_WORK_CAP_GROWTH","FQ3 2020","FQ3 2020","Currency=USD","Period=FQ","BEST_FPERIOD_OVERRIDE=FQ","FILING_STATUS=MR","Sort=A","Dates=H","DateFormat=P","Fill=—","Direction=H","UseDPDF=Y")</f>
        <v>86.772900000000007</v>
      </c>
      <c r="K19" s="14">
        <f>_xll.BDH("ALNY US Equity","MODIFIED_WORK_CAP_GROWTH","FQ4 2020","FQ4 2020","Currency=USD","Period=FQ","BEST_FPERIOD_OVERRIDE=FQ","FILING_STATUS=MR","Sort=A","Dates=H","DateFormat=P","Fill=—","Direction=H","UseDPDF=Y")</f>
        <v>153.96459999999999</v>
      </c>
      <c r="L19" s="14">
        <f>_xll.BDH("ALNY US Equity","MODIFIED_WORK_CAP_GROWTH","FQ1 2021","FQ1 2021","Currency=USD","Period=FQ","BEST_FPERIOD_OVERRIDE=FQ","FILING_STATUS=MR","Sort=A","Dates=H","DateFormat=P","Fill=—","Direction=H","UseDPDF=Y")</f>
        <v>34.623899999999999</v>
      </c>
      <c r="M19" s="14">
        <f>_xll.BDH("ALNY US Equity","MODIFIED_WORK_CAP_GROWTH","FQ2 2021","FQ2 2021","Currency=USD","Period=FQ","BEST_FPERIOD_OVERRIDE=FQ","FILING_STATUS=MR","Sort=A","Dates=H","DateFormat=P","Fill=—","Direction=H","UseDPDF=Y")</f>
        <v>47.7194</v>
      </c>
      <c r="N19" s="14">
        <f>_xll.BDH("ALNY US Equity","MODIFIED_WORK_CAP_GROWTH","FQ3 2021","FQ3 2021","Currency=USD","Period=FQ","BEST_FPERIOD_OVERRIDE=FQ","FILING_STATUS=MR","Sort=A","Dates=H","DateFormat=P","Fill=—","Direction=H","UseDPDF=Y")</f>
        <v>68.303899999999999</v>
      </c>
      <c r="O19" s="14">
        <f>_xll.BDH("ALNY US Equity","MODIFIED_WORK_CAP_GROWTH","FQ4 2021","FQ4 2021","Currency=USD","Period=FQ","BEST_FPERIOD_OVERRIDE=FQ","FILING_STATUS=MR","Sort=A","Dates=H","DateFormat=P","Fill=—","Direction=H","UseDPDF=Y")</f>
        <v>68.332400000000007</v>
      </c>
      <c r="P19" s="14">
        <f>_xll.BDH("ALNY US Equity","MODIFIED_WORK_CAP_GROWTH","FQ1 2022","FQ1 2022","Currency=USD","Period=FQ","BEST_FPERIOD_OVERRIDE=FQ","FILING_STATUS=MR","Sort=A","Dates=H","DateFormat=P","Fill=—","Direction=H","UseDPDF=Y")</f>
        <v>29.419799999999999</v>
      </c>
      <c r="Q19" s="14">
        <f>_xll.BDH("ALNY US Equity","MODIFIED_WORK_CAP_GROWTH","FQ2 2022","FQ2 2022","Currency=USD","Period=FQ","BEST_FPERIOD_OVERRIDE=FQ","FILING_STATUS=MR","Sort=A","Dates=H","DateFormat=P","Fill=—","Direction=H","UseDPDF=Y")</f>
        <v>0.54139999999999999</v>
      </c>
      <c r="R19" s="14">
        <f>_xll.BDH("ALNY US Equity","MODIFIED_WORK_CAP_GROWTH","FQ3 2022","FQ3 2022","Currency=USD","Period=FQ","BEST_FPERIOD_OVERRIDE=FQ","FILING_STATUS=MR","Sort=A","Dates=H","DateFormat=P","Fill=—","Direction=H","UseDPDF=Y")</f>
        <v>30.422499999999999</v>
      </c>
      <c r="S19" s="14">
        <f>_xll.BDH("ALNY US Equity","MODIFIED_WORK_CAP_GROWTH","FQ4 2022","FQ4 2022","Currency=USD","Period=FQ","BEST_FPERIOD_OVERRIDE=FQ","FILING_STATUS=MR","Sort=A","Dates=H","DateFormat=P","Fill=—","Direction=H","UseDPDF=Y")</f>
        <v>27.102</v>
      </c>
      <c r="T19" s="14">
        <f>_xll.BDH("ALNY US Equity","MODIFIED_WORK_CAP_GROWTH","FQ1 2023","FQ1 2023","Currency=USD","Period=FQ","BEST_FPERIOD_OVERRIDE=FQ","FILING_STATUS=MR","Sort=A","Dates=H","DateFormat=P","Fill=—","Direction=H","UseDPDF=Y")</f>
        <v>60.479199999999999</v>
      </c>
      <c r="U19" s="14">
        <f>_xll.BDH("ALNY US Equity","MODIFIED_WORK_CAP_GROWTH","FQ2 2023","FQ2 2023","Currency=USD","Period=FQ","BEST_FPERIOD_OVERRIDE=FQ","FILING_STATUS=MR","Sort=A","Dates=H","DateFormat=P","Fill=—","Direction=H","UseDPDF=Y")</f>
        <v>46.140700000000002</v>
      </c>
      <c r="V19" s="14">
        <f>_xll.BDH("ALNY US Equity","MODIFIED_WORK_CAP_GROWTH","FQ3 2023","FQ3 2023","Currency=USD","Period=FQ","BEST_FPERIOD_OVERRIDE=FQ","FILING_STATUS=MR","Sort=A","Dates=H","DateFormat=P","Fill=—","Direction=H","UseDPDF=Y")</f>
        <v>33.899700000000003</v>
      </c>
      <c r="W19" s="14">
        <f>_xll.BDH("ALNY US Equity","MODIFIED_WORK_CAP_GROWTH","FQ4 2023","FQ4 2023","Currency=USD","Period=FQ","BEST_FPERIOD_OVERRIDE=FQ","FILING_STATUS=MR","Sort=A","Dates=H","DateFormat=P","Fill=—","Direction=H","UseDPDF=Y")</f>
        <v>34.439100000000003</v>
      </c>
      <c r="X19" s="14">
        <f>_xll.BDH("ALNY US Equity","MODIFIED_WORK_CAP_GROWTH","FQ1 2024","FQ1 2024","Currency=USD","Period=FQ","BEST_FPERIOD_OVERRIDE=FQ","FILING_STATUS=MR","Sort=A","Dates=H","DateFormat=P","Fill=—","Direction=H","UseDPDF=Y")</f>
        <v>16.653400000000001</v>
      </c>
      <c r="Y19" s="14">
        <f>_xll.BDH("ALNY US Equity","MODIFIED_WORK_CAP_GROWTH","FQ2 2024","FQ2 2024","Currency=USD","Period=FQ","BEST_FPERIOD_OVERRIDE=FQ","FILING_STATUS=MR","Sort=A","Dates=H","DateFormat=P","Fill=—","Direction=H","UseDPDF=Y")</f>
        <v>22.246700000000001</v>
      </c>
      <c r="Z19" s="14">
        <f>_xll.BDH("ALNY US Equity","MODIFIED_WORK_CAP_GROWTH","FQ3 2024","FQ3 2024","Currency=USD","Period=FQ","BEST_FPERIOD_OVERRIDE=FQ","FILING_STATUS=MR","Sort=A","Dates=H","DateFormat=P","Fill=—","Direction=H","UseDPDF=Y")</f>
        <v>3.3559999999999999</v>
      </c>
      <c r="AA19" s="14">
        <f>_xll.BDH("ALNY US Equity","MODIFIED_WORK_CAP_GROWTH","FQ4 2024","FQ4 2024","Currency=USD","Period=FQ","BEST_FPERIOD_OVERRIDE=FQ","FILING_STATUS=MR","Sort=A","Dates=H","DateFormat=P","Fill=—","Direction=H","UseDPDF=Y")</f>
        <v>9.4041999999999994</v>
      </c>
    </row>
    <row r="20" spans="1:27" x14ac:dyDescent="0.25">
      <c r="A20" s="10" t="s">
        <v>1385</v>
      </c>
      <c r="B20" s="10" t="s">
        <v>1386</v>
      </c>
      <c r="C20" s="14">
        <f>_xll.BDH("ALNY US Equity","WORK_CAP_GROWTH","FQ4 2018","FQ4 2018","Currency=USD","Period=FQ","BEST_FPERIOD_OVERRIDE=FQ","FILING_STATUS=MR","Sort=A","Dates=H","DateFormat=P","Fill=—","Direction=H","UseDPDF=Y")</f>
        <v>-36.981900000000003</v>
      </c>
      <c r="D20" s="14">
        <f>_xll.BDH("ALNY US Equity","WORK_CAP_GROWTH","FQ1 2019","FQ1 2019","Currency=USD","Period=FQ","BEST_FPERIOD_OVERRIDE=FQ","FILING_STATUS=MR","Sort=A","Dates=H","DateFormat=P","Fill=—","Direction=H","UseDPDF=Y")</f>
        <v>-20.833200000000001</v>
      </c>
      <c r="E20" s="14">
        <f>_xll.BDH("ALNY US Equity","WORK_CAP_GROWTH","FQ2 2019","FQ2 2019","Currency=USD","Period=FQ","BEST_FPERIOD_OVERRIDE=FQ","FILING_STATUS=MR","Sort=A","Dates=H","DateFormat=P","Fill=—","Direction=H","UseDPDF=Y")</f>
        <v>24.9312</v>
      </c>
      <c r="F20" s="14">
        <f>_xll.BDH("ALNY US Equity","WORK_CAP_GROWTH","FQ3 2019","FQ3 2019","Currency=USD","Period=FQ","BEST_FPERIOD_OVERRIDE=FQ","FILING_STATUS=MR","Sort=A","Dates=H","DateFormat=P","Fill=—","Direction=H","UseDPDF=Y")</f>
        <v>26.526299999999999</v>
      </c>
      <c r="G20" s="14">
        <f>_xll.BDH("ALNY US Equity","WORK_CAP_GROWTH","FQ4 2019","FQ4 2019","Currency=USD","Period=FQ","BEST_FPERIOD_OVERRIDE=FQ","FILING_STATUS=MR","Sort=A","Dates=H","DateFormat=P","Fill=—","Direction=H","UseDPDF=Y")</f>
        <v>33.496600000000001</v>
      </c>
      <c r="H20" s="14">
        <f>_xll.BDH("ALNY US Equity","WORK_CAP_GROWTH","FQ1 2020","FQ1 2020","Currency=USD","Period=FQ","BEST_FPERIOD_OVERRIDE=FQ","FILING_STATUS=MR","Sort=A","Dates=H","DateFormat=P","Fill=—","Direction=H","UseDPDF=Y")</f>
        <v>0.252</v>
      </c>
      <c r="I20" s="14">
        <f>_xll.BDH("ALNY US Equity","WORK_CAP_GROWTH","FQ2 2020","FQ2 2020","Currency=USD","Period=FQ","BEST_FPERIOD_OVERRIDE=FQ","FILING_STATUS=MR","Sort=A","Dates=H","DateFormat=P","Fill=—","Direction=H","UseDPDF=Y")</f>
        <v>2.3614000000000002</v>
      </c>
      <c r="J20" s="14">
        <f>_xll.BDH("ALNY US Equity","WORK_CAP_GROWTH","FQ3 2020","FQ3 2020","Currency=USD","Period=FQ","BEST_FPERIOD_OVERRIDE=FQ","FILING_STATUS=MR","Sort=A","Dates=H","DateFormat=P","Fill=—","Direction=H","UseDPDF=Y")</f>
        <v>34.321399999999997</v>
      </c>
      <c r="K20" s="14">
        <f>_xll.BDH("ALNY US Equity","WORK_CAP_GROWTH","FQ4 2020","FQ4 2020","Currency=USD","Period=FQ","BEST_FPERIOD_OVERRIDE=FQ","FILING_STATUS=MR","Sort=A","Dates=H","DateFormat=P","Fill=—","Direction=H","UseDPDF=Y")</f>
        <v>48.8705</v>
      </c>
      <c r="L20" s="14">
        <f>_xll.BDH("ALNY US Equity","WORK_CAP_GROWTH","FQ1 2021","FQ1 2021","Currency=USD","Period=FQ","BEST_FPERIOD_OVERRIDE=FQ","FILING_STATUS=MR","Sort=A","Dates=H","DateFormat=P","Fill=—","Direction=H","UseDPDF=Y")</f>
        <v>58.530200000000001</v>
      </c>
      <c r="M20" s="14">
        <f>_xll.BDH("ALNY US Equity","WORK_CAP_GROWTH","FQ2 2021","FQ2 2021","Currency=USD","Period=FQ","BEST_FPERIOD_OVERRIDE=FQ","FILING_STATUS=MR","Sort=A","Dates=H","DateFormat=P","Fill=—","Direction=H","UseDPDF=Y")</f>
        <v>22.203800000000001</v>
      </c>
      <c r="N20" s="14">
        <f>_xll.BDH("ALNY US Equity","WORK_CAP_GROWTH","FQ3 2021","FQ3 2021","Currency=USD","Period=FQ","BEST_FPERIOD_OVERRIDE=FQ","FILING_STATUS=MR","Sort=A","Dates=H","DateFormat=P","Fill=—","Direction=H","UseDPDF=Y")</f>
        <v>-0.47020000000000001</v>
      </c>
      <c r="O20" s="14">
        <f>_xll.BDH("ALNY US Equity","WORK_CAP_GROWTH","FQ4 2021","FQ4 2021","Currency=USD","Period=FQ","BEST_FPERIOD_OVERRIDE=FQ","FILING_STATUS=MR","Sort=A","Dates=H","DateFormat=P","Fill=—","Direction=H","UseDPDF=Y")</f>
        <v>4.1074000000000002</v>
      </c>
      <c r="P20" s="14">
        <f>_xll.BDH("ALNY US Equity","WORK_CAP_GROWTH","FQ1 2022","FQ1 2022","Currency=USD","Period=FQ","BEST_FPERIOD_OVERRIDE=FQ","FILING_STATUS=MR","Sort=A","Dates=H","DateFormat=P","Fill=—","Direction=H","UseDPDF=Y")</f>
        <v>0.42809999999999998</v>
      </c>
      <c r="Q20" s="14">
        <f>_xll.BDH("ALNY US Equity","WORK_CAP_GROWTH","FQ2 2022","FQ2 2022","Currency=USD","Period=FQ","BEST_FPERIOD_OVERRIDE=FQ","FILING_STATUS=MR","Sort=A","Dates=H","DateFormat=P","Fill=—","Direction=H","UseDPDF=Y")</f>
        <v>-16.427499999999998</v>
      </c>
      <c r="R20" s="14">
        <f>_xll.BDH("ALNY US Equity","WORK_CAP_GROWTH","FQ3 2022","FQ3 2022","Currency=USD","Period=FQ","BEST_FPERIOD_OVERRIDE=FQ","FILING_STATUS=MR","Sort=A","Dates=H","DateFormat=P","Fill=—","Direction=H","UseDPDF=Y")</f>
        <v>-7.1026999999999996</v>
      </c>
      <c r="S20" s="14">
        <f>_xll.BDH("ALNY US Equity","WORK_CAP_GROWTH","FQ4 2022","FQ4 2022","Currency=USD","Period=FQ","BEST_FPERIOD_OVERRIDE=FQ","FILING_STATUS=MR","Sort=A","Dates=H","DateFormat=P","Fill=—","Direction=H","UseDPDF=Y")</f>
        <v>-8.9230999999999998</v>
      </c>
      <c r="T20" s="14">
        <f>_xll.BDH("ALNY US Equity","WORK_CAP_GROWTH","FQ1 2023","FQ1 2023","Currency=USD","Period=FQ","BEST_FPERIOD_OVERRIDE=FQ","FILING_STATUS=MR","Sort=A","Dates=H","DateFormat=P","Fill=—","Direction=H","UseDPDF=Y")</f>
        <v>-5.8520000000000003</v>
      </c>
      <c r="U20" s="14">
        <f>_xll.BDH("ALNY US Equity","WORK_CAP_GROWTH","FQ2 2023","FQ2 2023","Currency=USD","Period=FQ","BEST_FPERIOD_OVERRIDE=FQ","FILING_STATUS=MR","Sort=A","Dates=H","DateFormat=P","Fill=—","Direction=H","UseDPDF=Y")</f>
        <v>-4.33</v>
      </c>
      <c r="V20" s="14">
        <f>_xll.BDH("ALNY US Equity","WORK_CAP_GROWTH","FQ3 2023","FQ3 2023","Currency=USD","Period=FQ","BEST_FPERIOD_OVERRIDE=FQ","FILING_STATUS=MR","Sort=A","Dates=H","DateFormat=P","Fill=—","Direction=H","UseDPDF=Y")</f>
        <v>6.1318000000000001</v>
      </c>
      <c r="W20" s="14">
        <f>_xll.BDH("ALNY US Equity","WORK_CAP_GROWTH","FQ4 2023","FQ4 2023","Currency=USD","Period=FQ","BEST_FPERIOD_OVERRIDE=FQ","FILING_STATUS=MR","Sort=A","Dates=H","DateFormat=P","Fill=—","Direction=H","UseDPDF=Y")</f>
        <v>4.7069999999999999</v>
      </c>
      <c r="X20" s="14">
        <f>_xll.BDH("ALNY US Equity","WORK_CAP_GROWTH","FQ1 2024","FQ1 2024","Currency=USD","Period=FQ","BEST_FPERIOD_OVERRIDE=FQ","FILING_STATUS=MR","Sort=A","Dates=H","DateFormat=P","Fill=—","Direction=H","UseDPDF=Y")</f>
        <v>9.5989000000000004</v>
      </c>
      <c r="Y20" s="14">
        <f>_xll.BDH("ALNY US Equity","WORK_CAP_GROWTH","FQ2 2024","FQ2 2024","Currency=USD","Period=FQ","BEST_FPERIOD_OVERRIDE=FQ","FILING_STATUS=MR","Sort=A","Dates=H","DateFormat=P","Fill=—","Direction=H","UseDPDF=Y")</f>
        <v>22.023499999999999</v>
      </c>
      <c r="Z20" s="14">
        <f>_xll.BDH("ALNY US Equity","WORK_CAP_GROWTH","FQ3 2024","FQ3 2024","Currency=USD","Period=FQ","BEST_FPERIOD_OVERRIDE=FQ","FILING_STATUS=MR","Sort=A","Dates=H","DateFormat=P","Fill=—","Direction=H","UseDPDF=Y")</f>
        <v>4.8678999999999997</v>
      </c>
      <c r="AA20" s="14">
        <f>_xll.BDH("ALNY US Equity","WORK_CAP_GROWTH","FQ4 2024","FQ4 2024","Currency=USD","Period=FQ","BEST_FPERIOD_OVERRIDE=FQ","FILING_STATUS=MR","Sort=A","Dates=H","DateFormat=P","Fill=—","Direction=H","UseDPDF=Y")</f>
        <v>4.6703000000000001</v>
      </c>
    </row>
    <row r="21" spans="1:27" x14ac:dyDescent="0.25">
      <c r="A21" s="10" t="s">
        <v>1387</v>
      </c>
      <c r="B21" s="10" t="s">
        <v>1388</v>
      </c>
      <c r="C21" s="14">
        <f>_xll.BDH("ALNY US Equity","EMPL_GROWTH","FQ4 2018","FQ4 2018","Currency=USD","Period=FQ","BEST_FPERIOD_OVERRIDE=FQ","FILING_STATUS=MR","Sort=A","Dates=H","DateFormat=P","Fill=—","Direction=H","UseDPDF=Y")</f>
        <v>42.189599999999999</v>
      </c>
      <c r="D21" s="14" t="str">
        <f>_xll.BDH("ALNY US Equity","EMPL_GROWTH","FQ1 2019","FQ1 2019","Currency=USD","Period=FQ","BEST_FPERIOD_OVERRIDE=FQ","FILING_STATUS=MR","Sort=A","Dates=H","DateFormat=P","Fill=—","Direction=H","UseDPDF=Y")</f>
        <v>—</v>
      </c>
      <c r="E21" s="14" t="str">
        <f>_xll.BDH("ALNY US Equity","EMPL_GROWTH","FQ2 2019","FQ2 2019","Currency=USD","Period=FQ","BEST_FPERIOD_OVERRIDE=FQ","FILING_STATUS=MR","Sort=A","Dates=H","DateFormat=P","Fill=—","Direction=H","UseDPDF=Y")</f>
        <v>—</v>
      </c>
      <c r="F21" s="14" t="str">
        <f>_xll.BDH("ALNY US Equity","EMPL_GROWTH","FQ3 2019","FQ3 2019","Currency=USD","Period=FQ","BEST_FPERIOD_OVERRIDE=FQ","FILING_STATUS=MR","Sort=A","Dates=H","DateFormat=P","Fill=—","Direction=H","UseDPDF=Y")</f>
        <v>—</v>
      </c>
      <c r="G21" s="14">
        <f>_xll.BDH("ALNY US Equity","EMPL_GROWTH","FQ4 2019","FQ4 2019","Currency=USD","Period=FQ","BEST_FPERIOD_OVERRIDE=FQ","FILING_STATUS=MR","Sort=A","Dates=H","DateFormat=P","Fill=—","Direction=H","UseDPDF=Y")</f>
        <v>24.2254</v>
      </c>
      <c r="H21" s="14" t="str">
        <f>_xll.BDH("ALNY US Equity","EMPL_GROWTH","FQ1 2020","FQ1 2020","Currency=USD","Period=FQ","BEST_FPERIOD_OVERRIDE=FQ","FILING_STATUS=MR","Sort=A","Dates=H","DateFormat=P","Fill=—","Direction=H","UseDPDF=Y")</f>
        <v>—</v>
      </c>
      <c r="I21" s="14" t="str">
        <f>_xll.BDH("ALNY US Equity","EMPL_GROWTH","FQ2 2020","FQ2 2020","Currency=USD","Period=FQ","BEST_FPERIOD_OVERRIDE=FQ","FILING_STATUS=MR","Sort=A","Dates=H","DateFormat=P","Fill=—","Direction=H","UseDPDF=Y")</f>
        <v>—</v>
      </c>
      <c r="J21" s="14" t="str">
        <f>_xll.BDH("ALNY US Equity","EMPL_GROWTH","FQ3 2020","FQ3 2020","Currency=USD","Period=FQ","BEST_FPERIOD_OVERRIDE=FQ","FILING_STATUS=MR","Sort=A","Dates=H","DateFormat=P","Fill=—","Direction=H","UseDPDF=Y")</f>
        <v>—</v>
      </c>
      <c r="K21" s="14">
        <f>_xll.BDH("ALNY US Equity","EMPL_GROWTH","FQ4 2020","FQ4 2020","Currency=USD","Period=FQ","BEST_FPERIOD_OVERRIDE=FQ","FILING_STATUS=MR","Sort=A","Dates=H","DateFormat=P","Fill=—","Direction=H","UseDPDF=Y")</f>
        <v>9.8262</v>
      </c>
      <c r="L21" s="14" t="str">
        <f>_xll.BDH("ALNY US Equity","EMPL_GROWTH","FQ1 2021","FQ1 2021","Currency=USD","Period=FQ","BEST_FPERIOD_OVERRIDE=FQ","FILING_STATUS=MR","Sort=A","Dates=H","DateFormat=P","Fill=—","Direction=H","UseDPDF=Y")</f>
        <v>—</v>
      </c>
      <c r="M21" s="14" t="str">
        <f>_xll.BDH("ALNY US Equity","EMPL_GROWTH","FQ2 2021","FQ2 2021","Currency=USD","Period=FQ","BEST_FPERIOD_OVERRIDE=FQ","FILING_STATUS=MR","Sort=A","Dates=H","DateFormat=P","Fill=—","Direction=H","UseDPDF=Y")</f>
        <v>—</v>
      </c>
      <c r="N21" s="14" t="str">
        <f>_xll.BDH("ALNY US Equity","EMPL_GROWTH","FQ3 2021","FQ3 2021","Currency=USD","Period=FQ","BEST_FPERIOD_OVERRIDE=FQ","FILING_STATUS=MR","Sort=A","Dates=H","DateFormat=P","Fill=—","Direction=H","UseDPDF=Y")</f>
        <v>—</v>
      </c>
      <c r="O21" s="14">
        <f>_xll.BDH("ALNY US Equity","EMPL_GROWTH","FQ4 2021","FQ4 2021","Currency=USD","Period=FQ","BEST_FPERIOD_OVERRIDE=FQ","FILING_STATUS=MR","Sort=A","Dates=H","DateFormat=P","Fill=—","Direction=H","UseDPDF=Y")</f>
        <v>14.5905</v>
      </c>
      <c r="P21" s="14" t="str">
        <f>_xll.BDH("ALNY US Equity","EMPL_GROWTH","FQ1 2022","FQ1 2022","Currency=USD","Period=FQ","BEST_FPERIOD_OVERRIDE=FQ","FILING_STATUS=MR","Sort=A","Dates=H","DateFormat=P","Fill=—","Direction=H","UseDPDF=Y")</f>
        <v>—</v>
      </c>
      <c r="Q21" s="14" t="str">
        <f>_xll.BDH("ALNY US Equity","EMPL_GROWTH","FQ2 2022","FQ2 2022","Currency=USD","Period=FQ","BEST_FPERIOD_OVERRIDE=FQ","FILING_STATUS=MR","Sort=A","Dates=H","DateFormat=P","Fill=—","Direction=H","UseDPDF=Y")</f>
        <v>—</v>
      </c>
      <c r="R21" s="14" t="str">
        <f>_xll.BDH("ALNY US Equity","EMPL_GROWTH","FQ3 2022","FQ3 2022","Currency=USD","Period=FQ","BEST_FPERIOD_OVERRIDE=FQ","FILING_STATUS=MR","Sort=A","Dates=H","DateFormat=P","Fill=—","Direction=H","UseDPDF=Y")</f>
        <v>—</v>
      </c>
      <c r="S21" s="14">
        <f>_xll.BDH("ALNY US Equity","EMPL_GROWTH","FQ4 2022","FQ4 2022","Currency=USD","Period=FQ","BEST_FPERIOD_OVERRIDE=FQ","FILING_STATUS=MR","Sort=A","Dates=H","DateFormat=P","Fill=—","Direction=H","UseDPDF=Y")</f>
        <v>20.240200000000002</v>
      </c>
      <c r="T21" s="14" t="str">
        <f>_xll.BDH("ALNY US Equity","EMPL_GROWTH","FQ1 2023","FQ1 2023","Currency=USD","Period=FQ","BEST_FPERIOD_OVERRIDE=FQ","FILING_STATUS=MR","Sort=A","Dates=H","DateFormat=P","Fill=—","Direction=H","UseDPDF=Y")</f>
        <v>—</v>
      </c>
      <c r="U21" s="14" t="str">
        <f>_xll.BDH("ALNY US Equity","EMPL_GROWTH","FQ2 2023","FQ2 2023","Currency=USD","Period=FQ","BEST_FPERIOD_OVERRIDE=FQ","FILING_STATUS=MR","Sort=A","Dates=H","DateFormat=P","Fill=—","Direction=H","UseDPDF=Y")</f>
        <v>—</v>
      </c>
      <c r="V21" s="14" t="str">
        <f>_xll.BDH("ALNY US Equity","EMPL_GROWTH","FQ3 2023","FQ3 2023","Currency=USD","Period=FQ","BEST_FPERIOD_OVERRIDE=FQ","FILING_STATUS=MR","Sort=A","Dates=H","DateFormat=P","Fill=—","Direction=H","UseDPDF=Y")</f>
        <v>—</v>
      </c>
      <c r="W21" s="14">
        <f>_xll.BDH("ALNY US Equity","EMPL_GROWTH","FQ4 2023","FQ4 2023","Currency=USD","Period=FQ","BEST_FPERIOD_OVERRIDE=FQ","FILING_STATUS=MR","Sort=A","Dates=H","DateFormat=P","Fill=—","Direction=H","UseDPDF=Y")</f>
        <v>4.8951000000000002</v>
      </c>
      <c r="X21" s="14" t="str">
        <f>_xll.BDH("ALNY US Equity","EMPL_GROWTH","FQ1 2024","FQ1 2024","Currency=USD","Period=FQ","BEST_FPERIOD_OVERRIDE=FQ","FILING_STATUS=MR","Sort=A","Dates=H","DateFormat=P","Fill=—","Direction=H","UseDPDF=Y")</f>
        <v>—</v>
      </c>
      <c r="Y21" s="14" t="str">
        <f>_xll.BDH("ALNY US Equity","EMPL_GROWTH","FQ2 2024","FQ2 2024","Currency=USD","Period=FQ","BEST_FPERIOD_OVERRIDE=FQ","FILING_STATUS=MR","Sort=A","Dates=H","DateFormat=P","Fill=—","Direction=H","UseDPDF=Y")</f>
        <v>—</v>
      </c>
      <c r="Z21" s="14" t="str">
        <f>_xll.BDH("ALNY US Equity","EMPL_GROWTH","FQ3 2024","FQ3 2024","Currency=USD","Period=FQ","BEST_FPERIOD_OVERRIDE=FQ","FILING_STATUS=MR","Sort=A","Dates=H","DateFormat=P","Fill=—","Direction=H","UseDPDF=Y")</f>
        <v>—</v>
      </c>
      <c r="AA21" s="14">
        <f>_xll.BDH("ALNY US Equity","EMPL_GROWTH","FQ4 2024","FQ4 2024","Currency=USD","Period=FQ","BEST_FPERIOD_OVERRIDE=FQ","FILING_STATUS=MR","Sort=A","Dates=H","DateFormat=P","Fill=—","Direction=H","UseDPDF=Y")</f>
        <v>6.1905000000000001</v>
      </c>
    </row>
    <row r="22" spans="1:27" x14ac:dyDescent="0.25">
      <c r="A22" s="10" t="s">
        <v>1389</v>
      </c>
      <c r="B22" s="10" t="s">
        <v>1390</v>
      </c>
      <c r="C22" s="14">
        <f>_xll.BDH("ALNY US Equity","ACCOUNTS_PAYABLE_GROWTH_1YR","FQ4 2018","FQ4 2018","Currency=USD","Period=FQ","BEST_FPERIOD_OVERRIDE=FQ","FILING_STATUS=MR","Sort=A","Dates=H","DateFormat=P","Fill=—","Direction=H","UseDPDF=Y")</f>
        <v>110.5731</v>
      </c>
      <c r="D22" s="14">
        <f>_xll.BDH("ALNY US Equity","ACCOUNTS_PAYABLE_GROWTH_1YR","FQ1 2019","FQ1 2019","Currency=USD","Period=FQ","BEST_FPERIOD_OVERRIDE=FQ","FILING_STATUS=MR","Sort=A","Dates=H","DateFormat=P","Fill=—","Direction=H","UseDPDF=Y")</f>
        <v>71.671999999999997</v>
      </c>
      <c r="E22" s="14">
        <f>_xll.BDH("ALNY US Equity","ACCOUNTS_PAYABLE_GROWTH_1YR","FQ2 2019","FQ2 2019","Currency=USD","Period=FQ","BEST_FPERIOD_OVERRIDE=FQ","FILING_STATUS=MR","Sort=A","Dates=H","DateFormat=P","Fill=—","Direction=H","UseDPDF=Y")</f>
        <v>494.05239999999998</v>
      </c>
      <c r="F22" s="14">
        <f>_xll.BDH("ALNY US Equity","ACCOUNTS_PAYABLE_GROWTH_1YR","FQ3 2019","FQ3 2019","Currency=USD","Period=FQ","BEST_FPERIOD_OVERRIDE=FQ","FILING_STATUS=MR","Sort=A","Dates=H","DateFormat=P","Fill=—","Direction=H","UseDPDF=Y")</f>
        <v>80.929599999999994</v>
      </c>
      <c r="G22" s="14">
        <f>_xll.BDH("ALNY US Equity","ACCOUNTS_PAYABLE_GROWTH_1YR","FQ4 2019","FQ4 2019","Currency=USD","Period=FQ","BEST_FPERIOD_OVERRIDE=FQ","FILING_STATUS=MR","Sort=A","Dates=H","DateFormat=P","Fill=—","Direction=H","UseDPDF=Y")</f>
        <v>-16.453399999999998</v>
      </c>
      <c r="H22" s="14">
        <f>_xll.BDH("ALNY US Equity","ACCOUNTS_PAYABLE_GROWTH_1YR","FQ1 2020","FQ1 2020","Currency=USD","Period=FQ","BEST_FPERIOD_OVERRIDE=FQ","FILING_STATUS=MR","Sort=A","Dates=H","DateFormat=P","Fill=—","Direction=H","UseDPDF=Y")</f>
        <v>78.571700000000007</v>
      </c>
      <c r="I22" s="14">
        <f>_xll.BDH("ALNY US Equity","ACCOUNTS_PAYABLE_GROWTH_1YR","FQ2 2020","FQ2 2020","Currency=USD","Period=FQ","BEST_FPERIOD_OVERRIDE=FQ","FILING_STATUS=MR","Sort=A","Dates=H","DateFormat=P","Fill=—","Direction=H","UseDPDF=Y")</f>
        <v>-63.315300000000001</v>
      </c>
      <c r="J22" s="14">
        <f>_xll.BDH("ALNY US Equity","ACCOUNTS_PAYABLE_GROWTH_1YR","FQ3 2020","FQ3 2020","Currency=USD","Period=FQ","BEST_FPERIOD_OVERRIDE=FQ","FILING_STATUS=MR","Sort=A","Dates=H","DateFormat=P","Fill=—","Direction=H","UseDPDF=Y")</f>
        <v>-29.244499999999999</v>
      </c>
      <c r="K22" s="14">
        <f>_xll.BDH("ALNY US Equity","ACCOUNTS_PAYABLE_GROWTH_1YR","FQ4 2020","FQ4 2020","Currency=USD","Period=FQ","BEST_FPERIOD_OVERRIDE=FQ","FILING_STATUS=MR","Sort=A","Dates=H","DateFormat=P","Fill=—","Direction=H","UseDPDF=Y")</f>
        <v>4.1737000000000002</v>
      </c>
      <c r="L22" s="14">
        <f>_xll.BDH("ALNY US Equity","ACCOUNTS_PAYABLE_GROWTH_1YR","FQ1 2021","FQ1 2021","Currency=USD","Period=FQ","BEST_FPERIOD_OVERRIDE=FQ","FILING_STATUS=MR","Sort=A","Dates=H","DateFormat=P","Fill=—","Direction=H","UseDPDF=Y")</f>
        <v>12.0961</v>
      </c>
      <c r="M22" s="14">
        <f>_xll.BDH("ALNY US Equity","ACCOUNTS_PAYABLE_GROWTH_1YR","FQ2 2021","FQ2 2021","Currency=USD","Period=FQ","BEST_FPERIOD_OVERRIDE=FQ","FILING_STATUS=MR","Sort=A","Dates=H","DateFormat=P","Fill=—","Direction=H","UseDPDF=Y")</f>
        <v>103.17319999999999</v>
      </c>
      <c r="N22" s="14">
        <f>_xll.BDH("ALNY US Equity","ACCOUNTS_PAYABLE_GROWTH_1YR","FQ3 2021","FQ3 2021","Currency=USD","Period=FQ","BEST_FPERIOD_OVERRIDE=FQ","FILING_STATUS=MR","Sort=A","Dates=H","DateFormat=P","Fill=—","Direction=H","UseDPDF=Y")</f>
        <v>43.685400000000001</v>
      </c>
      <c r="O22" s="14">
        <f>_xll.BDH("ALNY US Equity","ACCOUNTS_PAYABLE_GROWTH_1YR","FQ4 2021","FQ4 2021","Currency=USD","Period=FQ","BEST_FPERIOD_OVERRIDE=FQ","FILING_STATUS=MR","Sort=A","Dates=H","DateFormat=P","Fill=—","Direction=H","UseDPDF=Y")</f>
        <v>41.296199999999999</v>
      </c>
      <c r="P22" s="14">
        <f>_xll.BDH("ALNY US Equity","ACCOUNTS_PAYABLE_GROWTH_1YR","FQ1 2022","FQ1 2022","Currency=USD","Period=FQ","BEST_FPERIOD_OVERRIDE=FQ","FILING_STATUS=MR","Sort=A","Dates=H","DateFormat=P","Fill=—","Direction=H","UseDPDF=Y")</f>
        <v>21.010999999999999</v>
      </c>
      <c r="Q22" s="14">
        <f>_xll.BDH("ALNY US Equity","ACCOUNTS_PAYABLE_GROWTH_1YR","FQ2 2022","FQ2 2022","Currency=USD","Period=FQ","BEST_FPERIOD_OVERRIDE=FQ","FILING_STATUS=MR","Sort=A","Dates=H","DateFormat=P","Fill=—","Direction=H","UseDPDF=Y")</f>
        <v>-1.2453000000000001</v>
      </c>
      <c r="R22" s="14">
        <f>_xll.BDH("ALNY US Equity","ACCOUNTS_PAYABLE_GROWTH_1YR","FQ3 2022","FQ3 2022","Currency=USD","Period=FQ","BEST_FPERIOD_OVERRIDE=FQ","FILING_STATUS=MR","Sort=A","Dates=H","DateFormat=P","Fill=—","Direction=H","UseDPDF=Y")</f>
        <v>1.3084</v>
      </c>
      <c r="S22" s="14">
        <f>_xll.BDH("ALNY US Equity","ACCOUNTS_PAYABLE_GROWTH_1YR","FQ4 2022","FQ4 2022","Currency=USD","Period=FQ","BEST_FPERIOD_OVERRIDE=FQ","FILING_STATUS=MR","Sort=A","Dates=H","DateFormat=P","Fill=—","Direction=H","UseDPDF=Y")</f>
        <v>33.595700000000001</v>
      </c>
      <c r="T22" s="14">
        <f>_xll.BDH("ALNY US Equity","ACCOUNTS_PAYABLE_GROWTH_1YR","FQ1 2023","FQ1 2023","Currency=USD","Period=FQ","BEST_FPERIOD_OVERRIDE=FQ","FILING_STATUS=MR","Sort=A","Dates=H","DateFormat=P","Fill=—","Direction=H","UseDPDF=Y")</f>
        <v>13.331300000000001</v>
      </c>
      <c r="U22" s="14">
        <f>_xll.BDH("ALNY US Equity","ACCOUNTS_PAYABLE_GROWTH_1YR","FQ2 2023","FQ2 2023","Currency=USD","Period=FQ","BEST_FPERIOD_OVERRIDE=FQ","FILING_STATUS=MR","Sort=A","Dates=H","DateFormat=P","Fill=—","Direction=H","UseDPDF=Y")</f>
        <v>13.979900000000001</v>
      </c>
      <c r="V22" s="14">
        <f>_xll.BDH("ALNY US Equity","ACCOUNTS_PAYABLE_GROWTH_1YR","FQ3 2023","FQ3 2023","Currency=USD","Period=FQ","BEST_FPERIOD_OVERRIDE=FQ","FILING_STATUS=MR","Sort=A","Dates=H","DateFormat=P","Fill=—","Direction=H","UseDPDF=Y")</f>
        <v>81.997399999999999</v>
      </c>
      <c r="W22" s="14">
        <f>_xll.BDH("ALNY US Equity","ACCOUNTS_PAYABLE_GROWTH_1YR","FQ4 2023","FQ4 2023","Currency=USD","Period=FQ","BEST_FPERIOD_OVERRIDE=FQ","FILING_STATUS=MR","Sort=A","Dates=H","DateFormat=P","Fill=—","Direction=H","UseDPDF=Y")</f>
        <v>-43.402200000000001</v>
      </c>
      <c r="X22" s="14">
        <f>_xll.BDH("ALNY US Equity","ACCOUNTS_PAYABLE_GROWTH_1YR","FQ1 2024","FQ1 2024","Currency=USD","Period=FQ","BEST_FPERIOD_OVERRIDE=FQ","FILING_STATUS=MR","Sort=A","Dates=H","DateFormat=P","Fill=—","Direction=H","UseDPDF=Y")</f>
        <v>25.565200000000001</v>
      </c>
      <c r="Y22" s="14">
        <f>_xll.BDH("ALNY US Equity","ACCOUNTS_PAYABLE_GROWTH_1YR","FQ2 2024","FQ2 2024","Currency=USD","Period=FQ","BEST_FPERIOD_OVERRIDE=FQ","FILING_STATUS=MR","Sort=A","Dates=H","DateFormat=P","Fill=—","Direction=H","UseDPDF=Y")</f>
        <v>23.824200000000001</v>
      </c>
      <c r="Z22" s="14">
        <f>_xll.BDH("ALNY US Equity","ACCOUNTS_PAYABLE_GROWTH_1YR","FQ3 2024","FQ3 2024","Currency=USD","Period=FQ","BEST_FPERIOD_OVERRIDE=FQ","FILING_STATUS=MR","Sort=A","Dates=H","DateFormat=P","Fill=—","Direction=H","UseDPDF=Y")</f>
        <v>-4.1101999999999999</v>
      </c>
      <c r="AA22" s="14">
        <f>_xll.BDH("ALNY US Equity","ACCOUNTS_PAYABLE_GROWTH_1YR","FQ4 2024","FQ4 2024","Currency=USD","Period=FQ","BEST_FPERIOD_OVERRIDE=FQ","FILING_STATUS=MR","Sort=A","Dates=H","DateFormat=P","Fill=—","Direction=H","UseDPDF=Y")</f>
        <v>59.251800000000003</v>
      </c>
    </row>
    <row r="23" spans="1:27" x14ac:dyDescent="0.25">
      <c r="A23" s="10" t="s">
        <v>1391</v>
      </c>
      <c r="B23" s="10" t="s">
        <v>1392</v>
      </c>
      <c r="C23" s="14" t="str">
        <f>_xll.BDH("ALNY US Equity","SHORT_TERM_DEBT_1_YEAR_GROWTH","FQ4 2018","FQ4 2018","Currency=USD","Period=FQ","BEST_FPERIOD_OVERRIDE=FQ","FILING_STATUS=MR","Sort=A","Dates=H","DateFormat=P","Fill=—","Direction=H","UseDPDF=Y")</f>
        <v>—</v>
      </c>
      <c r="D23" s="14" t="str">
        <f>_xll.BDH("ALNY US Equity","SHORT_TERM_DEBT_1_YEAR_GROWTH","FQ1 2019","FQ1 2019","Currency=USD","Period=FQ","BEST_FPERIOD_OVERRIDE=FQ","FILING_STATUS=MR","Sort=A","Dates=H","DateFormat=P","Fill=—","Direction=H","UseDPDF=Y")</f>
        <v>—</v>
      </c>
      <c r="E23" s="14" t="str">
        <f>_xll.BDH("ALNY US Equity","SHORT_TERM_DEBT_1_YEAR_GROWTH","FQ2 2019","FQ2 2019","Currency=USD","Period=FQ","BEST_FPERIOD_OVERRIDE=FQ","FILING_STATUS=MR","Sort=A","Dates=H","DateFormat=P","Fill=—","Direction=H","UseDPDF=Y")</f>
        <v>—</v>
      </c>
      <c r="F23" s="14" t="str">
        <f>_xll.BDH("ALNY US Equity","SHORT_TERM_DEBT_1_YEAR_GROWTH","FQ3 2019","FQ3 2019","Currency=USD","Period=FQ","BEST_FPERIOD_OVERRIDE=FQ","FILING_STATUS=MR","Sort=A","Dates=H","DateFormat=P","Fill=—","Direction=H","UseDPDF=Y")</f>
        <v>—</v>
      </c>
      <c r="G23" s="14" t="str">
        <f>_xll.BDH("ALNY US Equity","SHORT_TERM_DEBT_1_YEAR_GROWTH","FQ4 2019","FQ4 2019","Currency=USD","Period=FQ","BEST_FPERIOD_OVERRIDE=FQ","FILING_STATUS=MR","Sort=A","Dates=H","DateFormat=P","Fill=—","Direction=H","UseDPDF=Y")</f>
        <v>—</v>
      </c>
      <c r="H23" s="14">
        <f>_xll.BDH("ALNY US Equity","SHORT_TERM_DEBT_1_YEAR_GROWTH","FQ1 2020","FQ1 2020","Currency=USD","Period=FQ","BEST_FPERIOD_OVERRIDE=FQ","FILING_STATUS=MR","Sort=A","Dates=H","DateFormat=P","Fill=—","Direction=H","UseDPDF=Y")</f>
        <v>71.072599999999994</v>
      </c>
      <c r="I23" s="14">
        <f>_xll.BDH("ALNY US Equity","SHORT_TERM_DEBT_1_YEAR_GROWTH","FQ2 2020","FQ2 2020","Currency=USD","Period=FQ","BEST_FPERIOD_OVERRIDE=FQ","FILING_STATUS=MR","Sort=A","Dates=H","DateFormat=P","Fill=—","Direction=H","UseDPDF=Y")</f>
        <v>13.970800000000001</v>
      </c>
      <c r="J23" s="14">
        <f>_xll.BDH("ALNY US Equity","SHORT_TERM_DEBT_1_YEAR_GROWTH","FQ3 2020","FQ3 2020","Currency=USD","Period=FQ","BEST_FPERIOD_OVERRIDE=FQ","FILING_STATUS=MR","Sort=A","Dates=H","DateFormat=P","Fill=—","Direction=H","UseDPDF=Y")</f>
        <v>14.2979</v>
      </c>
      <c r="K23" s="14">
        <f>_xll.BDH("ALNY US Equity","SHORT_TERM_DEBT_1_YEAR_GROWTH","FQ4 2020","FQ4 2020","Currency=USD","Period=FQ","BEST_FPERIOD_OVERRIDE=FQ","FILING_STATUS=MR","Sort=A","Dates=H","DateFormat=P","Fill=—","Direction=H","UseDPDF=Y")</f>
        <v>33.169600000000003</v>
      </c>
      <c r="L23" s="14">
        <f>_xll.BDH("ALNY US Equity","SHORT_TERM_DEBT_1_YEAR_GROWTH","FQ1 2021","FQ1 2021","Currency=USD","Period=FQ","BEST_FPERIOD_OVERRIDE=FQ","FILING_STATUS=MR","Sort=A","Dates=H","DateFormat=P","Fill=—","Direction=H","UseDPDF=Y")</f>
        <v>33.997900000000001</v>
      </c>
      <c r="M23" s="14">
        <f>_xll.BDH("ALNY US Equity","SHORT_TERM_DEBT_1_YEAR_GROWTH","FQ2 2021","FQ2 2021","Currency=USD","Period=FQ","BEST_FPERIOD_OVERRIDE=FQ","FILING_STATUS=MR","Sort=A","Dates=H","DateFormat=P","Fill=—","Direction=H","UseDPDF=Y")</f>
        <v>17.684699999999999</v>
      </c>
      <c r="N23" s="14">
        <f>_xll.BDH("ALNY US Equity","SHORT_TERM_DEBT_1_YEAR_GROWTH","FQ3 2021","FQ3 2021","Currency=USD","Period=FQ","BEST_FPERIOD_OVERRIDE=FQ","FILING_STATUS=MR","Sort=A","Dates=H","DateFormat=P","Fill=—","Direction=H","UseDPDF=Y")</f>
        <v>26.1556</v>
      </c>
      <c r="O23" s="14">
        <f>_xll.BDH("ALNY US Equity","SHORT_TERM_DEBT_1_YEAR_GROWTH","FQ4 2021","FQ4 2021","Currency=USD","Period=FQ","BEST_FPERIOD_OVERRIDE=FQ","FILING_STATUS=MR","Sort=A","Dates=H","DateFormat=P","Fill=—","Direction=H","UseDPDF=Y")</f>
        <v>9.9695999999999998</v>
      </c>
      <c r="P23" s="14">
        <f>_xll.BDH("ALNY US Equity","SHORT_TERM_DEBT_1_YEAR_GROWTH","FQ1 2022","FQ1 2022","Currency=USD","Period=FQ","BEST_FPERIOD_OVERRIDE=FQ","FILING_STATUS=MR","Sort=A","Dates=H","DateFormat=P","Fill=—","Direction=H","UseDPDF=Y")</f>
        <v>6.0975999999999999</v>
      </c>
      <c r="Q23" s="14">
        <f>_xll.BDH("ALNY US Equity","SHORT_TERM_DEBT_1_YEAR_GROWTH","FQ2 2022","FQ2 2022","Currency=USD","Period=FQ","BEST_FPERIOD_OVERRIDE=FQ","FILING_STATUS=MR","Sort=A","Dates=H","DateFormat=P","Fill=—","Direction=H","UseDPDF=Y")</f>
        <v>4.7609000000000004</v>
      </c>
      <c r="R23" s="14">
        <f>_xll.BDH("ALNY US Equity","SHORT_TERM_DEBT_1_YEAR_GROWTH","FQ3 2022","FQ3 2022","Currency=USD","Period=FQ","BEST_FPERIOD_OVERRIDE=FQ","FILING_STATUS=MR","Sort=A","Dates=H","DateFormat=P","Fill=—","Direction=H","UseDPDF=Y")</f>
        <v>2.3860000000000001</v>
      </c>
      <c r="S23" s="14">
        <f>_xll.BDH("ALNY US Equity","SHORT_TERM_DEBT_1_YEAR_GROWTH","FQ4 2022","FQ4 2022","Currency=USD","Period=FQ","BEST_FPERIOD_OVERRIDE=FQ","FILING_STATUS=MR","Sort=A","Dates=H","DateFormat=P","Fill=—","Direction=H","UseDPDF=Y")</f>
        <v>3.4996</v>
      </c>
      <c r="T23" s="14">
        <f>_xll.BDH("ALNY US Equity","SHORT_TERM_DEBT_1_YEAR_GROWTH","FQ1 2023","FQ1 2023","Currency=USD","Period=FQ","BEST_FPERIOD_OVERRIDE=FQ","FILING_STATUS=MR","Sort=A","Dates=H","DateFormat=P","Fill=—","Direction=H","UseDPDF=Y")</f>
        <v>4.2746000000000004</v>
      </c>
      <c r="U23" s="14">
        <f>_xll.BDH("ALNY US Equity","SHORT_TERM_DEBT_1_YEAR_GROWTH","FQ2 2023","FQ2 2023","Currency=USD","Period=FQ","BEST_FPERIOD_OVERRIDE=FQ","FILING_STATUS=MR","Sort=A","Dates=H","DateFormat=P","Fill=—","Direction=H","UseDPDF=Y")</f>
        <v>2.0322</v>
      </c>
      <c r="V23" s="14">
        <f>_xll.BDH("ALNY US Equity","SHORT_TERM_DEBT_1_YEAR_GROWTH","FQ3 2023","FQ3 2023","Currency=USD","Period=FQ","BEST_FPERIOD_OVERRIDE=FQ","FILING_STATUS=MR","Sort=A","Dates=H","DateFormat=P","Fill=—","Direction=H","UseDPDF=Y")</f>
        <v>-0.15629999999999999</v>
      </c>
      <c r="W23" s="14">
        <f>_xll.BDH("ALNY US Equity","SHORT_TERM_DEBT_1_YEAR_GROWTH","FQ4 2023","FQ4 2023","Currency=USD","Period=FQ","BEST_FPERIOD_OVERRIDE=FQ","FILING_STATUS=MR","Sort=A","Dates=H","DateFormat=P","Fill=—","Direction=H","UseDPDF=Y")</f>
        <v>-1.089</v>
      </c>
      <c r="X23" s="14">
        <f>_xll.BDH("ALNY US Equity","SHORT_TERM_DEBT_1_YEAR_GROWTH","FQ1 2024","FQ1 2024","Currency=USD","Period=FQ","BEST_FPERIOD_OVERRIDE=FQ","FILING_STATUS=MR","Sort=A","Dates=H","DateFormat=P","Fill=—","Direction=H","UseDPDF=Y")</f>
        <v>-3.2122000000000002</v>
      </c>
      <c r="Y23" s="14">
        <f>_xll.BDH("ALNY US Equity","SHORT_TERM_DEBT_1_YEAR_GROWTH","FQ2 2024","FQ2 2024","Currency=USD","Period=FQ","BEST_FPERIOD_OVERRIDE=FQ","FILING_STATUS=MR","Sort=A","Dates=H","DateFormat=P","Fill=—","Direction=H","UseDPDF=Y")</f>
        <v>-0.99350000000000005</v>
      </c>
      <c r="Z23" s="14">
        <f>_xll.BDH("ALNY US Equity","SHORT_TERM_DEBT_1_YEAR_GROWTH","FQ3 2024","FQ3 2024","Currency=USD","Period=FQ","BEST_FPERIOD_OVERRIDE=FQ","FILING_STATUS=MR","Sort=A","Dates=H","DateFormat=P","Fill=—","Direction=H","UseDPDF=Y")</f>
        <v>1.5126999999999999</v>
      </c>
      <c r="AA23" s="14">
        <f>_xll.BDH("ALNY US Equity","SHORT_TERM_DEBT_1_YEAR_GROWTH","FQ4 2024","FQ4 2024","Currency=USD","Period=FQ","BEST_FPERIOD_OVERRIDE=FQ","FILING_STATUS=MR","Sort=A","Dates=H","DateFormat=P","Fill=—","Direction=H","UseDPDF=Y")</f>
        <v>0.90580000000000005</v>
      </c>
    </row>
    <row r="24" spans="1:27" x14ac:dyDescent="0.25">
      <c r="A24" s="10" t="s">
        <v>1393</v>
      </c>
      <c r="B24" s="10" t="s">
        <v>1394</v>
      </c>
      <c r="C24" s="14">
        <f>_xll.BDH("ALNY US Equity","TOTAL_DEBT_1_YEAR_GROWTH","FQ4 2018","FQ4 2018","Currency=USD","Period=FQ","BEST_FPERIOD_OVERRIDE=FQ","FILING_STATUS=MR","Sort=A","Dates=H","DateFormat=P","Fill=—","Direction=H","UseDPDF=Y")</f>
        <v>0</v>
      </c>
      <c r="D24" s="14">
        <f>_xll.BDH("ALNY US Equity","TOTAL_DEBT_1_YEAR_GROWTH","FQ1 2019","FQ1 2019","Currency=USD","Period=FQ","BEST_FPERIOD_OVERRIDE=FQ","FILING_STATUS=MR","Sort=A","Dates=H","DateFormat=P","Fill=—","Direction=H","UseDPDF=Y")</f>
        <v>997.59</v>
      </c>
      <c r="E24" s="14">
        <f>_xll.BDH("ALNY US Equity","TOTAL_DEBT_1_YEAR_GROWTH","FQ2 2019","FQ2 2019","Currency=USD","Period=FQ","BEST_FPERIOD_OVERRIDE=FQ","FILING_STATUS=MR","Sort=A","Dates=H","DateFormat=P","Fill=—","Direction=H","UseDPDF=Y")</f>
        <v>1021.86</v>
      </c>
      <c r="F24" s="14">
        <f>_xll.BDH("ALNY US Equity","TOTAL_DEBT_1_YEAR_GROWTH","FQ3 2019","FQ3 2019","Currency=USD","Period=FQ","BEST_FPERIOD_OVERRIDE=FQ","FILING_STATUS=MR","Sort=A","Dates=H","DateFormat=P","Fill=—","Direction=H","UseDPDF=Y")</f>
        <v>915.40329999999994</v>
      </c>
      <c r="G24" s="14">
        <f>_xll.BDH("ALNY US Equity","TOTAL_DEBT_1_YEAR_GROWTH","FQ4 2019","FQ4 2019","Currency=USD","Period=FQ","BEST_FPERIOD_OVERRIDE=FQ","FILING_STATUS=MR","Sort=A","Dates=H","DateFormat=P","Fill=—","Direction=H","UseDPDF=Y")</f>
        <v>912.74329999999998</v>
      </c>
      <c r="H24" s="14">
        <f>_xll.BDH("ALNY US Equity","TOTAL_DEBT_1_YEAR_GROWTH","FQ1 2020","FQ1 2020","Currency=USD","Period=FQ","BEST_FPERIOD_OVERRIDE=FQ","FILING_STATUS=MR","Sort=A","Dates=H","DateFormat=P","Fill=—","Direction=H","UseDPDF=Y")</f>
        <v>-7.4260000000000002</v>
      </c>
      <c r="I24" s="14">
        <f>_xll.BDH("ALNY US Equity","TOTAL_DEBT_1_YEAR_GROWTH","FQ2 2020","FQ2 2020","Currency=USD","Period=FQ","BEST_FPERIOD_OVERRIDE=FQ","FILING_STATUS=MR","Sort=A","Dates=H","DateFormat=P","Fill=—","Direction=H","UseDPDF=Y")</f>
        <v>-6.3860999999999999</v>
      </c>
      <c r="J24" s="14">
        <f>_xll.BDH("ALNY US Equity","TOTAL_DEBT_1_YEAR_GROWTH","FQ3 2020","FQ3 2020","Currency=USD","Period=FQ","BEST_FPERIOD_OVERRIDE=FQ","FILING_STATUS=MR","Sort=A","Dates=H","DateFormat=P","Fill=—","Direction=H","UseDPDF=Y")</f>
        <v>8.1521000000000008</v>
      </c>
      <c r="K24" s="14">
        <f>_xll.BDH("ALNY US Equity","TOTAL_DEBT_1_YEAR_GROWTH","FQ4 2020","FQ4 2020","Currency=USD","Period=FQ","BEST_FPERIOD_OVERRIDE=FQ","FILING_STATUS=MR","Sort=A","Dates=H","DateFormat=P","Fill=—","Direction=H","UseDPDF=Y")</f>
        <v>71.543599999999998</v>
      </c>
      <c r="L24" s="14">
        <f>_xll.BDH("ALNY US Equity","TOTAL_DEBT_1_YEAR_GROWTH","FQ1 2021","FQ1 2021","Currency=USD","Period=FQ","BEST_FPERIOD_OVERRIDE=FQ","FILING_STATUS=MR","Sort=A","Dates=H","DateFormat=P","Fill=—","Direction=H","UseDPDF=Y")</f>
        <v>70.104799999999997</v>
      </c>
      <c r="M24" s="14">
        <f>_xll.BDH("ALNY US Equity","TOTAL_DEBT_1_YEAR_GROWTH","FQ2 2021","FQ2 2021","Currency=USD","Period=FQ","BEST_FPERIOD_OVERRIDE=FQ","FILING_STATUS=MR","Sort=A","Dates=H","DateFormat=P","Fill=—","Direction=H","UseDPDF=Y")</f>
        <v>141.56030000000001</v>
      </c>
      <c r="N24" s="14">
        <f>_xll.BDH("ALNY US Equity","TOTAL_DEBT_1_YEAR_GROWTH","FQ3 2021","FQ3 2021","Currency=USD","Period=FQ","BEST_FPERIOD_OVERRIDE=FQ","FILING_STATUS=MR","Sort=A","Dates=H","DateFormat=P","Fill=—","Direction=H","UseDPDF=Y")</f>
        <v>130.8186</v>
      </c>
      <c r="O24" s="14">
        <f>_xll.BDH("ALNY US Equity","TOTAL_DEBT_1_YEAR_GROWTH","FQ4 2021","FQ4 2021","Currency=USD","Period=FQ","BEST_FPERIOD_OVERRIDE=FQ","FILING_STATUS=MR","Sort=A","Dates=H","DateFormat=P","Fill=—","Direction=H","UseDPDF=Y")</f>
        <v>91.406999999999996</v>
      </c>
      <c r="P24" s="14">
        <f>_xll.BDH("ALNY US Equity","TOTAL_DEBT_1_YEAR_GROWTH","FQ1 2022","FQ1 2022","Currency=USD","Period=FQ","BEST_FPERIOD_OVERRIDE=FQ","FILING_STATUS=MR","Sort=A","Dates=H","DateFormat=P","Fill=—","Direction=H","UseDPDF=Y")</f>
        <v>91.966399999999993</v>
      </c>
      <c r="Q24" s="14">
        <f>_xll.BDH("ALNY US Equity","TOTAL_DEBT_1_YEAR_GROWTH","FQ2 2022","FQ2 2022","Currency=USD","Period=FQ","BEST_FPERIOD_OVERRIDE=FQ","FILING_STATUS=MR","Sort=A","Dates=H","DateFormat=P","Fill=—","Direction=H","UseDPDF=Y")</f>
        <v>30.207799999999999</v>
      </c>
      <c r="R24" s="14">
        <f>_xll.BDH("ALNY US Equity","TOTAL_DEBT_1_YEAR_GROWTH","FQ3 2022","FQ3 2022","Currency=USD","Period=FQ","BEST_FPERIOD_OVERRIDE=FQ","FILING_STATUS=MR","Sort=A","Dates=H","DateFormat=P","Fill=—","Direction=H","UseDPDF=Y")</f>
        <v>102.4847</v>
      </c>
      <c r="S24" s="14">
        <f>_xll.BDH("ALNY US Equity","TOTAL_DEBT_1_YEAR_GROWTH","FQ4 2022","FQ4 2022","Currency=USD","Period=FQ","BEST_FPERIOD_OVERRIDE=FQ","FILING_STATUS=MR","Sort=A","Dates=H","DateFormat=P","Fill=—","Direction=H","UseDPDF=Y")</f>
        <v>32.343499999999999</v>
      </c>
      <c r="T24" s="14">
        <f>_xll.BDH("ALNY US Equity","TOTAL_DEBT_1_YEAR_GROWTH","FQ1 2023","FQ1 2023","Currency=USD","Period=FQ","BEST_FPERIOD_OVERRIDE=FQ","FILING_STATUS=MR","Sort=A","Dates=H","DateFormat=P","Fill=—","Direction=H","UseDPDF=Y")</f>
        <v>32.645899999999997</v>
      </c>
      <c r="U24" s="14">
        <f>_xll.BDH("ALNY US Equity","TOTAL_DEBT_1_YEAR_GROWTH","FQ2 2023","FQ2 2023","Currency=USD","Period=FQ","BEST_FPERIOD_OVERRIDE=FQ","FILING_STATUS=MR","Sort=A","Dates=H","DateFormat=P","Fill=—","Direction=H","UseDPDF=Y")</f>
        <v>32.630299999999998</v>
      </c>
      <c r="V24" s="14">
        <f>_xll.BDH("ALNY US Equity","TOTAL_DEBT_1_YEAR_GROWTH","FQ3 2023","FQ3 2023","Currency=USD","Period=FQ","BEST_FPERIOD_OVERRIDE=FQ","FILING_STATUS=MR","Sort=A","Dates=H","DateFormat=P","Fill=—","Direction=H","UseDPDF=Y")</f>
        <v>-14.9854</v>
      </c>
      <c r="W24" s="14">
        <f>_xll.BDH("ALNY US Equity","TOTAL_DEBT_1_YEAR_GROWTH","FQ4 2023","FQ4 2023","Currency=USD","Period=FQ","BEST_FPERIOD_OVERRIDE=FQ","FILING_STATUS=MR","Sort=A","Dates=H","DateFormat=P","Fill=—","Direction=H","UseDPDF=Y")</f>
        <v>-1.1255999999999999</v>
      </c>
      <c r="X24" s="14">
        <f>_xll.BDH("ALNY US Equity","TOTAL_DEBT_1_YEAR_GROWTH","FQ1 2024","FQ1 2024","Currency=USD","Period=FQ","BEST_FPERIOD_OVERRIDE=FQ","FILING_STATUS=MR","Sort=A","Dates=H","DateFormat=P","Fill=—","Direction=H","UseDPDF=Y")</f>
        <v>-1.4472</v>
      </c>
      <c r="Y24" s="14">
        <f>_xll.BDH("ALNY US Equity","TOTAL_DEBT_1_YEAR_GROWTH","FQ2 2024","FQ2 2024","Currency=USD","Period=FQ","BEST_FPERIOD_OVERRIDE=FQ","FILING_STATUS=MR","Sort=A","Dates=H","DateFormat=P","Fill=—","Direction=H","UseDPDF=Y")</f>
        <v>101.3398</v>
      </c>
      <c r="Z24" s="14">
        <f>_xll.BDH("ALNY US Equity","TOTAL_DEBT_1_YEAR_GROWTH","FQ3 2024","FQ3 2024","Currency=USD","Period=FQ","BEST_FPERIOD_OVERRIDE=FQ","FILING_STATUS=MR","Sort=A","Dates=H","DateFormat=P","Fill=—","Direction=H","UseDPDF=Y")</f>
        <v>-0.55059999999999998</v>
      </c>
      <c r="AA24" s="14">
        <f>_xll.BDH("ALNY US Equity","TOTAL_DEBT_1_YEAR_GROWTH","FQ4 2024","FQ4 2024","Currency=USD","Period=FQ","BEST_FPERIOD_OVERRIDE=FQ","FILING_STATUS=MR","Sort=A","Dates=H","DateFormat=P","Fill=—","Direction=H","UseDPDF=Y")</f>
        <v>-0.71540000000000004</v>
      </c>
    </row>
    <row r="25" spans="1:27" x14ac:dyDescent="0.25">
      <c r="A25" s="10" t="s">
        <v>118</v>
      </c>
      <c r="B25" s="10" t="s">
        <v>1395</v>
      </c>
      <c r="C25" s="14">
        <f>_xll.BDH("ALNY US Equity","TOTAL_EQUITY_1_YEAR_GROWTH","FQ4 2018","FQ4 2018","Currency=USD","Period=FQ","BEST_FPERIOD_OVERRIDE=FQ","FILING_STATUS=MR","Sort=A","Dates=H","DateFormat=P","Fill=—","Direction=H","UseDPDF=Y")</f>
        <v>-26.294</v>
      </c>
      <c r="D25" s="14">
        <f>_xll.BDH("ALNY US Equity","TOTAL_EQUITY_1_YEAR_GROWTH","FQ1 2019","FQ1 2019","Currency=USD","Period=FQ","BEST_FPERIOD_OVERRIDE=FQ","FILING_STATUS=MR","Sort=A","Dates=H","DateFormat=P","Fill=—","Direction=H","UseDPDF=Y")</f>
        <v>-11.8429</v>
      </c>
      <c r="E25" s="14">
        <f>_xll.BDH("ALNY US Equity","TOTAL_EQUITY_1_YEAR_GROWTH","FQ2 2019","FQ2 2019","Currency=USD","Period=FQ","BEST_FPERIOD_OVERRIDE=FQ","FILING_STATUS=MR","Sort=A","Dates=H","DateFormat=P","Fill=—","Direction=H","UseDPDF=Y")</f>
        <v>8.4152000000000005</v>
      </c>
      <c r="F25" s="14">
        <f>_xll.BDH("ALNY US Equity","TOTAL_EQUITY_1_YEAR_GROWTH","FQ3 2019","FQ3 2019","Currency=USD","Period=FQ","BEST_FPERIOD_OVERRIDE=FQ","FILING_STATUS=MR","Sort=A","Dates=H","DateFormat=P","Fill=—","Direction=H","UseDPDF=Y")</f>
        <v>8.7250999999999994</v>
      </c>
      <c r="G25" s="14">
        <f>_xll.BDH("ALNY US Equity","TOTAL_EQUITY_1_YEAR_GROWTH","FQ4 2019","FQ4 2019","Currency=USD","Period=FQ","BEST_FPERIOD_OVERRIDE=FQ","FILING_STATUS=MR","Sort=A","Dates=H","DateFormat=P","Fill=—","Direction=H","UseDPDF=Y")</f>
        <v>10.5016</v>
      </c>
      <c r="H25" s="14">
        <f>_xll.BDH("ALNY US Equity","TOTAL_EQUITY_1_YEAR_GROWTH","FQ1 2020","FQ1 2020","Currency=USD","Period=FQ","BEST_FPERIOD_OVERRIDE=FQ","FILING_STATUS=MR","Sort=A","Dates=H","DateFormat=P","Fill=—","Direction=H","UseDPDF=Y")</f>
        <v>-12.751099999999999</v>
      </c>
      <c r="I25" s="14">
        <f>_xll.BDH("ALNY US Equity","TOTAL_EQUITY_1_YEAR_GROWTH","FQ2 2020","FQ2 2020","Currency=USD","Period=FQ","BEST_FPERIOD_OVERRIDE=FQ","FILING_STATUS=MR","Sort=A","Dates=H","DateFormat=P","Fill=—","Direction=H","UseDPDF=Y")</f>
        <v>-20.3432</v>
      </c>
      <c r="J25" s="14">
        <f>_xll.BDH("ALNY US Equity","TOTAL_EQUITY_1_YEAR_GROWTH","FQ3 2020","FQ3 2020","Currency=USD","Period=FQ","BEST_FPERIOD_OVERRIDE=FQ","FILING_STATUS=MR","Sort=A","Dates=H","DateFormat=P","Fill=—","Direction=H","UseDPDF=Y")</f>
        <v>-24.395900000000001</v>
      </c>
      <c r="K25" s="14">
        <f>_xll.BDH("ALNY US Equity","TOTAL_EQUITY_1_YEAR_GROWTH","FQ4 2020","FQ4 2020","Currency=USD","Period=FQ","BEST_FPERIOD_OVERRIDE=FQ","FILING_STATUS=MR","Sort=A","Dates=H","DateFormat=P","Fill=—","Direction=H","UseDPDF=Y")</f>
        <v>-29.363099999999999</v>
      </c>
      <c r="L25" s="14">
        <f>_xll.BDH("ALNY US Equity","TOTAL_EQUITY_1_YEAR_GROWTH","FQ1 2021","FQ1 2021","Currency=USD","Period=FQ","BEST_FPERIOD_OVERRIDE=FQ","FILING_STATUS=MR","Sort=A","Dates=H","DateFormat=P","Fill=—","Direction=H","UseDPDF=Y")</f>
        <v>-31.3796</v>
      </c>
      <c r="M25" s="14">
        <f>_xll.BDH("ALNY US Equity","TOTAL_EQUITY_1_YEAR_GROWTH","FQ2 2021","FQ2 2021","Currency=USD","Period=FQ","BEST_FPERIOD_OVERRIDE=FQ","FILING_STATUS=MR","Sort=A","Dates=H","DateFormat=P","Fill=—","Direction=H","UseDPDF=Y")</f>
        <v>-39.0336</v>
      </c>
      <c r="N25" s="14">
        <f>_xll.BDH("ALNY US Equity","TOTAL_EQUITY_1_YEAR_GROWTH","FQ3 2021","FQ3 2021","Currency=USD","Period=FQ","BEST_FPERIOD_OVERRIDE=FQ","FILING_STATUS=MR","Sort=A","Dates=H","DateFormat=P","Fill=—","Direction=H","UseDPDF=Y")</f>
        <v>-37.787799999999997</v>
      </c>
      <c r="O25" s="14">
        <f>_xll.BDH("ALNY US Equity","TOTAL_EQUITY_1_YEAR_GROWTH","FQ4 2021","FQ4 2021","Currency=USD","Period=FQ","BEST_FPERIOD_OVERRIDE=FQ","FILING_STATUS=MR","Sort=A","Dates=H","DateFormat=P","Fill=—","Direction=H","UseDPDF=Y")</f>
        <v>-42.120100000000001</v>
      </c>
      <c r="P25" s="14">
        <f>_xll.BDH("ALNY US Equity","TOTAL_EQUITY_1_YEAR_GROWTH","FQ1 2022","FQ1 2022","Currency=USD","Period=FQ","BEST_FPERIOD_OVERRIDE=FQ","FILING_STATUS=MR","Sort=A","Dates=H","DateFormat=P","Fill=—","Direction=H","UseDPDF=Y")</f>
        <v>-56.686399999999999</v>
      </c>
      <c r="Q25" s="14">
        <f>_xll.BDH("ALNY US Equity","TOTAL_EQUITY_1_YEAR_GROWTH","FQ2 2022","FQ2 2022","Currency=USD","Period=FQ","BEST_FPERIOD_OVERRIDE=FQ","FILING_STATUS=MR","Sort=A","Dates=H","DateFormat=P","Fill=—","Direction=H","UseDPDF=Y")</f>
        <v>-79.370999999999995</v>
      </c>
      <c r="R25" s="14" t="str">
        <f>_xll.BDH("ALNY US Equity","TOTAL_EQUITY_1_YEAR_GROWTH","FQ3 2022","FQ3 2022","Currency=USD","Period=FQ","BEST_FPERIOD_OVERRIDE=FQ","FILING_STATUS=MR","Sort=A","Dates=H","DateFormat=P","Fill=—","Direction=H","UseDPDF=Y")</f>
        <v>—</v>
      </c>
      <c r="S25" s="14" t="str">
        <f>_xll.BDH("ALNY US Equity","TOTAL_EQUITY_1_YEAR_GROWTH","FQ4 2022","FQ4 2022","Currency=USD","Period=FQ","BEST_FPERIOD_OVERRIDE=FQ","FILING_STATUS=MR","Sort=A","Dates=H","DateFormat=P","Fill=—","Direction=H","UseDPDF=Y")</f>
        <v>—</v>
      </c>
      <c r="T25" s="14" t="str">
        <f>_xll.BDH("ALNY US Equity","TOTAL_EQUITY_1_YEAR_GROWTH","FQ1 2023","FQ1 2023","Currency=USD","Period=FQ","BEST_FPERIOD_OVERRIDE=FQ","FILING_STATUS=MR","Sort=A","Dates=H","DateFormat=P","Fill=—","Direction=H","UseDPDF=Y")</f>
        <v>—</v>
      </c>
      <c r="U25" s="14" t="str">
        <f>_xll.BDH("ALNY US Equity","TOTAL_EQUITY_1_YEAR_GROWTH","FQ2 2023","FQ2 2023","Currency=USD","Period=FQ","BEST_FPERIOD_OVERRIDE=FQ","FILING_STATUS=MR","Sort=A","Dates=H","DateFormat=P","Fill=—","Direction=H","UseDPDF=Y")</f>
        <v>—</v>
      </c>
      <c r="V25" s="14">
        <f>_xll.BDH("ALNY US Equity","TOTAL_EQUITY_1_YEAR_GROWTH","FQ3 2023","FQ3 2023","Currency=USD","Period=FQ","BEST_FPERIOD_OVERRIDE=FQ","FILING_STATUS=MR","Sort=A","Dates=H","DateFormat=P","Fill=—","Direction=H","UseDPDF=Y")</f>
        <v>-145.2261</v>
      </c>
      <c r="W25" s="14">
        <f>_xll.BDH("ALNY US Equity","TOTAL_EQUITY_1_YEAR_GROWTH","FQ4 2023","FQ4 2023","Currency=USD","Period=FQ","BEST_FPERIOD_OVERRIDE=FQ","FILING_STATUS=MR","Sort=A","Dates=H","DateFormat=P","Fill=—","Direction=H","UseDPDF=Y")</f>
        <v>-39.451300000000003</v>
      </c>
      <c r="X25" s="14">
        <f>_xll.BDH("ALNY US Equity","TOTAL_EQUITY_1_YEAR_GROWTH","FQ1 2024","FQ1 2024","Currency=USD","Period=FQ","BEST_FPERIOD_OVERRIDE=FQ","FILING_STATUS=MR","Sort=A","Dates=H","DateFormat=P","Fill=—","Direction=H","UseDPDF=Y")</f>
        <v>15.417400000000001</v>
      </c>
      <c r="Y25" s="14">
        <f>_xll.BDH("ALNY US Equity","TOTAL_EQUITY_1_YEAR_GROWTH","FQ2 2024","FQ2 2024","Currency=USD","Period=FQ","BEST_FPERIOD_OVERRIDE=FQ","FILING_STATUS=MR","Sort=A","Dates=H","DateFormat=P","Fill=—","Direction=H","UseDPDF=Y")</f>
        <v>99.248500000000007</v>
      </c>
      <c r="Z25" s="14" t="str">
        <f>_xll.BDH("ALNY US Equity","TOTAL_EQUITY_1_YEAR_GROWTH","FQ3 2024","FQ3 2024","Currency=USD","Period=FQ","BEST_FPERIOD_OVERRIDE=FQ","FILING_STATUS=MR","Sort=A","Dates=H","DateFormat=P","Fill=—","Direction=H","UseDPDF=Y")</f>
        <v>—</v>
      </c>
      <c r="AA25" s="14" t="str">
        <f>_xll.BDH("ALNY US Equity","TOTAL_EQUITY_1_YEAR_GROWTH","FQ4 2024","FQ4 2024","Currency=USD","Period=FQ","BEST_FPERIOD_OVERRIDE=FQ","FILING_STATUS=MR","Sort=A","Dates=H","DateFormat=P","Fill=—","Direction=H","UseDPDF=Y")</f>
        <v>—</v>
      </c>
    </row>
    <row r="26" spans="1:27" x14ac:dyDescent="0.25">
      <c r="A26" s="10" t="s">
        <v>1396</v>
      </c>
      <c r="B26" s="10" t="s">
        <v>1397</v>
      </c>
      <c r="C26" s="14">
        <f>_xll.BDH("ALNY US Equity","GROWTH_IN_CAP","FQ4 2018","FQ4 2018","Currency=USD","Period=FQ","BEST_FPERIOD_OVERRIDE=FQ","FILING_STATUS=MR","Sort=A","Dates=H","DateFormat=P","Fill=—","Direction=H","UseDPDF=Y")</f>
        <v>-25.854900000000001</v>
      </c>
      <c r="D26" s="14">
        <f>_xll.BDH("ALNY US Equity","GROWTH_IN_CAP","FQ1 2019","FQ1 2019","Currency=USD","Period=FQ","BEST_FPERIOD_OVERRIDE=FQ","FILING_STATUS=MR","Sort=A","Dates=H","DateFormat=P","Fill=—","Direction=H","UseDPDF=Y")</f>
        <v>5.1242999999999999</v>
      </c>
      <c r="E26" s="14">
        <f>_xll.BDH("ALNY US Equity","GROWTH_IN_CAP","FQ2 2019","FQ2 2019","Currency=USD","Period=FQ","BEST_FPERIOD_OVERRIDE=FQ","FILING_STATUS=MR","Sort=A","Dates=H","DateFormat=P","Fill=—","Direction=H","UseDPDF=Y")</f>
        <v>26.8325</v>
      </c>
      <c r="F26" s="14">
        <f>_xll.BDH("ALNY US Equity","GROWTH_IN_CAP","FQ3 2019","FQ3 2019","Currency=USD","Period=FQ","BEST_FPERIOD_OVERRIDE=FQ","FILING_STATUS=MR","Sort=A","Dates=H","DateFormat=P","Fill=—","Direction=H","UseDPDF=Y")</f>
        <v>26.761099999999999</v>
      </c>
      <c r="G26" s="14">
        <f>_xll.BDH("ALNY US Equity","GROWTH_IN_CAP","FQ4 2019","FQ4 2019","Currency=USD","Period=FQ","BEST_FPERIOD_OVERRIDE=FQ","FILING_STATUS=MR","Sort=A","Dates=H","DateFormat=P","Fill=—","Direction=H","UseDPDF=Y")</f>
        <v>30.822900000000001</v>
      </c>
      <c r="H26" s="14">
        <f>_xll.BDH("ALNY US Equity","GROWTH_IN_CAP","FQ1 2020","FQ1 2020","Currency=USD","Period=FQ","BEST_FPERIOD_OVERRIDE=FQ","FILING_STATUS=MR","Sort=A","Dates=H","DateFormat=P","Fill=—","Direction=H","UseDPDF=Y")</f>
        <v>-11.8165</v>
      </c>
      <c r="I26" s="14">
        <f>_xll.BDH("ALNY US Equity","GROWTH_IN_CAP","FQ2 2020","FQ2 2020","Currency=USD","Period=FQ","BEST_FPERIOD_OVERRIDE=FQ","FILING_STATUS=MR","Sort=A","Dates=H","DateFormat=P","Fill=—","Direction=H","UseDPDF=Y")</f>
        <v>-18.099699999999999</v>
      </c>
      <c r="J26" s="14">
        <f>_xll.BDH("ALNY US Equity","GROWTH_IN_CAP","FQ3 2020","FQ3 2020","Currency=USD","Period=FQ","BEST_FPERIOD_OVERRIDE=FQ","FILING_STATUS=MR","Sort=A","Dates=H","DateFormat=P","Fill=—","Direction=H","UseDPDF=Y")</f>
        <v>-19.209599999999998</v>
      </c>
      <c r="K26" s="14">
        <f>_xll.BDH("ALNY US Equity","GROWTH_IN_CAP","FQ4 2020","FQ4 2020","Currency=USD","Period=FQ","BEST_FPERIOD_OVERRIDE=FQ","FILING_STATUS=MR","Sort=A","Dates=H","DateFormat=P","Fill=—","Direction=H","UseDPDF=Y")</f>
        <v>-11.7691</v>
      </c>
      <c r="L26" s="14">
        <f>_xll.BDH("ALNY US Equity","GROWTH_IN_CAP","FQ1 2021","FQ1 2021","Currency=USD","Period=FQ","BEST_FPERIOD_OVERRIDE=FQ","FILING_STATUS=MR","Sort=A","Dates=H","DateFormat=P","Fill=—","Direction=H","UseDPDF=Y")</f>
        <v>-12.682700000000001</v>
      </c>
      <c r="M26" s="14">
        <f>_xll.BDH("ALNY US Equity","GROWTH_IN_CAP","FQ2 2021","FQ2 2021","Currency=USD","Period=FQ","BEST_FPERIOD_OVERRIDE=FQ","FILING_STATUS=MR","Sort=A","Dates=H","DateFormat=P","Fill=—","Direction=H","UseDPDF=Y")</f>
        <v>-5.8524000000000003</v>
      </c>
      <c r="N26" s="14">
        <f>_xll.BDH("ALNY US Equity","GROWTH_IN_CAP","FQ3 2021","FQ3 2021","Currency=USD","Period=FQ","BEST_FPERIOD_OVERRIDE=FQ","FILING_STATUS=MR","Sort=A","Dates=H","DateFormat=P","Fill=—","Direction=H","UseDPDF=Y")</f>
        <v>-1.8222</v>
      </c>
      <c r="O26" s="14">
        <f>_xll.BDH("ALNY US Equity","GROWTH_IN_CAP","FQ4 2021","FQ4 2021","Currency=USD","Period=FQ","BEST_FPERIOD_OVERRIDE=FQ","FILING_STATUS=MR","Sort=A","Dates=H","DateFormat=P","Fill=—","Direction=H","UseDPDF=Y")</f>
        <v>3.1454</v>
      </c>
      <c r="P26" s="14">
        <f>_xll.BDH("ALNY US Equity","GROWTH_IN_CAP","FQ1 2022","FQ1 2022","Currency=USD","Period=FQ","BEST_FPERIOD_OVERRIDE=FQ","FILING_STATUS=MR","Sort=A","Dates=H","DateFormat=P","Fill=—","Direction=H","UseDPDF=Y")</f>
        <v>-3.3334000000000001</v>
      </c>
      <c r="Q26" s="14">
        <f>_xll.BDH("ALNY US Equity","GROWTH_IN_CAP","FQ2 2022","FQ2 2022","Currency=USD","Period=FQ","BEST_FPERIOD_OVERRIDE=FQ","FILING_STATUS=MR","Sort=A","Dates=H","DateFormat=P","Fill=—","Direction=H","UseDPDF=Y")</f>
        <v>-27.713699999999999</v>
      </c>
      <c r="R26" s="14">
        <f>_xll.BDH("ALNY US Equity","GROWTH_IN_CAP","FQ3 2022","FQ3 2022","Currency=USD","Period=FQ","BEST_FPERIOD_OVERRIDE=FQ","FILING_STATUS=MR","Sort=A","Dates=H","DateFormat=P","Fill=—","Direction=H","UseDPDF=Y")</f>
        <v>-2.9146000000000001</v>
      </c>
      <c r="S26" s="14">
        <f>_xll.BDH("ALNY US Equity","GROWTH_IN_CAP","FQ4 2022","FQ4 2022","Currency=USD","Period=FQ","BEST_FPERIOD_OVERRIDE=FQ","FILING_STATUS=MR","Sort=A","Dates=H","DateFormat=P","Fill=—","Direction=H","UseDPDF=Y")</f>
        <v>-26.722899999999999</v>
      </c>
      <c r="T26" s="14">
        <f>_xll.BDH("ALNY US Equity","GROWTH_IN_CAP","FQ1 2023","FQ1 2023","Currency=USD","Period=FQ","BEST_FPERIOD_OVERRIDE=FQ","FILING_STATUS=MR","Sort=A","Dates=H","DateFormat=P","Fill=—","Direction=H","UseDPDF=Y")</f>
        <v>-24.020099999999999</v>
      </c>
      <c r="U26" s="14">
        <f>_xll.BDH("ALNY US Equity","GROWTH_IN_CAP","FQ2 2023","FQ2 2023","Currency=USD","Period=FQ","BEST_FPERIOD_OVERRIDE=FQ","FILING_STATUS=MR","Sort=A","Dates=H","DateFormat=P","Fill=—","Direction=H","UseDPDF=Y")</f>
        <v>-22.348700000000001</v>
      </c>
      <c r="V26" s="14">
        <f>_xll.BDH("ALNY US Equity","GROWTH_IN_CAP","FQ3 2023","FQ3 2023","Currency=USD","Period=FQ","BEST_FPERIOD_OVERRIDE=FQ","FILING_STATUS=MR","Sort=A","Dates=H","DateFormat=P","Fill=—","Direction=H","UseDPDF=Y")</f>
        <v>-22.346299999999999</v>
      </c>
      <c r="W26" s="14">
        <f>_xll.BDH("ALNY US Equity","GROWTH_IN_CAP","FQ4 2023","FQ4 2023","Currency=USD","Period=FQ","BEST_FPERIOD_OVERRIDE=FQ","FILING_STATUS=MR","Sort=A","Dates=H","DateFormat=P","Fill=—","Direction=H","UseDPDF=Y")</f>
        <v>-6.6505999999999998</v>
      </c>
      <c r="X26" s="14">
        <f>_xll.BDH("ALNY US Equity","GROWTH_IN_CAP","FQ1 2024","FQ1 2024","Currency=USD","Period=FQ","BEST_FPERIOD_OVERRIDE=FQ","FILING_STATUS=MR","Sort=A","Dates=H","DateFormat=P","Fill=—","Direction=H","UseDPDF=Y")</f>
        <v>1.9659</v>
      </c>
      <c r="Y26" s="14">
        <f>_xll.BDH("ALNY US Equity","GROWTH_IN_CAP","FQ2 2024","FQ2 2024","Currency=USD","Period=FQ","BEST_FPERIOD_OVERRIDE=FQ","FILING_STATUS=MR","Sort=A","Dates=H","DateFormat=P","Fill=—","Direction=H","UseDPDF=Y")</f>
        <v>191.6799</v>
      </c>
      <c r="Z26" s="14">
        <f>_xll.BDH("ALNY US Equity","GROWTH_IN_CAP","FQ3 2024","FQ3 2024","Currency=USD","Period=FQ","BEST_FPERIOD_OVERRIDE=FQ","FILING_STATUS=MR","Sort=A","Dates=H","DateFormat=P","Fill=—","Direction=H","UseDPDF=Y")</f>
        <v>16.709</v>
      </c>
      <c r="AA26" s="14">
        <f>_xll.BDH("ALNY US Equity","GROWTH_IN_CAP","FQ4 2024","FQ4 2024","Currency=USD","Period=FQ","BEST_FPERIOD_OVERRIDE=FQ","FILING_STATUS=MR","Sort=A","Dates=H","DateFormat=P","Fill=—","Direction=H","UseDPDF=Y")</f>
        <v>25.664400000000001</v>
      </c>
    </row>
    <row r="27" spans="1:27" x14ac:dyDescent="0.25">
      <c r="A27" s="10" t="s">
        <v>1398</v>
      </c>
      <c r="B27" s="10" t="s">
        <v>1399</v>
      </c>
      <c r="C27" s="14">
        <f>_xll.BDH("ALNY US Equity","BVPS_GROWTH","FQ4 2018","FQ4 2018","Currency=USD","Period=FQ","BEST_FPERIOD_OVERRIDE=FQ","FILING_STATUS=MR","Sort=A","Dates=H","DateFormat=P","Fill=—","Direction=H","UseDPDF=Y")</f>
        <v>-27.394400000000001</v>
      </c>
      <c r="D27" s="14">
        <f>_xll.BDH("ALNY US Equity","BVPS_GROWTH","FQ1 2019","FQ1 2019","Currency=USD","Period=FQ","BEST_FPERIOD_OVERRIDE=FQ","FILING_STATUS=MR","Sort=A","Dates=H","DateFormat=P","Fill=—","Direction=H","UseDPDF=Y")</f>
        <v>-16.7577</v>
      </c>
      <c r="E27" s="14">
        <f>_xll.BDH("ALNY US Equity","BVPS_GROWTH","FQ2 2019","FQ2 2019","Currency=USD","Period=FQ","BEST_FPERIOD_OVERRIDE=FQ","FILING_STATUS=MR","Sort=A","Dates=H","DateFormat=P","Fill=—","Direction=H","UseDPDF=Y")</f>
        <v>-1.8736999999999999</v>
      </c>
      <c r="F27" s="14">
        <f>_xll.BDH("ALNY US Equity","BVPS_GROWTH","FQ3 2019","FQ3 2019","Currency=USD","Period=FQ","BEST_FPERIOD_OVERRIDE=FQ","FILING_STATUS=MR","Sort=A","Dates=H","DateFormat=P","Fill=—","Direction=H","UseDPDF=Y")</f>
        <v>-1.3898999999999999</v>
      </c>
      <c r="G27" s="14">
        <f>_xll.BDH("ALNY US Equity","BVPS_GROWTH","FQ4 2019","FQ4 2019","Currency=USD","Period=FQ","BEST_FPERIOD_OVERRIDE=FQ","FILING_STATUS=MR","Sort=A","Dates=H","DateFormat=P","Fill=—","Direction=H","UseDPDF=Y")</f>
        <v>-0.34389999999999998</v>
      </c>
      <c r="H27" s="14">
        <f>_xll.BDH("ALNY US Equity","BVPS_GROWTH","FQ1 2020","FQ1 2020","Currency=USD","Period=FQ","BEST_FPERIOD_OVERRIDE=FQ","FILING_STATUS=MR","Sort=A","Dates=H","DateFormat=P","Fill=—","Direction=H","UseDPDF=Y")</f>
        <v>-17.969000000000001</v>
      </c>
      <c r="I27" s="14">
        <f>_xll.BDH("ALNY US Equity","BVPS_GROWTH","FQ2 2020","FQ2 2020","Currency=USD","Period=FQ","BEST_FPERIOD_OVERRIDE=FQ","FILING_STATUS=MR","Sort=A","Dates=H","DateFormat=P","Fill=—","Direction=H","UseDPDF=Y")</f>
        <v>-23.465499999999999</v>
      </c>
      <c r="J27" s="14">
        <f>_xll.BDH("ALNY US Equity","BVPS_GROWTH","FQ3 2020","FQ3 2020","Currency=USD","Period=FQ","BEST_FPERIOD_OVERRIDE=FQ","FILING_STATUS=MR","Sort=A","Dates=H","DateFormat=P","Fill=—","Direction=H","UseDPDF=Y")</f>
        <v>-27.532299999999999</v>
      </c>
      <c r="K27" s="14">
        <f>_xll.BDH("ALNY US Equity","BVPS_GROWTH","FQ4 2020","FQ4 2020","Currency=USD","Period=FQ","BEST_FPERIOD_OVERRIDE=FQ","FILING_STATUS=MR","Sort=A","Dates=H","DateFormat=P","Fill=—","Direction=H","UseDPDF=Y")</f>
        <v>-31.934999999999999</v>
      </c>
      <c r="L27" s="14">
        <f>_xll.BDH("ALNY US Equity","BVPS_GROWTH","FQ1 2021","FQ1 2021","Currency=USD","Period=FQ","BEST_FPERIOD_OVERRIDE=FQ","FILING_STATUS=MR","Sort=A","Dates=H","DateFormat=P","Fill=—","Direction=H","UseDPDF=Y")</f>
        <v>-33.808599999999998</v>
      </c>
      <c r="M27" s="14">
        <f>_xll.BDH("ALNY US Equity","BVPS_GROWTH","FQ2 2021","FQ2 2021","Currency=USD","Period=FQ","BEST_FPERIOD_OVERRIDE=FQ","FILING_STATUS=MR","Sort=A","Dates=H","DateFormat=P","Fill=—","Direction=H","UseDPDF=Y")</f>
        <v>-40.549599999999998</v>
      </c>
      <c r="N27" s="14">
        <f>_xll.BDH("ALNY US Equity","BVPS_GROWTH","FQ3 2021","FQ3 2021","Currency=USD","Period=FQ","BEST_FPERIOD_OVERRIDE=FQ","FILING_STATUS=MR","Sort=A","Dates=H","DateFormat=P","Fill=—","Direction=H","UseDPDF=Y")</f>
        <v>-39.525300000000001</v>
      </c>
      <c r="O27" s="14">
        <f>_xll.BDH("ALNY US Equity","BVPS_GROWTH","FQ4 2021","FQ4 2021","Currency=USD","Period=FQ","BEST_FPERIOD_OVERRIDE=FQ","FILING_STATUS=MR","Sort=A","Dates=H","DateFormat=P","Fill=—","Direction=H","UseDPDF=Y")</f>
        <v>-43.9285</v>
      </c>
      <c r="P27" s="14">
        <f>_xll.BDH("ALNY US Equity","BVPS_GROWTH","FQ1 2022","FQ1 2022","Currency=USD","Period=FQ","BEST_FPERIOD_OVERRIDE=FQ","FILING_STATUS=MR","Sort=A","Dates=H","DateFormat=P","Fill=—","Direction=H","UseDPDF=Y")</f>
        <v>-57.909100000000002</v>
      </c>
      <c r="Q27" s="14">
        <f>_xll.BDH("ALNY US Equity","BVPS_GROWTH","FQ2 2022","FQ2 2022","Currency=USD","Period=FQ","BEST_FPERIOD_OVERRIDE=FQ","FILING_STATUS=MR","Sort=A","Dates=H","DateFormat=P","Fill=—","Direction=H","UseDPDF=Y")</f>
        <v>-79.779499999999999</v>
      </c>
      <c r="R27" s="14" t="str">
        <f>_xll.BDH("ALNY US Equity","BVPS_GROWTH","FQ3 2022","FQ3 2022","Currency=USD","Period=FQ","BEST_FPERIOD_OVERRIDE=FQ","FILING_STATUS=MR","Sort=A","Dates=H","DateFormat=P","Fill=—","Direction=H","UseDPDF=Y")</f>
        <v>—</v>
      </c>
      <c r="S27" s="14" t="str">
        <f>_xll.BDH("ALNY US Equity","BVPS_GROWTH","FQ4 2022","FQ4 2022","Currency=USD","Period=FQ","BEST_FPERIOD_OVERRIDE=FQ","FILING_STATUS=MR","Sort=A","Dates=H","DateFormat=P","Fill=—","Direction=H","UseDPDF=Y")</f>
        <v>—</v>
      </c>
      <c r="T27" s="14" t="str">
        <f>_xll.BDH("ALNY US Equity","BVPS_GROWTH","FQ1 2023","FQ1 2023","Currency=USD","Period=FQ","BEST_FPERIOD_OVERRIDE=FQ","FILING_STATUS=MR","Sort=A","Dates=H","DateFormat=P","Fill=—","Direction=H","UseDPDF=Y")</f>
        <v>—</v>
      </c>
      <c r="U27" s="14" t="str">
        <f>_xll.BDH("ALNY US Equity","BVPS_GROWTH","FQ2 2023","FQ2 2023","Currency=USD","Period=FQ","BEST_FPERIOD_OVERRIDE=FQ","FILING_STATUS=MR","Sort=A","Dates=H","DateFormat=P","Fill=—","Direction=H","UseDPDF=Y")</f>
        <v>—</v>
      </c>
      <c r="V27" s="14">
        <f>_xll.BDH("ALNY US Equity","BVPS_GROWTH","FQ3 2023","FQ3 2023","Currency=USD","Period=FQ","BEST_FPERIOD_OVERRIDE=FQ","FILING_STATUS=MR","Sort=A","Dates=H","DateFormat=P","Fill=—","Direction=H","UseDPDF=Y")</f>
        <v>-140.41159999999999</v>
      </c>
      <c r="W27" s="14">
        <f>_xll.BDH("ALNY US Equity","BVPS_GROWTH","FQ4 2023","FQ4 2023","Currency=USD","Period=FQ","BEST_FPERIOD_OVERRIDE=FQ","FILING_STATUS=MR","Sort=A","Dates=H","DateFormat=P","Fill=—","Direction=H","UseDPDF=Y")</f>
        <v>-37.379399999999997</v>
      </c>
      <c r="X27" s="14">
        <f>_xll.BDH("ALNY US Equity","BVPS_GROWTH","FQ1 2024","FQ1 2024","Currency=USD","Period=FQ","BEST_FPERIOD_OVERRIDE=FQ","FILING_STATUS=MR","Sort=A","Dates=H","DateFormat=P","Fill=—","Direction=H","UseDPDF=Y")</f>
        <v>16.903500000000001</v>
      </c>
      <c r="Y27" s="14">
        <f>_xll.BDH("ALNY US Equity","BVPS_GROWTH","FQ2 2024","FQ2 2024","Currency=USD","Period=FQ","BEST_FPERIOD_OVERRIDE=FQ","FILING_STATUS=MR","Sort=A","Dates=H","DateFormat=P","Fill=—","Direction=H","UseDPDF=Y")</f>
        <v>99.270700000000005</v>
      </c>
      <c r="Z27" s="14" t="str">
        <f>_xll.BDH("ALNY US Equity","BVPS_GROWTH","FQ3 2024","FQ3 2024","Currency=USD","Period=FQ","BEST_FPERIOD_OVERRIDE=FQ","FILING_STATUS=MR","Sort=A","Dates=H","DateFormat=P","Fill=—","Direction=H","UseDPDF=Y")</f>
        <v>—</v>
      </c>
      <c r="AA27" s="14" t="str">
        <f>_xll.BDH("ALNY US Equity","BVPS_GROWTH","FQ4 2024","FQ4 2024","Currency=USD","Period=FQ","BEST_FPERIOD_OVERRIDE=FQ","FILING_STATUS=MR","Sort=A","Dates=H","DateFormat=P","Fill=—","Direction=H","UseDPDF=Y")</f>
        <v>—</v>
      </c>
    </row>
    <row r="28" spans="1:27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10" t="s">
        <v>124</v>
      </c>
      <c r="B29" s="10" t="s">
        <v>1400</v>
      </c>
      <c r="C29" s="14">
        <f>_xll.BDH("ALNY US Equity","CASH_FLOW_GROWTH","FQ4 2018","FQ4 2018","Currency=USD","Period=FQ","BEST_FPERIOD_OVERRIDE=FQ","FILING_STATUS=MR","Sort=A","Dates=H","DateFormat=P","Fill=—","Direction=H","UseDPDF=Y")</f>
        <v>-46.0124</v>
      </c>
      <c r="D29" s="14">
        <f>_xll.BDH("ALNY US Equity","CASH_FLOW_GROWTH","FQ1 2019","FQ1 2019","Currency=USD","Period=FQ","BEST_FPERIOD_OVERRIDE=FQ","FILING_STATUS=MR","Sort=A","Dates=H","DateFormat=P","Fill=—","Direction=H","UseDPDF=Y")</f>
        <v>-21.1006</v>
      </c>
      <c r="E29" s="14" t="str">
        <f>_xll.BDH("ALNY US Equity","CASH_FLOW_GROWTH","FQ2 2019","FQ2 2019","Currency=USD","Period=FQ","BEST_FPERIOD_OVERRIDE=FQ","FILING_STATUS=MR","Sort=A","Dates=H","DateFormat=P","Fill=—","Direction=H","UseDPDF=Y")</f>
        <v>—</v>
      </c>
      <c r="F29" s="14">
        <f>_xll.BDH("ALNY US Equity","CASH_FLOW_GROWTH","FQ3 2019","FQ3 2019","Currency=USD","Period=FQ","BEST_FPERIOD_OVERRIDE=FQ","FILING_STATUS=MR","Sort=A","Dates=H","DateFormat=P","Fill=—","Direction=H","UseDPDF=Y")</f>
        <v>-18.740200000000002</v>
      </c>
      <c r="G29" s="14">
        <f>_xll.BDH("ALNY US Equity","CASH_FLOW_GROWTH","FQ4 2019","FQ4 2019","Currency=USD","Period=FQ","BEST_FPERIOD_OVERRIDE=FQ","FILING_STATUS=MR","Sort=A","Dates=H","DateFormat=P","Fill=—","Direction=H","UseDPDF=Y")</f>
        <v>-30.256499999999999</v>
      </c>
      <c r="H29" s="14">
        <f>_xll.BDH("ALNY US Equity","CASH_FLOW_GROWTH","FQ1 2020","FQ1 2020","Currency=USD","Period=FQ","BEST_FPERIOD_OVERRIDE=FQ","FILING_STATUS=MR","Sort=A","Dates=H","DateFormat=P","Fill=—","Direction=H","UseDPDF=Y")</f>
        <v>-30.5825</v>
      </c>
      <c r="I29" s="14" t="str">
        <f>_xll.BDH("ALNY US Equity","CASH_FLOW_GROWTH","FQ2 2020","FQ2 2020","Currency=USD","Period=FQ","BEST_FPERIOD_OVERRIDE=FQ","FILING_STATUS=MR","Sort=A","Dates=H","DateFormat=P","Fill=—","Direction=H","UseDPDF=Y")</f>
        <v>—</v>
      </c>
      <c r="J29" s="14">
        <f>_xll.BDH("ALNY US Equity","CASH_FLOW_GROWTH","FQ3 2020","FQ3 2020","Currency=USD","Period=FQ","BEST_FPERIOD_OVERRIDE=FQ","FILING_STATUS=MR","Sort=A","Dates=H","DateFormat=P","Fill=—","Direction=H","UseDPDF=Y")</f>
        <v>39.591099999999997</v>
      </c>
      <c r="K29" s="14">
        <f>_xll.BDH("ALNY US Equity","CASH_FLOW_GROWTH","FQ4 2020","FQ4 2020","Currency=USD","Period=FQ","BEST_FPERIOD_OVERRIDE=FQ","FILING_STATUS=MR","Sort=A","Dates=H","DateFormat=P","Fill=—","Direction=H","UseDPDF=Y")</f>
        <v>37.164999999999999</v>
      </c>
      <c r="L29" s="14">
        <f>_xll.BDH("ALNY US Equity","CASH_FLOW_GROWTH","FQ1 2021","FQ1 2021","Currency=USD","Period=FQ","BEST_FPERIOD_OVERRIDE=FQ","FILING_STATUS=MR","Sort=A","Dates=H","DateFormat=P","Fill=—","Direction=H","UseDPDF=Y")</f>
        <v>4.2659000000000002</v>
      </c>
      <c r="M29" s="14">
        <f>_xll.BDH("ALNY US Equity","CASH_FLOW_GROWTH","FQ2 2021","FQ2 2021","Currency=USD","Period=FQ","BEST_FPERIOD_OVERRIDE=FQ","FILING_STATUS=MR","Sort=A","Dates=H","DateFormat=P","Fill=—","Direction=H","UseDPDF=Y")</f>
        <v>9.9564000000000004</v>
      </c>
      <c r="N29" s="14">
        <f>_xll.BDH("ALNY US Equity","CASH_FLOW_GROWTH","FQ3 2021","FQ3 2021","Currency=USD","Period=FQ","BEST_FPERIOD_OVERRIDE=FQ","FILING_STATUS=MR","Sort=A","Dates=H","DateFormat=P","Fill=—","Direction=H","UseDPDF=Y")</f>
        <v>-21.4909</v>
      </c>
      <c r="O29" s="14">
        <f>_xll.BDH("ALNY US Equity","CASH_FLOW_GROWTH","FQ4 2021","FQ4 2021","Currency=USD","Period=FQ","BEST_FPERIOD_OVERRIDE=FQ","FILING_STATUS=MR","Sort=A","Dates=H","DateFormat=P","Fill=—","Direction=H","UseDPDF=Y")</f>
        <v>-21.923100000000002</v>
      </c>
      <c r="P29" s="14">
        <f>_xll.BDH("ALNY US Equity","CASH_FLOW_GROWTH","FQ1 2022","FQ1 2022","Currency=USD","Period=FQ","BEST_FPERIOD_OVERRIDE=FQ","FILING_STATUS=MR","Sort=A","Dates=H","DateFormat=P","Fill=—","Direction=H","UseDPDF=Y")</f>
        <v>27.355899999999998</v>
      </c>
      <c r="Q29" s="14">
        <f>_xll.BDH("ALNY US Equity","CASH_FLOW_GROWTH","FQ2 2022","FQ2 2022","Currency=USD","Period=FQ","BEST_FPERIOD_OVERRIDE=FQ","FILING_STATUS=MR","Sort=A","Dates=H","DateFormat=P","Fill=—","Direction=H","UseDPDF=Y")</f>
        <v>-0.7903</v>
      </c>
      <c r="R29" s="14">
        <f>_xll.BDH("ALNY US Equity","CASH_FLOW_GROWTH","FQ3 2022","FQ3 2022","Currency=USD","Period=FQ","BEST_FPERIOD_OVERRIDE=FQ","FILING_STATUS=MR","Sort=A","Dates=H","DateFormat=P","Fill=—","Direction=H","UseDPDF=Y")</f>
        <v>13.9903</v>
      </c>
      <c r="S29" s="14">
        <f>_xll.BDH("ALNY US Equity","CASH_FLOW_GROWTH","FQ4 2022","FQ4 2022","Currency=USD","Period=FQ","BEST_FPERIOD_OVERRIDE=FQ","FILING_STATUS=MR","Sort=A","Dates=H","DateFormat=P","Fill=—","Direction=H","UseDPDF=Y")</f>
        <v>12.097300000000001</v>
      </c>
      <c r="T29" s="14">
        <f>_xll.BDH("ALNY US Equity","CASH_FLOW_GROWTH","FQ1 2023","FQ1 2023","Currency=USD","Period=FQ","BEST_FPERIOD_OVERRIDE=FQ","FILING_STATUS=MR","Sort=A","Dates=H","DateFormat=P","Fill=—","Direction=H","UseDPDF=Y")</f>
        <v>2.7559999999999998</v>
      </c>
      <c r="U29" s="14">
        <f>_xll.BDH("ALNY US Equity","CASH_FLOW_GROWTH","FQ2 2023","FQ2 2023","Currency=USD","Period=FQ","BEST_FPERIOD_OVERRIDE=FQ","FILING_STATUS=MR","Sort=A","Dates=H","DateFormat=P","Fill=—","Direction=H","UseDPDF=Y")</f>
        <v>51.973199999999999</v>
      </c>
      <c r="V29" s="14" t="str">
        <f>_xll.BDH("ALNY US Equity","CASH_FLOW_GROWTH","FQ3 2023","FQ3 2023","Currency=USD","Period=FQ","BEST_FPERIOD_OVERRIDE=FQ","FILING_STATUS=MR","Sort=A","Dates=H","DateFormat=P","Fill=—","Direction=H","UseDPDF=Y")</f>
        <v>—</v>
      </c>
      <c r="W29" s="14">
        <f>_xll.BDH("ALNY US Equity","CASH_FLOW_GROWTH","FQ4 2023","FQ4 2023","Currency=USD","Period=FQ","BEST_FPERIOD_OVERRIDE=FQ","FILING_STATUS=MR","Sort=A","Dates=H","DateFormat=P","Fill=—","Direction=H","UseDPDF=Y")</f>
        <v>77.424300000000002</v>
      </c>
      <c r="X29" s="14">
        <f>_xll.BDH("ALNY US Equity","CASH_FLOW_GROWTH","FQ1 2024","FQ1 2024","Currency=USD","Period=FQ","BEST_FPERIOD_OVERRIDE=FQ","FILING_STATUS=MR","Sort=A","Dates=H","DateFormat=P","Fill=—","Direction=H","UseDPDF=Y")</f>
        <v>51.034700000000001</v>
      </c>
      <c r="Y29" s="14" t="str">
        <f>_xll.BDH("ALNY US Equity","CASH_FLOW_GROWTH","FQ2 2024","FQ2 2024","Currency=USD","Period=FQ","BEST_FPERIOD_OVERRIDE=FQ","FILING_STATUS=MR","Sort=A","Dates=H","DateFormat=P","Fill=—","Direction=H","UseDPDF=Y")</f>
        <v>—</v>
      </c>
      <c r="Z29" s="14">
        <f>_xll.BDH("ALNY US Equity","CASH_FLOW_GROWTH","FQ3 2024","FQ3 2024","Currency=USD","Period=FQ","BEST_FPERIOD_OVERRIDE=FQ","FILING_STATUS=MR","Sort=A","Dates=H","DateFormat=P","Fill=—","Direction=H","UseDPDF=Y")</f>
        <v>-87.839299999999994</v>
      </c>
      <c r="AA29" s="14">
        <f>_xll.BDH("ALNY US Equity","CASH_FLOW_GROWTH","FQ4 2024","FQ4 2024","Currency=USD","Period=FQ","BEST_FPERIOD_OVERRIDE=FQ","FILING_STATUS=MR","Sort=A","Dates=H","DateFormat=P","Fill=—","Direction=H","UseDPDF=Y")</f>
        <v>-217.71100000000001</v>
      </c>
    </row>
    <row r="30" spans="1:27" x14ac:dyDescent="0.25">
      <c r="A30" s="10" t="s">
        <v>86</v>
      </c>
      <c r="B30" s="10" t="s">
        <v>1401</v>
      </c>
      <c r="C30" s="14">
        <f>_xll.BDH("ALNY US Equity","TOT_CAP_EXPEND_GROWTH","FQ4 2018","FQ4 2018","Currency=USD","Period=FQ","BEST_FPERIOD_OVERRIDE=FQ","FILING_STATUS=MR","Sort=A","Dates=H","DateFormat=P","Fill=—","Direction=H","UseDPDF=Y")</f>
        <v>80.977400000000003</v>
      </c>
      <c r="D30" s="14">
        <f>_xll.BDH("ALNY US Equity","TOT_CAP_EXPEND_GROWTH","FQ1 2019","FQ1 2019","Currency=USD","Period=FQ","BEST_FPERIOD_OVERRIDE=FQ","FILING_STATUS=MR","Sort=A","Dates=H","DateFormat=P","Fill=—","Direction=H","UseDPDF=Y")</f>
        <v>107.2212</v>
      </c>
      <c r="E30" s="14">
        <f>_xll.BDH("ALNY US Equity","TOT_CAP_EXPEND_GROWTH","FQ2 2019","FQ2 2019","Currency=USD","Period=FQ","BEST_FPERIOD_OVERRIDE=FQ","FILING_STATUS=MR","Sort=A","Dates=H","DateFormat=P","Fill=—","Direction=H","UseDPDF=Y")</f>
        <v>-6.4470999999999998</v>
      </c>
      <c r="F30" s="14">
        <f>_xll.BDH("ALNY US Equity","TOT_CAP_EXPEND_GROWTH","FQ3 2019","FQ3 2019","Currency=USD","Period=FQ","BEST_FPERIOD_OVERRIDE=FQ","FILING_STATUS=MR","Sort=A","Dates=H","DateFormat=P","Fill=—","Direction=H","UseDPDF=Y")</f>
        <v>-20.5928</v>
      </c>
      <c r="G30" s="14">
        <f>_xll.BDH("ALNY US Equity","TOT_CAP_EXPEND_GROWTH","FQ4 2019","FQ4 2019","Currency=USD","Period=FQ","BEST_FPERIOD_OVERRIDE=FQ","FILING_STATUS=MR","Sort=A","Dates=H","DateFormat=P","Fill=—","Direction=H","UseDPDF=Y")</f>
        <v>3.4441000000000002</v>
      </c>
      <c r="H30" s="14">
        <f>_xll.BDH("ALNY US Equity","TOT_CAP_EXPEND_GROWTH","FQ1 2020","FQ1 2020","Currency=USD","Period=FQ","BEST_FPERIOD_OVERRIDE=FQ","FILING_STATUS=MR","Sort=A","Dates=H","DateFormat=P","Fill=—","Direction=H","UseDPDF=Y")</f>
        <v>-55.465499999999999</v>
      </c>
      <c r="I30" s="14">
        <f>_xll.BDH("ALNY US Equity","TOT_CAP_EXPEND_GROWTH","FQ2 2020","FQ2 2020","Currency=USD","Period=FQ","BEST_FPERIOD_OVERRIDE=FQ","FILING_STATUS=MR","Sort=A","Dates=H","DateFormat=P","Fill=—","Direction=H","UseDPDF=Y")</f>
        <v>-21.587299999999999</v>
      </c>
      <c r="J30" s="14">
        <f>_xll.BDH("ALNY US Equity","TOT_CAP_EXPEND_GROWTH","FQ3 2020","FQ3 2020","Currency=USD","Period=FQ","BEST_FPERIOD_OVERRIDE=FQ","FILING_STATUS=MR","Sort=A","Dates=H","DateFormat=P","Fill=—","Direction=H","UseDPDF=Y")</f>
        <v>-65.561000000000007</v>
      </c>
      <c r="K30" s="14">
        <f>_xll.BDH("ALNY US Equity","TOT_CAP_EXPEND_GROWTH","FQ4 2020","FQ4 2020","Currency=USD","Period=FQ","BEST_FPERIOD_OVERRIDE=FQ","FILING_STATUS=MR","Sort=A","Dates=H","DateFormat=P","Fill=—","Direction=H","UseDPDF=Y")</f>
        <v>-44.161799999999999</v>
      </c>
      <c r="L30" s="14">
        <f>_xll.BDH("ALNY US Equity","TOT_CAP_EXPEND_GROWTH","FQ1 2021","FQ1 2021","Currency=USD","Period=FQ","BEST_FPERIOD_OVERRIDE=FQ","FILING_STATUS=MR","Sort=A","Dates=H","DateFormat=P","Fill=—","Direction=H","UseDPDF=Y")</f>
        <v>-12.4331</v>
      </c>
      <c r="M30" s="14">
        <f>_xll.BDH("ALNY US Equity","TOT_CAP_EXPEND_GROWTH","FQ2 2021","FQ2 2021","Currency=USD","Period=FQ","BEST_FPERIOD_OVERRIDE=FQ","FILING_STATUS=MR","Sort=A","Dates=H","DateFormat=P","Fill=—","Direction=H","UseDPDF=Y")</f>
        <v>-32.488900000000001</v>
      </c>
      <c r="N30" s="14">
        <f>_xll.BDH("ALNY US Equity","TOT_CAP_EXPEND_GROWTH","FQ3 2021","FQ3 2021","Currency=USD","Period=FQ","BEST_FPERIOD_OVERRIDE=FQ","FILING_STATUS=MR","Sort=A","Dates=H","DateFormat=P","Fill=—","Direction=H","UseDPDF=Y")</f>
        <v>109.8728</v>
      </c>
      <c r="O30" s="14">
        <f>_xll.BDH("ALNY US Equity","TOT_CAP_EXPEND_GROWTH","FQ4 2021","FQ4 2021","Currency=USD","Period=FQ","BEST_FPERIOD_OVERRIDE=FQ","FILING_STATUS=MR","Sort=A","Dates=H","DateFormat=P","Fill=—","Direction=H","UseDPDF=Y")</f>
        <v>1.0061</v>
      </c>
      <c r="P30" s="14">
        <f>_xll.BDH("ALNY US Equity","TOT_CAP_EXPEND_GROWTH","FQ1 2022","FQ1 2022","Currency=USD","Period=FQ","BEST_FPERIOD_OVERRIDE=FQ","FILING_STATUS=MR","Sort=A","Dates=H","DateFormat=P","Fill=—","Direction=H","UseDPDF=Y")</f>
        <v>3.9643999999999999</v>
      </c>
      <c r="Q30" s="14">
        <f>_xll.BDH("ALNY US Equity","TOT_CAP_EXPEND_GROWTH","FQ2 2022","FQ2 2022","Currency=USD","Period=FQ","BEST_FPERIOD_OVERRIDE=FQ","FILING_STATUS=MR","Sort=A","Dates=H","DateFormat=P","Fill=—","Direction=H","UseDPDF=Y")</f>
        <v>42.761899999999997</v>
      </c>
      <c r="R30" s="14">
        <f>_xll.BDH("ALNY US Equity","TOT_CAP_EXPEND_GROWTH","FQ3 2022","FQ3 2022","Currency=USD","Period=FQ","BEST_FPERIOD_OVERRIDE=FQ","FILING_STATUS=MR","Sort=A","Dates=H","DateFormat=P","Fill=—","Direction=H","UseDPDF=Y")</f>
        <v>-36.6511</v>
      </c>
      <c r="S30" s="14">
        <f>_xll.BDH("ALNY US Equity","TOT_CAP_EXPEND_GROWTH","FQ4 2022","FQ4 2022","Currency=USD","Period=FQ","BEST_FPERIOD_OVERRIDE=FQ","FILING_STATUS=MR","Sort=A","Dates=H","DateFormat=P","Fill=—","Direction=H","UseDPDF=Y")</f>
        <v>-1.1469</v>
      </c>
      <c r="T30" s="14">
        <f>_xll.BDH("ALNY US Equity","TOT_CAP_EXPEND_GROWTH","FQ1 2023","FQ1 2023","Currency=USD","Period=FQ","BEST_FPERIOD_OVERRIDE=FQ","FILING_STATUS=MR","Sort=A","Dates=H","DateFormat=P","Fill=—","Direction=H","UseDPDF=Y")</f>
        <v>-22.218499999999999</v>
      </c>
      <c r="U30" s="14">
        <f>_xll.BDH("ALNY US Equity","TOT_CAP_EXPEND_GROWTH","FQ2 2023","FQ2 2023","Currency=USD","Period=FQ","BEST_FPERIOD_OVERRIDE=FQ","FILING_STATUS=MR","Sort=A","Dates=H","DateFormat=P","Fill=—","Direction=H","UseDPDF=Y")</f>
        <v>-0.84709999999999996</v>
      </c>
      <c r="V30" s="14">
        <f>_xll.BDH("ALNY US Equity","TOT_CAP_EXPEND_GROWTH","FQ3 2023","FQ3 2023","Currency=USD","Period=FQ","BEST_FPERIOD_OVERRIDE=FQ","FILING_STATUS=MR","Sort=A","Dates=H","DateFormat=P","Fill=—","Direction=H","UseDPDF=Y")</f>
        <v>3.5251000000000001</v>
      </c>
      <c r="W30" s="14">
        <f>_xll.BDH("ALNY US Equity","TOT_CAP_EXPEND_GROWTH","FQ4 2023","FQ4 2023","Currency=USD","Period=FQ","BEST_FPERIOD_OVERRIDE=FQ","FILING_STATUS=MR","Sort=A","Dates=H","DateFormat=P","Fill=—","Direction=H","UseDPDF=Y")</f>
        <v>-29.239699999999999</v>
      </c>
      <c r="X30" s="14">
        <f>_xll.BDH("ALNY US Equity","TOT_CAP_EXPEND_GROWTH","FQ1 2024","FQ1 2024","Currency=USD","Period=FQ","BEST_FPERIOD_OVERRIDE=FQ","FILING_STATUS=MR","Sort=A","Dates=H","DateFormat=P","Fill=—","Direction=H","UseDPDF=Y")</f>
        <v>-6.6086</v>
      </c>
      <c r="Y30" s="14">
        <f>_xll.BDH("ALNY US Equity","TOT_CAP_EXPEND_GROWTH","FQ2 2024","FQ2 2024","Currency=USD","Period=FQ","BEST_FPERIOD_OVERRIDE=FQ","FILING_STATUS=MR","Sort=A","Dates=H","DateFormat=P","Fill=—","Direction=H","UseDPDF=Y")</f>
        <v>-49.6325</v>
      </c>
      <c r="Z30" s="14">
        <f>_xll.BDH("ALNY US Equity","TOT_CAP_EXPEND_GROWTH","FQ3 2024","FQ3 2024","Currency=USD","Period=FQ","BEST_FPERIOD_OVERRIDE=FQ","FILING_STATUS=MR","Sort=A","Dates=H","DateFormat=P","Fill=—","Direction=H","UseDPDF=Y")</f>
        <v>-75.4739</v>
      </c>
      <c r="AA30" s="14">
        <f>_xll.BDH("ALNY US Equity","TOT_CAP_EXPEND_GROWTH","FQ4 2024","FQ4 2024","Currency=USD","Period=FQ","BEST_FPERIOD_OVERRIDE=FQ","FILING_STATUS=MR","Sort=A","Dates=H","DateFormat=P","Fill=—","Direction=H","UseDPDF=Y")</f>
        <v>-40.597000000000001</v>
      </c>
    </row>
    <row r="31" spans="1:27" x14ac:dyDescent="0.25">
      <c r="A31" s="10" t="s">
        <v>1323</v>
      </c>
      <c r="B31" s="10" t="s">
        <v>1402</v>
      </c>
      <c r="C31" s="14">
        <f>_xll.BDH("ALNY US Equity","NET_CHANGE_IN_CASH_1_YEAR_GROWTH","FQ4 2018","FQ4 2018","Currency=USD","Period=FQ","BEST_FPERIOD_OVERRIDE=FQ","FILING_STATUS=MR","Sort=A","Dates=H","DateFormat=P","Fill=—","Direction=H","UseDPDF=Y")</f>
        <v>-76.566400000000002</v>
      </c>
      <c r="D31" s="14" t="str">
        <f>_xll.BDH("ALNY US Equity","NET_CHANGE_IN_CASH_1_YEAR_GROWTH","FQ1 2019","FQ1 2019","Currency=USD","Period=FQ","BEST_FPERIOD_OVERRIDE=FQ","FILING_STATUS=MR","Sort=A","Dates=H","DateFormat=P","Fill=—","Direction=H","UseDPDF=Y")</f>
        <v>—</v>
      </c>
      <c r="E31" s="14" t="str">
        <f>_xll.BDH("ALNY US Equity","NET_CHANGE_IN_CASH_1_YEAR_GROWTH","FQ2 2019","FQ2 2019","Currency=USD","Period=FQ","BEST_FPERIOD_OVERRIDE=FQ","FILING_STATUS=MR","Sort=A","Dates=H","DateFormat=P","Fill=—","Direction=H","UseDPDF=Y")</f>
        <v>—</v>
      </c>
      <c r="F31" s="14">
        <f>_xll.BDH("ALNY US Equity","NET_CHANGE_IN_CASH_1_YEAR_GROWTH","FQ3 2019","FQ3 2019","Currency=USD","Period=FQ","BEST_FPERIOD_OVERRIDE=FQ","FILING_STATUS=MR","Sort=A","Dates=H","DateFormat=P","Fill=—","Direction=H","UseDPDF=Y")</f>
        <v>-379.01</v>
      </c>
      <c r="G31" s="14" t="str">
        <f>_xll.BDH("ALNY US Equity","NET_CHANGE_IN_CASH_1_YEAR_GROWTH","FQ4 2019","FQ4 2019","Currency=USD","Period=FQ","BEST_FPERIOD_OVERRIDE=FQ","FILING_STATUS=MR","Sort=A","Dates=H","DateFormat=P","Fill=—","Direction=H","UseDPDF=Y")</f>
        <v>—</v>
      </c>
      <c r="H31" s="14" t="str">
        <f>_xll.BDH("ALNY US Equity","NET_CHANGE_IN_CASH_1_YEAR_GROWTH","FQ1 2020","FQ1 2020","Currency=USD","Period=FQ","BEST_FPERIOD_OVERRIDE=FQ","FILING_STATUS=MR","Sort=A","Dates=H","DateFormat=P","Fill=—","Direction=H","UseDPDF=Y")</f>
        <v>—</v>
      </c>
      <c r="I31" s="14">
        <f>_xll.BDH("ALNY US Equity","NET_CHANGE_IN_CASH_1_YEAR_GROWTH","FQ2 2020","FQ2 2020","Currency=USD","Period=FQ","BEST_FPERIOD_OVERRIDE=FQ","FILING_STATUS=MR","Sort=A","Dates=H","DateFormat=P","Fill=—","Direction=H","UseDPDF=Y")</f>
        <v>-72.593299999999999</v>
      </c>
      <c r="J31" s="14">
        <f>_xll.BDH("ALNY US Equity","NET_CHANGE_IN_CASH_1_YEAR_GROWTH","FQ3 2020","FQ3 2020","Currency=USD","Period=FQ","BEST_FPERIOD_OVERRIDE=FQ","FILING_STATUS=MR","Sort=A","Dates=H","DateFormat=P","Fill=—","Direction=H","UseDPDF=Y")</f>
        <v>60.662399999999998</v>
      </c>
      <c r="K31" s="14">
        <f>_xll.BDH("ALNY US Equity","NET_CHANGE_IN_CASH_1_YEAR_GROWTH","FQ4 2020","FQ4 2020","Currency=USD","Period=FQ","BEST_FPERIOD_OVERRIDE=FQ","FILING_STATUS=MR","Sort=A","Dates=H","DateFormat=P","Fill=—","Direction=H","UseDPDF=Y")</f>
        <v>99.970799999999997</v>
      </c>
      <c r="L31" s="14">
        <f>_xll.BDH("ALNY US Equity","NET_CHANGE_IN_CASH_1_YEAR_GROWTH","FQ1 2021","FQ1 2021","Currency=USD","Period=FQ","BEST_FPERIOD_OVERRIDE=FQ","FILING_STATUS=MR","Sort=A","Dates=H","DateFormat=P","Fill=—","Direction=H","UseDPDF=Y")</f>
        <v>-47.713799999999999</v>
      </c>
      <c r="M31" s="14">
        <f>_xll.BDH("ALNY US Equity","NET_CHANGE_IN_CASH_1_YEAR_GROWTH","FQ2 2021","FQ2 2021","Currency=USD","Period=FQ","BEST_FPERIOD_OVERRIDE=FQ","FILING_STATUS=MR","Sort=A","Dates=H","DateFormat=P","Fill=—","Direction=H","UseDPDF=Y")</f>
        <v>224.26830000000001</v>
      </c>
      <c r="N31" s="14" t="str">
        <f>_xll.BDH("ALNY US Equity","NET_CHANGE_IN_CASH_1_YEAR_GROWTH","FQ3 2021","FQ3 2021","Currency=USD","Period=FQ","BEST_FPERIOD_OVERRIDE=FQ","FILING_STATUS=MR","Sort=A","Dates=H","DateFormat=P","Fill=—","Direction=H","UseDPDF=Y")</f>
        <v>—</v>
      </c>
      <c r="O31" s="14">
        <f>_xll.BDH("ALNY US Equity","NET_CHANGE_IN_CASH_1_YEAR_GROWTH","FQ4 2021","FQ4 2021","Currency=USD","Period=FQ","BEST_FPERIOD_OVERRIDE=FQ","FILING_STATUS=MR","Sort=A","Dates=H","DateFormat=P","Fill=—","Direction=H","UseDPDF=Y")</f>
        <v>-249268.18179999999</v>
      </c>
      <c r="P31" s="14">
        <f>_xll.BDH("ALNY US Equity","NET_CHANGE_IN_CASH_1_YEAR_GROWTH","FQ1 2022","FQ1 2022","Currency=USD","Period=FQ","BEST_FPERIOD_OVERRIDE=FQ","FILING_STATUS=MR","Sort=A","Dates=H","DateFormat=P","Fill=—","Direction=H","UseDPDF=Y")</f>
        <v>-144.26820000000001</v>
      </c>
      <c r="Q31" s="14">
        <f>_xll.BDH("ALNY US Equity","NET_CHANGE_IN_CASH_1_YEAR_GROWTH","FQ2 2022","FQ2 2022","Currency=USD","Period=FQ","BEST_FPERIOD_OVERRIDE=FQ","FILING_STATUS=MR","Sort=A","Dates=H","DateFormat=P","Fill=—","Direction=H","UseDPDF=Y")</f>
        <v>-88.669600000000003</v>
      </c>
      <c r="R31" s="14">
        <f>_xll.BDH("ALNY US Equity","NET_CHANGE_IN_CASH_1_YEAR_GROWTH","FQ3 2022","FQ3 2022","Currency=USD","Period=FQ","BEST_FPERIOD_OVERRIDE=FQ","FILING_STATUS=MR","Sort=A","Dates=H","DateFormat=P","Fill=—","Direction=H","UseDPDF=Y")</f>
        <v>42.842700000000001</v>
      </c>
      <c r="S31" s="14">
        <f>_xll.BDH("ALNY US Equity","NET_CHANGE_IN_CASH_1_YEAR_GROWTH","FQ4 2022","FQ4 2022","Currency=USD","Period=FQ","BEST_FPERIOD_OVERRIDE=FQ","FILING_STATUS=MR","Sort=A","Dates=H","DateFormat=P","Fill=—","Direction=H","UseDPDF=Y")</f>
        <v>24.5974</v>
      </c>
      <c r="T31" s="14">
        <f>_xll.BDH("ALNY US Equity","NET_CHANGE_IN_CASH_1_YEAR_GROWTH","FQ1 2023","FQ1 2023","Currency=USD","Period=FQ","BEST_FPERIOD_OVERRIDE=FQ","FILING_STATUS=MR","Sort=A","Dates=H","DateFormat=P","Fill=—","Direction=H","UseDPDF=Y")</f>
        <v>32.091999999999999</v>
      </c>
      <c r="U31" s="14" t="str">
        <f>_xll.BDH("ALNY US Equity","NET_CHANGE_IN_CASH_1_YEAR_GROWTH","FQ2 2023","FQ2 2023","Currency=USD","Period=FQ","BEST_FPERIOD_OVERRIDE=FQ","FILING_STATUS=MR","Sort=A","Dates=H","DateFormat=P","Fill=—","Direction=H","UseDPDF=Y")</f>
        <v>—</v>
      </c>
      <c r="V31" s="14">
        <f>_xll.BDH("ALNY US Equity","NET_CHANGE_IN_CASH_1_YEAR_GROWTH","FQ3 2023","FQ3 2023","Currency=USD","Period=FQ","BEST_FPERIOD_OVERRIDE=FQ","FILING_STATUS=MR","Sort=A","Dates=H","DateFormat=P","Fill=—","Direction=H","UseDPDF=Y")</f>
        <v>-24.599399999999999</v>
      </c>
      <c r="W31" s="14">
        <f>_xll.BDH("ALNY US Equity","NET_CHANGE_IN_CASH_1_YEAR_GROWTH","FQ4 2023","FQ4 2023","Currency=USD","Period=FQ","BEST_FPERIOD_OVERRIDE=FQ","FILING_STATUS=MR","Sort=A","Dates=H","DateFormat=P","Fill=—","Direction=H","UseDPDF=Y")</f>
        <v>-6.5236000000000001</v>
      </c>
      <c r="X31" s="14">
        <f>_xll.BDH("ALNY US Equity","NET_CHANGE_IN_CASH_1_YEAR_GROWTH","FQ1 2024","FQ1 2024","Currency=USD","Period=FQ","BEST_FPERIOD_OVERRIDE=FQ","FILING_STATUS=MR","Sort=A","Dates=H","DateFormat=P","Fill=—","Direction=H","UseDPDF=Y")</f>
        <v>32.954799999999999</v>
      </c>
      <c r="Y31" s="14" t="str">
        <f>_xll.BDH("ALNY US Equity","NET_CHANGE_IN_CASH_1_YEAR_GROWTH","FQ2 2024","FQ2 2024","Currency=USD","Period=FQ","BEST_FPERIOD_OVERRIDE=FQ","FILING_STATUS=MR","Sort=A","Dates=H","DateFormat=P","Fill=—","Direction=H","UseDPDF=Y")</f>
        <v>—</v>
      </c>
      <c r="Z31" s="14">
        <f>_xll.BDH("ALNY US Equity","NET_CHANGE_IN_CASH_1_YEAR_GROWTH","FQ3 2024","FQ3 2024","Currency=USD","Period=FQ","BEST_FPERIOD_OVERRIDE=FQ","FILING_STATUS=MR","Sort=A","Dates=H","DateFormat=P","Fill=—","Direction=H","UseDPDF=Y")</f>
        <v>-65.007199999999997</v>
      </c>
      <c r="AA31" s="14">
        <f>_xll.BDH("ALNY US Equity","NET_CHANGE_IN_CASH_1_YEAR_GROWTH","FQ4 2024","FQ4 2024","Currency=USD","Period=FQ","BEST_FPERIOD_OVERRIDE=FQ","FILING_STATUS=MR","Sort=A","Dates=H","DateFormat=P","Fill=—","Direction=H","UseDPDF=Y")</f>
        <v>39.250900000000001</v>
      </c>
    </row>
    <row r="32" spans="1:27" x14ac:dyDescent="0.25">
      <c r="A32" s="10" t="s">
        <v>88</v>
      </c>
      <c r="B32" s="10" t="s">
        <v>1403</v>
      </c>
      <c r="C32" s="14">
        <f>_xll.BDH("ALNY US Equity","FREE_CASH_FLOW_1_YEAR_GROWTH","FQ4 2018","FQ4 2018","Currency=USD","Period=FQ","BEST_FPERIOD_OVERRIDE=FQ","FILING_STATUS=MR","Sort=A","Dates=H","DateFormat=P","Fill=—","Direction=H","UseDPDF=Y")</f>
        <v>-51.868000000000002</v>
      </c>
      <c r="D32" s="14">
        <f>_xll.BDH("ALNY US Equity","FREE_CASH_FLOW_1_YEAR_GROWTH","FQ1 2019","FQ1 2019","Currency=USD","Period=FQ","BEST_FPERIOD_OVERRIDE=FQ","FILING_STATUS=MR","Sort=A","Dates=H","DateFormat=P","Fill=—","Direction=H","UseDPDF=Y")</f>
        <v>-31.447900000000001</v>
      </c>
      <c r="E32" s="14" t="str">
        <f>_xll.BDH("ALNY US Equity","FREE_CASH_FLOW_1_YEAR_GROWTH","FQ2 2019","FQ2 2019","Currency=USD","Period=FQ","BEST_FPERIOD_OVERRIDE=FQ","FILING_STATUS=MR","Sort=A","Dates=H","DateFormat=P","Fill=—","Direction=H","UseDPDF=Y")</f>
        <v>—</v>
      </c>
      <c r="F32" s="14">
        <f>_xll.BDH("ALNY US Equity","FREE_CASH_FLOW_1_YEAR_GROWTH","FQ3 2019","FQ3 2019","Currency=USD","Period=FQ","BEST_FPERIOD_OVERRIDE=FQ","FILING_STATUS=MR","Sort=A","Dates=H","DateFormat=P","Fill=—","Direction=H","UseDPDF=Y")</f>
        <v>-9.7748000000000008</v>
      </c>
      <c r="G32" s="14">
        <f>_xll.BDH("ALNY US Equity","FREE_CASH_FLOW_1_YEAR_GROWTH","FQ4 2019","FQ4 2019","Currency=USD","Period=FQ","BEST_FPERIOD_OVERRIDE=FQ","FILING_STATUS=MR","Sort=A","Dates=H","DateFormat=P","Fill=—","Direction=H","UseDPDF=Y")</f>
        <v>-24.9056</v>
      </c>
      <c r="H32" s="14">
        <f>_xll.BDH("ALNY US Equity","FREE_CASH_FLOW_1_YEAR_GROWTH","FQ1 2020","FQ1 2020","Currency=USD","Period=FQ","BEST_FPERIOD_OVERRIDE=FQ","FILING_STATUS=MR","Sort=A","Dates=H","DateFormat=P","Fill=—","Direction=H","UseDPDF=Y")</f>
        <v>-14.2841</v>
      </c>
      <c r="I32" s="14" t="str">
        <f>_xll.BDH("ALNY US Equity","FREE_CASH_FLOW_1_YEAR_GROWTH","FQ2 2020","FQ2 2020","Currency=USD","Period=FQ","BEST_FPERIOD_OVERRIDE=FQ","FILING_STATUS=MR","Sort=A","Dates=H","DateFormat=P","Fill=—","Direction=H","UseDPDF=Y")</f>
        <v>—</v>
      </c>
      <c r="J32" s="14">
        <f>_xll.BDH("ALNY US Equity","FREE_CASH_FLOW_1_YEAR_GROWTH","FQ3 2020","FQ3 2020","Currency=USD","Period=FQ","BEST_FPERIOD_OVERRIDE=FQ","FILING_STATUS=MR","Sort=A","Dates=H","DateFormat=P","Fill=—","Direction=H","UseDPDF=Y")</f>
        <v>43.873100000000001</v>
      </c>
      <c r="K32" s="14">
        <f>_xll.BDH("ALNY US Equity","FREE_CASH_FLOW_1_YEAR_GROWTH","FQ4 2020","FQ4 2020","Currency=USD","Period=FQ","BEST_FPERIOD_OVERRIDE=FQ","FILING_STATUS=MR","Sort=A","Dates=H","DateFormat=P","Fill=—","Direction=H","UseDPDF=Y")</f>
        <v>38.321399999999997</v>
      </c>
      <c r="L32" s="14">
        <f>_xll.BDH("ALNY US Equity","FREE_CASH_FLOW_1_YEAR_GROWTH","FQ1 2021","FQ1 2021","Currency=USD","Period=FQ","BEST_FPERIOD_OVERRIDE=FQ","FILING_STATUS=MR","Sort=A","Dates=H","DateFormat=P","Fill=—","Direction=H","UseDPDF=Y")</f>
        <v>4.8686999999999996</v>
      </c>
      <c r="M32" s="14">
        <f>_xll.BDH("ALNY US Equity","FREE_CASH_FLOW_1_YEAR_GROWTH","FQ2 2021","FQ2 2021","Currency=USD","Period=FQ","BEST_FPERIOD_OVERRIDE=FQ","FILING_STATUS=MR","Sort=A","Dates=H","DateFormat=P","Fill=—","Direction=H","UseDPDF=Y")</f>
        <v>12.426</v>
      </c>
      <c r="N32" s="14">
        <f>_xll.BDH("ALNY US Equity","FREE_CASH_FLOW_1_YEAR_GROWTH","FQ3 2021","FQ3 2021","Currency=USD","Period=FQ","BEST_FPERIOD_OVERRIDE=FQ","FILING_STATUS=MR","Sort=A","Dates=H","DateFormat=P","Fill=—","Direction=H","UseDPDF=Y")</f>
        <v>-30.432400000000001</v>
      </c>
      <c r="O32" s="14">
        <f>_xll.BDH("ALNY US Equity","FREE_CASH_FLOW_1_YEAR_GROWTH","FQ4 2021","FQ4 2021","Currency=USD","Period=FQ","BEST_FPERIOD_OVERRIDE=FQ","FILING_STATUS=MR","Sort=A","Dates=H","DateFormat=P","Fill=—","Direction=H","UseDPDF=Y")</f>
        <v>-18.793299999999999</v>
      </c>
      <c r="P32" s="14">
        <f>_xll.BDH("ALNY US Equity","FREE_CASH_FLOW_1_YEAR_GROWTH","FQ1 2022","FQ1 2022","Currency=USD","Period=FQ","BEST_FPERIOD_OVERRIDE=FQ","FILING_STATUS=MR","Sort=A","Dates=H","DateFormat=P","Fill=—","Direction=H","UseDPDF=Y")</f>
        <v>25.228000000000002</v>
      </c>
      <c r="Q32" s="14">
        <f>_xll.BDH("ALNY US Equity","FREE_CASH_FLOW_1_YEAR_GROWTH","FQ2 2022","FQ2 2022","Currency=USD","Period=FQ","BEST_FPERIOD_OVERRIDE=FQ","FILING_STATUS=MR","Sort=A","Dates=H","DateFormat=P","Fill=—","Direction=H","UseDPDF=Y")</f>
        <v>-4.3365</v>
      </c>
      <c r="R32" s="14">
        <f>_xll.BDH("ALNY US Equity","FREE_CASH_FLOW_1_YEAR_GROWTH","FQ3 2022","FQ3 2022","Currency=USD","Period=FQ","BEST_FPERIOD_OVERRIDE=FQ","FILING_STATUS=MR","Sort=A","Dates=H","DateFormat=P","Fill=—","Direction=H","UseDPDF=Y")</f>
        <v>17.679200000000002</v>
      </c>
      <c r="S32" s="14">
        <f>_xll.BDH("ALNY US Equity","FREE_CASH_FLOW_1_YEAR_GROWTH","FQ4 2022","FQ4 2022","Currency=USD","Period=FQ","BEST_FPERIOD_OVERRIDE=FQ","FILING_STATUS=MR","Sort=A","Dates=H","DateFormat=P","Fill=—","Direction=H","UseDPDF=Y")</f>
        <v>10.7041</v>
      </c>
      <c r="T32" s="14">
        <f>_xll.BDH("ALNY US Equity","FREE_CASH_FLOW_1_YEAR_GROWTH","FQ1 2023","FQ1 2023","Currency=USD","Period=FQ","BEST_FPERIOD_OVERRIDE=FQ","FILING_STATUS=MR","Sort=A","Dates=H","DateFormat=P","Fill=—","Direction=H","UseDPDF=Y")</f>
        <v>4.5945</v>
      </c>
      <c r="U32" s="14">
        <f>_xll.BDH("ALNY US Equity","FREE_CASH_FLOW_1_YEAR_GROWTH","FQ2 2023","FQ2 2023","Currency=USD","Period=FQ","BEST_FPERIOD_OVERRIDE=FQ","FILING_STATUS=MR","Sort=A","Dates=H","DateFormat=P","Fill=—","Direction=H","UseDPDF=Y")</f>
        <v>46.062600000000003</v>
      </c>
      <c r="V32" s="14" t="str">
        <f>_xll.BDH("ALNY US Equity","FREE_CASH_FLOW_1_YEAR_GROWTH","FQ3 2023","FQ3 2023","Currency=USD","Period=FQ","BEST_FPERIOD_OVERRIDE=FQ","FILING_STATUS=MR","Sort=A","Dates=H","DateFormat=P","Fill=—","Direction=H","UseDPDF=Y")</f>
        <v>—</v>
      </c>
      <c r="W32" s="14">
        <f>_xll.BDH("ALNY US Equity","FREE_CASH_FLOW_1_YEAR_GROWTH","FQ4 2023","FQ4 2023","Currency=USD","Period=FQ","BEST_FPERIOD_OVERRIDE=FQ","FILING_STATUS=MR","Sort=A","Dates=H","DateFormat=P","Fill=—","Direction=H","UseDPDF=Y")</f>
        <v>70.637900000000002</v>
      </c>
      <c r="X32" s="14">
        <f>_xll.BDH("ALNY US Equity","FREE_CASH_FLOW_1_YEAR_GROWTH","FQ1 2024","FQ1 2024","Currency=USD","Period=FQ","BEST_FPERIOD_OVERRIDE=FQ","FILING_STATUS=MR","Sort=A","Dates=H","DateFormat=P","Fill=—","Direction=H","UseDPDF=Y")</f>
        <v>47.613199999999999</v>
      </c>
      <c r="Y32" s="14" t="str">
        <f>_xll.BDH("ALNY US Equity","FREE_CASH_FLOW_1_YEAR_GROWTH","FQ2 2024","FQ2 2024","Currency=USD","Period=FQ","BEST_FPERIOD_OVERRIDE=FQ","FILING_STATUS=MR","Sort=A","Dates=H","DateFormat=P","Fill=—","Direction=H","UseDPDF=Y")</f>
        <v>—</v>
      </c>
      <c r="Z32" s="14">
        <f>_xll.BDH("ALNY US Equity","FREE_CASH_FLOW_1_YEAR_GROWTH","FQ3 2024","FQ3 2024","Currency=USD","Period=FQ","BEST_FPERIOD_OVERRIDE=FQ","FILING_STATUS=MR","Sort=A","Dates=H","DateFormat=P","Fill=—","Direction=H","UseDPDF=Y")</f>
        <v>-88.456699999999998</v>
      </c>
      <c r="AA32" s="14">
        <f>_xll.BDH("ALNY US Equity","FREE_CASH_FLOW_1_YEAR_GROWTH","FQ4 2024","FQ4 2024","Currency=USD","Period=FQ","BEST_FPERIOD_OVERRIDE=FQ","FILING_STATUS=MR","Sort=A","Dates=H","DateFormat=P","Fill=—","Direction=H","UseDPDF=Y")</f>
        <v>-130.03720000000001</v>
      </c>
    </row>
    <row r="33" spans="1:27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6" t="s">
        <v>1404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5">
      <c r="A35" s="10" t="s">
        <v>0</v>
      </c>
      <c r="B35" s="10" t="s">
        <v>1405</v>
      </c>
      <c r="C35" s="14">
        <f>_xll.BDH("ALNY US Equity","GEO_GROW_NET_SALES","FQ4 2018","FQ4 2018","Currency=USD","Period=FQ","BEST_FPERIOD_OVERRIDE=FQ","FILING_STATUS=MR","FA_ADJUSTED=GAAP","Sort=A","Dates=H","DateFormat=P","Fill=—","Direction=H","UseDPDF=Y")</f>
        <v>14.161099999999999</v>
      </c>
      <c r="D35" s="14">
        <f>_xll.BDH("ALNY US Equity","GEO_GROW_NET_SALES","FQ1 2019","FQ1 2019","Currency=USD","Period=FQ","BEST_FPERIOD_OVERRIDE=FQ","FILING_STATUS=MR","FA_ADJUSTED=GAAP","Sort=A","Dates=H","DateFormat=P","Fill=—","Direction=H","UseDPDF=Y")</f>
        <v>32.1051</v>
      </c>
      <c r="E35" s="14">
        <f>_xll.BDH("ALNY US Equity","GEO_GROW_NET_SALES","FQ2 2019","FQ2 2019","Currency=USD","Period=FQ","BEST_FPERIOD_OVERRIDE=FQ","FILING_STATUS=MR","FA_ADJUSTED=GAAP","Sort=A","Dates=H","DateFormat=P","Fill=—","Direction=H","UseDPDF=Y")</f>
        <v>43.7089</v>
      </c>
      <c r="F35" s="14">
        <f>_xll.BDH("ALNY US Equity","GEO_GROW_NET_SALES","FQ3 2019","FQ3 2019","Currency=USD","Period=FQ","BEST_FPERIOD_OVERRIDE=FQ","FILING_STATUS=MR","FA_ADJUSTED=GAAP","Sort=A","Dates=H","DateFormat=P","Fill=—","Direction=H","UseDPDF=Y")</f>
        <v>44.889899999999997</v>
      </c>
      <c r="G35" s="14">
        <f>_xll.BDH("ALNY US Equity","GEO_GROW_NET_SALES","FQ4 2019","FQ4 2019","Currency=USD","Period=FQ","BEST_FPERIOD_OVERRIDE=FQ","FILING_STATUS=MR","FA_ADJUSTED=GAAP","Sort=A","Dates=H","DateFormat=P","Fill=—","Direction=H","UseDPDF=Y")</f>
        <v>24.442799999999998</v>
      </c>
      <c r="H35" s="14">
        <f>_xll.BDH("ALNY US Equity","GEO_GROW_NET_SALES","FQ1 2020","FQ1 2020","Currency=USD","Period=FQ","BEST_FPERIOD_OVERRIDE=FQ","FILING_STATUS=MR","FA_ADJUSTED=GAAP","Sort=A","Dates=H","DateFormat=P","Fill=—","Direction=H","UseDPDF=Y")</f>
        <v>39.938000000000002</v>
      </c>
      <c r="I35" s="14">
        <f>_xll.BDH("ALNY US Equity","GEO_GROW_NET_SALES","FQ2 2020","FQ2 2020","Currency=USD","Period=FQ","BEST_FPERIOD_OVERRIDE=FQ","FILING_STATUS=MR","FA_ADJUSTED=GAAP","Sort=A","Dates=H","DateFormat=P","Fill=—","Direction=H","UseDPDF=Y")</f>
        <v>64.293700000000001</v>
      </c>
      <c r="J35" s="14">
        <f>_xll.BDH("ALNY US Equity","GEO_GROW_NET_SALES","FQ3 2020","FQ3 2020","Currency=USD","Period=FQ","BEST_FPERIOD_OVERRIDE=FQ","FILING_STATUS=MR","FA_ADJUSTED=GAAP","Sort=A","Dates=H","DateFormat=P","Fill=—","Direction=H","UseDPDF=Y")</f>
        <v>81.875600000000006</v>
      </c>
      <c r="K35" s="14">
        <f>_xll.BDH("ALNY US Equity","GEO_GROW_NET_SALES","FQ4 2020","FQ4 2020","Currency=USD","Period=FQ","BEST_FPERIOD_OVERRIDE=FQ","FILING_STATUS=MR","FA_ADJUSTED=GAAP","Sort=A","Dates=H","DateFormat=P","Fill=—","Direction=H","UseDPDF=Y")</f>
        <v>84.9846</v>
      </c>
      <c r="L35" s="14">
        <f>_xll.BDH("ALNY US Equity","GEO_GROW_NET_SALES","FQ1 2021","FQ1 2021","Currency=USD","Period=FQ","BEST_FPERIOD_OVERRIDE=FQ","FILING_STATUS=MR","FA_ADJUSTED=GAAP","Sort=A","Dates=H","DateFormat=P","Fill=—","Direction=H","UseDPDF=Y")</f>
        <v>89.092200000000005</v>
      </c>
      <c r="M35" s="14">
        <f>_xll.BDH("ALNY US Equity","GEO_GROW_NET_SALES","FQ2 2021","FQ2 2021","Currency=USD","Period=FQ","BEST_FPERIOD_OVERRIDE=FQ","FILING_STATUS=MR","FA_ADJUSTED=GAAP","Sort=A","Dates=H","DateFormat=P","Fill=—","Direction=H","UseDPDF=Y")</f>
        <v>90.857399999999998</v>
      </c>
      <c r="N35" s="14">
        <f>_xll.BDH("ALNY US Equity","GEO_GROW_NET_SALES","FQ3 2021","FQ3 2021","Currency=USD","Period=FQ","BEST_FPERIOD_OVERRIDE=FQ","FILING_STATUS=MR","FA_ADJUSTED=GAAP","Sort=A","Dates=H","DateFormat=P","Fill=—","Direction=H","UseDPDF=Y")</f>
        <v>68.899699999999996</v>
      </c>
      <c r="O35" s="14">
        <f>_xll.BDH("ALNY US Equity","GEO_GROW_NET_SALES","FQ4 2021","FQ4 2021","Currency=USD","Period=FQ","BEST_FPERIOD_OVERRIDE=FQ","FILING_STATUS=MR","FA_ADJUSTED=GAAP","Sort=A","Dates=H","DateFormat=P","Fill=—","Direction=H","UseDPDF=Y")</f>
        <v>71.444999999999993</v>
      </c>
      <c r="P35" s="14">
        <f>_xll.BDH("ALNY US Equity","GEO_GROW_NET_SALES","FQ1 2022","FQ1 2022","Currency=USD","Period=FQ","BEST_FPERIOD_OVERRIDE=FQ","FILING_STATUS=MR","FA_ADJUSTED=GAAP","Sort=A","Dates=H","DateFormat=P","Fill=—","Direction=H","UseDPDF=Y")</f>
        <v>62.260899999999999</v>
      </c>
      <c r="Q35" s="14">
        <f>_xll.BDH("ALNY US Equity","GEO_GROW_NET_SALES","FQ2 2022","FQ2 2022","Currency=USD","Period=FQ","BEST_FPERIOD_OVERRIDE=FQ","FILING_STATUS=MR","FA_ADJUSTED=GAAP","Sort=A","Dates=H","DateFormat=P","Fill=—","Direction=H","UseDPDF=Y")</f>
        <v>69.790000000000006</v>
      </c>
      <c r="R35" s="14">
        <f>_xll.BDH("ALNY US Equity","GEO_GROW_NET_SALES","FQ3 2022","FQ3 2022","Currency=USD","Period=FQ","BEST_FPERIOD_OVERRIDE=FQ","FILING_STATUS=MR","FA_ADJUSTED=GAAP","Sort=A","Dates=H","DateFormat=P","Fill=—","Direction=H","UseDPDF=Y")</f>
        <v>72.918899999999994</v>
      </c>
      <c r="S35" s="14">
        <f>_xll.BDH("ALNY US Equity","GEO_GROW_NET_SALES","FQ4 2022","FQ4 2022","Currency=USD","Period=FQ","BEST_FPERIOD_OVERRIDE=FQ","FILING_STATUS=MR","FA_ADJUSTED=GAAP","Sort=A","Dates=H","DateFormat=P","Fill=—","Direction=H","UseDPDF=Y")</f>
        <v>54.609200000000001</v>
      </c>
      <c r="T35" s="14">
        <f>_xll.BDH("ALNY US Equity","GEO_GROW_NET_SALES","FQ1 2023","FQ1 2023","Currency=USD","Period=FQ","BEST_FPERIOD_OVERRIDE=FQ","FILING_STATUS=MR","FA_ADJUSTED=GAAP","Sort=A","Dates=H","DateFormat=P","Fill=—","Direction=H","UseDPDF=Y")</f>
        <v>70.903999999999996</v>
      </c>
      <c r="U35" s="14">
        <f>_xll.BDH("ALNY US Equity","GEO_GROW_NET_SALES","FQ2 2023","FQ2 2023","Currency=USD","Period=FQ","BEST_FPERIOD_OVERRIDE=FQ","FILING_STATUS=MR","FA_ADJUSTED=GAAP","Sort=A","Dates=H","DateFormat=P","Fill=—","Direction=H","UseDPDF=Y")</f>
        <v>60.5227</v>
      </c>
      <c r="V35" s="14">
        <f>_xll.BDH("ALNY US Equity","GEO_GROW_NET_SALES","FQ3 2023","FQ3 2023","Currency=USD","Period=FQ","BEST_FPERIOD_OVERRIDE=FQ","FILING_STATUS=MR","FA_ADJUSTED=GAAP","Sort=A","Dates=H","DateFormat=P","Fill=—","Direction=H","UseDPDF=Y")</f>
        <v>225.02860000000001</v>
      </c>
      <c r="W35" s="14">
        <f>_xll.BDH("ALNY US Equity","GEO_GROW_NET_SALES","FQ4 2023","FQ4 2023","Currency=USD","Period=FQ","BEST_FPERIOD_OVERRIDE=FQ","FILING_STATUS=MR","FA_ADJUSTED=GAAP","Sort=A","Dates=H","DateFormat=P","Fill=—","Direction=H","UseDPDF=Y")</f>
        <v>83.676900000000003</v>
      </c>
      <c r="X35" s="14">
        <f>_xll.BDH("ALNY US Equity","GEO_GROW_NET_SALES","FQ1 2024","FQ1 2024","Currency=USD","Period=FQ","BEST_FPERIOD_OVERRIDE=FQ","FILING_STATUS=MR","FA_ADJUSTED=GAAP","Sort=A","Dates=H","DateFormat=P","Fill=—","Direction=H","UseDPDF=Y")</f>
        <v>71.526300000000006</v>
      </c>
      <c r="Y35" s="14">
        <f>_xll.BDH("ALNY US Equity","GEO_GROW_NET_SALES","FQ2 2024","FQ2 2024","Currency=USD","Period=FQ","BEST_FPERIOD_OVERRIDE=FQ","FILING_STATUS=MR","FA_ADJUSTED=GAAP","Sort=A","Dates=H","DateFormat=P","Fill=—","Direction=H","UseDPDF=Y")</f>
        <v>71.315700000000007</v>
      </c>
      <c r="Z35" s="14">
        <f>_xll.BDH("ALNY US Equity","GEO_GROW_NET_SALES","FQ3 2024","FQ3 2024","Currency=USD","Period=FQ","BEST_FPERIOD_OVERRIDE=FQ","FILING_STATUS=MR","FA_ADJUSTED=GAAP","Sort=A","Dates=H","DateFormat=P","Fill=—","Direction=H","UseDPDF=Y")</f>
        <v>48.203400000000002</v>
      </c>
      <c r="AA35" s="14">
        <f>_xll.BDH("ALNY US Equity","GEO_GROW_NET_SALES","FQ4 2024","FQ4 2024","Currency=USD","Period=FQ","BEST_FPERIOD_OVERRIDE=FQ","FILING_STATUS=MR","FA_ADJUSTED=GAAP","Sort=A","Dates=H","DateFormat=P","Fill=—","Direction=H","UseDPDF=Y")</f>
        <v>52.6</v>
      </c>
    </row>
    <row r="36" spans="1:27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0" t="s">
        <v>1376</v>
      </c>
      <c r="B37" s="10" t="s">
        <v>1406</v>
      </c>
      <c r="C37" s="14" t="str">
        <f>_xll.BDH("ALNY US Equity","ACCOUNTS_RECEIVABLE_5_YR_GROWTH","FQ4 2018","FQ4 2018","Currency=USD","Period=FQ","BEST_FPERIOD_OVERRIDE=FQ","FILING_STATUS=MR","Sort=A","Dates=H","DateFormat=P","Fill=—","Direction=H","UseDPDF=Y")</f>
        <v>—</v>
      </c>
      <c r="D37" s="14" t="str">
        <f>_xll.BDH("ALNY US Equity","ACCOUNTS_RECEIVABLE_5_YR_GROWTH","FQ1 2019","FQ1 2019","Currency=USD","Period=FQ","BEST_FPERIOD_OVERRIDE=FQ","FILING_STATUS=MR","Sort=A","Dates=H","DateFormat=P","Fill=—","Direction=H","UseDPDF=Y")</f>
        <v>—</v>
      </c>
      <c r="E37" s="14" t="str">
        <f>_xll.BDH("ALNY US Equity","ACCOUNTS_RECEIVABLE_5_YR_GROWTH","FQ2 2019","FQ2 2019","Currency=USD","Period=FQ","BEST_FPERIOD_OVERRIDE=FQ","FILING_STATUS=MR","Sort=A","Dates=H","DateFormat=P","Fill=—","Direction=H","UseDPDF=Y")</f>
        <v>—</v>
      </c>
      <c r="F37" s="14" t="str">
        <f>_xll.BDH("ALNY US Equity","ACCOUNTS_RECEIVABLE_5_YR_GROWTH","FQ3 2019","FQ3 2019","Currency=USD","Period=FQ","BEST_FPERIOD_OVERRIDE=FQ","FILING_STATUS=MR","Sort=A","Dates=H","DateFormat=P","Fill=—","Direction=H","UseDPDF=Y")</f>
        <v>—</v>
      </c>
      <c r="G37" s="14" t="str">
        <f>_xll.BDH("ALNY US Equity","ACCOUNTS_RECEIVABLE_5_YR_GROWTH","FQ4 2019","FQ4 2019","Currency=USD","Period=FQ","BEST_FPERIOD_OVERRIDE=FQ","FILING_STATUS=MR","Sort=A","Dates=H","DateFormat=P","Fill=—","Direction=H","UseDPDF=Y")</f>
        <v>—</v>
      </c>
      <c r="H37" s="14" t="str">
        <f>_xll.BDH("ALNY US Equity","ACCOUNTS_RECEIVABLE_5_YR_GROWTH","FQ1 2020","FQ1 2020","Currency=USD","Period=FQ","BEST_FPERIOD_OVERRIDE=FQ","FILING_STATUS=MR","Sort=A","Dates=H","DateFormat=P","Fill=—","Direction=H","UseDPDF=Y")</f>
        <v>—</v>
      </c>
      <c r="I37" s="14" t="str">
        <f>_xll.BDH("ALNY US Equity","ACCOUNTS_RECEIVABLE_5_YR_GROWTH","FQ2 2020","FQ2 2020","Currency=USD","Period=FQ","BEST_FPERIOD_OVERRIDE=FQ","FILING_STATUS=MR","Sort=A","Dates=H","DateFormat=P","Fill=—","Direction=H","UseDPDF=Y")</f>
        <v>—</v>
      </c>
      <c r="J37" s="14" t="str">
        <f>_xll.BDH("ALNY US Equity","ACCOUNTS_RECEIVABLE_5_YR_GROWTH","FQ3 2020","FQ3 2020","Currency=USD","Period=FQ","BEST_FPERIOD_OVERRIDE=FQ","FILING_STATUS=MR","Sort=A","Dates=H","DateFormat=P","Fill=—","Direction=H","UseDPDF=Y")</f>
        <v>—</v>
      </c>
      <c r="K37" s="14" t="str">
        <f>_xll.BDH("ALNY US Equity","ACCOUNTS_RECEIVABLE_5_YR_GROWTH","FQ4 2020","FQ4 2020","Currency=USD","Period=FQ","BEST_FPERIOD_OVERRIDE=FQ","FILING_STATUS=MR","Sort=A","Dates=H","DateFormat=P","Fill=—","Direction=H","UseDPDF=Y")</f>
        <v>—</v>
      </c>
      <c r="L37" s="14" t="str">
        <f>_xll.BDH("ALNY US Equity","ACCOUNTS_RECEIVABLE_5_YR_GROWTH","FQ1 2021","FQ1 2021","Currency=USD","Period=FQ","BEST_FPERIOD_OVERRIDE=FQ","FILING_STATUS=MR","Sort=A","Dates=H","DateFormat=P","Fill=—","Direction=H","UseDPDF=Y")</f>
        <v>—</v>
      </c>
      <c r="M37" s="14" t="str">
        <f>_xll.BDH("ALNY US Equity","ACCOUNTS_RECEIVABLE_5_YR_GROWTH","FQ2 2021","FQ2 2021","Currency=USD","Period=FQ","BEST_FPERIOD_OVERRIDE=FQ","FILING_STATUS=MR","Sort=A","Dates=H","DateFormat=P","Fill=—","Direction=H","UseDPDF=Y")</f>
        <v>—</v>
      </c>
      <c r="N37" s="14" t="str">
        <f>_xll.BDH("ALNY US Equity","ACCOUNTS_RECEIVABLE_5_YR_GROWTH","FQ3 2021","FQ3 2021","Currency=USD","Period=FQ","BEST_FPERIOD_OVERRIDE=FQ","FILING_STATUS=MR","Sort=A","Dates=H","DateFormat=P","Fill=—","Direction=H","UseDPDF=Y")</f>
        <v>—</v>
      </c>
      <c r="O37" s="14" t="str">
        <f>_xll.BDH("ALNY US Equity","ACCOUNTS_RECEIVABLE_5_YR_GROWTH","FQ4 2021","FQ4 2021","Currency=USD","Period=FQ","BEST_FPERIOD_OVERRIDE=FQ","FILING_STATUS=MR","Sort=A","Dates=H","DateFormat=P","Fill=—","Direction=H","UseDPDF=Y")</f>
        <v>—</v>
      </c>
      <c r="P37" s="14" t="str">
        <f>_xll.BDH("ALNY US Equity","ACCOUNTS_RECEIVABLE_5_YR_GROWTH","FQ1 2022","FQ1 2022","Currency=USD","Period=FQ","BEST_FPERIOD_OVERRIDE=FQ","FILING_STATUS=MR","Sort=A","Dates=H","DateFormat=P","Fill=—","Direction=H","UseDPDF=Y")</f>
        <v>—</v>
      </c>
      <c r="Q37" s="14" t="str">
        <f>_xll.BDH("ALNY US Equity","ACCOUNTS_RECEIVABLE_5_YR_GROWTH","FQ2 2022","FQ2 2022","Currency=USD","Period=FQ","BEST_FPERIOD_OVERRIDE=FQ","FILING_STATUS=MR","Sort=A","Dates=H","DateFormat=P","Fill=—","Direction=H","UseDPDF=Y")</f>
        <v>—</v>
      </c>
      <c r="R37" s="14" t="str">
        <f>_xll.BDH("ALNY US Equity","ACCOUNTS_RECEIVABLE_5_YR_GROWTH","FQ3 2022","FQ3 2022","Currency=USD","Period=FQ","BEST_FPERIOD_OVERRIDE=FQ","FILING_STATUS=MR","Sort=A","Dates=H","DateFormat=P","Fill=—","Direction=H","UseDPDF=Y")</f>
        <v>—</v>
      </c>
      <c r="S37" s="14" t="str">
        <f>_xll.BDH("ALNY US Equity","ACCOUNTS_RECEIVABLE_5_YR_GROWTH","FQ4 2022","FQ4 2022","Currency=USD","Period=FQ","BEST_FPERIOD_OVERRIDE=FQ","FILING_STATUS=MR","Sort=A","Dates=H","DateFormat=P","Fill=—","Direction=H","UseDPDF=Y")</f>
        <v>—</v>
      </c>
      <c r="T37" s="14" t="str">
        <f>_xll.BDH("ALNY US Equity","ACCOUNTS_RECEIVABLE_5_YR_GROWTH","FQ1 2023","FQ1 2023","Currency=USD","Period=FQ","BEST_FPERIOD_OVERRIDE=FQ","FILING_STATUS=MR","Sort=A","Dates=H","DateFormat=P","Fill=—","Direction=H","UseDPDF=Y")</f>
        <v>—</v>
      </c>
      <c r="U37" s="14" t="str">
        <f>_xll.BDH("ALNY US Equity","ACCOUNTS_RECEIVABLE_5_YR_GROWTH","FQ2 2023","FQ2 2023","Currency=USD","Period=FQ","BEST_FPERIOD_OVERRIDE=FQ","FILING_STATUS=MR","Sort=A","Dates=H","DateFormat=P","Fill=—","Direction=H","UseDPDF=Y")</f>
        <v>—</v>
      </c>
      <c r="V37" s="14">
        <f>_xll.BDH("ALNY US Equity","ACCOUNTS_RECEIVABLE_5_YR_GROWTH","FQ3 2023","FQ3 2023","Currency=USD","Period=FQ","BEST_FPERIOD_OVERRIDE=FQ","FILING_STATUS=MR","Sort=A","Dates=H","DateFormat=P","Fill=—","Direction=H","UseDPDF=Y")</f>
        <v>149.56059999999999</v>
      </c>
      <c r="W37" s="14">
        <f>_xll.BDH("ALNY US Equity","ACCOUNTS_RECEIVABLE_5_YR_GROWTH","FQ4 2023","FQ4 2023","Currency=USD","Period=FQ","BEST_FPERIOD_OVERRIDE=FQ","FILING_STATUS=MR","Sort=A","Dates=H","DateFormat=P","Fill=—","Direction=H","UseDPDF=Y")</f>
        <v>77.203299999999999</v>
      </c>
      <c r="X37" s="14">
        <f>_xll.BDH("ALNY US Equity","ACCOUNTS_RECEIVABLE_5_YR_GROWTH","FQ1 2024","FQ1 2024","Currency=USD","Period=FQ","BEST_FPERIOD_OVERRIDE=FQ","FILING_STATUS=MR","Sort=A","Dates=H","DateFormat=P","Fill=—","Direction=H","UseDPDF=Y")</f>
        <v>56.8979</v>
      </c>
      <c r="Y37" s="14">
        <f>_xll.BDH("ALNY US Equity","ACCOUNTS_RECEIVABLE_5_YR_GROWTH","FQ2 2024","FQ2 2024","Currency=USD","Period=FQ","BEST_FPERIOD_OVERRIDE=FQ","FILING_STATUS=MR","Sort=A","Dates=H","DateFormat=P","Fill=—","Direction=H","UseDPDF=Y")</f>
        <v>58.7044</v>
      </c>
      <c r="Z37" s="14">
        <f>_xll.BDH("ALNY US Equity","ACCOUNTS_RECEIVABLE_5_YR_GROWTH","FQ3 2024","FQ3 2024","Currency=USD","Period=FQ","BEST_FPERIOD_OVERRIDE=FQ","FILING_STATUS=MR","Sort=A","Dates=H","DateFormat=P","Fill=—","Direction=H","UseDPDF=Y")</f>
        <v>49.0456</v>
      </c>
      <c r="AA37" s="14">
        <f>_xll.BDH("ALNY US Equity","ACCOUNTS_RECEIVABLE_5_YR_GROWTH","FQ4 2024","FQ4 2024","Currency=USD","Period=FQ","BEST_FPERIOD_OVERRIDE=FQ","FILING_STATUS=MR","Sort=A","Dates=H","DateFormat=P","Fill=—","Direction=H","UseDPDF=Y")</f>
        <v>56.617800000000003</v>
      </c>
    </row>
    <row r="38" spans="1:27" x14ac:dyDescent="0.25">
      <c r="A38" s="10" t="s">
        <v>1378</v>
      </c>
      <c r="B38" s="10" t="s">
        <v>1407</v>
      </c>
      <c r="C38" s="14" t="str">
        <f>_xll.BDH("ALNY US Equity","INVENTORY_5_YEAR_GROWTH","FQ4 2018","FQ4 2018","Currency=USD","Period=FQ","BEST_FPERIOD_OVERRIDE=FQ","FILING_STATUS=MR","Sort=A","Dates=H","DateFormat=P","Fill=—","Direction=H","UseDPDF=Y")</f>
        <v>—</v>
      </c>
      <c r="D38" s="14" t="str">
        <f>_xll.BDH("ALNY US Equity","INVENTORY_5_YEAR_GROWTH","FQ1 2019","FQ1 2019","Currency=USD","Period=FQ","BEST_FPERIOD_OVERRIDE=FQ","FILING_STATUS=MR","Sort=A","Dates=H","DateFormat=P","Fill=—","Direction=H","UseDPDF=Y")</f>
        <v>—</v>
      </c>
      <c r="E38" s="14" t="str">
        <f>_xll.BDH("ALNY US Equity","INVENTORY_5_YEAR_GROWTH","FQ2 2019","FQ2 2019","Currency=USD","Period=FQ","BEST_FPERIOD_OVERRIDE=FQ","FILING_STATUS=MR","Sort=A","Dates=H","DateFormat=P","Fill=—","Direction=H","UseDPDF=Y")</f>
        <v>—</v>
      </c>
      <c r="F38" s="14" t="str">
        <f>_xll.BDH("ALNY US Equity","INVENTORY_5_YEAR_GROWTH","FQ3 2019","FQ3 2019","Currency=USD","Period=FQ","BEST_FPERIOD_OVERRIDE=FQ","FILING_STATUS=MR","Sort=A","Dates=H","DateFormat=P","Fill=—","Direction=H","UseDPDF=Y")</f>
        <v>—</v>
      </c>
      <c r="G38" s="14" t="str">
        <f>_xll.BDH("ALNY US Equity","INVENTORY_5_YEAR_GROWTH","FQ4 2019","FQ4 2019","Currency=USD","Period=FQ","BEST_FPERIOD_OVERRIDE=FQ","FILING_STATUS=MR","Sort=A","Dates=H","DateFormat=P","Fill=—","Direction=H","UseDPDF=Y")</f>
        <v>—</v>
      </c>
      <c r="H38" s="14" t="str">
        <f>_xll.BDH("ALNY US Equity","INVENTORY_5_YEAR_GROWTH","FQ1 2020","FQ1 2020","Currency=USD","Period=FQ","BEST_FPERIOD_OVERRIDE=FQ","FILING_STATUS=MR","Sort=A","Dates=H","DateFormat=P","Fill=—","Direction=H","UseDPDF=Y")</f>
        <v>—</v>
      </c>
      <c r="I38" s="14" t="str">
        <f>_xll.BDH("ALNY US Equity","INVENTORY_5_YEAR_GROWTH","FQ2 2020","FQ2 2020","Currency=USD","Period=FQ","BEST_FPERIOD_OVERRIDE=FQ","FILING_STATUS=MR","Sort=A","Dates=H","DateFormat=P","Fill=—","Direction=H","UseDPDF=Y")</f>
        <v>—</v>
      </c>
      <c r="J38" s="14" t="str">
        <f>_xll.BDH("ALNY US Equity","INVENTORY_5_YEAR_GROWTH","FQ3 2020","FQ3 2020","Currency=USD","Period=FQ","BEST_FPERIOD_OVERRIDE=FQ","FILING_STATUS=MR","Sort=A","Dates=H","DateFormat=P","Fill=—","Direction=H","UseDPDF=Y")</f>
        <v>—</v>
      </c>
      <c r="K38" s="14" t="str">
        <f>_xll.BDH("ALNY US Equity","INVENTORY_5_YEAR_GROWTH","FQ4 2020","FQ4 2020","Currency=USD","Period=FQ","BEST_FPERIOD_OVERRIDE=FQ","FILING_STATUS=MR","Sort=A","Dates=H","DateFormat=P","Fill=—","Direction=H","UseDPDF=Y")</f>
        <v>—</v>
      </c>
      <c r="L38" s="14" t="str">
        <f>_xll.BDH("ALNY US Equity","INVENTORY_5_YEAR_GROWTH","FQ1 2021","FQ1 2021","Currency=USD","Period=FQ","BEST_FPERIOD_OVERRIDE=FQ","FILING_STATUS=MR","Sort=A","Dates=H","DateFormat=P","Fill=—","Direction=H","UseDPDF=Y")</f>
        <v>—</v>
      </c>
      <c r="M38" s="14" t="str">
        <f>_xll.BDH("ALNY US Equity","INVENTORY_5_YEAR_GROWTH","FQ2 2021","FQ2 2021","Currency=USD","Period=FQ","BEST_FPERIOD_OVERRIDE=FQ","FILING_STATUS=MR","Sort=A","Dates=H","DateFormat=P","Fill=—","Direction=H","UseDPDF=Y")</f>
        <v>—</v>
      </c>
      <c r="N38" s="14" t="str">
        <f>_xll.BDH("ALNY US Equity","INVENTORY_5_YEAR_GROWTH","FQ3 2021","FQ3 2021","Currency=USD","Period=FQ","BEST_FPERIOD_OVERRIDE=FQ","FILING_STATUS=MR","Sort=A","Dates=H","DateFormat=P","Fill=—","Direction=H","UseDPDF=Y")</f>
        <v>—</v>
      </c>
      <c r="O38" s="14" t="str">
        <f>_xll.BDH("ALNY US Equity","INVENTORY_5_YEAR_GROWTH","FQ4 2021","FQ4 2021","Currency=USD","Period=FQ","BEST_FPERIOD_OVERRIDE=FQ","FILING_STATUS=MR","Sort=A","Dates=H","DateFormat=P","Fill=—","Direction=H","UseDPDF=Y")</f>
        <v>—</v>
      </c>
      <c r="P38" s="14" t="str">
        <f>_xll.BDH("ALNY US Equity","INVENTORY_5_YEAR_GROWTH","FQ1 2022","FQ1 2022","Currency=USD","Period=FQ","BEST_FPERIOD_OVERRIDE=FQ","FILING_STATUS=MR","Sort=A","Dates=H","DateFormat=P","Fill=—","Direction=H","UseDPDF=Y")</f>
        <v>—</v>
      </c>
      <c r="Q38" s="14" t="str">
        <f>_xll.BDH("ALNY US Equity","INVENTORY_5_YEAR_GROWTH","FQ2 2022","FQ2 2022","Currency=USD","Period=FQ","BEST_FPERIOD_OVERRIDE=FQ","FILING_STATUS=MR","Sort=A","Dates=H","DateFormat=P","Fill=—","Direction=H","UseDPDF=Y")</f>
        <v>—</v>
      </c>
      <c r="R38" s="14" t="str">
        <f>_xll.BDH("ALNY US Equity","INVENTORY_5_YEAR_GROWTH","FQ3 2022","FQ3 2022","Currency=USD","Period=FQ","BEST_FPERIOD_OVERRIDE=FQ","FILING_STATUS=MR","Sort=A","Dates=H","DateFormat=P","Fill=—","Direction=H","UseDPDF=Y")</f>
        <v>—</v>
      </c>
      <c r="S38" s="14" t="str">
        <f>_xll.BDH("ALNY US Equity","INVENTORY_5_YEAR_GROWTH","FQ4 2022","FQ4 2022","Currency=USD","Period=FQ","BEST_FPERIOD_OVERRIDE=FQ","FILING_STATUS=MR","Sort=A","Dates=H","DateFormat=P","Fill=—","Direction=H","UseDPDF=Y")</f>
        <v>—</v>
      </c>
      <c r="T38" s="14" t="str">
        <f>_xll.BDH("ALNY US Equity","INVENTORY_5_YEAR_GROWTH","FQ1 2023","FQ1 2023","Currency=USD","Period=FQ","BEST_FPERIOD_OVERRIDE=FQ","FILING_STATUS=MR","Sort=A","Dates=H","DateFormat=P","Fill=—","Direction=H","UseDPDF=Y")</f>
        <v>—</v>
      </c>
      <c r="U38" s="14" t="str">
        <f>_xll.BDH("ALNY US Equity","INVENTORY_5_YEAR_GROWTH","FQ2 2023","FQ2 2023","Currency=USD","Period=FQ","BEST_FPERIOD_OVERRIDE=FQ","FILING_STATUS=MR","Sort=A","Dates=H","DateFormat=P","Fill=—","Direction=H","UseDPDF=Y")</f>
        <v>—</v>
      </c>
      <c r="V38" s="14">
        <f>_xll.BDH("ALNY US Equity","INVENTORY_5_YEAR_GROWTH","FQ3 2023","FQ3 2023","Currency=USD","Period=FQ","BEST_FPERIOD_OVERRIDE=FQ","FILING_STATUS=MR","Sort=A","Dates=H","DateFormat=P","Fill=—","Direction=H","UseDPDF=Y")</f>
        <v>53.932699999999997</v>
      </c>
      <c r="W38" s="14">
        <f>_xll.BDH("ALNY US Equity","INVENTORY_5_YEAR_GROWTH","FQ4 2023","FQ4 2023","Currency=USD","Period=FQ","BEST_FPERIOD_OVERRIDE=FQ","FILING_STATUS=MR","Sort=A","Dates=H","DateFormat=P","Fill=—","Direction=H","UseDPDF=Y")</f>
        <v>29.936900000000001</v>
      </c>
      <c r="X38" s="14">
        <f>_xll.BDH("ALNY US Equity","INVENTORY_5_YEAR_GROWTH","FQ1 2024","FQ1 2024","Currency=USD","Period=FQ","BEST_FPERIOD_OVERRIDE=FQ","FILING_STATUS=MR","Sort=A","Dates=H","DateFormat=P","Fill=—","Direction=H","UseDPDF=Y")</f>
        <v>24.0457</v>
      </c>
      <c r="Y38" s="14">
        <f>_xll.BDH("ALNY US Equity","INVENTORY_5_YEAR_GROWTH","FQ2 2024","FQ2 2024","Currency=USD","Period=FQ","BEST_FPERIOD_OVERRIDE=FQ","FILING_STATUS=MR","Sort=A","Dates=H","DateFormat=P","Fill=—","Direction=H","UseDPDF=Y")</f>
        <v>15.653499999999999</v>
      </c>
      <c r="Z38" s="14">
        <f>_xll.BDH("ALNY US Equity","INVENTORY_5_YEAR_GROWTH","FQ3 2024","FQ3 2024","Currency=USD","Period=FQ","BEST_FPERIOD_OVERRIDE=FQ","FILING_STATUS=MR","Sort=A","Dates=H","DateFormat=P","Fill=—","Direction=H","UseDPDF=Y")</f>
        <v>6.8487999999999998</v>
      </c>
      <c r="AA38" s="14">
        <f>_xll.BDH("ALNY US Equity","INVENTORY_5_YEAR_GROWTH","FQ4 2024","FQ4 2024","Currency=USD","Period=FQ","BEST_FPERIOD_OVERRIDE=FQ","FILING_STATUS=MR","Sort=A","Dates=H","DateFormat=P","Fill=—","Direction=H","UseDPDF=Y")</f>
        <v>6.8582999999999998</v>
      </c>
    </row>
    <row r="39" spans="1:27" x14ac:dyDescent="0.25">
      <c r="A39" s="10" t="s">
        <v>1380</v>
      </c>
      <c r="B39" s="10" t="s">
        <v>1408</v>
      </c>
      <c r="C39" s="14">
        <f>_xll.BDH("ALNY US Equity","NET_FIXED_ASSETS_5_YEAR_GROWTH","FQ4 2018","FQ4 2018","Currency=USD","Period=FQ","BEST_FPERIOD_OVERRIDE=FQ","FILING_STATUS=MR","Sort=A","Dates=H","DateFormat=P","Fill=—","Direction=H","UseDPDF=Y")</f>
        <v>81.128100000000003</v>
      </c>
      <c r="D39" s="14">
        <f>_xll.BDH("ALNY US Equity","NET_FIXED_ASSETS_5_YEAR_GROWTH","FQ1 2019","FQ1 2019","Currency=USD","Period=FQ","BEST_FPERIOD_OVERRIDE=FQ","FILING_STATUS=MR","Sort=A","Dates=H","DateFormat=P","Fill=—","Direction=H","UseDPDF=Y")</f>
        <v>104.8978</v>
      </c>
      <c r="E39" s="14">
        <f>_xll.BDH("ALNY US Equity","NET_FIXED_ASSETS_5_YEAR_GROWTH","FQ2 2019","FQ2 2019","Currency=USD","Period=FQ","BEST_FPERIOD_OVERRIDE=FQ","FILING_STATUS=MR","Sort=A","Dates=H","DateFormat=P","Fill=—","Direction=H","UseDPDF=Y")</f>
        <v>103.9432</v>
      </c>
      <c r="F39" s="14">
        <f>_xll.BDH("ALNY US Equity","NET_FIXED_ASSETS_5_YEAR_GROWTH","FQ3 2019","FQ3 2019","Currency=USD","Period=FQ","BEST_FPERIOD_OVERRIDE=FQ","FILING_STATUS=MR","Sort=A","Dates=H","DateFormat=P","Fill=—","Direction=H","UseDPDF=Y")</f>
        <v>101.18940000000001</v>
      </c>
      <c r="G39" s="14">
        <f>_xll.BDH("ALNY US Equity","NET_FIXED_ASSETS_5_YEAR_GROWTH","FQ4 2019","FQ4 2019","Currency=USD","Period=FQ","BEST_FPERIOD_OVERRIDE=FQ","FILING_STATUS=MR","Sort=A","Dates=H","DateFormat=P","Fill=—","Direction=H","UseDPDF=Y")</f>
        <v>97.081199999999995</v>
      </c>
      <c r="H39" s="14">
        <f>_xll.BDH("ALNY US Equity","NET_FIXED_ASSETS_5_YEAR_GROWTH","FQ1 2020","FQ1 2020","Currency=USD","Period=FQ","BEST_FPERIOD_OVERRIDE=FQ","FILING_STATUS=MR","Sort=A","Dates=H","DateFormat=P","Fill=—","Direction=H","UseDPDF=Y")</f>
        <v>98.427099999999996</v>
      </c>
      <c r="I39" s="14">
        <f>_xll.BDH("ALNY US Equity","NET_FIXED_ASSETS_5_YEAR_GROWTH","FQ2 2020","FQ2 2020","Currency=USD","Period=FQ","BEST_FPERIOD_OVERRIDE=FQ","FILING_STATUS=MR","Sort=A","Dates=H","DateFormat=P","Fill=—","Direction=H","UseDPDF=Y")</f>
        <v>92.701899999999995</v>
      </c>
      <c r="J39" s="14">
        <f>_xll.BDH("ALNY US Equity","NET_FIXED_ASSETS_5_YEAR_GROWTH","FQ3 2020","FQ3 2020","Currency=USD","Period=FQ","BEST_FPERIOD_OVERRIDE=FQ","FILING_STATUS=MR","Sort=A","Dates=H","DateFormat=P","Fill=—","Direction=H","UseDPDF=Y")</f>
        <v>92.183599999999998</v>
      </c>
      <c r="K39" s="14">
        <f>_xll.BDH("ALNY US Equity","NET_FIXED_ASSETS_5_YEAR_GROWTH","FQ4 2020","FQ4 2020","Currency=USD","Period=FQ","BEST_FPERIOD_OVERRIDE=FQ","FILING_STATUS=MR","Sort=A","Dates=H","DateFormat=P","Fill=—","Direction=H","UseDPDF=Y")</f>
        <v>90.975499999999997</v>
      </c>
      <c r="L39" s="14">
        <f>_xll.BDH("ALNY US Equity","NET_FIXED_ASSETS_5_YEAR_GROWTH","FQ1 2021","FQ1 2021","Currency=USD","Period=FQ","BEST_FPERIOD_OVERRIDE=FQ","FILING_STATUS=MR","Sort=A","Dates=H","DateFormat=P","Fill=—","Direction=H","UseDPDF=Y")</f>
        <v>80.317599999999999</v>
      </c>
      <c r="M39" s="14">
        <f>_xll.BDH("ALNY US Equity","NET_FIXED_ASSETS_5_YEAR_GROWTH","FQ2 2021","FQ2 2021","Currency=USD","Period=FQ","BEST_FPERIOD_OVERRIDE=FQ","FILING_STATUS=MR","Sort=A","Dates=H","DateFormat=P","Fill=—","Direction=H","UseDPDF=Y")</f>
        <v>66.498699999999999</v>
      </c>
      <c r="N39" s="14">
        <f>_xll.BDH("ALNY US Equity","NET_FIXED_ASSETS_5_YEAR_GROWTH","FQ3 2021","FQ3 2021","Currency=USD","Period=FQ","BEST_FPERIOD_OVERRIDE=FQ","FILING_STATUS=MR","Sort=A","Dates=H","DateFormat=P","Fill=—","Direction=H","UseDPDF=Y")</f>
        <v>57.564799999999998</v>
      </c>
      <c r="O39" s="14">
        <f>_xll.BDH("ALNY US Equity","NET_FIXED_ASSETS_5_YEAR_GROWTH","FQ4 2021","FQ4 2021","Currency=USD","Period=FQ","BEST_FPERIOD_OVERRIDE=FQ","FILING_STATUS=MR","Sort=A","Dates=H","DateFormat=P","Fill=—","Direction=H","UseDPDF=Y")</f>
        <v>44.970599999999997</v>
      </c>
      <c r="P39" s="14">
        <f>_xll.BDH("ALNY US Equity","NET_FIXED_ASSETS_5_YEAR_GROWTH","FQ1 2022","FQ1 2022","Currency=USD","Period=FQ","BEST_FPERIOD_OVERRIDE=FQ","FILING_STATUS=MR","Sort=A","Dates=H","DateFormat=P","Fill=—","Direction=H","UseDPDF=Y")</f>
        <v>41.343600000000002</v>
      </c>
      <c r="Q39" s="14">
        <f>_xll.BDH("ALNY US Equity","NET_FIXED_ASSETS_5_YEAR_GROWTH","FQ2 2022","FQ2 2022","Currency=USD","Period=FQ","BEST_FPERIOD_OVERRIDE=FQ","FILING_STATUS=MR","Sort=A","Dates=H","DateFormat=P","Fill=—","Direction=H","UseDPDF=Y")</f>
        <v>37.765000000000001</v>
      </c>
      <c r="R39" s="14">
        <f>_xll.BDH("ALNY US Equity","NET_FIXED_ASSETS_5_YEAR_GROWTH","FQ3 2022","FQ3 2022","Currency=USD","Period=FQ","BEST_FPERIOD_OVERRIDE=FQ","FILING_STATUS=MR","Sort=A","Dates=H","DateFormat=P","Fill=—","Direction=H","UseDPDF=Y")</f>
        <v>35.283799999999999</v>
      </c>
      <c r="S39" s="14">
        <f>_xll.BDH("ALNY US Equity","NET_FIXED_ASSETS_5_YEAR_GROWTH","FQ4 2022","FQ4 2022","Currency=USD","Period=FQ","BEST_FPERIOD_OVERRIDE=FQ","FILING_STATUS=MR","Sort=A","Dates=H","DateFormat=P","Fill=—","Direction=H","UseDPDF=Y")</f>
        <v>32.348399999999998</v>
      </c>
      <c r="T39" s="14">
        <f>_xll.BDH("ALNY US Equity","NET_FIXED_ASSETS_5_YEAR_GROWTH","FQ1 2023","FQ1 2023","Currency=USD","Period=FQ","BEST_FPERIOD_OVERRIDE=FQ","FILING_STATUS=MR","Sort=A","Dates=H","DateFormat=P","Fill=—","Direction=H","UseDPDF=Y")</f>
        <v>29.586400000000001</v>
      </c>
      <c r="U39" s="14">
        <f>_xll.BDH("ALNY US Equity","NET_FIXED_ASSETS_5_YEAR_GROWTH","FQ2 2023","FQ2 2023","Currency=USD","Period=FQ","BEST_FPERIOD_OVERRIDE=FQ","FILING_STATUS=MR","Sort=A","Dates=H","DateFormat=P","Fill=—","Direction=H","UseDPDF=Y")</f>
        <v>26.439399999999999</v>
      </c>
      <c r="V39" s="14">
        <f>_xll.BDH("ALNY US Equity","NET_FIXED_ASSETS_5_YEAR_GROWTH","FQ3 2023","FQ3 2023","Currency=USD","Period=FQ","BEST_FPERIOD_OVERRIDE=FQ","FILING_STATUS=MR","Sort=A","Dates=H","DateFormat=P","Fill=—","Direction=H","UseDPDF=Y")</f>
        <v>21.739899999999999</v>
      </c>
      <c r="W39" s="14">
        <f>_xll.BDH("ALNY US Equity","NET_FIXED_ASSETS_5_YEAR_GROWTH","FQ4 2023","FQ4 2023","Currency=USD","Period=FQ","BEST_FPERIOD_OVERRIDE=FQ","FILING_STATUS=MR","Sort=A","Dates=H","DateFormat=P","Fill=—","Direction=H","UseDPDF=Y")</f>
        <v>17.748000000000001</v>
      </c>
      <c r="X39" s="14">
        <f>_xll.BDH("ALNY US Equity","NET_FIXED_ASSETS_5_YEAR_GROWTH","FQ1 2024","FQ1 2024","Currency=USD","Period=FQ","BEST_FPERIOD_OVERRIDE=FQ","FILING_STATUS=MR","Sort=A","Dates=H","DateFormat=P","Fill=—","Direction=H","UseDPDF=Y")</f>
        <v>4.8209999999999997</v>
      </c>
      <c r="Y39" s="14">
        <f>_xll.BDH("ALNY US Equity","NET_FIXED_ASSETS_5_YEAR_GROWTH","FQ2 2024","FQ2 2024","Currency=USD","Period=FQ","BEST_FPERIOD_OVERRIDE=FQ","FILING_STATUS=MR","Sort=A","Dates=H","DateFormat=P","Fill=—","Direction=H","UseDPDF=Y")</f>
        <v>3.6475</v>
      </c>
      <c r="Z39" s="14">
        <f>_xll.BDH("ALNY US Equity","NET_FIXED_ASSETS_5_YEAR_GROWTH","FQ3 2024","FQ3 2024","Currency=USD","Period=FQ","BEST_FPERIOD_OVERRIDE=FQ","FILING_STATUS=MR","Sort=A","Dates=H","DateFormat=P","Fill=—","Direction=H","UseDPDF=Y")</f>
        <v>2.5596999999999999</v>
      </c>
      <c r="AA39" s="14">
        <f>_xll.BDH("ALNY US Equity","NET_FIXED_ASSETS_5_YEAR_GROWTH","FQ4 2024","FQ4 2024","Currency=USD","Period=FQ","BEST_FPERIOD_OVERRIDE=FQ","FILING_STATUS=MR","Sort=A","Dates=H","DateFormat=P","Fill=—","Direction=H","UseDPDF=Y")</f>
        <v>1.43</v>
      </c>
    </row>
    <row r="40" spans="1:27" x14ac:dyDescent="0.25">
      <c r="A40" s="10" t="s">
        <v>112</v>
      </c>
      <c r="B40" s="10" t="s">
        <v>1409</v>
      </c>
      <c r="C40" s="14">
        <f>_xll.BDH("ALNY US Equity","GEO_GROW_TOT_ASSET","FQ4 2018","FQ4 2018","Currency=USD","Period=FQ","BEST_FPERIOD_OVERRIDE=FQ","FILING_STATUS=MR","Sort=A","Dates=H","DateFormat=P","Fill=—","Direction=H","UseDPDF=Y")</f>
        <v>30.2224</v>
      </c>
      <c r="D40" s="14">
        <f>_xll.BDH("ALNY US Equity","GEO_GROW_TOT_ASSET","FQ1 2019","FQ1 2019","Currency=USD","Period=FQ","BEST_FPERIOD_OVERRIDE=FQ","FILING_STATUS=MR","Sort=A","Dates=H","DateFormat=P","Fill=—","Direction=H","UseDPDF=Y")</f>
        <v>13.266999999999999</v>
      </c>
      <c r="E40" s="14">
        <f>_xll.BDH("ALNY US Equity","GEO_GROW_TOT_ASSET","FQ2 2019","FQ2 2019","Currency=USD","Period=FQ","BEST_FPERIOD_OVERRIDE=FQ","FILING_STATUS=MR","Sort=A","Dates=H","DateFormat=P","Fill=—","Direction=H","UseDPDF=Y")</f>
        <v>21.341000000000001</v>
      </c>
      <c r="F40" s="14">
        <f>_xll.BDH("ALNY US Equity","GEO_GROW_TOT_ASSET","FQ3 2019","FQ3 2019","Currency=USD","Period=FQ","BEST_FPERIOD_OVERRIDE=FQ","FILING_STATUS=MR","Sort=A","Dates=H","DateFormat=P","Fill=—","Direction=H","UseDPDF=Y")</f>
        <v>20.8413</v>
      </c>
      <c r="G40" s="14">
        <f>_xll.BDH("ALNY US Equity","GEO_GROW_TOT_ASSET","FQ4 2019","FQ4 2019","Currency=USD","Period=FQ","BEST_FPERIOD_OVERRIDE=FQ","FILING_STATUS=MR","Sort=A","Dates=H","DateFormat=P","Fill=—","Direction=H","UseDPDF=Y")</f>
        <v>17.2773</v>
      </c>
      <c r="H40" s="14">
        <f>_xll.BDH("ALNY US Equity","GEO_GROW_TOT_ASSET","FQ1 2020","FQ1 2020","Currency=USD","Period=FQ","BEST_FPERIOD_OVERRIDE=FQ","FILING_STATUS=MR","Sort=A","Dates=H","DateFormat=P","Fill=—","Direction=H","UseDPDF=Y")</f>
        <v>6.9546000000000001</v>
      </c>
      <c r="I40" s="14">
        <f>_xll.BDH("ALNY US Equity","GEO_GROW_TOT_ASSET","FQ2 2020","FQ2 2020","Currency=USD","Period=FQ","BEST_FPERIOD_OVERRIDE=FQ","FILING_STATUS=MR","Sort=A","Dates=H","DateFormat=P","Fill=—","Direction=H","UseDPDF=Y")</f>
        <v>17.126799999999999</v>
      </c>
      <c r="J40" s="14">
        <f>_xll.BDH("ALNY US Equity","GEO_GROW_TOT_ASSET","FQ3 2020","FQ3 2020","Currency=USD","Period=FQ","BEST_FPERIOD_OVERRIDE=FQ","FILING_STATUS=MR","Sort=A","Dates=H","DateFormat=P","Fill=—","Direction=H","UseDPDF=Y")</f>
        <v>18.1557</v>
      </c>
      <c r="K40" s="14">
        <f>_xll.BDH("ALNY US Equity","GEO_GROW_TOT_ASSET","FQ4 2020","FQ4 2020","Currency=USD","Period=FQ","BEST_FPERIOD_OVERRIDE=FQ","FILING_STATUS=MR","Sort=A","Dates=H","DateFormat=P","Fill=—","Direction=H","UseDPDF=Y")</f>
        <v>19.699200000000001</v>
      </c>
      <c r="L40" s="14">
        <f>_xll.BDH("ALNY US Equity","GEO_GROW_TOT_ASSET","FQ1 2021","FQ1 2021","Currency=USD","Period=FQ","BEST_FPERIOD_OVERRIDE=FQ","FILING_STATUS=MR","Sort=A","Dates=H","DateFormat=P","Fill=—","Direction=H","UseDPDF=Y")</f>
        <v>19.840499999999999</v>
      </c>
      <c r="M40" s="14">
        <f>_xll.BDH("ALNY US Equity","GEO_GROW_TOT_ASSET","FQ2 2021","FQ2 2021","Currency=USD","Period=FQ","BEST_FPERIOD_OVERRIDE=FQ","FILING_STATUS=MR","Sort=A","Dates=H","DateFormat=P","Fill=—","Direction=H","UseDPDF=Y")</f>
        <v>20.485700000000001</v>
      </c>
      <c r="N40" s="14">
        <f>_xll.BDH("ALNY US Equity","GEO_GROW_TOT_ASSET","FQ3 2021","FQ3 2021","Currency=USD","Period=FQ","BEST_FPERIOD_OVERRIDE=FQ","FILING_STATUS=MR","Sort=A","Dates=H","DateFormat=P","Fill=—","Direction=H","UseDPDF=Y")</f>
        <v>21.472200000000001</v>
      </c>
      <c r="O40" s="14">
        <f>_xll.BDH("ALNY US Equity","GEO_GROW_TOT_ASSET","FQ4 2021","FQ4 2021","Currency=USD","Period=FQ","BEST_FPERIOD_OVERRIDE=FQ","FILING_STATUS=MR","Sort=A","Dates=H","DateFormat=P","Fill=—","Direction=H","UseDPDF=Y")</f>
        <v>23.6037</v>
      </c>
      <c r="P40" s="14">
        <f>_xll.BDH("ALNY US Equity","GEO_GROW_TOT_ASSET","FQ1 2022","FQ1 2022","Currency=USD","Period=FQ","BEST_FPERIOD_OVERRIDE=FQ","FILING_STATUS=MR","Sort=A","Dates=H","DateFormat=P","Fill=—","Direction=H","UseDPDF=Y")</f>
        <v>24.8049</v>
      </c>
      <c r="Q40" s="14">
        <f>_xll.BDH("ALNY US Equity","GEO_GROW_TOT_ASSET","FQ2 2022","FQ2 2022","Currency=USD","Period=FQ","BEST_FPERIOD_OVERRIDE=FQ","FILING_STATUS=MR","Sort=A","Dates=H","DateFormat=P","Fill=—","Direction=H","UseDPDF=Y")</f>
        <v>18.351199999999999</v>
      </c>
      <c r="R40" s="14">
        <f>_xll.BDH("ALNY US Equity","GEO_GROW_TOT_ASSET","FQ3 2022","FQ3 2022","Currency=USD","Period=FQ","BEST_FPERIOD_OVERRIDE=FQ","FILING_STATUS=MR","Sort=A","Dates=H","DateFormat=P","Fill=—","Direction=H","UseDPDF=Y")</f>
        <v>21.0839</v>
      </c>
      <c r="S40" s="14">
        <f>_xll.BDH("ALNY US Equity","GEO_GROW_TOT_ASSET","FQ4 2022","FQ4 2022","Currency=USD","Period=FQ","BEST_FPERIOD_OVERRIDE=FQ","FILING_STATUS=MR","Sort=A","Dates=H","DateFormat=P","Fill=—","Direction=H","UseDPDF=Y")</f>
        <v>12.1966</v>
      </c>
      <c r="T40" s="14">
        <f>_xll.BDH("ALNY US Equity","GEO_GROW_TOT_ASSET","FQ1 2023","FQ1 2023","Currency=USD","Period=FQ","BEST_FPERIOD_OVERRIDE=FQ","FILING_STATUS=MR","Sort=A","Dates=H","DateFormat=P","Fill=—","Direction=H","UseDPDF=Y")</f>
        <v>12.017899999999999</v>
      </c>
      <c r="U40" s="14">
        <f>_xll.BDH("ALNY US Equity","GEO_GROW_TOT_ASSET","FQ2 2023","FQ2 2023","Currency=USD","Period=FQ","BEST_FPERIOD_OVERRIDE=FQ","FILING_STATUS=MR","Sort=A","Dates=H","DateFormat=P","Fill=—","Direction=H","UseDPDF=Y")</f>
        <v>13.714499999999999</v>
      </c>
      <c r="V40" s="14">
        <f>_xll.BDH("ALNY US Equity","GEO_GROW_TOT_ASSET","FQ3 2023","FQ3 2023","Currency=USD","Period=FQ","BEST_FPERIOD_OVERRIDE=FQ","FILING_STATUS=MR","Sort=A","Dates=H","DateFormat=P","Fill=—","Direction=H","UseDPDF=Y")</f>
        <v>18.034300000000002</v>
      </c>
      <c r="W40" s="14">
        <f>_xll.BDH("ALNY US Equity","GEO_GROW_TOT_ASSET","FQ4 2023","FQ4 2023","Currency=USD","Period=FQ","BEST_FPERIOD_OVERRIDE=FQ","FILING_STATUS=MR","Sort=A","Dates=H","DateFormat=P","Fill=—","Direction=H","UseDPDF=Y")</f>
        <v>19.451599999999999</v>
      </c>
      <c r="X40" s="14">
        <f>_xll.BDH("ALNY US Equity","GEO_GROW_TOT_ASSET","FQ1 2024","FQ1 2024","Currency=USD","Period=FQ","BEST_FPERIOD_OVERRIDE=FQ","FILING_STATUS=MR","Sort=A","Dates=H","DateFormat=P","Fill=—","Direction=H","UseDPDF=Y")</f>
        <v>13.6843</v>
      </c>
      <c r="Y40" s="14">
        <f>_xll.BDH("ALNY US Equity","GEO_GROW_TOT_ASSET","FQ2 2024","FQ2 2024","Currency=USD","Period=FQ","BEST_FPERIOD_OVERRIDE=FQ","FILING_STATUS=MR","Sort=A","Dates=H","DateFormat=P","Fill=—","Direction=H","UseDPDF=Y")</f>
        <v>8.0990000000000002</v>
      </c>
      <c r="Z40" s="14">
        <f>_xll.BDH("ALNY US Equity","GEO_GROW_TOT_ASSET","FQ3 2024","FQ3 2024","Currency=USD","Period=FQ","BEST_FPERIOD_OVERRIDE=FQ","FILING_STATUS=MR","Sort=A","Dates=H","DateFormat=P","Fill=—","Direction=H","UseDPDF=Y")</f>
        <v>10.594099999999999</v>
      </c>
      <c r="AA40" s="14">
        <f>_xll.BDH("ALNY US Equity","GEO_GROW_TOT_ASSET","FQ4 2024","FQ4 2024","Currency=USD","Period=FQ","BEST_FPERIOD_OVERRIDE=FQ","FILING_STATUS=MR","Sort=A","Dates=H","DateFormat=P","Fill=—","Direction=H","UseDPDF=Y")</f>
        <v>12.100300000000001</v>
      </c>
    </row>
    <row r="41" spans="1:27" x14ac:dyDescent="0.25">
      <c r="A41" s="10" t="s">
        <v>1383</v>
      </c>
      <c r="B41" s="10" t="s">
        <v>1410</v>
      </c>
      <c r="C41" s="14" t="str">
        <f>_xll.BDH("ALNY US Equity","MODIFIED_WORKING_CPTL_5YR_GRWTH","FQ4 2018","FQ4 2018","Currency=USD","Period=FQ","BEST_FPERIOD_OVERRIDE=FQ","FILING_STATUS=MR","Sort=A","Dates=H","DateFormat=P","Fill=—","Direction=H","UseDPDF=Y")</f>
        <v>—</v>
      </c>
      <c r="D41" s="14" t="str">
        <f>_xll.BDH("ALNY US Equity","MODIFIED_WORKING_CPTL_5YR_GRWTH","FQ1 2019","FQ1 2019","Currency=USD","Period=FQ","BEST_FPERIOD_OVERRIDE=FQ","FILING_STATUS=MR","Sort=A","Dates=H","DateFormat=P","Fill=—","Direction=H","UseDPDF=Y")</f>
        <v>—</v>
      </c>
      <c r="E41" s="14" t="str">
        <f>_xll.BDH("ALNY US Equity","MODIFIED_WORKING_CPTL_5YR_GRWTH","FQ2 2019","FQ2 2019","Currency=USD","Period=FQ","BEST_FPERIOD_OVERRIDE=FQ","FILING_STATUS=MR","Sort=A","Dates=H","DateFormat=P","Fill=—","Direction=H","UseDPDF=Y")</f>
        <v>—</v>
      </c>
      <c r="F41" s="14" t="str">
        <f>_xll.BDH("ALNY US Equity","MODIFIED_WORKING_CPTL_5YR_GRWTH","FQ3 2019","FQ3 2019","Currency=USD","Period=FQ","BEST_FPERIOD_OVERRIDE=FQ","FILING_STATUS=MR","Sort=A","Dates=H","DateFormat=P","Fill=—","Direction=H","UseDPDF=Y")</f>
        <v>—</v>
      </c>
      <c r="G41" s="14" t="str">
        <f>_xll.BDH("ALNY US Equity","MODIFIED_WORKING_CPTL_5YR_GRWTH","FQ4 2019","FQ4 2019","Currency=USD","Period=FQ","BEST_FPERIOD_OVERRIDE=FQ","FILING_STATUS=MR","Sort=A","Dates=H","DateFormat=P","Fill=—","Direction=H","UseDPDF=Y")</f>
        <v>—</v>
      </c>
      <c r="H41" s="14" t="str">
        <f>_xll.BDH("ALNY US Equity","MODIFIED_WORKING_CPTL_5YR_GRWTH","FQ1 2020","FQ1 2020","Currency=USD","Period=FQ","BEST_FPERIOD_OVERRIDE=FQ","FILING_STATUS=MR","Sort=A","Dates=H","DateFormat=P","Fill=—","Direction=H","UseDPDF=Y")</f>
        <v>—</v>
      </c>
      <c r="I41" s="14" t="str">
        <f>_xll.BDH("ALNY US Equity","MODIFIED_WORKING_CPTL_5YR_GRWTH","FQ2 2020","FQ2 2020","Currency=USD","Period=FQ","BEST_FPERIOD_OVERRIDE=FQ","FILING_STATUS=MR","Sort=A","Dates=H","DateFormat=P","Fill=—","Direction=H","UseDPDF=Y")</f>
        <v>—</v>
      </c>
      <c r="J41" s="14" t="str">
        <f>_xll.BDH("ALNY US Equity","MODIFIED_WORKING_CPTL_5YR_GRWTH","FQ3 2020","FQ3 2020","Currency=USD","Period=FQ","BEST_FPERIOD_OVERRIDE=FQ","FILING_STATUS=MR","Sort=A","Dates=H","DateFormat=P","Fill=—","Direction=H","UseDPDF=Y")</f>
        <v>—</v>
      </c>
      <c r="K41" s="14" t="str">
        <f>_xll.BDH("ALNY US Equity","MODIFIED_WORKING_CPTL_5YR_GRWTH","FQ4 2020","FQ4 2020","Currency=USD","Period=FQ","BEST_FPERIOD_OVERRIDE=FQ","FILING_STATUS=MR","Sort=A","Dates=H","DateFormat=P","Fill=—","Direction=H","UseDPDF=Y")</f>
        <v>—</v>
      </c>
      <c r="L41" s="14" t="str">
        <f>_xll.BDH("ALNY US Equity","MODIFIED_WORKING_CPTL_5YR_GRWTH","FQ1 2021","FQ1 2021","Currency=USD","Period=FQ","BEST_FPERIOD_OVERRIDE=FQ","FILING_STATUS=MR","Sort=A","Dates=H","DateFormat=P","Fill=—","Direction=H","UseDPDF=Y")</f>
        <v>—</v>
      </c>
      <c r="M41" s="14" t="str">
        <f>_xll.BDH("ALNY US Equity","MODIFIED_WORKING_CPTL_5YR_GRWTH","FQ2 2021","FQ2 2021","Currency=USD","Period=FQ","BEST_FPERIOD_OVERRIDE=FQ","FILING_STATUS=MR","Sort=A","Dates=H","DateFormat=P","Fill=—","Direction=H","UseDPDF=Y")</f>
        <v>—</v>
      </c>
      <c r="N41" s="14" t="str">
        <f>_xll.BDH("ALNY US Equity","MODIFIED_WORKING_CPTL_5YR_GRWTH","FQ3 2021","FQ3 2021","Currency=USD","Period=FQ","BEST_FPERIOD_OVERRIDE=FQ","FILING_STATUS=MR","Sort=A","Dates=H","DateFormat=P","Fill=—","Direction=H","UseDPDF=Y")</f>
        <v>—</v>
      </c>
      <c r="O41" s="14" t="str">
        <f>_xll.BDH("ALNY US Equity","MODIFIED_WORKING_CPTL_5YR_GRWTH","FQ4 2021","FQ4 2021","Currency=USD","Period=FQ","BEST_FPERIOD_OVERRIDE=FQ","FILING_STATUS=MR","Sort=A","Dates=H","DateFormat=P","Fill=—","Direction=H","UseDPDF=Y")</f>
        <v>—</v>
      </c>
      <c r="P41" s="14" t="str">
        <f>_xll.BDH("ALNY US Equity","MODIFIED_WORKING_CPTL_5YR_GRWTH","FQ1 2022","FQ1 2022","Currency=USD","Period=FQ","BEST_FPERIOD_OVERRIDE=FQ","FILING_STATUS=MR","Sort=A","Dates=H","DateFormat=P","Fill=—","Direction=H","UseDPDF=Y")</f>
        <v>—</v>
      </c>
      <c r="Q41" s="14" t="str">
        <f>_xll.BDH("ALNY US Equity","MODIFIED_WORKING_CPTL_5YR_GRWTH","FQ2 2022","FQ2 2022","Currency=USD","Period=FQ","BEST_FPERIOD_OVERRIDE=FQ","FILING_STATUS=MR","Sort=A","Dates=H","DateFormat=P","Fill=—","Direction=H","UseDPDF=Y")</f>
        <v>—</v>
      </c>
      <c r="R41" s="14" t="str">
        <f>_xll.BDH("ALNY US Equity","MODIFIED_WORKING_CPTL_5YR_GRWTH","FQ3 2022","FQ3 2022","Currency=USD","Period=FQ","BEST_FPERIOD_OVERRIDE=FQ","FILING_STATUS=MR","Sort=A","Dates=H","DateFormat=P","Fill=—","Direction=H","UseDPDF=Y")</f>
        <v>—</v>
      </c>
      <c r="S41" s="14" t="str">
        <f>_xll.BDH("ALNY US Equity","MODIFIED_WORKING_CPTL_5YR_GRWTH","FQ4 2022","FQ4 2022","Currency=USD","Period=FQ","BEST_FPERIOD_OVERRIDE=FQ","FILING_STATUS=MR","Sort=A","Dates=H","DateFormat=P","Fill=—","Direction=H","UseDPDF=Y")</f>
        <v>—</v>
      </c>
      <c r="T41" s="14" t="str">
        <f>_xll.BDH("ALNY US Equity","MODIFIED_WORKING_CPTL_5YR_GRWTH","FQ1 2023","FQ1 2023","Currency=USD","Period=FQ","BEST_FPERIOD_OVERRIDE=FQ","FILING_STATUS=MR","Sort=A","Dates=H","DateFormat=P","Fill=—","Direction=H","UseDPDF=Y")</f>
        <v>—</v>
      </c>
      <c r="U41" s="14" t="str">
        <f>_xll.BDH("ALNY US Equity","MODIFIED_WORKING_CPTL_5YR_GRWTH","FQ2 2023","FQ2 2023","Currency=USD","Period=FQ","BEST_FPERIOD_OVERRIDE=FQ","FILING_STATUS=MR","Sort=A","Dates=H","DateFormat=P","Fill=—","Direction=H","UseDPDF=Y")</f>
        <v>—</v>
      </c>
      <c r="V41" s="14" t="str">
        <f>_xll.BDH("ALNY US Equity","MODIFIED_WORKING_CPTL_5YR_GRWTH","FQ3 2023","FQ3 2023","Currency=USD","Period=FQ","BEST_FPERIOD_OVERRIDE=FQ","FILING_STATUS=MR","Sort=A","Dates=H","DateFormat=P","Fill=—","Direction=H","UseDPDF=Y")</f>
        <v>—</v>
      </c>
      <c r="W41" s="14" t="str">
        <f>_xll.BDH("ALNY US Equity","MODIFIED_WORKING_CPTL_5YR_GRWTH","FQ4 2023","FQ4 2023","Currency=USD","Period=FQ","BEST_FPERIOD_OVERRIDE=FQ","FILING_STATUS=MR","Sort=A","Dates=H","DateFormat=P","Fill=—","Direction=H","UseDPDF=Y")</f>
        <v>—</v>
      </c>
      <c r="X41" s="14">
        <f>_xll.BDH("ALNY US Equity","MODIFIED_WORKING_CPTL_5YR_GRWTH","FQ1 2024","FQ1 2024","Currency=USD","Period=FQ","BEST_FPERIOD_OVERRIDE=FQ","FILING_STATUS=MR","Sort=A","Dates=H","DateFormat=P","Fill=—","Direction=H","UseDPDF=Y")</f>
        <v>50.877299999999998</v>
      </c>
      <c r="Y41" s="14">
        <f>_xll.BDH("ALNY US Equity","MODIFIED_WORKING_CPTL_5YR_GRWTH","FQ2 2024","FQ2 2024","Currency=USD","Period=FQ","BEST_FPERIOD_OVERRIDE=FQ","FILING_STATUS=MR","Sort=A","Dates=H","DateFormat=P","Fill=—","Direction=H","UseDPDF=Y")</f>
        <v>391.84089999999998</v>
      </c>
      <c r="Z41" s="14">
        <f>_xll.BDH("ALNY US Equity","MODIFIED_WORKING_CPTL_5YR_GRWTH","FQ3 2024","FQ3 2024","Currency=USD","Period=FQ","BEST_FPERIOD_OVERRIDE=FQ","FILING_STATUS=MR","Sort=A","Dates=H","DateFormat=P","Fill=—","Direction=H","UseDPDF=Y")</f>
        <v>41.506100000000004</v>
      </c>
      <c r="AA41" s="14">
        <f>_xll.BDH("ALNY US Equity","MODIFIED_WORKING_CPTL_5YR_GRWTH","FQ4 2024","FQ4 2024","Currency=USD","Period=FQ","BEST_FPERIOD_OVERRIDE=FQ","FILING_STATUS=MR","Sort=A","Dates=H","DateFormat=P","Fill=—","Direction=H","UseDPDF=Y")</f>
        <v>51.541200000000003</v>
      </c>
    </row>
    <row r="42" spans="1:27" x14ac:dyDescent="0.25">
      <c r="A42" s="10" t="s">
        <v>1385</v>
      </c>
      <c r="B42" s="10" t="s">
        <v>1411</v>
      </c>
      <c r="C42" s="14">
        <f>_xll.BDH("ALNY US Equity","WORKING_CAPITAL_5_YEAR_GROWTH","FQ4 2018","FQ4 2018","Currency=USD","Period=FQ","BEST_FPERIOD_OVERRIDE=FQ","FILING_STATUS=MR","Sort=A","Dates=H","DateFormat=P","Fill=—","Direction=H","UseDPDF=Y")</f>
        <v>38.5304</v>
      </c>
      <c r="D42" s="14">
        <f>_xll.BDH("ALNY US Equity","WORKING_CAPITAL_5_YEAR_GROWTH","FQ1 2019","FQ1 2019","Currency=USD","Period=FQ","BEST_FPERIOD_OVERRIDE=FQ","FILING_STATUS=MR","Sort=A","Dates=H","DateFormat=P","Fill=—","Direction=H","UseDPDF=Y")</f>
        <v>16.059100000000001</v>
      </c>
      <c r="E42" s="14">
        <f>_xll.BDH("ALNY US Equity","WORKING_CAPITAL_5_YEAR_GROWTH","FQ2 2019","FQ2 2019","Currency=USD","Period=FQ","BEST_FPERIOD_OVERRIDE=FQ","FILING_STATUS=MR","Sort=A","Dates=H","DateFormat=P","Fill=—","Direction=H","UseDPDF=Y")</f>
        <v>23.198899999999998</v>
      </c>
      <c r="F42" s="14">
        <f>_xll.BDH("ALNY US Equity","WORKING_CAPITAL_5_YEAR_GROWTH","FQ3 2019","FQ3 2019","Currency=USD","Period=FQ","BEST_FPERIOD_OVERRIDE=FQ","FILING_STATUS=MR","Sort=A","Dates=H","DateFormat=P","Fill=—","Direction=H","UseDPDF=Y")</f>
        <v>21.380099999999999</v>
      </c>
      <c r="G42" s="14">
        <f>_xll.BDH("ALNY US Equity","WORKING_CAPITAL_5_YEAR_GROWTH","FQ4 2019","FQ4 2019","Currency=USD","Period=FQ","BEST_FPERIOD_OVERRIDE=FQ","FILING_STATUS=MR","Sort=A","Dates=H","DateFormat=P","Fill=—","Direction=H","UseDPDF=Y")</f>
        <v>15.93</v>
      </c>
      <c r="H42" s="14">
        <f>_xll.BDH("ALNY US Equity","WORKING_CAPITAL_5_YEAR_GROWTH","FQ1 2020","FQ1 2020","Currency=USD","Period=FQ","BEST_FPERIOD_OVERRIDE=FQ","FILING_STATUS=MR","Sort=A","Dates=H","DateFormat=P","Fill=—","Direction=H","UseDPDF=Y")</f>
        <v>4.2994000000000003</v>
      </c>
      <c r="I42" s="14">
        <f>_xll.BDH("ALNY US Equity","WORKING_CAPITAL_5_YEAR_GROWTH","FQ2 2020","FQ2 2020","Currency=USD","Period=FQ","BEST_FPERIOD_OVERRIDE=FQ","FILING_STATUS=MR","Sort=A","Dates=H","DateFormat=P","Fill=—","Direction=H","UseDPDF=Y")</f>
        <v>13.0344</v>
      </c>
      <c r="J42" s="14">
        <f>_xll.BDH("ALNY US Equity","WORKING_CAPITAL_5_YEAR_GROWTH","FQ3 2020","FQ3 2020","Currency=USD","Period=FQ","BEST_FPERIOD_OVERRIDE=FQ","FILING_STATUS=MR","Sort=A","Dates=H","DateFormat=P","Fill=—","Direction=H","UseDPDF=Y")</f>
        <v>16.070499999999999</v>
      </c>
      <c r="K42" s="14">
        <f>_xll.BDH("ALNY US Equity","WORKING_CAPITAL_5_YEAR_GROWTH","FQ4 2020","FQ4 2020","Currency=USD","Period=FQ","BEST_FPERIOD_OVERRIDE=FQ","FILING_STATUS=MR","Sort=A","Dates=H","DateFormat=P","Fill=—","Direction=H","UseDPDF=Y")</f>
        <v>14.234500000000001</v>
      </c>
      <c r="L42" s="14">
        <f>_xll.BDH("ALNY US Equity","WORKING_CAPITAL_5_YEAR_GROWTH","FQ1 2021","FQ1 2021","Currency=USD","Period=FQ","BEST_FPERIOD_OVERRIDE=FQ","FILING_STATUS=MR","Sort=A","Dates=H","DateFormat=P","Fill=—","Direction=H","UseDPDF=Y")</f>
        <v>14.9613</v>
      </c>
      <c r="M42" s="14">
        <f>_xll.BDH("ALNY US Equity","WORKING_CAPITAL_5_YEAR_GROWTH","FQ2 2021","FQ2 2021","Currency=USD","Period=FQ","BEST_FPERIOD_OVERRIDE=FQ","FILING_STATUS=MR","Sort=A","Dates=H","DateFormat=P","Fill=—","Direction=H","UseDPDF=Y")</f>
        <v>21.567</v>
      </c>
      <c r="N42" s="14">
        <f>_xll.BDH("ALNY US Equity","WORKING_CAPITAL_5_YEAR_GROWTH","FQ3 2021","FQ3 2021","Currency=USD","Period=FQ","BEST_FPERIOD_OVERRIDE=FQ","FILING_STATUS=MR","Sort=A","Dates=H","DateFormat=P","Fill=—","Direction=H","UseDPDF=Y")</f>
        <v>25.401399999999999</v>
      </c>
      <c r="O42" s="14">
        <f>_xll.BDH("ALNY US Equity","WORKING_CAPITAL_5_YEAR_GROWTH","FQ4 2021","FQ4 2021","Currency=USD","Period=FQ","BEST_FPERIOD_OVERRIDE=FQ","FILING_STATUS=MR","Sort=A","Dates=H","DateFormat=P","Fill=—","Direction=H","UseDPDF=Y")</f>
        <v>31.3612</v>
      </c>
      <c r="P42" s="14">
        <f>_xll.BDH("ALNY US Equity","WORKING_CAPITAL_5_YEAR_GROWTH","FQ1 2022","FQ1 2022","Currency=USD","Period=FQ","BEST_FPERIOD_OVERRIDE=FQ","FILING_STATUS=MR","Sort=A","Dates=H","DateFormat=P","Fill=—","Direction=H","UseDPDF=Y")</f>
        <v>31.6614</v>
      </c>
      <c r="Q42" s="14">
        <f>_xll.BDH("ALNY US Equity","WORKING_CAPITAL_5_YEAR_GROWTH","FQ2 2022","FQ2 2022","Currency=USD","Period=FQ","BEST_FPERIOD_OVERRIDE=FQ","FILING_STATUS=MR","Sort=A","Dates=H","DateFormat=P","Fill=—","Direction=H","UseDPDF=Y")</f>
        <v>16.315899999999999</v>
      </c>
      <c r="R42" s="14">
        <f>_xll.BDH("ALNY US Equity","WORKING_CAPITAL_5_YEAR_GROWTH","FQ3 2022","FQ3 2022","Currency=USD","Period=FQ","BEST_FPERIOD_OVERRIDE=FQ","FILING_STATUS=MR","Sort=A","Dates=H","DateFormat=P","Fill=—","Direction=H","UseDPDF=Y")</f>
        <v>16.5381</v>
      </c>
      <c r="S42" s="14">
        <f>_xll.BDH("ALNY US Equity","WORKING_CAPITAL_5_YEAR_GROWTH","FQ4 2022","FQ4 2022","Currency=USD","Period=FQ","BEST_FPERIOD_OVERRIDE=FQ","FILING_STATUS=MR","Sort=A","Dates=H","DateFormat=P","Fill=—","Direction=H","UseDPDF=Y")</f>
        <v>3.4967999999999999</v>
      </c>
      <c r="T42" s="14">
        <f>_xll.BDH("ALNY US Equity","WORKING_CAPITAL_5_YEAR_GROWTH","FQ1 2023","FQ1 2023","Currency=USD","Period=FQ","BEST_FPERIOD_OVERRIDE=FQ","FILING_STATUS=MR","Sort=A","Dates=H","DateFormat=P","Fill=—","Direction=H","UseDPDF=Y")</f>
        <v>3.5339999999999998</v>
      </c>
      <c r="U42" s="14">
        <f>_xll.BDH("ALNY US Equity","WORKING_CAPITAL_5_YEAR_GROWTH","FQ2 2023","FQ2 2023","Currency=USD","Period=FQ","BEST_FPERIOD_OVERRIDE=FQ","FILING_STATUS=MR","Sort=A","Dates=H","DateFormat=P","Fill=—","Direction=H","UseDPDF=Y")</f>
        <v>4.5552999999999999</v>
      </c>
      <c r="V42" s="14">
        <f>_xll.BDH("ALNY US Equity","WORKING_CAPITAL_5_YEAR_GROWTH","FQ3 2023","FQ3 2023","Currency=USD","Period=FQ","BEST_FPERIOD_OVERRIDE=FQ","FILING_STATUS=MR","Sort=A","Dates=H","DateFormat=P","Fill=—","Direction=H","UseDPDF=Y")</f>
        <v>10.770799999999999</v>
      </c>
      <c r="W42" s="14">
        <f>_xll.BDH("ALNY US Equity","WORKING_CAPITAL_5_YEAR_GROWTH","FQ4 2023","FQ4 2023","Currency=USD","Period=FQ","BEST_FPERIOD_OVERRIDE=FQ","FILING_STATUS=MR","Sort=A","Dates=H","DateFormat=P","Fill=—","Direction=H","UseDPDF=Y")</f>
        <v>14.5589</v>
      </c>
      <c r="X42" s="14">
        <f>_xll.BDH("ALNY US Equity","WORKING_CAPITAL_5_YEAR_GROWTH","FQ1 2024","FQ1 2024","Currency=USD","Period=FQ","BEST_FPERIOD_OVERRIDE=FQ","FILING_STATUS=MR","Sort=A","Dates=H","DateFormat=P","Fill=—","Direction=H","UseDPDF=Y")</f>
        <v>10.4932</v>
      </c>
      <c r="Y42" s="14">
        <f>_xll.BDH("ALNY US Equity","WORKING_CAPITAL_5_YEAR_GROWTH","FQ2 2024","FQ2 2024","Currency=USD","Period=FQ","BEST_FPERIOD_OVERRIDE=FQ","FILING_STATUS=MR","Sort=A","Dates=H","DateFormat=P","Fill=—","Direction=H","UseDPDF=Y")</f>
        <v>4.0640000000000001</v>
      </c>
      <c r="Z42" s="14">
        <f>_xll.BDH("ALNY US Equity","WORKING_CAPITAL_5_YEAR_GROWTH","FQ3 2024","FQ3 2024","Currency=USD","Period=FQ","BEST_FPERIOD_OVERRIDE=FQ","FILING_STATUS=MR","Sort=A","Dates=H","DateFormat=P","Fill=—","Direction=H","UseDPDF=Y")</f>
        <v>6.6886000000000001</v>
      </c>
      <c r="AA42" s="14">
        <f>_xll.BDH("ALNY US Equity","WORKING_CAPITAL_5_YEAR_GROWTH","FQ4 2024","FQ4 2024","Currency=USD","Period=FQ","BEST_FPERIOD_OVERRIDE=FQ","FILING_STATUS=MR","Sort=A","Dates=H","DateFormat=P","Fill=—","Direction=H","UseDPDF=Y")</f>
        <v>9.1188000000000002</v>
      </c>
    </row>
    <row r="43" spans="1:27" x14ac:dyDescent="0.25">
      <c r="A43" s="10" t="s">
        <v>1387</v>
      </c>
      <c r="B43" s="10" t="s">
        <v>1412</v>
      </c>
      <c r="C43" s="14">
        <f>_xll.BDH("ALNY US Equity","EMPLOYEES_5_YEAR_GROWTH","FQ4 2018","FQ4 2018","Currency=USD","Period=FQ","BEST_FPERIOD_OVERRIDE=FQ","FILING_STATUS=MR","Sort=A","Dates=H","DateFormat=P","Fill=—","Direction=H","UseDPDF=Y")</f>
        <v>45.202199999999998</v>
      </c>
      <c r="D43" s="14" t="str">
        <f>_xll.BDH("ALNY US Equity","EMPLOYEES_5_YEAR_GROWTH","FQ1 2019","FQ1 2019","Currency=USD","Period=FQ","BEST_FPERIOD_OVERRIDE=FQ","FILING_STATUS=MR","Sort=A","Dates=H","DateFormat=P","Fill=—","Direction=H","UseDPDF=Y")</f>
        <v>—</v>
      </c>
      <c r="E43" s="14" t="str">
        <f>_xll.BDH("ALNY US Equity","EMPLOYEES_5_YEAR_GROWTH","FQ2 2019","FQ2 2019","Currency=USD","Period=FQ","BEST_FPERIOD_OVERRIDE=FQ","FILING_STATUS=MR","Sort=A","Dates=H","DateFormat=P","Fill=—","Direction=H","UseDPDF=Y")</f>
        <v>—</v>
      </c>
      <c r="F43" s="14" t="str">
        <f>_xll.BDH("ALNY US Equity","EMPLOYEES_5_YEAR_GROWTH","FQ3 2019","FQ3 2019","Currency=USD","Period=FQ","BEST_FPERIOD_OVERRIDE=FQ","FILING_STATUS=MR","Sort=A","Dates=H","DateFormat=P","Fill=—","Direction=H","UseDPDF=Y")</f>
        <v>—</v>
      </c>
      <c r="G43" s="14">
        <f>_xll.BDH("ALNY US Equity","EMPLOYEES_5_YEAR_GROWTH","FQ4 2019","FQ4 2019","Currency=USD","Period=FQ","BEST_FPERIOD_OVERRIDE=FQ","FILING_STATUS=MR","Sort=A","Dates=H","DateFormat=P","Fill=—","Direction=H","UseDPDF=Y")</f>
        <v>38.887799999999999</v>
      </c>
      <c r="H43" s="14" t="str">
        <f>_xll.BDH("ALNY US Equity","EMPLOYEES_5_YEAR_GROWTH","FQ1 2020","FQ1 2020","Currency=USD","Period=FQ","BEST_FPERIOD_OVERRIDE=FQ","FILING_STATUS=MR","Sort=A","Dates=H","DateFormat=P","Fill=—","Direction=H","UseDPDF=Y")</f>
        <v>—</v>
      </c>
      <c r="I43" s="14" t="str">
        <f>_xll.BDH("ALNY US Equity","EMPLOYEES_5_YEAR_GROWTH","FQ2 2020","FQ2 2020","Currency=USD","Period=FQ","BEST_FPERIOD_OVERRIDE=FQ","FILING_STATUS=MR","Sort=A","Dates=H","DateFormat=P","Fill=—","Direction=H","UseDPDF=Y")</f>
        <v>—</v>
      </c>
      <c r="J43" s="14" t="str">
        <f>_xll.BDH("ALNY US Equity","EMPLOYEES_5_YEAR_GROWTH","FQ3 2020","FQ3 2020","Currency=USD","Period=FQ","BEST_FPERIOD_OVERRIDE=FQ","FILING_STATUS=MR","Sort=A","Dates=H","DateFormat=P","Fill=—","Direction=H","UseDPDF=Y")</f>
        <v>—</v>
      </c>
      <c r="K43" s="14">
        <f>_xll.BDH("ALNY US Equity","EMPLOYEES_5_YEAR_GROWTH","FQ4 2020","FQ4 2020","Currency=USD","Period=FQ","BEST_FPERIOD_OVERRIDE=FQ","FILING_STATUS=MR","Sort=A","Dates=H","DateFormat=P","Fill=—","Direction=H","UseDPDF=Y")</f>
        <v>31.536999999999999</v>
      </c>
      <c r="L43" s="14" t="str">
        <f>_xll.BDH("ALNY US Equity","EMPLOYEES_5_YEAR_GROWTH","FQ1 2021","FQ1 2021","Currency=USD","Period=FQ","BEST_FPERIOD_OVERRIDE=FQ","FILING_STATUS=MR","Sort=A","Dates=H","DateFormat=P","Fill=—","Direction=H","UseDPDF=Y")</f>
        <v>—</v>
      </c>
      <c r="M43" s="14" t="str">
        <f>_xll.BDH("ALNY US Equity","EMPLOYEES_5_YEAR_GROWTH","FQ2 2021","FQ2 2021","Currency=USD","Period=FQ","BEST_FPERIOD_OVERRIDE=FQ","FILING_STATUS=MR","Sort=A","Dates=H","DateFormat=P","Fill=—","Direction=H","UseDPDF=Y")</f>
        <v>—</v>
      </c>
      <c r="N43" s="14" t="str">
        <f>_xll.BDH("ALNY US Equity","EMPLOYEES_5_YEAR_GROWTH","FQ3 2021","FQ3 2021","Currency=USD","Period=FQ","BEST_FPERIOD_OVERRIDE=FQ","FILING_STATUS=MR","Sort=A","Dates=H","DateFormat=P","Fill=—","Direction=H","UseDPDF=Y")</f>
        <v>—</v>
      </c>
      <c r="O43" s="14">
        <f>_xll.BDH("ALNY US Equity","EMPLOYEES_5_YEAR_GROWTH","FQ4 2021","FQ4 2021","Currency=USD","Period=FQ","BEST_FPERIOD_OVERRIDE=FQ","FILING_STATUS=MR","Sort=A","Dates=H","DateFormat=P","Fill=—","Direction=H","UseDPDF=Y")</f>
        <v>26.4999</v>
      </c>
      <c r="P43" s="14" t="str">
        <f>_xll.BDH("ALNY US Equity","EMPLOYEES_5_YEAR_GROWTH","FQ1 2022","FQ1 2022","Currency=USD","Period=FQ","BEST_FPERIOD_OVERRIDE=FQ","FILING_STATUS=MR","Sort=A","Dates=H","DateFormat=P","Fill=—","Direction=H","UseDPDF=Y")</f>
        <v>—</v>
      </c>
      <c r="Q43" s="14" t="str">
        <f>_xll.BDH("ALNY US Equity","EMPLOYEES_5_YEAR_GROWTH","FQ2 2022","FQ2 2022","Currency=USD","Period=FQ","BEST_FPERIOD_OVERRIDE=FQ","FILING_STATUS=MR","Sort=A","Dates=H","DateFormat=P","Fill=—","Direction=H","UseDPDF=Y")</f>
        <v>—</v>
      </c>
      <c r="R43" s="14" t="str">
        <f>_xll.BDH("ALNY US Equity","EMPLOYEES_5_YEAR_GROWTH","FQ3 2022","FQ3 2022","Currency=USD","Period=FQ","BEST_FPERIOD_OVERRIDE=FQ","FILING_STATUS=MR","Sort=A","Dates=H","DateFormat=P","Fill=—","Direction=H","UseDPDF=Y")</f>
        <v>—</v>
      </c>
      <c r="S43" s="14">
        <f>_xll.BDH("ALNY US Equity","EMPLOYEES_5_YEAR_GROWTH","FQ4 2022","FQ4 2022","Currency=USD","Period=FQ","BEST_FPERIOD_OVERRIDE=FQ","FILING_STATUS=MR","Sort=A","Dates=H","DateFormat=P","Fill=—","Direction=H","UseDPDF=Y")</f>
        <v>21.729700000000001</v>
      </c>
      <c r="T43" s="14" t="str">
        <f>_xll.BDH("ALNY US Equity","EMPLOYEES_5_YEAR_GROWTH","FQ1 2023","FQ1 2023","Currency=USD","Period=FQ","BEST_FPERIOD_OVERRIDE=FQ","FILING_STATUS=MR","Sort=A","Dates=H","DateFormat=P","Fill=—","Direction=H","UseDPDF=Y")</f>
        <v>—</v>
      </c>
      <c r="U43" s="14" t="str">
        <f>_xll.BDH("ALNY US Equity","EMPLOYEES_5_YEAR_GROWTH","FQ2 2023","FQ2 2023","Currency=USD","Period=FQ","BEST_FPERIOD_OVERRIDE=FQ","FILING_STATUS=MR","Sort=A","Dates=H","DateFormat=P","Fill=—","Direction=H","UseDPDF=Y")</f>
        <v>—</v>
      </c>
      <c r="V43" s="14" t="str">
        <f>_xll.BDH("ALNY US Equity","EMPLOYEES_5_YEAR_GROWTH","FQ3 2023","FQ3 2023","Currency=USD","Period=FQ","BEST_FPERIOD_OVERRIDE=FQ","FILING_STATUS=MR","Sort=A","Dates=H","DateFormat=P","Fill=—","Direction=H","UseDPDF=Y")</f>
        <v>—</v>
      </c>
      <c r="W43" s="14">
        <f>_xll.BDH("ALNY US Equity","EMPLOYEES_5_YEAR_GROWTH","FQ4 2023","FQ4 2023","Currency=USD","Period=FQ","BEST_FPERIOD_OVERRIDE=FQ","FILING_STATUS=MR","Sort=A","Dates=H","DateFormat=P","Fill=—","Direction=H","UseDPDF=Y")</f>
        <v>14.5444</v>
      </c>
      <c r="X43" s="14" t="str">
        <f>_xll.BDH("ALNY US Equity","EMPLOYEES_5_YEAR_GROWTH","FQ1 2024","FQ1 2024","Currency=USD","Period=FQ","BEST_FPERIOD_OVERRIDE=FQ","FILING_STATUS=MR","Sort=A","Dates=H","DateFormat=P","Fill=—","Direction=H","UseDPDF=Y")</f>
        <v>—</v>
      </c>
      <c r="Y43" s="14" t="str">
        <f>_xll.BDH("ALNY US Equity","EMPLOYEES_5_YEAR_GROWTH","FQ2 2024","FQ2 2024","Currency=USD","Period=FQ","BEST_FPERIOD_OVERRIDE=FQ","FILING_STATUS=MR","Sort=A","Dates=H","DateFormat=P","Fill=—","Direction=H","UseDPDF=Y")</f>
        <v>—</v>
      </c>
      <c r="Z43" s="14" t="str">
        <f>_xll.BDH("ALNY US Equity","EMPLOYEES_5_YEAR_GROWTH","FQ3 2024","FQ3 2024","Currency=USD","Period=FQ","BEST_FPERIOD_OVERRIDE=FQ","FILING_STATUS=MR","Sort=A","Dates=H","DateFormat=P","Fill=—","Direction=H","UseDPDF=Y")</f>
        <v>—</v>
      </c>
      <c r="AA43" s="14">
        <f>_xll.BDH("ALNY US Equity","EMPLOYEES_5_YEAR_GROWTH","FQ4 2024","FQ4 2024","Currency=USD","Period=FQ","BEST_FPERIOD_OVERRIDE=FQ","FILING_STATUS=MR","Sort=A","Dates=H","DateFormat=P","Fill=—","Direction=H","UseDPDF=Y")</f>
        <v>11.0067</v>
      </c>
    </row>
    <row r="44" spans="1:27" x14ac:dyDescent="0.25">
      <c r="A44" s="10" t="s">
        <v>1389</v>
      </c>
      <c r="B44" s="10" t="s">
        <v>1413</v>
      </c>
      <c r="C44" s="14">
        <f>_xll.BDH("ALNY US Equity","ACCOUNTS_PAYABLE_5_YEAR_GROWTH","FQ4 2018","FQ4 2018","Currency=USD","Period=FQ","BEST_FPERIOD_OVERRIDE=FQ","FILING_STATUS=MR","Sort=A","Dates=H","DateFormat=P","Fill=—","Direction=H","UseDPDF=Y")</f>
        <v>58.889400000000002</v>
      </c>
      <c r="D44" s="14">
        <f>_xll.BDH("ALNY US Equity","ACCOUNTS_PAYABLE_5_YEAR_GROWTH","FQ1 2019","FQ1 2019","Currency=USD","Period=FQ","BEST_FPERIOD_OVERRIDE=FQ","FILING_STATUS=MR","Sort=A","Dates=H","DateFormat=P","Fill=—","Direction=H","UseDPDF=Y")</f>
        <v>35.101399999999998</v>
      </c>
      <c r="E44" s="14">
        <f>_xll.BDH("ALNY US Equity","ACCOUNTS_PAYABLE_5_YEAR_GROWTH","FQ2 2019","FQ2 2019","Currency=USD","Period=FQ","BEST_FPERIOD_OVERRIDE=FQ","FILING_STATUS=MR","Sort=A","Dates=H","DateFormat=P","Fill=—","Direction=H","UseDPDF=Y")</f>
        <v>63.111800000000002</v>
      </c>
      <c r="F44" s="14">
        <f>_xll.BDH("ALNY US Equity","ACCOUNTS_PAYABLE_5_YEAR_GROWTH","FQ3 2019","FQ3 2019","Currency=USD","Period=FQ","BEST_FPERIOD_OVERRIDE=FQ","FILING_STATUS=MR","Sort=A","Dates=H","DateFormat=P","Fill=—","Direction=H","UseDPDF=Y")</f>
        <v>49.921599999999998</v>
      </c>
      <c r="G44" s="14">
        <f>_xll.BDH("ALNY US Equity","ACCOUNTS_PAYABLE_5_YEAR_GROWTH","FQ4 2019","FQ4 2019","Currency=USD","Period=FQ","BEST_FPERIOD_OVERRIDE=FQ","FILING_STATUS=MR","Sort=A","Dates=H","DateFormat=P","Fill=—","Direction=H","UseDPDF=Y")</f>
        <v>26.979500000000002</v>
      </c>
      <c r="H44" s="14">
        <f>_xll.BDH("ALNY US Equity","ACCOUNTS_PAYABLE_5_YEAR_GROWTH","FQ1 2020","FQ1 2020","Currency=USD","Period=FQ","BEST_FPERIOD_OVERRIDE=FQ","FILING_STATUS=MR","Sort=A","Dates=H","DateFormat=P","Fill=—","Direction=H","UseDPDF=Y")</f>
        <v>21.1906</v>
      </c>
      <c r="I44" s="14">
        <f>_xll.BDH("ALNY US Equity","ACCOUNTS_PAYABLE_5_YEAR_GROWTH","FQ2 2020","FQ2 2020","Currency=USD","Period=FQ","BEST_FPERIOD_OVERRIDE=FQ","FILING_STATUS=MR","Sort=A","Dates=H","DateFormat=P","Fill=—","Direction=H","UseDPDF=Y")</f>
        <v>10.700200000000001</v>
      </c>
      <c r="J44" s="14">
        <f>_xll.BDH("ALNY US Equity","ACCOUNTS_PAYABLE_5_YEAR_GROWTH","FQ3 2020","FQ3 2020","Currency=USD","Period=FQ","BEST_FPERIOD_OVERRIDE=FQ","FILING_STATUS=MR","Sort=A","Dates=H","DateFormat=P","Fill=—","Direction=H","UseDPDF=Y")</f>
        <v>14.3238</v>
      </c>
      <c r="K44" s="14">
        <f>_xll.BDH("ALNY US Equity","ACCOUNTS_PAYABLE_5_YEAR_GROWTH","FQ4 2020","FQ4 2020","Currency=USD","Period=FQ","BEST_FPERIOD_OVERRIDE=FQ","FILING_STATUS=MR","Sort=A","Dates=H","DateFormat=P","Fill=—","Direction=H","UseDPDF=Y")</f>
        <v>25.357199999999999</v>
      </c>
      <c r="L44" s="14">
        <f>_xll.BDH("ALNY US Equity","ACCOUNTS_PAYABLE_5_YEAR_GROWTH","FQ1 2021","FQ1 2021","Currency=USD","Period=FQ","BEST_FPERIOD_OVERRIDE=FQ","FILING_STATUS=MR","Sort=A","Dates=H","DateFormat=P","Fill=—","Direction=H","UseDPDF=Y")</f>
        <v>21.075299999999999</v>
      </c>
      <c r="M44" s="14">
        <f>_xll.BDH("ALNY US Equity","ACCOUNTS_PAYABLE_5_YEAR_GROWTH","FQ2 2021","FQ2 2021","Currency=USD","Period=FQ","BEST_FPERIOD_OVERRIDE=FQ","FILING_STATUS=MR","Sort=A","Dates=H","DateFormat=P","Fill=—","Direction=H","UseDPDF=Y")</f>
        <v>32.855600000000003</v>
      </c>
      <c r="N44" s="14">
        <f>_xll.BDH("ALNY US Equity","ACCOUNTS_PAYABLE_5_YEAR_GROWTH","FQ3 2021","FQ3 2021","Currency=USD","Period=FQ","BEST_FPERIOD_OVERRIDE=FQ","FILING_STATUS=MR","Sort=A","Dates=H","DateFormat=P","Fill=—","Direction=H","UseDPDF=Y")</f>
        <v>11.5976</v>
      </c>
      <c r="O44" s="14">
        <f>_xll.BDH("ALNY US Equity","ACCOUNTS_PAYABLE_5_YEAR_GROWTH","FQ4 2021","FQ4 2021","Currency=USD","Period=FQ","BEST_FPERIOD_OVERRIDE=FQ","FILING_STATUS=MR","Sort=A","Dates=H","DateFormat=P","Fill=—","Direction=H","UseDPDF=Y")</f>
        <v>6.1565000000000003</v>
      </c>
      <c r="P44" s="14">
        <f>_xll.BDH("ALNY US Equity","ACCOUNTS_PAYABLE_5_YEAR_GROWTH","FQ1 2022","FQ1 2022","Currency=USD","Period=FQ","BEST_FPERIOD_OVERRIDE=FQ","FILING_STATUS=MR","Sort=A","Dates=H","DateFormat=P","Fill=—","Direction=H","UseDPDF=Y")</f>
        <v>16.700399999999998</v>
      </c>
      <c r="Q44" s="14">
        <f>_xll.BDH("ALNY US Equity","ACCOUNTS_PAYABLE_5_YEAR_GROWTH","FQ2 2022","FQ2 2022","Currency=USD","Period=FQ","BEST_FPERIOD_OVERRIDE=FQ","FILING_STATUS=MR","Sort=A","Dates=H","DateFormat=P","Fill=—","Direction=H","UseDPDF=Y")</f>
        <v>17.7364</v>
      </c>
      <c r="R44" s="14">
        <f>_xll.BDH("ALNY US Equity","ACCOUNTS_PAYABLE_5_YEAR_GROWTH","FQ3 2022","FQ3 2022","Currency=USD","Period=FQ","BEST_FPERIOD_OVERRIDE=FQ","FILING_STATUS=MR","Sort=A","Dates=H","DateFormat=P","Fill=—","Direction=H","UseDPDF=Y")</f>
        <v>34.4375</v>
      </c>
      <c r="S44" s="14">
        <f>_xll.BDH("ALNY US Equity","ACCOUNTS_PAYABLE_5_YEAR_GROWTH","FQ4 2022","FQ4 2022","Currency=USD","Period=FQ","BEST_FPERIOD_OVERRIDE=FQ","FILING_STATUS=MR","Sort=A","Dates=H","DateFormat=P","Fill=—","Direction=H","UseDPDF=Y")</f>
        <v>28.174800000000001</v>
      </c>
      <c r="T44" s="14">
        <f>_xll.BDH("ALNY US Equity","ACCOUNTS_PAYABLE_5_YEAR_GROWTH","FQ1 2023","FQ1 2023","Currency=USD","Period=FQ","BEST_FPERIOD_OVERRIDE=FQ","FILING_STATUS=MR","Sort=A","Dates=H","DateFormat=P","Fill=—","Direction=H","UseDPDF=Y")</f>
        <v>36.350099999999998</v>
      </c>
      <c r="U44" s="14">
        <f>_xll.BDH("ALNY US Equity","ACCOUNTS_PAYABLE_5_YEAR_GROWTH","FQ2 2023","FQ2 2023","Currency=USD","Period=FQ","BEST_FPERIOD_OVERRIDE=FQ","FILING_STATUS=MR","Sort=A","Dates=H","DateFormat=P","Fill=—","Direction=H","UseDPDF=Y")</f>
        <v>37.883499999999998</v>
      </c>
      <c r="V44" s="14">
        <f>_xll.BDH("ALNY US Equity","ACCOUNTS_PAYABLE_5_YEAR_GROWTH","FQ3 2023","FQ3 2023","Currency=USD","Period=FQ","BEST_FPERIOD_OVERRIDE=FQ","FILING_STATUS=MR","Sort=A","Dates=H","DateFormat=P","Fill=—","Direction=H","UseDPDF=Y")</f>
        <v>27.667000000000002</v>
      </c>
      <c r="W44" s="14">
        <f>_xll.BDH("ALNY US Equity","ACCOUNTS_PAYABLE_5_YEAR_GROWTH","FQ4 2023","FQ4 2023","Currency=USD","Period=FQ","BEST_FPERIOD_OVERRIDE=FQ","FILING_STATUS=MR","Sort=A","Dates=H","DateFormat=P","Fill=—","Direction=H","UseDPDF=Y")</f>
        <v>-1.4442999999999999</v>
      </c>
      <c r="X44" s="14">
        <f>_xll.BDH("ALNY US Equity","ACCOUNTS_PAYABLE_5_YEAR_GROWTH","FQ1 2024","FQ1 2024","Currency=USD","Period=FQ","BEST_FPERIOD_OVERRIDE=FQ","FILING_STATUS=MR","Sort=A","Dates=H","DateFormat=P","Fill=—","Direction=H","UseDPDF=Y")</f>
        <v>28.0824</v>
      </c>
      <c r="Y44" s="14">
        <f>_xll.BDH("ALNY US Equity","ACCOUNTS_PAYABLE_5_YEAR_GROWTH","FQ2 2024","FQ2 2024","Currency=USD","Period=FQ","BEST_FPERIOD_OVERRIDE=FQ","FILING_STATUS=MR","Sort=A","Dates=H","DateFormat=P","Fill=—","Direction=H","UseDPDF=Y")</f>
        <v>0.76470000000000005</v>
      </c>
      <c r="Z44" s="14">
        <f>_xll.BDH("ALNY US Equity","ACCOUNTS_PAYABLE_5_YEAR_GROWTH","FQ3 2024","FQ3 2024","Currency=USD","Period=FQ","BEST_FPERIOD_OVERRIDE=FQ","FILING_STATUS=MR","Sort=A","Dates=H","DateFormat=P","Fill=—","Direction=H","UseDPDF=Y")</f>
        <v>12.4427</v>
      </c>
      <c r="AA44" s="14">
        <f>_xll.BDH("ALNY US Equity","ACCOUNTS_PAYABLE_5_YEAR_GROWTH","FQ4 2024","FQ4 2024","Currency=USD","Period=FQ","BEST_FPERIOD_OVERRIDE=FQ","FILING_STATUS=MR","Sort=A","Dates=H","DateFormat=P","Fill=—","Direction=H","UseDPDF=Y")</f>
        <v>12.127700000000001</v>
      </c>
    </row>
    <row r="45" spans="1:27" x14ac:dyDescent="0.25">
      <c r="A45" s="10" t="s">
        <v>1391</v>
      </c>
      <c r="B45" s="10" t="s">
        <v>1414</v>
      </c>
      <c r="C45" s="14" t="str">
        <f>_xll.BDH("ALNY US Equity","SHORT_TERM_DEBT_5_YEAR_GROWTH","FQ4 2018","FQ4 2018","Currency=USD","Period=FQ","BEST_FPERIOD_OVERRIDE=FQ","FILING_STATUS=MR","Sort=A","Dates=H","DateFormat=P","Fill=—","Direction=H","UseDPDF=Y")</f>
        <v>—</v>
      </c>
      <c r="D45" s="14" t="str">
        <f>_xll.BDH("ALNY US Equity","SHORT_TERM_DEBT_5_YEAR_GROWTH","FQ1 2019","FQ1 2019","Currency=USD","Period=FQ","BEST_FPERIOD_OVERRIDE=FQ","FILING_STATUS=MR","Sort=A","Dates=H","DateFormat=P","Fill=—","Direction=H","UseDPDF=Y")</f>
        <v>—</v>
      </c>
      <c r="E45" s="14" t="str">
        <f>_xll.BDH("ALNY US Equity","SHORT_TERM_DEBT_5_YEAR_GROWTH","FQ2 2019","FQ2 2019","Currency=USD","Period=FQ","BEST_FPERIOD_OVERRIDE=FQ","FILING_STATUS=MR","Sort=A","Dates=H","DateFormat=P","Fill=—","Direction=H","UseDPDF=Y")</f>
        <v>—</v>
      </c>
      <c r="F45" s="14" t="str">
        <f>_xll.BDH("ALNY US Equity","SHORT_TERM_DEBT_5_YEAR_GROWTH","FQ3 2019","FQ3 2019","Currency=USD","Period=FQ","BEST_FPERIOD_OVERRIDE=FQ","FILING_STATUS=MR","Sort=A","Dates=H","DateFormat=P","Fill=—","Direction=H","UseDPDF=Y")</f>
        <v>—</v>
      </c>
      <c r="G45" s="14" t="str">
        <f>_xll.BDH("ALNY US Equity","SHORT_TERM_DEBT_5_YEAR_GROWTH","FQ4 2019","FQ4 2019","Currency=USD","Period=FQ","BEST_FPERIOD_OVERRIDE=FQ","FILING_STATUS=MR","Sort=A","Dates=H","DateFormat=P","Fill=—","Direction=H","UseDPDF=Y")</f>
        <v>—</v>
      </c>
      <c r="H45" s="14" t="str">
        <f>_xll.BDH("ALNY US Equity","SHORT_TERM_DEBT_5_YEAR_GROWTH","FQ1 2020","FQ1 2020","Currency=USD","Period=FQ","BEST_FPERIOD_OVERRIDE=FQ","FILING_STATUS=MR","Sort=A","Dates=H","DateFormat=P","Fill=—","Direction=H","UseDPDF=Y")</f>
        <v>—</v>
      </c>
      <c r="I45" s="14" t="str">
        <f>_xll.BDH("ALNY US Equity","SHORT_TERM_DEBT_5_YEAR_GROWTH","FQ2 2020","FQ2 2020","Currency=USD","Period=FQ","BEST_FPERIOD_OVERRIDE=FQ","FILING_STATUS=MR","Sort=A","Dates=H","DateFormat=P","Fill=—","Direction=H","UseDPDF=Y")</f>
        <v>—</v>
      </c>
      <c r="J45" s="14" t="str">
        <f>_xll.BDH("ALNY US Equity","SHORT_TERM_DEBT_5_YEAR_GROWTH","FQ3 2020","FQ3 2020","Currency=USD","Period=FQ","BEST_FPERIOD_OVERRIDE=FQ","FILING_STATUS=MR","Sort=A","Dates=H","DateFormat=P","Fill=—","Direction=H","UseDPDF=Y")</f>
        <v>—</v>
      </c>
      <c r="K45" s="14" t="str">
        <f>_xll.BDH("ALNY US Equity","SHORT_TERM_DEBT_5_YEAR_GROWTH","FQ4 2020","FQ4 2020","Currency=USD","Period=FQ","BEST_FPERIOD_OVERRIDE=FQ","FILING_STATUS=MR","Sort=A","Dates=H","DateFormat=P","Fill=—","Direction=H","UseDPDF=Y")</f>
        <v>—</v>
      </c>
      <c r="L45" s="14" t="str">
        <f>_xll.BDH("ALNY US Equity","SHORT_TERM_DEBT_5_YEAR_GROWTH","FQ1 2021","FQ1 2021","Currency=USD","Period=FQ","BEST_FPERIOD_OVERRIDE=FQ","FILING_STATUS=MR","Sort=A","Dates=H","DateFormat=P","Fill=—","Direction=H","UseDPDF=Y")</f>
        <v>—</v>
      </c>
      <c r="M45" s="14" t="str">
        <f>_xll.BDH("ALNY US Equity","SHORT_TERM_DEBT_5_YEAR_GROWTH","FQ2 2021","FQ2 2021","Currency=USD","Period=FQ","BEST_FPERIOD_OVERRIDE=FQ","FILING_STATUS=MR","Sort=A","Dates=H","DateFormat=P","Fill=—","Direction=H","UseDPDF=Y")</f>
        <v>—</v>
      </c>
      <c r="N45" s="14" t="str">
        <f>_xll.BDH("ALNY US Equity","SHORT_TERM_DEBT_5_YEAR_GROWTH","FQ3 2021","FQ3 2021","Currency=USD","Period=FQ","BEST_FPERIOD_OVERRIDE=FQ","FILING_STATUS=MR","Sort=A","Dates=H","DateFormat=P","Fill=—","Direction=H","UseDPDF=Y")</f>
        <v>—</v>
      </c>
      <c r="O45" s="14" t="str">
        <f>_xll.BDH("ALNY US Equity","SHORT_TERM_DEBT_5_YEAR_GROWTH","FQ4 2021","FQ4 2021","Currency=USD","Period=FQ","BEST_FPERIOD_OVERRIDE=FQ","FILING_STATUS=MR","Sort=A","Dates=H","DateFormat=P","Fill=—","Direction=H","UseDPDF=Y")</f>
        <v>—</v>
      </c>
      <c r="P45" s="14" t="str">
        <f>_xll.BDH("ALNY US Equity","SHORT_TERM_DEBT_5_YEAR_GROWTH","FQ1 2022","FQ1 2022","Currency=USD","Period=FQ","BEST_FPERIOD_OVERRIDE=FQ","FILING_STATUS=MR","Sort=A","Dates=H","DateFormat=P","Fill=—","Direction=H","UseDPDF=Y")</f>
        <v>—</v>
      </c>
      <c r="Q45" s="14" t="str">
        <f>_xll.BDH("ALNY US Equity","SHORT_TERM_DEBT_5_YEAR_GROWTH","FQ2 2022","FQ2 2022","Currency=USD","Period=FQ","BEST_FPERIOD_OVERRIDE=FQ","FILING_STATUS=MR","Sort=A","Dates=H","DateFormat=P","Fill=—","Direction=H","UseDPDF=Y")</f>
        <v>—</v>
      </c>
      <c r="R45" s="14" t="str">
        <f>_xll.BDH("ALNY US Equity","SHORT_TERM_DEBT_5_YEAR_GROWTH","FQ3 2022","FQ3 2022","Currency=USD","Period=FQ","BEST_FPERIOD_OVERRIDE=FQ","FILING_STATUS=MR","Sort=A","Dates=H","DateFormat=P","Fill=—","Direction=H","UseDPDF=Y")</f>
        <v>—</v>
      </c>
      <c r="S45" s="14" t="str">
        <f>_xll.BDH("ALNY US Equity","SHORT_TERM_DEBT_5_YEAR_GROWTH","FQ4 2022","FQ4 2022","Currency=USD","Period=FQ","BEST_FPERIOD_OVERRIDE=FQ","FILING_STATUS=MR","Sort=A","Dates=H","DateFormat=P","Fill=—","Direction=H","UseDPDF=Y")</f>
        <v>—</v>
      </c>
      <c r="T45" s="14" t="str">
        <f>_xll.BDH("ALNY US Equity","SHORT_TERM_DEBT_5_YEAR_GROWTH","FQ1 2023","FQ1 2023","Currency=USD","Period=FQ","BEST_FPERIOD_OVERRIDE=FQ","FILING_STATUS=MR","Sort=A","Dates=H","DateFormat=P","Fill=—","Direction=H","UseDPDF=Y")</f>
        <v>—</v>
      </c>
      <c r="U45" s="14" t="str">
        <f>_xll.BDH("ALNY US Equity","SHORT_TERM_DEBT_5_YEAR_GROWTH","FQ2 2023","FQ2 2023","Currency=USD","Period=FQ","BEST_FPERIOD_OVERRIDE=FQ","FILING_STATUS=MR","Sort=A","Dates=H","DateFormat=P","Fill=—","Direction=H","UseDPDF=Y")</f>
        <v>—</v>
      </c>
      <c r="V45" s="14" t="str">
        <f>_xll.BDH("ALNY US Equity","SHORT_TERM_DEBT_5_YEAR_GROWTH","FQ3 2023","FQ3 2023","Currency=USD","Period=FQ","BEST_FPERIOD_OVERRIDE=FQ","FILING_STATUS=MR","Sort=A","Dates=H","DateFormat=P","Fill=—","Direction=H","UseDPDF=Y")</f>
        <v>—</v>
      </c>
      <c r="W45" s="14" t="str">
        <f>_xll.BDH("ALNY US Equity","SHORT_TERM_DEBT_5_YEAR_GROWTH","FQ4 2023","FQ4 2023","Currency=USD","Period=FQ","BEST_FPERIOD_OVERRIDE=FQ","FILING_STATUS=MR","Sort=A","Dates=H","DateFormat=P","Fill=—","Direction=H","UseDPDF=Y")</f>
        <v>—</v>
      </c>
      <c r="X45" s="14">
        <f>_xll.BDH("ALNY US Equity","SHORT_TERM_DEBT_5_YEAR_GROWTH","FQ1 2024","FQ1 2024","Currency=USD","Period=FQ","BEST_FPERIOD_OVERRIDE=FQ","FILING_STATUS=MR","Sort=A","Dates=H","DateFormat=P","Fill=—","Direction=H","UseDPDF=Y")</f>
        <v>19.673100000000002</v>
      </c>
      <c r="Y45" s="14">
        <f>_xll.BDH("ALNY US Equity","SHORT_TERM_DEBT_5_YEAR_GROWTH","FQ2 2024","FQ2 2024","Currency=USD","Period=FQ","BEST_FPERIOD_OVERRIDE=FQ","FILING_STATUS=MR","Sort=A","Dates=H","DateFormat=P","Fill=—","Direction=H","UseDPDF=Y")</f>
        <v>7.2563000000000004</v>
      </c>
      <c r="Z45" s="14">
        <f>_xll.BDH("ALNY US Equity","SHORT_TERM_DEBT_5_YEAR_GROWTH","FQ3 2024","FQ3 2024","Currency=USD","Period=FQ","BEST_FPERIOD_OVERRIDE=FQ","FILING_STATUS=MR","Sort=A","Dates=H","DateFormat=P","Fill=—","Direction=H","UseDPDF=Y")</f>
        <v>8.3940000000000001</v>
      </c>
      <c r="AA45" s="14">
        <f>_xll.BDH("ALNY US Equity","SHORT_TERM_DEBT_5_YEAR_GROWTH","FQ4 2024","FQ4 2024","Currency=USD","Period=FQ","BEST_FPERIOD_OVERRIDE=FQ","FILING_STATUS=MR","Sort=A","Dates=H","DateFormat=P","Fill=—","Direction=H","UseDPDF=Y")</f>
        <v>8.6313999999999993</v>
      </c>
    </row>
    <row r="46" spans="1:27" x14ac:dyDescent="0.25">
      <c r="A46" s="10" t="s">
        <v>1393</v>
      </c>
      <c r="B46" s="10" t="s">
        <v>1415</v>
      </c>
      <c r="C46" s="14" t="str">
        <f>_xll.BDH("ALNY US Equity","TOTAL_DEBT_5_YEAR_GROWTH","FQ4 2018","FQ4 2018","Currency=USD","Period=FQ","BEST_FPERIOD_OVERRIDE=FQ","FILING_STATUS=MR","Sort=A","Dates=H","DateFormat=P","Fill=—","Direction=H","UseDPDF=Y")</f>
        <v>—</v>
      </c>
      <c r="D46" s="14" t="str">
        <f>_xll.BDH("ALNY US Equity","TOTAL_DEBT_5_YEAR_GROWTH","FQ1 2019","FQ1 2019","Currency=USD","Period=FQ","BEST_FPERIOD_OVERRIDE=FQ","FILING_STATUS=MR","Sort=A","Dates=H","DateFormat=P","Fill=—","Direction=H","UseDPDF=Y")</f>
        <v>—</v>
      </c>
      <c r="E46" s="14" t="str">
        <f>_xll.BDH("ALNY US Equity","TOTAL_DEBT_5_YEAR_GROWTH","FQ2 2019","FQ2 2019","Currency=USD","Period=FQ","BEST_FPERIOD_OVERRIDE=FQ","FILING_STATUS=MR","Sort=A","Dates=H","DateFormat=P","Fill=—","Direction=H","UseDPDF=Y")</f>
        <v>—</v>
      </c>
      <c r="F46" s="14" t="str">
        <f>_xll.BDH("ALNY US Equity","TOTAL_DEBT_5_YEAR_GROWTH","FQ3 2019","FQ3 2019","Currency=USD","Period=FQ","BEST_FPERIOD_OVERRIDE=FQ","FILING_STATUS=MR","Sort=A","Dates=H","DateFormat=P","Fill=—","Direction=H","UseDPDF=Y")</f>
        <v>—</v>
      </c>
      <c r="G46" s="14" t="str">
        <f>_xll.BDH("ALNY US Equity","TOTAL_DEBT_5_YEAR_GROWTH","FQ4 2019","FQ4 2019","Currency=USD","Period=FQ","BEST_FPERIOD_OVERRIDE=FQ","FILING_STATUS=MR","Sort=A","Dates=H","DateFormat=P","Fill=—","Direction=H","UseDPDF=Y")</f>
        <v>—</v>
      </c>
      <c r="H46" s="14" t="str">
        <f>_xll.BDH("ALNY US Equity","TOTAL_DEBT_5_YEAR_GROWTH","FQ1 2020","FQ1 2020","Currency=USD","Period=FQ","BEST_FPERIOD_OVERRIDE=FQ","FILING_STATUS=MR","Sort=A","Dates=H","DateFormat=P","Fill=—","Direction=H","UseDPDF=Y")</f>
        <v>—</v>
      </c>
      <c r="I46" s="14" t="str">
        <f>_xll.BDH("ALNY US Equity","TOTAL_DEBT_5_YEAR_GROWTH","FQ2 2020","FQ2 2020","Currency=USD","Period=FQ","BEST_FPERIOD_OVERRIDE=FQ","FILING_STATUS=MR","Sort=A","Dates=H","DateFormat=P","Fill=—","Direction=H","UseDPDF=Y")</f>
        <v>—</v>
      </c>
      <c r="J46" s="14" t="str">
        <f>_xll.BDH("ALNY US Equity","TOTAL_DEBT_5_YEAR_GROWTH","FQ3 2020","FQ3 2020","Currency=USD","Period=FQ","BEST_FPERIOD_OVERRIDE=FQ","FILING_STATUS=MR","Sort=A","Dates=H","DateFormat=P","Fill=—","Direction=H","UseDPDF=Y")</f>
        <v>—</v>
      </c>
      <c r="K46" s="14" t="str">
        <f>_xll.BDH("ALNY US Equity","TOTAL_DEBT_5_YEAR_GROWTH","FQ4 2020","FQ4 2020","Currency=USD","Period=FQ","BEST_FPERIOD_OVERRIDE=FQ","FILING_STATUS=MR","Sort=A","Dates=H","DateFormat=P","Fill=—","Direction=H","UseDPDF=Y")</f>
        <v>—</v>
      </c>
      <c r="L46" s="14" t="str">
        <f>_xll.BDH("ALNY US Equity","TOTAL_DEBT_5_YEAR_GROWTH","FQ1 2021","FQ1 2021","Currency=USD","Period=FQ","BEST_FPERIOD_OVERRIDE=FQ","FILING_STATUS=MR","Sort=A","Dates=H","DateFormat=P","Fill=—","Direction=H","UseDPDF=Y")</f>
        <v>—</v>
      </c>
      <c r="M46" s="14">
        <f>_xll.BDH("ALNY US Equity","TOTAL_DEBT_5_YEAR_GROWTH","FQ2 2021","FQ2 2021","Currency=USD","Period=FQ","BEST_FPERIOD_OVERRIDE=FQ","FILING_STATUS=MR","Sort=A","Dates=H","DateFormat=P","Fill=—","Direction=H","UseDPDF=Y")</f>
        <v>38.378</v>
      </c>
      <c r="N46" s="14">
        <f>_xll.BDH("ALNY US Equity","TOTAL_DEBT_5_YEAR_GROWTH","FQ3 2021","FQ3 2021","Currency=USD","Period=FQ","BEST_FPERIOD_OVERRIDE=FQ","FILING_STATUS=MR","Sort=A","Dates=H","DateFormat=P","Fill=—","Direction=H","UseDPDF=Y")</f>
        <v>38.354999999999997</v>
      </c>
      <c r="O46" s="14">
        <f>_xll.BDH("ALNY US Equity","TOTAL_DEBT_5_YEAR_GROWTH","FQ4 2021","FQ4 2021","Currency=USD","Period=FQ","BEST_FPERIOD_OVERRIDE=FQ","FILING_STATUS=MR","Sort=A","Dates=H","DateFormat=P","Fill=—","Direction=H","UseDPDF=Y")</f>
        <v>46.073799999999999</v>
      </c>
      <c r="P46" s="14">
        <f>_xll.BDH("ALNY US Equity","TOTAL_DEBT_5_YEAR_GROWTH","FQ1 2022","FQ1 2022","Currency=USD","Period=FQ","BEST_FPERIOD_OVERRIDE=FQ","FILING_STATUS=MR","Sort=A","Dates=H","DateFormat=P","Fill=—","Direction=H","UseDPDF=Y")</f>
        <v>46.0092</v>
      </c>
      <c r="Q46" s="14">
        <f>_xll.BDH("ALNY US Equity","TOTAL_DEBT_5_YEAR_GROWTH","FQ2 2022","FQ2 2022","Currency=USD","Period=FQ","BEST_FPERIOD_OVERRIDE=FQ","FILING_STATUS=MR","Sort=A","Dates=H","DateFormat=P","Fill=—","Direction=H","UseDPDF=Y")</f>
        <v>45.8795</v>
      </c>
      <c r="R46" s="14">
        <f>_xll.BDH("ALNY US Equity","TOTAL_DEBT_5_YEAR_GROWTH","FQ3 2022","FQ3 2022","Currency=USD","Period=FQ","BEST_FPERIOD_OVERRIDE=FQ","FILING_STATUS=MR","Sort=A","Dates=H","DateFormat=P","Fill=—","Direction=H","UseDPDF=Y")</f>
        <v>59.321100000000001</v>
      </c>
      <c r="S46" s="14">
        <f>_xll.BDH("ALNY US Equity","TOTAL_DEBT_5_YEAR_GROWTH","FQ4 2022","FQ4 2022","Currency=USD","Period=FQ","BEST_FPERIOD_OVERRIDE=FQ","FILING_STATUS=MR","Sort=A","Dates=H","DateFormat=P","Fill=—","Direction=H","UseDPDF=Y")</f>
        <v>113.1606</v>
      </c>
      <c r="T46" s="14">
        <f>_xll.BDH("ALNY US Equity","TOTAL_DEBT_5_YEAR_GROWTH","FQ1 2023","FQ1 2023","Currency=USD","Period=FQ","BEST_FPERIOD_OVERRIDE=FQ","FILING_STATUS=MR","Sort=A","Dates=H","DateFormat=P","Fill=—","Direction=H","UseDPDF=Y")</f>
        <v>113.1636</v>
      </c>
      <c r="U46" s="14">
        <f>_xll.BDH("ALNY US Equity","TOTAL_DEBT_5_YEAR_GROWTH","FQ2 2023","FQ2 2023","Currency=USD","Period=FQ","BEST_FPERIOD_OVERRIDE=FQ","FILING_STATUS=MR","Sort=A","Dates=H","DateFormat=P","Fill=—","Direction=H","UseDPDF=Y")</f>
        <v>112.9692</v>
      </c>
      <c r="V46" s="14">
        <f>_xll.BDH("ALNY US Equity","TOTAL_DEBT_5_YEAR_GROWTH","FQ3 2023","FQ3 2023","Currency=USD","Period=FQ","BEST_FPERIOD_OVERRIDE=FQ","FILING_STATUS=MR","Sort=A","Dates=H","DateFormat=P","Fill=—","Direction=H","UseDPDF=Y")</f>
        <v>112.79730000000001</v>
      </c>
      <c r="W46" s="14">
        <f>_xll.BDH("ALNY US Equity","TOTAL_DEBT_5_YEAR_GROWTH","FQ4 2023","FQ4 2023","Currency=USD","Period=FQ","BEST_FPERIOD_OVERRIDE=FQ","FILING_STATUS=MR","Sort=A","Dates=H","DateFormat=P","Fill=—","Direction=H","UseDPDF=Y")</f>
        <v>112.6785</v>
      </c>
      <c r="X46" s="14">
        <f>_xll.BDH("ALNY US Equity","TOTAL_DEBT_5_YEAR_GROWTH","FQ1 2024","FQ1 2024","Currency=USD","Period=FQ","BEST_FPERIOD_OVERRIDE=FQ","FILING_STATUS=MR","Sort=A","Dates=H","DateFormat=P","Fill=—","Direction=H","UseDPDF=Y")</f>
        <v>31.6312</v>
      </c>
      <c r="Y46" s="14">
        <f>_xll.BDH("ALNY US Equity","TOTAL_DEBT_5_YEAR_GROWTH","FQ2 2024","FQ2 2024","Currency=USD","Period=FQ","BEST_FPERIOD_OVERRIDE=FQ","FILING_STATUS=MR","Sort=A","Dates=H","DateFormat=P","Fill=—","Direction=H","UseDPDF=Y")</f>
        <v>51.048000000000002</v>
      </c>
      <c r="Z46" s="14">
        <f>_xll.BDH("ALNY US Equity","TOTAL_DEBT_5_YEAR_GROWTH","FQ3 2024","FQ3 2024","Currency=USD","Period=FQ","BEST_FPERIOD_OVERRIDE=FQ","FILING_STATUS=MR","Sort=A","Dates=H","DateFormat=P","Fill=—","Direction=H","UseDPDF=Y")</f>
        <v>33.708399999999997</v>
      </c>
      <c r="AA46" s="14">
        <f>_xll.BDH("ALNY US Equity","TOTAL_DEBT_5_YEAR_GROWTH","FQ4 2024","FQ4 2024","Currency=USD","Period=FQ","BEST_FPERIOD_OVERRIDE=FQ","FILING_STATUS=MR","Sort=A","Dates=H","DateFormat=P","Fill=—","Direction=H","UseDPDF=Y")</f>
        <v>33.659599999999998</v>
      </c>
    </row>
    <row r="47" spans="1:27" x14ac:dyDescent="0.25">
      <c r="A47" s="10" t="s">
        <v>118</v>
      </c>
      <c r="B47" s="10" t="s">
        <v>1416</v>
      </c>
      <c r="C47" s="14">
        <f>_xll.BDH("ALNY US Equity","GEO_GROW_TOT_SHRHLDR_EQY","FQ4 2018","FQ4 2018","Currency=USD","Period=FQ","BEST_FPERIOD_OVERRIDE=FQ","FILING_STATUS=MR","Sort=A","Dates=H","DateFormat=P","Fill=—","Direction=H","UseDPDF=Y")</f>
        <v>36.941600000000001</v>
      </c>
      <c r="D47" s="14">
        <f>_xll.BDH("ALNY US Equity","GEO_GROW_TOT_SHRHLDR_EQY","FQ1 2019","FQ1 2019","Currency=USD","Period=FQ","BEST_FPERIOD_OVERRIDE=FQ","FILING_STATUS=MR","Sort=A","Dates=H","DateFormat=P","Fill=—","Direction=H","UseDPDF=Y")</f>
        <v>10.128299999999999</v>
      </c>
      <c r="E47" s="14">
        <f>_xll.BDH("ALNY US Equity","GEO_GROW_TOT_SHRHLDR_EQY","FQ2 2019","FQ2 2019","Currency=USD","Period=FQ","BEST_FPERIOD_OVERRIDE=FQ","FILING_STATUS=MR","Sort=A","Dates=H","DateFormat=P","Fill=—","Direction=H","UseDPDF=Y")</f>
        <v>13.2737</v>
      </c>
      <c r="F47" s="14">
        <f>_xll.BDH("ALNY US Equity","GEO_GROW_TOT_SHRHLDR_EQY","FQ3 2019","FQ3 2019","Currency=USD","Period=FQ","BEST_FPERIOD_OVERRIDE=FQ","FILING_STATUS=MR","Sort=A","Dates=H","DateFormat=P","Fill=—","Direction=H","UseDPDF=Y")</f>
        <v>12.183299999999999</v>
      </c>
      <c r="G47" s="14">
        <f>_xll.BDH("ALNY US Equity","GEO_GROW_TOT_SHRHLDR_EQY","FQ4 2019","FQ4 2019","Currency=USD","Period=FQ","BEST_FPERIOD_OVERRIDE=FQ","FILING_STATUS=MR","Sort=A","Dates=H","DateFormat=P","Fill=—","Direction=H","UseDPDF=Y")</f>
        <v>8.9717000000000002</v>
      </c>
      <c r="H47" s="14">
        <f>_xll.BDH("ALNY US Equity","GEO_GROW_TOT_SHRHLDR_EQY","FQ1 2020","FQ1 2020","Currency=USD","Period=FQ","BEST_FPERIOD_OVERRIDE=FQ","FILING_STATUS=MR","Sort=A","Dates=H","DateFormat=P","Fill=—","Direction=H","UseDPDF=Y")</f>
        <v>-2.0434999999999999</v>
      </c>
      <c r="I47" s="14">
        <f>_xll.BDH("ALNY US Equity","GEO_GROW_TOT_SHRHLDR_EQY","FQ2 2020","FQ2 2020","Currency=USD","Period=FQ","BEST_FPERIOD_OVERRIDE=FQ","FILING_STATUS=MR","Sort=A","Dates=H","DateFormat=P","Fill=—","Direction=H","UseDPDF=Y")</f>
        <v>-0.12640000000000001</v>
      </c>
      <c r="J47" s="14">
        <f>_xll.BDH("ALNY US Equity","GEO_GROW_TOT_SHRHLDR_EQY","FQ3 2020","FQ3 2020","Currency=USD","Period=FQ","BEST_FPERIOD_OVERRIDE=FQ","FILING_STATUS=MR","Sort=A","Dates=H","DateFormat=P","Fill=—","Direction=H","UseDPDF=Y")</f>
        <v>-1.6676</v>
      </c>
      <c r="K47" s="14">
        <f>_xll.BDH("ALNY US Equity","GEO_GROW_TOT_SHRHLDR_EQY","FQ4 2020","FQ4 2020","Currency=USD","Period=FQ","BEST_FPERIOD_OVERRIDE=FQ","FILING_STATUS=MR","Sort=A","Dates=H","DateFormat=P","Fill=—","Direction=H","UseDPDF=Y")</f>
        <v>-4.2803000000000004</v>
      </c>
      <c r="L47" s="14">
        <f>_xll.BDH("ALNY US Equity","GEO_GROW_TOT_SHRHLDR_EQY","FQ1 2021","FQ1 2021","Currency=USD","Period=FQ","BEST_FPERIOD_OVERRIDE=FQ","FILING_STATUS=MR","Sort=A","Dates=H","DateFormat=P","Fill=—","Direction=H","UseDPDF=Y")</f>
        <v>-4.8738000000000001</v>
      </c>
      <c r="M47" s="14">
        <f>_xll.BDH("ALNY US Equity","GEO_GROW_TOT_SHRHLDR_EQY","FQ2 2021","FQ2 2021","Currency=USD","Period=FQ","BEST_FPERIOD_OVERRIDE=FQ","FILING_STATUS=MR","Sort=A","Dates=H","DateFormat=P","Fill=—","Direction=H","UseDPDF=Y")</f>
        <v>-4.9245999999999999</v>
      </c>
      <c r="N47" s="14">
        <f>_xll.BDH("ALNY US Equity","GEO_GROW_TOT_SHRHLDR_EQY","FQ3 2021","FQ3 2021","Currency=USD","Period=FQ","BEST_FPERIOD_OVERRIDE=FQ","FILING_STATUS=MR","Sort=A","Dates=H","DateFormat=P","Fill=—","Direction=H","UseDPDF=Y")</f>
        <v>-5.7239000000000004</v>
      </c>
      <c r="O47" s="14">
        <f>_xll.BDH("ALNY US Equity","GEO_GROW_TOT_SHRHLDR_EQY","FQ4 2021","FQ4 2021","Currency=USD","Period=FQ","BEST_FPERIOD_OVERRIDE=FQ","FILING_STATUS=MR","Sort=A","Dates=H","DateFormat=P","Fill=—","Direction=H","UseDPDF=Y")</f>
        <v>-8.5618999999999996</v>
      </c>
      <c r="P47" s="14">
        <f>_xll.BDH("ALNY US Equity","GEO_GROW_TOT_SHRHLDR_EQY","FQ1 2022","FQ1 2022","Currency=USD","Period=FQ","BEST_FPERIOD_OVERRIDE=FQ","FILING_STATUS=MR","Sort=A","Dates=H","DateFormat=P","Fill=—","Direction=H","UseDPDF=Y")</f>
        <v>-13.552</v>
      </c>
      <c r="Q47" s="14">
        <f>_xll.BDH("ALNY US Equity","GEO_GROW_TOT_SHRHLDR_EQY","FQ2 2022","FQ2 2022","Currency=USD","Period=FQ","BEST_FPERIOD_OVERRIDE=FQ","FILING_STATUS=MR","Sort=A","Dates=H","DateFormat=P","Fill=—","Direction=H","UseDPDF=Y")</f>
        <v>-30.9682</v>
      </c>
      <c r="R47" s="14" t="str">
        <f>_xll.BDH("ALNY US Equity","GEO_GROW_TOT_SHRHLDR_EQY","FQ3 2022","FQ3 2022","Currency=USD","Period=FQ","BEST_FPERIOD_OVERRIDE=FQ","FILING_STATUS=MR","Sort=A","Dates=H","DateFormat=P","Fill=—","Direction=H","UseDPDF=Y")</f>
        <v>—</v>
      </c>
      <c r="S47" s="14" t="str">
        <f>_xll.BDH("ALNY US Equity","GEO_GROW_TOT_SHRHLDR_EQY","FQ4 2022","FQ4 2022","Currency=USD","Period=FQ","BEST_FPERIOD_OVERRIDE=FQ","FILING_STATUS=MR","Sort=A","Dates=H","DateFormat=P","Fill=—","Direction=H","UseDPDF=Y")</f>
        <v>—</v>
      </c>
      <c r="T47" s="14" t="str">
        <f>_xll.BDH("ALNY US Equity","GEO_GROW_TOT_SHRHLDR_EQY","FQ1 2023","FQ1 2023","Currency=USD","Period=FQ","BEST_FPERIOD_OVERRIDE=FQ","FILING_STATUS=MR","Sort=A","Dates=H","DateFormat=P","Fill=—","Direction=H","UseDPDF=Y")</f>
        <v>—</v>
      </c>
      <c r="U47" s="14" t="str">
        <f>_xll.BDH("ALNY US Equity","GEO_GROW_TOT_SHRHLDR_EQY","FQ2 2023","FQ2 2023","Currency=USD","Period=FQ","BEST_FPERIOD_OVERRIDE=FQ","FILING_STATUS=MR","Sort=A","Dates=H","DateFormat=P","Fill=—","Direction=H","UseDPDF=Y")</f>
        <v>—</v>
      </c>
      <c r="V47" s="14" t="str">
        <f>_xll.BDH("ALNY US Equity","GEO_GROW_TOT_SHRHLDR_EQY","FQ3 2023","FQ3 2023","Currency=USD","Period=FQ","BEST_FPERIOD_OVERRIDE=FQ","FILING_STATUS=MR","Sort=A","Dates=H","DateFormat=P","Fill=—","Direction=H","UseDPDF=Y")</f>
        <v>—</v>
      </c>
      <c r="W47" s="14" t="str">
        <f>_xll.BDH("ALNY US Equity","GEO_GROW_TOT_SHRHLDR_EQY","FQ4 2023","FQ4 2023","Currency=USD","Period=FQ","BEST_FPERIOD_OVERRIDE=FQ","FILING_STATUS=MR","Sort=A","Dates=H","DateFormat=P","Fill=—","Direction=H","UseDPDF=Y")</f>
        <v>—</v>
      </c>
      <c r="X47" s="14" t="str">
        <f>_xll.BDH("ALNY US Equity","GEO_GROW_TOT_SHRHLDR_EQY","FQ1 2024","FQ1 2024","Currency=USD","Period=FQ","BEST_FPERIOD_OVERRIDE=FQ","FILING_STATUS=MR","Sort=A","Dates=H","DateFormat=P","Fill=—","Direction=H","UseDPDF=Y")</f>
        <v>—</v>
      </c>
      <c r="Y47" s="14" t="str">
        <f>_xll.BDH("ALNY US Equity","GEO_GROW_TOT_SHRHLDR_EQY","FQ2 2024","FQ2 2024","Currency=USD","Period=FQ","BEST_FPERIOD_OVERRIDE=FQ","FILING_STATUS=MR","Sort=A","Dates=H","DateFormat=P","Fill=—","Direction=H","UseDPDF=Y")</f>
        <v>—</v>
      </c>
      <c r="Z47" s="14" t="str">
        <f>_xll.BDH("ALNY US Equity","GEO_GROW_TOT_SHRHLDR_EQY","FQ3 2024","FQ3 2024","Currency=USD","Period=FQ","BEST_FPERIOD_OVERRIDE=FQ","FILING_STATUS=MR","Sort=A","Dates=H","DateFormat=P","Fill=—","Direction=H","UseDPDF=Y")</f>
        <v>—</v>
      </c>
      <c r="AA47" s="14" t="str">
        <f>_xll.BDH("ALNY US Equity","GEO_GROW_TOT_SHRHLDR_EQY","FQ4 2024","FQ4 2024","Currency=USD","Period=FQ","BEST_FPERIOD_OVERRIDE=FQ","FILING_STATUS=MR","Sort=A","Dates=H","DateFormat=P","Fill=—","Direction=H","UseDPDF=Y")</f>
        <v>—</v>
      </c>
    </row>
    <row r="48" spans="1:27" x14ac:dyDescent="0.25">
      <c r="A48" s="10" t="s">
        <v>1417</v>
      </c>
      <c r="B48" s="10" t="s">
        <v>1418</v>
      </c>
      <c r="C48" s="14">
        <f>_xll.BDH("ALNY US Equity","TOTAL_CAPITAL_5_YEAR_GROWTH","FQ4 2018","FQ4 2018","Currency=USD","Period=FQ","BEST_FPERIOD_OVERRIDE=FQ","FILING_STATUS=MR","Sort=A","Dates=H","DateFormat=P","Fill=—","Direction=H","UseDPDF=Y")</f>
        <v>37.567</v>
      </c>
      <c r="D48" s="14">
        <f>_xll.BDH("ALNY US Equity","TOTAL_CAPITAL_5_YEAR_GROWTH","FQ1 2019","FQ1 2019","Currency=USD","Period=FQ","BEST_FPERIOD_OVERRIDE=FQ","FILING_STATUS=MR","Sort=A","Dates=H","DateFormat=P","Fill=—","Direction=H","UseDPDF=Y")</f>
        <v>14.4618</v>
      </c>
      <c r="E48" s="14">
        <f>_xll.BDH("ALNY US Equity","TOTAL_CAPITAL_5_YEAR_GROWTH","FQ2 2019","FQ2 2019","Currency=USD","Period=FQ","BEST_FPERIOD_OVERRIDE=FQ","FILING_STATUS=MR","Sort=A","Dates=H","DateFormat=P","Fill=—","Direction=H","UseDPDF=Y")</f>
        <v>17.3141</v>
      </c>
      <c r="F48" s="14">
        <f>_xll.BDH("ALNY US Equity","TOTAL_CAPITAL_5_YEAR_GROWTH","FQ3 2019","FQ3 2019","Currency=USD","Period=FQ","BEST_FPERIOD_OVERRIDE=FQ","FILING_STATUS=MR","Sort=A","Dates=H","DateFormat=P","Fill=—","Direction=H","UseDPDF=Y")</f>
        <v>16.146100000000001</v>
      </c>
      <c r="G48" s="14">
        <f>_xll.BDH("ALNY US Equity","TOTAL_CAPITAL_5_YEAR_GROWTH","FQ4 2019","FQ4 2019","Currency=USD","Period=FQ","BEST_FPERIOD_OVERRIDE=FQ","FILING_STATUS=MR","Sort=A","Dates=H","DateFormat=P","Fill=—","Direction=H","UseDPDF=Y")</f>
        <v>13.228400000000001</v>
      </c>
      <c r="H48" s="14">
        <f>_xll.BDH("ALNY US Equity","TOTAL_CAPITAL_5_YEAR_GROWTH","FQ1 2020","FQ1 2020","Currency=USD","Period=FQ","BEST_FPERIOD_OVERRIDE=FQ","FILING_STATUS=MR","Sort=A","Dates=H","DateFormat=P","Fill=—","Direction=H","UseDPDF=Y")</f>
        <v>2.0282</v>
      </c>
      <c r="I48" s="14">
        <f>_xll.BDH("ALNY US Equity","TOTAL_CAPITAL_5_YEAR_GROWTH","FQ2 2020","FQ2 2020","Currency=USD","Period=FQ","BEST_FPERIOD_OVERRIDE=FQ","FILING_STATUS=MR","Sort=A","Dates=H","DateFormat=P","Fill=—","Direction=H","UseDPDF=Y")</f>
        <v>4.0122</v>
      </c>
      <c r="J48" s="14">
        <f>_xll.BDH("ALNY US Equity","TOTAL_CAPITAL_5_YEAR_GROWTH","FQ3 2020","FQ3 2020","Currency=USD","Period=FQ","BEST_FPERIOD_OVERRIDE=FQ","FILING_STATUS=MR","Sort=A","Dates=H","DateFormat=P","Fill=—","Direction=H","UseDPDF=Y")</f>
        <v>3.1659000000000002</v>
      </c>
      <c r="K48" s="14">
        <f>_xll.BDH("ALNY US Equity","TOTAL_CAPITAL_5_YEAR_GROWTH","FQ4 2020","FQ4 2020","Currency=USD","Period=FQ","BEST_FPERIOD_OVERRIDE=FQ","FILING_STATUS=MR","Sort=A","Dates=H","DateFormat=P","Fill=—","Direction=H","UseDPDF=Y")</f>
        <v>3.9826999999999999</v>
      </c>
      <c r="L48" s="14">
        <f>_xll.BDH("ALNY US Equity","TOTAL_CAPITAL_5_YEAR_GROWTH","FQ1 2021","FQ1 2021","Currency=USD","Period=FQ","BEST_FPERIOD_OVERRIDE=FQ","FILING_STATUS=MR","Sort=A","Dates=H","DateFormat=P","Fill=—","Direction=H","UseDPDF=Y")</f>
        <v>3.9719000000000002</v>
      </c>
      <c r="M48" s="14">
        <f>_xll.BDH("ALNY US Equity","TOTAL_CAPITAL_5_YEAR_GROWTH","FQ2 2021","FQ2 2021","Currency=USD","Period=FQ","BEST_FPERIOD_OVERRIDE=FQ","FILING_STATUS=MR","Sort=A","Dates=H","DateFormat=P","Fill=—","Direction=H","UseDPDF=Y")</f>
        <v>5.2755999999999998</v>
      </c>
      <c r="N48" s="14">
        <f>_xll.BDH("ALNY US Equity","TOTAL_CAPITAL_5_YEAR_GROWTH","FQ3 2021","FQ3 2021","Currency=USD","Period=FQ","BEST_FPERIOD_OVERRIDE=FQ","FILING_STATUS=MR","Sort=A","Dates=H","DateFormat=P","Fill=—","Direction=H","UseDPDF=Y")</f>
        <v>5.4135</v>
      </c>
      <c r="O48" s="14">
        <f>_xll.BDH("ALNY US Equity","TOTAL_CAPITAL_5_YEAR_GROWTH","FQ4 2021","FQ4 2021","Currency=USD","Period=FQ","BEST_FPERIOD_OVERRIDE=FQ","FILING_STATUS=MR","Sort=A","Dates=H","DateFormat=P","Fill=—","Direction=H","UseDPDF=Y")</f>
        <v>8.1819000000000006</v>
      </c>
      <c r="P48" s="14">
        <f>_xll.BDH("ALNY US Equity","TOTAL_CAPITAL_5_YEAR_GROWTH","FQ1 2022","FQ1 2022","Currency=USD","Period=FQ","BEST_FPERIOD_OVERRIDE=FQ","FILING_STATUS=MR","Sort=A","Dates=H","DateFormat=P","Fill=—","Direction=H","UseDPDF=Y")</f>
        <v>7.3213999999999997</v>
      </c>
      <c r="Q48" s="14">
        <f>_xll.BDH("ALNY US Equity","TOTAL_CAPITAL_5_YEAR_GROWTH","FQ2 2022","FQ2 2022","Currency=USD","Period=FQ","BEST_FPERIOD_OVERRIDE=FQ","FILING_STATUS=MR","Sort=A","Dates=H","DateFormat=P","Fill=—","Direction=H","UseDPDF=Y")</f>
        <v>-1.7230000000000001</v>
      </c>
      <c r="R48" s="14">
        <f>_xll.BDH("ALNY US Equity","TOTAL_CAPITAL_5_YEAR_GROWTH","FQ3 2022","FQ3 2022","Currency=USD","Period=FQ","BEST_FPERIOD_OVERRIDE=FQ","FILING_STATUS=MR","Sort=A","Dates=H","DateFormat=P","Fill=—","Direction=H","UseDPDF=Y")</f>
        <v>4.0198999999999998</v>
      </c>
      <c r="S48" s="14">
        <f>_xll.BDH("ALNY US Equity","TOTAL_CAPITAL_5_YEAR_GROWTH","FQ4 2022","FQ4 2022","Currency=USD","Period=FQ","BEST_FPERIOD_OVERRIDE=FQ","FILING_STATUS=MR","Sort=A","Dates=H","DateFormat=P","Fill=—","Direction=H","UseDPDF=Y")</f>
        <v>-8.3439999999999994</v>
      </c>
      <c r="T48" s="14">
        <f>_xll.BDH("ALNY US Equity","TOTAL_CAPITAL_5_YEAR_GROWTH","FQ1 2023","FQ1 2023","Currency=USD","Period=FQ","BEST_FPERIOD_OVERRIDE=FQ","FILING_STATUS=MR","Sort=A","Dates=H","DateFormat=P","Fill=—","Direction=H","UseDPDF=Y")</f>
        <v>-9.8774999999999995</v>
      </c>
      <c r="U48" s="14">
        <f>_xll.BDH("ALNY US Equity","TOTAL_CAPITAL_5_YEAR_GROWTH","FQ2 2023","FQ2 2023","Currency=USD","Period=FQ","BEST_FPERIOD_OVERRIDE=FQ","FILING_STATUS=MR","Sort=A","Dates=H","DateFormat=P","Fill=—","Direction=H","UseDPDF=Y")</f>
        <v>-11.303599999999999</v>
      </c>
      <c r="V48" s="14">
        <f>_xll.BDH("ALNY US Equity","TOTAL_CAPITAL_5_YEAR_GROWTH","FQ3 2023","FQ3 2023","Currency=USD","Period=FQ","BEST_FPERIOD_OVERRIDE=FQ","FILING_STATUS=MR","Sort=A","Dates=H","DateFormat=P","Fill=—","Direction=H","UseDPDF=Y")</f>
        <v>-5.3903999999999996</v>
      </c>
      <c r="W48" s="14">
        <f>_xll.BDH("ALNY US Equity","TOTAL_CAPITAL_5_YEAR_GROWTH","FQ4 2023","FQ4 2023","Currency=USD","Period=FQ","BEST_FPERIOD_OVERRIDE=FQ","FILING_STATUS=MR","Sort=A","Dates=H","DateFormat=P","Fill=—","Direction=H","UseDPDF=Y")</f>
        <v>-4.0231000000000003</v>
      </c>
      <c r="X48" s="14">
        <f>_xll.BDH("ALNY US Equity","TOTAL_CAPITAL_5_YEAR_GROWTH","FQ1 2024","FQ1 2024","Currency=USD","Period=FQ","BEST_FPERIOD_OVERRIDE=FQ","FILING_STATUS=MR","Sort=A","Dates=H","DateFormat=P","Fill=—","Direction=H","UseDPDF=Y")</f>
        <v>-10.425700000000001</v>
      </c>
      <c r="Y48" s="14">
        <f>_xll.BDH("ALNY US Equity","TOTAL_CAPITAL_5_YEAR_GROWTH","FQ2 2024","FQ2 2024","Currency=USD","Period=FQ","BEST_FPERIOD_OVERRIDE=FQ","FILING_STATUS=MR","Sort=A","Dates=H","DateFormat=P","Fill=—","Direction=H","UseDPDF=Y")</f>
        <v>4.7709999999999999</v>
      </c>
      <c r="Z48" s="14">
        <f>_xll.BDH("ALNY US Equity","TOTAL_CAPITAL_5_YEAR_GROWTH","FQ3 2024","FQ3 2024","Currency=USD","Period=FQ","BEST_FPERIOD_OVERRIDE=FQ","FILING_STATUS=MR","Sort=A","Dates=H","DateFormat=P","Fill=—","Direction=H","UseDPDF=Y")</f>
        <v>-6.9409000000000001</v>
      </c>
      <c r="AA48" s="14">
        <f>_xll.BDH("ALNY US Equity","TOTAL_CAPITAL_5_YEAR_GROWTH","FQ4 2024","FQ4 2024","Currency=USD","Period=FQ","BEST_FPERIOD_OVERRIDE=FQ","FILING_STATUS=MR","Sort=A","Dates=H","DateFormat=P","Fill=—","Direction=H","UseDPDF=Y")</f>
        <v>-4.7922000000000002</v>
      </c>
    </row>
    <row r="49" spans="1:27" x14ac:dyDescent="0.25">
      <c r="A49" s="10" t="s">
        <v>1398</v>
      </c>
      <c r="B49" s="10" t="s">
        <v>1419</v>
      </c>
      <c r="C49" s="14">
        <f>_xll.BDH("ALNY US Equity","GEO_GROW_BOOK_VAL","FQ4 2018","FQ4 2018","Currency=USD","Period=FQ","BEST_FPERIOD_OVERRIDE=FQ","FILING_STATUS=MR","Sort=A","Dates=H","DateFormat=P","Fill=—","Direction=H","UseDPDF=Y")</f>
        <v>24.854399999999998</v>
      </c>
      <c r="D49" s="14">
        <f>_xll.BDH("ALNY US Equity","GEO_GROW_BOOK_VAL","FQ1 2019","FQ1 2019","Currency=USD","Period=FQ","BEST_FPERIOD_OVERRIDE=FQ","FILING_STATUS=MR","Sort=A","Dates=H","DateFormat=P","Fill=—","Direction=H","UseDPDF=Y")</f>
        <v>2.8212000000000002</v>
      </c>
      <c r="E49" s="14">
        <f>_xll.BDH("ALNY US Equity","GEO_GROW_BOOK_VAL","FQ2 2019","FQ2 2019","Currency=USD","Period=FQ","BEST_FPERIOD_OVERRIDE=FQ","FILING_STATUS=MR","Sort=A","Dates=H","DateFormat=P","Fill=—","Direction=H","UseDPDF=Y")</f>
        <v>5.077</v>
      </c>
      <c r="F49" s="14">
        <f>_xll.BDH("ALNY US Equity","GEO_GROW_BOOK_VAL","FQ3 2019","FQ3 2019","Currency=USD","Period=FQ","BEST_FPERIOD_OVERRIDE=FQ","FILING_STATUS=MR","Sort=A","Dates=H","DateFormat=P","Fill=—","Direction=H","UseDPDF=Y")</f>
        <v>4.1220999999999997</v>
      </c>
      <c r="G49" s="14">
        <f>_xll.BDH("ALNY US Equity","GEO_GROW_BOOK_VAL","FQ4 2019","FQ4 2019","Currency=USD","Period=FQ","BEST_FPERIOD_OVERRIDE=FQ","FILING_STATUS=MR","Sort=A","Dates=H","DateFormat=P","Fill=—","Direction=H","UseDPDF=Y")</f>
        <v>1.1232</v>
      </c>
      <c r="H49" s="14">
        <f>_xll.BDH("ALNY US Equity","GEO_GROW_BOOK_VAL","FQ1 2020","FQ1 2020","Currency=USD","Period=FQ","BEST_FPERIOD_OVERRIDE=FQ","FILING_STATUS=MR","Sort=A","Dates=H","DateFormat=P","Fill=—","Direction=H","UseDPDF=Y")</f>
        <v>-7.6681999999999997</v>
      </c>
      <c r="I49" s="14">
        <f>_xll.BDH("ALNY US Equity","GEO_GROW_BOOK_VAL","FQ2 2020","FQ2 2020","Currency=USD","Period=FQ","BEST_FPERIOD_OVERRIDE=FQ","FILING_STATUS=MR","Sort=A","Dates=H","DateFormat=P","Fill=—","Direction=H","UseDPDF=Y")</f>
        <v>-6.1940999999999997</v>
      </c>
      <c r="J49" s="14">
        <f>_xll.BDH("ALNY US Equity","GEO_GROW_BOOK_VAL","FQ3 2020","FQ3 2020","Currency=USD","Period=FQ","BEST_FPERIOD_OVERRIDE=FQ","FILING_STATUS=MR","Sort=A","Dates=H","DateFormat=P","Fill=—","Direction=H","UseDPDF=Y")</f>
        <v>-7.6825999999999999</v>
      </c>
      <c r="K49" s="14">
        <f>_xll.BDH("ALNY US Equity","GEO_GROW_BOOK_VAL","FQ4 2020","FQ4 2020","Currency=USD","Period=FQ","BEST_FPERIOD_OVERRIDE=FQ","FILING_STATUS=MR","Sort=A","Dates=H","DateFormat=P","Fill=—","Direction=H","UseDPDF=Y")</f>
        <v>-10.0984</v>
      </c>
      <c r="L49" s="14">
        <f>_xll.BDH("ALNY US Equity","GEO_GROW_BOOK_VAL","FQ1 2021","FQ1 2021","Currency=USD","Period=FQ","BEST_FPERIOD_OVERRIDE=FQ","FILING_STATUS=MR","Sort=A","Dates=H","DateFormat=P","Fill=—","Direction=H","UseDPDF=Y")</f>
        <v>-10.714600000000001</v>
      </c>
      <c r="M49" s="14">
        <f>_xll.BDH("ALNY US Equity","GEO_GROW_BOOK_VAL","FQ2 2021","FQ2 2021","Currency=USD","Period=FQ","BEST_FPERIOD_OVERRIDE=FQ","FILING_STATUS=MR","Sort=A","Dates=H","DateFormat=P","Fill=—","Direction=H","UseDPDF=Y")</f>
        <v>-10.9321</v>
      </c>
      <c r="N49" s="14">
        <f>_xll.BDH("ALNY US Equity","GEO_GROW_BOOK_VAL","FQ3 2021","FQ3 2021","Currency=USD","Period=FQ","BEST_FPERIOD_OVERRIDE=FQ","FILING_STATUS=MR","Sort=A","Dates=H","DateFormat=P","Fill=—","Direction=H","UseDPDF=Y")</f>
        <v>-11.7721</v>
      </c>
      <c r="O49" s="14">
        <f>_xll.BDH("ALNY US Equity","GEO_GROW_BOOK_VAL","FQ4 2021","FQ4 2021","Currency=USD","Period=FQ","BEST_FPERIOD_OVERRIDE=FQ","FILING_STATUS=MR","Sort=A","Dates=H","DateFormat=P","Fill=—","Direction=H","UseDPDF=Y")</f>
        <v>-14.493399999999999</v>
      </c>
      <c r="P49" s="14">
        <f>_xll.BDH("ALNY US Equity","GEO_GROW_BOOK_VAL","FQ1 2022","FQ1 2022","Currency=USD","Period=FQ","BEST_FPERIOD_OVERRIDE=FQ","FILING_STATUS=MR","Sort=A","Dates=H","DateFormat=P","Fill=—","Direction=H","UseDPDF=Y")</f>
        <v>-19.209399999999999</v>
      </c>
      <c r="Q49" s="14">
        <f>_xll.BDH("ALNY US Equity","GEO_GROW_BOOK_VAL","FQ2 2022","FQ2 2022","Currency=USD","Period=FQ","BEST_FPERIOD_OVERRIDE=FQ","FILING_STATUS=MR","Sort=A","Dates=H","DateFormat=P","Fill=—","Direction=H","UseDPDF=Y")</f>
        <v>-34.691000000000003</v>
      </c>
      <c r="R49" s="14" t="str">
        <f>_xll.BDH("ALNY US Equity","GEO_GROW_BOOK_VAL","FQ3 2022","FQ3 2022","Currency=USD","Period=FQ","BEST_FPERIOD_OVERRIDE=FQ","FILING_STATUS=MR","Sort=A","Dates=H","DateFormat=P","Fill=—","Direction=H","UseDPDF=Y")</f>
        <v>—</v>
      </c>
      <c r="S49" s="14" t="str">
        <f>_xll.BDH("ALNY US Equity","GEO_GROW_BOOK_VAL","FQ4 2022","FQ4 2022","Currency=USD","Period=FQ","BEST_FPERIOD_OVERRIDE=FQ","FILING_STATUS=MR","Sort=A","Dates=H","DateFormat=P","Fill=—","Direction=H","UseDPDF=Y")</f>
        <v>—</v>
      </c>
      <c r="T49" s="14" t="str">
        <f>_xll.BDH("ALNY US Equity","GEO_GROW_BOOK_VAL","FQ1 2023","FQ1 2023","Currency=USD","Period=FQ","BEST_FPERIOD_OVERRIDE=FQ","FILING_STATUS=MR","Sort=A","Dates=H","DateFormat=P","Fill=—","Direction=H","UseDPDF=Y")</f>
        <v>—</v>
      </c>
      <c r="U49" s="14" t="str">
        <f>_xll.BDH("ALNY US Equity","GEO_GROW_BOOK_VAL","FQ2 2023","FQ2 2023","Currency=USD","Period=FQ","BEST_FPERIOD_OVERRIDE=FQ","FILING_STATUS=MR","Sort=A","Dates=H","DateFormat=P","Fill=—","Direction=H","UseDPDF=Y")</f>
        <v>—</v>
      </c>
      <c r="V49" s="14" t="str">
        <f>_xll.BDH("ALNY US Equity","GEO_GROW_BOOK_VAL","FQ3 2023","FQ3 2023","Currency=USD","Period=FQ","BEST_FPERIOD_OVERRIDE=FQ","FILING_STATUS=MR","Sort=A","Dates=H","DateFormat=P","Fill=—","Direction=H","UseDPDF=Y")</f>
        <v>—</v>
      </c>
      <c r="W49" s="14" t="str">
        <f>_xll.BDH("ALNY US Equity","GEO_GROW_BOOK_VAL","FQ4 2023","FQ4 2023","Currency=USD","Period=FQ","BEST_FPERIOD_OVERRIDE=FQ","FILING_STATUS=MR","Sort=A","Dates=H","DateFormat=P","Fill=—","Direction=H","UseDPDF=Y")</f>
        <v>—</v>
      </c>
      <c r="X49" s="14" t="str">
        <f>_xll.BDH("ALNY US Equity","GEO_GROW_BOOK_VAL","FQ1 2024","FQ1 2024","Currency=USD","Period=FQ","BEST_FPERIOD_OVERRIDE=FQ","FILING_STATUS=MR","Sort=A","Dates=H","DateFormat=P","Fill=—","Direction=H","UseDPDF=Y")</f>
        <v>—</v>
      </c>
      <c r="Y49" s="14" t="str">
        <f>_xll.BDH("ALNY US Equity","GEO_GROW_BOOK_VAL","FQ2 2024","FQ2 2024","Currency=USD","Period=FQ","BEST_FPERIOD_OVERRIDE=FQ","FILING_STATUS=MR","Sort=A","Dates=H","DateFormat=P","Fill=—","Direction=H","UseDPDF=Y")</f>
        <v>—</v>
      </c>
      <c r="Z49" s="14" t="str">
        <f>_xll.BDH("ALNY US Equity","GEO_GROW_BOOK_VAL","FQ3 2024","FQ3 2024","Currency=USD","Period=FQ","BEST_FPERIOD_OVERRIDE=FQ","FILING_STATUS=MR","Sort=A","Dates=H","DateFormat=P","Fill=—","Direction=H","UseDPDF=Y")</f>
        <v>—</v>
      </c>
      <c r="AA49" s="14" t="str">
        <f>_xll.BDH("ALNY US Equity","GEO_GROW_BOOK_VAL","FQ4 2024","FQ4 2024","Currency=USD","Period=FQ","BEST_FPERIOD_OVERRIDE=FQ","FILING_STATUS=MR","Sort=A","Dates=H","DateFormat=P","Fill=—","Direction=H","UseDPDF=Y")</f>
        <v>—</v>
      </c>
    </row>
    <row r="50" spans="1:27" x14ac:dyDescent="0.25">
      <c r="A50" s="1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10" t="s">
        <v>1323</v>
      </c>
      <c r="B51" s="10" t="s">
        <v>1420</v>
      </c>
      <c r="C51" s="14">
        <f>_xll.BDH("ALNY US Equity","NET_CHANGE_IN_CASH_5_YEAR_GROWTH","FQ4 2018","FQ4 2018","Currency=USD","Period=FQ","BEST_FPERIOD_OVERRIDE=FQ","FILING_STATUS=MR","Sort=A","Dates=H","DateFormat=P","Fill=—","Direction=H","UseDPDF=Y")</f>
        <v>20.242899999999999</v>
      </c>
      <c r="D51" s="14" t="str">
        <f>_xll.BDH("ALNY US Equity","NET_CHANGE_IN_CASH_5_YEAR_GROWTH","FQ1 2019","FQ1 2019","Currency=USD","Period=FQ","BEST_FPERIOD_OVERRIDE=FQ","FILING_STATUS=MR","Sort=A","Dates=H","DateFormat=P","Fill=—","Direction=H","UseDPDF=Y")</f>
        <v>—</v>
      </c>
      <c r="E51" s="14" t="str">
        <f>_xll.BDH("ALNY US Equity","NET_CHANGE_IN_CASH_5_YEAR_GROWTH","FQ2 2019","FQ2 2019","Currency=USD","Period=FQ","BEST_FPERIOD_OVERRIDE=FQ","FILING_STATUS=MR","Sort=A","Dates=H","DateFormat=P","Fill=—","Direction=H","UseDPDF=Y")</f>
        <v>—</v>
      </c>
      <c r="F51" s="14" t="str">
        <f>_xll.BDH("ALNY US Equity","NET_CHANGE_IN_CASH_5_YEAR_GROWTH","FQ3 2019","FQ3 2019","Currency=USD","Period=FQ","BEST_FPERIOD_OVERRIDE=FQ","FILING_STATUS=MR","Sort=A","Dates=H","DateFormat=P","Fill=—","Direction=H","UseDPDF=Y")</f>
        <v>—</v>
      </c>
      <c r="G51" s="14" t="str">
        <f>_xll.BDH("ALNY US Equity","NET_CHANGE_IN_CASH_5_YEAR_GROWTH","FQ4 2019","FQ4 2019","Currency=USD","Period=FQ","BEST_FPERIOD_OVERRIDE=FQ","FILING_STATUS=MR","Sort=A","Dates=H","DateFormat=P","Fill=—","Direction=H","UseDPDF=Y")</f>
        <v>—</v>
      </c>
      <c r="H51" s="14" t="str">
        <f>_xll.BDH("ALNY US Equity","NET_CHANGE_IN_CASH_5_YEAR_GROWTH","FQ1 2020","FQ1 2020","Currency=USD","Period=FQ","BEST_FPERIOD_OVERRIDE=FQ","FILING_STATUS=MR","Sort=A","Dates=H","DateFormat=P","Fill=—","Direction=H","UseDPDF=Y")</f>
        <v>—</v>
      </c>
      <c r="I51" s="14" t="str">
        <f>_xll.BDH("ALNY US Equity","NET_CHANGE_IN_CASH_5_YEAR_GROWTH","FQ2 2020","FQ2 2020","Currency=USD","Period=FQ","BEST_FPERIOD_OVERRIDE=FQ","FILING_STATUS=MR","Sort=A","Dates=H","DateFormat=P","Fill=—","Direction=H","UseDPDF=Y")</f>
        <v>—</v>
      </c>
      <c r="J51" s="14" t="str">
        <f>_xll.BDH("ALNY US Equity","NET_CHANGE_IN_CASH_5_YEAR_GROWTH","FQ3 2020","FQ3 2020","Currency=USD","Period=FQ","BEST_FPERIOD_OVERRIDE=FQ","FILING_STATUS=MR","Sort=A","Dates=H","DateFormat=P","Fill=—","Direction=H","UseDPDF=Y")</f>
        <v>—</v>
      </c>
      <c r="K51" s="14" t="str">
        <f>_xll.BDH("ALNY US Equity","NET_CHANGE_IN_CASH_5_YEAR_GROWTH","FQ4 2020","FQ4 2020","Currency=USD","Period=FQ","BEST_FPERIOD_OVERRIDE=FQ","FILING_STATUS=MR","Sort=A","Dates=H","DateFormat=P","Fill=—","Direction=H","UseDPDF=Y")</f>
        <v>—</v>
      </c>
      <c r="L51" s="14" t="str">
        <f>_xll.BDH("ALNY US Equity","NET_CHANGE_IN_CASH_5_YEAR_GROWTH","FQ1 2021","FQ1 2021","Currency=USD","Period=FQ","BEST_FPERIOD_OVERRIDE=FQ","FILING_STATUS=MR","Sort=A","Dates=H","DateFormat=P","Fill=—","Direction=H","UseDPDF=Y")</f>
        <v>—</v>
      </c>
      <c r="M51" s="14">
        <f>_xll.BDH("ALNY US Equity","NET_CHANGE_IN_CASH_5_YEAR_GROWTH","FQ2 2021","FQ2 2021","Currency=USD","Period=FQ","BEST_FPERIOD_OVERRIDE=FQ","FILING_STATUS=MR","Sort=A","Dates=H","DateFormat=P","Fill=—","Direction=H","UseDPDF=Y")</f>
        <v>55.8613</v>
      </c>
      <c r="N51" s="14" t="str">
        <f>_xll.BDH("ALNY US Equity","NET_CHANGE_IN_CASH_5_YEAR_GROWTH","FQ3 2021","FQ3 2021","Currency=USD","Period=FQ","BEST_FPERIOD_OVERRIDE=FQ","FILING_STATUS=MR","Sort=A","Dates=H","DateFormat=P","Fill=—","Direction=H","UseDPDF=Y")</f>
        <v>—</v>
      </c>
      <c r="O51" s="14" t="str">
        <f>_xll.BDH("ALNY US Equity","NET_CHANGE_IN_CASH_5_YEAR_GROWTH","FQ4 2021","FQ4 2021","Currency=USD","Period=FQ","BEST_FPERIOD_OVERRIDE=FQ","FILING_STATUS=MR","Sort=A","Dates=H","DateFormat=P","Fill=—","Direction=H","UseDPDF=Y")</f>
        <v>—</v>
      </c>
      <c r="P51" s="14" t="str">
        <f>_xll.BDH("ALNY US Equity","NET_CHANGE_IN_CASH_5_YEAR_GROWTH","FQ1 2022","FQ1 2022","Currency=USD","Period=FQ","BEST_FPERIOD_OVERRIDE=FQ","FILING_STATUS=MR","Sort=A","Dates=H","DateFormat=P","Fill=—","Direction=H","UseDPDF=Y")</f>
        <v>—</v>
      </c>
      <c r="Q51" s="14">
        <f>_xll.BDH("ALNY US Equity","NET_CHANGE_IN_CASH_5_YEAR_GROWTH","FQ2 2022","FQ2 2022","Currency=USD","Period=FQ","BEST_FPERIOD_OVERRIDE=FQ","FILING_STATUS=MR","Sort=A","Dates=H","DateFormat=P","Fill=—","Direction=H","UseDPDF=Y")</f>
        <v>-29.466899999999999</v>
      </c>
      <c r="R51" s="14" t="str">
        <f>_xll.BDH("ALNY US Equity","NET_CHANGE_IN_CASH_5_YEAR_GROWTH","FQ3 2022","FQ3 2022","Currency=USD","Period=FQ","BEST_FPERIOD_OVERRIDE=FQ","FILING_STATUS=MR","Sort=A","Dates=H","DateFormat=P","Fill=—","Direction=H","UseDPDF=Y")</f>
        <v>—</v>
      </c>
      <c r="S51" s="14" t="str">
        <f>_xll.BDH("ALNY US Equity","NET_CHANGE_IN_CASH_5_YEAR_GROWTH","FQ4 2022","FQ4 2022","Currency=USD","Period=FQ","BEST_FPERIOD_OVERRIDE=FQ","FILING_STATUS=MR","Sort=A","Dates=H","DateFormat=P","Fill=—","Direction=H","UseDPDF=Y")</f>
        <v>—</v>
      </c>
      <c r="T51" s="14" t="str">
        <f>_xll.BDH("ALNY US Equity","NET_CHANGE_IN_CASH_5_YEAR_GROWTH","FQ1 2023","FQ1 2023","Currency=USD","Period=FQ","BEST_FPERIOD_OVERRIDE=FQ","FILING_STATUS=MR","Sort=A","Dates=H","DateFormat=P","Fill=—","Direction=H","UseDPDF=Y")</f>
        <v>—</v>
      </c>
      <c r="U51" s="14" t="str">
        <f>_xll.BDH("ALNY US Equity","NET_CHANGE_IN_CASH_5_YEAR_GROWTH","FQ2 2023","FQ2 2023","Currency=USD","Period=FQ","BEST_FPERIOD_OVERRIDE=FQ","FILING_STATUS=MR","Sort=A","Dates=H","DateFormat=P","Fill=—","Direction=H","UseDPDF=Y")</f>
        <v>—</v>
      </c>
      <c r="V51" s="14" t="str">
        <f>_xll.BDH("ALNY US Equity","NET_CHANGE_IN_CASH_5_YEAR_GROWTH","FQ3 2023","FQ3 2023","Currency=USD","Period=FQ","BEST_FPERIOD_OVERRIDE=FQ","FILING_STATUS=MR","Sort=A","Dates=H","DateFormat=P","Fill=—","Direction=H","UseDPDF=Y")</f>
        <v>—</v>
      </c>
      <c r="W51" s="14" t="str">
        <f>_xll.BDH("ALNY US Equity","NET_CHANGE_IN_CASH_5_YEAR_GROWTH","FQ4 2023","FQ4 2023","Currency=USD","Period=FQ","BEST_FPERIOD_OVERRIDE=FQ","FILING_STATUS=MR","Sort=A","Dates=H","DateFormat=P","Fill=—","Direction=H","UseDPDF=Y")</f>
        <v>—</v>
      </c>
      <c r="X51" s="14" t="str">
        <f>_xll.BDH("ALNY US Equity","NET_CHANGE_IN_CASH_5_YEAR_GROWTH","FQ1 2024","FQ1 2024","Currency=USD","Period=FQ","BEST_FPERIOD_OVERRIDE=FQ","FILING_STATUS=MR","Sort=A","Dates=H","DateFormat=P","Fill=—","Direction=H","UseDPDF=Y")</f>
        <v>—</v>
      </c>
      <c r="Y51" s="14">
        <f>_xll.BDH("ALNY US Equity","NET_CHANGE_IN_CASH_5_YEAR_GROWTH","FQ2 2024","FQ2 2024","Currency=USD","Period=FQ","BEST_FPERIOD_OVERRIDE=FQ","FILING_STATUS=MR","Sort=A","Dates=H","DateFormat=P","Fill=—","Direction=H","UseDPDF=Y")</f>
        <v>-7.0052000000000003</v>
      </c>
      <c r="Z51" s="14" t="str">
        <f>_xll.BDH("ALNY US Equity","NET_CHANGE_IN_CASH_5_YEAR_GROWTH","FQ3 2024","FQ3 2024","Currency=USD","Period=FQ","BEST_FPERIOD_OVERRIDE=FQ","FILING_STATUS=MR","Sort=A","Dates=H","DateFormat=P","Fill=—","Direction=H","UseDPDF=Y")</f>
        <v>—</v>
      </c>
      <c r="AA51" s="14" t="str">
        <f>_xll.BDH("ALNY US Equity","NET_CHANGE_IN_CASH_5_YEAR_GROWTH","FQ4 2024","FQ4 2024","Currency=USD","Period=FQ","BEST_FPERIOD_OVERRIDE=FQ","FILING_STATUS=MR","Sort=A","Dates=H","DateFormat=P","Fill=—","Direction=H","UseDPDF=Y")</f>
        <v>—</v>
      </c>
    </row>
    <row r="52" spans="1:27" x14ac:dyDescent="0.25">
      <c r="A52" s="1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6" t="s">
        <v>1421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x14ac:dyDescent="0.25">
      <c r="A54" s="10" t="s">
        <v>0</v>
      </c>
      <c r="B54" s="10" t="s">
        <v>1422</v>
      </c>
      <c r="C54" s="14">
        <f>_xll.BDH("ALNY US Equity","REVENUE_SEQUENTIAL_GROWTH","FQ4 2018","FQ4 2018","Currency=USD","Period=FQ","BEST_FPERIOD_OVERRIDE=FQ","FILING_STATUS=MR","FA_ADJUSTED=GAAP","Sort=A","Dates=H","DateFormat=P","Fill=—","Direction=H","UseDPDF=Y")</f>
        <v>916.57809999999995</v>
      </c>
      <c r="D54" s="14">
        <f>_xll.BDH("ALNY US Equity","REVENUE_SEQUENTIAL_GROWTH","FQ1 2019","FQ1 2019","Currency=USD","Period=FQ","BEST_FPERIOD_OVERRIDE=FQ","FILING_STATUS=MR","FA_ADJUSTED=GAAP","Sort=A","Dates=H","DateFormat=P","Fill=—","Direction=H","UseDPDF=Y")</f>
        <v>58.2941</v>
      </c>
      <c r="E54" s="14">
        <f>_xll.BDH("ALNY US Equity","REVENUE_SEQUENTIAL_GROWTH","FQ2 2019","FQ2 2019","Currency=USD","Period=FQ","BEST_FPERIOD_OVERRIDE=FQ","FILING_STATUS=MR","FA_ADJUSTED=GAAP","Sort=A","Dates=H","DateFormat=P","Fill=—","Direction=H","UseDPDF=Y")</f>
        <v>34.3005</v>
      </c>
      <c r="F54" s="14">
        <f>_xll.BDH("ALNY US Equity","REVENUE_SEQUENTIAL_GROWTH","FQ3 2019","FQ3 2019","Currency=USD","Period=FQ","BEST_FPERIOD_OVERRIDE=FQ","FILING_STATUS=MR","FA_ADJUSTED=GAAP","Sort=A","Dates=H","DateFormat=P","Fill=—","Direction=H","UseDPDF=Y")</f>
        <v>56.686900000000001</v>
      </c>
      <c r="G54" s="14">
        <f>_xll.BDH("ALNY US Equity","REVENUE_SEQUENTIAL_GROWTH","FQ4 2019","FQ4 2019","Currency=USD","Period=FQ","BEST_FPERIOD_OVERRIDE=FQ","FILING_STATUS=MR","FA_ADJUSTED=GAAP","Sort=A","Dates=H","DateFormat=P","Fill=—","Direction=H","UseDPDF=Y")</f>
        <v>2.3123</v>
      </c>
      <c r="H54" s="14">
        <f>_xll.BDH("ALNY US Equity","REVENUE_SEQUENTIAL_GROWTH","FQ1 2020","FQ1 2020","Currency=USD","Period=FQ","BEST_FPERIOD_OVERRIDE=FQ","FILING_STATUS=MR","FA_ADJUSTED=GAAP","Sort=A","Dates=H","DateFormat=P","Fill=—","Direction=H","UseDPDF=Y")</f>
        <v>38.776000000000003</v>
      </c>
      <c r="I54" s="14">
        <f>_xll.BDH("ALNY US Equity","REVENUE_SEQUENTIAL_GROWTH","FQ2 2020","FQ2 2020","Currency=USD","Period=FQ","BEST_FPERIOD_OVERRIDE=FQ","FILING_STATUS=MR","FA_ADJUSTED=GAAP","Sort=A","Dates=H","DateFormat=P","Fill=—","Direction=H","UseDPDF=Y")</f>
        <v>4.5095999999999998</v>
      </c>
      <c r="J54" s="14">
        <f>_xll.BDH("ALNY US Equity","REVENUE_SEQUENTIAL_GROWTH","FQ3 2020","FQ3 2020","Currency=USD","Period=FQ","BEST_FPERIOD_OVERRIDE=FQ","FILING_STATUS=MR","FA_ADJUSTED=GAAP","Sort=A","Dates=H","DateFormat=P","Fill=—","Direction=H","UseDPDF=Y")</f>
        <v>21.056699999999999</v>
      </c>
      <c r="K54" s="14">
        <f>_xll.BDH("ALNY US Equity","REVENUE_SEQUENTIAL_GROWTH","FQ4 2020","FQ4 2020","Currency=USD","Period=FQ","BEST_FPERIOD_OVERRIDE=FQ","FILING_STATUS=MR","FA_ADJUSTED=GAAP","Sort=A","Dates=H","DateFormat=P","Fill=—","Direction=H","UseDPDF=Y")</f>
        <v>29.962700000000002</v>
      </c>
      <c r="L54" s="14">
        <f>_xll.BDH("ALNY US Equity","REVENUE_SEQUENTIAL_GROWTH","FQ1 2021","FQ1 2021","Currency=USD","Period=FQ","BEST_FPERIOD_OVERRIDE=FQ","FILING_STATUS=MR","FA_ADJUSTED=GAAP","Sort=A","Dates=H","DateFormat=P","Fill=—","Direction=H","UseDPDF=Y")</f>
        <v>8.5618999999999996</v>
      </c>
      <c r="M54" s="14">
        <f>_xll.BDH("ALNY US Equity","REVENUE_SEQUENTIAL_GROWTH","FQ2 2021","FQ2 2021","Currency=USD","Period=FQ","BEST_FPERIOD_OVERRIDE=FQ","FILING_STATUS=MR","FA_ADJUSTED=GAAP","Sort=A","Dates=H","DateFormat=P","Fill=—","Direction=H","UseDPDF=Y")</f>
        <v>24.209</v>
      </c>
      <c r="N54" s="14">
        <f>_xll.BDH("ALNY US Equity","REVENUE_SEQUENTIAL_GROWTH","FQ3 2021","FQ3 2021","Currency=USD","Period=FQ","BEST_FPERIOD_OVERRIDE=FQ","FILING_STATUS=MR","FA_ADJUSTED=GAAP","Sort=A","Dates=H","DateFormat=P","Fill=—","Direction=H","UseDPDF=Y")</f>
        <v>-14.9261</v>
      </c>
      <c r="O54" s="14">
        <f>_xll.BDH("ALNY US Equity","REVENUE_SEQUENTIAL_GROWTH","FQ4 2021","FQ4 2021","Currency=USD","Period=FQ","BEST_FPERIOD_OVERRIDE=FQ","FILING_STATUS=MR","FA_ADJUSTED=GAAP","Sort=A","Dates=H","DateFormat=P","Fill=—","Direction=H","UseDPDF=Y")</f>
        <v>37.787599999999998</v>
      </c>
      <c r="P54" s="14">
        <f>_xll.BDH("ALNY US Equity","REVENUE_SEQUENTIAL_GROWTH","FQ1 2022","FQ1 2022","Currency=USD","Period=FQ","BEST_FPERIOD_OVERRIDE=FQ","FILING_STATUS=MR","FA_ADJUSTED=GAAP","Sort=A","Dates=H","DateFormat=P","Fill=—","Direction=H","UseDPDF=Y")</f>
        <v>-17.512499999999999</v>
      </c>
      <c r="Q54" s="14">
        <f>_xll.BDH("ALNY US Equity","REVENUE_SEQUENTIAL_GROWTH","FQ2 2022","FQ2 2022","Currency=USD","Period=FQ","BEST_FPERIOD_OVERRIDE=FQ","FILING_STATUS=MR","FA_ADJUSTED=GAAP","Sort=A","Dates=H","DateFormat=P","Fill=—","Direction=H","UseDPDF=Y")</f>
        <v>5.4202000000000004</v>
      </c>
      <c r="R54" s="14">
        <f>_xll.BDH("ALNY US Equity","REVENUE_SEQUENTIAL_GROWTH","FQ3 2022","FQ3 2022","Currency=USD","Period=FQ","BEST_FPERIOD_OVERRIDE=FQ","FILING_STATUS=MR","FA_ADJUSTED=GAAP","Sort=A","Dates=H","DateFormat=P","Fill=—","Direction=H","UseDPDF=Y")</f>
        <v>17.564399999999999</v>
      </c>
      <c r="S54" s="14">
        <f>_xll.BDH("ALNY US Equity","REVENUE_SEQUENTIAL_GROWTH","FQ4 2022","FQ4 2022","Currency=USD","Period=FQ","BEST_FPERIOD_OVERRIDE=FQ","FILING_STATUS=MR","FA_ADJUSTED=GAAP","Sort=A","Dates=H","DateFormat=P","Fill=—","Direction=H","UseDPDF=Y")</f>
        <v>26.760300000000001</v>
      </c>
      <c r="T54" s="14">
        <f>_xll.BDH("ALNY US Equity","REVENUE_SEQUENTIAL_GROWTH","FQ1 2023","FQ1 2023","Currency=USD","Period=FQ","BEST_FPERIOD_OVERRIDE=FQ","FILING_STATUS=MR","FA_ADJUSTED=GAAP","Sort=A","Dates=H","DateFormat=P","Fill=—","Direction=H","UseDPDF=Y")</f>
        <v>-4.6994999999999996</v>
      </c>
      <c r="U54" s="14">
        <f>_xll.BDH("ALNY US Equity","REVENUE_SEQUENTIAL_GROWTH","FQ2 2023","FQ2 2023","Currency=USD","Period=FQ","BEST_FPERIOD_OVERRIDE=FQ","FILING_STATUS=MR","FA_ADJUSTED=GAAP","Sort=A","Dates=H","DateFormat=P","Fill=—","Direction=H","UseDPDF=Y")</f>
        <v>-0.16789999999999999</v>
      </c>
      <c r="V54" s="14">
        <f>_xll.BDH("ALNY US Equity","REVENUE_SEQUENTIAL_GROWTH","FQ3 2023","FQ3 2023","Currency=USD","Period=FQ","BEST_FPERIOD_OVERRIDE=FQ","FILING_STATUS=MR","FA_ADJUSTED=GAAP","Sort=A","Dates=H","DateFormat=P","Fill=—","Direction=H","UseDPDF=Y")</f>
        <v>135.45740000000001</v>
      </c>
      <c r="W54" s="14">
        <f>_xll.BDH("ALNY US Equity","REVENUE_SEQUENTIAL_GROWTH","FQ4 2023","FQ4 2023","Currency=USD","Period=FQ","BEST_FPERIOD_OVERRIDE=FQ","FILING_STATUS=MR","FA_ADJUSTED=GAAP","Sort=A","Dates=H","DateFormat=P","Fill=—","Direction=H","UseDPDF=Y")</f>
        <v>-41.412300000000002</v>
      </c>
      <c r="X54" s="14">
        <f>_xll.BDH("ALNY US Equity","REVENUE_SEQUENTIAL_GROWTH","FQ1 2024","FQ1 2024","Currency=USD","Period=FQ","BEST_FPERIOD_OVERRIDE=FQ","FILING_STATUS=MR","FA_ADJUSTED=GAAP","Sort=A","Dates=H","DateFormat=P","Fill=—","Direction=H","UseDPDF=Y")</f>
        <v>12.420500000000001</v>
      </c>
      <c r="Y54" s="14">
        <f>_xll.BDH("ALNY US Equity","REVENUE_SEQUENTIAL_GROWTH","FQ2 2024","FQ2 2024","Currency=USD","Period=FQ","BEST_FPERIOD_OVERRIDE=FQ","FILING_STATUS=MR","FA_ADJUSTED=GAAP","Sort=A","Dates=H","DateFormat=P","Fill=—","Direction=H","UseDPDF=Y")</f>
        <v>33.477800000000002</v>
      </c>
      <c r="Z54" s="14">
        <f>_xll.BDH("ALNY US Equity","REVENUE_SEQUENTIAL_GROWTH","FQ3 2024","FQ3 2024","Currency=USD","Period=FQ","BEST_FPERIOD_OVERRIDE=FQ","FILING_STATUS=MR","FA_ADJUSTED=GAAP","Sort=A","Dates=H","DateFormat=P","Fill=—","Direction=H","UseDPDF=Y")</f>
        <v>-24.083100000000002</v>
      </c>
      <c r="AA54" s="14">
        <f>_xll.BDH("ALNY US Equity","REVENUE_SEQUENTIAL_GROWTH","FQ4 2024","FQ4 2024","Currency=USD","Period=FQ","BEST_FPERIOD_OVERRIDE=FQ","FILING_STATUS=MR","FA_ADJUSTED=GAAP","Sort=A","Dates=H","DateFormat=P","Fill=—","Direction=H","UseDPDF=Y")</f>
        <v>18.415600000000001</v>
      </c>
    </row>
    <row r="55" spans="1:27" x14ac:dyDescent="0.25">
      <c r="A55" s="10" t="s">
        <v>78</v>
      </c>
      <c r="B55" s="10" t="s">
        <v>1423</v>
      </c>
      <c r="C55" s="14" t="str">
        <f>_xll.BDH("ALNY US Equity","EBITDA_SEQUENTIAL_GROWTH","FQ4 2018","FQ4 2018","Currency=USD","Period=FQ","BEST_FPERIOD_OVERRIDE=FQ","FILING_STATUS=MR","FA_ADJUSTED=GAAP","Sort=A","Dates=H","DateFormat=P","Fill=—","Direction=H","UseDPDF=Y")</f>
        <v>—</v>
      </c>
      <c r="D55" s="14" t="str">
        <f>_xll.BDH("ALNY US Equity","EBITDA_SEQUENTIAL_GROWTH","FQ1 2019","FQ1 2019","Currency=USD","Period=FQ","BEST_FPERIOD_OVERRIDE=FQ","FILING_STATUS=MR","FA_ADJUSTED=GAAP","Sort=A","Dates=H","DateFormat=P","Fill=—","Direction=H","UseDPDF=Y")</f>
        <v>—</v>
      </c>
      <c r="E55" s="14" t="str">
        <f>_xll.BDH("ALNY US Equity","EBITDA_SEQUENTIAL_GROWTH","FQ2 2019","FQ2 2019","Currency=USD","Period=FQ","BEST_FPERIOD_OVERRIDE=FQ","FILING_STATUS=MR","FA_ADJUSTED=GAAP","Sort=A","Dates=H","DateFormat=P","Fill=—","Direction=H","UseDPDF=Y")</f>
        <v>—</v>
      </c>
      <c r="F55" s="14" t="str">
        <f>_xll.BDH("ALNY US Equity","EBITDA_SEQUENTIAL_GROWTH","FQ3 2019","FQ3 2019","Currency=USD","Period=FQ","BEST_FPERIOD_OVERRIDE=FQ","FILING_STATUS=MR","FA_ADJUSTED=GAAP","Sort=A","Dates=H","DateFormat=P","Fill=—","Direction=H","UseDPDF=Y")</f>
        <v>—</v>
      </c>
      <c r="G55" s="14" t="str">
        <f>_xll.BDH("ALNY US Equity","EBITDA_SEQUENTIAL_GROWTH","FQ4 2019","FQ4 2019","Currency=USD","Period=FQ","BEST_FPERIOD_OVERRIDE=FQ","FILING_STATUS=MR","FA_ADJUSTED=GAAP","Sort=A","Dates=H","DateFormat=P","Fill=—","Direction=H","UseDPDF=Y")</f>
        <v>—</v>
      </c>
      <c r="H55" s="14" t="str">
        <f>_xll.BDH("ALNY US Equity","EBITDA_SEQUENTIAL_GROWTH","FQ1 2020","FQ1 2020","Currency=USD","Period=FQ","BEST_FPERIOD_OVERRIDE=FQ","FILING_STATUS=MR","FA_ADJUSTED=GAAP","Sort=A","Dates=H","DateFormat=P","Fill=—","Direction=H","UseDPDF=Y")</f>
        <v>—</v>
      </c>
      <c r="I55" s="14" t="str">
        <f>_xll.BDH("ALNY US Equity","EBITDA_SEQUENTIAL_GROWTH","FQ2 2020","FQ2 2020","Currency=USD","Period=FQ","BEST_FPERIOD_OVERRIDE=FQ","FILING_STATUS=MR","FA_ADJUSTED=GAAP","Sort=A","Dates=H","DateFormat=P","Fill=—","Direction=H","UseDPDF=Y")</f>
        <v>—</v>
      </c>
      <c r="J55" s="14" t="str">
        <f>_xll.BDH("ALNY US Equity","EBITDA_SEQUENTIAL_GROWTH","FQ3 2020","FQ3 2020","Currency=USD","Period=FQ","BEST_FPERIOD_OVERRIDE=FQ","FILING_STATUS=MR","FA_ADJUSTED=GAAP","Sort=A","Dates=H","DateFormat=P","Fill=—","Direction=H","UseDPDF=Y")</f>
        <v>—</v>
      </c>
      <c r="K55" s="14" t="str">
        <f>_xll.BDH("ALNY US Equity","EBITDA_SEQUENTIAL_GROWTH","FQ4 2020","FQ4 2020","Currency=USD","Period=FQ","BEST_FPERIOD_OVERRIDE=FQ","FILING_STATUS=MR","FA_ADJUSTED=GAAP","Sort=A","Dates=H","DateFormat=P","Fill=—","Direction=H","UseDPDF=Y")</f>
        <v>—</v>
      </c>
      <c r="L55" s="14" t="str">
        <f>_xll.BDH("ALNY US Equity","EBITDA_SEQUENTIAL_GROWTH","FQ1 2021","FQ1 2021","Currency=USD","Period=FQ","BEST_FPERIOD_OVERRIDE=FQ","FILING_STATUS=MR","FA_ADJUSTED=GAAP","Sort=A","Dates=H","DateFormat=P","Fill=—","Direction=H","UseDPDF=Y")</f>
        <v>—</v>
      </c>
      <c r="M55" s="14" t="str">
        <f>_xll.BDH("ALNY US Equity","EBITDA_SEQUENTIAL_GROWTH","FQ2 2021","FQ2 2021","Currency=USD","Period=FQ","BEST_FPERIOD_OVERRIDE=FQ","FILING_STATUS=MR","FA_ADJUSTED=GAAP","Sort=A","Dates=H","DateFormat=P","Fill=—","Direction=H","UseDPDF=Y")</f>
        <v>—</v>
      </c>
      <c r="N55" s="14" t="str">
        <f>_xll.BDH("ALNY US Equity","EBITDA_SEQUENTIAL_GROWTH","FQ3 2021","FQ3 2021","Currency=USD","Period=FQ","BEST_FPERIOD_OVERRIDE=FQ","FILING_STATUS=MR","FA_ADJUSTED=GAAP","Sort=A","Dates=H","DateFormat=P","Fill=—","Direction=H","UseDPDF=Y")</f>
        <v>—</v>
      </c>
      <c r="O55" s="14" t="str">
        <f>_xll.BDH("ALNY US Equity","EBITDA_SEQUENTIAL_GROWTH","FQ4 2021","FQ4 2021","Currency=USD","Period=FQ","BEST_FPERIOD_OVERRIDE=FQ","FILING_STATUS=MR","FA_ADJUSTED=GAAP","Sort=A","Dates=H","DateFormat=P","Fill=—","Direction=H","UseDPDF=Y")</f>
        <v>—</v>
      </c>
      <c r="P55" s="14" t="str">
        <f>_xll.BDH("ALNY US Equity","EBITDA_SEQUENTIAL_GROWTH","FQ1 2022","FQ1 2022","Currency=USD","Period=FQ","BEST_FPERIOD_OVERRIDE=FQ","FILING_STATUS=MR","FA_ADJUSTED=GAAP","Sort=A","Dates=H","DateFormat=P","Fill=—","Direction=H","UseDPDF=Y")</f>
        <v>—</v>
      </c>
      <c r="Q55" s="14" t="str">
        <f>_xll.BDH("ALNY US Equity","EBITDA_SEQUENTIAL_GROWTH","FQ2 2022","FQ2 2022","Currency=USD","Period=FQ","BEST_FPERIOD_OVERRIDE=FQ","FILING_STATUS=MR","FA_ADJUSTED=GAAP","Sort=A","Dates=H","DateFormat=P","Fill=—","Direction=H","UseDPDF=Y")</f>
        <v>—</v>
      </c>
      <c r="R55" s="14" t="str">
        <f>_xll.BDH("ALNY US Equity","EBITDA_SEQUENTIAL_GROWTH","FQ3 2022","FQ3 2022","Currency=USD","Period=FQ","BEST_FPERIOD_OVERRIDE=FQ","FILING_STATUS=MR","FA_ADJUSTED=GAAP","Sort=A","Dates=H","DateFormat=P","Fill=—","Direction=H","UseDPDF=Y")</f>
        <v>—</v>
      </c>
      <c r="S55" s="14" t="str">
        <f>_xll.BDH("ALNY US Equity","EBITDA_SEQUENTIAL_GROWTH","FQ4 2022","FQ4 2022","Currency=USD","Period=FQ","BEST_FPERIOD_OVERRIDE=FQ","FILING_STATUS=MR","FA_ADJUSTED=GAAP","Sort=A","Dates=H","DateFormat=P","Fill=—","Direction=H","UseDPDF=Y")</f>
        <v>—</v>
      </c>
      <c r="T55" s="14" t="str">
        <f>_xll.BDH("ALNY US Equity","EBITDA_SEQUENTIAL_GROWTH","FQ1 2023","FQ1 2023","Currency=USD","Period=FQ","BEST_FPERIOD_OVERRIDE=FQ","FILING_STATUS=MR","FA_ADJUSTED=GAAP","Sort=A","Dates=H","DateFormat=P","Fill=—","Direction=H","UseDPDF=Y")</f>
        <v>—</v>
      </c>
      <c r="U55" s="14" t="str">
        <f>_xll.BDH("ALNY US Equity","EBITDA_SEQUENTIAL_GROWTH","FQ2 2023","FQ2 2023","Currency=USD","Period=FQ","BEST_FPERIOD_OVERRIDE=FQ","FILING_STATUS=MR","FA_ADJUSTED=GAAP","Sort=A","Dates=H","DateFormat=P","Fill=—","Direction=H","UseDPDF=Y")</f>
        <v>—</v>
      </c>
      <c r="V55" s="14" t="str">
        <f>_xll.BDH("ALNY US Equity","EBITDA_SEQUENTIAL_GROWTH","FQ3 2023","FQ3 2023","Currency=USD","Period=FQ","BEST_FPERIOD_OVERRIDE=FQ","FILING_STATUS=MR","FA_ADJUSTED=GAAP","Sort=A","Dates=H","DateFormat=P","Fill=—","Direction=H","UseDPDF=Y")</f>
        <v>—</v>
      </c>
      <c r="W55" s="14">
        <f>_xll.BDH("ALNY US Equity","EBITDA_SEQUENTIAL_GROWTH","FQ4 2023","FQ4 2023","Currency=USD","Period=FQ","BEST_FPERIOD_OVERRIDE=FQ","FILING_STATUS=MR","FA_ADJUSTED=GAAP","Sort=A","Dates=H","DateFormat=P","Fill=—","Direction=H","UseDPDF=Y")</f>
        <v>-138.9349</v>
      </c>
      <c r="X55" s="14" t="str">
        <f>_xll.BDH("ALNY US Equity","EBITDA_SEQUENTIAL_GROWTH","FQ1 2024","FQ1 2024","Currency=USD","Period=FQ","BEST_FPERIOD_OVERRIDE=FQ","FILING_STATUS=MR","FA_ADJUSTED=GAAP","Sort=A","Dates=H","DateFormat=P","Fill=—","Direction=H","UseDPDF=Y")</f>
        <v>—</v>
      </c>
      <c r="Y55" s="14" t="str">
        <f>_xll.BDH("ALNY US Equity","EBITDA_SEQUENTIAL_GROWTH","FQ2 2024","FQ2 2024","Currency=USD","Period=FQ","BEST_FPERIOD_OVERRIDE=FQ","FILING_STATUS=MR","FA_ADJUSTED=GAAP","Sort=A","Dates=H","DateFormat=P","Fill=—","Direction=H","UseDPDF=Y")</f>
        <v>—</v>
      </c>
      <c r="Z55" s="14">
        <f>_xll.BDH("ALNY US Equity","EBITDA_SEQUENTIAL_GROWTH","FQ3 2024","FQ3 2024","Currency=USD","Period=FQ","BEST_FPERIOD_OVERRIDE=FQ","FILING_STATUS=MR","FA_ADJUSTED=GAAP","Sort=A","Dates=H","DateFormat=P","Fill=—","Direction=H","UseDPDF=Y")</f>
        <v>-168.0258</v>
      </c>
      <c r="AA55" s="14" t="str">
        <f>_xll.BDH("ALNY US Equity","EBITDA_SEQUENTIAL_GROWTH","FQ4 2024","FQ4 2024","Currency=USD","Period=FQ","BEST_FPERIOD_OVERRIDE=FQ","FILING_STATUS=MR","FA_ADJUSTED=GAAP","Sort=A","Dates=H","DateFormat=P","Fill=—","Direction=H","UseDPDF=Y")</f>
        <v>—</v>
      </c>
    </row>
    <row r="56" spans="1:27" x14ac:dyDescent="0.25">
      <c r="A56" s="10" t="s">
        <v>98</v>
      </c>
      <c r="B56" s="10" t="s">
        <v>1424</v>
      </c>
      <c r="C56" s="14" t="str">
        <f>_xll.BDH("ALNY US Equity","OPERATING_INCOME_SEQ_GROWTH","FQ4 2018","FQ4 2018","Currency=USD","Period=FQ","BEST_FPERIOD_OVERRIDE=FQ","FILING_STATUS=MR","FA_ADJUSTED=GAAP","Sort=A","Dates=H","DateFormat=P","Fill=—","Direction=H","UseDPDF=Y")</f>
        <v>—</v>
      </c>
      <c r="D56" s="14" t="str">
        <f>_xll.BDH("ALNY US Equity","OPERATING_INCOME_SEQ_GROWTH","FQ1 2019","FQ1 2019","Currency=USD","Period=FQ","BEST_FPERIOD_OVERRIDE=FQ","FILING_STATUS=MR","FA_ADJUSTED=GAAP","Sort=A","Dates=H","DateFormat=P","Fill=—","Direction=H","UseDPDF=Y")</f>
        <v>—</v>
      </c>
      <c r="E56" s="14" t="str">
        <f>_xll.BDH("ALNY US Equity","OPERATING_INCOME_SEQ_GROWTH","FQ2 2019","FQ2 2019","Currency=USD","Period=FQ","BEST_FPERIOD_OVERRIDE=FQ","FILING_STATUS=MR","FA_ADJUSTED=GAAP","Sort=A","Dates=H","DateFormat=P","Fill=—","Direction=H","UseDPDF=Y")</f>
        <v>—</v>
      </c>
      <c r="F56" s="14" t="str">
        <f>_xll.BDH("ALNY US Equity","OPERATING_INCOME_SEQ_GROWTH","FQ3 2019","FQ3 2019","Currency=USD","Period=FQ","BEST_FPERIOD_OVERRIDE=FQ","FILING_STATUS=MR","FA_ADJUSTED=GAAP","Sort=A","Dates=H","DateFormat=P","Fill=—","Direction=H","UseDPDF=Y")</f>
        <v>—</v>
      </c>
      <c r="G56" s="14" t="str">
        <f>_xll.BDH("ALNY US Equity","OPERATING_INCOME_SEQ_GROWTH","FQ4 2019","FQ4 2019","Currency=USD","Period=FQ","BEST_FPERIOD_OVERRIDE=FQ","FILING_STATUS=MR","FA_ADJUSTED=GAAP","Sort=A","Dates=H","DateFormat=P","Fill=—","Direction=H","UseDPDF=Y")</f>
        <v>—</v>
      </c>
      <c r="H56" s="14" t="str">
        <f>_xll.BDH("ALNY US Equity","OPERATING_INCOME_SEQ_GROWTH","FQ1 2020","FQ1 2020","Currency=USD","Period=FQ","BEST_FPERIOD_OVERRIDE=FQ","FILING_STATUS=MR","FA_ADJUSTED=GAAP","Sort=A","Dates=H","DateFormat=P","Fill=—","Direction=H","UseDPDF=Y")</f>
        <v>—</v>
      </c>
      <c r="I56" s="14" t="str">
        <f>_xll.BDH("ALNY US Equity","OPERATING_INCOME_SEQ_GROWTH","FQ2 2020","FQ2 2020","Currency=USD","Period=FQ","BEST_FPERIOD_OVERRIDE=FQ","FILING_STATUS=MR","FA_ADJUSTED=GAAP","Sort=A","Dates=H","DateFormat=P","Fill=—","Direction=H","UseDPDF=Y")</f>
        <v>—</v>
      </c>
      <c r="J56" s="14" t="str">
        <f>_xll.BDH("ALNY US Equity","OPERATING_INCOME_SEQ_GROWTH","FQ3 2020","FQ3 2020","Currency=USD","Period=FQ","BEST_FPERIOD_OVERRIDE=FQ","FILING_STATUS=MR","FA_ADJUSTED=GAAP","Sort=A","Dates=H","DateFormat=P","Fill=—","Direction=H","UseDPDF=Y")</f>
        <v>—</v>
      </c>
      <c r="K56" s="14" t="str">
        <f>_xll.BDH("ALNY US Equity","OPERATING_INCOME_SEQ_GROWTH","FQ4 2020","FQ4 2020","Currency=USD","Period=FQ","BEST_FPERIOD_OVERRIDE=FQ","FILING_STATUS=MR","FA_ADJUSTED=GAAP","Sort=A","Dates=H","DateFormat=P","Fill=—","Direction=H","UseDPDF=Y")</f>
        <v>—</v>
      </c>
      <c r="L56" s="14" t="str">
        <f>_xll.BDH("ALNY US Equity","OPERATING_INCOME_SEQ_GROWTH","FQ1 2021","FQ1 2021","Currency=USD","Period=FQ","BEST_FPERIOD_OVERRIDE=FQ","FILING_STATUS=MR","FA_ADJUSTED=GAAP","Sort=A","Dates=H","DateFormat=P","Fill=—","Direction=H","UseDPDF=Y")</f>
        <v>—</v>
      </c>
      <c r="M56" s="14" t="str">
        <f>_xll.BDH("ALNY US Equity","OPERATING_INCOME_SEQ_GROWTH","FQ2 2021","FQ2 2021","Currency=USD","Period=FQ","BEST_FPERIOD_OVERRIDE=FQ","FILING_STATUS=MR","FA_ADJUSTED=GAAP","Sort=A","Dates=H","DateFormat=P","Fill=—","Direction=H","UseDPDF=Y")</f>
        <v>—</v>
      </c>
      <c r="N56" s="14" t="str">
        <f>_xll.BDH("ALNY US Equity","OPERATING_INCOME_SEQ_GROWTH","FQ3 2021","FQ3 2021","Currency=USD","Period=FQ","BEST_FPERIOD_OVERRIDE=FQ","FILING_STATUS=MR","FA_ADJUSTED=GAAP","Sort=A","Dates=H","DateFormat=P","Fill=—","Direction=H","UseDPDF=Y")</f>
        <v>—</v>
      </c>
      <c r="O56" s="14" t="str">
        <f>_xll.BDH("ALNY US Equity","OPERATING_INCOME_SEQ_GROWTH","FQ4 2021","FQ4 2021","Currency=USD","Period=FQ","BEST_FPERIOD_OVERRIDE=FQ","FILING_STATUS=MR","FA_ADJUSTED=GAAP","Sort=A","Dates=H","DateFormat=P","Fill=—","Direction=H","UseDPDF=Y")</f>
        <v>—</v>
      </c>
      <c r="P56" s="14" t="str">
        <f>_xll.BDH("ALNY US Equity","OPERATING_INCOME_SEQ_GROWTH","FQ1 2022","FQ1 2022","Currency=USD","Period=FQ","BEST_FPERIOD_OVERRIDE=FQ","FILING_STATUS=MR","FA_ADJUSTED=GAAP","Sort=A","Dates=H","DateFormat=P","Fill=—","Direction=H","UseDPDF=Y")</f>
        <v>—</v>
      </c>
      <c r="Q56" s="14" t="str">
        <f>_xll.BDH("ALNY US Equity","OPERATING_INCOME_SEQ_GROWTH","FQ2 2022","FQ2 2022","Currency=USD","Period=FQ","BEST_FPERIOD_OVERRIDE=FQ","FILING_STATUS=MR","FA_ADJUSTED=GAAP","Sort=A","Dates=H","DateFormat=P","Fill=—","Direction=H","UseDPDF=Y")</f>
        <v>—</v>
      </c>
      <c r="R56" s="14" t="str">
        <f>_xll.BDH("ALNY US Equity","OPERATING_INCOME_SEQ_GROWTH","FQ3 2022","FQ3 2022","Currency=USD","Period=FQ","BEST_FPERIOD_OVERRIDE=FQ","FILING_STATUS=MR","FA_ADJUSTED=GAAP","Sort=A","Dates=H","DateFormat=P","Fill=—","Direction=H","UseDPDF=Y")</f>
        <v>—</v>
      </c>
      <c r="S56" s="14" t="str">
        <f>_xll.BDH("ALNY US Equity","OPERATING_INCOME_SEQ_GROWTH","FQ4 2022","FQ4 2022","Currency=USD","Period=FQ","BEST_FPERIOD_OVERRIDE=FQ","FILING_STATUS=MR","FA_ADJUSTED=GAAP","Sort=A","Dates=H","DateFormat=P","Fill=—","Direction=H","UseDPDF=Y")</f>
        <v>—</v>
      </c>
      <c r="T56" s="14" t="str">
        <f>_xll.BDH("ALNY US Equity","OPERATING_INCOME_SEQ_GROWTH","FQ1 2023","FQ1 2023","Currency=USD","Period=FQ","BEST_FPERIOD_OVERRIDE=FQ","FILING_STATUS=MR","FA_ADJUSTED=GAAP","Sort=A","Dates=H","DateFormat=P","Fill=—","Direction=H","UseDPDF=Y")</f>
        <v>—</v>
      </c>
      <c r="U56" s="14" t="str">
        <f>_xll.BDH("ALNY US Equity","OPERATING_INCOME_SEQ_GROWTH","FQ2 2023","FQ2 2023","Currency=USD","Period=FQ","BEST_FPERIOD_OVERRIDE=FQ","FILING_STATUS=MR","FA_ADJUSTED=GAAP","Sort=A","Dates=H","DateFormat=P","Fill=—","Direction=H","UseDPDF=Y")</f>
        <v>—</v>
      </c>
      <c r="V56" s="14" t="str">
        <f>_xll.BDH("ALNY US Equity","OPERATING_INCOME_SEQ_GROWTH","FQ3 2023","FQ3 2023","Currency=USD","Period=FQ","BEST_FPERIOD_OVERRIDE=FQ","FILING_STATUS=MR","FA_ADJUSTED=GAAP","Sort=A","Dates=H","DateFormat=P","Fill=—","Direction=H","UseDPDF=Y")</f>
        <v>—</v>
      </c>
      <c r="W56" s="14">
        <f>_xll.BDH("ALNY US Equity","OPERATING_INCOME_SEQ_GROWTH","FQ4 2023","FQ4 2023","Currency=USD","Period=FQ","BEST_FPERIOD_OVERRIDE=FQ","FILING_STATUS=MR","FA_ADJUSTED=GAAP","Sort=A","Dates=H","DateFormat=P","Fill=—","Direction=H","UseDPDF=Y")</f>
        <v>-154.4282</v>
      </c>
      <c r="X56" s="14" t="str">
        <f>_xll.BDH("ALNY US Equity","OPERATING_INCOME_SEQ_GROWTH","FQ1 2024","FQ1 2024","Currency=USD","Period=FQ","BEST_FPERIOD_OVERRIDE=FQ","FILING_STATUS=MR","FA_ADJUSTED=GAAP","Sort=A","Dates=H","DateFormat=P","Fill=—","Direction=H","UseDPDF=Y")</f>
        <v>—</v>
      </c>
      <c r="Y56" s="14" t="str">
        <f>_xll.BDH("ALNY US Equity","OPERATING_INCOME_SEQ_GROWTH","FQ2 2024","FQ2 2024","Currency=USD","Period=FQ","BEST_FPERIOD_OVERRIDE=FQ","FILING_STATUS=MR","FA_ADJUSTED=GAAP","Sort=A","Dates=H","DateFormat=P","Fill=—","Direction=H","UseDPDF=Y")</f>
        <v>—</v>
      </c>
      <c r="Z56" s="14">
        <f>_xll.BDH("ALNY US Equity","OPERATING_INCOME_SEQ_GROWTH","FQ3 2024","FQ3 2024","Currency=USD","Period=FQ","BEST_FPERIOD_OVERRIDE=FQ","FILING_STATUS=MR","FA_ADJUSTED=GAAP","Sort=A","Dates=H","DateFormat=P","Fill=—","Direction=H","UseDPDF=Y")</f>
        <v>-258.1952</v>
      </c>
      <c r="AA56" s="14" t="str">
        <f>_xll.BDH("ALNY US Equity","OPERATING_INCOME_SEQ_GROWTH","FQ4 2024","FQ4 2024","Currency=USD","Period=FQ","BEST_FPERIOD_OVERRIDE=FQ","FILING_STATUS=MR","FA_ADJUSTED=GAAP","Sort=A","Dates=H","DateFormat=P","Fill=—","Direction=H","UseDPDF=Y")</f>
        <v>—</v>
      </c>
    </row>
    <row r="57" spans="1:27" x14ac:dyDescent="0.25">
      <c r="A57" s="10" t="s">
        <v>100</v>
      </c>
      <c r="B57" s="10" t="s">
        <v>1425</v>
      </c>
      <c r="C57" s="14" t="str">
        <f>_xll.BDH("ALNY US Equity","NET_INCOME_TO_COMMON_SEQ_GROWTH","FQ4 2018","FQ4 2018","Currency=USD","Period=FQ","BEST_FPERIOD_OVERRIDE=FQ","FILING_STATUS=MR","FA_ADJUSTED=GAAP","Sort=A","Dates=H","DateFormat=P","Fill=—","Direction=H","UseDPDF=Y")</f>
        <v>—</v>
      </c>
      <c r="D57" s="14" t="str">
        <f>_xll.BDH("ALNY US Equity","NET_INCOME_TO_COMMON_SEQ_GROWTH","FQ1 2019","FQ1 2019","Currency=USD","Period=FQ","BEST_FPERIOD_OVERRIDE=FQ","FILING_STATUS=MR","FA_ADJUSTED=GAAP","Sort=A","Dates=H","DateFormat=P","Fill=—","Direction=H","UseDPDF=Y")</f>
        <v>—</v>
      </c>
      <c r="E57" s="14" t="str">
        <f>_xll.BDH("ALNY US Equity","NET_INCOME_TO_COMMON_SEQ_GROWTH","FQ2 2019","FQ2 2019","Currency=USD","Period=FQ","BEST_FPERIOD_OVERRIDE=FQ","FILING_STATUS=MR","FA_ADJUSTED=GAAP","Sort=A","Dates=H","DateFormat=P","Fill=—","Direction=H","UseDPDF=Y")</f>
        <v>—</v>
      </c>
      <c r="F57" s="14" t="str">
        <f>_xll.BDH("ALNY US Equity","NET_INCOME_TO_COMMON_SEQ_GROWTH","FQ3 2019","FQ3 2019","Currency=USD","Period=FQ","BEST_FPERIOD_OVERRIDE=FQ","FILING_STATUS=MR","FA_ADJUSTED=GAAP","Sort=A","Dates=H","DateFormat=P","Fill=—","Direction=H","UseDPDF=Y")</f>
        <v>—</v>
      </c>
      <c r="G57" s="14" t="str">
        <f>_xll.BDH("ALNY US Equity","NET_INCOME_TO_COMMON_SEQ_GROWTH","FQ4 2019","FQ4 2019","Currency=USD","Period=FQ","BEST_FPERIOD_OVERRIDE=FQ","FILING_STATUS=MR","FA_ADJUSTED=GAAP","Sort=A","Dates=H","DateFormat=P","Fill=—","Direction=H","UseDPDF=Y")</f>
        <v>—</v>
      </c>
      <c r="H57" s="14" t="str">
        <f>_xll.BDH("ALNY US Equity","NET_INCOME_TO_COMMON_SEQ_GROWTH","FQ1 2020","FQ1 2020","Currency=USD","Period=FQ","BEST_FPERIOD_OVERRIDE=FQ","FILING_STATUS=MR","FA_ADJUSTED=GAAP","Sort=A","Dates=H","DateFormat=P","Fill=—","Direction=H","UseDPDF=Y")</f>
        <v>—</v>
      </c>
      <c r="I57" s="14" t="str">
        <f>_xll.BDH("ALNY US Equity","NET_INCOME_TO_COMMON_SEQ_GROWTH","FQ2 2020","FQ2 2020","Currency=USD","Period=FQ","BEST_FPERIOD_OVERRIDE=FQ","FILING_STATUS=MR","FA_ADJUSTED=GAAP","Sort=A","Dates=H","DateFormat=P","Fill=—","Direction=H","UseDPDF=Y")</f>
        <v>—</v>
      </c>
      <c r="J57" s="14" t="str">
        <f>_xll.BDH("ALNY US Equity","NET_INCOME_TO_COMMON_SEQ_GROWTH","FQ3 2020","FQ3 2020","Currency=USD","Period=FQ","BEST_FPERIOD_OVERRIDE=FQ","FILING_STATUS=MR","FA_ADJUSTED=GAAP","Sort=A","Dates=H","DateFormat=P","Fill=—","Direction=H","UseDPDF=Y")</f>
        <v>—</v>
      </c>
      <c r="K57" s="14" t="str">
        <f>_xll.BDH("ALNY US Equity","NET_INCOME_TO_COMMON_SEQ_GROWTH","FQ4 2020","FQ4 2020","Currency=USD","Period=FQ","BEST_FPERIOD_OVERRIDE=FQ","FILING_STATUS=MR","FA_ADJUSTED=GAAP","Sort=A","Dates=H","DateFormat=P","Fill=—","Direction=H","UseDPDF=Y")</f>
        <v>—</v>
      </c>
      <c r="L57" s="14" t="str">
        <f>_xll.BDH("ALNY US Equity","NET_INCOME_TO_COMMON_SEQ_GROWTH","FQ1 2021","FQ1 2021","Currency=USD","Period=FQ","BEST_FPERIOD_OVERRIDE=FQ","FILING_STATUS=MR","FA_ADJUSTED=GAAP","Sort=A","Dates=H","DateFormat=P","Fill=—","Direction=H","UseDPDF=Y")</f>
        <v>—</v>
      </c>
      <c r="M57" s="14" t="str">
        <f>_xll.BDH("ALNY US Equity","NET_INCOME_TO_COMMON_SEQ_GROWTH","FQ2 2021","FQ2 2021","Currency=USD","Period=FQ","BEST_FPERIOD_OVERRIDE=FQ","FILING_STATUS=MR","FA_ADJUSTED=GAAP","Sort=A","Dates=H","DateFormat=P","Fill=—","Direction=H","UseDPDF=Y")</f>
        <v>—</v>
      </c>
      <c r="N57" s="14" t="str">
        <f>_xll.BDH("ALNY US Equity","NET_INCOME_TO_COMMON_SEQ_GROWTH","FQ3 2021","FQ3 2021","Currency=USD","Period=FQ","BEST_FPERIOD_OVERRIDE=FQ","FILING_STATUS=MR","FA_ADJUSTED=GAAP","Sort=A","Dates=H","DateFormat=P","Fill=—","Direction=H","UseDPDF=Y")</f>
        <v>—</v>
      </c>
      <c r="O57" s="14" t="str">
        <f>_xll.BDH("ALNY US Equity","NET_INCOME_TO_COMMON_SEQ_GROWTH","FQ4 2021","FQ4 2021","Currency=USD","Period=FQ","BEST_FPERIOD_OVERRIDE=FQ","FILING_STATUS=MR","FA_ADJUSTED=GAAP","Sort=A","Dates=H","DateFormat=P","Fill=—","Direction=H","UseDPDF=Y")</f>
        <v>—</v>
      </c>
      <c r="P57" s="14" t="str">
        <f>_xll.BDH("ALNY US Equity","NET_INCOME_TO_COMMON_SEQ_GROWTH","FQ1 2022","FQ1 2022","Currency=USD","Period=FQ","BEST_FPERIOD_OVERRIDE=FQ","FILING_STATUS=MR","FA_ADJUSTED=GAAP","Sort=A","Dates=H","DateFormat=P","Fill=—","Direction=H","UseDPDF=Y")</f>
        <v>—</v>
      </c>
      <c r="Q57" s="14" t="str">
        <f>_xll.BDH("ALNY US Equity","NET_INCOME_TO_COMMON_SEQ_GROWTH","FQ2 2022","FQ2 2022","Currency=USD","Period=FQ","BEST_FPERIOD_OVERRIDE=FQ","FILING_STATUS=MR","FA_ADJUSTED=GAAP","Sort=A","Dates=H","DateFormat=P","Fill=—","Direction=H","UseDPDF=Y")</f>
        <v>—</v>
      </c>
      <c r="R57" s="14" t="str">
        <f>_xll.BDH("ALNY US Equity","NET_INCOME_TO_COMMON_SEQ_GROWTH","FQ3 2022","FQ3 2022","Currency=USD","Period=FQ","BEST_FPERIOD_OVERRIDE=FQ","FILING_STATUS=MR","FA_ADJUSTED=GAAP","Sort=A","Dates=H","DateFormat=P","Fill=—","Direction=H","UseDPDF=Y")</f>
        <v>—</v>
      </c>
      <c r="S57" s="14" t="str">
        <f>_xll.BDH("ALNY US Equity","NET_INCOME_TO_COMMON_SEQ_GROWTH","FQ4 2022","FQ4 2022","Currency=USD","Period=FQ","BEST_FPERIOD_OVERRIDE=FQ","FILING_STATUS=MR","FA_ADJUSTED=GAAP","Sort=A","Dates=H","DateFormat=P","Fill=—","Direction=H","UseDPDF=Y")</f>
        <v>—</v>
      </c>
      <c r="T57" s="14" t="str">
        <f>_xll.BDH("ALNY US Equity","NET_INCOME_TO_COMMON_SEQ_GROWTH","FQ1 2023","FQ1 2023","Currency=USD","Period=FQ","BEST_FPERIOD_OVERRIDE=FQ","FILING_STATUS=MR","FA_ADJUSTED=GAAP","Sort=A","Dates=H","DateFormat=P","Fill=—","Direction=H","UseDPDF=Y")</f>
        <v>—</v>
      </c>
      <c r="U57" s="14" t="str">
        <f>_xll.BDH("ALNY US Equity","NET_INCOME_TO_COMMON_SEQ_GROWTH","FQ2 2023","FQ2 2023","Currency=USD","Period=FQ","BEST_FPERIOD_OVERRIDE=FQ","FILING_STATUS=MR","FA_ADJUSTED=GAAP","Sort=A","Dates=H","DateFormat=P","Fill=—","Direction=H","UseDPDF=Y")</f>
        <v>—</v>
      </c>
      <c r="V57" s="14" t="str">
        <f>_xll.BDH("ALNY US Equity","NET_INCOME_TO_COMMON_SEQ_GROWTH","FQ3 2023","FQ3 2023","Currency=USD","Period=FQ","BEST_FPERIOD_OVERRIDE=FQ","FILING_STATUS=MR","FA_ADJUSTED=GAAP","Sort=A","Dates=H","DateFormat=P","Fill=—","Direction=H","UseDPDF=Y")</f>
        <v>—</v>
      </c>
      <c r="W57" s="14">
        <f>_xll.BDH("ALNY US Equity","NET_INCOME_TO_COMMON_SEQ_GROWTH","FQ4 2023","FQ4 2023","Currency=USD","Period=FQ","BEST_FPERIOD_OVERRIDE=FQ","FILING_STATUS=MR","FA_ADJUSTED=GAAP","Sort=A","Dates=H","DateFormat=P","Fill=—","Direction=H","UseDPDF=Y")</f>
        <v>-193.31110000000001</v>
      </c>
      <c r="X57" s="14" t="str">
        <f>_xll.BDH("ALNY US Equity","NET_INCOME_TO_COMMON_SEQ_GROWTH","FQ1 2024","FQ1 2024","Currency=USD","Period=FQ","BEST_FPERIOD_OVERRIDE=FQ","FILING_STATUS=MR","FA_ADJUSTED=GAAP","Sort=A","Dates=H","DateFormat=P","Fill=—","Direction=H","UseDPDF=Y")</f>
        <v>—</v>
      </c>
      <c r="Y57" s="14" t="str">
        <f>_xll.BDH("ALNY US Equity","NET_INCOME_TO_COMMON_SEQ_GROWTH","FQ2 2024","FQ2 2024","Currency=USD","Period=FQ","BEST_FPERIOD_OVERRIDE=FQ","FILING_STATUS=MR","FA_ADJUSTED=GAAP","Sort=A","Dates=H","DateFormat=P","Fill=—","Direction=H","UseDPDF=Y")</f>
        <v>—</v>
      </c>
      <c r="Z57" s="14" t="str">
        <f>_xll.BDH("ALNY US Equity","NET_INCOME_TO_COMMON_SEQ_GROWTH","FQ3 2024","FQ3 2024","Currency=USD","Period=FQ","BEST_FPERIOD_OVERRIDE=FQ","FILING_STATUS=MR","FA_ADJUSTED=GAAP","Sort=A","Dates=H","DateFormat=P","Fill=—","Direction=H","UseDPDF=Y")</f>
        <v>—</v>
      </c>
      <c r="AA57" s="14" t="str">
        <f>_xll.BDH("ALNY US Equity","NET_INCOME_TO_COMMON_SEQ_GROWTH","FQ4 2024","FQ4 2024","Currency=USD","Period=FQ","BEST_FPERIOD_OVERRIDE=FQ","FILING_STATUS=MR","FA_ADJUSTED=GAAP","Sort=A","Dates=H","DateFormat=P","Fill=—","Direction=H","UseDPDF=Y")</f>
        <v>—</v>
      </c>
    </row>
    <row r="58" spans="1:27" x14ac:dyDescent="0.25">
      <c r="A58" s="10" t="s">
        <v>1371</v>
      </c>
      <c r="B58" s="10" t="s">
        <v>1426</v>
      </c>
      <c r="C58" s="14" t="str">
        <f>_xll.BDH("ALNY US Equity","EPS_DILUTED_SEQUENTIAL_GROWTH","FQ4 2018","FQ4 2018","Currency=USD","Period=FQ","BEST_FPERIOD_OVERRIDE=FQ","FILING_STATUS=MR","FA_ADJUSTED=GAAP","Sort=A","Dates=H","DateFormat=P","Fill=—","Direction=H","UseDPDF=Y")</f>
        <v>—</v>
      </c>
      <c r="D58" s="14" t="str">
        <f>_xll.BDH("ALNY US Equity","EPS_DILUTED_SEQUENTIAL_GROWTH","FQ1 2019","FQ1 2019","Currency=USD","Period=FQ","BEST_FPERIOD_OVERRIDE=FQ","FILING_STATUS=MR","FA_ADJUSTED=GAAP","Sort=A","Dates=H","DateFormat=P","Fill=—","Direction=H","UseDPDF=Y")</f>
        <v>—</v>
      </c>
      <c r="E58" s="14" t="str">
        <f>_xll.BDH("ALNY US Equity","EPS_DILUTED_SEQUENTIAL_GROWTH","FQ2 2019","FQ2 2019","Currency=USD","Period=FQ","BEST_FPERIOD_OVERRIDE=FQ","FILING_STATUS=MR","FA_ADJUSTED=GAAP","Sort=A","Dates=H","DateFormat=P","Fill=—","Direction=H","UseDPDF=Y")</f>
        <v>—</v>
      </c>
      <c r="F58" s="14" t="str">
        <f>_xll.BDH("ALNY US Equity","EPS_DILUTED_SEQUENTIAL_GROWTH","FQ3 2019","FQ3 2019","Currency=USD","Period=FQ","BEST_FPERIOD_OVERRIDE=FQ","FILING_STATUS=MR","FA_ADJUSTED=GAAP","Sort=A","Dates=H","DateFormat=P","Fill=—","Direction=H","UseDPDF=Y")</f>
        <v>—</v>
      </c>
      <c r="G58" s="14" t="str">
        <f>_xll.BDH("ALNY US Equity","EPS_DILUTED_SEQUENTIAL_GROWTH","FQ4 2019","FQ4 2019","Currency=USD","Period=FQ","BEST_FPERIOD_OVERRIDE=FQ","FILING_STATUS=MR","FA_ADJUSTED=GAAP","Sort=A","Dates=H","DateFormat=P","Fill=—","Direction=H","UseDPDF=Y")</f>
        <v>—</v>
      </c>
      <c r="H58" s="14" t="str">
        <f>_xll.BDH("ALNY US Equity","EPS_DILUTED_SEQUENTIAL_GROWTH","FQ1 2020","FQ1 2020","Currency=USD","Period=FQ","BEST_FPERIOD_OVERRIDE=FQ","FILING_STATUS=MR","FA_ADJUSTED=GAAP","Sort=A","Dates=H","DateFormat=P","Fill=—","Direction=H","UseDPDF=Y")</f>
        <v>—</v>
      </c>
      <c r="I58" s="14" t="str">
        <f>_xll.BDH("ALNY US Equity","EPS_DILUTED_SEQUENTIAL_GROWTH","FQ2 2020","FQ2 2020","Currency=USD","Period=FQ","BEST_FPERIOD_OVERRIDE=FQ","FILING_STATUS=MR","FA_ADJUSTED=GAAP","Sort=A","Dates=H","DateFormat=P","Fill=—","Direction=H","UseDPDF=Y")</f>
        <v>—</v>
      </c>
      <c r="J58" s="14" t="str">
        <f>_xll.BDH("ALNY US Equity","EPS_DILUTED_SEQUENTIAL_GROWTH","FQ3 2020","FQ3 2020","Currency=USD","Period=FQ","BEST_FPERIOD_OVERRIDE=FQ","FILING_STATUS=MR","FA_ADJUSTED=GAAP","Sort=A","Dates=H","DateFormat=P","Fill=—","Direction=H","UseDPDF=Y")</f>
        <v>—</v>
      </c>
      <c r="K58" s="14" t="str">
        <f>_xll.BDH("ALNY US Equity","EPS_DILUTED_SEQUENTIAL_GROWTH","FQ4 2020","FQ4 2020","Currency=USD","Period=FQ","BEST_FPERIOD_OVERRIDE=FQ","FILING_STATUS=MR","FA_ADJUSTED=GAAP","Sort=A","Dates=H","DateFormat=P","Fill=—","Direction=H","UseDPDF=Y")</f>
        <v>—</v>
      </c>
      <c r="L58" s="14" t="str">
        <f>_xll.BDH("ALNY US Equity","EPS_DILUTED_SEQUENTIAL_GROWTH","FQ1 2021","FQ1 2021","Currency=USD","Period=FQ","BEST_FPERIOD_OVERRIDE=FQ","FILING_STATUS=MR","FA_ADJUSTED=GAAP","Sort=A","Dates=H","DateFormat=P","Fill=—","Direction=H","UseDPDF=Y")</f>
        <v>—</v>
      </c>
      <c r="M58" s="14" t="str">
        <f>_xll.BDH("ALNY US Equity","EPS_DILUTED_SEQUENTIAL_GROWTH","FQ2 2021","FQ2 2021","Currency=USD","Period=FQ","BEST_FPERIOD_OVERRIDE=FQ","FILING_STATUS=MR","FA_ADJUSTED=GAAP","Sort=A","Dates=H","DateFormat=P","Fill=—","Direction=H","UseDPDF=Y")</f>
        <v>—</v>
      </c>
      <c r="N58" s="14" t="str">
        <f>_xll.BDH("ALNY US Equity","EPS_DILUTED_SEQUENTIAL_GROWTH","FQ3 2021","FQ3 2021","Currency=USD","Period=FQ","BEST_FPERIOD_OVERRIDE=FQ","FILING_STATUS=MR","FA_ADJUSTED=GAAP","Sort=A","Dates=H","DateFormat=P","Fill=—","Direction=H","UseDPDF=Y")</f>
        <v>—</v>
      </c>
      <c r="O58" s="14" t="str">
        <f>_xll.BDH("ALNY US Equity","EPS_DILUTED_SEQUENTIAL_GROWTH","FQ4 2021","FQ4 2021","Currency=USD","Period=FQ","BEST_FPERIOD_OVERRIDE=FQ","FILING_STATUS=MR","FA_ADJUSTED=GAAP","Sort=A","Dates=H","DateFormat=P","Fill=—","Direction=H","UseDPDF=Y")</f>
        <v>—</v>
      </c>
      <c r="P58" s="14" t="str">
        <f>_xll.BDH("ALNY US Equity","EPS_DILUTED_SEQUENTIAL_GROWTH","FQ1 2022","FQ1 2022","Currency=USD","Period=FQ","BEST_FPERIOD_OVERRIDE=FQ","FILING_STATUS=MR","FA_ADJUSTED=GAAP","Sort=A","Dates=H","DateFormat=P","Fill=—","Direction=H","UseDPDF=Y")</f>
        <v>—</v>
      </c>
      <c r="Q58" s="14" t="str">
        <f>_xll.BDH("ALNY US Equity","EPS_DILUTED_SEQUENTIAL_GROWTH","FQ2 2022","FQ2 2022","Currency=USD","Period=FQ","BEST_FPERIOD_OVERRIDE=FQ","FILING_STATUS=MR","FA_ADJUSTED=GAAP","Sort=A","Dates=H","DateFormat=P","Fill=—","Direction=H","UseDPDF=Y")</f>
        <v>—</v>
      </c>
      <c r="R58" s="14" t="str">
        <f>_xll.BDH("ALNY US Equity","EPS_DILUTED_SEQUENTIAL_GROWTH","FQ3 2022","FQ3 2022","Currency=USD","Period=FQ","BEST_FPERIOD_OVERRIDE=FQ","FILING_STATUS=MR","FA_ADJUSTED=GAAP","Sort=A","Dates=H","DateFormat=P","Fill=—","Direction=H","UseDPDF=Y")</f>
        <v>—</v>
      </c>
      <c r="S58" s="14" t="str">
        <f>_xll.BDH("ALNY US Equity","EPS_DILUTED_SEQUENTIAL_GROWTH","FQ4 2022","FQ4 2022","Currency=USD","Period=FQ","BEST_FPERIOD_OVERRIDE=FQ","FILING_STATUS=MR","FA_ADJUSTED=GAAP","Sort=A","Dates=H","DateFormat=P","Fill=—","Direction=H","UseDPDF=Y")</f>
        <v>—</v>
      </c>
      <c r="T58" s="14" t="str">
        <f>_xll.BDH("ALNY US Equity","EPS_DILUTED_SEQUENTIAL_GROWTH","FQ1 2023","FQ1 2023","Currency=USD","Period=FQ","BEST_FPERIOD_OVERRIDE=FQ","FILING_STATUS=MR","FA_ADJUSTED=GAAP","Sort=A","Dates=H","DateFormat=P","Fill=—","Direction=H","UseDPDF=Y")</f>
        <v>—</v>
      </c>
      <c r="U58" s="14" t="str">
        <f>_xll.BDH("ALNY US Equity","EPS_DILUTED_SEQUENTIAL_GROWTH","FQ2 2023","FQ2 2023","Currency=USD","Period=FQ","BEST_FPERIOD_OVERRIDE=FQ","FILING_STATUS=MR","FA_ADJUSTED=GAAP","Sort=A","Dates=H","DateFormat=P","Fill=—","Direction=H","UseDPDF=Y")</f>
        <v>—</v>
      </c>
      <c r="V58" s="14" t="str">
        <f>_xll.BDH("ALNY US Equity","EPS_DILUTED_SEQUENTIAL_GROWTH","FQ3 2023","FQ3 2023","Currency=USD","Period=FQ","BEST_FPERIOD_OVERRIDE=FQ","FILING_STATUS=MR","FA_ADJUSTED=GAAP","Sort=A","Dates=H","DateFormat=P","Fill=—","Direction=H","UseDPDF=Y")</f>
        <v>—</v>
      </c>
      <c r="W58" s="14">
        <f>_xll.BDH("ALNY US Equity","EPS_DILUTED_SEQUENTIAL_GROWTH","FQ4 2023","FQ4 2023","Currency=USD","Period=FQ","BEST_FPERIOD_OVERRIDE=FQ","FILING_STATUS=MR","FA_ADJUSTED=GAAP","Sort=A","Dates=H","DateFormat=P","Fill=—","Direction=H","UseDPDF=Y")</f>
        <v>-195.65219999999999</v>
      </c>
      <c r="X58" s="14" t="str">
        <f>_xll.BDH("ALNY US Equity","EPS_DILUTED_SEQUENTIAL_GROWTH","FQ1 2024","FQ1 2024","Currency=USD","Period=FQ","BEST_FPERIOD_OVERRIDE=FQ","FILING_STATUS=MR","FA_ADJUSTED=GAAP","Sort=A","Dates=H","DateFormat=P","Fill=—","Direction=H","UseDPDF=Y")</f>
        <v>—</v>
      </c>
      <c r="Y58" s="14" t="str">
        <f>_xll.BDH("ALNY US Equity","EPS_DILUTED_SEQUENTIAL_GROWTH","FQ2 2024","FQ2 2024","Currency=USD","Period=FQ","BEST_FPERIOD_OVERRIDE=FQ","FILING_STATUS=MR","FA_ADJUSTED=GAAP","Sort=A","Dates=H","DateFormat=P","Fill=—","Direction=H","UseDPDF=Y")</f>
        <v>—</v>
      </c>
      <c r="Z58" s="14" t="str">
        <f>_xll.BDH("ALNY US Equity","EPS_DILUTED_SEQUENTIAL_GROWTH","FQ3 2024","FQ3 2024","Currency=USD","Period=FQ","BEST_FPERIOD_OVERRIDE=FQ","FILING_STATUS=MR","FA_ADJUSTED=GAAP","Sort=A","Dates=H","DateFormat=P","Fill=—","Direction=H","UseDPDF=Y")</f>
        <v>—</v>
      </c>
      <c r="AA58" s="14" t="str">
        <f>_xll.BDH("ALNY US Equity","EPS_DILUTED_SEQUENTIAL_GROWTH","FQ4 2024","FQ4 2024","Currency=USD","Period=FQ","BEST_FPERIOD_OVERRIDE=FQ","FILING_STATUS=MR","FA_ADJUSTED=GAAP","Sort=A","Dates=H","DateFormat=P","Fill=—","Direction=H","UseDPDF=Y")</f>
        <v>—</v>
      </c>
    </row>
    <row r="59" spans="1:27" x14ac:dyDescent="0.25">
      <c r="A59" s="10" t="s">
        <v>1372</v>
      </c>
      <c r="B59" s="10" t="s">
        <v>1427</v>
      </c>
      <c r="C59" s="14" t="str">
        <f>_xll.BDH("ALNY US Equity","EPS_DIL_BEF_EXTRAORD_SEQ_GRWTH","FQ4 2018","FQ4 2018","Currency=USD","Period=FQ","BEST_FPERIOD_OVERRIDE=FQ","FILING_STATUS=MR","Sort=A","Dates=H","DateFormat=P","Fill=—","Direction=H","UseDPDF=Y")</f>
        <v>—</v>
      </c>
      <c r="D59" s="14" t="str">
        <f>_xll.BDH("ALNY US Equity","EPS_DIL_BEF_EXTRAORD_SEQ_GRWTH","FQ1 2019","FQ1 2019","Currency=USD","Period=FQ","BEST_FPERIOD_OVERRIDE=FQ","FILING_STATUS=MR","Sort=A","Dates=H","DateFormat=P","Fill=—","Direction=H","UseDPDF=Y")</f>
        <v>—</v>
      </c>
      <c r="E59" s="14" t="str">
        <f>_xll.BDH("ALNY US Equity","EPS_DIL_BEF_EXTRAORD_SEQ_GRWTH","FQ2 2019","FQ2 2019","Currency=USD","Period=FQ","BEST_FPERIOD_OVERRIDE=FQ","FILING_STATUS=MR","Sort=A","Dates=H","DateFormat=P","Fill=—","Direction=H","UseDPDF=Y")</f>
        <v>—</v>
      </c>
      <c r="F59" s="14" t="str">
        <f>_xll.BDH("ALNY US Equity","EPS_DIL_BEF_EXTRAORD_SEQ_GRWTH","FQ3 2019","FQ3 2019","Currency=USD","Period=FQ","BEST_FPERIOD_OVERRIDE=FQ","FILING_STATUS=MR","Sort=A","Dates=H","DateFormat=P","Fill=—","Direction=H","UseDPDF=Y")</f>
        <v>—</v>
      </c>
      <c r="G59" s="14" t="str">
        <f>_xll.BDH("ALNY US Equity","EPS_DIL_BEF_EXTRAORD_SEQ_GRWTH","FQ4 2019","FQ4 2019","Currency=USD","Period=FQ","BEST_FPERIOD_OVERRIDE=FQ","FILING_STATUS=MR","Sort=A","Dates=H","DateFormat=P","Fill=—","Direction=H","UseDPDF=Y")</f>
        <v>—</v>
      </c>
      <c r="H59" s="14" t="str">
        <f>_xll.BDH("ALNY US Equity","EPS_DIL_BEF_EXTRAORD_SEQ_GRWTH","FQ1 2020","FQ1 2020","Currency=USD","Period=FQ","BEST_FPERIOD_OVERRIDE=FQ","FILING_STATUS=MR","Sort=A","Dates=H","DateFormat=P","Fill=—","Direction=H","UseDPDF=Y")</f>
        <v>—</v>
      </c>
      <c r="I59" s="14" t="str">
        <f>_xll.BDH("ALNY US Equity","EPS_DIL_BEF_EXTRAORD_SEQ_GRWTH","FQ2 2020","FQ2 2020","Currency=USD","Period=FQ","BEST_FPERIOD_OVERRIDE=FQ","FILING_STATUS=MR","Sort=A","Dates=H","DateFormat=P","Fill=—","Direction=H","UseDPDF=Y")</f>
        <v>—</v>
      </c>
      <c r="J59" s="14" t="str">
        <f>_xll.BDH("ALNY US Equity","EPS_DIL_BEF_EXTRAORD_SEQ_GRWTH","FQ3 2020","FQ3 2020","Currency=USD","Period=FQ","BEST_FPERIOD_OVERRIDE=FQ","FILING_STATUS=MR","Sort=A","Dates=H","DateFormat=P","Fill=—","Direction=H","UseDPDF=Y")</f>
        <v>—</v>
      </c>
      <c r="K59" s="14" t="str">
        <f>_xll.BDH("ALNY US Equity","EPS_DIL_BEF_EXTRAORD_SEQ_GRWTH","FQ4 2020","FQ4 2020","Currency=USD","Period=FQ","BEST_FPERIOD_OVERRIDE=FQ","FILING_STATUS=MR","Sort=A","Dates=H","DateFormat=P","Fill=—","Direction=H","UseDPDF=Y")</f>
        <v>—</v>
      </c>
      <c r="L59" s="14" t="str">
        <f>_xll.BDH("ALNY US Equity","EPS_DIL_BEF_EXTRAORD_SEQ_GRWTH","FQ1 2021","FQ1 2021","Currency=USD","Period=FQ","BEST_FPERIOD_OVERRIDE=FQ","FILING_STATUS=MR","Sort=A","Dates=H","DateFormat=P","Fill=—","Direction=H","UseDPDF=Y")</f>
        <v>—</v>
      </c>
      <c r="M59" s="14" t="str">
        <f>_xll.BDH("ALNY US Equity","EPS_DIL_BEF_EXTRAORD_SEQ_GRWTH","FQ2 2021","FQ2 2021","Currency=USD","Period=FQ","BEST_FPERIOD_OVERRIDE=FQ","FILING_STATUS=MR","Sort=A","Dates=H","DateFormat=P","Fill=—","Direction=H","UseDPDF=Y")</f>
        <v>—</v>
      </c>
      <c r="N59" s="14" t="str">
        <f>_xll.BDH("ALNY US Equity","EPS_DIL_BEF_EXTRAORD_SEQ_GRWTH","FQ3 2021","FQ3 2021","Currency=USD","Period=FQ","BEST_FPERIOD_OVERRIDE=FQ","FILING_STATUS=MR","Sort=A","Dates=H","DateFormat=P","Fill=—","Direction=H","UseDPDF=Y")</f>
        <v>—</v>
      </c>
      <c r="O59" s="14" t="str">
        <f>_xll.BDH("ALNY US Equity","EPS_DIL_BEF_EXTRAORD_SEQ_GRWTH","FQ4 2021","FQ4 2021","Currency=USD","Period=FQ","BEST_FPERIOD_OVERRIDE=FQ","FILING_STATUS=MR","Sort=A","Dates=H","DateFormat=P","Fill=—","Direction=H","UseDPDF=Y")</f>
        <v>—</v>
      </c>
      <c r="P59" s="14" t="str">
        <f>_xll.BDH("ALNY US Equity","EPS_DIL_BEF_EXTRAORD_SEQ_GRWTH","FQ1 2022","FQ1 2022","Currency=USD","Period=FQ","BEST_FPERIOD_OVERRIDE=FQ","FILING_STATUS=MR","Sort=A","Dates=H","DateFormat=P","Fill=—","Direction=H","UseDPDF=Y")</f>
        <v>—</v>
      </c>
      <c r="Q59" s="14" t="str">
        <f>_xll.BDH("ALNY US Equity","EPS_DIL_BEF_EXTRAORD_SEQ_GRWTH","FQ2 2022","FQ2 2022","Currency=USD","Period=FQ","BEST_FPERIOD_OVERRIDE=FQ","FILING_STATUS=MR","Sort=A","Dates=H","DateFormat=P","Fill=—","Direction=H","UseDPDF=Y")</f>
        <v>—</v>
      </c>
      <c r="R59" s="14" t="str">
        <f>_xll.BDH("ALNY US Equity","EPS_DIL_BEF_EXTRAORD_SEQ_GRWTH","FQ3 2022","FQ3 2022","Currency=USD","Period=FQ","BEST_FPERIOD_OVERRIDE=FQ","FILING_STATUS=MR","Sort=A","Dates=H","DateFormat=P","Fill=—","Direction=H","UseDPDF=Y")</f>
        <v>—</v>
      </c>
      <c r="S59" s="14" t="str">
        <f>_xll.BDH("ALNY US Equity","EPS_DIL_BEF_EXTRAORD_SEQ_GRWTH","FQ4 2022","FQ4 2022","Currency=USD","Period=FQ","BEST_FPERIOD_OVERRIDE=FQ","FILING_STATUS=MR","Sort=A","Dates=H","DateFormat=P","Fill=—","Direction=H","UseDPDF=Y")</f>
        <v>—</v>
      </c>
      <c r="T59" s="14" t="str">
        <f>_xll.BDH("ALNY US Equity","EPS_DIL_BEF_EXTRAORD_SEQ_GRWTH","FQ1 2023","FQ1 2023","Currency=USD","Period=FQ","BEST_FPERIOD_OVERRIDE=FQ","FILING_STATUS=MR","Sort=A","Dates=H","DateFormat=P","Fill=—","Direction=H","UseDPDF=Y")</f>
        <v>—</v>
      </c>
      <c r="U59" s="14" t="str">
        <f>_xll.BDH("ALNY US Equity","EPS_DIL_BEF_EXTRAORD_SEQ_GRWTH","FQ2 2023","FQ2 2023","Currency=USD","Period=FQ","BEST_FPERIOD_OVERRIDE=FQ","FILING_STATUS=MR","Sort=A","Dates=H","DateFormat=P","Fill=—","Direction=H","UseDPDF=Y")</f>
        <v>—</v>
      </c>
      <c r="V59" s="14" t="str">
        <f>_xll.BDH("ALNY US Equity","EPS_DIL_BEF_EXTRAORD_SEQ_GRWTH","FQ3 2023","FQ3 2023","Currency=USD","Period=FQ","BEST_FPERIOD_OVERRIDE=FQ","FILING_STATUS=MR","Sort=A","Dates=H","DateFormat=P","Fill=—","Direction=H","UseDPDF=Y")</f>
        <v>—</v>
      </c>
      <c r="W59" s="14">
        <f>_xll.BDH("ALNY US Equity","EPS_DIL_BEF_EXTRAORD_SEQ_GRWTH","FQ4 2023","FQ4 2023","Currency=USD","Period=FQ","BEST_FPERIOD_OVERRIDE=FQ","FILING_STATUS=MR","Sort=A","Dates=H","DateFormat=P","Fill=—","Direction=H","UseDPDF=Y")</f>
        <v>-195.65219999999999</v>
      </c>
      <c r="X59" s="14" t="str">
        <f>_xll.BDH("ALNY US Equity","EPS_DIL_BEF_EXTRAORD_SEQ_GRWTH","FQ1 2024","FQ1 2024","Currency=USD","Period=FQ","BEST_FPERIOD_OVERRIDE=FQ","FILING_STATUS=MR","Sort=A","Dates=H","DateFormat=P","Fill=—","Direction=H","UseDPDF=Y")</f>
        <v>—</v>
      </c>
      <c r="Y59" s="14" t="str">
        <f>_xll.BDH("ALNY US Equity","EPS_DIL_BEF_EXTRAORD_SEQ_GRWTH","FQ2 2024","FQ2 2024","Currency=USD","Period=FQ","BEST_FPERIOD_OVERRIDE=FQ","FILING_STATUS=MR","Sort=A","Dates=H","DateFormat=P","Fill=—","Direction=H","UseDPDF=Y")</f>
        <v>—</v>
      </c>
      <c r="Z59" s="14" t="str">
        <f>_xll.BDH("ALNY US Equity","EPS_DIL_BEF_EXTRAORD_SEQ_GRWTH","FQ3 2024","FQ3 2024","Currency=USD","Period=FQ","BEST_FPERIOD_OVERRIDE=FQ","FILING_STATUS=MR","Sort=A","Dates=H","DateFormat=P","Fill=—","Direction=H","UseDPDF=Y")</f>
        <v>—</v>
      </c>
      <c r="AA59" s="14" t="str">
        <f>_xll.BDH("ALNY US Equity","EPS_DIL_BEF_EXTRAORD_SEQ_GRWTH","FQ4 2024","FQ4 2024","Currency=USD","Period=FQ","BEST_FPERIOD_OVERRIDE=FQ","FILING_STATUS=MR","Sort=A","Dates=H","DateFormat=P","Fill=—","Direction=H","UseDPDF=Y")</f>
        <v>—</v>
      </c>
    </row>
    <row r="60" spans="1:27" x14ac:dyDescent="0.25">
      <c r="A60" s="10" t="s">
        <v>1374</v>
      </c>
      <c r="B60" s="10" t="s">
        <v>1428</v>
      </c>
      <c r="C60" s="14" t="str">
        <f>_xll.BDH("ALNY US Equity","EPS_DILUTED_BEF_ABNRML_SEQ_GRWTH","FQ4 2018","FQ4 2018","Currency=USD","Period=FQ","BEST_FPERIOD_OVERRIDE=FQ","FILING_STATUS=MR","Sort=A","Dates=H","DateFormat=P","Fill=—","Direction=H","UseDPDF=Y")</f>
        <v>—</v>
      </c>
      <c r="D60" s="14" t="str">
        <f>_xll.BDH("ALNY US Equity","EPS_DILUTED_BEF_ABNRML_SEQ_GRWTH","FQ1 2019","FQ1 2019","Currency=USD","Period=FQ","BEST_FPERIOD_OVERRIDE=FQ","FILING_STATUS=MR","Sort=A","Dates=H","DateFormat=P","Fill=—","Direction=H","UseDPDF=Y")</f>
        <v>—</v>
      </c>
      <c r="E60" s="14" t="str">
        <f>_xll.BDH("ALNY US Equity","EPS_DILUTED_BEF_ABNRML_SEQ_GRWTH","FQ2 2019","FQ2 2019","Currency=USD","Period=FQ","BEST_FPERIOD_OVERRIDE=FQ","FILING_STATUS=MR","Sort=A","Dates=H","DateFormat=P","Fill=—","Direction=H","UseDPDF=Y")</f>
        <v>—</v>
      </c>
      <c r="F60" s="14" t="str">
        <f>_xll.BDH("ALNY US Equity","EPS_DILUTED_BEF_ABNRML_SEQ_GRWTH","FQ3 2019","FQ3 2019","Currency=USD","Period=FQ","BEST_FPERIOD_OVERRIDE=FQ","FILING_STATUS=MR","Sort=A","Dates=H","DateFormat=P","Fill=—","Direction=H","UseDPDF=Y")</f>
        <v>—</v>
      </c>
      <c r="G60" s="14" t="str">
        <f>_xll.BDH("ALNY US Equity","EPS_DILUTED_BEF_ABNRML_SEQ_GRWTH","FQ4 2019","FQ4 2019","Currency=USD","Period=FQ","BEST_FPERIOD_OVERRIDE=FQ","FILING_STATUS=MR","Sort=A","Dates=H","DateFormat=P","Fill=—","Direction=H","UseDPDF=Y")</f>
        <v>—</v>
      </c>
      <c r="H60" s="14" t="str">
        <f>_xll.BDH("ALNY US Equity","EPS_DILUTED_BEF_ABNRML_SEQ_GRWTH","FQ1 2020","FQ1 2020","Currency=USD","Period=FQ","BEST_FPERIOD_OVERRIDE=FQ","FILING_STATUS=MR","Sort=A","Dates=H","DateFormat=P","Fill=—","Direction=H","UseDPDF=Y")</f>
        <v>—</v>
      </c>
      <c r="I60" s="14" t="str">
        <f>_xll.BDH("ALNY US Equity","EPS_DILUTED_BEF_ABNRML_SEQ_GRWTH","FQ2 2020","FQ2 2020","Currency=USD","Period=FQ","BEST_FPERIOD_OVERRIDE=FQ","FILING_STATUS=MR","Sort=A","Dates=H","DateFormat=P","Fill=—","Direction=H","UseDPDF=Y")</f>
        <v>—</v>
      </c>
      <c r="J60" s="14" t="str">
        <f>_xll.BDH("ALNY US Equity","EPS_DILUTED_BEF_ABNRML_SEQ_GRWTH","FQ3 2020","FQ3 2020","Currency=USD","Period=FQ","BEST_FPERIOD_OVERRIDE=FQ","FILING_STATUS=MR","Sort=A","Dates=H","DateFormat=P","Fill=—","Direction=H","UseDPDF=Y")</f>
        <v>—</v>
      </c>
      <c r="K60" s="14" t="str">
        <f>_xll.BDH("ALNY US Equity","EPS_DILUTED_BEF_ABNRML_SEQ_GRWTH","FQ4 2020","FQ4 2020","Currency=USD","Period=FQ","BEST_FPERIOD_OVERRIDE=FQ","FILING_STATUS=MR","Sort=A","Dates=H","DateFormat=P","Fill=—","Direction=H","UseDPDF=Y")</f>
        <v>—</v>
      </c>
      <c r="L60" s="14" t="str">
        <f>_xll.BDH("ALNY US Equity","EPS_DILUTED_BEF_ABNRML_SEQ_GRWTH","FQ1 2021","FQ1 2021","Currency=USD","Period=FQ","BEST_FPERIOD_OVERRIDE=FQ","FILING_STATUS=MR","Sort=A","Dates=H","DateFormat=P","Fill=—","Direction=H","UseDPDF=Y")</f>
        <v>—</v>
      </c>
      <c r="M60" s="14" t="str">
        <f>_xll.BDH("ALNY US Equity","EPS_DILUTED_BEF_ABNRML_SEQ_GRWTH","FQ2 2021","FQ2 2021","Currency=USD","Period=FQ","BEST_FPERIOD_OVERRIDE=FQ","FILING_STATUS=MR","Sort=A","Dates=H","DateFormat=P","Fill=—","Direction=H","UseDPDF=Y")</f>
        <v>—</v>
      </c>
      <c r="N60" s="14" t="str">
        <f>_xll.BDH("ALNY US Equity","EPS_DILUTED_BEF_ABNRML_SEQ_GRWTH","FQ3 2021","FQ3 2021","Currency=USD","Period=FQ","BEST_FPERIOD_OVERRIDE=FQ","FILING_STATUS=MR","Sort=A","Dates=H","DateFormat=P","Fill=—","Direction=H","UseDPDF=Y")</f>
        <v>—</v>
      </c>
      <c r="O60" s="14" t="str">
        <f>_xll.BDH("ALNY US Equity","EPS_DILUTED_BEF_ABNRML_SEQ_GRWTH","FQ4 2021","FQ4 2021","Currency=USD","Period=FQ","BEST_FPERIOD_OVERRIDE=FQ","FILING_STATUS=MR","Sort=A","Dates=H","DateFormat=P","Fill=—","Direction=H","UseDPDF=Y")</f>
        <v>—</v>
      </c>
      <c r="P60" s="14" t="str">
        <f>_xll.BDH("ALNY US Equity","EPS_DILUTED_BEF_ABNRML_SEQ_GRWTH","FQ1 2022","FQ1 2022","Currency=USD","Period=FQ","BEST_FPERIOD_OVERRIDE=FQ","FILING_STATUS=MR","Sort=A","Dates=H","DateFormat=P","Fill=—","Direction=H","UseDPDF=Y")</f>
        <v>—</v>
      </c>
      <c r="Q60" s="14" t="str">
        <f>_xll.BDH("ALNY US Equity","EPS_DILUTED_BEF_ABNRML_SEQ_GRWTH","FQ2 2022","FQ2 2022","Currency=USD","Period=FQ","BEST_FPERIOD_OVERRIDE=FQ","FILING_STATUS=MR","Sort=A","Dates=H","DateFormat=P","Fill=—","Direction=H","UseDPDF=Y")</f>
        <v>—</v>
      </c>
      <c r="R60" s="14" t="str">
        <f>_xll.BDH("ALNY US Equity","EPS_DILUTED_BEF_ABNRML_SEQ_GRWTH","FQ3 2022","FQ3 2022","Currency=USD","Period=FQ","BEST_FPERIOD_OVERRIDE=FQ","FILING_STATUS=MR","Sort=A","Dates=H","DateFormat=P","Fill=—","Direction=H","UseDPDF=Y")</f>
        <v>—</v>
      </c>
      <c r="S60" s="14" t="str">
        <f>_xll.BDH("ALNY US Equity","EPS_DILUTED_BEF_ABNRML_SEQ_GRWTH","FQ4 2022","FQ4 2022","Currency=USD","Period=FQ","BEST_FPERIOD_OVERRIDE=FQ","FILING_STATUS=MR","Sort=A","Dates=H","DateFormat=P","Fill=—","Direction=H","UseDPDF=Y")</f>
        <v>—</v>
      </c>
      <c r="T60" s="14" t="str">
        <f>_xll.BDH("ALNY US Equity","EPS_DILUTED_BEF_ABNRML_SEQ_GRWTH","FQ1 2023","FQ1 2023","Currency=USD","Period=FQ","BEST_FPERIOD_OVERRIDE=FQ","FILING_STATUS=MR","Sort=A","Dates=H","DateFormat=P","Fill=—","Direction=H","UseDPDF=Y")</f>
        <v>—</v>
      </c>
      <c r="U60" s="14" t="str">
        <f>_xll.BDH("ALNY US Equity","EPS_DILUTED_BEF_ABNRML_SEQ_GRWTH","FQ2 2023","FQ2 2023","Currency=USD","Period=FQ","BEST_FPERIOD_OVERRIDE=FQ","FILING_STATUS=MR","Sort=A","Dates=H","DateFormat=P","Fill=—","Direction=H","UseDPDF=Y")</f>
        <v>—</v>
      </c>
      <c r="V60" s="14" t="str">
        <f>_xll.BDH("ALNY US Equity","EPS_DILUTED_BEF_ABNRML_SEQ_GRWTH","FQ3 2023","FQ3 2023","Currency=USD","Period=FQ","BEST_FPERIOD_OVERRIDE=FQ","FILING_STATUS=MR","Sort=A","Dates=H","DateFormat=P","Fill=—","Direction=H","UseDPDF=Y")</f>
        <v>—</v>
      </c>
      <c r="W60" s="14">
        <f>_xll.BDH("ALNY US Equity","EPS_DILUTED_BEF_ABNRML_SEQ_GRWTH","FQ4 2023","FQ4 2023","Currency=USD","Period=FQ","BEST_FPERIOD_OVERRIDE=FQ","FILING_STATUS=MR","Sort=A","Dates=H","DateFormat=P","Fill=—","Direction=H","UseDPDF=Y")</f>
        <v>-186.53280000000001</v>
      </c>
      <c r="X60" s="14" t="str">
        <f>_xll.BDH("ALNY US Equity","EPS_DILUTED_BEF_ABNRML_SEQ_GRWTH","FQ1 2024","FQ1 2024","Currency=USD","Period=FQ","BEST_FPERIOD_OVERRIDE=FQ","FILING_STATUS=MR","Sort=A","Dates=H","DateFormat=P","Fill=—","Direction=H","UseDPDF=Y")</f>
        <v>—</v>
      </c>
      <c r="Y60" s="14" t="str">
        <f>_xll.BDH("ALNY US Equity","EPS_DILUTED_BEF_ABNRML_SEQ_GRWTH","FQ2 2024","FQ2 2024","Currency=USD","Period=FQ","BEST_FPERIOD_OVERRIDE=FQ","FILING_STATUS=MR","Sort=A","Dates=H","DateFormat=P","Fill=—","Direction=H","UseDPDF=Y")</f>
        <v>—</v>
      </c>
      <c r="Z60" s="14" t="str">
        <f>_xll.BDH("ALNY US Equity","EPS_DILUTED_BEF_ABNRML_SEQ_GRWTH","FQ3 2024","FQ3 2024","Currency=USD","Period=FQ","BEST_FPERIOD_OVERRIDE=FQ","FILING_STATUS=MR","Sort=A","Dates=H","DateFormat=P","Fill=—","Direction=H","UseDPDF=Y")</f>
        <v>—</v>
      </c>
      <c r="AA60" s="14" t="str">
        <f>_xll.BDH("ALNY US Equity","EPS_DILUTED_BEF_ABNRML_SEQ_GRWTH","FQ4 2024","FQ4 2024","Currency=USD","Period=FQ","BEST_FPERIOD_OVERRIDE=FQ","FILING_STATUS=MR","Sort=A","Dates=H","DateFormat=P","Fill=—","Direction=H","UseDPDF=Y")</f>
        <v>—</v>
      </c>
    </row>
    <row r="61" spans="1:27" x14ac:dyDescent="0.25">
      <c r="A61" s="1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10" t="s">
        <v>1376</v>
      </c>
      <c r="B62" s="10" t="s">
        <v>1429</v>
      </c>
      <c r="C62" s="14">
        <f>_xll.BDH("ALNY US Equity","ACCOUNTS_RECEIVABLE_SEQ_GROWTH","FQ4 2018","FQ4 2018","Currency=USD","Period=FQ","BEST_FPERIOD_OVERRIDE=FQ","FILING_STATUS=MR","Sort=A","Dates=H","DateFormat=P","Fill=—","Direction=H","UseDPDF=Y")</f>
        <v>458.00119999999998</v>
      </c>
      <c r="D62" s="14">
        <f>_xll.BDH("ALNY US Equity","ACCOUNTS_RECEIVABLE_SEQ_GROWTH","FQ1 2019","FQ1 2019","Currency=USD","Period=FQ","BEST_FPERIOD_OVERRIDE=FQ","FILING_STATUS=MR","Sort=A","Dates=H","DateFormat=P","Fill=—","Direction=H","UseDPDF=Y")</f>
        <v>80.175899999999999</v>
      </c>
      <c r="E62" s="14">
        <f>_xll.BDH("ALNY US Equity","ACCOUNTS_RECEIVABLE_SEQ_GROWTH","FQ2 2019","FQ2 2019","Currency=USD","Period=FQ","BEST_FPERIOD_OVERRIDE=FQ","FILING_STATUS=MR","Sort=A","Dates=H","DateFormat=P","Fill=—","Direction=H","UseDPDF=Y")</f>
        <v>-9.0588999999999995</v>
      </c>
      <c r="F62" s="14">
        <f>_xll.BDH("ALNY US Equity","ACCOUNTS_RECEIVABLE_SEQ_GROWTH","FQ3 2019","FQ3 2019","Currency=USD","Period=FQ","BEST_FPERIOD_OVERRIDE=FQ","FILING_STATUS=MR","Sort=A","Dates=H","DateFormat=P","Fill=—","Direction=H","UseDPDF=Y")</f>
        <v>56.508000000000003</v>
      </c>
      <c r="G62" s="14">
        <f>_xll.BDH("ALNY US Equity","ACCOUNTS_RECEIVABLE_SEQ_GROWTH","FQ4 2019","FQ4 2019","Currency=USD","Period=FQ","BEST_FPERIOD_OVERRIDE=FQ","FILING_STATUS=MR","Sort=A","Dates=H","DateFormat=P","Fill=—","Direction=H","UseDPDF=Y")</f>
        <v>-10.5968</v>
      </c>
      <c r="H62" s="14">
        <f>_xll.BDH("ALNY US Equity","ACCOUNTS_RECEIVABLE_SEQ_GROWTH","FQ1 2020","FQ1 2020","Currency=USD","Period=FQ","BEST_FPERIOD_OVERRIDE=FQ","FILING_STATUS=MR","Sort=A","Dates=H","DateFormat=P","Fill=—","Direction=H","UseDPDF=Y")</f>
        <v>75.703900000000004</v>
      </c>
      <c r="I62" s="14">
        <f>_xll.BDH("ALNY US Equity","ACCOUNTS_RECEIVABLE_SEQ_GROWTH","FQ2 2020","FQ2 2020","Currency=USD","Period=FQ","BEST_FPERIOD_OVERRIDE=FQ","FILING_STATUS=MR","Sort=A","Dates=H","DateFormat=P","Fill=—","Direction=H","UseDPDF=Y")</f>
        <v>-8.5442</v>
      </c>
      <c r="J62" s="14">
        <f>_xll.BDH("ALNY US Equity","ACCOUNTS_RECEIVABLE_SEQ_GROWTH","FQ3 2020","FQ3 2020","Currency=USD","Period=FQ","BEST_FPERIOD_OVERRIDE=FQ","FILING_STATUS=MR","Sort=A","Dates=H","DateFormat=P","Fill=—","Direction=H","UseDPDF=Y")</f>
        <v>14.473000000000001</v>
      </c>
      <c r="K62" s="14">
        <f>_xll.BDH("ALNY US Equity","ACCOUNTS_RECEIVABLE_SEQ_GROWTH","FQ4 2020","FQ4 2020","Currency=USD","Period=FQ","BEST_FPERIOD_OVERRIDE=FQ","FILING_STATUS=MR","Sort=A","Dates=H","DateFormat=P","Fill=—","Direction=H","UseDPDF=Y")</f>
        <v>29.4434</v>
      </c>
      <c r="L62" s="14">
        <f>_xll.BDH("ALNY US Equity","ACCOUNTS_RECEIVABLE_SEQ_GROWTH","FQ1 2021","FQ1 2021","Currency=USD","Period=FQ","BEST_FPERIOD_OVERRIDE=FQ","FILING_STATUS=MR","Sort=A","Dates=H","DateFormat=P","Fill=—","Direction=H","UseDPDF=Y")</f>
        <v>8.0195000000000007</v>
      </c>
      <c r="M62" s="14">
        <f>_xll.BDH("ALNY US Equity","ACCOUNTS_RECEIVABLE_SEQ_GROWTH","FQ2 2021","FQ2 2021","Currency=USD","Period=FQ","BEST_FPERIOD_OVERRIDE=FQ","FILING_STATUS=MR","Sort=A","Dates=H","DateFormat=P","Fill=—","Direction=H","UseDPDF=Y")</f>
        <v>32.506799999999998</v>
      </c>
      <c r="N62" s="14">
        <f>_xll.BDH("ALNY US Equity","ACCOUNTS_RECEIVABLE_SEQ_GROWTH","FQ3 2021","FQ3 2021","Currency=USD","Period=FQ","BEST_FPERIOD_OVERRIDE=FQ","FILING_STATUS=MR","Sort=A","Dates=H","DateFormat=P","Fill=—","Direction=H","UseDPDF=Y")</f>
        <v>-3.7677</v>
      </c>
      <c r="O62" s="14">
        <f>_xll.BDH("ALNY US Equity","ACCOUNTS_RECEIVABLE_SEQ_GROWTH","FQ4 2021","FQ4 2021","Currency=USD","Period=FQ","BEST_FPERIOD_OVERRIDE=FQ","FILING_STATUS=MR","Sort=A","Dates=H","DateFormat=P","Fill=—","Direction=H","UseDPDF=Y")</f>
        <v>40.766599999999997</v>
      </c>
      <c r="P62" s="14">
        <f>_xll.BDH("ALNY US Equity","ACCOUNTS_RECEIVABLE_SEQ_GROWTH","FQ1 2022","FQ1 2022","Currency=USD","Period=FQ","BEST_FPERIOD_OVERRIDE=FQ","FILING_STATUS=MR","Sort=A","Dates=H","DateFormat=P","Fill=—","Direction=H","UseDPDF=Y")</f>
        <v>-21.170300000000001</v>
      </c>
      <c r="Q62" s="14">
        <f>_xll.BDH("ALNY US Equity","ACCOUNTS_RECEIVABLE_SEQ_GROWTH","FQ2 2022","FQ2 2022","Currency=USD","Period=FQ","BEST_FPERIOD_OVERRIDE=FQ","FILING_STATUS=MR","Sort=A","Dates=H","DateFormat=P","Fill=—","Direction=H","UseDPDF=Y")</f>
        <v>-9.1112000000000002</v>
      </c>
      <c r="R62" s="14">
        <f>_xll.BDH("ALNY US Equity","ACCOUNTS_RECEIVABLE_SEQ_GROWTH","FQ3 2022","FQ3 2022","Currency=USD","Period=FQ","BEST_FPERIOD_OVERRIDE=FQ","FILING_STATUS=MR","Sort=A","Dates=H","DateFormat=P","Fill=—","Direction=H","UseDPDF=Y")</f>
        <v>29.691199999999998</v>
      </c>
      <c r="S62" s="14">
        <f>_xll.BDH("ALNY US Equity","ACCOUNTS_RECEIVABLE_SEQ_GROWTH","FQ4 2022","FQ4 2022","Currency=USD","Period=FQ","BEST_FPERIOD_OVERRIDE=FQ","FILING_STATUS=MR","Sort=A","Dates=H","DateFormat=P","Fill=—","Direction=H","UseDPDF=Y")</f>
        <v>28.9681</v>
      </c>
      <c r="T62" s="14">
        <f>_xll.BDH("ALNY US Equity","ACCOUNTS_RECEIVABLE_SEQ_GROWTH","FQ1 2023","FQ1 2023","Currency=USD","Period=FQ","BEST_FPERIOD_OVERRIDE=FQ","FILING_STATUS=MR","Sort=A","Dates=H","DateFormat=P","Fill=—","Direction=H","UseDPDF=Y")</f>
        <v>-7.7865000000000002</v>
      </c>
      <c r="U62" s="14">
        <f>_xll.BDH("ALNY US Equity","ACCOUNTS_RECEIVABLE_SEQ_GROWTH","FQ2 2023","FQ2 2023","Currency=USD","Period=FQ","BEST_FPERIOD_OVERRIDE=FQ","FILING_STATUS=MR","Sort=A","Dates=H","DateFormat=P","Fill=—","Direction=H","UseDPDF=Y")</f>
        <v>0.54730000000000001</v>
      </c>
      <c r="V62" s="14">
        <f>_xll.BDH("ALNY US Equity","ACCOUNTS_RECEIVABLE_SEQ_GROWTH","FQ3 2023","FQ3 2023","Currency=USD","Period=FQ","BEST_FPERIOD_OVERRIDE=FQ","FILING_STATUS=MR","Sort=A","Dates=H","DateFormat=P","Fill=—","Direction=H","UseDPDF=Y")</f>
        <v>47.503799999999998</v>
      </c>
      <c r="W62" s="14">
        <f>_xll.BDH("ALNY US Equity","ACCOUNTS_RECEIVABLE_SEQ_GROWTH","FQ4 2023","FQ4 2023","Currency=USD","Period=FQ","BEST_FPERIOD_OVERRIDE=FQ","FILING_STATUS=MR","Sort=A","Dates=H","DateFormat=P","Fill=—","Direction=H","UseDPDF=Y")</f>
        <v>0.71960000000000002</v>
      </c>
      <c r="X62" s="14">
        <f>_xll.BDH("ALNY US Equity","ACCOUNTS_RECEIVABLE_SEQ_GROWTH","FQ1 2024","FQ1 2024","Currency=USD","Period=FQ","BEST_FPERIOD_OVERRIDE=FQ","FILING_STATUS=MR","Sort=A","Dates=H","DateFormat=P","Fill=—","Direction=H","UseDPDF=Y")</f>
        <v>-1.9555</v>
      </c>
      <c r="Y62" s="14">
        <f>_xll.BDH("ALNY US Equity","ACCOUNTS_RECEIVABLE_SEQ_GROWTH","FQ2 2024","FQ2 2024","Currency=USD","Period=FQ","BEST_FPERIOD_OVERRIDE=FQ","FILING_STATUS=MR","Sort=A","Dates=H","DateFormat=P","Fill=—","Direction=H","UseDPDF=Y")</f>
        <v>-3.7016</v>
      </c>
      <c r="Z62" s="14">
        <f>_xll.BDH("ALNY US Equity","ACCOUNTS_RECEIVABLE_SEQ_GROWTH","FQ3 2024","FQ3 2024","Currency=USD","Period=FQ","BEST_FPERIOD_OVERRIDE=FQ","FILING_STATUS=MR","Sort=A","Dates=H","DateFormat=P","Fill=—","Direction=H","UseDPDF=Y")</f>
        <v>14.337199999999999</v>
      </c>
      <c r="AA62" s="14">
        <f>_xll.BDH("ALNY US Equity","ACCOUNTS_RECEIVABLE_SEQ_GROWTH","FQ4 2024","FQ4 2024","Currency=USD","Period=FQ","BEST_FPERIOD_OVERRIDE=FQ","FILING_STATUS=MR","Sort=A","Dates=H","DateFormat=P","Fill=—","Direction=H","UseDPDF=Y")</f>
        <v>14.541700000000001</v>
      </c>
    </row>
    <row r="63" spans="1:27" x14ac:dyDescent="0.25">
      <c r="A63" s="10" t="s">
        <v>1378</v>
      </c>
      <c r="B63" s="10" t="s">
        <v>1430</v>
      </c>
      <c r="C63" s="14">
        <f>_xll.BDH("ALNY US Equity","INVENTORY_SEQUENTIAL_GROWTH","FQ4 2018","FQ4 2018","Currency=USD","Period=FQ","BEST_FPERIOD_OVERRIDE=FQ","FILING_STATUS=MR","Sort=A","Dates=H","DateFormat=P","Fill=—","Direction=H","UseDPDF=Y")</f>
        <v>117.20059999999999</v>
      </c>
      <c r="D63" s="14">
        <f>_xll.BDH("ALNY US Equity","INVENTORY_SEQUENTIAL_GROWTH","FQ1 2019","FQ1 2019","Currency=USD","Period=FQ","BEST_FPERIOD_OVERRIDE=FQ","FILING_STATUS=MR","Sort=A","Dates=H","DateFormat=P","Fill=—","Direction=H","UseDPDF=Y")</f>
        <v>32.960799999999999</v>
      </c>
      <c r="E63" s="14">
        <f>_xll.BDH("ALNY US Equity","INVENTORY_SEQUENTIAL_GROWTH","FQ2 2019","FQ2 2019","Currency=USD","Period=FQ","BEST_FPERIOD_OVERRIDE=FQ","FILING_STATUS=MR","Sort=A","Dates=H","DateFormat=P","Fill=—","Direction=H","UseDPDF=Y")</f>
        <v>26.830400000000001</v>
      </c>
      <c r="F63" s="14">
        <f>_xll.BDH("ALNY US Equity","INVENTORY_SEQUENTIAL_GROWTH","FQ3 2019","FQ3 2019","Currency=USD","Period=FQ","BEST_FPERIOD_OVERRIDE=FQ","FILING_STATUS=MR","Sort=A","Dates=H","DateFormat=P","Fill=—","Direction=H","UseDPDF=Y")</f>
        <v>34.432200000000002</v>
      </c>
      <c r="G63" s="14">
        <f>_xll.BDH("ALNY US Equity","INVENTORY_SEQUENTIAL_GROWTH","FQ4 2019","FQ4 2019","Currency=USD","Period=FQ","BEST_FPERIOD_OVERRIDE=FQ","FILING_STATUS=MR","Sort=A","Dates=H","DateFormat=P","Fill=—","Direction=H","UseDPDF=Y")</f>
        <v>3.2732999999999999</v>
      </c>
      <c r="H63" s="14">
        <f>_xll.BDH("ALNY US Equity","INVENTORY_SEQUENTIAL_GROWTH","FQ1 2020","FQ1 2020","Currency=USD","Period=FQ","BEST_FPERIOD_OVERRIDE=FQ","FILING_STATUS=MR","Sort=A","Dates=H","DateFormat=P","Fill=—","Direction=H","UseDPDF=Y")</f>
        <v>21.210999999999999</v>
      </c>
      <c r="I63" s="14">
        <f>_xll.BDH("ALNY US Equity","INVENTORY_SEQUENTIAL_GROWTH","FQ2 2020","FQ2 2020","Currency=USD","Period=FQ","BEST_FPERIOD_OVERRIDE=FQ","FILING_STATUS=MR","Sort=A","Dates=H","DateFormat=P","Fill=—","Direction=H","UseDPDF=Y")</f>
        <v>13.3499</v>
      </c>
      <c r="J63" s="14">
        <f>_xll.BDH("ALNY US Equity","INVENTORY_SEQUENTIAL_GROWTH","FQ3 2020","FQ3 2020","Currency=USD","Period=FQ","BEST_FPERIOD_OVERRIDE=FQ","FILING_STATUS=MR","Sort=A","Dates=H","DateFormat=P","Fill=—","Direction=H","UseDPDF=Y")</f>
        <v>-13.531700000000001</v>
      </c>
      <c r="K63" s="14">
        <f>_xll.BDH("ALNY US Equity","INVENTORY_SEQUENTIAL_GROWTH","FQ4 2020","FQ4 2020","Currency=USD","Period=FQ","BEST_FPERIOD_OVERRIDE=FQ","FILING_STATUS=MR","Sort=A","Dates=H","DateFormat=P","Fill=—","Direction=H","UseDPDF=Y")</f>
        <v>12.339</v>
      </c>
      <c r="L63" s="14">
        <f>_xll.BDH("ALNY US Equity","INVENTORY_SEQUENTIAL_GROWTH","FQ1 2021","FQ1 2021","Currency=USD","Period=FQ","BEST_FPERIOD_OVERRIDE=FQ","FILING_STATUS=MR","Sort=A","Dates=H","DateFormat=P","Fill=—","Direction=H","UseDPDF=Y")</f>
        <v>-1.6780999999999999</v>
      </c>
      <c r="M63" s="14">
        <f>_xll.BDH("ALNY US Equity","INVENTORY_SEQUENTIAL_GROWTH","FQ2 2021","FQ2 2021","Currency=USD","Period=FQ","BEST_FPERIOD_OVERRIDE=FQ","FILING_STATUS=MR","Sort=A","Dates=H","DateFormat=P","Fill=—","Direction=H","UseDPDF=Y")</f>
        <v>14.0898</v>
      </c>
      <c r="N63" s="14">
        <f>_xll.BDH("ALNY US Equity","INVENTORY_SEQUENTIAL_GROWTH","FQ3 2021","FQ3 2021","Currency=USD","Period=FQ","BEST_FPERIOD_OVERRIDE=FQ","FILING_STATUS=MR","Sort=A","Dates=H","DateFormat=P","Fill=—","Direction=H","UseDPDF=Y")</f>
        <v>16.0518</v>
      </c>
      <c r="O63" s="14">
        <f>_xll.BDH("ALNY US Equity","INVENTORY_SEQUENTIAL_GROWTH","FQ4 2021","FQ4 2021","Currency=USD","Period=FQ","BEST_FPERIOD_OVERRIDE=FQ","FILING_STATUS=MR","Sort=A","Dates=H","DateFormat=P","Fill=—","Direction=H","UseDPDF=Y")</f>
        <v>-11.7836</v>
      </c>
      <c r="P63" s="14">
        <f>_xll.BDH("ALNY US Equity","INVENTORY_SEQUENTIAL_GROWTH","FQ1 2022","FQ1 2022","Currency=USD","Period=FQ","BEST_FPERIOD_OVERRIDE=FQ","FILING_STATUS=MR","Sort=A","Dates=H","DateFormat=P","Fill=—","Direction=H","UseDPDF=Y")</f>
        <v>-9.0861000000000001</v>
      </c>
      <c r="Q63" s="14">
        <f>_xll.BDH("ALNY US Equity","INVENTORY_SEQUENTIAL_GROWTH","FQ2 2022","FQ2 2022","Currency=USD","Period=FQ","BEST_FPERIOD_OVERRIDE=FQ","FILING_STATUS=MR","Sort=A","Dates=H","DateFormat=P","Fill=—","Direction=H","UseDPDF=Y")</f>
        <v>13.322100000000001</v>
      </c>
      <c r="R63" s="14">
        <f>_xll.BDH("ALNY US Equity","INVENTORY_SEQUENTIAL_GROWTH","FQ3 2022","FQ3 2022","Currency=USD","Period=FQ","BEST_FPERIOD_OVERRIDE=FQ","FILING_STATUS=MR","Sort=A","Dates=H","DateFormat=P","Fill=—","Direction=H","UseDPDF=Y")</f>
        <v>29.797899999999998</v>
      </c>
      <c r="S63" s="14">
        <f>_xll.BDH("ALNY US Equity","INVENTORY_SEQUENTIAL_GROWTH","FQ4 2022","FQ4 2022","Currency=USD","Period=FQ","BEST_FPERIOD_OVERRIDE=FQ","FILING_STATUS=MR","Sort=A","Dates=H","DateFormat=P","Fill=—","Direction=H","UseDPDF=Y")</f>
        <v>11.666</v>
      </c>
      <c r="T63" s="14">
        <f>_xll.BDH("ALNY US Equity","INVENTORY_SEQUENTIAL_GROWTH","FQ1 2023","FQ1 2023","Currency=USD","Period=FQ","BEST_FPERIOD_OVERRIDE=FQ","FILING_STATUS=MR","Sort=A","Dates=H","DateFormat=P","Fill=—","Direction=H","UseDPDF=Y")</f>
        <v>2.2618999999999998</v>
      </c>
      <c r="U63" s="14">
        <f>_xll.BDH("ALNY US Equity","INVENTORY_SEQUENTIAL_GROWTH","FQ2 2023","FQ2 2023","Currency=USD","Period=FQ","BEST_FPERIOD_OVERRIDE=FQ","FILING_STATUS=MR","Sort=A","Dates=H","DateFormat=P","Fill=—","Direction=H","UseDPDF=Y")</f>
        <v>-23.8294</v>
      </c>
      <c r="V63" s="14">
        <f>_xll.BDH("ALNY US Equity","INVENTORY_SEQUENTIAL_GROWTH","FQ3 2023","FQ3 2023","Currency=USD","Period=FQ","BEST_FPERIOD_OVERRIDE=FQ","FILING_STATUS=MR","Sort=A","Dates=H","DateFormat=P","Fill=—","Direction=H","UseDPDF=Y")</f>
        <v>-4.6608999999999998</v>
      </c>
      <c r="W63" s="14">
        <f>_xll.BDH("ALNY US Equity","INVENTORY_SEQUENTIAL_GROWTH","FQ4 2023","FQ4 2023","Currency=USD","Period=FQ","BEST_FPERIOD_OVERRIDE=FQ","FILING_STATUS=MR","Sort=A","Dates=H","DateFormat=P","Fill=—","Direction=H","UseDPDF=Y")</f>
        <v>-6.9175000000000004</v>
      </c>
      <c r="X63" s="14">
        <f>_xll.BDH("ALNY US Equity","INVENTORY_SEQUENTIAL_GROWTH","FQ1 2024","FQ1 2024","Currency=USD","Period=FQ","BEST_FPERIOD_OVERRIDE=FQ","FILING_STATUS=MR","Sort=A","Dates=H","DateFormat=P","Fill=—","Direction=H","UseDPDF=Y")</f>
        <v>5.4314999999999998</v>
      </c>
      <c r="Y63" s="14">
        <f>_xll.BDH("ALNY US Equity","INVENTORY_SEQUENTIAL_GROWTH","FQ2 2024","FQ2 2024","Currency=USD","Period=FQ","BEST_FPERIOD_OVERRIDE=FQ","FILING_STATUS=MR","Sort=A","Dates=H","DateFormat=P","Fill=—","Direction=H","UseDPDF=Y")</f>
        <v>-10.6471</v>
      </c>
      <c r="Z63" s="14">
        <f>_xll.BDH("ALNY US Equity","INVENTORY_SEQUENTIAL_GROWTH","FQ3 2024","FQ3 2024","Currency=USD","Period=FQ","BEST_FPERIOD_OVERRIDE=FQ","FILING_STATUS=MR","Sort=A","Dates=H","DateFormat=P","Fill=—","Direction=H","UseDPDF=Y")</f>
        <v>-9.5188000000000006</v>
      </c>
      <c r="AA63" s="14">
        <f>_xll.BDH("ALNY US Equity","INVENTORY_SEQUENTIAL_GROWTH","FQ4 2024","FQ4 2024","Currency=USD","Period=FQ","BEST_FPERIOD_OVERRIDE=FQ","FILING_STATUS=MR","Sort=A","Dates=H","DateFormat=P","Fill=—","Direction=H","UseDPDF=Y")</f>
        <v>3.319</v>
      </c>
    </row>
    <row r="64" spans="1:27" x14ac:dyDescent="0.25">
      <c r="A64" s="10" t="s">
        <v>1380</v>
      </c>
      <c r="B64" s="10" t="s">
        <v>1431</v>
      </c>
      <c r="C64" s="14">
        <f>_xll.BDH("ALNY US Equity","FIXED_ASSETS_SEQUENTIAL_GROWTH","FQ4 2018","FQ4 2018","Currency=USD","Period=FQ","BEST_FPERIOD_OVERRIDE=FQ","FILING_STATUS=MR","Sort=A","Dates=H","DateFormat=P","Fill=—","Direction=H","UseDPDF=Y")</f>
        <v>17.607099999999999</v>
      </c>
      <c r="D64" s="14">
        <f>_xll.BDH("ALNY US Equity","FIXED_ASSETS_SEQUENTIAL_GROWTH","FQ1 2019","FQ1 2019","Currency=USD","Period=FQ","BEST_FPERIOD_OVERRIDE=FQ","FILING_STATUS=MR","Sort=A","Dates=H","DateFormat=P","Fill=—","Direction=H","UseDPDF=Y")</f>
        <v>77.174400000000006</v>
      </c>
      <c r="E64" s="14">
        <f>_xll.BDH("ALNY US Equity","FIXED_ASSETS_SEQUENTIAL_GROWTH","FQ2 2019","FQ2 2019","Currency=USD","Period=FQ","BEST_FPERIOD_OVERRIDE=FQ","FILING_STATUS=MR","Sort=A","Dates=H","DateFormat=P","Fill=—","Direction=H","UseDPDF=Y")</f>
        <v>5.2808999999999999</v>
      </c>
      <c r="F64" s="14">
        <f>_xll.BDH("ALNY US Equity","FIXED_ASSETS_SEQUENTIAL_GROWTH","FQ3 2019","FQ3 2019","Currency=USD","Period=FQ","BEST_FPERIOD_OVERRIDE=FQ","FILING_STATUS=MR","Sort=A","Dates=H","DateFormat=P","Fill=—","Direction=H","UseDPDF=Y")</f>
        <v>3.6404000000000001</v>
      </c>
      <c r="G64" s="14">
        <f>_xll.BDH("ALNY US Equity","FIXED_ASSETS_SEQUENTIAL_GROWTH","FQ4 2019","FQ4 2019","Currency=USD","Period=FQ","BEST_FPERIOD_OVERRIDE=FQ","FILING_STATUS=MR","Sort=A","Dates=H","DateFormat=P","Fill=—","Direction=H","UseDPDF=Y")</f>
        <v>4.2709999999999999</v>
      </c>
      <c r="H64" s="14">
        <f>_xll.BDH("ALNY US Equity","FIXED_ASSETS_SEQUENTIAL_GROWTH","FQ1 2020","FQ1 2020","Currency=USD","Period=FQ","BEST_FPERIOD_OVERRIDE=FQ","FILING_STATUS=MR","Sort=A","Dates=H","DateFormat=P","Fill=—","Direction=H","UseDPDF=Y")</f>
        <v>0.72989999999999999</v>
      </c>
      <c r="I64" s="14">
        <f>_xll.BDH("ALNY US Equity","FIXED_ASSETS_SEQUENTIAL_GROWTH","FQ2 2020","FQ2 2020","Currency=USD","Period=FQ","BEST_FPERIOD_OVERRIDE=FQ","FILING_STATUS=MR","Sort=A","Dates=H","DateFormat=P","Fill=—","Direction=H","UseDPDF=Y")</f>
        <v>2.7193999999999998</v>
      </c>
      <c r="J64" s="14">
        <f>_xll.BDH("ALNY US Equity","FIXED_ASSETS_SEQUENTIAL_GROWTH","FQ3 2020","FQ3 2020","Currency=USD","Period=FQ","BEST_FPERIOD_OVERRIDE=FQ","FILING_STATUS=MR","Sort=A","Dates=H","DateFormat=P","Fill=—","Direction=H","UseDPDF=Y")</f>
        <v>3.1585000000000001</v>
      </c>
      <c r="K64" s="14">
        <f>_xll.BDH("ALNY US Equity","FIXED_ASSETS_SEQUENTIAL_GROWTH","FQ4 2020","FQ4 2020","Currency=USD","Period=FQ","BEST_FPERIOD_OVERRIDE=FQ","FILING_STATUS=MR","Sort=A","Dates=H","DateFormat=P","Fill=—","Direction=H","UseDPDF=Y")</f>
        <v>2.4045999999999998</v>
      </c>
      <c r="L64" s="14">
        <f>_xll.BDH("ALNY US Equity","FIXED_ASSETS_SEQUENTIAL_GROWTH","FQ1 2021","FQ1 2021","Currency=USD","Period=FQ","BEST_FPERIOD_OVERRIDE=FQ","FILING_STATUS=MR","Sort=A","Dates=H","DateFormat=P","Fill=—","Direction=H","UseDPDF=Y")</f>
        <v>-0.66930000000000001</v>
      </c>
      <c r="M64" s="14">
        <f>_xll.BDH("ALNY US Equity","FIXED_ASSETS_SEQUENTIAL_GROWTH","FQ2 2021","FQ2 2021","Currency=USD","Period=FQ","BEST_FPERIOD_OVERRIDE=FQ","FILING_STATUS=MR","Sort=A","Dates=H","DateFormat=P","Fill=—","Direction=H","UseDPDF=Y")</f>
        <v>0.998</v>
      </c>
      <c r="N64" s="14">
        <f>_xll.BDH("ALNY US Equity","FIXED_ASSETS_SEQUENTIAL_GROWTH","FQ3 2021","FQ3 2021","Currency=USD","Period=FQ","BEST_FPERIOD_OVERRIDE=FQ","FILING_STATUS=MR","Sort=A","Dates=H","DateFormat=P","Fill=—","Direction=H","UseDPDF=Y")</f>
        <v>1.6937</v>
      </c>
      <c r="O64" s="14">
        <f>_xll.BDH("ALNY US Equity","FIXED_ASSETS_SEQUENTIAL_GROWTH","FQ4 2021","FQ4 2021","Currency=USD","Period=FQ","BEST_FPERIOD_OVERRIDE=FQ","FILING_STATUS=MR","Sort=A","Dates=H","DateFormat=P","Fill=—","Direction=H","UseDPDF=Y")</f>
        <v>1.7811999999999999</v>
      </c>
      <c r="P64" s="14">
        <f>_xll.BDH("ALNY US Equity","FIXED_ASSETS_SEQUENTIAL_GROWTH","FQ1 2022","FQ1 2022","Currency=USD","Period=FQ","BEST_FPERIOD_OVERRIDE=FQ","FILING_STATUS=MR","Sort=A","Dates=H","DateFormat=P","Fill=—","Direction=H","UseDPDF=Y")</f>
        <v>-6.4699999999999994E-2</v>
      </c>
      <c r="Q64" s="14">
        <f>_xll.BDH("ALNY US Equity","FIXED_ASSETS_SEQUENTIAL_GROWTH","FQ2 2022","FQ2 2022","Currency=USD","Period=FQ","BEST_FPERIOD_OVERRIDE=FQ","FILING_STATUS=MR","Sort=A","Dates=H","DateFormat=P","Fill=—","Direction=H","UseDPDF=Y")</f>
        <v>-0.14130000000000001</v>
      </c>
      <c r="R64" s="14">
        <f>_xll.BDH("ALNY US Equity","FIXED_ASSETS_SEQUENTIAL_GROWTH","FQ3 2022","FQ3 2022","Currency=USD","Period=FQ","BEST_FPERIOD_OVERRIDE=FQ","FILING_STATUS=MR","Sort=A","Dates=H","DateFormat=P","Fill=—","Direction=H","UseDPDF=Y")</f>
        <v>0.20499999999999999</v>
      </c>
      <c r="S64" s="14">
        <f>_xll.BDH("ALNY US Equity","FIXED_ASSETS_SEQUENTIAL_GROWTH","FQ4 2022","FQ4 2022","Currency=USD","Period=FQ","BEST_FPERIOD_OVERRIDE=FQ","FILING_STATUS=MR","Sort=A","Dates=H","DateFormat=P","Fill=—","Direction=H","UseDPDF=Y")</f>
        <v>0.6825</v>
      </c>
      <c r="T64" s="14">
        <f>_xll.BDH("ALNY US Equity","FIXED_ASSETS_SEQUENTIAL_GROWTH","FQ1 2023","FQ1 2023","Currency=USD","Period=FQ","BEST_FPERIOD_OVERRIDE=FQ","FILING_STATUS=MR","Sort=A","Dates=H","DateFormat=P","Fill=—","Direction=H","UseDPDF=Y")</f>
        <v>-7.4300000000000005E-2</v>
      </c>
      <c r="U64" s="14">
        <f>_xll.BDH("ALNY US Equity","FIXED_ASSETS_SEQUENTIAL_GROWTH","FQ2 2023","FQ2 2023","Currency=USD","Period=FQ","BEST_FPERIOD_OVERRIDE=FQ","FILING_STATUS=MR","Sort=A","Dates=H","DateFormat=P","Fill=—","Direction=H","UseDPDF=Y")</f>
        <v>-0.2447</v>
      </c>
      <c r="V64" s="14">
        <f>_xll.BDH("ALNY US Equity","FIXED_ASSETS_SEQUENTIAL_GROWTH","FQ3 2023","FQ3 2023","Currency=USD","Period=FQ","BEST_FPERIOD_OVERRIDE=FQ","FILING_STATUS=MR","Sort=A","Dates=H","DateFormat=P","Fill=—","Direction=H","UseDPDF=Y")</f>
        <v>-0.9778</v>
      </c>
      <c r="W64" s="14">
        <f>_xll.BDH("ALNY US Equity","FIXED_ASSETS_SEQUENTIAL_GROWTH","FQ4 2023","FQ4 2023","Currency=USD","Period=FQ","BEST_FPERIOD_OVERRIDE=FQ","FILING_STATUS=MR","Sort=A","Dates=H","DateFormat=P","Fill=—","Direction=H","UseDPDF=Y")</f>
        <v>-0.45079999999999998</v>
      </c>
      <c r="X64" s="14">
        <f>_xll.BDH("ALNY US Equity","FIXED_ASSETS_SEQUENTIAL_GROWTH","FQ1 2024","FQ1 2024","Currency=USD","Period=FQ","BEST_FPERIOD_OVERRIDE=FQ","FILING_STATUS=MR","Sort=A","Dates=H","DateFormat=P","Fill=—","Direction=H","UseDPDF=Y")</f>
        <v>-0.94530000000000003</v>
      </c>
      <c r="Y64" s="14">
        <f>_xll.BDH("ALNY US Equity","FIXED_ASSETS_SEQUENTIAL_GROWTH","FQ2 2024","FQ2 2024","Currency=USD","Period=FQ","BEST_FPERIOD_OVERRIDE=FQ","FILING_STATUS=MR","Sort=A","Dates=H","DateFormat=P","Fill=—","Direction=H","UseDPDF=Y")</f>
        <v>-0.48209999999999997</v>
      </c>
      <c r="Z64" s="14">
        <f>_xll.BDH("ALNY US Equity","FIXED_ASSETS_SEQUENTIAL_GROWTH","FQ3 2024","FQ3 2024","Currency=USD","Period=FQ","BEST_FPERIOD_OVERRIDE=FQ","FILING_STATUS=MR","Sort=A","Dates=H","DateFormat=P","Fill=—","Direction=H","UseDPDF=Y")</f>
        <v>-1.6852</v>
      </c>
      <c r="AA64" s="14">
        <f>_xll.BDH("ALNY US Equity","FIXED_ASSETS_SEQUENTIAL_GROWTH","FQ4 2024","FQ4 2024","Currency=USD","Period=FQ","BEST_FPERIOD_OVERRIDE=FQ","FILING_STATUS=MR","Sort=A","Dates=H","DateFormat=P","Fill=—","Direction=H","UseDPDF=Y")</f>
        <v>-1.3467</v>
      </c>
    </row>
    <row r="65" spans="1:27" x14ac:dyDescent="0.25">
      <c r="A65" s="10" t="s">
        <v>112</v>
      </c>
      <c r="B65" s="10" t="s">
        <v>1432</v>
      </c>
      <c r="C65" s="14">
        <f>_xll.BDH("ALNY US Equity","TOTAL_ASSETS_SEQUENTIAL_GROWTH","FQ4 2018","FQ4 2018","Currency=USD","Period=FQ","BEST_FPERIOD_OVERRIDE=FQ","FILING_STATUS=MR","Sort=A","Dates=H","DateFormat=P","Fill=—","Direction=H","UseDPDF=Y")</f>
        <v>-6.0186999999999999</v>
      </c>
      <c r="D65" s="14">
        <f>_xll.BDH("ALNY US Equity","TOTAL_ASSETS_SEQUENTIAL_GROWTH","FQ1 2019","FQ1 2019","Currency=USD","Period=FQ","BEST_FPERIOD_OVERRIDE=FQ","FILING_STATUS=MR","Sort=A","Dates=H","DateFormat=P","Fill=—","Direction=H","UseDPDF=Y")</f>
        <v>27.888999999999999</v>
      </c>
      <c r="E65" s="14">
        <f>_xll.BDH("ALNY US Equity","TOTAL_ASSETS_SEQUENTIAL_GROWTH","FQ2 2019","FQ2 2019","Currency=USD","Period=FQ","BEST_FPERIOD_OVERRIDE=FQ","FILING_STATUS=MR","Sort=A","Dates=H","DateFormat=P","Fill=—","Direction=H","UseDPDF=Y")</f>
        <v>34.8765</v>
      </c>
      <c r="F65" s="14">
        <f>_xll.BDH("ALNY US Equity","TOTAL_ASSETS_SEQUENTIAL_GROWTH","FQ3 2019","FQ3 2019","Currency=USD","Period=FQ","BEST_FPERIOD_OVERRIDE=FQ","FILING_STATUS=MR","Sort=A","Dates=H","DateFormat=P","Fill=—","Direction=H","UseDPDF=Y")</f>
        <v>-6.4345999999999997</v>
      </c>
      <c r="G65" s="14">
        <f>_xll.BDH("ALNY US Equity","TOTAL_ASSETS_SEQUENTIAL_GROWTH","FQ4 2019","FQ4 2019","Currency=USD","Period=FQ","BEST_FPERIOD_OVERRIDE=FQ","FILING_STATUS=MR","Sort=A","Dates=H","DateFormat=P","Fill=—","Direction=H","UseDPDF=Y")</f>
        <v>-5.7636000000000003</v>
      </c>
      <c r="H65" s="14">
        <f>_xll.BDH("ALNY US Equity","TOTAL_ASSETS_SEQUENTIAL_GROWTH","FQ1 2020","FQ1 2020","Currency=USD","Period=FQ","BEST_FPERIOD_OVERRIDE=FQ","FILING_STATUS=MR","Sort=A","Dates=H","DateFormat=P","Fill=—","Direction=H","UseDPDF=Y")</f>
        <v>-4.8227000000000002</v>
      </c>
      <c r="I65" s="14">
        <f>_xll.BDH("ALNY US Equity","TOTAL_ASSETS_SEQUENTIAL_GROWTH","FQ2 2020","FQ2 2020","Currency=USD","Period=FQ","BEST_FPERIOD_OVERRIDE=FQ","FILING_STATUS=MR","Sort=A","Dates=H","DateFormat=P","Fill=—","Direction=H","UseDPDF=Y")</f>
        <v>48.023000000000003</v>
      </c>
      <c r="J65" s="14">
        <f>_xll.BDH("ALNY US Equity","TOTAL_ASSETS_SEQUENTIAL_GROWTH","FQ3 2020","FQ3 2020","Currency=USD","Period=FQ","BEST_FPERIOD_OVERRIDE=FQ","FILING_STATUS=MR","Sort=A","Dates=H","DateFormat=P","Fill=—","Direction=H","UseDPDF=Y")</f>
        <v>-1.988</v>
      </c>
      <c r="K65" s="14">
        <f>_xll.BDH("ALNY US Equity","TOTAL_ASSETS_SEQUENTIAL_GROWTH","FQ4 2020","FQ4 2020","Currency=USD","Period=FQ","BEST_FPERIOD_OVERRIDE=FQ","FILING_STATUS=MR","Sort=A","Dates=H","DateFormat=P","Fill=—","Direction=H","UseDPDF=Y")</f>
        <v>3.0169000000000001</v>
      </c>
      <c r="L65" s="14">
        <f>_xll.BDH("ALNY US Equity","TOTAL_ASSETS_SEQUENTIAL_GROWTH","FQ1 2021","FQ1 2021","Currency=USD","Period=FQ","BEST_FPERIOD_OVERRIDE=FQ","FILING_STATUS=MR","Sort=A","Dates=H","DateFormat=P","Fill=—","Direction=H","UseDPDF=Y")</f>
        <v>-4.4551999999999996</v>
      </c>
      <c r="M65" s="14">
        <f>_xll.BDH("ALNY US Equity","TOTAL_ASSETS_SEQUENTIAL_GROWTH","FQ2 2021","FQ2 2021","Currency=USD","Period=FQ","BEST_FPERIOD_OVERRIDE=FQ","FILING_STATUS=MR","Sort=A","Dates=H","DateFormat=P","Fill=—","Direction=H","UseDPDF=Y")</f>
        <v>7.8075999999999999</v>
      </c>
      <c r="N65" s="14">
        <f>_xll.BDH("ALNY US Equity","TOTAL_ASSETS_SEQUENTIAL_GROWTH","FQ3 2021","FQ3 2021","Currency=USD","Period=FQ","BEST_FPERIOD_OVERRIDE=FQ","FILING_STATUS=MR","Sort=A","Dates=H","DateFormat=P","Fill=—","Direction=H","UseDPDF=Y")</f>
        <v>-1.0576000000000001</v>
      </c>
      <c r="O65" s="14">
        <f>_xll.BDH("ALNY US Equity","TOTAL_ASSETS_SEQUENTIAL_GROWTH","FQ4 2021","FQ4 2021","Currency=USD","Period=FQ","BEST_FPERIOD_OVERRIDE=FQ","FILING_STATUS=MR","Sort=A","Dates=H","DateFormat=P","Fill=—","Direction=H","UseDPDF=Y")</f>
        <v>4.9244000000000003</v>
      </c>
      <c r="P65" s="14">
        <f>_xll.BDH("ALNY US Equity","TOTAL_ASSETS_SEQUENTIAL_GROWTH","FQ1 2022","FQ1 2022","Currency=USD","Period=FQ","BEST_FPERIOD_OVERRIDE=FQ","FILING_STATUS=MR","Sort=A","Dates=H","DateFormat=P","Fill=—","Direction=H","UseDPDF=Y")</f>
        <v>-5.7573999999999996</v>
      </c>
      <c r="Q65" s="14">
        <f>_xll.BDH("ALNY US Equity","TOTAL_ASSETS_SEQUENTIAL_GROWTH","FQ2 2022","FQ2 2022","Currency=USD","Period=FQ","BEST_FPERIOD_OVERRIDE=FQ","FILING_STATUS=MR","Sort=A","Dates=H","DateFormat=P","Fill=—","Direction=H","UseDPDF=Y")</f>
        <v>-3.0034999999999998</v>
      </c>
      <c r="R65" s="14">
        <f>_xll.BDH("ALNY US Equity","TOTAL_ASSETS_SEQUENTIAL_GROWTH","FQ3 2022","FQ3 2022","Currency=USD","Period=FQ","BEST_FPERIOD_OVERRIDE=FQ","FILING_STATUS=MR","Sort=A","Dates=H","DateFormat=P","Fill=—","Direction=H","UseDPDF=Y")</f>
        <v>6.1505000000000001</v>
      </c>
      <c r="S65" s="14">
        <f>_xll.BDH("ALNY US Equity","TOTAL_ASSETS_SEQUENTIAL_GROWTH","FQ4 2022","FQ4 2022","Currency=USD","Period=FQ","BEST_FPERIOD_OVERRIDE=FQ","FILING_STATUS=MR","Sort=A","Dates=H","DateFormat=P","Fill=—","Direction=H","UseDPDF=Y")</f>
        <v>0.31409999999999999</v>
      </c>
      <c r="T65" s="14">
        <f>_xll.BDH("ALNY US Equity","TOTAL_ASSETS_SEQUENTIAL_GROWTH","FQ1 2023","FQ1 2023","Currency=USD","Period=FQ","BEST_FPERIOD_OVERRIDE=FQ","FILING_STATUS=MR","Sort=A","Dates=H","DateFormat=P","Fill=—","Direction=H","UseDPDF=Y")</f>
        <v>-4.3543000000000003</v>
      </c>
      <c r="U65" s="14">
        <f>_xll.BDH("ALNY US Equity","TOTAL_ASSETS_SEQUENTIAL_GROWTH","FQ2 2023","FQ2 2023","Currency=USD","Period=FQ","BEST_FPERIOD_OVERRIDE=FQ","FILING_STATUS=MR","Sort=A","Dates=H","DateFormat=P","Fill=—","Direction=H","UseDPDF=Y")</f>
        <v>0.30830000000000002</v>
      </c>
      <c r="V65" s="14">
        <f>_xll.BDH("ALNY US Equity","TOTAL_ASSETS_SEQUENTIAL_GROWTH","FQ3 2023","FQ3 2023","Currency=USD","Period=FQ","BEST_FPERIOD_OVERRIDE=FQ","FILING_STATUS=MR","Sort=A","Dates=H","DateFormat=P","Fill=—","Direction=H","UseDPDF=Y")</f>
        <v>12.8344</v>
      </c>
      <c r="W65" s="14">
        <f>_xll.BDH("ALNY US Equity","TOTAL_ASSETS_SEQUENTIAL_GROWTH","FQ4 2023","FQ4 2023","Currency=USD","Period=FQ","BEST_FPERIOD_OVERRIDE=FQ","FILING_STATUS=MR","Sort=A","Dates=H","DateFormat=P","Fill=—","Direction=H","UseDPDF=Y")</f>
        <v>-0.23949999999999999</v>
      </c>
      <c r="X65" s="14">
        <f>_xll.BDH("ALNY US Equity","TOTAL_ASSETS_SEQUENTIAL_GROWTH","FQ1 2024","FQ1 2024","Currency=USD","Period=FQ","BEST_FPERIOD_OVERRIDE=FQ","FILING_STATUS=MR","Sort=A","Dates=H","DateFormat=P","Fill=—","Direction=H","UseDPDF=Y")</f>
        <v>-0.14349999999999999</v>
      </c>
      <c r="Y65" s="14">
        <f>_xll.BDH("ALNY US Equity","TOTAL_ASSETS_SEQUENTIAL_GROWTH","FQ2 2024","FQ2 2024","Currency=USD","Period=FQ","BEST_FPERIOD_OVERRIDE=FQ","FILING_STATUS=MR","Sort=A","Dates=H","DateFormat=P","Fill=—","Direction=H","UseDPDF=Y")</f>
        <v>4.8438999999999997</v>
      </c>
      <c r="Z65" s="14">
        <f>_xll.BDH("ALNY US Equity","TOTAL_ASSETS_SEQUENTIAL_GROWTH","FQ3 2024","FQ3 2024","Currency=USD","Period=FQ","BEST_FPERIOD_OVERRIDE=FQ","FILING_STATUS=MR","Sort=A","Dates=H","DateFormat=P","Fill=—","Direction=H","UseDPDF=Y")</f>
        <v>4.8734000000000002</v>
      </c>
      <c r="AA65" s="14">
        <f>_xll.BDH("ALNY US Equity","TOTAL_ASSETS_SEQUENTIAL_GROWTH","FQ4 2024","FQ4 2024","Currency=USD","Period=FQ","BEST_FPERIOD_OVERRIDE=FQ","FILING_STATUS=MR","Sort=A","Dates=H","DateFormat=P","Fill=—","Direction=H","UseDPDF=Y")</f>
        <v>0.83099999999999996</v>
      </c>
    </row>
    <row r="66" spans="1:27" x14ac:dyDescent="0.25">
      <c r="A66" s="10" t="s">
        <v>1383</v>
      </c>
      <c r="B66" s="10" t="s">
        <v>1433</v>
      </c>
      <c r="C66" s="14" t="str">
        <f>_xll.BDH("ALNY US Equity","MODIFIED_WORKING_CPTL_SEQ_GRWTH","FQ4 2018","FQ4 2018","Currency=USD","Period=FQ","BEST_FPERIOD_OVERRIDE=FQ","FILING_STATUS=MR","Sort=A","Dates=H","DateFormat=P","Fill=—","Direction=H","UseDPDF=Y")</f>
        <v>—</v>
      </c>
      <c r="D66" s="14" t="str">
        <f>_xll.BDH("ALNY US Equity","MODIFIED_WORKING_CPTL_SEQ_GRWTH","FQ1 2019","FQ1 2019","Currency=USD","Period=FQ","BEST_FPERIOD_OVERRIDE=FQ","FILING_STATUS=MR","Sort=A","Dates=H","DateFormat=P","Fill=—","Direction=H","UseDPDF=Y")</f>
        <v>—</v>
      </c>
      <c r="E66" s="14">
        <f>_xll.BDH("ALNY US Equity","MODIFIED_WORKING_CPTL_SEQ_GRWTH","FQ2 2019","FQ2 2019","Currency=USD","Period=FQ","BEST_FPERIOD_OVERRIDE=FQ","FILING_STATUS=MR","Sort=A","Dates=H","DateFormat=P","Fill=—","Direction=H","UseDPDF=Y")</f>
        <v>-99.742599999999996</v>
      </c>
      <c r="F66" s="14">
        <f>_xll.BDH("ALNY US Equity","MODIFIED_WORKING_CPTL_SEQ_GRWTH","FQ3 2019","FQ3 2019","Currency=USD","Period=FQ","BEST_FPERIOD_OVERRIDE=FQ","FILING_STATUS=MR","Sort=A","Dates=H","DateFormat=P","Fill=—","Direction=H","UseDPDF=Y")</f>
        <v>56908.108099999998</v>
      </c>
      <c r="G66" s="14">
        <f>_xll.BDH("ALNY US Equity","MODIFIED_WORKING_CPTL_SEQ_GRWTH","FQ4 2019","FQ4 2019","Currency=USD","Period=FQ","BEST_FPERIOD_OVERRIDE=FQ","FILING_STATUS=MR","Sort=A","Dates=H","DateFormat=P","Fill=—","Direction=H","UseDPDF=Y")</f>
        <v>-21.814499999999999</v>
      </c>
      <c r="H66" s="14">
        <f>_xll.BDH("ALNY US Equity","MODIFIED_WORKING_CPTL_SEQ_GRWTH","FQ1 2020","FQ1 2020","Currency=USD","Period=FQ","BEST_FPERIOD_OVERRIDE=FQ","FILING_STATUS=MR","Sort=A","Dates=H","DateFormat=P","Fill=—","Direction=H","UseDPDF=Y")</f>
        <v>108.97020000000001</v>
      </c>
      <c r="I66" s="14">
        <f>_xll.BDH("ALNY US Equity","MODIFIED_WORKING_CPTL_SEQ_GRWTH","FQ2 2020","FQ2 2020","Currency=USD","Period=FQ","BEST_FPERIOD_OVERRIDE=FQ","FILING_STATUS=MR","Sort=A","Dates=H","DateFormat=P","Fill=—","Direction=H","UseDPDF=Y")</f>
        <v>16.462299999999999</v>
      </c>
      <c r="J66" s="14">
        <f>_xll.BDH("ALNY US Equity","MODIFIED_WORKING_CPTL_SEQ_GRWTH","FQ3 2020","FQ3 2020","Currency=USD","Period=FQ","BEST_FPERIOD_OVERRIDE=FQ","FILING_STATUS=MR","Sort=A","Dates=H","DateFormat=P","Fill=—","Direction=H","UseDPDF=Y")</f>
        <v>-1.8436999999999999</v>
      </c>
      <c r="K66" s="14">
        <f>_xll.BDH("ALNY US Equity","MODIFIED_WORKING_CPTL_SEQ_GRWTH","FQ4 2020","FQ4 2020","Currency=USD","Period=FQ","BEST_FPERIOD_OVERRIDE=FQ","FILING_STATUS=MR","Sort=A","Dates=H","DateFormat=P","Fill=—","Direction=H","UseDPDF=Y")</f>
        <v>6.3128000000000002</v>
      </c>
      <c r="L66" s="14">
        <f>_xll.BDH("ALNY US Equity","MODIFIED_WORKING_CPTL_SEQ_GRWTH","FQ1 2021","FQ1 2021","Currency=USD","Period=FQ","BEST_FPERIOD_OVERRIDE=FQ","FILING_STATUS=MR","Sort=A","Dates=H","DateFormat=P","Fill=—","Direction=H","UseDPDF=Y")</f>
        <v>10.7729</v>
      </c>
      <c r="M66" s="14">
        <f>_xll.BDH("ALNY US Equity","MODIFIED_WORKING_CPTL_SEQ_GRWTH","FQ2 2021","FQ2 2021","Currency=USD","Period=FQ","BEST_FPERIOD_OVERRIDE=FQ","FILING_STATUS=MR","Sort=A","Dates=H","DateFormat=P","Fill=—","Direction=H","UseDPDF=Y")</f>
        <v>27.7911</v>
      </c>
      <c r="N66" s="14">
        <f>_xll.BDH("ALNY US Equity","MODIFIED_WORKING_CPTL_SEQ_GRWTH","FQ3 2021","FQ3 2021","Currency=USD","Period=FQ","BEST_FPERIOD_OVERRIDE=FQ","FILING_STATUS=MR","Sort=A","Dates=H","DateFormat=P","Fill=—","Direction=H","UseDPDF=Y")</f>
        <v>11.834199999999999</v>
      </c>
      <c r="O66" s="14">
        <f>_xll.BDH("ALNY US Equity","MODIFIED_WORKING_CPTL_SEQ_GRWTH","FQ4 2021","FQ4 2021","Currency=USD","Period=FQ","BEST_FPERIOD_OVERRIDE=FQ","FILING_STATUS=MR","Sort=A","Dates=H","DateFormat=P","Fill=—","Direction=H","UseDPDF=Y")</f>
        <v>6.3308</v>
      </c>
      <c r="P66" s="14">
        <f>_xll.BDH("ALNY US Equity","MODIFIED_WORKING_CPTL_SEQ_GRWTH","FQ1 2022","FQ1 2022","Currency=USD","Period=FQ","BEST_FPERIOD_OVERRIDE=FQ","FILING_STATUS=MR","Sort=A","Dates=H","DateFormat=P","Fill=—","Direction=H","UseDPDF=Y")</f>
        <v>-14.834</v>
      </c>
      <c r="Q66" s="14">
        <f>_xll.BDH("ALNY US Equity","MODIFIED_WORKING_CPTL_SEQ_GRWTH","FQ2 2022","FQ2 2022","Currency=USD","Period=FQ","BEST_FPERIOD_OVERRIDE=FQ","FILING_STATUS=MR","Sort=A","Dates=H","DateFormat=P","Fill=—","Direction=H","UseDPDF=Y")</f>
        <v>-0.72389999999999999</v>
      </c>
      <c r="R66" s="14">
        <f>_xll.BDH("ALNY US Equity","MODIFIED_WORKING_CPTL_SEQ_GRWTH","FQ3 2022","FQ3 2022","Currency=USD","Period=FQ","BEST_FPERIOD_OVERRIDE=FQ","FILING_STATUS=MR","Sort=A","Dates=H","DateFormat=P","Fill=—","Direction=H","UseDPDF=Y")</f>
        <v>45.0715</v>
      </c>
      <c r="S66" s="14">
        <f>_xll.BDH("ALNY US Equity","MODIFIED_WORKING_CPTL_SEQ_GRWTH","FQ4 2022","FQ4 2022","Currency=USD","Period=FQ","BEST_FPERIOD_OVERRIDE=FQ","FILING_STATUS=MR","Sort=A","Dates=H","DateFormat=P","Fill=—","Direction=H","UseDPDF=Y")</f>
        <v>3.6236999999999999</v>
      </c>
      <c r="T66" s="14">
        <f>_xll.BDH("ALNY US Equity","MODIFIED_WORKING_CPTL_SEQ_GRWTH","FQ1 2023","FQ1 2023","Currency=USD","Period=FQ","BEST_FPERIOD_OVERRIDE=FQ","FILING_STATUS=MR","Sort=A","Dates=H","DateFormat=P","Fill=—","Direction=H","UseDPDF=Y")</f>
        <v>7.5308000000000002</v>
      </c>
      <c r="U66" s="14">
        <f>_xll.BDH("ALNY US Equity","MODIFIED_WORKING_CPTL_SEQ_GRWTH","FQ2 2023","FQ2 2023","Currency=USD","Period=FQ","BEST_FPERIOD_OVERRIDE=FQ","FILING_STATUS=MR","Sort=A","Dates=H","DateFormat=P","Fill=—","Direction=H","UseDPDF=Y")</f>
        <v>-9.5939999999999994</v>
      </c>
      <c r="V66" s="14">
        <f>_xll.BDH("ALNY US Equity","MODIFIED_WORKING_CPTL_SEQ_GRWTH","FQ3 2023","FQ3 2023","Currency=USD","Period=FQ","BEST_FPERIOD_OVERRIDE=FQ","FILING_STATUS=MR","Sort=A","Dates=H","DateFormat=P","Fill=—","Direction=H","UseDPDF=Y")</f>
        <v>32.920099999999998</v>
      </c>
      <c r="W66" s="14">
        <f>_xll.BDH("ALNY US Equity","MODIFIED_WORKING_CPTL_SEQ_GRWTH","FQ4 2023","FQ4 2023","Currency=USD","Period=FQ","BEST_FPERIOD_OVERRIDE=FQ","FILING_STATUS=MR","Sort=A","Dates=H","DateFormat=P","Fill=—","Direction=H","UseDPDF=Y")</f>
        <v>4.0411999999999999</v>
      </c>
      <c r="X66" s="14">
        <f>_xll.BDH("ALNY US Equity","MODIFIED_WORKING_CPTL_SEQ_GRWTH","FQ1 2024","FQ1 2024","Currency=USD","Period=FQ","BEST_FPERIOD_OVERRIDE=FQ","FILING_STATUS=MR","Sort=A","Dates=H","DateFormat=P","Fill=—","Direction=H","UseDPDF=Y")</f>
        <v>-6.6951000000000001</v>
      </c>
      <c r="Y66" s="14">
        <f>_xll.BDH("ALNY US Equity","MODIFIED_WORKING_CPTL_SEQ_GRWTH","FQ2 2024","FQ2 2024","Currency=USD","Period=FQ","BEST_FPERIOD_OVERRIDE=FQ","FILING_STATUS=MR","Sort=A","Dates=H","DateFormat=P","Fill=—","Direction=H","UseDPDF=Y")</f>
        <v>-5.2591999999999999</v>
      </c>
      <c r="Z66" s="14">
        <f>_xll.BDH("ALNY US Equity","MODIFIED_WORKING_CPTL_SEQ_GRWTH","FQ3 2024","FQ3 2024","Currency=USD","Period=FQ","BEST_FPERIOD_OVERRIDE=FQ","FILING_STATUS=MR","Sort=A","Dates=H","DateFormat=P","Fill=—","Direction=H","UseDPDF=Y")</f>
        <v>12.38</v>
      </c>
      <c r="AA66" s="14">
        <f>_xll.BDH("ALNY US Equity","MODIFIED_WORKING_CPTL_SEQ_GRWTH","FQ4 2024","FQ4 2024","Currency=USD","Period=FQ","BEST_FPERIOD_OVERRIDE=FQ","FILING_STATUS=MR","Sort=A","Dates=H","DateFormat=P","Fill=—","Direction=H","UseDPDF=Y")</f>
        <v>10.1294</v>
      </c>
    </row>
    <row r="67" spans="1:27" x14ac:dyDescent="0.25">
      <c r="A67" s="10" t="s">
        <v>1385</v>
      </c>
      <c r="B67" s="10" t="s">
        <v>1434</v>
      </c>
      <c r="C67" s="14">
        <f>_xll.BDH("ALNY US Equity","WORKING_CAPITAL_SEQ_GROWTH","FQ4 2018","FQ4 2018","Currency=USD","Period=FQ","BEST_FPERIOD_OVERRIDE=FQ","FILING_STATUS=MR","Sort=A","Dates=H","DateFormat=P","Fill=—","Direction=H","UseDPDF=Y")</f>
        <v>-16.337199999999999</v>
      </c>
      <c r="D67" s="14">
        <f>_xll.BDH("ALNY US Equity","WORKING_CAPITAL_SEQ_GROWTH","FQ1 2019","FQ1 2019","Currency=USD","Period=FQ","BEST_FPERIOD_OVERRIDE=FQ","FILING_STATUS=MR","Sort=A","Dates=H","DateFormat=P","Fill=—","Direction=H","UseDPDF=Y")</f>
        <v>21.704599999999999</v>
      </c>
      <c r="E67" s="14">
        <f>_xll.BDH("ALNY US Equity","WORKING_CAPITAL_SEQ_GROWTH","FQ2 2019","FQ2 2019","Currency=USD","Period=FQ","BEST_FPERIOD_OVERRIDE=FQ","FILING_STATUS=MR","Sort=A","Dates=H","DateFormat=P","Fill=—","Direction=H","UseDPDF=Y")</f>
        <v>39.612099999999998</v>
      </c>
      <c r="F67" s="14">
        <f>_xll.BDH("ALNY US Equity","WORKING_CAPITAL_SEQ_GROWTH","FQ3 2019","FQ3 2019","Currency=USD","Period=FQ","BEST_FPERIOD_OVERRIDE=FQ","FILING_STATUS=MR","Sort=A","Dates=H","DateFormat=P","Fill=—","Direction=H","UseDPDF=Y")</f>
        <v>-10.994199999999999</v>
      </c>
      <c r="G67" s="14">
        <f>_xll.BDH("ALNY US Equity","WORKING_CAPITAL_SEQ_GROWTH","FQ4 2019","FQ4 2019","Currency=USD","Period=FQ","BEST_FPERIOD_OVERRIDE=FQ","FILING_STATUS=MR","Sort=A","Dates=H","DateFormat=P","Fill=—","Direction=H","UseDPDF=Y")</f>
        <v>-11.728199999999999</v>
      </c>
      <c r="H67" s="14">
        <f>_xll.BDH("ALNY US Equity","WORKING_CAPITAL_SEQ_GROWTH","FQ1 2020","FQ1 2020","Currency=USD","Period=FQ","BEST_FPERIOD_OVERRIDE=FQ","FILING_STATUS=MR","Sort=A","Dates=H","DateFormat=P","Fill=—","Direction=H","UseDPDF=Y")</f>
        <v>-8.6034000000000006</v>
      </c>
      <c r="I67" s="14">
        <f>_xll.BDH("ALNY US Equity","WORKING_CAPITAL_SEQ_GROWTH","FQ2 2020","FQ2 2020","Currency=USD","Period=FQ","BEST_FPERIOD_OVERRIDE=FQ","FILING_STATUS=MR","Sort=A","Dates=H","DateFormat=P","Fill=—","Direction=H","UseDPDF=Y")</f>
        <v>42.549700000000001</v>
      </c>
      <c r="J67" s="14">
        <f>_xll.BDH("ALNY US Equity","WORKING_CAPITAL_SEQ_GROWTH","FQ3 2020","FQ3 2020","Currency=USD","Period=FQ","BEST_FPERIOD_OVERRIDE=FQ","FILING_STATUS=MR","Sort=A","Dates=H","DateFormat=P","Fill=—","Direction=H","UseDPDF=Y")</f>
        <v>16.7958</v>
      </c>
      <c r="K67" s="14">
        <f>_xll.BDH("ALNY US Equity","WORKING_CAPITAL_SEQ_GROWTH","FQ4 2020","FQ4 2020","Currency=USD","Period=FQ","BEST_FPERIOD_OVERRIDE=FQ","FILING_STATUS=MR","Sort=A","Dates=H","DateFormat=P","Fill=—","Direction=H","UseDPDF=Y")</f>
        <v>-2.1669999999999998</v>
      </c>
      <c r="L67" s="14">
        <f>_xll.BDH("ALNY US Equity","WORKING_CAPITAL_SEQ_GROWTH","FQ1 2021","FQ1 2021","Currency=USD","Period=FQ","BEST_FPERIOD_OVERRIDE=FQ","FILING_STATUS=MR","Sort=A","Dates=H","DateFormat=P","Fill=—","Direction=H","UseDPDF=Y")</f>
        <v>-2.673</v>
      </c>
      <c r="M67" s="14">
        <f>_xll.BDH("ALNY US Equity","WORKING_CAPITAL_SEQ_GROWTH","FQ2 2021","FQ2 2021","Currency=USD","Period=FQ","BEST_FPERIOD_OVERRIDE=FQ","FILING_STATUS=MR","Sort=A","Dates=H","DateFormat=P","Fill=—","Direction=H","UseDPDF=Y")</f>
        <v>9.8850999999999996</v>
      </c>
      <c r="N67" s="14">
        <f>_xll.BDH("ALNY US Equity","WORKING_CAPITAL_SEQ_GROWTH","FQ3 2021","FQ3 2021","Currency=USD","Period=FQ","BEST_FPERIOD_OVERRIDE=FQ","FILING_STATUS=MR","Sort=A","Dates=H","DateFormat=P","Fill=—","Direction=H","UseDPDF=Y")</f>
        <v>-4.8747999999999996</v>
      </c>
      <c r="O67" s="14">
        <f>_xll.BDH("ALNY US Equity","WORKING_CAPITAL_SEQ_GROWTH","FQ4 2021","FQ4 2021","Currency=USD","Period=FQ","BEST_FPERIOD_OVERRIDE=FQ","FILING_STATUS=MR","Sort=A","Dates=H","DateFormat=P","Fill=—","Direction=H","UseDPDF=Y")</f>
        <v>2.3325</v>
      </c>
      <c r="P67" s="14">
        <f>_xll.BDH("ALNY US Equity","WORKING_CAPITAL_SEQ_GROWTH","FQ1 2022","FQ1 2022","Currency=USD","Period=FQ","BEST_FPERIOD_OVERRIDE=FQ","FILING_STATUS=MR","Sort=A","Dates=H","DateFormat=P","Fill=—","Direction=H","UseDPDF=Y")</f>
        <v>-6.1125999999999996</v>
      </c>
      <c r="Q67" s="14">
        <f>_xll.BDH("ALNY US Equity","WORKING_CAPITAL_SEQ_GROWTH","FQ2 2022","FQ2 2022","Currency=USD","Period=FQ","BEST_FPERIOD_OVERRIDE=FQ","FILING_STATUS=MR","Sort=A","Dates=H","DateFormat=P","Fill=—","Direction=H","UseDPDF=Y")</f>
        <v>-8.5577000000000005</v>
      </c>
      <c r="R67" s="14">
        <f>_xll.BDH("ALNY US Equity","WORKING_CAPITAL_SEQ_GROWTH","FQ3 2022","FQ3 2022","Currency=USD","Period=FQ","BEST_FPERIOD_OVERRIDE=FQ","FILING_STATUS=MR","Sort=A","Dates=H","DateFormat=P","Fill=—","Direction=H","UseDPDF=Y")</f>
        <v>5.7389999999999999</v>
      </c>
      <c r="S67" s="14">
        <f>_xll.BDH("ALNY US Equity","WORKING_CAPITAL_SEQ_GROWTH","FQ4 2022","FQ4 2022","Currency=USD","Period=FQ","BEST_FPERIOD_OVERRIDE=FQ","FILING_STATUS=MR","Sort=A","Dates=H","DateFormat=P","Fill=—","Direction=H","UseDPDF=Y")</f>
        <v>0.32719999999999999</v>
      </c>
      <c r="T67" s="14">
        <f>_xll.BDH("ALNY US Equity","WORKING_CAPITAL_SEQ_GROWTH","FQ1 2023","FQ1 2023","Currency=USD","Period=FQ","BEST_FPERIOD_OVERRIDE=FQ","FILING_STATUS=MR","Sort=A","Dates=H","DateFormat=P","Fill=—","Direction=H","UseDPDF=Y")</f>
        <v>-2.9466999999999999</v>
      </c>
      <c r="U67" s="14">
        <f>_xll.BDH("ALNY US Equity","WORKING_CAPITAL_SEQ_GROWTH","FQ2 2023","FQ2 2023","Currency=USD","Period=FQ","BEST_FPERIOD_OVERRIDE=FQ","FILING_STATUS=MR","Sort=A","Dates=H","DateFormat=P","Fill=—","Direction=H","UseDPDF=Y")</f>
        <v>-7.0795000000000003</v>
      </c>
      <c r="V67" s="14">
        <f>_xll.BDH("ALNY US Equity","WORKING_CAPITAL_SEQ_GROWTH","FQ3 2023","FQ3 2023","Currency=USD","Period=FQ","BEST_FPERIOD_OVERRIDE=FQ","FILING_STATUS=MR","Sort=A","Dates=H","DateFormat=P","Fill=—","Direction=H","UseDPDF=Y")</f>
        <v>17.3019</v>
      </c>
      <c r="W67" s="14">
        <f>_xll.BDH("ALNY US Equity","WORKING_CAPITAL_SEQ_GROWTH","FQ4 2023","FQ4 2023","Currency=USD","Period=FQ","BEST_FPERIOD_OVERRIDE=FQ","FILING_STATUS=MR","Sort=A","Dates=H","DateFormat=P","Fill=—","Direction=H","UseDPDF=Y")</f>
        <v>-1.0196000000000001</v>
      </c>
      <c r="X67" s="14">
        <f>_xll.BDH("ALNY US Equity","WORKING_CAPITAL_SEQ_GROWTH","FQ1 2024","FQ1 2024","Currency=USD","Period=FQ","BEST_FPERIOD_OVERRIDE=FQ","FILING_STATUS=MR","Sort=A","Dates=H","DateFormat=P","Fill=—","Direction=H","UseDPDF=Y")</f>
        <v>1.5874999999999999</v>
      </c>
      <c r="Y67" s="14">
        <f>_xll.BDH("ALNY US Equity","WORKING_CAPITAL_SEQ_GROWTH","FQ2 2024","FQ2 2024","Currency=USD","Period=FQ","BEST_FPERIOD_OVERRIDE=FQ","FILING_STATUS=MR","Sort=A","Dates=H","DateFormat=P","Fill=—","Direction=H","UseDPDF=Y")</f>
        <v>3.4542999999999999</v>
      </c>
      <c r="Z67" s="14">
        <f>_xll.BDH("ALNY US Equity","WORKING_CAPITAL_SEQ_GROWTH","FQ3 2024","FQ3 2024","Currency=USD","Period=FQ","BEST_FPERIOD_OVERRIDE=FQ","FILING_STATUS=MR","Sort=A","Dates=H","DateFormat=P","Fill=—","Direction=H","UseDPDF=Y")</f>
        <v>0.81020000000000003</v>
      </c>
      <c r="AA67" s="14">
        <f>_xll.BDH("ALNY US Equity","WORKING_CAPITAL_SEQ_GROWTH","FQ4 2024","FQ4 2024","Currency=USD","Period=FQ","BEST_FPERIOD_OVERRIDE=FQ","FILING_STATUS=MR","Sort=A","Dates=H","DateFormat=P","Fill=—","Direction=H","UseDPDF=Y")</f>
        <v>-1.2060999999999999</v>
      </c>
    </row>
    <row r="68" spans="1:27" x14ac:dyDescent="0.25">
      <c r="A68" s="10" t="s">
        <v>1389</v>
      </c>
      <c r="B68" s="10" t="s">
        <v>1435</v>
      </c>
      <c r="C68" s="14">
        <f>_xll.BDH("ALNY US Equity","ACCOUNTS_PAYABLE_SEQ_GROWTH","FQ4 2018","FQ4 2018","Currency=USD","Period=FQ","BEST_FPERIOD_OVERRIDE=FQ","FILING_STATUS=MR","Sort=A","Dates=H","DateFormat=P","Fill=—","Direction=H","UseDPDF=Y")</f>
        <v>174.24209999999999</v>
      </c>
      <c r="D68" s="14">
        <f>_xll.BDH("ALNY US Equity","ACCOUNTS_PAYABLE_SEQ_GROWTH","FQ1 2019","FQ1 2019","Currency=USD","Period=FQ","BEST_FPERIOD_OVERRIDE=FQ","FILING_STATUS=MR","Sort=A","Dates=H","DateFormat=P","Fill=—","Direction=H","UseDPDF=Y")</f>
        <v>-62.030200000000001</v>
      </c>
      <c r="E68" s="14">
        <f>_xll.BDH("ALNY US Equity","ACCOUNTS_PAYABLE_SEQ_GROWTH","FQ2 2019","FQ2 2019","Currency=USD","Period=FQ","BEST_FPERIOD_OVERRIDE=FQ","FILING_STATUS=MR","Sort=A","Dates=H","DateFormat=P","Fill=—","Direction=H","UseDPDF=Y")</f>
        <v>214.12379999999999</v>
      </c>
      <c r="F68" s="14">
        <f>_xll.BDH("ALNY US Equity","ACCOUNTS_PAYABLE_SEQ_GROWTH","FQ3 2019","FQ3 2019","Currency=USD","Period=FQ","BEST_FPERIOD_OVERRIDE=FQ","FILING_STATUS=MR","Sort=A","Dates=H","DateFormat=P","Fill=—","Direction=H","UseDPDF=Y")</f>
        <v>-44.6858</v>
      </c>
      <c r="G68" s="14">
        <f>_xll.BDH("ALNY US Equity","ACCOUNTS_PAYABLE_SEQ_GROWTH","FQ4 2019","FQ4 2019","Currency=USD","Period=FQ","BEST_FPERIOD_OVERRIDE=FQ","FILING_STATUS=MR","Sort=A","Dates=H","DateFormat=P","Fill=—","Direction=H","UseDPDF=Y")</f>
        <v>26.634799999999998</v>
      </c>
      <c r="H68" s="14">
        <f>_xll.BDH("ALNY US Equity","ACCOUNTS_PAYABLE_SEQ_GROWTH","FQ1 2020","FQ1 2020","Currency=USD","Period=FQ","BEST_FPERIOD_OVERRIDE=FQ","FILING_STATUS=MR","Sort=A","Dates=H","DateFormat=P","Fill=—","Direction=H","UseDPDF=Y")</f>
        <v>-18.843699999999998</v>
      </c>
      <c r="I68" s="14">
        <f>_xll.BDH("ALNY US Equity","ACCOUNTS_PAYABLE_SEQ_GROWTH","FQ2 2020","FQ2 2020","Currency=USD","Period=FQ","BEST_FPERIOD_OVERRIDE=FQ","FILING_STATUS=MR","Sort=A","Dates=H","DateFormat=P","Fill=—","Direction=H","UseDPDF=Y")</f>
        <v>-35.468299999999999</v>
      </c>
      <c r="J68" s="14">
        <f>_xll.BDH("ALNY US Equity","ACCOUNTS_PAYABLE_SEQ_GROWTH","FQ3 2020","FQ3 2020","Currency=USD","Period=FQ","BEST_FPERIOD_OVERRIDE=FQ","FILING_STATUS=MR","Sort=A","Dates=H","DateFormat=P","Fill=—","Direction=H","UseDPDF=Y")</f>
        <v>6.6871</v>
      </c>
      <c r="K68" s="14">
        <f>_xll.BDH("ALNY US Equity","ACCOUNTS_PAYABLE_SEQ_GROWTH","FQ4 2020","FQ4 2020","Currency=USD","Period=FQ","BEST_FPERIOD_OVERRIDE=FQ","FILING_STATUS=MR","Sort=A","Dates=H","DateFormat=P","Fill=—","Direction=H","UseDPDF=Y")</f>
        <v>86.4452</v>
      </c>
      <c r="L68" s="14">
        <f>_xll.BDH("ALNY US Equity","ACCOUNTS_PAYABLE_SEQ_GROWTH","FQ1 2021","FQ1 2021","Currency=USD","Period=FQ","BEST_FPERIOD_OVERRIDE=FQ","FILING_STATUS=MR","Sort=A","Dates=H","DateFormat=P","Fill=—","Direction=H","UseDPDF=Y")</f>
        <v>-12.6717</v>
      </c>
      <c r="M68" s="14">
        <f>_xll.BDH("ALNY US Equity","ACCOUNTS_PAYABLE_SEQ_GROWTH","FQ2 2021","FQ2 2021","Currency=USD","Period=FQ","BEST_FPERIOD_OVERRIDE=FQ","FILING_STATUS=MR","Sort=A","Dates=H","DateFormat=P","Fill=—","Direction=H","UseDPDF=Y")</f>
        <v>16.963000000000001</v>
      </c>
      <c r="N68" s="14">
        <f>_xll.BDH("ALNY US Equity","ACCOUNTS_PAYABLE_SEQ_GROWTH","FQ3 2021","FQ3 2021","Currency=USD","Period=FQ","BEST_FPERIOD_OVERRIDE=FQ","FILING_STATUS=MR","Sort=A","Dates=H","DateFormat=P","Fill=—","Direction=H","UseDPDF=Y")</f>
        <v>-24.5502</v>
      </c>
      <c r="O68" s="14">
        <f>_xll.BDH("ALNY US Equity","ACCOUNTS_PAYABLE_SEQ_GROWTH","FQ4 2021","FQ4 2021","Currency=USD","Period=FQ","BEST_FPERIOD_OVERRIDE=FQ","FILING_STATUS=MR","Sort=A","Dates=H","DateFormat=P","Fill=—","Direction=H","UseDPDF=Y")</f>
        <v>83.344999999999999</v>
      </c>
      <c r="P68" s="14">
        <f>_xll.BDH("ALNY US Equity","ACCOUNTS_PAYABLE_SEQ_GROWTH","FQ1 2022","FQ1 2022","Currency=USD","Period=FQ","BEST_FPERIOD_OVERRIDE=FQ","FILING_STATUS=MR","Sort=A","Dates=H","DateFormat=P","Fill=—","Direction=H","UseDPDF=Y")</f>
        <v>-25.209099999999999</v>
      </c>
      <c r="Q68" s="14">
        <f>_xll.BDH("ALNY US Equity","ACCOUNTS_PAYABLE_SEQ_GROWTH","FQ2 2022","FQ2 2022","Currency=USD","Period=FQ","BEST_FPERIOD_OVERRIDE=FQ","FILING_STATUS=MR","Sort=A","Dates=H","DateFormat=P","Fill=—","Direction=H","UseDPDF=Y")</f>
        <v>-4.5488</v>
      </c>
      <c r="R68" s="14">
        <f>_xll.BDH("ALNY US Equity","ACCOUNTS_PAYABLE_SEQ_GROWTH","FQ3 2022","FQ3 2022","Currency=USD","Period=FQ","BEST_FPERIOD_OVERRIDE=FQ","FILING_STATUS=MR","Sort=A","Dates=H","DateFormat=P","Fill=—","Direction=H","UseDPDF=Y")</f>
        <v>-22.5991</v>
      </c>
      <c r="S68" s="14">
        <f>_xll.BDH("ALNY US Equity","ACCOUNTS_PAYABLE_SEQ_GROWTH","FQ4 2022","FQ4 2022","Currency=USD","Period=FQ","BEST_FPERIOD_OVERRIDE=FQ","FILING_STATUS=MR","Sort=A","Dates=H","DateFormat=P","Fill=—","Direction=H","UseDPDF=Y")</f>
        <v>141.77760000000001</v>
      </c>
      <c r="T68" s="14">
        <f>_xll.BDH("ALNY US Equity","ACCOUNTS_PAYABLE_SEQ_GROWTH","FQ1 2023","FQ1 2023","Currency=USD","Period=FQ","BEST_FPERIOD_OVERRIDE=FQ","FILING_STATUS=MR","Sort=A","Dates=H","DateFormat=P","Fill=—","Direction=H","UseDPDF=Y")</f>
        <v>-36.553699999999999</v>
      </c>
      <c r="U68" s="14">
        <f>_xll.BDH("ALNY US Equity","ACCOUNTS_PAYABLE_SEQ_GROWTH","FQ2 2023","FQ2 2023","Currency=USD","Period=FQ","BEST_FPERIOD_OVERRIDE=FQ","FILING_STATUS=MR","Sort=A","Dates=H","DateFormat=P","Fill=—","Direction=H","UseDPDF=Y")</f>
        <v>-4.0023999999999997</v>
      </c>
      <c r="V68" s="14">
        <f>_xll.BDH("ALNY US Equity","ACCOUNTS_PAYABLE_SEQ_GROWTH","FQ3 2023","FQ3 2023","Currency=USD","Period=FQ","BEST_FPERIOD_OVERRIDE=FQ","FILING_STATUS=MR","Sort=A","Dates=H","DateFormat=P","Fill=—","Direction=H","UseDPDF=Y")</f>
        <v>23.5899</v>
      </c>
      <c r="W68" s="14">
        <f>_xll.BDH("ALNY US Equity","ACCOUNTS_PAYABLE_SEQ_GROWTH","FQ4 2023","FQ4 2023","Currency=USD","Period=FQ","BEST_FPERIOD_OVERRIDE=FQ","FILING_STATUS=MR","Sort=A","Dates=H","DateFormat=P","Fill=—","Direction=H","UseDPDF=Y")</f>
        <v>-24.811800000000002</v>
      </c>
      <c r="X68" s="14">
        <f>_xll.BDH("ALNY US Equity","ACCOUNTS_PAYABLE_SEQ_GROWTH","FQ1 2024","FQ1 2024","Currency=USD","Period=FQ","BEST_FPERIOD_OVERRIDE=FQ","FILING_STATUS=MR","Sort=A","Dates=H","DateFormat=P","Fill=—","Direction=H","UseDPDF=Y")</f>
        <v>40.759</v>
      </c>
      <c r="Y68" s="14">
        <f>_xll.BDH("ALNY US Equity","ACCOUNTS_PAYABLE_SEQ_GROWTH","FQ2 2024","FQ2 2024","Currency=USD","Period=FQ","BEST_FPERIOD_OVERRIDE=FQ","FILING_STATUS=MR","Sort=A","Dates=H","DateFormat=P","Fill=—","Direction=H","UseDPDF=Y")</f>
        <v>-5.3334999999999999</v>
      </c>
      <c r="Z68" s="14">
        <f>_xll.BDH("ALNY US Equity","ACCOUNTS_PAYABLE_SEQ_GROWTH","FQ3 2024","FQ3 2024","Currency=USD","Period=FQ","BEST_FPERIOD_OVERRIDE=FQ","FILING_STATUS=MR","Sort=A","Dates=H","DateFormat=P","Fill=—","Direction=H","UseDPDF=Y")</f>
        <v>-4.2916999999999996</v>
      </c>
      <c r="AA68" s="14">
        <f>_xll.BDH("ALNY US Equity","ACCOUNTS_PAYABLE_SEQ_GROWTH","FQ4 2024","FQ4 2024","Currency=USD","Period=FQ","BEST_FPERIOD_OVERRIDE=FQ","FILING_STATUS=MR","Sort=A","Dates=H","DateFormat=P","Fill=—","Direction=H","UseDPDF=Y")</f>
        <v>24.871099999999998</v>
      </c>
    </row>
    <row r="69" spans="1:27" x14ac:dyDescent="0.25">
      <c r="A69" s="10" t="s">
        <v>1391</v>
      </c>
      <c r="B69" s="10" t="s">
        <v>1436</v>
      </c>
      <c r="C69" s="14" t="str">
        <f>_xll.BDH("ALNY US Equity","ST_DEBT_SEQUENTIAL_GROWTH","FQ4 2018","FQ4 2018","Currency=USD","Period=FQ","BEST_FPERIOD_OVERRIDE=FQ","FILING_STATUS=MR","Sort=A","Dates=H","DateFormat=P","Fill=—","Direction=H","UseDPDF=Y")</f>
        <v>—</v>
      </c>
      <c r="D69" s="14" t="str">
        <f>_xll.BDH("ALNY US Equity","ST_DEBT_SEQUENTIAL_GROWTH","FQ1 2019","FQ1 2019","Currency=USD","Period=FQ","BEST_FPERIOD_OVERRIDE=FQ","FILING_STATUS=MR","Sort=A","Dates=H","DateFormat=P","Fill=—","Direction=H","UseDPDF=Y")</f>
        <v>—</v>
      </c>
      <c r="E69" s="14">
        <f>_xll.BDH("ALNY US Equity","ST_DEBT_SEQUENTIAL_GROWTH","FQ2 2019","FQ2 2019","Currency=USD","Period=FQ","BEST_FPERIOD_OVERRIDE=FQ","FILING_STATUS=MR","Sort=A","Dates=H","DateFormat=P","Fill=—","Direction=H","UseDPDF=Y")</f>
        <v>72.863299999999995</v>
      </c>
      <c r="F69" s="14">
        <f>_xll.BDH("ALNY US Equity","ST_DEBT_SEQUENTIAL_GROWTH","FQ3 2019","FQ3 2019","Currency=USD","Period=FQ","BEST_FPERIOD_OVERRIDE=FQ","FILING_STATUS=MR","Sort=A","Dates=H","DateFormat=P","Fill=—","Direction=H","UseDPDF=Y")</f>
        <v>-4.0277000000000003</v>
      </c>
      <c r="G69" s="14">
        <f>_xll.BDH("ALNY US Equity","ST_DEBT_SEQUENTIAL_GROWTH","FQ4 2019","FQ4 2019","Currency=USD","Period=FQ","BEST_FPERIOD_OVERRIDE=FQ","FILING_STATUS=MR","Sort=A","Dates=H","DateFormat=P","Fill=—","Direction=H","UseDPDF=Y")</f>
        <v>-1.6936</v>
      </c>
      <c r="H69" s="14">
        <f>_xll.BDH("ALNY US Equity","ST_DEBT_SEQUENTIAL_GROWTH","FQ1 2020","FQ1 2020","Currency=USD","Period=FQ","BEST_FPERIOD_OVERRIDE=FQ","FILING_STATUS=MR","Sort=A","Dates=H","DateFormat=P","Fill=—","Direction=H","UseDPDF=Y")</f>
        <v>4.8937999999999997</v>
      </c>
      <c r="I69" s="14">
        <f>_xll.BDH("ALNY US Equity","ST_DEBT_SEQUENTIAL_GROWTH","FQ2 2020","FQ2 2020","Currency=USD","Period=FQ","BEST_FPERIOD_OVERRIDE=FQ","FILING_STATUS=MR","Sort=A","Dates=H","DateFormat=P","Fill=—","Direction=H","UseDPDF=Y")</f>
        <v>15.1637</v>
      </c>
      <c r="J69" s="14">
        <f>_xll.BDH("ALNY US Equity","ST_DEBT_SEQUENTIAL_GROWTH","FQ3 2020","FQ3 2020","Currency=USD","Period=FQ","BEST_FPERIOD_OVERRIDE=FQ","FILING_STATUS=MR","Sort=A","Dates=H","DateFormat=P","Fill=—","Direction=H","UseDPDF=Y")</f>
        <v>-3.7522000000000002</v>
      </c>
      <c r="K69" s="14">
        <f>_xll.BDH("ALNY US Equity","ST_DEBT_SEQUENTIAL_GROWTH","FQ4 2020","FQ4 2020","Currency=USD","Period=FQ","BEST_FPERIOD_OVERRIDE=FQ","FILING_STATUS=MR","Sort=A","Dates=H","DateFormat=P","Fill=—","Direction=H","UseDPDF=Y")</f>
        <v>14.537800000000001</v>
      </c>
      <c r="L69" s="14">
        <f>_xll.BDH("ALNY US Equity","ST_DEBT_SEQUENTIAL_GROWTH","FQ1 2021","FQ1 2021","Currency=USD","Period=FQ","BEST_FPERIOD_OVERRIDE=FQ","FILING_STATUS=MR","Sort=A","Dates=H","DateFormat=P","Fill=—","Direction=H","UseDPDF=Y")</f>
        <v>5.5461999999999998</v>
      </c>
      <c r="M69" s="14">
        <f>_xll.BDH("ALNY US Equity","ST_DEBT_SEQUENTIAL_GROWTH","FQ2 2021","FQ2 2021","Currency=USD","Period=FQ","BEST_FPERIOD_OVERRIDE=FQ","FILING_STATUS=MR","Sort=A","Dates=H","DateFormat=P","Fill=—","Direction=H","UseDPDF=Y")</f>
        <v>1.1435</v>
      </c>
      <c r="N69" s="14">
        <f>_xll.BDH("ALNY US Equity","ST_DEBT_SEQUENTIAL_GROWTH","FQ3 2021","FQ3 2021","Currency=USD","Period=FQ","BEST_FPERIOD_OVERRIDE=FQ","FILING_STATUS=MR","Sort=A","Dates=H","DateFormat=P","Fill=—","Direction=H","UseDPDF=Y")</f>
        <v>3.1757</v>
      </c>
      <c r="O69" s="14">
        <f>_xll.BDH("ALNY US Equity","ST_DEBT_SEQUENTIAL_GROWTH","FQ4 2021","FQ4 2021","Currency=USD","Period=FQ","BEST_FPERIOD_OVERRIDE=FQ","FILING_STATUS=MR","Sort=A","Dates=H","DateFormat=P","Fill=—","Direction=H","UseDPDF=Y")</f>
        <v>-0.15759999999999999</v>
      </c>
      <c r="P69" s="14">
        <f>_xll.BDH("ALNY US Equity","ST_DEBT_SEQUENTIAL_GROWTH","FQ1 2022","FQ1 2022","Currency=USD","Period=FQ","BEST_FPERIOD_OVERRIDE=FQ","FILING_STATUS=MR","Sort=A","Dates=H","DateFormat=P","Fill=—","Direction=H","UseDPDF=Y")</f>
        <v>1.8299000000000001</v>
      </c>
      <c r="Q69" s="14">
        <f>_xll.BDH("ALNY US Equity","ST_DEBT_SEQUENTIAL_GROWTH","FQ2 2022","FQ2 2022","Currency=USD","Period=FQ","BEST_FPERIOD_OVERRIDE=FQ","FILING_STATUS=MR","Sort=A","Dates=H","DateFormat=P","Fill=—","Direction=H","UseDPDF=Y")</f>
        <v>-0.1308</v>
      </c>
      <c r="R69" s="14">
        <f>_xll.BDH("ALNY US Equity","ST_DEBT_SEQUENTIAL_GROWTH","FQ3 2022","FQ3 2022","Currency=USD","Period=FQ","BEST_FPERIOD_OVERRIDE=FQ","FILING_STATUS=MR","Sort=A","Dates=H","DateFormat=P","Fill=—","Direction=H","UseDPDF=Y")</f>
        <v>0.83660000000000001</v>
      </c>
      <c r="S69" s="14">
        <f>_xll.BDH("ALNY US Equity","ST_DEBT_SEQUENTIAL_GROWTH","FQ4 2022","FQ4 2022","Currency=USD","Period=FQ","BEST_FPERIOD_OVERRIDE=FQ","FILING_STATUS=MR","Sort=A","Dates=H","DateFormat=P","Fill=—","Direction=H","UseDPDF=Y")</f>
        <v>0.92830000000000001</v>
      </c>
      <c r="T69" s="14">
        <f>_xll.BDH("ALNY US Equity","ST_DEBT_SEQUENTIAL_GROWTH","FQ1 2023","FQ1 2023","Currency=USD","Period=FQ","BEST_FPERIOD_OVERRIDE=FQ","FILING_STATUS=MR","Sort=A","Dates=H","DateFormat=P","Fill=—","Direction=H","UseDPDF=Y")</f>
        <v>2.5924999999999998</v>
      </c>
      <c r="U69" s="14">
        <f>_xll.BDH("ALNY US Equity","ST_DEBT_SEQUENTIAL_GROWTH","FQ2 2023","FQ2 2023","Currency=USD","Period=FQ","BEST_FPERIOD_OVERRIDE=FQ","FILING_STATUS=MR","Sort=A","Dates=H","DateFormat=P","Fill=—","Direction=H","UseDPDF=Y")</f>
        <v>-2.2785000000000002</v>
      </c>
      <c r="V69" s="14">
        <f>_xll.BDH("ALNY US Equity","ST_DEBT_SEQUENTIAL_GROWTH","FQ3 2023","FQ3 2023","Currency=USD","Period=FQ","BEST_FPERIOD_OVERRIDE=FQ","FILING_STATUS=MR","Sort=A","Dates=H","DateFormat=P","Fill=—","Direction=H","UseDPDF=Y")</f>
        <v>-1.3262</v>
      </c>
      <c r="W69" s="14">
        <f>_xll.BDH("ALNY US Equity","ST_DEBT_SEQUENTIAL_GROWTH","FQ4 2023","FQ4 2023","Currency=USD","Period=FQ","BEST_FPERIOD_OVERRIDE=FQ","FILING_STATUS=MR","Sort=A","Dates=H","DateFormat=P","Fill=—","Direction=H","UseDPDF=Y")</f>
        <v>-1.4500000000000001E-2</v>
      </c>
      <c r="X69" s="14">
        <f>_xll.BDH("ALNY US Equity","ST_DEBT_SEQUENTIAL_GROWTH","FQ1 2024","FQ1 2024","Currency=USD","Period=FQ","BEST_FPERIOD_OVERRIDE=FQ","FILING_STATUS=MR","Sort=A","Dates=H","DateFormat=P","Fill=—","Direction=H","UseDPDF=Y")</f>
        <v>0.39029999999999998</v>
      </c>
      <c r="Y69" s="14">
        <f>_xll.BDH("ALNY US Equity","ST_DEBT_SEQUENTIAL_GROWTH","FQ2 2024","FQ2 2024","Currency=USD","Period=FQ","BEST_FPERIOD_OVERRIDE=FQ","FILING_STATUS=MR","Sort=A","Dates=H","DateFormat=P","Fill=—","Direction=H","UseDPDF=Y")</f>
        <v>-3.8399999999999997E-2</v>
      </c>
      <c r="Z69" s="14">
        <f>_xll.BDH("ALNY US Equity","ST_DEBT_SEQUENTIAL_GROWTH","FQ3 2024","FQ3 2024","Currency=USD","Period=FQ","BEST_FPERIOD_OVERRIDE=FQ","FILING_STATUS=MR","Sort=A","Dates=H","DateFormat=P","Fill=—","Direction=H","UseDPDF=Y")</f>
        <v>1.1715</v>
      </c>
      <c r="AA69" s="14">
        <f>_xll.BDH("ALNY US Equity","ST_DEBT_SEQUENTIAL_GROWTH","FQ4 2024","FQ4 2024","Currency=USD","Period=FQ","BEST_FPERIOD_OVERRIDE=FQ","FILING_STATUS=MR","Sort=A","Dates=H","DateFormat=P","Fill=—","Direction=H","UseDPDF=Y")</f>
        <v>-0.61219999999999997</v>
      </c>
    </row>
    <row r="70" spans="1:27" x14ac:dyDescent="0.25">
      <c r="A70" s="10" t="s">
        <v>1393</v>
      </c>
      <c r="B70" s="10" t="s">
        <v>1437</v>
      </c>
      <c r="C70" s="14">
        <f>_xll.BDH("ALNY US Equity","TOTAL_DEBT_SEQUENTIAL_GROWTH","FQ4 2018","FQ4 2018","Currency=USD","Period=FQ","BEST_FPERIOD_OVERRIDE=FQ","FILING_STATUS=MR","Sort=A","Dates=H","DateFormat=P","Fill=—","Direction=H","UseDPDF=Y")</f>
        <v>0</v>
      </c>
      <c r="D70" s="14">
        <f>_xll.BDH("ALNY US Equity","TOTAL_DEBT_SEQUENTIAL_GROWTH","FQ1 2019","FQ1 2019","Currency=USD","Period=FQ","BEST_FPERIOD_OVERRIDE=FQ","FILING_STATUS=MR","Sort=A","Dates=H","DateFormat=P","Fill=—","Direction=H","UseDPDF=Y")</f>
        <v>997.59</v>
      </c>
      <c r="E70" s="14">
        <f>_xll.BDH("ALNY US Equity","TOTAL_DEBT_SEQUENTIAL_GROWTH","FQ2 2019","FQ2 2019","Currency=USD","Period=FQ","BEST_FPERIOD_OVERRIDE=FQ","FILING_STATUS=MR","Sort=A","Dates=H","DateFormat=P","Fill=—","Direction=H","UseDPDF=Y")</f>
        <v>2.2111999999999998</v>
      </c>
      <c r="F70" s="14">
        <f>_xll.BDH("ALNY US Equity","TOTAL_DEBT_SEQUENTIAL_GROWTH","FQ3 2019","FQ3 2019","Currency=USD","Period=FQ","BEST_FPERIOD_OVERRIDE=FQ","FILING_STATUS=MR","Sort=A","Dates=H","DateFormat=P","Fill=—","Direction=H","UseDPDF=Y")</f>
        <v>-9.4893000000000001</v>
      </c>
      <c r="G70" s="14">
        <f>_xll.BDH("ALNY US Equity","TOTAL_DEBT_SEQUENTIAL_GROWTH","FQ4 2019","FQ4 2019","Currency=USD","Period=FQ","BEST_FPERIOD_OVERRIDE=FQ","FILING_STATUS=MR","Sort=A","Dates=H","DateFormat=P","Fill=—","Direction=H","UseDPDF=Y")</f>
        <v>-0.26200000000000001</v>
      </c>
      <c r="H70" s="14">
        <f>_xll.BDH("ALNY US Equity","TOTAL_DEBT_SEQUENTIAL_GROWTH","FQ1 2020","FQ1 2020","Currency=USD","Period=FQ","BEST_FPERIOD_OVERRIDE=FQ","FILING_STATUS=MR","Sort=A","Dates=H","DateFormat=P","Fill=—","Direction=H","UseDPDF=Y")</f>
        <v>0.32979999999999998</v>
      </c>
      <c r="I70" s="14">
        <f>_xll.BDH("ALNY US Equity","TOTAL_DEBT_SEQUENTIAL_GROWTH","FQ2 2020","FQ2 2020","Currency=USD","Period=FQ","BEST_FPERIOD_OVERRIDE=FQ","FILING_STATUS=MR","Sort=A","Dates=H","DateFormat=P","Fill=—","Direction=H","UseDPDF=Y")</f>
        <v>3.3593000000000002</v>
      </c>
      <c r="J70" s="14">
        <f>_xll.BDH("ALNY US Equity","TOTAL_DEBT_SEQUENTIAL_GROWTH","FQ3 2020","FQ3 2020","Currency=USD","Period=FQ","BEST_FPERIOD_OVERRIDE=FQ","FILING_STATUS=MR","Sort=A","Dates=H","DateFormat=P","Fill=—","Direction=H","UseDPDF=Y")</f>
        <v>4.5670000000000002</v>
      </c>
      <c r="K70" s="14">
        <f>_xll.BDH("ALNY US Equity","TOTAL_DEBT_SEQUENTIAL_GROWTH","FQ4 2020","FQ4 2020","Currency=USD","Period=FQ","BEST_FPERIOD_OVERRIDE=FQ","FILING_STATUS=MR","Sort=A","Dates=H","DateFormat=P","Fill=—","Direction=H","UseDPDF=Y")</f>
        <v>58.197800000000001</v>
      </c>
      <c r="L70" s="14">
        <f>_xll.BDH("ALNY US Equity","TOTAL_DEBT_SEQUENTIAL_GROWTH","FQ1 2021","FQ1 2021","Currency=USD","Period=FQ","BEST_FPERIOD_OVERRIDE=FQ","FILING_STATUS=MR","Sort=A","Dates=H","DateFormat=P","Fill=—","Direction=H","UseDPDF=Y")</f>
        <v>-0.51170000000000004</v>
      </c>
      <c r="M70" s="14">
        <f>_xll.BDH("ALNY US Equity","TOTAL_DEBT_SEQUENTIAL_GROWTH","FQ2 2021","FQ2 2021","Currency=USD","Period=FQ","BEST_FPERIOD_OVERRIDE=FQ","FILING_STATUS=MR","Sort=A","Dates=H","DateFormat=P","Fill=—","Direction=H","UseDPDF=Y")</f>
        <v>46.777200000000001</v>
      </c>
      <c r="N70" s="14">
        <f>_xll.BDH("ALNY US Equity","TOTAL_DEBT_SEQUENTIAL_GROWTH","FQ3 2021","FQ3 2021","Currency=USD","Period=FQ","BEST_FPERIOD_OVERRIDE=FQ","FILING_STATUS=MR","Sort=A","Dates=H","DateFormat=P","Fill=—","Direction=H","UseDPDF=Y")</f>
        <v>-8.2900000000000001E-2</v>
      </c>
      <c r="O70" s="14">
        <f>_xll.BDH("ALNY US Equity","TOTAL_DEBT_SEQUENTIAL_GROWTH","FQ4 2021","FQ4 2021","Currency=USD","Period=FQ","BEST_FPERIOD_OVERRIDE=FQ","FILING_STATUS=MR","Sort=A","Dates=H","DateFormat=P","Fill=—","Direction=H","UseDPDF=Y")</f>
        <v>31.186</v>
      </c>
      <c r="P70" s="14">
        <f>_xll.BDH("ALNY US Equity","TOTAL_DEBT_SEQUENTIAL_GROWTH","FQ1 2022","FQ1 2022","Currency=USD","Period=FQ","BEST_FPERIOD_OVERRIDE=FQ","FILING_STATUS=MR","Sort=A","Dates=H","DateFormat=P","Fill=—","Direction=H","UseDPDF=Y")</f>
        <v>-0.22090000000000001</v>
      </c>
      <c r="Q70" s="14">
        <f>_xll.BDH("ALNY US Equity","TOTAL_DEBT_SEQUENTIAL_GROWTH","FQ2 2022","FQ2 2022","Currency=USD","Period=FQ","BEST_FPERIOD_OVERRIDE=FQ","FILING_STATUS=MR","Sort=A","Dates=H","DateFormat=P","Fill=—","Direction=H","UseDPDF=Y")</f>
        <v>-0.44330000000000003</v>
      </c>
      <c r="R70" s="14">
        <f>_xll.BDH("ALNY US Equity","TOTAL_DEBT_SEQUENTIAL_GROWTH","FQ3 2022","FQ3 2022","Currency=USD","Period=FQ","BEST_FPERIOD_OVERRIDE=FQ","FILING_STATUS=MR","Sort=A","Dates=H","DateFormat=P","Fill=—","Direction=H","UseDPDF=Y")</f>
        <v>55.38</v>
      </c>
      <c r="S70" s="14">
        <f>_xll.BDH("ALNY US Equity","TOTAL_DEBT_SEQUENTIAL_GROWTH","FQ4 2022","FQ4 2022","Currency=USD","Period=FQ","BEST_FPERIOD_OVERRIDE=FQ","FILING_STATUS=MR","Sort=A","Dates=H","DateFormat=P","Fill=—","Direction=H","UseDPDF=Y")</f>
        <v>-14.257199999999999</v>
      </c>
      <c r="T70" s="14">
        <f>_xll.BDH("ALNY US Equity","TOTAL_DEBT_SEQUENTIAL_GROWTH","FQ1 2023","FQ1 2023","Currency=USD","Period=FQ","BEST_FPERIOD_OVERRIDE=FQ","FILING_STATUS=MR","Sort=A","Dates=H","DateFormat=P","Fill=—","Direction=H","UseDPDF=Y")</f>
        <v>7.0000000000000001E-3</v>
      </c>
      <c r="U70" s="14">
        <f>_xll.BDH("ALNY US Equity","TOTAL_DEBT_SEQUENTIAL_GROWTH","FQ2 2023","FQ2 2023","Currency=USD","Period=FQ","BEST_FPERIOD_OVERRIDE=FQ","FILING_STATUS=MR","Sort=A","Dates=H","DateFormat=P","Fill=—","Direction=H","UseDPDF=Y")</f>
        <v>-0.45500000000000002</v>
      </c>
      <c r="V70" s="14">
        <f>_xll.BDH("ALNY US Equity","TOTAL_DEBT_SEQUENTIAL_GROWTH","FQ3 2023","FQ3 2023","Currency=USD","Period=FQ","BEST_FPERIOD_OVERRIDE=FQ","FILING_STATUS=MR","Sort=A","Dates=H","DateFormat=P","Fill=—","Direction=H","UseDPDF=Y")</f>
        <v>-0.40300000000000002</v>
      </c>
      <c r="W70" s="14">
        <f>_xll.BDH("ALNY US Equity","TOTAL_DEBT_SEQUENTIAL_GROWTH","FQ4 2023","FQ4 2023","Currency=USD","Period=FQ","BEST_FPERIOD_OVERRIDE=FQ","FILING_STATUS=MR","Sort=A","Dates=H","DateFormat=P","Fill=—","Direction=H","UseDPDF=Y")</f>
        <v>-0.27879999999999999</v>
      </c>
      <c r="X70" s="14">
        <f>_xll.BDH("ALNY US Equity","TOTAL_DEBT_SEQUENTIAL_GROWTH","FQ1 2024","FQ1 2024","Currency=USD","Period=FQ","BEST_FPERIOD_OVERRIDE=FQ","FILING_STATUS=MR","Sort=A","Dates=H","DateFormat=P","Fill=—","Direction=H","UseDPDF=Y")</f>
        <v>-0.31819999999999998</v>
      </c>
      <c r="Y70" s="14">
        <f>_xll.BDH("ALNY US Equity","TOTAL_DEBT_SEQUENTIAL_GROWTH","FQ2 2024","FQ2 2024","Currency=USD","Period=FQ","BEST_FPERIOD_OVERRIDE=FQ","FILING_STATUS=MR","Sort=A","Dates=H","DateFormat=P","Fill=—","Direction=H","UseDPDF=Y")</f>
        <v>103.3668</v>
      </c>
      <c r="Z70" s="14">
        <f>_xll.BDH("ALNY US Equity","TOTAL_DEBT_SEQUENTIAL_GROWTH","FQ3 2024","FQ3 2024","Currency=USD","Period=FQ","BEST_FPERIOD_OVERRIDE=FQ","FILING_STATUS=MR","Sort=A","Dates=H","DateFormat=P","Fill=—","Direction=H","UseDPDF=Y")</f>
        <v>-50.805300000000003</v>
      </c>
      <c r="AA70" s="14">
        <f>_xll.BDH("ALNY US Equity","TOTAL_DEBT_SEQUENTIAL_GROWTH","FQ4 2024","FQ4 2024","Currency=USD","Period=FQ","BEST_FPERIOD_OVERRIDE=FQ","FILING_STATUS=MR","Sort=A","Dates=H","DateFormat=P","Fill=—","Direction=H","UseDPDF=Y")</f>
        <v>-0.44400000000000001</v>
      </c>
    </row>
    <row r="71" spans="1:27" x14ac:dyDescent="0.25">
      <c r="A71" s="10" t="s">
        <v>118</v>
      </c>
      <c r="B71" s="10" t="s">
        <v>1438</v>
      </c>
      <c r="C71" s="14">
        <f>_xll.BDH("ALNY US Equity","TOTAL_EQUITY_SEQUENTIAL_GROWTH","FQ4 2018","FQ4 2018","Currency=USD","Period=FQ","BEST_FPERIOD_OVERRIDE=FQ","FILING_STATUS=MR","Sort=A","Dates=H","DateFormat=P","Fill=—","Direction=H","UseDPDF=Y")</f>
        <v>-11.917400000000001</v>
      </c>
      <c r="D71" s="14">
        <f>_xll.BDH("ALNY US Equity","TOTAL_EQUITY_SEQUENTIAL_GROWTH","FQ1 2019","FQ1 2019","Currency=USD","Period=FQ","BEST_FPERIOD_OVERRIDE=FQ","FILING_STATUS=MR","Sort=A","Dates=H","DateFormat=P","Fill=—","Direction=H","UseDPDF=Y")</f>
        <v>18.819299999999998</v>
      </c>
      <c r="E71" s="14">
        <f>_xll.BDH("ALNY US Equity","TOTAL_EQUITY_SEQUENTIAL_GROWTH","FQ2 2019","FQ2 2019","Currency=USD","Period=FQ","BEST_FPERIOD_OVERRIDE=FQ","FILING_STATUS=MR","Sort=A","Dates=H","DateFormat=P","Fill=—","Direction=H","UseDPDF=Y")</f>
        <v>13.5883</v>
      </c>
      <c r="F71" s="14">
        <f>_xll.BDH("ALNY US Equity","TOTAL_EQUITY_SEQUENTIAL_GROWTH","FQ3 2019","FQ3 2019","Currency=USD","Period=FQ","BEST_FPERIOD_OVERRIDE=FQ","FILING_STATUS=MR","Sort=A","Dates=H","DateFormat=P","Fill=—","Direction=H","UseDPDF=Y")</f>
        <v>-8.5425000000000004</v>
      </c>
      <c r="G71" s="14">
        <f>_xll.BDH("ALNY US Equity","TOTAL_EQUITY_SEQUENTIAL_GROWTH","FQ4 2019","FQ4 2019","Currency=USD","Period=FQ","BEST_FPERIOD_OVERRIDE=FQ","FILING_STATUS=MR","Sort=A","Dates=H","DateFormat=P","Fill=—","Direction=H","UseDPDF=Y")</f>
        <v>-10.478300000000001</v>
      </c>
      <c r="H71" s="14">
        <f>_xll.BDH("ALNY US Equity","TOTAL_EQUITY_SEQUENTIAL_GROWTH","FQ1 2020","FQ1 2020","Currency=USD","Period=FQ","BEST_FPERIOD_OVERRIDE=FQ","FILING_STATUS=MR","Sort=A","Dates=H","DateFormat=P","Fill=—","Direction=H","UseDPDF=Y")</f>
        <v>-6.1836000000000002</v>
      </c>
      <c r="I71" s="14">
        <f>_xll.BDH("ALNY US Equity","TOTAL_EQUITY_SEQUENTIAL_GROWTH","FQ2 2020","FQ2 2020","Currency=USD","Period=FQ","BEST_FPERIOD_OVERRIDE=FQ","FILING_STATUS=MR","Sort=A","Dates=H","DateFormat=P","Fill=—","Direction=H","UseDPDF=Y")</f>
        <v>3.7042000000000002</v>
      </c>
      <c r="J71" s="14">
        <f>_xll.BDH("ALNY US Equity","TOTAL_EQUITY_SEQUENTIAL_GROWTH","FQ3 2020","FQ3 2020","Currency=USD","Period=FQ","BEST_FPERIOD_OVERRIDE=FQ","FILING_STATUS=MR","Sort=A","Dates=H","DateFormat=P","Fill=—","Direction=H","UseDPDF=Y")</f>
        <v>-13.1957</v>
      </c>
      <c r="K71" s="14">
        <f>_xll.BDH("ALNY US Equity","TOTAL_EQUITY_SEQUENTIAL_GROWTH","FQ4 2020","FQ4 2020","Currency=USD","Period=FQ","BEST_FPERIOD_OVERRIDE=FQ","FILING_STATUS=MR","Sort=A","Dates=H","DateFormat=P","Fill=—","Direction=H","UseDPDF=Y")</f>
        <v>-16.3599</v>
      </c>
      <c r="L71" s="14">
        <f>_xll.BDH("ALNY US Equity","TOTAL_EQUITY_SEQUENTIAL_GROWTH","FQ1 2021","FQ1 2021","Currency=USD","Period=FQ","BEST_FPERIOD_OVERRIDE=FQ","FILING_STATUS=MR","Sort=A","Dates=H","DateFormat=P","Fill=—","Direction=H","UseDPDF=Y")</f>
        <v>-8.8617000000000008</v>
      </c>
      <c r="M71" s="14">
        <f>_xll.BDH("ALNY US Equity","TOTAL_EQUITY_SEQUENTIAL_GROWTH","FQ2 2021","FQ2 2021","Currency=USD","Period=FQ","BEST_FPERIOD_OVERRIDE=FQ","FILING_STATUS=MR","Sort=A","Dates=H","DateFormat=P","Fill=—","Direction=H","UseDPDF=Y")</f>
        <v>-7.8632</v>
      </c>
      <c r="N71" s="14">
        <f>_xll.BDH("ALNY US Equity","TOTAL_EQUITY_SEQUENTIAL_GROWTH","FQ3 2021","FQ3 2021","Currency=USD","Period=FQ","BEST_FPERIOD_OVERRIDE=FQ","FILING_STATUS=MR","Sort=A","Dates=H","DateFormat=P","Fill=—","Direction=H","UseDPDF=Y")</f>
        <v>-11.421799999999999</v>
      </c>
      <c r="O71" s="14">
        <f>_xll.BDH("ALNY US Equity","TOTAL_EQUITY_SEQUENTIAL_GROWTH","FQ4 2021","FQ4 2021","Currency=USD","Period=FQ","BEST_FPERIOD_OVERRIDE=FQ","FILING_STATUS=MR","Sort=A","Dates=H","DateFormat=P","Fill=—","Direction=H","UseDPDF=Y")</f>
        <v>-22.1844</v>
      </c>
      <c r="P71" s="14">
        <f>_xll.BDH("ALNY US Equity","TOTAL_EQUITY_SEQUENTIAL_GROWTH","FQ1 2022","FQ1 2022","Currency=USD","Period=FQ","BEST_FPERIOD_OVERRIDE=FQ","FILING_STATUS=MR","Sort=A","Dates=H","DateFormat=P","Fill=—","Direction=H","UseDPDF=Y")</f>
        <v>-31.797999999999998</v>
      </c>
      <c r="Q71" s="14">
        <f>_xll.BDH("ALNY US Equity","TOTAL_EQUITY_SEQUENTIAL_GROWTH","FQ2 2022","FQ2 2022","Currency=USD","Period=FQ","BEST_FPERIOD_OVERRIDE=FQ","FILING_STATUS=MR","Sort=A","Dates=H","DateFormat=P","Fill=—","Direction=H","UseDPDF=Y")</f>
        <v>-56.117899999999999</v>
      </c>
      <c r="R71" s="14">
        <f>_xll.BDH("ALNY US Equity","TOTAL_EQUITY_SEQUENTIAL_GROWTH","FQ3 2022","FQ3 2022","Currency=USD","Period=FQ","BEST_FPERIOD_OVERRIDE=FQ","FILING_STATUS=MR","Sort=A","Dates=H","DateFormat=P","Fill=—","Direction=H","UseDPDF=Y")</f>
        <v>-138.42189999999999</v>
      </c>
      <c r="S71" s="14" t="str">
        <f>_xll.BDH("ALNY US Equity","TOTAL_EQUITY_SEQUENTIAL_GROWTH","FQ4 2022","FQ4 2022","Currency=USD","Period=FQ","BEST_FPERIOD_OVERRIDE=FQ","FILING_STATUS=MR","Sort=A","Dates=H","DateFormat=P","Fill=—","Direction=H","UseDPDF=Y")</f>
        <v>—</v>
      </c>
      <c r="T71" s="14" t="str">
        <f>_xll.BDH("ALNY US Equity","TOTAL_EQUITY_SEQUENTIAL_GROWTH","FQ1 2023","FQ1 2023","Currency=USD","Period=FQ","BEST_FPERIOD_OVERRIDE=FQ","FILING_STATUS=MR","Sort=A","Dates=H","DateFormat=P","Fill=—","Direction=H","UseDPDF=Y")</f>
        <v>—</v>
      </c>
      <c r="U71" s="14" t="str">
        <f>_xll.BDH("ALNY US Equity","TOTAL_EQUITY_SEQUENTIAL_GROWTH","FQ2 2023","FQ2 2023","Currency=USD","Period=FQ","BEST_FPERIOD_OVERRIDE=FQ","FILING_STATUS=MR","Sort=A","Dates=H","DateFormat=P","Fill=—","Direction=H","UseDPDF=Y")</f>
        <v>—</v>
      </c>
      <c r="V71" s="14" t="str">
        <f>_xll.BDH("ALNY US Equity","TOTAL_EQUITY_SEQUENTIAL_GROWTH","FQ3 2023","FQ3 2023","Currency=USD","Period=FQ","BEST_FPERIOD_OVERRIDE=FQ","FILING_STATUS=MR","Sort=A","Dates=H","DateFormat=P","Fill=—","Direction=H","UseDPDF=Y")</f>
        <v>—</v>
      </c>
      <c r="W71" s="14" t="str">
        <f>_xll.BDH("ALNY US Equity","TOTAL_EQUITY_SEQUENTIAL_GROWTH","FQ4 2023","FQ4 2023","Currency=USD","Period=FQ","BEST_FPERIOD_OVERRIDE=FQ","FILING_STATUS=MR","Sort=A","Dates=H","DateFormat=P","Fill=—","Direction=H","UseDPDF=Y")</f>
        <v>—</v>
      </c>
      <c r="X71" s="14" t="str">
        <f>_xll.BDH("ALNY US Equity","TOTAL_EQUITY_SEQUENTIAL_GROWTH","FQ1 2024","FQ1 2024","Currency=USD","Period=FQ","BEST_FPERIOD_OVERRIDE=FQ","FILING_STATUS=MR","Sort=A","Dates=H","DateFormat=P","Fill=—","Direction=H","UseDPDF=Y")</f>
        <v>—</v>
      </c>
      <c r="Y71" s="14" t="str">
        <f>_xll.BDH("ALNY US Equity","TOTAL_EQUITY_SEQUENTIAL_GROWTH","FQ2 2024","FQ2 2024","Currency=USD","Period=FQ","BEST_FPERIOD_OVERRIDE=FQ","FILING_STATUS=MR","Sort=A","Dates=H","DateFormat=P","Fill=—","Direction=H","UseDPDF=Y")</f>
        <v>—</v>
      </c>
      <c r="Z71" s="14" t="str">
        <f>_xll.BDH("ALNY US Equity","TOTAL_EQUITY_SEQUENTIAL_GROWTH","FQ3 2024","FQ3 2024","Currency=USD","Period=FQ","BEST_FPERIOD_OVERRIDE=FQ","FILING_STATUS=MR","Sort=A","Dates=H","DateFormat=P","Fill=—","Direction=H","UseDPDF=Y")</f>
        <v>—</v>
      </c>
      <c r="AA71" s="14">
        <f>_xll.BDH("ALNY US Equity","TOTAL_EQUITY_SEQUENTIAL_GROWTH","FQ4 2024","FQ4 2024","Currency=USD","Period=FQ","BEST_FPERIOD_OVERRIDE=FQ","FILING_STATUS=MR","Sort=A","Dates=H","DateFormat=P","Fill=—","Direction=H","UseDPDF=Y")</f>
        <v>107.3561</v>
      </c>
    </row>
    <row r="72" spans="1:27" x14ac:dyDescent="0.25">
      <c r="A72" s="10" t="s">
        <v>1396</v>
      </c>
      <c r="B72" s="10" t="s">
        <v>1439</v>
      </c>
      <c r="C72" s="14">
        <f>_xll.BDH("ALNY US Equity","TOTAL_CAPITAL_SEQUENTIAL_GROWTH","FQ4 2018","FQ4 2018","Currency=USD","Period=FQ","BEST_FPERIOD_OVERRIDE=FQ","FILING_STATUS=MR","Sort=A","Dates=H","DateFormat=P","Fill=—","Direction=H","UseDPDF=Y")</f>
        <v>-11.680400000000001</v>
      </c>
      <c r="D72" s="14">
        <f>_xll.BDH("ALNY US Equity","TOTAL_CAPITAL_SEQUENTIAL_GROWTH","FQ1 2019","FQ1 2019","Currency=USD","Period=FQ","BEST_FPERIOD_OVERRIDE=FQ","FILING_STATUS=MR","Sort=A","Dates=H","DateFormat=P","Fill=—","Direction=H","UseDPDF=Y")</f>
        <v>40.8643</v>
      </c>
      <c r="E72" s="14">
        <f>_xll.BDH("ALNY US Equity","TOTAL_CAPITAL_SEQUENTIAL_GROWTH","FQ2 2019","FQ2 2019","Currency=USD","Period=FQ","BEST_FPERIOD_OVERRIDE=FQ","FILING_STATUS=MR","Sort=A","Dates=H","DateFormat=P","Fill=—","Direction=H","UseDPDF=Y")</f>
        <v>11.591699999999999</v>
      </c>
      <c r="F72" s="14">
        <f>_xll.BDH("ALNY US Equity","TOTAL_CAPITAL_SEQUENTIAL_GROWTH","FQ3 2019","FQ3 2019","Currency=USD","Period=FQ","BEST_FPERIOD_OVERRIDE=FQ","FILING_STATUS=MR","Sort=A","Dates=H","DateFormat=P","Fill=—","Direction=H","UseDPDF=Y")</f>
        <v>-8.6946999999999992</v>
      </c>
      <c r="G72" s="14">
        <f>_xll.BDH("ALNY US Equity","TOTAL_CAPITAL_SEQUENTIAL_GROWTH","FQ4 2019","FQ4 2019","Currency=USD","Period=FQ","BEST_FPERIOD_OVERRIDE=FQ","FILING_STATUS=MR","Sort=A","Dates=H","DateFormat=P","Fill=—","Direction=H","UseDPDF=Y")</f>
        <v>-8.8504000000000005</v>
      </c>
      <c r="H72" s="14">
        <f>_xll.BDH("ALNY US Equity","TOTAL_CAPITAL_SEQUENTIAL_GROWTH","FQ1 2020","FQ1 2020","Currency=USD","Period=FQ","BEST_FPERIOD_OVERRIDE=FQ","FILING_STATUS=MR","Sort=A","Dates=H","DateFormat=P","Fill=—","Direction=H","UseDPDF=Y")</f>
        <v>-5.0479000000000003</v>
      </c>
      <c r="I72" s="14">
        <f>_xll.BDH("ALNY US Equity","TOTAL_CAPITAL_SEQUENTIAL_GROWTH","FQ2 2020","FQ2 2020","Currency=USD","Period=FQ","BEST_FPERIOD_OVERRIDE=FQ","FILING_STATUS=MR","Sort=A","Dates=H","DateFormat=P","Fill=—","Direction=H","UseDPDF=Y")</f>
        <v>3.6406999999999998</v>
      </c>
      <c r="J72" s="14">
        <f>_xll.BDH("ALNY US Equity","TOTAL_CAPITAL_SEQUENTIAL_GROWTH","FQ3 2020","FQ3 2020","Currency=USD","Period=FQ","BEST_FPERIOD_OVERRIDE=FQ","FILING_STATUS=MR","Sort=A","Dates=H","DateFormat=P","Fill=—","Direction=H","UseDPDF=Y")</f>
        <v>-9.9321000000000002</v>
      </c>
      <c r="K72" s="14">
        <f>_xll.BDH("ALNY US Equity","TOTAL_CAPITAL_SEQUENTIAL_GROWTH","FQ4 2020","FQ4 2020","Currency=USD","Period=FQ","BEST_FPERIOD_OVERRIDE=FQ","FILING_STATUS=MR","Sort=A","Dates=H","DateFormat=P","Fill=—","Direction=H","UseDPDF=Y")</f>
        <v>-0.45590000000000003</v>
      </c>
      <c r="L72" s="14">
        <f>_xll.BDH("ALNY US Equity","TOTAL_CAPITAL_SEQUENTIAL_GROWTH","FQ1 2021","FQ1 2021","Currency=USD","Period=FQ","BEST_FPERIOD_OVERRIDE=FQ","FILING_STATUS=MR","Sort=A","Dates=H","DateFormat=P","Fill=—","Direction=H","UseDPDF=Y")</f>
        <v>-6.0311000000000003</v>
      </c>
      <c r="M72" s="14">
        <f>_xll.BDH("ALNY US Equity","TOTAL_CAPITAL_SEQUENTIAL_GROWTH","FQ2 2021","FQ2 2021","Currency=USD","Period=FQ","BEST_FPERIOD_OVERRIDE=FQ","FILING_STATUS=MR","Sort=A","Dates=H","DateFormat=P","Fill=—","Direction=H","UseDPDF=Y")</f>
        <v>11.7478</v>
      </c>
      <c r="N72" s="14">
        <f>_xll.BDH("ALNY US Equity","TOTAL_CAPITAL_SEQUENTIAL_GROWTH","FQ3 2021","FQ3 2021","Currency=USD","Period=FQ","BEST_FPERIOD_OVERRIDE=FQ","FILING_STATUS=MR","Sort=A","Dates=H","DateFormat=P","Fill=—","Direction=H","UseDPDF=Y")</f>
        <v>-6.0763999999999996</v>
      </c>
      <c r="O72" s="14">
        <f>_xll.BDH("ALNY US Equity","TOTAL_CAPITAL_SEQUENTIAL_GROWTH","FQ4 2021","FQ4 2021","Currency=USD","Period=FQ","BEST_FPERIOD_OVERRIDE=FQ","FILING_STATUS=MR","Sort=A","Dates=H","DateFormat=P","Fill=—","Direction=H","UseDPDF=Y")</f>
        <v>4.5808999999999997</v>
      </c>
      <c r="P72" s="14">
        <f>_xll.BDH("ALNY US Equity","TOTAL_CAPITAL_SEQUENTIAL_GROWTH","FQ1 2022","FQ1 2022","Currency=USD","Period=FQ","BEST_FPERIOD_OVERRIDE=FQ","FILING_STATUS=MR","Sort=A","Dates=H","DateFormat=P","Fill=—","Direction=H","UseDPDF=Y")</f>
        <v>-11.9335</v>
      </c>
      <c r="Q72" s="14">
        <f>_xll.BDH("ALNY US Equity","TOTAL_CAPITAL_SEQUENTIAL_GROWTH","FQ2 2022","FQ2 2022","Currency=USD","Period=FQ","BEST_FPERIOD_OVERRIDE=FQ","FILING_STATUS=MR","Sort=A","Dates=H","DateFormat=P","Fill=—","Direction=H","UseDPDF=Y")</f>
        <v>-16.4361</v>
      </c>
      <c r="R72" s="14">
        <f>_xll.BDH("ALNY US Equity","TOTAL_CAPITAL_SEQUENTIAL_GROWTH","FQ3 2022","FQ3 2022","Currency=USD","Period=FQ","BEST_FPERIOD_OVERRIDE=FQ","FILING_STATUS=MR","Sort=A","Dates=H","DateFormat=P","Fill=—","Direction=H","UseDPDF=Y")</f>
        <v>26.145700000000001</v>
      </c>
      <c r="S72" s="14">
        <f>_xll.BDH("ALNY US Equity","TOTAL_CAPITAL_SEQUENTIAL_GROWTH","FQ4 2022","FQ4 2022","Currency=USD","Period=FQ","BEST_FPERIOD_OVERRIDE=FQ","FILING_STATUS=MR","Sort=A","Dates=H","DateFormat=P","Fill=—","Direction=H","UseDPDF=Y")</f>
        <v>-21.0655</v>
      </c>
      <c r="T72" s="14">
        <f>_xll.BDH("ALNY US Equity","TOTAL_CAPITAL_SEQUENTIAL_GROWTH","FQ1 2023","FQ1 2023","Currency=USD","Period=FQ","BEST_FPERIOD_OVERRIDE=FQ","FILING_STATUS=MR","Sort=A","Dates=H","DateFormat=P","Fill=—","Direction=H","UseDPDF=Y")</f>
        <v>-8.6852</v>
      </c>
      <c r="U72" s="14">
        <f>_xll.BDH("ALNY US Equity","TOTAL_CAPITAL_SEQUENTIAL_GROWTH","FQ2 2023","FQ2 2023","Currency=USD","Period=FQ","BEST_FPERIOD_OVERRIDE=FQ","FILING_STATUS=MR","Sort=A","Dates=H","DateFormat=P","Fill=—","Direction=H","UseDPDF=Y")</f>
        <v>-14.598000000000001</v>
      </c>
      <c r="V72" s="14">
        <f>_xll.BDH("ALNY US Equity","TOTAL_CAPITAL_SEQUENTIAL_GROWTH","FQ3 2023","FQ3 2023","Currency=USD","Period=FQ","BEST_FPERIOD_OVERRIDE=FQ","FILING_STATUS=MR","Sort=A","Dates=H","DateFormat=P","Fill=—","Direction=H","UseDPDF=Y")</f>
        <v>26.1496</v>
      </c>
      <c r="W72" s="14">
        <f>_xll.BDH("ALNY US Equity","TOTAL_CAPITAL_SEQUENTIAL_GROWTH","FQ4 2023","FQ4 2023","Currency=USD","Period=FQ","BEST_FPERIOD_OVERRIDE=FQ","FILING_STATUS=MR","Sort=A","Dates=H","DateFormat=P","Fill=—","Direction=H","UseDPDF=Y")</f>
        <v>-5.1109999999999998</v>
      </c>
      <c r="X72" s="14">
        <f>_xll.BDH("ALNY US Equity","TOTAL_CAPITAL_SEQUENTIAL_GROWTH","FQ1 2024","FQ1 2024","Currency=USD","Period=FQ","BEST_FPERIOD_OVERRIDE=FQ","FILING_STATUS=MR","Sort=A","Dates=H","DateFormat=P","Fill=—","Direction=H","UseDPDF=Y")</f>
        <v>-0.25650000000000001</v>
      </c>
      <c r="Y72" s="14">
        <f>_xll.BDH("ALNY US Equity","TOTAL_CAPITAL_SEQUENTIAL_GROWTH","FQ2 2024","FQ2 2024","Currency=USD","Period=FQ","BEST_FPERIOD_OVERRIDE=FQ","FILING_STATUS=MR","Sort=A","Dates=H","DateFormat=P","Fill=—","Direction=H","UseDPDF=Y")</f>
        <v>144.298</v>
      </c>
      <c r="Z72" s="14">
        <f>_xll.BDH("ALNY US Equity","TOTAL_CAPITAL_SEQUENTIAL_GROWTH","FQ3 2024","FQ3 2024","Currency=USD","Period=FQ","BEST_FPERIOD_OVERRIDE=FQ","FILING_STATUS=MR","Sort=A","Dates=H","DateFormat=P","Fill=—","Direction=H","UseDPDF=Y")</f>
        <v>-49.5242</v>
      </c>
      <c r="AA72" s="14">
        <f>_xll.BDH("ALNY US Equity","TOTAL_CAPITAL_SEQUENTIAL_GROWTH","FQ4 2024","FQ4 2024","Currency=USD","Period=FQ","BEST_FPERIOD_OVERRIDE=FQ","FILING_STATUS=MR","Sort=A","Dates=H","DateFormat=P","Fill=—","Direction=H","UseDPDF=Y")</f>
        <v>2.1701999999999999</v>
      </c>
    </row>
    <row r="73" spans="1:27" x14ac:dyDescent="0.25">
      <c r="A73" s="10" t="s">
        <v>1398</v>
      </c>
      <c r="B73" s="10" t="s">
        <v>1440</v>
      </c>
      <c r="C73" s="14">
        <f>_xll.BDH("ALNY US Equity","BPS_SEQUENTIAL_GROWTH","FQ4 2018","FQ4 2018","Currency=USD","Period=FQ","BEST_FPERIOD_OVERRIDE=FQ","FILING_STATUS=MR","Sort=A","Dates=H","DateFormat=P","Fill=—","Direction=H","UseDPDF=Y")</f>
        <v>-12.099299999999999</v>
      </c>
      <c r="D73" s="14">
        <f>_xll.BDH("ALNY US Equity","BPS_SEQUENTIAL_GROWTH","FQ1 2019","FQ1 2019","Currency=USD","Period=FQ","BEST_FPERIOD_OVERRIDE=FQ","FILING_STATUS=MR","Sort=A","Dates=H","DateFormat=P","Fill=—","Direction=H","UseDPDF=Y")</f>
        <v>12.986700000000001</v>
      </c>
      <c r="E73" s="14">
        <f>_xll.BDH("ALNY US Equity","BPS_SEQUENTIAL_GROWTH","FQ2 2019","FQ2 2019","Currency=USD","Period=FQ","BEST_FPERIOD_OVERRIDE=FQ","FILING_STATUS=MR","Sort=A","Dates=H","DateFormat=P","Fill=—","Direction=H","UseDPDF=Y")</f>
        <v>8.7692999999999994</v>
      </c>
      <c r="F73" s="14">
        <f>_xll.BDH("ALNY US Equity","BPS_SEQUENTIAL_GROWTH","FQ3 2019","FQ3 2019","Currency=USD","Period=FQ","BEST_FPERIOD_OVERRIDE=FQ","FILING_STATUS=MR","Sort=A","Dates=H","DateFormat=P","Fill=—","Direction=H","UseDPDF=Y")</f>
        <v>-8.7157999999999998</v>
      </c>
      <c r="G73" s="14">
        <f>_xll.BDH("ALNY US Equity","BPS_SEQUENTIAL_GROWTH","FQ4 2019","FQ4 2019","Currency=USD","Period=FQ","BEST_FPERIOD_OVERRIDE=FQ","FILING_STATUS=MR","Sort=A","Dates=H","DateFormat=P","Fill=—","Direction=H","UseDPDF=Y")</f>
        <v>-11.1669</v>
      </c>
      <c r="H73" s="14">
        <f>_xll.BDH("ALNY US Equity","BPS_SEQUENTIAL_GROWTH","FQ1 2020","FQ1 2020","Currency=USD","Period=FQ","BEST_FPERIOD_OVERRIDE=FQ","FILING_STATUS=MR","Sort=A","Dates=H","DateFormat=P","Fill=—","Direction=H","UseDPDF=Y")</f>
        <v>-6.9960000000000004</v>
      </c>
      <c r="I73" s="14">
        <f>_xll.BDH("ALNY US Equity","BPS_SEQUENTIAL_GROWTH","FQ2 2020","FQ2 2020","Currency=USD","Period=FQ","BEST_FPERIOD_OVERRIDE=FQ","FILING_STATUS=MR","Sort=A","Dates=H","DateFormat=P","Fill=—","Direction=H","UseDPDF=Y")</f>
        <v>1.4812000000000001</v>
      </c>
      <c r="J73" s="14">
        <f>_xll.BDH("ALNY US Equity","BPS_SEQUENTIAL_GROWTH","FQ3 2020","FQ3 2020","Currency=USD","Period=FQ","BEST_FPERIOD_OVERRIDE=FQ","FILING_STATUS=MR","Sort=A","Dates=H","DateFormat=P","Fill=—","Direction=H","UseDPDF=Y")</f>
        <v>-13.5664</v>
      </c>
      <c r="K73" s="14">
        <f>_xll.BDH("ALNY US Equity","BPS_SEQUENTIAL_GROWTH","FQ4 2020","FQ4 2020","Currency=USD","Period=FQ","BEST_FPERIOD_OVERRIDE=FQ","FILING_STATUS=MR","Sort=A","Dates=H","DateFormat=P","Fill=—","Direction=H","UseDPDF=Y")</f>
        <v>-16.5639</v>
      </c>
      <c r="L73" s="14">
        <f>_xll.BDH("ALNY US Equity","BPS_SEQUENTIAL_GROWTH","FQ1 2021","FQ1 2021","Currency=USD","Period=FQ","BEST_FPERIOD_OVERRIDE=FQ","FILING_STATUS=MR","Sort=A","Dates=H","DateFormat=P","Fill=—","Direction=H","UseDPDF=Y")</f>
        <v>-9.5562000000000005</v>
      </c>
      <c r="M73" s="14">
        <f>_xll.BDH("ALNY US Equity","BPS_SEQUENTIAL_GROWTH","FQ2 2021","FQ2 2021","Currency=USD","Period=FQ","BEST_FPERIOD_OVERRIDE=FQ","FILING_STATUS=MR","Sort=A","Dates=H","DateFormat=P","Fill=—","Direction=H","UseDPDF=Y")</f>
        <v>-8.8536999999999999</v>
      </c>
      <c r="N73" s="14">
        <f>_xll.BDH("ALNY US Equity","BPS_SEQUENTIAL_GROWTH","FQ3 2021","FQ3 2021","Currency=USD","Period=FQ","BEST_FPERIOD_OVERRIDE=FQ","FILING_STATUS=MR","Sort=A","Dates=H","DateFormat=P","Fill=—","Direction=H","UseDPDF=Y")</f>
        <v>-12.0771</v>
      </c>
      <c r="O73" s="14">
        <f>_xll.BDH("ALNY US Equity","BPS_SEQUENTIAL_GROWTH","FQ4 2021","FQ4 2021","Currency=USD","Period=FQ","BEST_FPERIOD_OVERRIDE=FQ","FILING_STATUS=MR","Sort=A","Dates=H","DateFormat=P","Fill=—","Direction=H","UseDPDF=Y")</f>
        <v>-22.6389</v>
      </c>
      <c r="P73" s="14">
        <f>_xll.BDH("ALNY US Equity","BPS_SEQUENTIAL_GROWTH","FQ1 2022","FQ1 2022","Currency=USD","Period=FQ","BEST_FPERIOD_OVERRIDE=FQ","FILING_STATUS=MR","Sort=A","Dates=H","DateFormat=P","Fill=—","Direction=H","UseDPDF=Y")</f>
        <v>-32.106999999999999</v>
      </c>
      <c r="Q73" s="14">
        <f>_xll.BDH("ALNY US Equity","BPS_SEQUENTIAL_GROWTH","FQ2 2022","FQ2 2022","Currency=USD","Period=FQ","BEST_FPERIOD_OVERRIDE=FQ","FILING_STATUS=MR","Sort=A","Dates=H","DateFormat=P","Fill=—","Direction=H","UseDPDF=Y")</f>
        <v>-56.213299999999997</v>
      </c>
      <c r="R73" s="14">
        <f>_xll.BDH("ALNY US Equity","BPS_SEQUENTIAL_GROWTH","FQ3 2022","FQ3 2022","Currency=USD","Period=FQ","BEST_FPERIOD_OVERRIDE=FQ","FILING_STATUS=MR","Sort=A","Dates=H","DateFormat=P","Fill=—","Direction=H","UseDPDF=Y")</f>
        <v>-137.79750000000001</v>
      </c>
      <c r="S73" s="14" t="str">
        <f>_xll.BDH("ALNY US Equity","BPS_SEQUENTIAL_GROWTH","FQ4 2022","FQ4 2022","Currency=USD","Period=FQ","BEST_FPERIOD_OVERRIDE=FQ","FILING_STATUS=MR","Sort=A","Dates=H","DateFormat=P","Fill=—","Direction=H","UseDPDF=Y")</f>
        <v>—</v>
      </c>
      <c r="T73" s="14" t="str">
        <f>_xll.BDH("ALNY US Equity","BPS_SEQUENTIAL_GROWTH","FQ1 2023","FQ1 2023","Currency=USD","Period=FQ","BEST_FPERIOD_OVERRIDE=FQ","FILING_STATUS=MR","Sort=A","Dates=H","DateFormat=P","Fill=—","Direction=H","UseDPDF=Y")</f>
        <v>—</v>
      </c>
      <c r="U73" s="14" t="str">
        <f>_xll.BDH("ALNY US Equity","BPS_SEQUENTIAL_GROWTH","FQ2 2023","FQ2 2023","Currency=USD","Period=FQ","BEST_FPERIOD_OVERRIDE=FQ","FILING_STATUS=MR","Sort=A","Dates=H","DateFormat=P","Fill=—","Direction=H","UseDPDF=Y")</f>
        <v>—</v>
      </c>
      <c r="V73" s="14" t="str">
        <f>_xll.BDH("ALNY US Equity","BPS_SEQUENTIAL_GROWTH","FQ3 2023","FQ3 2023","Currency=USD","Period=FQ","BEST_FPERIOD_OVERRIDE=FQ","FILING_STATUS=MR","Sort=A","Dates=H","DateFormat=P","Fill=—","Direction=H","UseDPDF=Y")</f>
        <v>—</v>
      </c>
      <c r="W73" s="14" t="str">
        <f>_xll.BDH("ALNY US Equity","BPS_SEQUENTIAL_GROWTH","FQ4 2023","FQ4 2023","Currency=USD","Period=FQ","BEST_FPERIOD_OVERRIDE=FQ","FILING_STATUS=MR","Sort=A","Dates=H","DateFormat=P","Fill=—","Direction=H","UseDPDF=Y")</f>
        <v>—</v>
      </c>
      <c r="X73" s="14" t="str">
        <f>_xll.BDH("ALNY US Equity","BPS_SEQUENTIAL_GROWTH","FQ1 2024","FQ1 2024","Currency=USD","Period=FQ","BEST_FPERIOD_OVERRIDE=FQ","FILING_STATUS=MR","Sort=A","Dates=H","DateFormat=P","Fill=—","Direction=H","UseDPDF=Y")</f>
        <v>—</v>
      </c>
      <c r="Y73" s="14" t="str">
        <f>_xll.BDH("ALNY US Equity","BPS_SEQUENTIAL_GROWTH","FQ2 2024","FQ2 2024","Currency=USD","Period=FQ","BEST_FPERIOD_OVERRIDE=FQ","FILING_STATUS=MR","Sort=A","Dates=H","DateFormat=P","Fill=—","Direction=H","UseDPDF=Y")</f>
        <v>—</v>
      </c>
      <c r="Z73" s="14" t="str">
        <f>_xll.BDH("ALNY US Equity","BPS_SEQUENTIAL_GROWTH","FQ3 2024","FQ3 2024","Currency=USD","Period=FQ","BEST_FPERIOD_OVERRIDE=FQ","FILING_STATUS=MR","Sort=A","Dates=H","DateFormat=P","Fill=—","Direction=H","UseDPDF=Y")</f>
        <v>—</v>
      </c>
      <c r="AA73" s="14">
        <f>_xll.BDH("ALNY US Equity","BPS_SEQUENTIAL_GROWTH","FQ4 2024","FQ4 2024","Currency=USD","Period=FQ","BEST_FPERIOD_OVERRIDE=FQ","FILING_STATUS=MR","Sort=A","Dates=H","DateFormat=P","Fill=—","Direction=H","UseDPDF=Y")</f>
        <v>106.6296</v>
      </c>
    </row>
    <row r="74" spans="1:27" x14ac:dyDescent="0.25">
      <c r="A74" s="10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10" t="s">
        <v>124</v>
      </c>
      <c r="B75" s="10" t="s">
        <v>1441</v>
      </c>
      <c r="C75" s="14" t="str">
        <f>_xll.BDH("ALNY US Equity","CFO_SEQUENTIAL_GROWTH","FQ4 2018","FQ4 2018","Currency=USD","Period=FQ","BEST_FPERIOD_OVERRIDE=FQ","FILING_STATUS=MR","Sort=A","Dates=H","DateFormat=P","Fill=—","Direction=H","UseDPDF=Y")</f>
        <v>—</v>
      </c>
      <c r="D75" s="14" t="str">
        <f>_xll.BDH("ALNY US Equity","CFO_SEQUENTIAL_GROWTH","FQ1 2019","FQ1 2019","Currency=USD","Period=FQ","BEST_FPERIOD_OVERRIDE=FQ","FILING_STATUS=MR","Sort=A","Dates=H","DateFormat=P","Fill=—","Direction=H","UseDPDF=Y")</f>
        <v>—</v>
      </c>
      <c r="E75" s="14" t="str">
        <f>_xll.BDH("ALNY US Equity","CFO_SEQUENTIAL_GROWTH","FQ2 2019","FQ2 2019","Currency=USD","Period=FQ","BEST_FPERIOD_OVERRIDE=FQ","FILING_STATUS=MR","Sort=A","Dates=H","DateFormat=P","Fill=—","Direction=H","UseDPDF=Y")</f>
        <v>—</v>
      </c>
      <c r="F75" s="14">
        <f>_xll.BDH("ALNY US Equity","CFO_SEQUENTIAL_GROWTH","FQ3 2019","FQ3 2019","Currency=USD","Period=FQ","BEST_FPERIOD_OVERRIDE=FQ","FILING_STATUS=MR","Sort=A","Dates=H","DateFormat=P","Fill=—","Direction=H","UseDPDF=Y")</f>
        <v>-163.2612</v>
      </c>
      <c r="G75" s="14" t="str">
        <f>_xll.BDH("ALNY US Equity","CFO_SEQUENTIAL_GROWTH","FQ4 2019","FQ4 2019","Currency=USD","Period=FQ","BEST_FPERIOD_OVERRIDE=FQ","FILING_STATUS=MR","Sort=A","Dates=H","DateFormat=P","Fill=—","Direction=H","UseDPDF=Y")</f>
        <v>—</v>
      </c>
      <c r="H75" s="14" t="str">
        <f>_xll.BDH("ALNY US Equity","CFO_SEQUENTIAL_GROWTH","FQ1 2020","FQ1 2020","Currency=USD","Period=FQ","BEST_FPERIOD_OVERRIDE=FQ","FILING_STATUS=MR","Sort=A","Dates=H","DateFormat=P","Fill=—","Direction=H","UseDPDF=Y")</f>
        <v>—</v>
      </c>
      <c r="I75" s="14" t="str">
        <f>_xll.BDH("ALNY US Equity","CFO_SEQUENTIAL_GROWTH","FQ2 2020","FQ2 2020","Currency=USD","Period=FQ","BEST_FPERIOD_OVERRIDE=FQ","FILING_STATUS=MR","Sort=A","Dates=H","DateFormat=P","Fill=—","Direction=H","UseDPDF=Y")</f>
        <v>—</v>
      </c>
      <c r="J75" s="14" t="str">
        <f>_xll.BDH("ALNY US Equity","CFO_SEQUENTIAL_GROWTH","FQ3 2020","FQ3 2020","Currency=USD","Period=FQ","BEST_FPERIOD_OVERRIDE=FQ","FILING_STATUS=MR","Sort=A","Dates=H","DateFormat=P","Fill=—","Direction=H","UseDPDF=Y")</f>
        <v>—</v>
      </c>
      <c r="K75" s="14" t="str">
        <f>_xll.BDH("ALNY US Equity","CFO_SEQUENTIAL_GROWTH","FQ4 2020","FQ4 2020","Currency=USD","Period=FQ","BEST_FPERIOD_OVERRIDE=FQ","FILING_STATUS=MR","Sort=A","Dates=H","DateFormat=P","Fill=—","Direction=H","UseDPDF=Y")</f>
        <v>—</v>
      </c>
      <c r="L75" s="14" t="str">
        <f>_xll.BDH("ALNY US Equity","CFO_SEQUENTIAL_GROWTH","FQ1 2021","FQ1 2021","Currency=USD","Period=FQ","BEST_FPERIOD_OVERRIDE=FQ","FILING_STATUS=MR","Sort=A","Dates=H","DateFormat=P","Fill=—","Direction=H","UseDPDF=Y")</f>
        <v>—</v>
      </c>
      <c r="M75" s="14" t="str">
        <f>_xll.BDH("ALNY US Equity","CFO_SEQUENTIAL_GROWTH","FQ2 2021","FQ2 2021","Currency=USD","Period=FQ","BEST_FPERIOD_OVERRIDE=FQ","FILING_STATUS=MR","Sort=A","Dates=H","DateFormat=P","Fill=—","Direction=H","UseDPDF=Y")</f>
        <v>—</v>
      </c>
      <c r="N75" s="14" t="str">
        <f>_xll.BDH("ALNY US Equity","CFO_SEQUENTIAL_GROWTH","FQ3 2021","FQ3 2021","Currency=USD","Period=FQ","BEST_FPERIOD_OVERRIDE=FQ","FILING_STATUS=MR","Sort=A","Dates=H","DateFormat=P","Fill=—","Direction=H","UseDPDF=Y")</f>
        <v>—</v>
      </c>
      <c r="O75" s="14" t="str">
        <f>_xll.BDH("ALNY US Equity","CFO_SEQUENTIAL_GROWTH","FQ4 2021","FQ4 2021","Currency=USD","Period=FQ","BEST_FPERIOD_OVERRIDE=FQ","FILING_STATUS=MR","Sort=A","Dates=H","DateFormat=P","Fill=—","Direction=H","UseDPDF=Y")</f>
        <v>—</v>
      </c>
      <c r="P75" s="14" t="str">
        <f>_xll.BDH("ALNY US Equity","CFO_SEQUENTIAL_GROWTH","FQ1 2022","FQ1 2022","Currency=USD","Period=FQ","BEST_FPERIOD_OVERRIDE=FQ","FILING_STATUS=MR","Sort=A","Dates=H","DateFormat=P","Fill=—","Direction=H","UseDPDF=Y")</f>
        <v>—</v>
      </c>
      <c r="Q75" s="14" t="str">
        <f>_xll.BDH("ALNY US Equity","CFO_SEQUENTIAL_GROWTH","FQ2 2022","FQ2 2022","Currency=USD","Period=FQ","BEST_FPERIOD_OVERRIDE=FQ","FILING_STATUS=MR","Sort=A","Dates=H","DateFormat=P","Fill=—","Direction=H","UseDPDF=Y")</f>
        <v>—</v>
      </c>
      <c r="R75" s="14" t="str">
        <f>_xll.BDH("ALNY US Equity","CFO_SEQUENTIAL_GROWTH","FQ3 2022","FQ3 2022","Currency=USD","Period=FQ","BEST_FPERIOD_OVERRIDE=FQ","FILING_STATUS=MR","Sort=A","Dates=H","DateFormat=P","Fill=—","Direction=H","UseDPDF=Y")</f>
        <v>—</v>
      </c>
      <c r="S75" s="14" t="str">
        <f>_xll.BDH("ALNY US Equity","CFO_SEQUENTIAL_GROWTH","FQ4 2022","FQ4 2022","Currency=USD","Period=FQ","BEST_FPERIOD_OVERRIDE=FQ","FILING_STATUS=MR","Sort=A","Dates=H","DateFormat=P","Fill=—","Direction=H","UseDPDF=Y")</f>
        <v>—</v>
      </c>
      <c r="T75" s="14" t="str">
        <f>_xll.BDH("ALNY US Equity","CFO_SEQUENTIAL_GROWTH","FQ1 2023","FQ1 2023","Currency=USD","Period=FQ","BEST_FPERIOD_OVERRIDE=FQ","FILING_STATUS=MR","Sort=A","Dates=H","DateFormat=P","Fill=—","Direction=H","UseDPDF=Y")</f>
        <v>—</v>
      </c>
      <c r="U75" s="14" t="str">
        <f>_xll.BDH("ALNY US Equity","CFO_SEQUENTIAL_GROWTH","FQ2 2023","FQ2 2023","Currency=USD","Period=FQ","BEST_FPERIOD_OVERRIDE=FQ","FILING_STATUS=MR","Sort=A","Dates=H","DateFormat=P","Fill=—","Direction=H","UseDPDF=Y")</f>
        <v>—</v>
      </c>
      <c r="V75" s="14" t="str">
        <f>_xll.BDH("ALNY US Equity","CFO_SEQUENTIAL_GROWTH","FQ3 2023","FQ3 2023","Currency=USD","Period=FQ","BEST_FPERIOD_OVERRIDE=FQ","FILING_STATUS=MR","Sort=A","Dates=H","DateFormat=P","Fill=—","Direction=H","UseDPDF=Y")</f>
        <v>—</v>
      </c>
      <c r="W75" s="14">
        <f>_xll.BDH("ALNY US Equity","CFO_SEQUENTIAL_GROWTH","FQ4 2023","FQ4 2023","Currency=USD","Period=FQ","BEST_FPERIOD_OVERRIDE=FQ","FILING_STATUS=MR","Sort=A","Dates=H","DateFormat=P","Fill=—","Direction=H","UseDPDF=Y")</f>
        <v>-108.2899</v>
      </c>
      <c r="X75" s="14" t="str">
        <f>_xll.BDH("ALNY US Equity","CFO_SEQUENTIAL_GROWTH","FQ1 2024","FQ1 2024","Currency=USD","Period=FQ","BEST_FPERIOD_OVERRIDE=FQ","FILING_STATUS=MR","Sort=A","Dates=H","DateFormat=P","Fill=—","Direction=H","UseDPDF=Y")</f>
        <v>—</v>
      </c>
      <c r="Y75" s="14" t="str">
        <f>_xll.BDH("ALNY US Equity","CFO_SEQUENTIAL_GROWTH","FQ2 2024","FQ2 2024","Currency=USD","Period=FQ","BEST_FPERIOD_OVERRIDE=FQ","FILING_STATUS=MR","Sort=A","Dates=H","DateFormat=P","Fill=—","Direction=H","UseDPDF=Y")</f>
        <v>—</v>
      </c>
      <c r="Z75" s="14">
        <f>_xll.BDH("ALNY US Equity","CFO_SEQUENTIAL_GROWTH","FQ3 2024","FQ3 2024","Currency=USD","Period=FQ","BEST_FPERIOD_OVERRIDE=FQ","FILING_STATUS=MR","Sort=A","Dates=H","DateFormat=P","Fill=—","Direction=H","UseDPDF=Y")</f>
        <v>-64.797300000000007</v>
      </c>
      <c r="AA75" s="14">
        <f>_xll.BDH("ALNY US Equity","CFO_SEQUENTIAL_GROWTH","FQ4 2024","FQ4 2024","Currency=USD","Period=FQ","BEST_FPERIOD_OVERRIDE=FQ","FILING_STATUS=MR","Sort=A","Dates=H","DateFormat=P","Fill=—","Direction=H","UseDPDF=Y")</f>
        <v>-316.58319999999998</v>
      </c>
    </row>
    <row r="76" spans="1:27" x14ac:dyDescent="0.25">
      <c r="A76" s="10" t="s">
        <v>86</v>
      </c>
      <c r="B76" s="10" t="s">
        <v>1442</v>
      </c>
      <c r="C76" s="14">
        <f>_xll.BDH("ALNY US Equity","CAPEX_SEQUENTIAL_GROWTH","FQ4 2018","FQ4 2018","Currency=USD","Period=FQ","BEST_FPERIOD_OVERRIDE=FQ","FILING_STATUS=MR","Sort=A","Dates=H","DateFormat=P","Fill=—","Direction=H","UseDPDF=Y")</f>
        <v>-17.3886</v>
      </c>
      <c r="D76" s="14">
        <f>_xll.BDH("ALNY US Equity","CAPEX_SEQUENTIAL_GROWTH","FQ1 2019","FQ1 2019","Currency=USD","Period=FQ","BEST_FPERIOD_OVERRIDE=FQ","FILING_STATUS=MR","Sort=A","Dates=H","DateFormat=P","Fill=—","Direction=H","UseDPDF=Y")</f>
        <v>17.423300000000001</v>
      </c>
      <c r="E76" s="14">
        <f>_xll.BDH("ALNY US Equity","CAPEX_SEQUENTIAL_GROWTH","FQ2 2019","FQ2 2019","Currency=USD","Period=FQ","BEST_FPERIOD_OVERRIDE=FQ","FILING_STATUS=MR","Sort=A","Dates=H","DateFormat=P","Fill=—","Direction=H","UseDPDF=Y")</f>
        <v>-51.771900000000002</v>
      </c>
      <c r="F76" s="14">
        <f>_xll.BDH("ALNY US Equity","CAPEX_SEQUENTIAL_GROWTH","FQ3 2019","FQ3 2019","Currency=USD","Period=FQ","BEST_FPERIOD_OVERRIDE=FQ","FILING_STATUS=MR","Sort=A","Dates=H","DateFormat=P","Fill=—","Direction=H","UseDPDF=Y")</f>
        <v>69.732600000000005</v>
      </c>
      <c r="G76" s="14">
        <f>_xll.BDH("ALNY US Equity","CAPEX_SEQUENTIAL_GROWTH","FQ4 2019","FQ4 2019","Currency=USD","Period=FQ","BEST_FPERIOD_OVERRIDE=FQ","FILING_STATUS=MR","Sort=A","Dates=H","DateFormat=P","Fill=—","Direction=H","UseDPDF=Y")</f>
        <v>7.6182999999999996</v>
      </c>
      <c r="H76" s="14">
        <f>_xll.BDH("ALNY US Equity","CAPEX_SEQUENTIAL_GROWTH","FQ1 2020","FQ1 2020","Currency=USD","Period=FQ","BEST_FPERIOD_OVERRIDE=FQ","FILING_STATUS=MR","Sort=A","Dates=H","DateFormat=P","Fill=—","Direction=H","UseDPDF=Y")</f>
        <v>-49.447200000000002</v>
      </c>
      <c r="I76" s="14">
        <f>_xll.BDH("ALNY US Equity","CAPEX_SEQUENTIAL_GROWTH","FQ2 2020","FQ2 2020","Currency=USD","Period=FQ","BEST_FPERIOD_OVERRIDE=FQ","FILING_STATUS=MR","Sort=A","Dates=H","DateFormat=P","Fill=—","Direction=H","UseDPDF=Y")</f>
        <v>-15.0839</v>
      </c>
      <c r="J76" s="14">
        <f>_xll.BDH("ALNY US Equity","CAPEX_SEQUENTIAL_GROWTH","FQ3 2020","FQ3 2020","Currency=USD","Period=FQ","BEST_FPERIOD_OVERRIDE=FQ","FILING_STATUS=MR","Sort=A","Dates=H","DateFormat=P","Fill=—","Direction=H","UseDPDF=Y")</f>
        <v>-25.453199999999999</v>
      </c>
      <c r="K76" s="14">
        <f>_xll.BDH("ALNY US Equity","CAPEX_SEQUENTIAL_GROWTH","FQ4 2020","FQ4 2020","Currency=USD","Period=FQ","BEST_FPERIOD_OVERRIDE=FQ","FILING_STATUS=MR","Sort=A","Dates=H","DateFormat=P","Fill=—","Direction=H","UseDPDF=Y")</f>
        <v>74.488600000000005</v>
      </c>
      <c r="L76" s="14">
        <f>_xll.BDH("ALNY US Equity","CAPEX_SEQUENTIAL_GROWTH","FQ1 2021","FQ1 2021","Currency=USD","Period=FQ","BEST_FPERIOD_OVERRIDE=FQ","FILING_STATUS=MR","Sort=A","Dates=H","DateFormat=P","Fill=—","Direction=H","UseDPDF=Y")</f>
        <v>-20.721800000000002</v>
      </c>
      <c r="M76" s="14">
        <f>_xll.BDH("ALNY US Equity","CAPEX_SEQUENTIAL_GROWTH","FQ2 2021","FQ2 2021","Currency=USD","Period=FQ","BEST_FPERIOD_OVERRIDE=FQ","FILING_STATUS=MR","Sort=A","Dates=H","DateFormat=P","Fill=—","Direction=H","UseDPDF=Y")</f>
        <v>-34.532499999999999</v>
      </c>
      <c r="N76" s="14">
        <f>_xll.BDH("ALNY US Equity","CAPEX_SEQUENTIAL_GROWTH","FQ3 2021","FQ3 2021","Currency=USD","Period=FQ","BEST_FPERIOD_OVERRIDE=FQ","FILING_STATUS=MR","Sort=A","Dates=H","DateFormat=P","Fill=—","Direction=H","UseDPDF=Y")</f>
        <v>131.74459999999999</v>
      </c>
      <c r="O76" s="14">
        <f>_xll.BDH("ALNY US Equity","CAPEX_SEQUENTIAL_GROWTH","FQ4 2021","FQ4 2021","Currency=USD","Period=FQ","BEST_FPERIOD_OVERRIDE=FQ","FILING_STATUS=MR","Sort=A","Dates=H","DateFormat=P","Fill=—","Direction=H","UseDPDF=Y")</f>
        <v>-16.023299999999999</v>
      </c>
      <c r="P76" s="14">
        <f>_xll.BDH("ALNY US Equity","CAPEX_SEQUENTIAL_GROWTH","FQ1 2022","FQ1 2022","Currency=USD","Period=FQ","BEST_FPERIOD_OVERRIDE=FQ","FILING_STATUS=MR","Sort=A","Dates=H","DateFormat=P","Fill=—","Direction=H","UseDPDF=Y")</f>
        <v>-18.399899999999999</v>
      </c>
      <c r="Q76" s="14">
        <f>_xll.BDH("ALNY US Equity","CAPEX_SEQUENTIAL_GROWTH","FQ2 2022","FQ2 2022","Currency=USD","Period=FQ","BEST_FPERIOD_OVERRIDE=FQ","FILING_STATUS=MR","Sort=A","Dates=H","DateFormat=P","Fill=—","Direction=H","UseDPDF=Y")</f>
        <v>-10.1013</v>
      </c>
      <c r="R76" s="14">
        <f>_xll.BDH("ALNY US Equity","CAPEX_SEQUENTIAL_GROWTH","FQ3 2022","FQ3 2022","Currency=USD","Period=FQ","BEST_FPERIOD_OVERRIDE=FQ","FILING_STATUS=MR","Sort=A","Dates=H","DateFormat=P","Fill=—","Direction=H","UseDPDF=Y")</f>
        <v>2.8340000000000001</v>
      </c>
      <c r="S76" s="14">
        <f>_xll.BDH("ALNY US Equity","CAPEX_SEQUENTIAL_GROWTH","FQ4 2022","FQ4 2022","Currency=USD","Period=FQ","BEST_FPERIOD_OVERRIDE=FQ","FILING_STATUS=MR","Sort=A","Dates=H","DateFormat=P","Fill=—","Direction=H","UseDPDF=Y")</f>
        <v>31.041799999999999</v>
      </c>
      <c r="T76" s="14">
        <f>_xll.BDH("ALNY US Equity","CAPEX_SEQUENTIAL_GROWTH","FQ1 2023","FQ1 2023","Currency=USD","Period=FQ","BEST_FPERIOD_OVERRIDE=FQ","FILING_STATUS=MR","Sort=A","Dates=H","DateFormat=P","Fill=—","Direction=H","UseDPDF=Y")</f>
        <v>-35.793900000000001</v>
      </c>
      <c r="U76" s="14">
        <f>_xll.BDH("ALNY US Equity","CAPEX_SEQUENTIAL_GROWTH","FQ2 2023","FQ2 2023","Currency=USD","Period=FQ","BEST_FPERIOD_OVERRIDE=FQ","FILING_STATUS=MR","Sort=A","Dates=H","DateFormat=P","Fill=—","Direction=H","UseDPDF=Y")</f>
        <v>14.599399999999999</v>
      </c>
      <c r="V76" s="14">
        <f>_xll.BDH("ALNY US Equity","CAPEX_SEQUENTIAL_GROWTH","FQ3 2023","FQ3 2023","Currency=USD","Period=FQ","BEST_FPERIOD_OVERRIDE=FQ","FILING_STATUS=MR","Sort=A","Dates=H","DateFormat=P","Fill=—","Direction=H","UseDPDF=Y")</f>
        <v>7.3685999999999998</v>
      </c>
      <c r="W76" s="14">
        <f>_xll.BDH("ALNY US Equity","CAPEX_SEQUENTIAL_GROWTH","FQ4 2023","FQ4 2023","Currency=USD","Period=FQ","BEST_FPERIOD_OVERRIDE=FQ","FILING_STATUS=MR","Sort=A","Dates=H","DateFormat=P","Fill=—","Direction=H","UseDPDF=Y")</f>
        <v>-10.431800000000001</v>
      </c>
      <c r="X76" s="14">
        <f>_xll.BDH("ALNY US Equity","CAPEX_SEQUENTIAL_GROWTH","FQ1 2024","FQ1 2024","Currency=USD","Period=FQ","BEST_FPERIOD_OVERRIDE=FQ","FILING_STATUS=MR","Sort=A","Dates=H","DateFormat=P","Fill=—","Direction=H","UseDPDF=Y")</f>
        <v>-15.259</v>
      </c>
      <c r="Y76" s="14">
        <f>_xll.BDH("ALNY US Equity","CAPEX_SEQUENTIAL_GROWTH","FQ2 2024","FQ2 2024","Currency=USD","Period=FQ","BEST_FPERIOD_OVERRIDE=FQ","FILING_STATUS=MR","Sort=A","Dates=H","DateFormat=P","Fill=—","Direction=H","UseDPDF=Y")</f>
        <v>-38.194699999999997</v>
      </c>
      <c r="Z76" s="14">
        <f>_xll.BDH("ALNY US Equity","CAPEX_SEQUENTIAL_GROWTH","FQ3 2024","FQ3 2024","Currency=USD","Period=FQ","BEST_FPERIOD_OVERRIDE=FQ","FILING_STATUS=MR","Sort=A","Dates=H","DateFormat=P","Fill=—","Direction=H","UseDPDF=Y")</f>
        <v>-47.717599999999997</v>
      </c>
      <c r="AA76" s="14">
        <f>_xll.BDH("ALNY US Equity","CAPEX_SEQUENTIAL_GROWTH","FQ4 2024","FQ4 2024","Currency=USD","Period=FQ","BEST_FPERIOD_OVERRIDE=FQ","FILING_STATUS=MR","Sort=A","Dates=H","DateFormat=P","Fill=—","Direction=H","UseDPDF=Y")</f>
        <v>116.937</v>
      </c>
    </row>
    <row r="77" spans="1:27" x14ac:dyDescent="0.25">
      <c r="A77" s="10" t="s">
        <v>1323</v>
      </c>
      <c r="B77" s="10" t="s">
        <v>1443</v>
      </c>
      <c r="C77" s="14" t="str">
        <f>_xll.BDH("ALNY US Equity","NET_CHANGE_IN_CASH_SEQ_GROWTH","FQ4 2018","FQ4 2018","Currency=USD","Period=FQ","BEST_FPERIOD_OVERRIDE=FQ","FILING_STATUS=MR","Sort=A","Dates=H","DateFormat=P","Fill=—","Direction=H","UseDPDF=Y")</f>
        <v>—</v>
      </c>
      <c r="D77" s="14">
        <f>_xll.BDH("ALNY US Equity","NET_CHANGE_IN_CASH_SEQ_GROWTH","FQ1 2019","FQ1 2019","Currency=USD","Period=FQ","BEST_FPERIOD_OVERRIDE=FQ","FILING_STATUS=MR","Sort=A","Dates=H","DateFormat=P","Fill=—","Direction=H","UseDPDF=Y")</f>
        <v>193.66409999999999</v>
      </c>
      <c r="E77" s="14">
        <f>_xll.BDH("ALNY US Equity","NET_CHANGE_IN_CASH_SEQ_GROWTH","FQ2 2019","FQ2 2019","Currency=USD","Period=FQ","BEST_FPERIOD_OVERRIDE=FQ","FILING_STATUS=MR","Sort=A","Dates=H","DateFormat=P","Fill=—","Direction=H","UseDPDF=Y")</f>
        <v>35.0169</v>
      </c>
      <c r="F77" s="14">
        <f>_xll.BDH("ALNY US Equity","NET_CHANGE_IN_CASH_SEQ_GROWTH","FQ3 2019","FQ3 2019","Currency=USD","Period=FQ","BEST_FPERIOD_OVERRIDE=FQ","FILING_STATUS=MR","Sort=A","Dates=H","DateFormat=P","Fill=—","Direction=H","UseDPDF=Y")</f>
        <v>-151.91890000000001</v>
      </c>
      <c r="G77" s="14" t="str">
        <f>_xll.BDH("ALNY US Equity","NET_CHANGE_IN_CASH_SEQ_GROWTH","FQ4 2019","FQ4 2019","Currency=USD","Period=FQ","BEST_FPERIOD_OVERRIDE=FQ","FILING_STATUS=MR","Sort=A","Dates=H","DateFormat=P","Fill=—","Direction=H","UseDPDF=Y")</f>
        <v>—</v>
      </c>
      <c r="H77" s="14" t="str">
        <f>_xll.BDH("ALNY US Equity","NET_CHANGE_IN_CASH_SEQ_GROWTH","FQ1 2020","FQ1 2020","Currency=USD","Period=FQ","BEST_FPERIOD_OVERRIDE=FQ","FILING_STATUS=MR","Sort=A","Dates=H","DateFormat=P","Fill=—","Direction=H","UseDPDF=Y")</f>
        <v>—</v>
      </c>
      <c r="I77" s="14" t="str">
        <f>_xll.BDH("ALNY US Equity","NET_CHANGE_IN_CASH_SEQ_GROWTH","FQ2 2020","FQ2 2020","Currency=USD","Period=FQ","BEST_FPERIOD_OVERRIDE=FQ","FILING_STATUS=MR","Sort=A","Dates=H","DateFormat=P","Fill=—","Direction=H","UseDPDF=Y")</f>
        <v>—</v>
      </c>
      <c r="J77" s="14">
        <f>_xll.BDH("ALNY US Equity","NET_CHANGE_IN_CASH_SEQ_GROWTH","FQ3 2020","FQ3 2020","Currency=USD","Period=FQ","BEST_FPERIOD_OVERRIDE=FQ","FILING_STATUS=MR","Sort=A","Dates=H","DateFormat=P","Fill=—","Direction=H","UseDPDF=Y")</f>
        <v>-174.52080000000001</v>
      </c>
      <c r="K77" s="14" t="str">
        <f>_xll.BDH("ALNY US Equity","NET_CHANGE_IN_CASH_SEQ_GROWTH","FQ4 2020","FQ4 2020","Currency=USD","Period=FQ","BEST_FPERIOD_OVERRIDE=FQ","FILING_STATUS=MR","Sort=A","Dates=H","DateFormat=P","Fill=—","Direction=H","UseDPDF=Y")</f>
        <v>—</v>
      </c>
      <c r="L77" s="14" t="str">
        <f>_xll.BDH("ALNY US Equity","NET_CHANGE_IN_CASH_SEQ_GROWTH","FQ1 2021","FQ1 2021","Currency=USD","Period=FQ","BEST_FPERIOD_OVERRIDE=FQ","FILING_STATUS=MR","Sort=A","Dates=H","DateFormat=P","Fill=—","Direction=H","UseDPDF=Y")</f>
        <v>—</v>
      </c>
      <c r="M77" s="14" t="str">
        <f>_xll.BDH("ALNY US Equity","NET_CHANGE_IN_CASH_SEQ_GROWTH","FQ2 2021","FQ2 2021","Currency=USD","Period=FQ","BEST_FPERIOD_OVERRIDE=FQ","FILING_STATUS=MR","Sort=A","Dates=H","DateFormat=P","Fill=—","Direction=H","UseDPDF=Y")</f>
        <v>—</v>
      </c>
      <c r="N77" s="14">
        <f>_xll.BDH("ALNY US Equity","NET_CHANGE_IN_CASH_SEQ_GROWTH","FQ3 2021","FQ3 2021","Currency=USD","Period=FQ","BEST_FPERIOD_OVERRIDE=FQ","FILING_STATUS=MR","Sort=A","Dates=H","DateFormat=P","Fill=—","Direction=H","UseDPDF=Y")</f>
        <v>-4.8262999999999998</v>
      </c>
      <c r="O77" s="14">
        <f>_xll.BDH("ALNY US Equity","NET_CHANGE_IN_CASH_SEQ_GROWTH","FQ4 2021","FQ4 2021","Currency=USD","Period=FQ","BEST_FPERIOD_OVERRIDE=FQ","FILING_STATUS=MR","Sort=A","Dates=H","DateFormat=P","Fill=—","Direction=H","UseDPDF=Y")</f>
        <v>-178.73439999999999</v>
      </c>
      <c r="P77" s="14" t="str">
        <f>_xll.BDH("ALNY US Equity","NET_CHANGE_IN_CASH_SEQ_GROWTH","FQ1 2022","FQ1 2022","Currency=USD","Period=FQ","BEST_FPERIOD_OVERRIDE=FQ","FILING_STATUS=MR","Sort=A","Dates=H","DateFormat=P","Fill=—","Direction=H","UseDPDF=Y")</f>
        <v>—</v>
      </c>
      <c r="Q77" s="14" t="str">
        <f>_xll.BDH("ALNY US Equity","NET_CHANGE_IN_CASH_SEQ_GROWTH","FQ2 2022","FQ2 2022","Currency=USD","Period=FQ","BEST_FPERIOD_OVERRIDE=FQ","FILING_STATUS=MR","Sort=A","Dates=H","DateFormat=P","Fill=—","Direction=H","UseDPDF=Y")</f>
        <v>—</v>
      </c>
      <c r="R77" s="14">
        <f>_xll.BDH("ALNY US Equity","NET_CHANGE_IN_CASH_SEQ_GROWTH","FQ3 2022","FQ3 2022","Currency=USD","Period=FQ","BEST_FPERIOD_OVERRIDE=FQ","FILING_STATUS=MR","Sort=A","Dates=H","DateFormat=P","Fill=—","Direction=H","UseDPDF=Y")</f>
        <v>1099.8602000000001</v>
      </c>
      <c r="S77" s="14">
        <f>_xll.BDH("ALNY US Equity","NET_CHANGE_IN_CASH_SEQ_GROWTH","FQ4 2022","FQ4 2022","Currency=USD","Period=FQ","BEST_FPERIOD_OVERRIDE=FQ","FILING_STATUS=MR","Sort=A","Dates=H","DateFormat=P","Fill=—","Direction=H","UseDPDF=Y")</f>
        <v>-141.5616</v>
      </c>
      <c r="T77" s="14" t="str">
        <f>_xll.BDH("ALNY US Equity","NET_CHANGE_IN_CASH_SEQ_GROWTH","FQ1 2023","FQ1 2023","Currency=USD","Period=FQ","BEST_FPERIOD_OVERRIDE=FQ","FILING_STATUS=MR","Sort=A","Dates=H","DateFormat=P","Fill=—","Direction=H","UseDPDF=Y")</f>
        <v>—</v>
      </c>
      <c r="U77" s="14" t="str">
        <f>_xll.BDH("ALNY US Equity","NET_CHANGE_IN_CASH_SEQ_GROWTH","FQ2 2023","FQ2 2023","Currency=USD","Period=FQ","BEST_FPERIOD_OVERRIDE=FQ","FILING_STATUS=MR","Sort=A","Dates=H","DateFormat=P","Fill=—","Direction=H","UseDPDF=Y")</f>
        <v>—</v>
      </c>
      <c r="V77" s="14" t="str">
        <f>_xll.BDH("ALNY US Equity","NET_CHANGE_IN_CASH_SEQ_GROWTH","FQ3 2023","FQ3 2023","Currency=USD","Period=FQ","BEST_FPERIOD_OVERRIDE=FQ","FILING_STATUS=MR","Sort=A","Dates=H","DateFormat=P","Fill=—","Direction=H","UseDPDF=Y")</f>
        <v>—</v>
      </c>
      <c r="W77" s="14">
        <f>_xll.BDH("ALNY US Equity","NET_CHANGE_IN_CASH_SEQ_GROWTH","FQ4 2023","FQ4 2023","Currency=USD","Period=FQ","BEST_FPERIOD_OVERRIDE=FQ","FILING_STATUS=MR","Sort=A","Dates=H","DateFormat=P","Fill=—","Direction=H","UseDPDF=Y")</f>
        <v>-158.71700000000001</v>
      </c>
      <c r="X77" s="14" t="str">
        <f>_xll.BDH("ALNY US Equity","NET_CHANGE_IN_CASH_SEQ_GROWTH","FQ1 2024","FQ1 2024","Currency=USD","Period=FQ","BEST_FPERIOD_OVERRIDE=FQ","FILING_STATUS=MR","Sort=A","Dates=H","DateFormat=P","Fill=—","Direction=H","UseDPDF=Y")</f>
        <v>—</v>
      </c>
      <c r="Y77" s="14" t="str">
        <f>_xll.BDH("ALNY US Equity","NET_CHANGE_IN_CASH_SEQ_GROWTH","FQ2 2024","FQ2 2024","Currency=USD","Period=FQ","BEST_FPERIOD_OVERRIDE=FQ","FILING_STATUS=MR","Sort=A","Dates=H","DateFormat=P","Fill=—","Direction=H","UseDPDF=Y")</f>
        <v>—</v>
      </c>
      <c r="Z77" s="14">
        <f>_xll.BDH("ALNY US Equity","NET_CHANGE_IN_CASH_SEQ_GROWTH","FQ3 2024","FQ3 2024","Currency=USD","Period=FQ","BEST_FPERIOD_OVERRIDE=FQ","FILING_STATUS=MR","Sort=A","Dates=H","DateFormat=P","Fill=—","Direction=H","UseDPDF=Y")</f>
        <v>-54.165100000000002</v>
      </c>
      <c r="AA77" s="14">
        <f>_xll.BDH("ALNY US Equity","NET_CHANGE_IN_CASH_SEQ_GROWTH","FQ4 2024","FQ4 2024","Currency=USD","Period=FQ","BEST_FPERIOD_OVERRIDE=FQ","FILING_STATUS=MR","Sort=A","Dates=H","DateFormat=P","Fill=—","Direction=H","UseDPDF=Y")</f>
        <v>-201.93520000000001</v>
      </c>
    </row>
    <row r="78" spans="1:27" x14ac:dyDescent="0.25">
      <c r="A78" s="10" t="s">
        <v>88</v>
      </c>
      <c r="B78" s="10" t="s">
        <v>1444</v>
      </c>
      <c r="C78" s="14" t="str">
        <f>_xll.BDH("ALNY US Equity","FREE_CASH_FLOW_SEQUENTIAL_GROWTH","FQ4 2018","FQ4 2018","Currency=USD","Period=FQ","BEST_FPERIOD_OVERRIDE=FQ","FILING_STATUS=MR","Sort=A","Dates=H","DateFormat=P","Fill=—","Direction=H","UseDPDF=Y")</f>
        <v>—</v>
      </c>
      <c r="D78" s="14" t="str">
        <f>_xll.BDH("ALNY US Equity","FREE_CASH_FLOW_SEQUENTIAL_GROWTH","FQ1 2019","FQ1 2019","Currency=USD","Period=FQ","BEST_FPERIOD_OVERRIDE=FQ","FILING_STATUS=MR","Sort=A","Dates=H","DateFormat=P","Fill=—","Direction=H","UseDPDF=Y")</f>
        <v>—</v>
      </c>
      <c r="E78" s="14" t="str">
        <f>_xll.BDH("ALNY US Equity","FREE_CASH_FLOW_SEQUENTIAL_GROWTH","FQ2 2019","FQ2 2019","Currency=USD","Period=FQ","BEST_FPERIOD_OVERRIDE=FQ","FILING_STATUS=MR","Sort=A","Dates=H","DateFormat=P","Fill=—","Direction=H","UseDPDF=Y")</f>
        <v>—</v>
      </c>
      <c r="F78" s="14">
        <f>_xll.BDH("ALNY US Equity","FREE_CASH_FLOW_SEQUENTIAL_GROWTH","FQ3 2019","FQ3 2019","Currency=USD","Period=FQ","BEST_FPERIOD_OVERRIDE=FQ","FILING_STATUS=MR","Sort=A","Dates=H","DateFormat=P","Fill=—","Direction=H","UseDPDF=Y")</f>
        <v>-181.76820000000001</v>
      </c>
      <c r="G78" s="14" t="str">
        <f>_xll.BDH("ALNY US Equity","FREE_CASH_FLOW_SEQUENTIAL_GROWTH","FQ4 2019","FQ4 2019","Currency=USD","Period=FQ","BEST_FPERIOD_OVERRIDE=FQ","FILING_STATUS=MR","Sort=A","Dates=H","DateFormat=P","Fill=—","Direction=H","UseDPDF=Y")</f>
        <v>—</v>
      </c>
      <c r="H78" s="14" t="str">
        <f>_xll.BDH("ALNY US Equity","FREE_CASH_FLOW_SEQUENTIAL_GROWTH","FQ1 2020","FQ1 2020","Currency=USD","Period=FQ","BEST_FPERIOD_OVERRIDE=FQ","FILING_STATUS=MR","Sort=A","Dates=H","DateFormat=P","Fill=—","Direction=H","UseDPDF=Y")</f>
        <v>—</v>
      </c>
      <c r="I78" s="14" t="str">
        <f>_xll.BDH("ALNY US Equity","FREE_CASH_FLOW_SEQUENTIAL_GROWTH","FQ2 2020","FQ2 2020","Currency=USD","Period=FQ","BEST_FPERIOD_OVERRIDE=FQ","FILING_STATUS=MR","Sort=A","Dates=H","DateFormat=P","Fill=—","Direction=H","UseDPDF=Y")</f>
        <v>—</v>
      </c>
      <c r="J78" s="14" t="str">
        <f>_xll.BDH("ALNY US Equity","FREE_CASH_FLOW_SEQUENTIAL_GROWTH","FQ3 2020","FQ3 2020","Currency=USD","Period=FQ","BEST_FPERIOD_OVERRIDE=FQ","FILING_STATUS=MR","Sort=A","Dates=H","DateFormat=P","Fill=—","Direction=H","UseDPDF=Y")</f>
        <v>—</v>
      </c>
      <c r="K78" s="14" t="str">
        <f>_xll.BDH("ALNY US Equity","FREE_CASH_FLOW_SEQUENTIAL_GROWTH","FQ4 2020","FQ4 2020","Currency=USD","Period=FQ","BEST_FPERIOD_OVERRIDE=FQ","FILING_STATUS=MR","Sort=A","Dates=H","DateFormat=P","Fill=—","Direction=H","UseDPDF=Y")</f>
        <v>—</v>
      </c>
      <c r="L78" s="14" t="str">
        <f>_xll.BDH("ALNY US Equity","FREE_CASH_FLOW_SEQUENTIAL_GROWTH","FQ1 2021","FQ1 2021","Currency=USD","Period=FQ","BEST_FPERIOD_OVERRIDE=FQ","FILING_STATUS=MR","Sort=A","Dates=H","DateFormat=P","Fill=—","Direction=H","UseDPDF=Y")</f>
        <v>—</v>
      </c>
      <c r="M78" s="14" t="str">
        <f>_xll.BDH("ALNY US Equity","FREE_CASH_FLOW_SEQUENTIAL_GROWTH","FQ2 2021","FQ2 2021","Currency=USD","Period=FQ","BEST_FPERIOD_OVERRIDE=FQ","FILING_STATUS=MR","Sort=A","Dates=H","DateFormat=P","Fill=—","Direction=H","UseDPDF=Y")</f>
        <v>—</v>
      </c>
      <c r="N78" s="14" t="str">
        <f>_xll.BDH("ALNY US Equity","FREE_CASH_FLOW_SEQUENTIAL_GROWTH","FQ3 2021","FQ3 2021","Currency=USD","Period=FQ","BEST_FPERIOD_OVERRIDE=FQ","FILING_STATUS=MR","Sort=A","Dates=H","DateFormat=P","Fill=—","Direction=H","UseDPDF=Y")</f>
        <v>—</v>
      </c>
      <c r="O78" s="14" t="str">
        <f>_xll.BDH("ALNY US Equity","FREE_CASH_FLOW_SEQUENTIAL_GROWTH","FQ4 2021","FQ4 2021","Currency=USD","Period=FQ","BEST_FPERIOD_OVERRIDE=FQ","FILING_STATUS=MR","Sort=A","Dates=H","DateFormat=P","Fill=—","Direction=H","UseDPDF=Y")</f>
        <v>—</v>
      </c>
      <c r="P78" s="14" t="str">
        <f>_xll.BDH("ALNY US Equity","FREE_CASH_FLOW_SEQUENTIAL_GROWTH","FQ1 2022","FQ1 2022","Currency=USD","Period=FQ","BEST_FPERIOD_OVERRIDE=FQ","FILING_STATUS=MR","Sort=A","Dates=H","DateFormat=P","Fill=—","Direction=H","UseDPDF=Y")</f>
        <v>—</v>
      </c>
      <c r="Q78" s="14" t="str">
        <f>_xll.BDH("ALNY US Equity","FREE_CASH_FLOW_SEQUENTIAL_GROWTH","FQ2 2022","FQ2 2022","Currency=USD","Period=FQ","BEST_FPERIOD_OVERRIDE=FQ","FILING_STATUS=MR","Sort=A","Dates=H","DateFormat=P","Fill=—","Direction=H","UseDPDF=Y")</f>
        <v>—</v>
      </c>
      <c r="R78" s="14" t="str">
        <f>_xll.BDH("ALNY US Equity","FREE_CASH_FLOW_SEQUENTIAL_GROWTH","FQ3 2022","FQ3 2022","Currency=USD","Period=FQ","BEST_FPERIOD_OVERRIDE=FQ","FILING_STATUS=MR","Sort=A","Dates=H","DateFormat=P","Fill=—","Direction=H","UseDPDF=Y")</f>
        <v>—</v>
      </c>
      <c r="S78" s="14" t="str">
        <f>_xll.BDH("ALNY US Equity","FREE_CASH_FLOW_SEQUENTIAL_GROWTH","FQ4 2022","FQ4 2022","Currency=USD","Period=FQ","BEST_FPERIOD_OVERRIDE=FQ","FILING_STATUS=MR","Sort=A","Dates=H","DateFormat=P","Fill=—","Direction=H","UseDPDF=Y")</f>
        <v>—</v>
      </c>
      <c r="T78" s="14" t="str">
        <f>_xll.BDH("ALNY US Equity","FREE_CASH_FLOW_SEQUENTIAL_GROWTH","FQ1 2023","FQ1 2023","Currency=USD","Period=FQ","BEST_FPERIOD_OVERRIDE=FQ","FILING_STATUS=MR","Sort=A","Dates=H","DateFormat=P","Fill=—","Direction=H","UseDPDF=Y")</f>
        <v>—</v>
      </c>
      <c r="U78" s="14" t="str">
        <f>_xll.BDH("ALNY US Equity","FREE_CASH_FLOW_SEQUENTIAL_GROWTH","FQ2 2023","FQ2 2023","Currency=USD","Period=FQ","BEST_FPERIOD_OVERRIDE=FQ","FILING_STATUS=MR","Sort=A","Dates=H","DateFormat=P","Fill=—","Direction=H","UseDPDF=Y")</f>
        <v>—</v>
      </c>
      <c r="V78" s="14" t="str">
        <f>_xll.BDH("ALNY US Equity","FREE_CASH_FLOW_SEQUENTIAL_GROWTH","FQ3 2023","FQ3 2023","Currency=USD","Period=FQ","BEST_FPERIOD_OVERRIDE=FQ","FILING_STATUS=MR","Sort=A","Dates=H","DateFormat=P","Fill=—","Direction=H","UseDPDF=Y")</f>
        <v>—</v>
      </c>
      <c r="W78" s="14">
        <f>_xll.BDH("ALNY US Equity","FREE_CASH_FLOW_SEQUENTIAL_GROWTH","FQ4 2023","FQ4 2023","Currency=USD","Period=FQ","BEST_FPERIOD_OVERRIDE=FQ","FILING_STATUS=MR","Sort=A","Dates=H","DateFormat=P","Fill=—","Direction=H","UseDPDF=Y")</f>
        <v>-113.176</v>
      </c>
      <c r="X78" s="14" t="str">
        <f>_xll.BDH("ALNY US Equity","FREE_CASH_FLOW_SEQUENTIAL_GROWTH","FQ1 2024","FQ1 2024","Currency=USD","Period=FQ","BEST_FPERIOD_OVERRIDE=FQ","FILING_STATUS=MR","Sort=A","Dates=H","DateFormat=P","Fill=—","Direction=H","UseDPDF=Y")</f>
        <v>—</v>
      </c>
      <c r="Y78" s="14" t="str">
        <f>_xll.BDH("ALNY US Equity","FREE_CASH_FLOW_SEQUENTIAL_GROWTH","FQ2 2024","FQ2 2024","Currency=USD","Period=FQ","BEST_FPERIOD_OVERRIDE=FQ","FILING_STATUS=MR","Sort=A","Dates=H","DateFormat=P","Fill=—","Direction=H","UseDPDF=Y")</f>
        <v>—</v>
      </c>
      <c r="Z78" s="14">
        <f>_xll.BDH("ALNY US Equity","FREE_CASH_FLOW_SEQUENTIAL_GROWTH","FQ3 2024","FQ3 2024","Currency=USD","Period=FQ","BEST_FPERIOD_OVERRIDE=FQ","FILING_STATUS=MR","Sort=A","Dates=H","DateFormat=P","Fill=—","Direction=H","UseDPDF=Y")</f>
        <v>-65.976399999999998</v>
      </c>
      <c r="AA78" s="14">
        <f>_xll.BDH("ALNY US Equity","FREE_CASH_FLOW_SEQUENTIAL_GROWTH","FQ4 2024","FQ4 2024","Currency=USD","Period=FQ","BEST_FPERIOD_OVERRIDE=FQ","FILING_STATUS=MR","Sort=A","Dates=H","DateFormat=P","Fill=—","Direction=H","UseDPDF=Y")</f>
        <v>-362.57369999999997</v>
      </c>
    </row>
    <row r="79" spans="1:27" x14ac:dyDescent="0.25">
      <c r="A79" s="7" t="s">
        <v>90</v>
      </c>
      <c r="B79" s="7"/>
      <c r="C79" s="7" t="s">
        <v>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4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1445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191</v>
      </c>
      <c r="B6" s="10" t="s">
        <v>192</v>
      </c>
      <c r="C6" s="12" t="s">
        <v>1446</v>
      </c>
      <c r="D6" s="12" t="s">
        <v>193</v>
      </c>
      <c r="E6" s="12" t="s">
        <v>193</v>
      </c>
      <c r="F6" s="12" t="s">
        <v>193</v>
      </c>
      <c r="G6" s="12" t="s">
        <v>193</v>
      </c>
      <c r="H6" s="12" t="s">
        <v>193</v>
      </c>
      <c r="I6" s="12" t="s">
        <v>193</v>
      </c>
      <c r="J6" s="12" t="s">
        <v>193</v>
      </c>
      <c r="K6" s="12" t="s">
        <v>193</v>
      </c>
      <c r="L6" s="12" t="s">
        <v>193</v>
      </c>
      <c r="M6" s="12" t="s">
        <v>193</v>
      </c>
      <c r="N6" s="12" t="s">
        <v>193</v>
      </c>
      <c r="O6" s="12" t="s">
        <v>193</v>
      </c>
      <c r="P6" s="12" t="s">
        <v>193</v>
      </c>
      <c r="Q6" s="12" t="s">
        <v>193</v>
      </c>
      <c r="R6" s="12" t="s">
        <v>193</v>
      </c>
      <c r="S6" s="12" t="s">
        <v>193</v>
      </c>
      <c r="T6" s="12" t="s">
        <v>193</v>
      </c>
      <c r="U6" s="12" t="s">
        <v>193</v>
      </c>
      <c r="V6" s="12" t="s">
        <v>193</v>
      </c>
      <c r="W6" s="12" t="s">
        <v>193</v>
      </c>
      <c r="X6" s="12" t="s">
        <v>193</v>
      </c>
      <c r="Y6" s="12" t="s">
        <v>193</v>
      </c>
      <c r="Z6" s="12" t="s">
        <v>193</v>
      </c>
      <c r="AA6" s="12" t="s">
        <v>193</v>
      </c>
    </row>
    <row r="7" spans="1:27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0" t="s">
        <v>1393</v>
      </c>
      <c r="B8" s="10" t="s">
        <v>67</v>
      </c>
      <c r="C8" s="13">
        <f>_xll.BDH("ALNY US Equity","SHORT_AND_LONG_TERM_DEBT","FQ4 2018","FQ4 2018","Currency=USD","Period=FQ","BEST_FPERIOD_OVERRIDE=FQ","FILING_STATUS=MR","SCALING_FORMAT=MLN","Sort=A","Dates=H","DateFormat=P","Fill=—","Direction=H","UseDPDF=Y")</f>
        <v>30</v>
      </c>
      <c r="D8" s="13">
        <f>_xll.BDH("ALNY US Equity","SHORT_AND_LONG_TERM_DEBT","FQ1 2019","FQ1 2019","Currency=USD","Period=FQ","BEST_FPERIOD_OVERRIDE=FQ","FILING_STATUS=MR","SCALING_FORMAT=MLN","Sort=A","Dates=H","DateFormat=P","Fill=—","Direction=H","UseDPDF=Y")</f>
        <v>329.27699999999999</v>
      </c>
      <c r="E8" s="13">
        <f>_xll.BDH("ALNY US Equity","SHORT_AND_LONG_TERM_DEBT","FQ2 2019","FQ2 2019","Currency=USD","Period=FQ","BEST_FPERIOD_OVERRIDE=FQ","FILING_STATUS=MR","SCALING_FORMAT=MLN","Sort=A","Dates=H","DateFormat=P","Fill=—","Direction=H","UseDPDF=Y")</f>
        <v>336.55799999999999</v>
      </c>
      <c r="F8" s="13">
        <f>_xll.BDH("ALNY US Equity","SHORT_AND_LONG_TERM_DEBT","FQ3 2019","FQ3 2019","Currency=USD","Period=FQ","BEST_FPERIOD_OVERRIDE=FQ","FILING_STATUS=MR","SCALING_FORMAT=MLN","Sort=A","Dates=H","DateFormat=P","Fill=—","Direction=H","UseDPDF=Y")</f>
        <v>304.62099999999998</v>
      </c>
      <c r="G8" s="13">
        <f>_xll.BDH("ALNY US Equity","SHORT_AND_LONG_TERM_DEBT","FQ4 2019","FQ4 2019","Currency=USD","Period=FQ","BEST_FPERIOD_OVERRIDE=FQ","FILING_STATUS=MR","SCALING_FORMAT=MLN","Sort=A","Dates=H","DateFormat=P","Fill=—","Direction=H","UseDPDF=Y")</f>
        <v>303.82299999999998</v>
      </c>
      <c r="H8" s="13">
        <f>_xll.BDH("ALNY US Equity","SHORT_AND_LONG_TERM_DEBT","FQ1 2020","FQ1 2020","Currency=USD","Period=FQ","BEST_FPERIOD_OVERRIDE=FQ","FILING_STATUS=MR","SCALING_FORMAT=MLN","Sort=A","Dates=H","DateFormat=P","Fill=—","Direction=H","UseDPDF=Y")</f>
        <v>304.82499999999999</v>
      </c>
      <c r="I8" s="13">
        <f>_xll.BDH("ALNY US Equity","SHORT_AND_LONG_TERM_DEBT","FQ2 2020","FQ2 2020","Currency=USD","Period=FQ","BEST_FPERIOD_OVERRIDE=FQ","FILING_STATUS=MR","SCALING_FORMAT=MLN","Sort=A","Dates=H","DateFormat=P","Fill=—","Direction=H","UseDPDF=Y")</f>
        <v>315.065</v>
      </c>
      <c r="J8" s="13">
        <f>_xll.BDH("ALNY US Equity","SHORT_AND_LONG_TERM_DEBT","FQ3 2020","FQ3 2020","Currency=USD","Period=FQ","BEST_FPERIOD_OVERRIDE=FQ","FILING_STATUS=MR","SCALING_FORMAT=MLN","Sort=A","Dates=H","DateFormat=P","Fill=—","Direction=H","UseDPDF=Y")</f>
        <v>329.45400000000001</v>
      </c>
      <c r="K8" s="13">
        <f>_xll.BDH("ALNY US Equity","SHORT_AND_LONG_TERM_DEBT","FQ4 2020","FQ4 2020","Currency=USD","Period=FQ","BEST_FPERIOD_OVERRIDE=FQ","FILING_STATUS=MR","SCALING_FORMAT=MLN","Sort=A","Dates=H","DateFormat=P","Fill=—","Direction=H","UseDPDF=Y")</f>
        <v>521.18899999999996</v>
      </c>
      <c r="L8" s="13">
        <f>_xll.BDH("ALNY US Equity","SHORT_AND_LONG_TERM_DEBT","FQ1 2021","FQ1 2021","Currency=USD","Period=FQ","BEST_FPERIOD_OVERRIDE=FQ","FILING_STATUS=MR","SCALING_FORMAT=MLN","Sort=A","Dates=H","DateFormat=P","Fill=—","Direction=H","UseDPDF=Y")</f>
        <v>518.52200000000005</v>
      </c>
      <c r="M8" s="13">
        <f>_xll.BDH("ALNY US Equity","SHORT_AND_LONG_TERM_DEBT","FQ2 2021","FQ2 2021","Currency=USD","Period=FQ","BEST_FPERIOD_OVERRIDE=FQ","FILING_STATUS=MR","SCALING_FORMAT=MLN","Sort=A","Dates=H","DateFormat=P","Fill=—","Direction=H","UseDPDF=Y")</f>
        <v>761.072</v>
      </c>
      <c r="N8" s="13">
        <f>_xll.BDH("ALNY US Equity","SHORT_AND_LONG_TERM_DEBT","FQ3 2021","FQ3 2021","Currency=USD","Period=FQ","BEST_FPERIOD_OVERRIDE=FQ","FILING_STATUS=MR","SCALING_FORMAT=MLN","Sort=A","Dates=H","DateFormat=P","Fill=—","Direction=H","UseDPDF=Y")</f>
        <v>760.44100000000003</v>
      </c>
      <c r="O8" s="13">
        <f>_xll.BDH("ALNY US Equity","SHORT_AND_LONG_TERM_DEBT","FQ4 2021","FQ4 2021","Currency=USD","Period=FQ","BEST_FPERIOD_OVERRIDE=FQ","FILING_STATUS=MR","SCALING_FORMAT=MLN","Sort=A","Dates=H","DateFormat=P","Fill=—","Direction=H","UseDPDF=Y")</f>
        <v>997.59199999999998</v>
      </c>
      <c r="P8" s="13">
        <f>_xll.BDH("ALNY US Equity","SHORT_AND_LONG_TERM_DEBT","FQ1 2022","FQ1 2022","Currency=USD","Period=FQ","BEST_FPERIOD_OVERRIDE=FQ","FILING_STATUS=MR","SCALING_FORMAT=MLN","Sort=A","Dates=H","DateFormat=P","Fill=—","Direction=H","UseDPDF=Y")</f>
        <v>995.38800000000003</v>
      </c>
      <c r="Q8" s="13">
        <f>_xll.BDH("ALNY US Equity","SHORT_AND_LONG_TERM_DEBT","FQ2 2022","FQ2 2022","Currency=USD","Period=FQ","BEST_FPERIOD_OVERRIDE=FQ","FILING_STATUS=MR","SCALING_FORMAT=MLN","Sort=A","Dates=H","DateFormat=P","Fill=—","Direction=H","UseDPDF=Y")</f>
        <v>990.97500000000002</v>
      </c>
      <c r="R8" s="13">
        <f>_xll.BDH("ALNY US Equity","SHORT_AND_LONG_TERM_DEBT","FQ3 2022","FQ3 2022","Currency=USD","Period=FQ","BEST_FPERIOD_OVERRIDE=FQ","FILING_STATUS=MR","SCALING_FORMAT=MLN","Sort=A","Dates=H","DateFormat=P","Fill=—","Direction=H","UseDPDF=Y")</f>
        <v>1539.777</v>
      </c>
      <c r="S8" s="13">
        <f>_xll.BDH("ALNY US Equity","SHORT_AND_LONG_TERM_DEBT","FQ4 2022","FQ4 2022","Currency=USD","Period=FQ","BEST_FPERIOD_OVERRIDE=FQ","FILING_STATUS=MR","SCALING_FORMAT=MLN","Sort=A","Dates=H","DateFormat=P","Fill=—","Direction=H","UseDPDF=Y")</f>
        <v>1320.248</v>
      </c>
      <c r="T8" s="13">
        <f>_xll.BDH("ALNY US Equity","SHORT_AND_LONG_TERM_DEBT","FQ1 2023","FQ1 2023","Currency=USD","Period=FQ","BEST_FPERIOD_OVERRIDE=FQ","FILING_STATUS=MR","SCALING_FORMAT=MLN","Sort=A","Dates=H","DateFormat=P","Fill=—","Direction=H","UseDPDF=Y")</f>
        <v>1320.3409999999999</v>
      </c>
      <c r="U8" s="13">
        <f>_xll.BDH("ALNY US Equity","SHORT_AND_LONG_TERM_DEBT","FQ2 2023","FQ2 2023","Currency=USD","Period=FQ","BEST_FPERIOD_OVERRIDE=FQ","FILING_STATUS=MR","SCALING_FORMAT=MLN","Sort=A","Dates=H","DateFormat=P","Fill=—","Direction=H","UseDPDF=Y")</f>
        <v>1314.3330000000001</v>
      </c>
      <c r="V8" s="13">
        <f>_xll.BDH("ALNY US Equity","SHORT_AND_LONG_TERM_DEBT","FQ3 2023","FQ3 2023","Currency=USD","Period=FQ","BEST_FPERIOD_OVERRIDE=FQ","FILING_STATUS=MR","SCALING_FORMAT=MLN","Sort=A","Dates=H","DateFormat=P","Fill=—","Direction=H","UseDPDF=Y")</f>
        <v>1309.0360000000001</v>
      </c>
      <c r="W8" s="13">
        <f>_xll.BDH("ALNY US Equity","SHORT_AND_LONG_TERM_DEBT","FQ4 2023","FQ4 2023","Currency=USD","Period=FQ","BEST_FPERIOD_OVERRIDE=FQ","FILING_STATUS=MR","SCALING_FORMAT=MLN","Sort=A","Dates=H","DateFormat=P","Fill=—","Direction=H","UseDPDF=Y")</f>
        <v>1305.3869999999999</v>
      </c>
      <c r="X8" s="13">
        <f>_xll.BDH("ALNY US Equity","SHORT_AND_LONG_TERM_DEBT","FQ1 2024","FQ1 2024","Currency=USD","Period=FQ","BEST_FPERIOD_OVERRIDE=FQ","FILING_STATUS=MR","SCALING_FORMAT=MLN","Sort=A","Dates=H","DateFormat=P","Fill=—","Direction=H","UseDPDF=Y")</f>
        <v>1301.2329999999999</v>
      </c>
      <c r="Y8" s="13">
        <f>_xll.BDH("ALNY US Equity","SHORT_AND_LONG_TERM_DEBT","FQ2 2024","FQ2 2024","Currency=USD","Period=FQ","BEST_FPERIOD_OVERRIDE=FQ","FILING_STATUS=MR","SCALING_FORMAT=MLN","Sort=A","Dates=H","DateFormat=P","Fill=—","Direction=H","UseDPDF=Y")</f>
        <v>2646.2759999999998</v>
      </c>
      <c r="Z8" s="13">
        <f>_xll.BDH("ALNY US Equity","SHORT_AND_LONG_TERM_DEBT","FQ3 2024","FQ3 2024","Currency=USD","Period=FQ","BEST_FPERIOD_OVERRIDE=FQ","FILING_STATUS=MR","SCALING_FORMAT=MLN","Sort=A","Dates=H","DateFormat=P","Fill=—","Direction=H","UseDPDF=Y")</f>
        <v>1301.828</v>
      </c>
      <c r="AA8" s="13">
        <f>_xll.BDH("ALNY US Equity","SHORT_AND_LONG_TERM_DEBT","FQ4 2024","FQ4 2024","Currency=USD","Period=FQ","BEST_FPERIOD_OVERRIDE=FQ","FILING_STATUS=MR","SCALING_FORMAT=MLN","Sort=A","Dates=H","DateFormat=P","Fill=—","Direction=H","UseDPDF=Y")</f>
        <v>1296.048</v>
      </c>
    </row>
    <row r="9" spans="1:27" x14ac:dyDescent="0.25">
      <c r="A9" s="10" t="s">
        <v>1447</v>
      </c>
      <c r="B9" s="10" t="s">
        <v>739</v>
      </c>
      <c r="C9" s="13">
        <f>_xll.BDH("ALNY US Equity","BS_ST_BORROW","FQ4 2018","FQ4 2018","Currency=USD","Period=FQ","BEST_FPERIOD_OVERRIDE=FQ","FILING_STATUS=MR","SCALING_FORMAT=MLN","Sort=A","Dates=H","DateFormat=P","Fill=—","Direction=H","UseDPDF=Y")</f>
        <v>0</v>
      </c>
      <c r="D9" s="13">
        <f>_xll.BDH("ALNY US Equity","BS_ST_BORROW","FQ1 2019","FQ1 2019","Currency=USD","Period=FQ","BEST_FPERIOD_OVERRIDE=FQ","FILING_STATUS=MR","SCALING_FORMAT=MLN","Sort=A","Dates=H","DateFormat=P","Fill=—","Direction=H","UseDPDF=Y")</f>
        <v>16.977</v>
      </c>
      <c r="E9" s="13">
        <f>_xll.BDH("ALNY US Equity","BS_ST_BORROW","FQ2 2019","FQ2 2019","Currency=USD","Period=FQ","BEST_FPERIOD_OVERRIDE=FQ","FILING_STATUS=MR","SCALING_FORMAT=MLN","Sort=A","Dates=H","DateFormat=P","Fill=—","Direction=H","UseDPDF=Y")</f>
        <v>29.347000000000001</v>
      </c>
      <c r="F9" s="13">
        <f>_xll.BDH("ALNY US Equity","BS_ST_BORROW","FQ3 2019","FQ3 2019","Currency=USD","Period=FQ","BEST_FPERIOD_OVERRIDE=FQ","FILING_STATUS=MR","SCALING_FORMAT=MLN","Sort=A","Dates=H","DateFormat=P","Fill=—","Direction=H","UseDPDF=Y")</f>
        <v>28.164999999999999</v>
      </c>
      <c r="G9" s="13">
        <f>_xll.BDH("ALNY US Equity","BS_ST_BORROW","FQ4 2019","FQ4 2019","Currency=USD","Period=FQ","BEST_FPERIOD_OVERRIDE=FQ","FILING_STATUS=MR","SCALING_FORMAT=MLN","Sort=A","Dates=H","DateFormat=P","Fill=—","Direction=H","UseDPDF=Y")</f>
        <v>27.687999999999999</v>
      </c>
      <c r="H9" s="13">
        <f>_xll.BDH("ALNY US Equity","BS_ST_BORROW","FQ1 2020","FQ1 2020","Currency=USD","Period=FQ","BEST_FPERIOD_OVERRIDE=FQ","FILING_STATUS=MR","SCALING_FORMAT=MLN","Sort=A","Dates=H","DateFormat=P","Fill=—","Direction=H","UseDPDF=Y")</f>
        <v>29.042999999999999</v>
      </c>
      <c r="I9" s="13">
        <f>_xll.BDH("ALNY US Equity","BS_ST_BORROW","FQ2 2020","FQ2 2020","Currency=USD","Period=FQ","BEST_FPERIOD_OVERRIDE=FQ","FILING_STATUS=MR","SCALING_FORMAT=MLN","Sort=A","Dates=H","DateFormat=P","Fill=—","Direction=H","UseDPDF=Y")</f>
        <v>33.447000000000003</v>
      </c>
      <c r="J9" s="13">
        <f>_xll.BDH("ALNY US Equity","BS_ST_BORROW","FQ3 2020","FQ3 2020","Currency=USD","Period=FQ","BEST_FPERIOD_OVERRIDE=FQ","FILING_STATUS=MR","SCALING_FORMAT=MLN","Sort=A","Dates=H","DateFormat=P","Fill=—","Direction=H","UseDPDF=Y")</f>
        <v>32.192</v>
      </c>
      <c r="K9" s="13">
        <f>_xll.BDH("ALNY US Equity","BS_ST_BORROW","FQ4 2020","FQ4 2020","Currency=USD","Period=FQ","BEST_FPERIOD_OVERRIDE=FQ","FILING_STATUS=MR","SCALING_FORMAT=MLN","Sort=A","Dates=H","DateFormat=P","Fill=—","Direction=H","UseDPDF=Y")</f>
        <v>36.872</v>
      </c>
      <c r="L9" s="13">
        <f>_xll.BDH("ALNY US Equity","BS_ST_BORROW","FQ1 2021","FQ1 2021","Currency=USD","Period=FQ","BEST_FPERIOD_OVERRIDE=FQ","FILING_STATUS=MR","SCALING_FORMAT=MLN","Sort=A","Dates=H","DateFormat=P","Fill=—","Direction=H","UseDPDF=Y")</f>
        <v>38.917000000000002</v>
      </c>
      <c r="M9" s="13">
        <f>_xll.BDH("ALNY US Equity","BS_ST_BORROW","FQ2 2021","FQ2 2021","Currency=USD","Period=FQ","BEST_FPERIOD_OVERRIDE=FQ","FILING_STATUS=MR","SCALING_FORMAT=MLN","Sort=A","Dates=H","DateFormat=P","Fill=—","Direction=H","UseDPDF=Y")</f>
        <v>39.362000000000002</v>
      </c>
      <c r="N9" s="13">
        <f>_xll.BDH("ALNY US Equity","BS_ST_BORROW","FQ3 2021","FQ3 2021","Currency=USD","Period=FQ","BEST_FPERIOD_OVERRIDE=FQ","FILING_STATUS=MR","SCALING_FORMAT=MLN","Sort=A","Dates=H","DateFormat=P","Fill=—","Direction=H","UseDPDF=Y")</f>
        <v>40.612000000000002</v>
      </c>
      <c r="O9" s="13">
        <f>_xll.BDH("ALNY US Equity","BS_ST_BORROW","FQ4 2021","FQ4 2021","Currency=USD","Period=FQ","BEST_FPERIOD_OVERRIDE=FQ","FILING_STATUS=MR","SCALING_FORMAT=MLN","Sort=A","Dates=H","DateFormat=P","Fill=—","Direction=H","UseDPDF=Y")</f>
        <v>40.548000000000002</v>
      </c>
      <c r="P9" s="13">
        <f>_xll.BDH("ALNY US Equity","BS_ST_BORROW","FQ1 2022","FQ1 2022","Currency=USD","Period=FQ","BEST_FPERIOD_OVERRIDE=FQ","FILING_STATUS=MR","SCALING_FORMAT=MLN","Sort=A","Dates=H","DateFormat=P","Fill=—","Direction=H","UseDPDF=Y")</f>
        <v>41.29</v>
      </c>
      <c r="Q9" s="13">
        <f>_xll.BDH("ALNY US Equity","BS_ST_BORROW","FQ2 2022","FQ2 2022","Currency=USD","Period=FQ","BEST_FPERIOD_OVERRIDE=FQ","FILING_STATUS=MR","SCALING_FORMAT=MLN","Sort=A","Dates=H","DateFormat=P","Fill=—","Direction=H","UseDPDF=Y")</f>
        <v>41.235999999999997</v>
      </c>
      <c r="R9" s="13">
        <f>_xll.BDH("ALNY US Equity","BS_ST_BORROW","FQ3 2022","FQ3 2022","Currency=USD","Period=FQ","BEST_FPERIOD_OVERRIDE=FQ","FILING_STATUS=MR","SCALING_FORMAT=MLN","Sort=A","Dates=H","DateFormat=P","Fill=—","Direction=H","UseDPDF=Y")</f>
        <v>41.581000000000003</v>
      </c>
      <c r="S9" s="13">
        <f>_xll.BDH("ALNY US Equity","BS_ST_BORROW","FQ4 2022","FQ4 2022","Currency=USD","Period=FQ","BEST_FPERIOD_OVERRIDE=FQ","FILING_STATUS=MR","SCALING_FORMAT=MLN","Sort=A","Dates=H","DateFormat=P","Fill=—","Direction=H","UseDPDF=Y")</f>
        <v>41.966999999999999</v>
      </c>
      <c r="T9" s="13">
        <f>_xll.BDH("ALNY US Equity","BS_ST_BORROW","FQ1 2023","FQ1 2023","Currency=USD","Period=FQ","BEST_FPERIOD_OVERRIDE=FQ","FILING_STATUS=MR","SCALING_FORMAT=MLN","Sort=A","Dates=H","DateFormat=P","Fill=—","Direction=H","UseDPDF=Y")</f>
        <v>43.055</v>
      </c>
      <c r="U9" s="13">
        <f>_xll.BDH("ALNY US Equity","BS_ST_BORROW","FQ2 2023","FQ2 2023","Currency=USD","Period=FQ","BEST_FPERIOD_OVERRIDE=FQ","FILING_STATUS=MR","SCALING_FORMAT=MLN","Sort=A","Dates=H","DateFormat=P","Fill=—","Direction=H","UseDPDF=Y")</f>
        <v>42.073999999999998</v>
      </c>
      <c r="V9" s="13">
        <f>_xll.BDH("ALNY US Equity","BS_ST_BORROW","FQ3 2023","FQ3 2023","Currency=USD","Period=FQ","BEST_FPERIOD_OVERRIDE=FQ","FILING_STATUS=MR","SCALING_FORMAT=MLN","Sort=A","Dates=H","DateFormat=P","Fill=—","Direction=H","UseDPDF=Y")</f>
        <v>41.515999999999998</v>
      </c>
      <c r="W9" s="13">
        <f>_xll.BDH("ALNY US Equity","BS_ST_BORROW","FQ4 2023","FQ4 2023","Currency=USD","Period=FQ","BEST_FPERIOD_OVERRIDE=FQ","FILING_STATUS=MR","SCALING_FORMAT=MLN","Sort=A","Dates=H","DateFormat=P","Fill=—","Direction=H","UseDPDF=Y")</f>
        <v>41.51</v>
      </c>
      <c r="X9" s="13">
        <f>_xll.BDH("ALNY US Equity","BS_ST_BORROW","FQ1 2024","FQ1 2024","Currency=USD","Period=FQ","BEST_FPERIOD_OVERRIDE=FQ","FILING_STATUS=MR","SCALING_FORMAT=MLN","Sort=A","Dates=H","DateFormat=P","Fill=—","Direction=H","UseDPDF=Y")</f>
        <v>41.671999999999997</v>
      </c>
      <c r="Y9" s="13">
        <f>_xll.BDH("ALNY US Equity","BS_ST_BORROW","FQ2 2024","FQ2 2024","Currency=USD","Period=FQ","BEST_FPERIOD_OVERRIDE=FQ","FILING_STATUS=MR","SCALING_FORMAT=MLN","Sort=A","Dates=H","DateFormat=P","Fill=—","Direction=H","UseDPDF=Y")</f>
        <v>41.655999999999999</v>
      </c>
      <c r="Z9" s="13">
        <f>_xll.BDH("ALNY US Equity","BS_ST_BORROW","FQ3 2024","FQ3 2024","Currency=USD","Period=FQ","BEST_FPERIOD_OVERRIDE=FQ","FILING_STATUS=MR","SCALING_FORMAT=MLN","Sort=A","Dates=H","DateFormat=P","Fill=—","Direction=H","UseDPDF=Y")</f>
        <v>42.143999999999998</v>
      </c>
      <c r="AA9" s="13">
        <f>_xll.BDH("ALNY US Equity","BS_ST_BORROW","FQ4 2024","FQ4 2024","Currency=USD","Period=FQ","BEST_FPERIOD_OVERRIDE=FQ","FILING_STATUS=MR","SCALING_FORMAT=MLN","Sort=A","Dates=H","DateFormat=P","Fill=—","Direction=H","UseDPDF=Y")</f>
        <v>41.886000000000003</v>
      </c>
    </row>
    <row r="10" spans="1:27" x14ac:dyDescent="0.25">
      <c r="A10" s="10" t="s">
        <v>1448</v>
      </c>
      <c r="B10" s="10" t="s">
        <v>757</v>
      </c>
      <c r="C10" s="13">
        <f>_xll.BDH("ALNY US Equity","BS_LT_BORROW","FQ4 2018","FQ4 2018","Currency=USD","Period=FQ","BEST_FPERIOD_OVERRIDE=FQ","FILING_STATUS=MR","SCALING_FORMAT=MLN","Sort=A","Dates=H","DateFormat=P","Fill=—","Direction=H","UseDPDF=Y")</f>
        <v>30</v>
      </c>
      <c r="D10" s="13">
        <f>_xll.BDH("ALNY US Equity","BS_LT_BORROW","FQ1 2019","FQ1 2019","Currency=USD","Period=FQ","BEST_FPERIOD_OVERRIDE=FQ","FILING_STATUS=MR","SCALING_FORMAT=MLN","Sort=A","Dates=H","DateFormat=P","Fill=—","Direction=H","UseDPDF=Y")</f>
        <v>312.3</v>
      </c>
      <c r="E10" s="13">
        <f>_xll.BDH("ALNY US Equity","BS_LT_BORROW","FQ2 2019","FQ2 2019","Currency=USD","Period=FQ","BEST_FPERIOD_OVERRIDE=FQ","FILING_STATUS=MR","SCALING_FORMAT=MLN","Sort=A","Dates=H","DateFormat=P","Fill=—","Direction=H","UseDPDF=Y")</f>
        <v>307.21100000000001</v>
      </c>
      <c r="F10" s="13">
        <f>_xll.BDH("ALNY US Equity","BS_LT_BORROW","FQ3 2019","FQ3 2019","Currency=USD","Period=FQ","BEST_FPERIOD_OVERRIDE=FQ","FILING_STATUS=MR","SCALING_FORMAT=MLN","Sort=A","Dates=H","DateFormat=P","Fill=—","Direction=H","UseDPDF=Y")</f>
        <v>276.45600000000002</v>
      </c>
      <c r="G10" s="13">
        <f>_xll.BDH("ALNY US Equity","BS_LT_BORROW","FQ4 2019","FQ4 2019","Currency=USD","Period=FQ","BEST_FPERIOD_OVERRIDE=FQ","FILING_STATUS=MR","SCALING_FORMAT=MLN","Sort=A","Dates=H","DateFormat=P","Fill=—","Direction=H","UseDPDF=Y")</f>
        <v>276.13499999999999</v>
      </c>
      <c r="H10" s="13">
        <f>_xll.BDH("ALNY US Equity","BS_LT_BORROW","FQ1 2020","FQ1 2020","Currency=USD","Period=FQ","BEST_FPERIOD_OVERRIDE=FQ","FILING_STATUS=MR","SCALING_FORMAT=MLN","Sort=A","Dates=H","DateFormat=P","Fill=—","Direction=H","UseDPDF=Y")</f>
        <v>275.78199999999998</v>
      </c>
      <c r="I10" s="13">
        <f>_xll.BDH("ALNY US Equity","BS_LT_BORROW","FQ2 2020","FQ2 2020","Currency=USD","Period=FQ","BEST_FPERIOD_OVERRIDE=FQ","FILING_STATUS=MR","SCALING_FORMAT=MLN","Sort=A","Dates=H","DateFormat=P","Fill=—","Direction=H","UseDPDF=Y")</f>
        <v>281.61799999999999</v>
      </c>
      <c r="J10" s="13">
        <f>_xll.BDH("ALNY US Equity","BS_LT_BORROW","FQ3 2020","FQ3 2020","Currency=USD","Period=FQ","BEST_FPERIOD_OVERRIDE=FQ","FILING_STATUS=MR","SCALING_FORMAT=MLN","Sort=A","Dates=H","DateFormat=P","Fill=—","Direction=H","UseDPDF=Y")</f>
        <v>297.262</v>
      </c>
      <c r="K10" s="13">
        <f>_xll.BDH("ALNY US Equity","BS_LT_BORROW","FQ4 2020","FQ4 2020","Currency=USD","Period=FQ","BEST_FPERIOD_OVERRIDE=FQ","FILING_STATUS=MR","SCALING_FORMAT=MLN","Sort=A","Dates=H","DateFormat=P","Fill=—","Direction=H","UseDPDF=Y")</f>
        <v>484.31700000000001</v>
      </c>
      <c r="L10" s="13">
        <f>_xll.BDH("ALNY US Equity","BS_LT_BORROW","FQ1 2021","FQ1 2021","Currency=USD","Period=FQ","BEST_FPERIOD_OVERRIDE=FQ","FILING_STATUS=MR","SCALING_FORMAT=MLN","Sort=A","Dates=H","DateFormat=P","Fill=—","Direction=H","UseDPDF=Y")</f>
        <v>479.60500000000002</v>
      </c>
      <c r="M10" s="13">
        <f>_xll.BDH("ALNY US Equity","BS_LT_BORROW","FQ2 2021","FQ2 2021","Currency=USD","Period=FQ","BEST_FPERIOD_OVERRIDE=FQ","FILING_STATUS=MR","SCALING_FORMAT=MLN","Sort=A","Dates=H","DateFormat=P","Fill=—","Direction=H","UseDPDF=Y")</f>
        <v>721.71</v>
      </c>
      <c r="N10" s="13">
        <f>_xll.BDH("ALNY US Equity","BS_LT_BORROW","FQ3 2021","FQ3 2021","Currency=USD","Period=FQ","BEST_FPERIOD_OVERRIDE=FQ","FILING_STATUS=MR","SCALING_FORMAT=MLN","Sort=A","Dates=H","DateFormat=P","Fill=—","Direction=H","UseDPDF=Y")</f>
        <v>719.82899999999995</v>
      </c>
      <c r="O10" s="13">
        <f>_xll.BDH("ALNY US Equity","BS_LT_BORROW","FQ4 2021","FQ4 2021","Currency=USD","Period=FQ","BEST_FPERIOD_OVERRIDE=FQ","FILING_STATUS=MR","SCALING_FORMAT=MLN","Sort=A","Dates=H","DateFormat=P","Fill=—","Direction=H","UseDPDF=Y")</f>
        <v>957.04399999999998</v>
      </c>
      <c r="P10" s="13">
        <f>_xll.BDH("ALNY US Equity","BS_LT_BORROW","FQ1 2022","FQ1 2022","Currency=USD","Period=FQ","BEST_FPERIOD_OVERRIDE=FQ","FILING_STATUS=MR","SCALING_FORMAT=MLN","Sort=A","Dates=H","DateFormat=P","Fill=—","Direction=H","UseDPDF=Y")</f>
        <v>954.09799999999996</v>
      </c>
      <c r="Q10" s="13">
        <f>_xll.BDH("ALNY US Equity","BS_LT_BORROW","FQ2 2022","FQ2 2022","Currency=USD","Period=FQ","BEST_FPERIOD_OVERRIDE=FQ","FILING_STATUS=MR","SCALING_FORMAT=MLN","Sort=A","Dates=H","DateFormat=P","Fill=—","Direction=H","UseDPDF=Y")</f>
        <v>949.73900000000003</v>
      </c>
      <c r="R10" s="13">
        <f>_xll.BDH("ALNY US Equity","BS_LT_BORROW","FQ3 2022","FQ3 2022","Currency=USD","Period=FQ","BEST_FPERIOD_OVERRIDE=FQ","FILING_STATUS=MR","SCALING_FORMAT=MLN","Sort=A","Dates=H","DateFormat=P","Fill=—","Direction=H","UseDPDF=Y")</f>
        <v>1498.1959999999999</v>
      </c>
      <c r="S10" s="13">
        <f>_xll.BDH("ALNY US Equity","BS_LT_BORROW","FQ4 2022","FQ4 2022","Currency=USD","Period=FQ","BEST_FPERIOD_OVERRIDE=FQ","FILING_STATUS=MR","SCALING_FORMAT=MLN","Sort=A","Dates=H","DateFormat=P","Fill=—","Direction=H","UseDPDF=Y")</f>
        <v>1278.2809999999999</v>
      </c>
      <c r="T10" s="13">
        <f>_xll.BDH("ALNY US Equity","BS_LT_BORROW","FQ1 2023","FQ1 2023","Currency=USD","Period=FQ","BEST_FPERIOD_OVERRIDE=FQ","FILING_STATUS=MR","SCALING_FORMAT=MLN","Sort=A","Dates=H","DateFormat=P","Fill=—","Direction=H","UseDPDF=Y")</f>
        <v>1277.2860000000001</v>
      </c>
      <c r="U10" s="13">
        <f>_xll.BDH("ALNY US Equity","BS_LT_BORROW","FQ2 2023","FQ2 2023","Currency=USD","Period=FQ","BEST_FPERIOD_OVERRIDE=FQ","FILING_STATUS=MR","SCALING_FORMAT=MLN","Sort=A","Dates=H","DateFormat=P","Fill=—","Direction=H","UseDPDF=Y")</f>
        <v>1272.259</v>
      </c>
      <c r="V10" s="13">
        <f>_xll.BDH("ALNY US Equity","BS_LT_BORROW","FQ3 2023","FQ3 2023","Currency=USD","Period=FQ","BEST_FPERIOD_OVERRIDE=FQ","FILING_STATUS=MR","SCALING_FORMAT=MLN","Sort=A","Dates=H","DateFormat=P","Fill=—","Direction=H","UseDPDF=Y")</f>
        <v>1267.52</v>
      </c>
      <c r="W10" s="13">
        <f>_xll.BDH("ALNY US Equity","BS_LT_BORROW","FQ4 2023","FQ4 2023","Currency=USD","Period=FQ","BEST_FPERIOD_OVERRIDE=FQ","FILING_STATUS=MR","SCALING_FORMAT=MLN","Sort=A","Dates=H","DateFormat=P","Fill=—","Direction=H","UseDPDF=Y")</f>
        <v>1263.877</v>
      </c>
      <c r="X10" s="13">
        <f>_xll.BDH("ALNY US Equity","BS_LT_BORROW","FQ1 2024","FQ1 2024","Currency=USD","Period=FQ","BEST_FPERIOD_OVERRIDE=FQ","FILING_STATUS=MR","SCALING_FORMAT=MLN","Sort=A","Dates=H","DateFormat=P","Fill=—","Direction=H","UseDPDF=Y")</f>
        <v>1259.5609999999999</v>
      </c>
      <c r="Y10" s="13">
        <f>_xll.BDH("ALNY US Equity","BS_LT_BORROW","FQ2 2024","FQ2 2024","Currency=USD","Period=FQ","BEST_FPERIOD_OVERRIDE=FQ","FILING_STATUS=MR","SCALING_FORMAT=MLN","Sort=A","Dates=H","DateFormat=P","Fill=—","Direction=H","UseDPDF=Y")</f>
        <v>2604.62</v>
      </c>
      <c r="Z10" s="13">
        <f>_xll.BDH("ALNY US Equity","BS_LT_BORROW","FQ3 2024","FQ3 2024","Currency=USD","Period=FQ","BEST_FPERIOD_OVERRIDE=FQ","FILING_STATUS=MR","SCALING_FORMAT=MLN","Sort=A","Dates=H","DateFormat=P","Fill=—","Direction=H","UseDPDF=Y")</f>
        <v>1259.684</v>
      </c>
      <c r="AA10" s="13">
        <f>_xll.BDH("ALNY US Equity","BS_LT_BORROW","FQ4 2024","FQ4 2024","Currency=USD","Period=FQ","BEST_FPERIOD_OVERRIDE=FQ","FILING_STATUS=MR","SCALING_FORMAT=MLN","Sort=A","Dates=H","DateFormat=P","Fill=—","Direction=H","UseDPDF=Y")</f>
        <v>1254.162</v>
      </c>
    </row>
    <row r="11" spans="1:27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0" t="s">
        <v>1449</v>
      </c>
      <c r="B12" s="10" t="s">
        <v>1450</v>
      </c>
      <c r="C12" s="14" t="str">
        <f>_xll.BDH("ALNY US Equity","TOT_DEBT_TO_EBITDA","FQ4 2018","FQ4 2018","Currency=USD","Period=FQ","BEST_FPERIOD_OVERRIDE=FQ","FILING_STATUS=MR","FA_ADJUSTED=GAAP","Sort=A","Dates=H","DateFormat=P","Fill=—","Direction=H","UseDPDF=Y")</f>
        <v>—</v>
      </c>
      <c r="D12" s="14" t="str">
        <f>_xll.BDH("ALNY US Equity","TOT_DEBT_TO_EBITDA","FQ1 2019","FQ1 2019","Currency=USD","Period=FQ","BEST_FPERIOD_OVERRIDE=FQ","FILING_STATUS=MR","FA_ADJUSTED=GAAP","Sort=A","Dates=H","DateFormat=P","Fill=—","Direction=H","UseDPDF=Y")</f>
        <v>—</v>
      </c>
      <c r="E12" s="14" t="str">
        <f>_xll.BDH("ALNY US Equity","TOT_DEBT_TO_EBITDA","FQ2 2019","FQ2 2019","Currency=USD","Period=FQ","BEST_FPERIOD_OVERRIDE=FQ","FILING_STATUS=MR","FA_ADJUSTED=GAAP","Sort=A","Dates=H","DateFormat=P","Fill=—","Direction=H","UseDPDF=Y")</f>
        <v>—</v>
      </c>
      <c r="F12" s="14" t="str">
        <f>_xll.BDH("ALNY US Equity","TOT_DEBT_TO_EBITDA","FQ3 2019","FQ3 2019","Currency=USD","Period=FQ","BEST_FPERIOD_OVERRIDE=FQ","FILING_STATUS=MR","FA_ADJUSTED=GAAP","Sort=A","Dates=H","DateFormat=P","Fill=—","Direction=H","UseDPDF=Y")</f>
        <v>—</v>
      </c>
      <c r="G12" s="14" t="str">
        <f>_xll.BDH("ALNY US Equity","TOT_DEBT_TO_EBITDA","FQ4 2019","FQ4 2019","Currency=USD","Period=FQ","BEST_FPERIOD_OVERRIDE=FQ","FILING_STATUS=MR","FA_ADJUSTED=GAAP","Sort=A","Dates=H","DateFormat=P","Fill=—","Direction=H","UseDPDF=Y")</f>
        <v>—</v>
      </c>
      <c r="H12" s="14" t="str">
        <f>_xll.BDH("ALNY US Equity","TOT_DEBT_TO_EBITDA","FQ1 2020","FQ1 2020","Currency=USD","Period=FQ","BEST_FPERIOD_OVERRIDE=FQ","FILING_STATUS=MR","FA_ADJUSTED=GAAP","Sort=A","Dates=H","DateFormat=P","Fill=—","Direction=H","UseDPDF=Y")</f>
        <v>—</v>
      </c>
      <c r="I12" s="14" t="str">
        <f>_xll.BDH("ALNY US Equity","TOT_DEBT_TO_EBITDA","FQ2 2020","FQ2 2020","Currency=USD","Period=FQ","BEST_FPERIOD_OVERRIDE=FQ","FILING_STATUS=MR","FA_ADJUSTED=GAAP","Sort=A","Dates=H","DateFormat=P","Fill=—","Direction=H","UseDPDF=Y")</f>
        <v>—</v>
      </c>
      <c r="J12" s="14" t="str">
        <f>_xll.BDH("ALNY US Equity","TOT_DEBT_TO_EBITDA","FQ3 2020","FQ3 2020","Currency=USD","Period=FQ","BEST_FPERIOD_OVERRIDE=FQ","FILING_STATUS=MR","FA_ADJUSTED=GAAP","Sort=A","Dates=H","DateFormat=P","Fill=—","Direction=H","UseDPDF=Y")</f>
        <v>—</v>
      </c>
      <c r="K12" s="14" t="str">
        <f>_xll.BDH("ALNY US Equity","TOT_DEBT_TO_EBITDA","FQ4 2020","FQ4 2020","Currency=USD","Period=FQ","BEST_FPERIOD_OVERRIDE=FQ","FILING_STATUS=MR","FA_ADJUSTED=GAAP","Sort=A","Dates=H","DateFormat=P","Fill=—","Direction=H","UseDPDF=Y")</f>
        <v>—</v>
      </c>
      <c r="L12" s="14" t="str">
        <f>_xll.BDH("ALNY US Equity","TOT_DEBT_TO_EBITDA","FQ1 2021","FQ1 2021","Currency=USD","Period=FQ","BEST_FPERIOD_OVERRIDE=FQ","FILING_STATUS=MR","FA_ADJUSTED=GAAP","Sort=A","Dates=H","DateFormat=P","Fill=—","Direction=H","UseDPDF=Y")</f>
        <v>—</v>
      </c>
      <c r="M12" s="14" t="str">
        <f>_xll.BDH("ALNY US Equity","TOT_DEBT_TO_EBITDA","FQ2 2021","FQ2 2021","Currency=USD","Period=FQ","BEST_FPERIOD_OVERRIDE=FQ","FILING_STATUS=MR","FA_ADJUSTED=GAAP","Sort=A","Dates=H","DateFormat=P","Fill=—","Direction=H","UseDPDF=Y")</f>
        <v>—</v>
      </c>
      <c r="N12" s="14" t="str">
        <f>_xll.BDH("ALNY US Equity","TOT_DEBT_TO_EBITDA","FQ3 2021","FQ3 2021","Currency=USD","Period=FQ","BEST_FPERIOD_OVERRIDE=FQ","FILING_STATUS=MR","FA_ADJUSTED=GAAP","Sort=A","Dates=H","DateFormat=P","Fill=—","Direction=H","UseDPDF=Y")</f>
        <v>—</v>
      </c>
      <c r="O12" s="14" t="str">
        <f>_xll.BDH("ALNY US Equity","TOT_DEBT_TO_EBITDA","FQ4 2021","FQ4 2021","Currency=USD","Period=FQ","BEST_FPERIOD_OVERRIDE=FQ","FILING_STATUS=MR","FA_ADJUSTED=GAAP","Sort=A","Dates=H","DateFormat=P","Fill=—","Direction=H","UseDPDF=Y")</f>
        <v>—</v>
      </c>
      <c r="P12" s="14" t="str">
        <f>_xll.BDH("ALNY US Equity","TOT_DEBT_TO_EBITDA","FQ1 2022","FQ1 2022","Currency=USD","Period=FQ","BEST_FPERIOD_OVERRIDE=FQ","FILING_STATUS=MR","FA_ADJUSTED=GAAP","Sort=A","Dates=H","DateFormat=P","Fill=—","Direction=H","UseDPDF=Y")</f>
        <v>—</v>
      </c>
      <c r="Q12" s="14" t="str">
        <f>_xll.BDH("ALNY US Equity","TOT_DEBT_TO_EBITDA","FQ2 2022","FQ2 2022","Currency=USD","Period=FQ","BEST_FPERIOD_OVERRIDE=FQ","FILING_STATUS=MR","FA_ADJUSTED=GAAP","Sort=A","Dates=H","DateFormat=P","Fill=—","Direction=H","UseDPDF=Y")</f>
        <v>—</v>
      </c>
      <c r="R12" s="14" t="str">
        <f>_xll.BDH("ALNY US Equity","TOT_DEBT_TO_EBITDA","FQ3 2022","FQ3 2022","Currency=USD","Period=FQ","BEST_FPERIOD_OVERRIDE=FQ","FILING_STATUS=MR","FA_ADJUSTED=GAAP","Sort=A","Dates=H","DateFormat=P","Fill=—","Direction=H","UseDPDF=Y")</f>
        <v>—</v>
      </c>
      <c r="S12" s="14" t="str">
        <f>_xll.BDH("ALNY US Equity","TOT_DEBT_TO_EBITDA","FQ4 2022","FQ4 2022","Currency=USD","Period=FQ","BEST_FPERIOD_OVERRIDE=FQ","FILING_STATUS=MR","FA_ADJUSTED=GAAP","Sort=A","Dates=H","DateFormat=P","Fill=—","Direction=H","UseDPDF=Y")</f>
        <v>—</v>
      </c>
      <c r="T12" s="14" t="str">
        <f>_xll.BDH("ALNY US Equity","TOT_DEBT_TO_EBITDA","FQ1 2023","FQ1 2023","Currency=USD","Period=FQ","BEST_FPERIOD_OVERRIDE=FQ","FILING_STATUS=MR","FA_ADJUSTED=GAAP","Sort=A","Dates=H","DateFormat=P","Fill=—","Direction=H","UseDPDF=Y")</f>
        <v>—</v>
      </c>
      <c r="U12" s="14" t="str">
        <f>_xll.BDH("ALNY US Equity","TOT_DEBT_TO_EBITDA","FQ2 2023","FQ2 2023","Currency=USD","Period=FQ","BEST_FPERIOD_OVERRIDE=FQ","FILING_STATUS=MR","FA_ADJUSTED=GAAP","Sort=A","Dates=H","DateFormat=P","Fill=—","Direction=H","UseDPDF=Y")</f>
        <v>—</v>
      </c>
      <c r="V12" s="14" t="str">
        <f>_xll.BDH("ALNY US Equity","TOT_DEBT_TO_EBITDA","FQ3 2023","FQ3 2023","Currency=USD","Period=FQ","BEST_FPERIOD_OVERRIDE=FQ","FILING_STATUS=MR","FA_ADJUSTED=GAAP","Sort=A","Dates=H","DateFormat=P","Fill=—","Direction=H","UseDPDF=Y")</f>
        <v>—</v>
      </c>
      <c r="W12" s="14" t="str">
        <f>_xll.BDH("ALNY US Equity","TOT_DEBT_TO_EBITDA","FQ4 2023","FQ4 2023","Currency=USD","Period=FQ","BEST_FPERIOD_OVERRIDE=FQ","FILING_STATUS=MR","FA_ADJUSTED=GAAP","Sort=A","Dates=H","DateFormat=P","Fill=—","Direction=H","UseDPDF=Y")</f>
        <v>—</v>
      </c>
      <c r="X12" s="14" t="str">
        <f>_xll.BDH("ALNY US Equity","TOT_DEBT_TO_EBITDA","FQ1 2024","FQ1 2024","Currency=USD","Period=FQ","BEST_FPERIOD_OVERRIDE=FQ","FILING_STATUS=MR","FA_ADJUSTED=GAAP","Sort=A","Dates=H","DateFormat=P","Fill=—","Direction=H","UseDPDF=Y")</f>
        <v>—</v>
      </c>
      <c r="Y12" s="14">
        <f>_xll.BDH("ALNY US Equity","TOT_DEBT_TO_EBITDA","FQ2 2024","FQ2 2024","Currency=USD","Period=FQ","BEST_FPERIOD_OVERRIDE=FQ","FILING_STATUS=MR","FA_ADJUSTED=GAAP","Sort=A","Dates=H","DateFormat=P","Fill=—","Direction=H","UseDPDF=Y")</f>
        <v>13.209899999999999</v>
      </c>
      <c r="Z12" s="14" t="str">
        <f>_xll.BDH("ALNY US Equity","TOT_DEBT_TO_EBITDA","FQ3 2024","FQ3 2024","Currency=USD","Period=FQ","BEST_FPERIOD_OVERRIDE=FQ","FILING_STATUS=MR","FA_ADJUSTED=GAAP","Sort=A","Dates=H","DateFormat=P","Fill=—","Direction=H","UseDPDF=Y")</f>
        <v>—</v>
      </c>
      <c r="AA12" s="14" t="str">
        <f>_xll.BDH("ALNY US Equity","TOT_DEBT_TO_EBITDA","FQ4 2024","FQ4 2024","Currency=USD","Period=FQ","BEST_FPERIOD_OVERRIDE=FQ","FILING_STATUS=MR","FA_ADJUSTED=GAAP","Sort=A","Dates=H","DateFormat=P","Fill=—","Direction=H","UseDPDF=Y")</f>
        <v>—</v>
      </c>
    </row>
    <row r="13" spans="1:27" x14ac:dyDescent="0.25">
      <c r="A13" s="10" t="s">
        <v>1451</v>
      </c>
      <c r="B13" s="10" t="s">
        <v>1452</v>
      </c>
      <c r="C13" s="14" t="str">
        <f>_xll.BDH("ALNY US Equity","NET_DEBT_TO_EBITDA","FQ4 2018","FQ4 2018","Currency=USD","Period=FQ","BEST_FPERIOD_OVERRIDE=FQ","FILING_STATUS=MR","FA_ADJUSTED=GAAP","Sort=A","Dates=H","DateFormat=P","Fill=—","Direction=H","UseDPDF=Y")</f>
        <v>—</v>
      </c>
      <c r="D13" s="14" t="str">
        <f>_xll.BDH("ALNY US Equity","NET_DEBT_TO_EBITDA","FQ1 2019","FQ1 2019","Currency=USD","Period=FQ","BEST_FPERIOD_OVERRIDE=FQ","FILING_STATUS=MR","FA_ADJUSTED=GAAP","Sort=A","Dates=H","DateFormat=P","Fill=—","Direction=H","UseDPDF=Y")</f>
        <v>—</v>
      </c>
      <c r="E13" s="14" t="str">
        <f>_xll.BDH("ALNY US Equity","NET_DEBT_TO_EBITDA","FQ2 2019","FQ2 2019","Currency=USD","Period=FQ","BEST_FPERIOD_OVERRIDE=FQ","FILING_STATUS=MR","FA_ADJUSTED=GAAP","Sort=A","Dates=H","DateFormat=P","Fill=—","Direction=H","UseDPDF=Y")</f>
        <v>—</v>
      </c>
      <c r="F13" s="14" t="str">
        <f>_xll.BDH("ALNY US Equity","NET_DEBT_TO_EBITDA","FQ3 2019","FQ3 2019","Currency=USD","Period=FQ","BEST_FPERIOD_OVERRIDE=FQ","FILING_STATUS=MR","FA_ADJUSTED=GAAP","Sort=A","Dates=H","DateFormat=P","Fill=—","Direction=H","UseDPDF=Y")</f>
        <v>—</v>
      </c>
      <c r="G13" s="14" t="str">
        <f>_xll.BDH("ALNY US Equity","NET_DEBT_TO_EBITDA","FQ4 2019","FQ4 2019","Currency=USD","Period=FQ","BEST_FPERIOD_OVERRIDE=FQ","FILING_STATUS=MR","FA_ADJUSTED=GAAP","Sort=A","Dates=H","DateFormat=P","Fill=—","Direction=H","UseDPDF=Y")</f>
        <v>—</v>
      </c>
      <c r="H13" s="14" t="str">
        <f>_xll.BDH("ALNY US Equity","NET_DEBT_TO_EBITDA","FQ1 2020","FQ1 2020","Currency=USD","Period=FQ","BEST_FPERIOD_OVERRIDE=FQ","FILING_STATUS=MR","FA_ADJUSTED=GAAP","Sort=A","Dates=H","DateFormat=P","Fill=—","Direction=H","UseDPDF=Y")</f>
        <v>—</v>
      </c>
      <c r="I13" s="14" t="str">
        <f>_xll.BDH("ALNY US Equity","NET_DEBT_TO_EBITDA","FQ2 2020","FQ2 2020","Currency=USD","Period=FQ","BEST_FPERIOD_OVERRIDE=FQ","FILING_STATUS=MR","FA_ADJUSTED=GAAP","Sort=A","Dates=H","DateFormat=P","Fill=—","Direction=H","UseDPDF=Y")</f>
        <v>—</v>
      </c>
      <c r="J13" s="14" t="str">
        <f>_xll.BDH("ALNY US Equity","NET_DEBT_TO_EBITDA","FQ3 2020","FQ3 2020","Currency=USD","Period=FQ","BEST_FPERIOD_OVERRIDE=FQ","FILING_STATUS=MR","FA_ADJUSTED=GAAP","Sort=A","Dates=H","DateFormat=P","Fill=—","Direction=H","UseDPDF=Y")</f>
        <v>—</v>
      </c>
      <c r="K13" s="14" t="str">
        <f>_xll.BDH("ALNY US Equity","NET_DEBT_TO_EBITDA","FQ4 2020","FQ4 2020","Currency=USD","Period=FQ","BEST_FPERIOD_OVERRIDE=FQ","FILING_STATUS=MR","FA_ADJUSTED=GAAP","Sort=A","Dates=H","DateFormat=P","Fill=—","Direction=H","UseDPDF=Y")</f>
        <v>—</v>
      </c>
      <c r="L13" s="14" t="str">
        <f>_xll.BDH("ALNY US Equity","NET_DEBT_TO_EBITDA","FQ1 2021","FQ1 2021","Currency=USD","Period=FQ","BEST_FPERIOD_OVERRIDE=FQ","FILING_STATUS=MR","FA_ADJUSTED=GAAP","Sort=A","Dates=H","DateFormat=P","Fill=—","Direction=H","UseDPDF=Y")</f>
        <v>—</v>
      </c>
      <c r="M13" s="14" t="str">
        <f>_xll.BDH("ALNY US Equity","NET_DEBT_TO_EBITDA","FQ2 2021","FQ2 2021","Currency=USD","Period=FQ","BEST_FPERIOD_OVERRIDE=FQ","FILING_STATUS=MR","FA_ADJUSTED=GAAP","Sort=A","Dates=H","DateFormat=P","Fill=—","Direction=H","UseDPDF=Y")</f>
        <v>—</v>
      </c>
      <c r="N13" s="14" t="str">
        <f>_xll.BDH("ALNY US Equity","NET_DEBT_TO_EBITDA","FQ3 2021","FQ3 2021","Currency=USD","Period=FQ","BEST_FPERIOD_OVERRIDE=FQ","FILING_STATUS=MR","FA_ADJUSTED=GAAP","Sort=A","Dates=H","DateFormat=P","Fill=—","Direction=H","UseDPDF=Y")</f>
        <v>—</v>
      </c>
      <c r="O13" s="14" t="str">
        <f>_xll.BDH("ALNY US Equity","NET_DEBT_TO_EBITDA","FQ4 2021","FQ4 2021","Currency=USD","Period=FQ","BEST_FPERIOD_OVERRIDE=FQ","FILING_STATUS=MR","FA_ADJUSTED=GAAP","Sort=A","Dates=H","DateFormat=P","Fill=—","Direction=H","UseDPDF=Y")</f>
        <v>—</v>
      </c>
      <c r="P13" s="14" t="str">
        <f>_xll.BDH("ALNY US Equity","NET_DEBT_TO_EBITDA","FQ1 2022","FQ1 2022","Currency=USD","Period=FQ","BEST_FPERIOD_OVERRIDE=FQ","FILING_STATUS=MR","FA_ADJUSTED=GAAP","Sort=A","Dates=H","DateFormat=P","Fill=—","Direction=H","UseDPDF=Y")</f>
        <v>—</v>
      </c>
      <c r="Q13" s="14" t="str">
        <f>_xll.BDH("ALNY US Equity","NET_DEBT_TO_EBITDA","FQ2 2022","FQ2 2022","Currency=USD","Period=FQ","BEST_FPERIOD_OVERRIDE=FQ","FILING_STATUS=MR","FA_ADJUSTED=GAAP","Sort=A","Dates=H","DateFormat=P","Fill=—","Direction=H","UseDPDF=Y")</f>
        <v>—</v>
      </c>
      <c r="R13" s="14" t="str">
        <f>_xll.BDH("ALNY US Equity","NET_DEBT_TO_EBITDA","FQ3 2022","FQ3 2022","Currency=USD","Period=FQ","BEST_FPERIOD_OVERRIDE=FQ","FILING_STATUS=MR","FA_ADJUSTED=GAAP","Sort=A","Dates=H","DateFormat=P","Fill=—","Direction=H","UseDPDF=Y")</f>
        <v>—</v>
      </c>
      <c r="S13" s="14" t="str">
        <f>_xll.BDH("ALNY US Equity","NET_DEBT_TO_EBITDA","FQ4 2022","FQ4 2022","Currency=USD","Period=FQ","BEST_FPERIOD_OVERRIDE=FQ","FILING_STATUS=MR","FA_ADJUSTED=GAAP","Sort=A","Dates=H","DateFormat=P","Fill=—","Direction=H","UseDPDF=Y")</f>
        <v>—</v>
      </c>
      <c r="T13" s="14" t="str">
        <f>_xll.BDH("ALNY US Equity","NET_DEBT_TO_EBITDA","FQ1 2023","FQ1 2023","Currency=USD","Period=FQ","BEST_FPERIOD_OVERRIDE=FQ","FILING_STATUS=MR","FA_ADJUSTED=GAAP","Sort=A","Dates=H","DateFormat=P","Fill=—","Direction=H","UseDPDF=Y")</f>
        <v>—</v>
      </c>
      <c r="U13" s="14" t="str">
        <f>_xll.BDH("ALNY US Equity","NET_DEBT_TO_EBITDA","FQ2 2023","FQ2 2023","Currency=USD","Period=FQ","BEST_FPERIOD_OVERRIDE=FQ","FILING_STATUS=MR","FA_ADJUSTED=GAAP","Sort=A","Dates=H","DateFormat=P","Fill=—","Direction=H","UseDPDF=Y")</f>
        <v>—</v>
      </c>
      <c r="V13" s="14" t="str">
        <f>_xll.BDH("ALNY US Equity","NET_DEBT_TO_EBITDA","FQ3 2023","FQ3 2023","Currency=USD","Period=FQ","BEST_FPERIOD_OVERRIDE=FQ","FILING_STATUS=MR","FA_ADJUSTED=GAAP","Sort=A","Dates=H","DateFormat=P","Fill=—","Direction=H","UseDPDF=Y")</f>
        <v>—</v>
      </c>
      <c r="W13" s="14" t="str">
        <f>_xll.BDH("ALNY US Equity","NET_DEBT_TO_EBITDA","FQ4 2023","FQ4 2023","Currency=USD","Period=FQ","BEST_FPERIOD_OVERRIDE=FQ","FILING_STATUS=MR","FA_ADJUSTED=GAAP","Sort=A","Dates=H","DateFormat=P","Fill=—","Direction=H","UseDPDF=Y")</f>
        <v>—</v>
      </c>
      <c r="X13" s="14" t="str">
        <f>_xll.BDH("ALNY US Equity","NET_DEBT_TO_EBITDA","FQ1 2024","FQ1 2024","Currency=USD","Period=FQ","BEST_FPERIOD_OVERRIDE=FQ","FILING_STATUS=MR","FA_ADJUSTED=GAAP","Sort=A","Dates=H","DateFormat=P","Fill=—","Direction=H","UseDPDF=Y")</f>
        <v>—</v>
      </c>
      <c r="Y13" s="14">
        <f>_xll.BDH("ALNY US Equity","NET_DEBT_TO_EBITDA","FQ2 2024","FQ2 2024","Currency=USD","Period=FQ","BEST_FPERIOD_OVERRIDE=FQ","FILING_STATUS=MR","FA_ADJUSTED=GAAP","Sort=A","Dates=H","DateFormat=P","Fill=—","Direction=H","UseDPDF=Y")</f>
        <v>0.108</v>
      </c>
      <c r="Z13" s="14" t="str">
        <f>_xll.BDH("ALNY US Equity","NET_DEBT_TO_EBITDA","FQ3 2024","FQ3 2024","Currency=USD","Period=FQ","BEST_FPERIOD_OVERRIDE=FQ","FILING_STATUS=MR","FA_ADJUSTED=GAAP","Sort=A","Dates=H","DateFormat=P","Fill=—","Direction=H","UseDPDF=Y")</f>
        <v>—</v>
      </c>
      <c r="AA13" s="14" t="str">
        <f>_xll.BDH("ALNY US Equity","NET_DEBT_TO_EBITDA","FQ4 2024","FQ4 2024","Currency=USD","Period=FQ","BEST_FPERIOD_OVERRIDE=FQ","FILING_STATUS=MR","FA_ADJUSTED=GAAP","Sort=A","Dates=H","DateFormat=P","Fill=—","Direction=H","UseDPDF=Y")</f>
        <v>—</v>
      </c>
    </row>
    <row r="14" spans="1:27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0" t="s">
        <v>1453</v>
      </c>
      <c r="B15" s="10" t="s">
        <v>1454</v>
      </c>
      <c r="C15" s="14" t="str">
        <f>_xll.BDH("ALNY US Equity","TOTAL_DEBT_TO_EBIT","FQ4 2018","FQ4 2018","Currency=USD","Period=FQ","BEST_FPERIOD_OVERRIDE=FQ","FILING_STATUS=MR","FA_ADJUSTED=GAAP","Sort=A","Dates=H","DateFormat=P","Fill=—","Direction=H","UseDPDF=Y")</f>
        <v>—</v>
      </c>
      <c r="D15" s="14" t="str">
        <f>_xll.BDH("ALNY US Equity","TOTAL_DEBT_TO_EBIT","FQ1 2019","FQ1 2019","Currency=USD","Period=FQ","BEST_FPERIOD_OVERRIDE=FQ","FILING_STATUS=MR","FA_ADJUSTED=GAAP","Sort=A","Dates=H","DateFormat=P","Fill=—","Direction=H","UseDPDF=Y")</f>
        <v>—</v>
      </c>
      <c r="E15" s="14" t="str">
        <f>_xll.BDH("ALNY US Equity","TOTAL_DEBT_TO_EBIT","FQ2 2019","FQ2 2019","Currency=USD","Period=FQ","BEST_FPERIOD_OVERRIDE=FQ","FILING_STATUS=MR","FA_ADJUSTED=GAAP","Sort=A","Dates=H","DateFormat=P","Fill=—","Direction=H","UseDPDF=Y")</f>
        <v>—</v>
      </c>
      <c r="F15" s="14" t="str">
        <f>_xll.BDH("ALNY US Equity","TOTAL_DEBT_TO_EBIT","FQ3 2019","FQ3 2019","Currency=USD","Period=FQ","BEST_FPERIOD_OVERRIDE=FQ","FILING_STATUS=MR","FA_ADJUSTED=GAAP","Sort=A","Dates=H","DateFormat=P","Fill=—","Direction=H","UseDPDF=Y")</f>
        <v>—</v>
      </c>
      <c r="G15" s="14" t="str">
        <f>_xll.BDH("ALNY US Equity","TOTAL_DEBT_TO_EBIT","FQ4 2019","FQ4 2019","Currency=USD","Period=FQ","BEST_FPERIOD_OVERRIDE=FQ","FILING_STATUS=MR","FA_ADJUSTED=GAAP","Sort=A","Dates=H","DateFormat=P","Fill=—","Direction=H","UseDPDF=Y")</f>
        <v>—</v>
      </c>
      <c r="H15" s="14" t="str">
        <f>_xll.BDH("ALNY US Equity","TOTAL_DEBT_TO_EBIT","FQ1 2020","FQ1 2020","Currency=USD","Period=FQ","BEST_FPERIOD_OVERRIDE=FQ","FILING_STATUS=MR","FA_ADJUSTED=GAAP","Sort=A","Dates=H","DateFormat=P","Fill=—","Direction=H","UseDPDF=Y")</f>
        <v>—</v>
      </c>
      <c r="I15" s="14" t="str">
        <f>_xll.BDH("ALNY US Equity","TOTAL_DEBT_TO_EBIT","FQ2 2020","FQ2 2020","Currency=USD","Period=FQ","BEST_FPERIOD_OVERRIDE=FQ","FILING_STATUS=MR","FA_ADJUSTED=GAAP","Sort=A","Dates=H","DateFormat=P","Fill=—","Direction=H","UseDPDF=Y")</f>
        <v>—</v>
      </c>
      <c r="J15" s="14" t="str">
        <f>_xll.BDH("ALNY US Equity","TOTAL_DEBT_TO_EBIT","FQ3 2020","FQ3 2020","Currency=USD","Period=FQ","BEST_FPERIOD_OVERRIDE=FQ","FILING_STATUS=MR","FA_ADJUSTED=GAAP","Sort=A","Dates=H","DateFormat=P","Fill=—","Direction=H","UseDPDF=Y")</f>
        <v>—</v>
      </c>
      <c r="K15" s="14" t="str">
        <f>_xll.BDH("ALNY US Equity","TOTAL_DEBT_TO_EBIT","FQ4 2020","FQ4 2020","Currency=USD","Period=FQ","BEST_FPERIOD_OVERRIDE=FQ","FILING_STATUS=MR","FA_ADJUSTED=GAAP","Sort=A","Dates=H","DateFormat=P","Fill=—","Direction=H","UseDPDF=Y")</f>
        <v>—</v>
      </c>
      <c r="L15" s="14" t="str">
        <f>_xll.BDH("ALNY US Equity","TOTAL_DEBT_TO_EBIT","FQ1 2021","FQ1 2021","Currency=USD","Period=FQ","BEST_FPERIOD_OVERRIDE=FQ","FILING_STATUS=MR","FA_ADJUSTED=GAAP","Sort=A","Dates=H","DateFormat=P","Fill=—","Direction=H","UseDPDF=Y")</f>
        <v>—</v>
      </c>
      <c r="M15" s="14" t="str">
        <f>_xll.BDH("ALNY US Equity","TOTAL_DEBT_TO_EBIT","FQ2 2021","FQ2 2021","Currency=USD","Period=FQ","BEST_FPERIOD_OVERRIDE=FQ","FILING_STATUS=MR","FA_ADJUSTED=GAAP","Sort=A","Dates=H","DateFormat=P","Fill=—","Direction=H","UseDPDF=Y")</f>
        <v>—</v>
      </c>
      <c r="N15" s="14" t="str">
        <f>_xll.BDH("ALNY US Equity","TOTAL_DEBT_TO_EBIT","FQ3 2021","FQ3 2021","Currency=USD","Period=FQ","BEST_FPERIOD_OVERRIDE=FQ","FILING_STATUS=MR","FA_ADJUSTED=GAAP","Sort=A","Dates=H","DateFormat=P","Fill=—","Direction=H","UseDPDF=Y")</f>
        <v>—</v>
      </c>
      <c r="O15" s="14" t="str">
        <f>_xll.BDH("ALNY US Equity","TOTAL_DEBT_TO_EBIT","FQ4 2021","FQ4 2021","Currency=USD","Period=FQ","BEST_FPERIOD_OVERRIDE=FQ","FILING_STATUS=MR","FA_ADJUSTED=GAAP","Sort=A","Dates=H","DateFormat=P","Fill=—","Direction=H","UseDPDF=Y")</f>
        <v>—</v>
      </c>
      <c r="P15" s="14" t="str">
        <f>_xll.BDH("ALNY US Equity","TOTAL_DEBT_TO_EBIT","FQ1 2022","FQ1 2022","Currency=USD","Period=FQ","BEST_FPERIOD_OVERRIDE=FQ","FILING_STATUS=MR","FA_ADJUSTED=GAAP","Sort=A","Dates=H","DateFormat=P","Fill=—","Direction=H","UseDPDF=Y")</f>
        <v>—</v>
      </c>
      <c r="Q15" s="14" t="str">
        <f>_xll.BDH("ALNY US Equity","TOTAL_DEBT_TO_EBIT","FQ2 2022","FQ2 2022","Currency=USD","Period=FQ","BEST_FPERIOD_OVERRIDE=FQ","FILING_STATUS=MR","FA_ADJUSTED=GAAP","Sort=A","Dates=H","DateFormat=P","Fill=—","Direction=H","UseDPDF=Y")</f>
        <v>—</v>
      </c>
      <c r="R15" s="14" t="str">
        <f>_xll.BDH("ALNY US Equity","TOTAL_DEBT_TO_EBIT","FQ3 2022","FQ3 2022","Currency=USD","Period=FQ","BEST_FPERIOD_OVERRIDE=FQ","FILING_STATUS=MR","FA_ADJUSTED=GAAP","Sort=A","Dates=H","DateFormat=P","Fill=—","Direction=H","UseDPDF=Y")</f>
        <v>—</v>
      </c>
      <c r="S15" s="14" t="str">
        <f>_xll.BDH("ALNY US Equity","TOTAL_DEBT_TO_EBIT","FQ4 2022","FQ4 2022","Currency=USD","Period=FQ","BEST_FPERIOD_OVERRIDE=FQ","FILING_STATUS=MR","FA_ADJUSTED=GAAP","Sort=A","Dates=H","DateFormat=P","Fill=—","Direction=H","UseDPDF=Y")</f>
        <v>—</v>
      </c>
      <c r="T15" s="14" t="str">
        <f>_xll.BDH("ALNY US Equity","TOTAL_DEBT_TO_EBIT","FQ1 2023","FQ1 2023","Currency=USD","Period=FQ","BEST_FPERIOD_OVERRIDE=FQ","FILING_STATUS=MR","FA_ADJUSTED=GAAP","Sort=A","Dates=H","DateFormat=P","Fill=—","Direction=H","UseDPDF=Y")</f>
        <v>—</v>
      </c>
      <c r="U15" s="14" t="str">
        <f>_xll.BDH("ALNY US Equity","TOTAL_DEBT_TO_EBIT","FQ2 2023","FQ2 2023","Currency=USD","Period=FQ","BEST_FPERIOD_OVERRIDE=FQ","FILING_STATUS=MR","FA_ADJUSTED=GAAP","Sort=A","Dates=H","DateFormat=P","Fill=—","Direction=H","UseDPDF=Y")</f>
        <v>—</v>
      </c>
      <c r="V15" s="14" t="str">
        <f>_xll.BDH("ALNY US Equity","TOTAL_DEBT_TO_EBIT","FQ3 2023","FQ3 2023","Currency=USD","Period=FQ","BEST_FPERIOD_OVERRIDE=FQ","FILING_STATUS=MR","FA_ADJUSTED=GAAP","Sort=A","Dates=H","DateFormat=P","Fill=—","Direction=H","UseDPDF=Y")</f>
        <v>—</v>
      </c>
      <c r="W15" s="14" t="str">
        <f>_xll.BDH("ALNY US Equity","TOTAL_DEBT_TO_EBIT","FQ4 2023","FQ4 2023","Currency=USD","Period=FQ","BEST_FPERIOD_OVERRIDE=FQ","FILING_STATUS=MR","FA_ADJUSTED=GAAP","Sort=A","Dates=H","DateFormat=P","Fill=—","Direction=H","UseDPDF=Y")</f>
        <v>—</v>
      </c>
      <c r="X15" s="14" t="str">
        <f>_xll.BDH("ALNY US Equity","TOTAL_DEBT_TO_EBIT","FQ1 2024","FQ1 2024","Currency=USD","Period=FQ","BEST_FPERIOD_OVERRIDE=FQ","FILING_STATUS=MR","FA_ADJUSTED=GAAP","Sort=A","Dates=H","DateFormat=P","Fill=—","Direction=H","UseDPDF=Y")</f>
        <v>—</v>
      </c>
      <c r="Y15" s="14">
        <f>_xll.BDH("ALNY US Equity","TOTAL_DEBT_TO_EBIT","FQ2 2024","FQ2 2024","Currency=USD","Period=FQ","BEST_FPERIOD_OVERRIDE=FQ","FILING_STATUS=MR","FA_ADJUSTED=GAAP","Sort=A","Dates=H","DateFormat=P","Fill=—","Direction=H","UseDPDF=Y")</f>
        <v>25.781600000000001</v>
      </c>
      <c r="Z15" s="14" t="str">
        <f>_xll.BDH("ALNY US Equity","TOTAL_DEBT_TO_EBIT","FQ3 2024","FQ3 2024","Currency=USD","Period=FQ","BEST_FPERIOD_OVERRIDE=FQ","FILING_STATUS=MR","FA_ADJUSTED=GAAP","Sort=A","Dates=H","DateFormat=P","Fill=—","Direction=H","UseDPDF=Y")</f>
        <v>—</v>
      </c>
      <c r="AA15" s="14" t="str">
        <f>_xll.BDH("ALNY US Equity","TOTAL_DEBT_TO_EBIT","FQ4 2024","FQ4 2024","Currency=USD","Period=FQ","BEST_FPERIOD_OVERRIDE=FQ","FILING_STATUS=MR","FA_ADJUSTED=GAAP","Sort=A","Dates=H","DateFormat=P","Fill=—","Direction=H","UseDPDF=Y")</f>
        <v>—</v>
      </c>
    </row>
    <row r="16" spans="1:27" x14ac:dyDescent="0.25">
      <c r="A16" s="10" t="s">
        <v>1455</v>
      </c>
      <c r="B16" s="10" t="s">
        <v>1456</v>
      </c>
      <c r="C16" s="14" t="str">
        <f>_xll.BDH("ALNY US Equity","NET_DEBT_TO_EBIT","FQ4 2018","FQ4 2018","Currency=USD","Period=FQ","BEST_FPERIOD_OVERRIDE=FQ","FILING_STATUS=MR","FA_ADJUSTED=GAAP","Sort=A","Dates=H","DateFormat=P","Fill=—","Direction=H","UseDPDF=Y")</f>
        <v>—</v>
      </c>
      <c r="D16" s="14" t="str">
        <f>_xll.BDH("ALNY US Equity","NET_DEBT_TO_EBIT","FQ1 2019","FQ1 2019","Currency=USD","Period=FQ","BEST_FPERIOD_OVERRIDE=FQ","FILING_STATUS=MR","FA_ADJUSTED=GAAP","Sort=A","Dates=H","DateFormat=P","Fill=—","Direction=H","UseDPDF=Y")</f>
        <v>—</v>
      </c>
      <c r="E16" s="14" t="str">
        <f>_xll.BDH("ALNY US Equity","NET_DEBT_TO_EBIT","FQ2 2019","FQ2 2019","Currency=USD","Period=FQ","BEST_FPERIOD_OVERRIDE=FQ","FILING_STATUS=MR","FA_ADJUSTED=GAAP","Sort=A","Dates=H","DateFormat=P","Fill=—","Direction=H","UseDPDF=Y")</f>
        <v>—</v>
      </c>
      <c r="F16" s="14" t="str">
        <f>_xll.BDH("ALNY US Equity","NET_DEBT_TO_EBIT","FQ3 2019","FQ3 2019","Currency=USD","Period=FQ","BEST_FPERIOD_OVERRIDE=FQ","FILING_STATUS=MR","FA_ADJUSTED=GAAP","Sort=A","Dates=H","DateFormat=P","Fill=—","Direction=H","UseDPDF=Y")</f>
        <v>—</v>
      </c>
      <c r="G16" s="14" t="str">
        <f>_xll.BDH("ALNY US Equity","NET_DEBT_TO_EBIT","FQ4 2019","FQ4 2019","Currency=USD","Period=FQ","BEST_FPERIOD_OVERRIDE=FQ","FILING_STATUS=MR","FA_ADJUSTED=GAAP","Sort=A","Dates=H","DateFormat=P","Fill=—","Direction=H","UseDPDF=Y")</f>
        <v>—</v>
      </c>
      <c r="H16" s="14" t="str">
        <f>_xll.BDH("ALNY US Equity","NET_DEBT_TO_EBIT","FQ1 2020","FQ1 2020","Currency=USD","Period=FQ","BEST_FPERIOD_OVERRIDE=FQ","FILING_STATUS=MR","FA_ADJUSTED=GAAP","Sort=A","Dates=H","DateFormat=P","Fill=—","Direction=H","UseDPDF=Y")</f>
        <v>—</v>
      </c>
      <c r="I16" s="14" t="str">
        <f>_xll.BDH("ALNY US Equity","NET_DEBT_TO_EBIT","FQ2 2020","FQ2 2020","Currency=USD","Period=FQ","BEST_FPERIOD_OVERRIDE=FQ","FILING_STATUS=MR","FA_ADJUSTED=GAAP","Sort=A","Dates=H","DateFormat=P","Fill=—","Direction=H","UseDPDF=Y")</f>
        <v>—</v>
      </c>
      <c r="J16" s="14" t="str">
        <f>_xll.BDH("ALNY US Equity","NET_DEBT_TO_EBIT","FQ3 2020","FQ3 2020","Currency=USD","Period=FQ","BEST_FPERIOD_OVERRIDE=FQ","FILING_STATUS=MR","FA_ADJUSTED=GAAP","Sort=A","Dates=H","DateFormat=P","Fill=—","Direction=H","UseDPDF=Y")</f>
        <v>—</v>
      </c>
      <c r="K16" s="14" t="str">
        <f>_xll.BDH("ALNY US Equity","NET_DEBT_TO_EBIT","FQ4 2020","FQ4 2020","Currency=USD","Period=FQ","BEST_FPERIOD_OVERRIDE=FQ","FILING_STATUS=MR","FA_ADJUSTED=GAAP","Sort=A","Dates=H","DateFormat=P","Fill=—","Direction=H","UseDPDF=Y")</f>
        <v>—</v>
      </c>
      <c r="L16" s="14" t="str">
        <f>_xll.BDH("ALNY US Equity","NET_DEBT_TO_EBIT","FQ1 2021","FQ1 2021","Currency=USD","Period=FQ","BEST_FPERIOD_OVERRIDE=FQ","FILING_STATUS=MR","FA_ADJUSTED=GAAP","Sort=A","Dates=H","DateFormat=P","Fill=—","Direction=H","UseDPDF=Y")</f>
        <v>—</v>
      </c>
      <c r="M16" s="14" t="str">
        <f>_xll.BDH("ALNY US Equity","NET_DEBT_TO_EBIT","FQ2 2021","FQ2 2021","Currency=USD","Period=FQ","BEST_FPERIOD_OVERRIDE=FQ","FILING_STATUS=MR","FA_ADJUSTED=GAAP","Sort=A","Dates=H","DateFormat=P","Fill=—","Direction=H","UseDPDF=Y")</f>
        <v>—</v>
      </c>
      <c r="N16" s="14" t="str">
        <f>_xll.BDH("ALNY US Equity","NET_DEBT_TO_EBIT","FQ3 2021","FQ3 2021","Currency=USD","Period=FQ","BEST_FPERIOD_OVERRIDE=FQ","FILING_STATUS=MR","FA_ADJUSTED=GAAP","Sort=A","Dates=H","DateFormat=P","Fill=—","Direction=H","UseDPDF=Y")</f>
        <v>—</v>
      </c>
      <c r="O16" s="14" t="str">
        <f>_xll.BDH("ALNY US Equity","NET_DEBT_TO_EBIT","FQ4 2021","FQ4 2021","Currency=USD","Period=FQ","BEST_FPERIOD_OVERRIDE=FQ","FILING_STATUS=MR","FA_ADJUSTED=GAAP","Sort=A","Dates=H","DateFormat=P","Fill=—","Direction=H","UseDPDF=Y")</f>
        <v>—</v>
      </c>
      <c r="P16" s="14" t="str">
        <f>_xll.BDH("ALNY US Equity","NET_DEBT_TO_EBIT","FQ1 2022","FQ1 2022","Currency=USD","Period=FQ","BEST_FPERIOD_OVERRIDE=FQ","FILING_STATUS=MR","FA_ADJUSTED=GAAP","Sort=A","Dates=H","DateFormat=P","Fill=—","Direction=H","UseDPDF=Y")</f>
        <v>—</v>
      </c>
      <c r="Q16" s="14" t="str">
        <f>_xll.BDH("ALNY US Equity","NET_DEBT_TO_EBIT","FQ2 2022","FQ2 2022","Currency=USD","Period=FQ","BEST_FPERIOD_OVERRIDE=FQ","FILING_STATUS=MR","FA_ADJUSTED=GAAP","Sort=A","Dates=H","DateFormat=P","Fill=—","Direction=H","UseDPDF=Y")</f>
        <v>—</v>
      </c>
      <c r="R16" s="14" t="str">
        <f>_xll.BDH("ALNY US Equity","NET_DEBT_TO_EBIT","FQ3 2022","FQ3 2022","Currency=USD","Period=FQ","BEST_FPERIOD_OVERRIDE=FQ","FILING_STATUS=MR","FA_ADJUSTED=GAAP","Sort=A","Dates=H","DateFormat=P","Fill=—","Direction=H","UseDPDF=Y")</f>
        <v>—</v>
      </c>
      <c r="S16" s="14" t="str">
        <f>_xll.BDH("ALNY US Equity","NET_DEBT_TO_EBIT","FQ4 2022","FQ4 2022","Currency=USD","Period=FQ","BEST_FPERIOD_OVERRIDE=FQ","FILING_STATUS=MR","FA_ADJUSTED=GAAP","Sort=A","Dates=H","DateFormat=P","Fill=—","Direction=H","UseDPDF=Y")</f>
        <v>—</v>
      </c>
      <c r="T16" s="14" t="str">
        <f>_xll.BDH("ALNY US Equity","NET_DEBT_TO_EBIT","FQ1 2023","FQ1 2023","Currency=USD","Period=FQ","BEST_FPERIOD_OVERRIDE=FQ","FILING_STATUS=MR","FA_ADJUSTED=GAAP","Sort=A","Dates=H","DateFormat=P","Fill=—","Direction=H","UseDPDF=Y")</f>
        <v>—</v>
      </c>
      <c r="U16" s="14" t="str">
        <f>_xll.BDH("ALNY US Equity","NET_DEBT_TO_EBIT","FQ2 2023","FQ2 2023","Currency=USD","Period=FQ","BEST_FPERIOD_OVERRIDE=FQ","FILING_STATUS=MR","FA_ADJUSTED=GAAP","Sort=A","Dates=H","DateFormat=P","Fill=—","Direction=H","UseDPDF=Y")</f>
        <v>—</v>
      </c>
      <c r="V16" s="14" t="str">
        <f>_xll.BDH("ALNY US Equity","NET_DEBT_TO_EBIT","FQ3 2023","FQ3 2023","Currency=USD","Period=FQ","BEST_FPERIOD_OVERRIDE=FQ","FILING_STATUS=MR","FA_ADJUSTED=GAAP","Sort=A","Dates=H","DateFormat=P","Fill=—","Direction=H","UseDPDF=Y")</f>
        <v>—</v>
      </c>
      <c r="W16" s="14" t="str">
        <f>_xll.BDH("ALNY US Equity","NET_DEBT_TO_EBIT","FQ4 2023","FQ4 2023","Currency=USD","Period=FQ","BEST_FPERIOD_OVERRIDE=FQ","FILING_STATUS=MR","FA_ADJUSTED=GAAP","Sort=A","Dates=H","DateFormat=P","Fill=—","Direction=H","UseDPDF=Y")</f>
        <v>—</v>
      </c>
      <c r="X16" s="14" t="str">
        <f>_xll.BDH("ALNY US Equity","NET_DEBT_TO_EBIT","FQ1 2024","FQ1 2024","Currency=USD","Period=FQ","BEST_FPERIOD_OVERRIDE=FQ","FILING_STATUS=MR","FA_ADJUSTED=GAAP","Sort=A","Dates=H","DateFormat=P","Fill=—","Direction=H","UseDPDF=Y")</f>
        <v>—</v>
      </c>
      <c r="Y16" s="14">
        <f>_xll.BDH("ALNY US Equity","NET_DEBT_TO_EBIT","FQ2 2024","FQ2 2024","Currency=USD","Period=FQ","BEST_FPERIOD_OVERRIDE=FQ","FILING_STATUS=MR","FA_ADJUSTED=GAAP","Sort=A","Dates=H","DateFormat=P","Fill=—","Direction=H","UseDPDF=Y")</f>
        <v>0.2107</v>
      </c>
      <c r="Z16" s="14" t="str">
        <f>_xll.BDH("ALNY US Equity","NET_DEBT_TO_EBIT","FQ3 2024","FQ3 2024","Currency=USD","Period=FQ","BEST_FPERIOD_OVERRIDE=FQ","FILING_STATUS=MR","FA_ADJUSTED=GAAP","Sort=A","Dates=H","DateFormat=P","Fill=—","Direction=H","UseDPDF=Y")</f>
        <v>—</v>
      </c>
      <c r="AA16" s="14" t="str">
        <f>_xll.BDH("ALNY US Equity","NET_DEBT_TO_EBIT","FQ4 2024","FQ4 2024","Currency=USD","Period=FQ","BEST_FPERIOD_OVERRIDE=FQ","FILING_STATUS=MR","FA_ADJUSTED=GAAP","Sort=A","Dates=H","DateFormat=P","Fill=—","Direction=H","UseDPDF=Y")</f>
        <v>—</v>
      </c>
    </row>
    <row r="17" spans="1:27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0" t="s">
        <v>1457</v>
      </c>
      <c r="B18" s="10" t="s">
        <v>1458</v>
      </c>
      <c r="C18" s="14" t="str">
        <f>_xll.BDH("ALNY US Equity","EBITDA_TO_INTEREST_EXPN","FQ4 2018","FQ4 2018","Currency=USD","Period=FQ","BEST_FPERIOD_OVERRIDE=FQ","FILING_STATUS=MR","FA_ADJUSTED=GAAP","Sort=A","Dates=H","DateFormat=P","Fill=—","Direction=H","UseDPDF=Y")</f>
        <v>—</v>
      </c>
      <c r="D18" s="14" t="str">
        <f>_xll.BDH("ALNY US Equity","EBITDA_TO_INTEREST_EXPN","FQ1 2019","FQ1 2019","Currency=USD","Period=FQ","BEST_FPERIOD_OVERRIDE=FQ","FILING_STATUS=MR","FA_ADJUSTED=GAAP","Sort=A","Dates=H","DateFormat=P","Fill=—","Direction=H","UseDPDF=Y")</f>
        <v>—</v>
      </c>
      <c r="E18" s="14" t="str">
        <f>_xll.BDH("ALNY US Equity","EBITDA_TO_INTEREST_EXPN","FQ2 2019","FQ2 2019","Currency=USD","Period=FQ","BEST_FPERIOD_OVERRIDE=FQ","FILING_STATUS=MR","FA_ADJUSTED=GAAP","Sort=A","Dates=H","DateFormat=P","Fill=—","Direction=H","UseDPDF=Y")</f>
        <v>—</v>
      </c>
      <c r="F18" s="14" t="str">
        <f>_xll.BDH("ALNY US Equity","EBITDA_TO_INTEREST_EXPN","FQ3 2019","FQ3 2019","Currency=USD","Period=FQ","BEST_FPERIOD_OVERRIDE=FQ","FILING_STATUS=MR","FA_ADJUSTED=GAAP","Sort=A","Dates=H","DateFormat=P","Fill=—","Direction=H","UseDPDF=Y")</f>
        <v>—</v>
      </c>
      <c r="G18" s="14" t="str">
        <f>_xll.BDH("ALNY US Equity","EBITDA_TO_INTEREST_EXPN","FQ4 2019","FQ4 2019","Currency=USD","Period=FQ","BEST_FPERIOD_OVERRIDE=FQ","FILING_STATUS=MR","FA_ADJUSTED=GAAP","Sort=A","Dates=H","DateFormat=P","Fill=—","Direction=H","UseDPDF=Y")</f>
        <v>—</v>
      </c>
      <c r="H18" s="14" t="str">
        <f>_xll.BDH("ALNY US Equity","EBITDA_TO_INTEREST_EXPN","FQ1 2020","FQ1 2020","Currency=USD","Period=FQ","BEST_FPERIOD_OVERRIDE=FQ","FILING_STATUS=MR","FA_ADJUSTED=GAAP","Sort=A","Dates=H","DateFormat=P","Fill=—","Direction=H","UseDPDF=Y")</f>
        <v>—</v>
      </c>
      <c r="I18" s="14">
        <f>_xll.BDH("ALNY US Equity","EBITDA_TO_INTEREST_EXPN","FQ2 2020","FQ2 2020","Currency=USD","Period=FQ","BEST_FPERIOD_OVERRIDE=FQ","FILING_STATUS=MR","FA_ADJUSTED=GAAP","Sort=A","Dates=H","DateFormat=P","Fill=—","Direction=H","UseDPDF=Y")</f>
        <v>-6.6456999999999997</v>
      </c>
      <c r="J18" s="14">
        <f>_xll.BDH("ALNY US Equity","EBITDA_TO_INTEREST_EXPN","FQ3 2020","FQ3 2020","Currency=USD","Period=FQ","BEST_FPERIOD_OVERRIDE=FQ","FILING_STATUS=MR","FA_ADJUSTED=GAAP","Sort=A","Dates=H","DateFormat=P","Fill=—","Direction=H","UseDPDF=Y")</f>
        <v>-7.1848999999999998</v>
      </c>
      <c r="K18" s="14">
        <f>_xll.BDH("ALNY US Equity","EBITDA_TO_INTEREST_EXPN","FQ4 2020","FQ4 2020","Currency=USD","Period=FQ","BEST_FPERIOD_OVERRIDE=FQ","FILING_STATUS=MR","FA_ADJUSTED=GAAP","Sort=A","Dates=H","DateFormat=P","Fill=—","Direction=H","UseDPDF=Y")</f>
        <v>-6.0785</v>
      </c>
      <c r="L18" s="14">
        <f>_xll.BDH("ALNY US Equity","EBITDA_TO_INTEREST_EXPN","FQ1 2021","FQ1 2021","Currency=USD","Period=FQ","BEST_FPERIOD_OVERRIDE=FQ","FILING_STATUS=MR","FA_ADJUSTED=GAAP","Sort=A","Dates=H","DateFormat=P","Fill=—","Direction=H","UseDPDF=Y")</f>
        <v>-5.0251000000000001</v>
      </c>
      <c r="M18" s="14">
        <f>_xll.BDH("ALNY US Equity","EBITDA_TO_INTEREST_EXPN","FQ2 2021","FQ2 2021","Currency=USD","Period=FQ","BEST_FPERIOD_OVERRIDE=FQ","FILING_STATUS=MR","FA_ADJUSTED=GAAP","Sort=A","Dates=H","DateFormat=P","Fill=—","Direction=H","UseDPDF=Y")</f>
        <v>-3.7107999999999999</v>
      </c>
      <c r="N18" s="14">
        <f>_xll.BDH("ALNY US Equity","EBITDA_TO_INTEREST_EXPN","FQ3 2021","FQ3 2021","Currency=USD","Period=FQ","BEST_FPERIOD_OVERRIDE=FQ","FILING_STATUS=MR","FA_ADJUSTED=GAAP","Sort=A","Dates=H","DateFormat=P","Fill=—","Direction=H","UseDPDF=Y")</f>
        <v>-3.9344999999999999</v>
      </c>
      <c r="O18" s="14">
        <f>_xll.BDH("ALNY US Equity","EBITDA_TO_INTEREST_EXPN","FQ4 2021","FQ4 2021","Currency=USD","Period=FQ","BEST_FPERIOD_OVERRIDE=FQ","FILING_STATUS=MR","FA_ADJUSTED=GAAP","Sort=A","Dates=H","DateFormat=P","Fill=—","Direction=H","UseDPDF=Y")</f>
        <v>-4.702</v>
      </c>
      <c r="P18" s="14">
        <f>_xll.BDH("ALNY US Equity","EBITDA_TO_INTEREST_EXPN","FQ1 2022","FQ1 2022","Currency=USD","Period=FQ","BEST_FPERIOD_OVERRIDE=FQ","FILING_STATUS=MR","FA_ADJUSTED=GAAP","Sort=A","Dates=H","DateFormat=P","Fill=—","Direction=H","UseDPDF=Y")</f>
        <v>-2.9969000000000001</v>
      </c>
      <c r="Q18" s="14">
        <f>_xll.BDH("ALNY US Equity","EBITDA_TO_INTEREST_EXPN","FQ2 2022","FQ2 2022","Currency=USD","Period=FQ","BEST_FPERIOD_OVERRIDE=FQ","FILING_STATUS=MR","FA_ADJUSTED=GAAP","Sort=A","Dates=H","DateFormat=P","Fill=—","Direction=H","UseDPDF=Y")</f>
        <v>-4.0237999999999996</v>
      </c>
      <c r="R18" s="14">
        <f>_xll.BDH("ALNY US Equity","EBITDA_TO_INTEREST_EXPN","FQ3 2022","FQ3 2022","Currency=USD","Period=FQ","BEST_FPERIOD_OVERRIDE=FQ","FILING_STATUS=MR","FA_ADJUSTED=GAAP","Sort=A","Dates=H","DateFormat=P","Fill=—","Direction=H","UseDPDF=Y")</f>
        <v>-5.7782</v>
      </c>
      <c r="S18" s="14">
        <f>_xll.BDH("ALNY US Equity","EBITDA_TO_INTEREST_EXPN","FQ4 2022","FQ4 2022","Currency=USD","Period=FQ","BEST_FPERIOD_OVERRIDE=FQ","FILING_STATUS=MR","FA_ADJUSTED=GAAP","Sort=A","Dates=H","DateFormat=P","Fill=—","Direction=H","UseDPDF=Y")</f>
        <v>-5.4734999999999996</v>
      </c>
      <c r="T18" s="14">
        <f>_xll.BDH("ALNY US Equity","EBITDA_TO_INTEREST_EXPN","FQ1 2023","FQ1 2023","Currency=USD","Period=FQ","BEST_FPERIOD_OVERRIDE=FQ","FILING_STATUS=MR","FA_ADJUSTED=GAAP","Sort=A","Dates=H","DateFormat=P","Fill=—","Direction=H","UseDPDF=Y")</f>
        <v>-4.2731000000000003</v>
      </c>
      <c r="U18" s="14">
        <f>_xll.BDH("ALNY US Equity","EBITDA_TO_INTEREST_EXPN","FQ2 2023","FQ2 2023","Currency=USD","Period=FQ","BEST_FPERIOD_OVERRIDE=FQ","FILING_STATUS=MR","FA_ADJUSTED=GAAP","Sort=A","Dates=H","DateFormat=P","Fill=—","Direction=H","UseDPDF=Y")</f>
        <v>-6.8714000000000004</v>
      </c>
      <c r="V18" s="14">
        <f>_xll.BDH("ALNY US Equity","EBITDA_TO_INTEREST_EXPN","FQ3 2023","FQ3 2023","Currency=USD","Period=FQ","BEST_FPERIOD_OVERRIDE=FQ","FILING_STATUS=MR","FA_ADJUSTED=GAAP","Sort=A","Dates=H","DateFormat=P","Fill=—","Direction=H","UseDPDF=Y")</f>
        <v>7.6845999999999997</v>
      </c>
      <c r="W18" s="14">
        <f>_xll.BDH("ALNY US Equity","EBITDA_TO_INTEREST_EXPN","FQ4 2023","FQ4 2023","Currency=USD","Period=FQ","BEST_FPERIOD_OVERRIDE=FQ","FILING_STATUS=MR","FA_ADJUSTED=GAAP","Sort=A","Dates=H","DateFormat=P","Fill=—","Direction=H","UseDPDF=Y")</f>
        <v>-2.9495</v>
      </c>
      <c r="X18" s="14">
        <f>_xll.BDH("ALNY US Equity","EBITDA_TO_INTEREST_EXPN","FQ1 2024","FQ1 2024","Currency=USD","Period=FQ","BEST_FPERIOD_OVERRIDE=FQ","FILING_STATUS=MR","FA_ADJUSTED=GAAP","Sort=A","Dates=H","DateFormat=P","Fill=—","Direction=H","UseDPDF=Y")</f>
        <v>-0.5091</v>
      </c>
      <c r="Y18" s="14">
        <f>_xll.BDH("ALNY US Equity","EBITDA_TO_INTEREST_EXPN","FQ2 2024","FQ2 2024","Currency=USD","Period=FQ","BEST_FPERIOD_OVERRIDE=FQ","FILING_STATUS=MR","FA_ADJUSTED=GAAP","Sort=A","Dates=H","DateFormat=P","Fill=—","Direction=H","UseDPDF=Y")</f>
        <v>2.2042000000000002</v>
      </c>
      <c r="Z18" s="14">
        <f>_xll.BDH("ALNY US Equity","EBITDA_TO_INTEREST_EXPN","FQ3 2024","FQ3 2024","Currency=USD","Period=FQ","BEST_FPERIOD_OVERRIDE=FQ","FILING_STATUS=MR","FA_ADJUSTED=GAAP","Sort=A","Dates=H","DateFormat=P","Fill=—","Direction=H","UseDPDF=Y")</f>
        <v>-1.4505999999999999</v>
      </c>
      <c r="AA18" s="14">
        <f>_xll.BDH("ALNY US Equity","EBITDA_TO_INTEREST_EXPN","FQ4 2024","FQ4 2024","Currency=USD","Period=FQ","BEST_FPERIOD_OVERRIDE=FQ","FILING_STATUS=MR","FA_ADJUSTED=GAAP","Sort=A","Dates=H","DateFormat=P","Fill=—","Direction=H","UseDPDF=Y")</f>
        <v>-2.3348</v>
      </c>
    </row>
    <row r="19" spans="1:27" x14ac:dyDescent="0.25">
      <c r="A19" s="10" t="s">
        <v>1459</v>
      </c>
      <c r="B19" s="10" t="s">
        <v>1460</v>
      </c>
      <c r="C19" s="14" t="str">
        <f>_xll.BDH("ALNY US Equity","EBITDA_LES_CAP_EXPEND_TO_INT_EXP","FQ4 2018","FQ4 2018","Currency=USD","Period=FQ","BEST_FPERIOD_OVERRIDE=FQ","FILING_STATUS=MR","FA_ADJUSTED=GAAP","Sort=A","Dates=H","DateFormat=P","Fill=—","Direction=H","UseDPDF=Y")</f>
        <v>—</v>
      </c>
      <c r="D19" s="14" t="str">
        <f>_xll.BDH("ALNY US Equity","EBITDA_LES_CAP_EXPEND_TO_INT_EXP","FQ1 2019","FQ1 2019","Currency=USD","Period=FQ","BEST_FPERIOD_OVERRIDE=FQ","FILING_STATUS=MR","FA_ADJUSTED=GAAP","Sort=A","Dates=H","DateFormat=P","Fill=—","Direction=H","UseDPDF=Y")</f>
        <v>—</v>
      </c>
      <c r="E19" s="14" t="str">
        <f>_xll.BDH("ALNY US Equity","EBITDA_LES_CAP_EXPEND_TO_INT_EXP","FQ2 2019","FQ2 2019","Currency=USD","Period=FQ","BEST_FPERIOD_OVERRIDE=FQ","FILING_STATUS=MR","FA_ADJUSTED=GAAP","Sort=A","Dates=H","DateFormat=P","Fill=—","Direction=H","UseDPDF=Y")</f>
        <v>—</v>
      </c>
      <c r="F19" s="14" t="str">
        <f>_xll.BDH("ALNY US Equity","EBITDA_LES_CAP_EXPEND_TO_INT_EXP","FQ3 2019","FQ3 2019","Currency=USD","Period=FQ","BEST_FPERIOD_OVERRIDE=FQ","FILING_STATUS=MR","FA_ADJUSTED=GAAP","Sort=A","Dates=H","DateFormat=P","Fill=—","Direction=H","UseDPDF=Y")</f>
        <v>—</v>
      </c>
      <c r="G19" s="14" t="str">
        <f>_xll.BDH("ALNY US Equity","EBITDA_LES_CAP_EXPEND_TO_INT_EXP","FQ4 2019","FQ4 2019","Currency=USD","Period=FQ","BEST_FPERIOD_OVERRIDE=FQ","FILING_STATUS=MR","FA_ADJUSTED=GAAP","Sort=A","Dates=H","DateFormat=P","Fill=—","Direction=H","UseDPDF=Y")</f>
        <v>—</v>
      </c>
      <c r="H19" s="14" t="str">
        <f>_xll.BDH("ALNY US Equity","EBITDA_LES_CAP_EXPEND_TO_INT_EXP","FQ1 2020","FQ1 2020","Currency=USD","Period=FQ","BEST_FPERIOD_OVERRIDE=FQ","FILING_STATUS=MR","FA_ADJUSTED=GAAP","Sort=A","Dates=H","DateFormat=P","Fill=—","Direction=H","UseDPDF=Y")</f>
        <v>—</v>
      </c>
      <c r="I19" s="14">
        <f>_xll.BDH("ALNY US Equity","EBITDA_LES_CAP_EXPEND_TO_INT_EXP","FQ2 2020","FQ2 2020","Currency=USD","Period=FQ","BEST_FPERIOD_OVERRIDE=FQ","FILING_STATUS=MR","FA_ADJUSTED=GAAP","Sort=A","Dates=H","DateFormat=P","Fill=—","Direction=H","UseDPDF=Y")</f>
        <v>-7.2569999999999997</v>
      </c>
      <c r="J19" s="14">
        <f>_xll.BDH("ALNY US Equity","EBITDA_LES_CAP_EXPEND_TO_INT_EXP","FQ3 2020","FQ3 2020","Currency=USD","Period=FQ","BEST_FPERIOD_OVERRIDE=FQ","FILING_STATUS=MR","FA_ADJUSTED=GAAP","Sort=A","Dates=H","DateFormat=P","Fill=—","Direction=H","UseDPDF=Y")</f>
        <v>-7.6170999999999998</v>
      </c>
      <c r="K19" s="14">
        <f>_xll.BDH("ALNY US Equity","EBITDA_LES_CAP_EXPEND_TO_INT_EXP","FQ4 2020","FQ4 2020","Currency=USD","Period=FQ","BEST_FPERIOD_OVERRIDE=FQ","FILING_STATUS=MR","FA_ADJUSTED=GAAP","Sort=A","Dates=H","DateFormat=P","Fill=—","Direction=H","UseDPDF=Y")</f>
        <v>-6.8384</v>
      </c>
      <c r="L19" s="14">
        <f>_xll.BDH("ALNY US Equity","EBITDA_LES_CAP_EXPEND_TO_INT_EXP","FQ1 2021","FQ1 2021","Currency=USD","Period=FQ","BEST_FPERIOD_OVERRIDE=FQ","FILING_STATUS=MR","FA_ADJUSTED=GAAP","Sort=A","Dates=H","DateFormat=P","Fill=—","Direction=H","UseDPDF=Y")</f>
        <v>-5.5533999999999999</v>
      </c>
      <c r="M19" s="14">
        <f>_xll.BDH("ALNY US Equity","EBITDA_LES_CAP_EXPEND_TO_INT_EXP","FQ2 2021","FQ2 2021","Currency=USD","Period=FQ","BEST_FPERIOD_OVERRIDE=FQ","FILING_STATUS=MR","FA_ADJUSTED=GAAP","Sort=A","Dates=H","DateFormat=P","Fill=—","Direction=H","UseDPDF=Y")</f>
        <v>-4.0472999999999999</v>
      </c>
      <c r="N19" s="14">
        <f>_xll.BDH("ALNY US Equity","EBITDA_LES_CAP_EXPEND_TO_INT_EXP","FQ3 2021","FQ3 2021","Currency=USD","Period=FQ","BEST_FPERIOD_OVERRIDE=FQ","FILING_STATUS=MR","FA_ADJUSTED=GAAP","Sort=A","Dates=H","DateFormat=P","Fill=—","Direction=H","UseDPDF=Y")</f>
        <v>-4.5815999999999999</v>
      </c>
      <c r="O19" s="14">
        <f>_xll.BDH("ALNY US Equity","EBITDA_LES_CAP_EXPEND_TO_INT_EXP","FQ4 2021","FQ4 2021","Currency=USD","Period=FQ","BEST_FPERIOD_OVERRIDE=FQ","FILING_STATUS=MR","FA_ADJUSTED=GAAP","Sort=A","Dates=H","DateFormat=P","Fill=—","Direction=H","UseDPDF=Y")</f>
        <v>-5.2965</v>
      </c>
      <c r="P19" s="14">
        <f>_xll.BDH("ALNY US Equity","EBITDA_LES_CAP_EXPEND_TO_INT_EXP","FQ1 2022","FQ1 2022","Currency=USD","Period=FQ","BEST_FPERIOD_OVERRIDE=FQ","FILING_STATUS=MR","FA_ADJUSTED=GAAP","Sort=A","Dates=H","DateFormat=P","Fill=—","Direction=H","UseDPDF=Y")</f>
        <v>-3.4184999999999999</v>
      </c>
      <c r="Q19" s="14">
        <f>_xll.BDH("ALNY US Equity","EBITDA_LES_CAP_EXPEND_TO_INT_EXP","FQ2 2022","FQ2 2022","Currency=USD","Period=FQ","BEST_FPERIOD_OVERRIDE=FQ","FILING_STATUS=MR","FA_ADJUSTED=GAAP","Sort=A","Dates=H","DateFormat=P","Fill=—","Direction=H","UseDPDF=Y")</f>
        <v>-4.4005999999999998</v>
      </c>
      <c r="R19" s="14">
        <f>_xll.BDH("ALNY US Equity","EBITDA_LES_CAP_EXPEND_TO_INT_EXP","FQ3 2022","FQ3 2022","Currency=USD","Period=FQ","BEST_FPERIOD_OVERRIDE=FQ","FILING_STATUS=MR","FA_ADJUSTED=GAAP","Sort=A","Dates=H","DateFormat=P","Fill=—","Direction=H","UseDPDF=Y")</f>
        <v>-6.18</v>
      </c>
      <c r="S19" s="14">
        <f>_xll.BDH("ALNY US Equity","EBITDA_LES_CAP_EXPEND_TO_INT_EXP","FQ4 2022","FQ4 2022","Currency=USD","Period=FQ","BEST_FPERIOD_OVERRIDE=FQ","FILING_STATUS=MR","FA_ADJUSTED=GAAP","Sort=A","Dates=H","DateFormat=P","Fill=—","Direction=H","UseDPDF=Y")</f>
        <v>-6.1967999999999996</v>
      </c>
      <c r="T19" s="14">
        <f>_xll.BDH("ALNY US Equity","EBITDA_LES_CAP_EXPEND_TO_INT_EXP","FQ1 2023","FQ1 2023","Currency=USD","Period=FQ","BEST_FPERIOD_OVERRIDE=FQ","FILING_STATUS=MR","FA_ADJUSTED=GAAP","Sort=A","Dates=H","DateFormat=P","Fill=—","Direction=H","UseDPDF=Y")</f>
        <v>-4.7529000000000003</v>
      </c>
      <c r="U19" s="14">
        <f>_xll.BDH("ALNY US Equity","EBITDA_LES_CAP_EXPEND_TO_INT_EXP","FQ2 2023","FQ2 2023","Currency=USD","Period=FQ","BEST_FPERIOD_OVERRIDE=FQ","FILING_STATUS=MR","FA_ADJUSTED=GAAP","Sort=A","Dates=H","DateFormat=P","Fill=—","Direction=H","UseDPDF=Y")</f>
        <v>-7.4015000000000004</v>
      </c>
      <c r="V19" s="14">
        <f>_xll.BDH("ALNY US Equity","EBITDA_LES_CAP_EXPEND_TO_INT_EXP","FQ3 2023","FQ3 2023","Currency=USD","Period=FQ","BEST_FPERIOD_OVERRIDE=FQ","FILING_STATUS=MR","FA_ADJUSTED=GAAP","Sort=A","Dates=H","DateFormat=P","Fill=—","Direction=H","UseDPDF=Y")</f>
        <v>7.1313000000000004</v>
      </c>
      <c r="W19" s="14">
        <f>_xll.BDH("ALNY US Equity","EBITDA_LES_CAP_EXPEND_TO_INT_EXP","FQ4 2023","FQ4 2023","Currency=USD","Period=FQ","BEST_FPERIOD_OVERRIDE=FQ","FILING_STATUS=MR","FA_ADJUSTED=GAAP","Sort=A","Dates=H","DateFormat=P","Fill=—","Direction=H","UseDPDF=Y")</f>
        <v>-3.4380000000000002</v>
      </c>
      <c r="X19" s="14">
        <f>_xll.BDH("ALNY US Equity","EBITDA_LES_CAP_EXPEND_TO_INT_EXP","FQ1 2024","FQ1 2024","Currency=USD","Period=FQ","BEST_FPERIOD_OVERRIDE=FQ","FILING_STATUS=MR","FA_ADJUSTED=GAAP","Sort=A","Dates=H","DateFormat=P","Fill=—","Direction=H","UseDPDF=Y")</f>
        <v>-0.87709999999999999</v>
      </c>
      <c r="Y19" s="14">
        <f>_xll.BDH("ALNY US Equity","EBITDA_LES_CAP_EXPEND_TO_INT_EXP","FQ2 2024","FQ2 2024","Currency=USD","Period=FQ","BEST_FPERIOD_OVERRIDE=FQ","FILING_STATUS=MR","FA_ADJUSTED=GAAP","Sort=A","Dates=H","DateFormat=P","Fill=—","Direction=H","UseDPDF=Y")</f>
        <v>1.9631000000000001</v>
      </c>
      <c r="Z19" s="14">
        <f>_xll.BDH("ALNY US Equity","EBITDA_LES_CAP_EXPEND_TO_INT_EXP","FQ3 2024","FQ3 2024","Currency=USD","Period=FQ","BEST_FPERIOD_OVERRIDE=FQ","FILING_STATUS=MR","FA_ADJUSTED=GAAP","Sort=A","Dates=H","DateFormat=P","Fill=—","Direction=H","UseDPDF=Y")</f>
        <v>-1.5726</v>
      </c>
      <c r="AA19" s="14">
        <f>_xll.BDH("ALNY US Equity","EBITDA_LES_CAP_EXPEND_TO_INT_EXP","FQ4 2024","FQ4 2024","Currency=USD","Period=FQ","BEST_FPERIOD_OVERRIDE=FQ","FILING_STATUS=MR","FA_ADJUSTED=GAAP","Sort=A","Dates=H","DateFormat=P","Fill=—","Direction=H","UseDPDF=Y")</f>
        <v>-2.5682</v>
      </c>
    </row>
    <row r="20" spans="1:27" x14ac:dyDescent="0.25">
      <c r="A20" s="10" t="s">
        <v>1461</v>
      </c>
      <c r="B20" s="10" t="s">
        <v>1462</v>
      </c>
      <c r="C20" s="14" t="str">
        <f>_xll.BDH("ALNY US Equity","OPER_INC_TO_INT_EXP","FQ4 2018","FQ4 2018","Currency=USD","Period=FQ","BEST_FPERIOD_OVERRIDE=FQ","FILING_STATUS=MR","FA_ADJUSTED=GAAP","Sort=A","Dates=H","DateFormat=P","Fill=—","Direction=H","UseDPDF=Y")</f>
        <v>—</v>
      </c>
      <c r="D20" s="14" t="str">
        <f>_xll.BDH("ALNY US Equity","OPER_INC_TO_INT_EXP","FQ1 2019","FQ1 2019","Currency=USD","Period=FQ","BEST_FPERIOD_OVERRIDE=FQ","FILING_STATUS=MR","FA_ADJUSTED=GAAP","Sort=A","Dates=H","DateFormat=P","Fill=—","Direction=H","UseDPDF=Y")</f>
        <v>—</v>
      </c>
      <c r="E20" s="14" t="str">
        <f>_xll.BDH("ALNY US Equity","OPER_INC_TO_INT_EXP","FQ2 2019","FQ2 2019","Currency=USD","Period=FQ","BEST_FPERIOD_OVERRIDE=FQ","FILING_STATUS=MR","FA_ADJUSTED=GAAP","Sort=A","Dates=H","DateFormat=P","Fill=—","Direction=H","UseDPDF=Y")</f>
        <v>—</v>
      </c>
      <c r="F20" s="14" t="str">
        <f>_xll.BDH("ALNY US Equity","OPER_INC_TO_INT_EXP","FQ3 2019","FQ3 2019","Currency=USD","Period=FQ","BEST_FPERIOD_OVERRIDE=FQ","FILING_STATUS=MR","FA_ADJUSTED=GAAP","Sort=A","Dates=H","DateFormat=P","Fill=—","Direction=H","UseDPDF=Y")</f>
        <v>—</v>
      </c>
      <c r="G20" s="14" t="str">
        <f>_xll.BDH("ALNY US Equity","OPER_INC_TO_INT_EXP","FQ4 2019","FQ4 2019","Currency=USD","Period=FQ","BEST_FPERIOD_OVERRIDE=FQ","FILING_STATUS=MR","FA_ADJUSTED=GAAP","Sort=A","Dates=H","DateFormat=P","Fill=—","Direction=H","UseDPDF=Y")</f>
        <v>—</v>
      </c>
      <c r="H20" s="14" t="str">
        <f>_xll.BDH("ALNY US Equity","OPER_INC_TO_INT_EXP","FQ1 2020","FQ1 2020","Currency=USD","Period=FQ","BEST_FPERIOD_OVERRIDE=FQ","FILING_STATUS=MR","FA_ADJUSTED=GAAP","Sort=A","Dates=H","DateFormat=P","Fill=—","Direction=H","UseDPDF=Y")</f>
        <v>—</v>
      </c>
      <c r="I20" s="14">
        <f>_xll.BDH("ALNY US Equity","OPER_INC_TO_INT_EXP","FQ2 2020","FQ2 2020","Currency=USD","Period=FQ","BEST_FPERIOD_OVERRIDE=FQ","FILING_STATUS=MR","FA_ADJUSTED=GAAP","Sort=A","Dates=H","DateFormat=P","Fill=—","Direction=H","UseDPDF=Y")</f>
        <v>-7.2980999999999998</v>
      </c>
      <c r="J20" s="14">
        <f>_xll.BDH("ALNY US Equity","OPER_INC_TO_INT_EXP","FQ3 2020","FQ3 2020","Currency=USD","Period=FQ","BEST_FPERIOD_OVERRIDE=FQ","FILING_STATUS=MR","FA_ADJUSTED=GAAP","Sort=A","Dates=H","DateFormat=P","Fill=—","Direction=H","UseDPDF=Y")</f>
        <v>-7.8381999999999996</v>
      </c>
      <c r="K20" s="14">
        <f>_xll.BDH("ALNY US Equity","OPER_INC_TO_INT_EXP","FQ4 2020","FQ4 2020","Currency=USD","Period=FQ","BEST_FPERIOD_OVERRIDE=FQ","FILING_STATUS=MR","FA_ADJUSTED=GAAP","Sort=A","Dates=H","DateFormat=P","Fill=—","Direction=H","UseDPDF=Y")</f>
        <v>-6.8106999999999998</v>
      </c>
      <c r="L20" s="14">
        <f>_xll.BDH("ALNY US Equity","OPER_INC_TO_INT_EXP","FQ1 2021","FQ1 2021","Currency=USD","Period=FQ","BEST_FPERIOD_OVERRIDE=FQ","FILING_STATUS=MR","FA_ADJUSTED=GAAP","Sort=A","Dates=H","DateFormat=P","Fill=—","Direction=H","UseDPDF=Y")</f>
        <v>-5.7282000000000002</v>
      </c>
      <c r="M20" s="14">
        <f>_xll.BDH("ALNY US Equity","OPER_INC_TO_INT_EXP","FQ2 2021","FQ2 2021","Currency=USD","Period=FQ","BEST_FPERIOD_OVERRIDE=FQ","FILING_STATUS=MR","FA_ADJUSTED=GAAP","Sort=A","Dates=H","DateFormat=P","Fill=—","Direction=H","UseDPDF=Y")</f>
        <v>-4.3739999999999997</v>
      </c>
      <c r="N20" s="14">
        <f>_xll.BDH("ALNY US Equity","OPER_INC_TO_INT_EXP","FQ3 2021","FQ3 2021","Currency=USD","Period=FQ","BEST_FPERIOD_OVERRIDE=FQ","FILING_STATUS=MR","FA_ADJUSTED=GAAP","Sort=A","Dates=H","DateFormat=P","Fill=—","Direction=H","UseDPDF=Y")</f>
        <v>-4.5110000000000001</v>
      </c>
      <c r="O20" s="14">
        <f>_xll.BDH("ALNY US Equity","OPER_INC_TO_INT_EXP","FQ4 2021","FQ4 2021","Currency=USD","Period=FQ","BEST_FPERIOD_OVERRIDE=FQ","FILING_STATUS=MR","FA_ADJUSTED=GAAP","Sort=A","Dates=H","DateFormat=P","Fill=—","Direction=H","UseDPDF=Y")</f>
        <v>-5.2847</v>
      </c>
      <c r="P20" s="14">
        <f>_xll.BDH("ALNY US Equity","OPER_INC_TO_INT_EXP","FQ1 2022","FQ1 2022","Currency=USD","Period=FQ","BEST_FPERIOD_OVERRIDE=FQ","FILING_STATUS=MR","FA_ADJUSTED=GAAP","Sort=A","Dates=H","DateFormat=P","Fill=—","Direction=H","UseDPDF=Y")</f>
        <v>-3.4638</v>
      </c>
      <c r="Q20" s="14">
        <f>_xll.BDH("ALNY US Equity","OPER_INC_TO_INT_EXP","FQ2 2022","FQ2 2022","Currency=USD","Period=FQ","BEST_FPERIOD_OVERRIDE=FQ","FILING_STATUS=MR","FA_ADJUSTED=GAAP","Sort=A","Dates=H","DateFormat=P","Fill=—","Direction=H","UseDPDF=Y")</f>
        <v>-4.4987000000000004</v>
      </c>
      <c r="R20" s="14">
        <f>_xll.BDH("ALNY US Equity","OPER_INC_TO_INT_EXP","FQ3 2022","FQ3 2022","Currency=USD","Period=FQ","BEST_FPERIOD_OVERRIDE=FQ","FILING_STATUS=MR","FA_ADJUSTED=GAAP","Sort=A","Dates=H","DateFormat=P","Fill=—","Direction=H","UseDPDF=Y")</f>
        <v>-6.2808000000000002</v>
      </c>
      <c r="S20" s="14">
        <f>_xll.BDH("ALNY US Equity","OPER_INC_TO_INT_EXP","FQ4 2022","FQ4 2022","Currency=USD","Period=FQ","BEST_FPERIOD_OVERRIDE=FQ","FILING_STATUS=MR","FA_ADJUSTED=GAAP","Sort=A","Dates=H","DateFormat=P","Fill=—","Direction=H","UseDPDF=Y")</f>
        <v>-6.3053999999999997</v>
      </c>
      <c r="T20" s="14">
        <f>_xll.BDH("ALNY US Equity","OPER_INC_TO_INT_EXP","FQ1 2023","FQ1 2023","Currency=USD","Period=FQ","BEST_FPERIOD_OVERRIDE=FQ","FILING_STATUS=MR","FA_ADJUSTED=GAAP","Sort=A","Dates=H","DateFormat=P","Fill=—","Direction=H","UseDPDF=Y")</f>
        <v>-5.1738</v>
      </c>
      <c r="U20" s="14">
        <f>_xll.BDH("ALNY US Equity","OPER_INC_TO_INT_EXP","FQ2 2023","FQ2 2023","Currency=USD","Period=FQ","BEST_FPERIOD_OVERRIDE=FQ","FILING_STATUS=MR","FA_ADJUSTED=GAAP","Sort=A","Dates=H","DateFormat=P","Fill=—","Direction=H","UseDPDF=Y")</f>
        <v>-7.6520999999999999</v>
      </c>
      <c r="V20" s="14">
        <f>_xll.BDH("ALNY US Equity","OPER_INC_TO_INT_EXP","FQ3 2023","FQ3 2023","Currency=USD","Period=FQ","BEST_FPERIOD_OVERRIDE=FQ","FILING_STATUS=MR","FA_ADJUSTED=GAAP","Sort=A","Dates=H","DateFormat=P","Fill=—","Direction=H","UseDPDF=Y")</f>
        <v>6.9227999999999996</v>
      </c>
      <c r="W20" s="14">
        <f>_xll.BDH("ALNY US Equity","OPER_INC_TO_INT_EXP","FQ4 2023","FQ4 2023","Currency=USD","Period=FQ","BEST_FPERIOD_OVERRIDE=FQ","FILING_STATUS=MR","FA_ADJUSTED=GAAP","Sort=A","Dates=H","DateFormat=P","Fill=—","Direction=H","UseDPDF=Y")</f>
        <v>-3.7145000000000001</v>
      </c>
      <c r="X20" s="14">
        <f>_xll.BDH("ALNY US Equity","OPER_INC_TO_INT_EXP","FQ1 2024","FQ1 2024","Currency=USD","Period=FQ","BEST_FPERIOD_OVERRIDE=FQ","FILING_STATUS=MR","FA_ADJUSTED=GAAP","Sort=A","Dates=H","DateFormat=P","Fill=—","Direction=H","UseDPDF=Y")</f>
        <v>-1.2321</v>
      </c>
      <c r="Y20" s="14">
        <f>_xll.BDH("ALNY US Equity","OPER_INC_TO_INT_EXP","FQ2 2024","FQ2 2024","Currency=USD","Period=FQ","BEST_FPERIOD_OVERRIDE=FQ","FILING_STATUS=MR","FA_ADJUSTED=GAAP","Sort=A","Dates=H","DateFormat=P","Fill=—","Direction=H","UseDPDF=Y")</f>
        <v>1.4617</v>
      </c>
      <c r="Z20" s="14">
        <f>_xll.BDH("ALNY US Equity","OPER_INC_TO_INT_EXP","FQ3 2024","FQ3 2024","Currency=USD","Period=FQ","BEST_FPERIOD_OVERRIDE=FQ","FILING_STATUS=MR","FA_ADJUSTED=GAAP","Sort=A","Dates=H","DateFormat=P","Fill=—","Direction=H","UseDPDF=Y")</f>
        <v>-2.2372000000000001</v>
      </c>
      <c r="AA20" s="14">
        <f>_xll.BDH("ALNY US Equity","OPER_INC_TO_INT_EXP","FQ4 2024","FQ4 2024","Currency=USD","Period=FQ","BEST_FPERIOD_OVERRIDE=FQ","FILING_STATUS=MR","FA_ADJUSTED=GAAP","Sort=A","Dates=H","DateFormat=P","Fill=—","Direction=H","UseDPDF=Y")</f>
        <v>-2.6983999999999999</v>
      </c>
    </row>
    <row r="21" spans="1:2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0" t="s">
        <v>431</v>
      </c>
      <c r="B23" s="10" t="s">
        <v>324</v>
      </c>
      <c r="C23" s="13" t="str">
        <f>_xll.BDH("ALNY US Equity","IS_INT_EXPENSE","FQ4 2018","FQ4 2018","Currency=USD","Period=FQ","BEST_FPERIOD_OVERRIDE=FQ","FILING_STATUS=MR","SCALING_FORMAT=MLN","FA_ADJUSTED=GAAP","Sort=A","Dates=H","DateFormat=P","Fill=—","Direction=H","UseDPDF=Y")</f>
        <v>—</v>
      </c>
      <c r="D23" s="13" t="str">
        <f>_xll.BDH("ALNY US Equity","IS_INT_EXPENSE","FQ1 2019","FQ1 2019","Currency=USD","Period=FQ","BEST_FPERIOD_OVERRIDE=FQ","FILING_STATUS=MR","SCALING_FORMAT=MLN","FA_ADJUSTED=GAAP","Sort=A","Dates=H","DateFormat=P","Fill=—","Direction=H","UseDPDF=Y")</f>
        <v>—</v>
      </c>
      <c r="E23" s="13" t="str">
        <f>_xll.BDH("ALNY US Equity","IS_INT_EXPENSE","FQ2 2019","FQ2 2019","Currency=USD","Period=FQ","BEST_FPERIOD_OVERRIDE=FQ","FILING_STATUS=MR","SCALING_FORMAT=MLN","FA_ADJUSTED=GAAP","Sort=A","Dates=H","DateFormat=P","Fill=—","Direction=H","UseDPDF=Y")</f>
        <v>—</v>
      </c>
      <c r="F23" s="13" t="str">
        <f>_xll.BDH("ALNY US Equity","IS_INT_EXPENSE","FQ3 2019","FQ3 2019","Currency=USD","Period=FQ","BEST_FPERIOD_OVERRIDE=FQ","FILING_STATUS=MR","SCALING_FORMAT=MLN","FA_ADJUSTED=GAAP","Sort=A","Dates=H","DateFormat=P","Fill=—","Direction=H","UseDPDF=Y")</f>
        <v>—</v>
      </c>
      <c r="G23" s="13" t="str">
        <f>_xll.BDH("ALNY US Equity","IS_INT_EXPENSE","FQ4 2019","FQ4 2019","Currency=USD","Period=FQ","BEST_FPERIOD_OVERRIDE=FQ","FILING_STATUS=MR","SCALING_FORMAT=MLN","FA_ADJUSTED=GAAP","Sort=A","Dates=H","DateFormat=P","Fill=—","Direction=H","UseDPDF=Y")</f>
        <v>—</v>
      </c>
      <c r="H23" s="13" t="str">
        <f>_xll.BDH("ALNY US Equity","IS_INT_EXPENSE","FQ1 2020","FQ1 2020","Currency=USD","Period=FQ","BEST_FPERIOD_OVERRIDE=FQ","FILING_STATUS=MR","SCALING_FORMAT=MLN","FA_ADJUSTED=GAAP","Sort=A","Dates=H","DateFormat=P","Fill=—","Direction=H","UseDPDF=Y")</f>
        <v>—</v>
      </c>
      <c r="I23" s="13">
        <f>_xll.BDH("ALNY US Equity","IS_INT_EXPENSE","FQ2 2020","FQ2 2020","Currency=USD","Period=FQ","BEST_FPERIOD_OVERRIDE=FQ","FILING_STATUS=MR","SCALING_FORMAT=MLN","FA_ADJUSTED=GAAP","Sort=A","Dates=H","DateFormat=P","Fill=—","Direction=H","UseDPDF=Y")</f>
        <v>27.248000000000001</v>
      </c>
      <c r="J23" s="13">
        <f>_xll.BDH("ALNY US Equity","IS_INT_EXPENSE","FQ3 2020","FQ3 2020","Currency=USD","Period=FQ","BEST_FPERIOD_OVERRIDE=FQ","FILING_STATUS=MR","SCALING_FORMAT=MLN","FA_ADJUSTED=GAAP","Sort=A","Dates=H","DateFormat=P","Fill=—","Direction=H","UseDPDF=Y")</f>
        <v>28.731000000000002</v>
      </c>
      <c r="K23" s="13">
        <f>_xll.BDH("ALNY US Equity","IS_INT_EXPENSE","FQ4 2020","FQ4 2020","Currency=USD","Period=FQ","BEST_FPERIOD_OVERRIDE=FQ","FILING_STATUS=MR","SCALING_FORMAT=MLN","FA_ADJUSTED=GAAP","Sort=A","Dates=H","DateFormat=P","Fill=—","Direction=H","UseDPDF=Y")</f>
        <v>28.516999999999999</v>
      </c>
      <c r="L23" s="13">
        <f>_xll.BDH("ALNY US Equity","IS_INT_EXPENSE","FQ1 2021","FQ1 2021","Currency=USD","Period=FQ","BEST_FPERIOD_OVERRIDE=FQ","FILING_STATUS=MR","SCALING_FORMAT=MLN","FA_ADJUSTED=GAAP","Sort=A","Dates=H","DateFormat=P","Fill=—","Direction=H","UseDPDF=Y")</f>
        <v>32.515000000000001</v>
      </c>
      <c r="M23" s="13">
        <f>_xll.BDH("ALNY US Equity","IS_INT_EXPENSE","FQ2 2021","FQ2 2021","Currency=USD","Period=FQ","BEST_FPERIOD_OVERRIDE=FQ","FILING_STATUS=MR","SCALING_FORMAT=MLN","FA_ADJUSTED=GAAP","Sort=A","Dates=H","DateFormat=P","Fill=—","Direction=H","UseDPDF=Y")</f>
        <v>33.415999999999997</v>
      </c>
      <c r="N23" s="13">
        <f>_xll.BDH("ALNY US Equity","IS_INT_EXPENSE","FQ3 2021","FQ3 2021","Currency=USD","Period=FQ","BEST_FPERIOD_OVERRIDE=FQ","FILING_STATUS=MR","SCALING_FORMAT=MLN","FA_ADJUSTED=GAAP","Sort=A","Dates=H","DateFormat=P","Fill=—","Direction=H","UseDPDF=Y")</f>
        <v>40.274000000000001</v>
      </c>
      <c r="O23" s="13">
        <f>_xll.BDH("ALNY US Equity","IS_INT_EXPENSE","FQ4 2021","FQ4 2021","Currency=USD","Period=FQ","BEST_FPERIOD_OVERRIDE=FQ","FILING_STATUS=MR","SCALING_FORMAT=MLN","FA_ADJUSTED=GAAP","Sort=A","Dates=H","DateFormat=P","Fill=—","Direction=H","UseDPDF=Y")</f>
        <v>36.816000000000003</v>
      </c>
      <c r="P23" s="13">
        <f>_xll.BDH("ALNY US Equity","IS_INT_EXPENSE","FQ1 2022","FQ1 2022","Currency=USD","Period=FQ","BEST_FPERIOD_OVERRIDE=FQ","FILING_STATUS=MR","SCALING_FORMAT=MLN","FA_ADJUSTED=GAAP","Sort=A","Dates=H","DateFormat=P","Fill=—","Direction=H","UseDPDF=Y")</f>
        <v>42.362000000000002</v>
      </c>
      <c r="Q23" s="13">
        <f>_xll.BDH("ALNY US Equity","IS_INT_EXPENSE","FQ2 2022","FQ2 2022","Currency=USD","Period=FQ","BEST_FPERIOD_OVERRIDE=FQ","FILING_STATUS=MR","SCALING_FORMAT=MLN","FA_ADJUSTED=GAAP","Sort=A","Dates=H","DateFormat=P","Fill=—","Direction=H","UseDPDF=Y")</f>
        <v>42.609000000000002</v>
      </c>
      <c r="R23" s="13">
        <f>_xll.BDH("ALNY US Equity","IS_INT_EXPENSE","FQ3 2022","FQ3 2022","Currency=USD","Period=FQ","BEST_FPERIOD_OVERRIDE=FQ","FILING_STATUS=MR","SCALING_FORMAT=MLN","FA_ADJUSTED=GAAP","Sort=A","Dates=H","DateFormat=P","Fill=—","Direction=H","UseDPDF=Y")</f>
        <v>41.084000000000003</v>
      </c>
      <c r="S23" s="13">
        <f>_xll.BDH("ALNY US Equity","IS_INT_EXPENSE","FQ4 2022","FQ4 2022","Currency=USD","Period=FQ","BEST_FPERIOD_OVERRIDE=FQ","FILING_STATUS=MR","SCALING_FORMAT=MLN","FA_ADJUSTED=GAAP","Sort=A","Dates=H","DateFormat=P","Fill=—","Direction=H","UseDPDF=Y")</f>
        <v>29.913</v>
      </c>
      <c r="T23" s="13">
        <f>_xll.BDH("ALNY US Equity","IS_INT_EXPENSE","FQ1 2023","FQ1 2023","Currency=USD","Period=FQ","BEST_FPERIOD_OVERRIDE=FQ","FILING_STATUS=MR","SCALING_FORMAT=MLN","FA_ADJUSTED=GAAP","Sort=A","Dates=H","DateFormat=P","Fill=—","Direction=H","UseDPDF=Y")</f>
        <v>28.954999999999998</v>
      </c>
      <c r="U23" s="13">
        <f>_xll.BDH("ALNY US Equity","IS_INT_EXPENSE","FQ2 2023","FQ2 2023","Currency=USD","Period=FQ","BEST_FPERIOD_OVERRIDE=FQ","FILING_STATUS=MR","SCALING_FORMAT=MLN","FA_ADJUSTED=GAAP","Sort=A","Dates=H","DateFormat=P","Fill=—","Direction=H","UseDPDF=Y")</f>
        <v>30.035</v>
      </c>
      <c r="V23" s="13">
        <f>_xll.BDH("ALNY US Equity","IS_INT_EXPENSE","FQ3 2023","FQ3 2023","Currency=USD","Period=FQ","BEST_FPERIOD_OVERRIDE=FQ","FILING_STATUS=MR","SCALING_FORMAT=MLN","FA_ADJUSTED=GAAP","Sort=A","Dates=H","DateFormat=P","Fill=—","Direction=H","UseDPDF=Y")</f>
        <v>30.893000000000001</v>
      </c>
      <c r="W23" s="13">
        <f>_xll.BDH("ALNY US Equity","IS_INT_EXPENSE","FQ4 2023","FQ4 2023","Currency=USD","Period=FQ","BEST_FPERIOD_OVERRIDE=FQ","FILING_STATUS=MR","SCALING_FORMAT=MLN","FA_ADJUSTED=GAAP","Sort=A","Dates=H","DateFormat=P","Fill=—","Direction=H","UseDPDF=Y")</f>
        <v>31.338000000000001</v>
      </c>
      <c r="X23" s="13">
        <f>_xll.BDH("ALNY US Equity","IS_INT_EXPENSE","FQ1 2024","FQ1 2024","Currency=USD","Period=FQ","BEST_FPERIOD_OVERRIDE=FQ","FILING_STATUS=MR","SCALING_FORMAT=MLN","FA_ADJUSTED=GAAP","Sort=A","Dates=H","DateFormat=P","Fill=—","Direction=H","UseDPDF=Y")</f>
        <v>35.253</v>
      </c>
      <c r="Y23" s="13">
        <f>_xll.BDH("ALNY US Equity","IS_INT_EXPENSE","FQ2 2024","FQ2 2024","Currency=USD","Period=FQ","BEST_FPERIOD_OVERRIDE=FQ","FILING_STATUS=MR","SCALING_FORMAT=MLN","FA_ADJUSTED=GAAP","Sort=A","Dates=H","DateFormat=P","Fill=—","Direction=H","UseDPDF=Y")</f>
        <v>33.258000000000003</v>
      </c>
      <c r="Z23" s="13">
        <f>_xll.BDH("ALNY US Equity","IS_INT_EXPENSE","FQ3 2024","FQ3 2024","Currency=USD","Period=FQ","BEST_FPERIOD_OVERRIDE=FQ","FILING_STATUS=MR","SCALING_FORMAT=MLN","FA_ADJUSTED=GAAP","Sort=A","Dates=H","DateFormat=P","Fill=—","Direction=H","UseDPDF=Y")</f>
        <v>34.375999999999998</v>
      </c>
      <c r="AA23" s="13">
        <f>_xll.BDH("ALNY US Equity","IS_INT_EXPENSE","FQ4 2024","FQ4 2024","Currency=USD","Period=FQ","BEST_FPERIOD_OVERRIDE=FQ","FILING_STATUS=MR","SCALING_FORMAT=MLN","FA_ADJUSTED=GAAP","Sort=A","Dates=H","DateFormat=P","Fill=—","Direction=H","UseDPDF=Y")</f>
        <v>38.970999999999997</v>
      </c>
    </row>
    <row r="24" spans="1:2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0" t="s">
        <v>1463</v>
      </c>
      <c r="B25" s="10" t="s">
        <v>1464</v>
      </c>
      <c r="C25" s="14">
        <f>_xll.BDH("ALNY US Equity","COM_EQY_TO_TOT_ASSET","FQ4 2018","FQ4 2018","Currency=USD","Period=FQ","BEST_FPERIOD_OVERRIDE=FQ","FILING_STATUS=MR","Sort=A","Dates=H","DateFormat=P","Fill=—","Direction=H","UseDPDF=Y")</f>
        <v>82.674800000000005</v>
      </c>
      <c r="D25" s="14">
        <f>_xll.BDH("ALNY US Equity","COM_EQY_TO_TOT_ASSET","FQ1 2019","FQ1 2019","Currency=USD","Period=FQ","BEST_FPERIOD_OVERRIDE=FQ","FILING_STATUS=MR","Sort=A","Dates=H","DateFormat=P","Fill=—","Direction=H","UseDPDF=Y")</f>
        <v>76.811700000000002</v>
      </c>
      <c r="E25" s="14">
        <f>_xll.BDH("ALNY US Equity","COM_EQY_TO_TOT_ASSET","FQ2 2019","FQ2 2019","Currency=USD","Period=FQ","BEST_FPERIOD_OVERRIDE=FQ","FILING_STATUS=MR","Sort=A","Dates=H","DateFormat=P","Fill=—","Direction=H","UseDPDF=Y")</f>
        <v>64.688100000000006</v>
      </c>
      <c r="F25" s="14">
        <f>_xll.BDH("ALNY US Equity","COM_EQY_TO_TOT_ASSET","FQ3 2019","FQ3 2019","Currency=USD","Period=FQ","BEST_FPERIOD_OVERRIDE=FQ","FILING_STATUS=MR","Sort=A","Dates=H","DateFormat=P","Fill=—","Direction=H","UseDPDF=Y")</f>
        <v>63.230800000000002</v>
      </c>
      <c r="G25" s="14">
        <f>_xll.BDH("ALNY US Equity","COM_EQY_TO_TOT_ASSET","FQ4 2019","FQ4 2019","Currency=USD","Period=FQ","BEST_FPERIOD_OVERRIDE=FQ","FILING_STATUS=MR","Sort=A","Dates=H","DateFormat=P","Fill=—","Direction=H","UseDPDF=Y")</f>
        <v>60.067300000000003</v>
      </c>
      <c r="H25" s="14">
        <f>_xll.BDH("ALNY US Equity","COM_EQY_TO_TOT_ASSET","FQ1 2020","FQ1 2020","Currency=USD","Period=FQ","BEST_FPERIOD_OVERRIDE=FQ","FILING_STATUS=MR","Sort=A","Dates=H","DateFormat=P","Fill=—","Direction=H","UseDPDF=Y")</f>
        <v>59.208399999999997</v>
      </c>
      <c r="I25" s="14">
        <f>_xll.BDH("ALNY US Equity","COM_EQY_TO_TOT_ASSET","FQ2 2020","FQ2 2020","Currency=USD","Period=FQ","BEST_FPERIOD_OVERRIDE=FQ","FILING_STATUS=MR","Sort=A","Dates=H","DateFormat=P","Fill=—","Direction=H","UseDPDF=Y")</f>
        <v>41.481099999999998</v>
      </c>
      <c r="J25" s="14">
        <f>_xll.BDH("ALNY US Equity","COM_EQY_TO_TOT_ASSET","FQ3 2020","FQ3 2020","Currency=USD","Period=FQ","BEST_FPERIOD_OVERRIDE=FQ","FILING_STATUS=MR","Sort=A","Dates=H","DateFormat=P","Fill=—","Direction=H","UseDPDF=Y")</f>
        <v>36.7378</v>
      </c>
      <c r="K25" s="14">
        <f>_xll.BDH("ALNY US Equity","COM_EQY_TO_TOT_ASSET","FQ4 2020","FQ4 2020","Currency=USD","Period=FQ","BEST_FPERIOD_OVERRIDE=FQ","FILING_STATUS=MR","Sort=A","Dates=H","DateFormat=P","Fill=—","Direction=H","UseDPDF=Y")</f>
        <v>29.8277</v>
      </c>
      <c r="L25" s="14">
        <f>_xll.BDH("ALNY US Equity","COM_EQY_TO_TOT_ASSET","FQ1 2021","FQ1 2021","Currency=USD","Period=FQ","BEST_FPERIOD_OVERRIDE=FQ","FILING_STATUS=MR","Sort=A","Dates=H","DateFormat=P","Fill=—","Direction=H","UseDPDF=Y")</f>
        <v>28.452000000000002</v>
      </c>
      <c r="M25" s="14">
        <f>_xll.BDH("ALNY US Equity","COM_EQY_TO_TOT_ASSET","FQ2 2021","FQ2 2021","Currency=USD","Period=FQ","BEST_FPERIOD_OVERRIDE=FQ","FILING_STATUS=MR","Sort=A","Dates=H","DateFormat=P","Fill=—","Direction=H","UseDPDF=Y")</f>
        <v>24.316299999999998</v>
      </c>
      <c r="N25" s="14">
        <f>_xll.BDH("ALNY US Equity","COM_EQY_TO_TOT_ASSET","FQ3 2021","FQ3 2021","Currency=USD","Period=FQ","BEST_FPERIOD_OVERRIDE=FQ","FILING_STATUS=MR","Sort=A","Dates=H","DateFormat=P","Fill=—","Direction=H","UseDPDF=Y")</f>
        <v>21.769100000000002</v>
      </c>
      <c r="O25" s="14">
        <f>_xll.BDH("ALNY US Equity","COM_EQY_TO_TOT_ASSET","FQ4 2021","FQ4 2021","Currency=USD","Period=FQ","BEST_FPERIOD_OVERRIDE=FQ","FILING_STATUS=MR","Sort=A","Dates=H","DateFormat=P","Fill=—","Direction=H","UseDPDF=Y")</f>
        <v>16.1448</v>
      </c>
      <c r="P25" s="14">
        <f>_xll.BDH("ALNY US Equity","COM_EQY_TO_TOT_ASSET","FQ1 2022","FQ1 2022","Currency=USD","Period=FQ","BEST_FPERIOD_OVERRIDE=FQ","FILING_STATUS=MR","Sort=A","Dates=H","DateFormat=P","Fill=—","Direction=H","UseDPDF=Y")</f>
        <v>11.6837</v>
      </c>
      <c r="Q25" s="14">
        <f>_xll.BDH("ALNY US Equity","COM_EQY_TO_TOT_ASSET","FQ2 2022","FQ2 2022","Currency=USD","Period=FQ","BEST_FPERIOD_OVERRIDE=FQ","FILING_STATUS=MR","Sort=A","Dates=H","DateFormat=P","Fill=—","Direction=H","UseDPDF=Y")</f>
        <v>5.2858000000000001</v>
      </c>
      <c r="R25" s="14">
        <f>_xll.BDH("ALNY US Equity","COM_EQY_TO_TOT_ASSET","FQ3 2022","FQ3 2022","Currency=USD","Period=FQ","BEST_FPERIOD_OVERRIDE=FQ","FILING_STATUS=MR","Sort=A","Dates=H","DateFormat=P","Fill=—","Direction=H","UseDPDF=Y")</f>
        <v>-1.9132</v>
      </c>
      <c r="S25" s="14">
        <f>_xll.BDH("ALNY US Equity","COM_EQY_TO_TOT_ASSET","FQ4 2022","FQ4 2022","Currency=USD","Period=FQ","BEST_FPERIOD_OVERRIDE=FQ","FILING_STATUS=MR","Sort=A","Dates=H","DateFormat=P","Fill=—","Direction=H","UseDPDF=Y")</f>
        <v>-4.4615999999999998</v>
      </c>
      <c r="T25" s="14">
        <f>_xll.BDH("ALNY US Equity","COM_EQY_TO_TOT_ASSET","FQ1 2023","FQ1 2023","Currency=USD","Period=FQ","BEST_FPERIOD_OVERRIDE=FQ","FILING_STATUS=MR","Sort=A","Dates=H","DateFormat=P","Fill=—","Direction=H","UseDPDF=Y")</f>
        <v>-7.6428000000000003</v>
      </c>
      <c r="U25" s="14">
        <f>_xll.BDH("ALNY US Equity","COM_EQY_TO_TOT_ASSET","FQ2 2023","FQ2 2023","Currency=USD","Period=FQ","BEST_FPERIOD_OVERRIDE=FQ","FILING_STATUS=MR","Sort=A","Dates=H","DateFormat=P","Fill=—","Direction=H","UseDPDF=Y")</f>
        <v>-11.9954</v>
      </c>
      <c r="V25" s="14">
        <f>_xll.BDH("ALNY US Equity","COM_EQY_TO_TOT_ASSET","FQ3 2023","FQ3 2023","Currency=USD","Period=FQ","BEST_FPERIOD_OVERRIDE=FQ","FILING_STATUS=MR","Sort=A","Dates=H","DateFormat=P","Fill=—","Direction=H","UseDPDF=Y")</f>
        <v>-4.3205</v>
      </c>
      <c r="W25" s="14">
        <f>_xll.BDH("ALNY US Equity","COM_EQY_TO_TOT_ASSET","FQ4 2023","FQ4 2023","Currency=USD","Period=FQ","BEST_FPERIOD_OVERRIDE=FQ","FILING_STATUS=MR","Sort=A","Dates=H","DateFormat=P","Fill=—","Direction=H","UseDPDF=Y")</f>
        <v>-5.7610999999999999</v>
      </c>
      <c r="X25" s="14">
        <f>_xll.BDH("ALNY US Equity","COM_EQY_TO_TOT_ASSET","FQ1 2024","FQ1 2024","Currency=USD","Period=FQ","BEST_FPERIOD_OVERRIDE=FQ","FILING_STATUS=MR","Sort=A","Dates=H","DateFormat=P","Fill=—","Direction=H","UseDPDF=Y")</f>
        <v>-5.7335000000000003</v>
      </c>
      <c r="Y25" s="14">
        <f>_xll.BDH("ALNY US Equity","COM_EQY_TO_TOT_ASSET","FQ2 2024","FQ2 2024","Currency=USD","Period=FQ","BEST_FPERIOD_OVERRIDE=FQ","FILING_STATUS=MR","Sort=A","Dates=H","DateFormat=P","Fill=—","Direction=H","UseDPDF=Y")</f>
        <v>-7.6499999999999999E-2</v>
      </c>
      <c r="Z25" s="14">
        <f>_xll.BDH("ALNY US Equity","COM_EQY_TO_TOT_ASSET","FQ3 2024","FQ3 2024","Currency=USD","Period=FQ","BEST_FPERIOD_OVERRIDE=FQ","FILING_STATUS=MR","Sort=A","Dates=H","DateFormat=P","Fill=—","Direction=H","UseDPDF=Y")</f>
        <v>0.76939999999999997</v>
      </c>
      <c r="AA25" s="14">
        <f>_xll.BDH("ALNY US Equity","COM_EQY_TO_TOT_ASSET","FQ4 2024","FQ4 2024","Currency=USD","Period=FQ","BEST_FPERIOD_OVERRIDE=FQ","FILING_STATUS=MR","Sort=A","Dates=H","DateFormat=P","Fill=—","Direction=H","UseDPDF=Y")</f>
        <v>1.5823</v>
      </c>
    </row>
    <row r="26" spans="1:27" x14ac:dyDescent="0.25">
      <c r="A26" s="10" t="s">
        <v>1465</v>
      </c>
      <c r="B26" s="10" t="s">
        <v>1466</v>
      </c>
      <c r="C26" s="14">
        <f>_xll.BDH("ALNY US Equity","LT_DEBT_TO_TOT_EQY","FQ4 2018","FQ4 2018","Currency=USD","Period=FQ","BEST_FPERIOD_OVERRIDE=FQ","FILING_STATUS=MR","Sort=A","Dates=H","DateFormat=P","Fill=—","Direction=H","UseDPDF=Y")</f>
        <v>2.3041999999999998</v>
      </c>
      <c r="D26" s="14">
        <f>_xll.BDH("ALNY US Equity","LT_DEBT_TO_TOT_EQY","FQ1 2019","FQ1 2019","Currency=USD","Period=FQ","BEST_FPERIOD_OVERRIDE=FQ","FILING_STATUS=MR","Sort=A","Dates=H","DateFormat=P","Fill=—","Direction=H","UseDPDF=Y")</f>
        <v>20.1876</v>
      </c>
      <c r="E26" s="14">
        <f>_xll.BDH("ALNY US Equity","LT_DEBT_TO_TOT_EQY","FQ2 2019","FQ2 2019","Currency=USD","Period=FQ","BEST_FPERIOD_OVERRIDE=FQ","FILING_STATUS=MR","Sort=A","Dates=H","DateFormat=P","Fill=—","Direction=H","UseDPDF=Y")</f>
        <v>17.483000000000001</v>
      </c>
      <c r="F26" s="14">
        <f>_xll.BDH("ALNY US Equity","LT_DEBT_TO_TOT_EQY","FQ3 2019","FQ3 2019","Currency=USD","Period=FQ","BEST_FPERIOD_OVERRIDE=FQ","FILING_STATUS=MR","Sort=A","Dates=H","DateFormat=P","Fill=—","Direction=H","UseDPDF=Y")</f>
        <v>17.202300000000001</v>
      </c>
      <c r="G26" s="14">
        <f>_xll.BDH("ALNY US Equity","LT_DEBT_TO_TOT_EQY","FQ4 2019","FQ4 2019","Currency=USD","Period=FQ","BEST_FPERIOD_OVERRIDE=FQ","FILING_STATUS=MR","Sort=A","Dates=H","DateFormat=P","Fill=—","Direction=H","UseDPDF=Y")</f>
        <v>19.1935</v>
      </c>
      <c r="H26" s="14">
        <f>_xll.BDH("ALNY US Equity","LT_DEBT_TO_TOT_EQY","FQ1 2020","FQ1 2020","Currency=USD","Period=FQ","BEST_FPERIOD_OVERRIDE=FQ","FILING_STATUS=MR","Sort=A","Dates=H","DateFormat=P","Fill=—","Direction=H","UseDPDF=Y")</f>
        <v>20.432400000000001</v>
      </c>
      <c r="I26" s="14">
        <f>_xll.BDH("ALNY US Equity","LT_DEBT_TO_TOT_EQY","FQ2 2020","FQ2 2020","Currency=USD","Period=FQ","BEST_FPERIOD_OVERRIDE=FQ","FILING_STATUS=MR","Sort=A","Dates=H","DateFormat=P","Fill=—","Direction=H","UseDPDF=Y")</f>
        <v>20.119499999999999</v>
      </c>
      <c r="J26" s="14">
        <f>_xll.BDH("ALNY US Equity","LT_DEBT_TO_TOT_EQY","FQ3 2020","FQ3 2020","Currency=USD","Period=FQ","BEST_FPERIOD_OVERRIDE=FQ","FILING_STATUS=MR","Sort=A","Dates=H","DateFormat=P","Fill=—","Direction=H","UseDPDF=Y")</f>
        <v>24.465499999999999</v>
      </c>
      <c r="K26" s="14">
        <f>_xll.BDH("ALNY US Equity","LT_DEBT_TO_TOT_EQY","FQ4 2020","FQ4 2020","Currency=USD","Period=FQ","BEST_FPERIOD_OVERRIDE=FQ","FILING_STATUS=MR","Sort=A","Dates=H","DateFormat=P","Fill=—","Direction=H","UseDPDF=Y")</f>
        <v>47.657400000000003</v>
      </c>
      <c r="L26" s="14">
        <f>_xll.BDH("ALNY US Equity","LT_DEBT_TO_TOT_EQY","FQ1 2021","FQ1 2021","Currency=USD","Period=FQ","BEST_FPERIOD_OVERRIDE=FQ","FILING_STATUS=MR","Sort=A","Dates=H","DateFormat=P","Fill=—","Direction=H","UseDPDF=Y")</f>
        <v>51.782600000000002</v>
      </c>
      <c r="M26" s="14">
        <f>_xll.BDH("ALNY US Equity","LT_DEBT_TO_TOT_EQY","FQ2 2021","FQ2 2021","Currency=USD","Period=FQ","BEST_FPERIOD_OVERRIDE=FQ","FILING_STATUS=MR","Sort=A","Dates=H","DateFormat=P","Fill=—","Direction=H","UseDPDF=Y")</f>
        <v>84.572500000000005</v>
      </c>
      <c r="N26" s="14">
        <f>_xll.BDH("ALNY US Equity","LT_DEBT_TO_TOT_EQY","FQ3 2021","FQ3 2021","Currency=USD","Period=FQ","BEST_FPERIOD_OVERRIDE=FQ","FILING_STATUS=MR","Sort=A","Dates=H","DateFormat=P","Fill=—","Direction=H","UseDPDF=Y")</f>
        <v>95.228999999999999</v>
      </c>
      <c r="O26" s="14">
        <f>_xll.BDH("ALNY US Equity","LT_DEBT_TO_TOT_EQY","FQ4 2021","FQ4 2021","Currency=USD","Period=FQ","BEST_FPERIOD_OVERRIDE=FQ","FILING_STATUS=MR","Sort=A","Dates=H","DateFormat=P","Fill=—","Direction=H","UseDPDF=Y")</f>
        <v>162.7064</v>
      </c>
      <c r="P26" s="14">
        <f>_xll.BDH("ALNY US Equity","LT_DEBT_TO_TOT_EQY","FQ1 2022","FQ1 2022","Currency=USD","Period=FQ","BEST_FPERIOD_OVERRIDE=FQ","FILING_STATUS=MR","Sort=A","Dates=H","DateFormat=P","Fill=—","Direction=H","UseDPDF=Y")</f>
        <v>237.8312</v>
      </c>
      <c r="Q26" s="14">
        <f>_xll.BDH("ALNY US Equity","LT_DEBT_TO_TOT_EQY","FQ2 2022","FQ2 2022","Currency=USD","Period=FQ","BEST_FPERIOD_OVERRIDE=FQ","FILING_STATUS=MR","Sort=A","Dates=H","DateFormat=P","Fill=—","Direction=H","UseDPDF=Y")</f>
        <v>539.5018</v>
      </c>
      <c r="R26" s="14" t="str">
        <f>_xll.BDH("ALNY US Equity","LT_DEBT_TO_TOT_EQY","FQ3 2022","FQ3 2022","Currency=USD","Period=FQ","BEST_FPERIOD_OVERRIDE=FQ","FILING_STATUS=MR","Sort=A","Dates=H","DateFormat=P","Fill=—","Direction=H","UseDPDF=Y")</f>
        <v>—</v>
      </c>
      <c r="S26" s="14" t="str">
        <f>_xll.BDH("ALNY US Equity","LT_DEBT_TO_TOT_EQY","FQ4 2022","FQ4 2022","Currency=USD","Period=FQ","BEST_FPERIOD_OVERRIDE=FQ","FILING_STATUS=MR","Sort=A","Dates=H","DateFormat=P","Fill=—","Direction=H","UseDPDF=Y")</f>
        <v>—</v>
      </c>
      <c r="T26" s="14" t="str">
        <f>_xll.BDH("ALNY US Equity","LT_DEBT_TO_TOT_EQY","FQ1 2023","FQ1 2023","Currency=USD","Period=FQ","BEST_FPERIOD_OVERRIDE=FQ","FILING_STATUS=MR","Sort=A","Dates=H","DateFormat=P","Fill=—","Direction=H","UseDPDF=Y")</f>
        <v>—</v>
      </c>
      <c r="U26" s="14" t="str">
        <f>_xll.BDH("ALNY US Equity","LT_DEBT_TO_TOT_EQY","FQ2 2023","FQ2 2023","Currency=USD","Period=FQ","BEST_FPERIOD_OVERRIDE=FQ","FILING_STATUS=MR","Sort=A","Dates=H","DateFormat=P","Fill=—","Direction=H","UseDPDF=Y")</f>
        <v>—</v>
      </c>
      <c r="V26" s="14" t="str">
        <f>_xll.BDH("ALNY US Equity","LT_DEBT_TO_TOT_EQY","FQ3 2023","FQ3 2023","Currency=USD","Period=FQ","BEST_FPERIOD_OVERRIDE=FQ","FILING_STATUS=MR","Sort=A","Dates=H","DateFormat=P","Fill=—","Direction=H","UseDPDF=Y")</f>
        <v>—</v>
      </c>
      <c r="W26" s="14" t="str">
        <f>_xll.BDH("ALNY US Equity","LT_DEBT_TO_TOT_EQY","FQ4 2023","FQ4 2023","Currency=USD","Period=FQ","BEST_FPERIOD_OVERRIDE=FQ","FILING_STATUS=MR","Sort=A","Dates=H","DateFormat=P","Fill=—","Direction=H","UseDPDF=Y")</f>
        <v>—</v>
      </c>
      <c r="X26" s="14" t="str">
        <f>_xll.BDH("ALNY US Equity","LT_DEBT_TO_TOT_EQY","FQ1 2024","FQ1 2024","Currency=USD","Period=FQ","BEST_FPERIOD_OVERRIDE=FQ","FILING_STATUS=MR","Sort=A","Dates=H","DateFormat=P","Fill=—","Direction=H","UseDPDF=Y")</f>
        <v>—</v>
      </c>
      <c r="Y26" s="14" t="str">
        <f>_xll.BDH("ALNY US Equity","LT_DEBT_TO_TOT_EQY","FQ2 2024","FQ2 2024","Currency=USD","Period=FQ","BEST_FPERIOD_OVERRIDE=FQ","FILING_STATUS=MR","Sort=A","Dates=H","DateFormat=P","Fill=—","Direction=H","UseDPDF=Y")</f>
        <v>—</v>
      </c>
      <c r="Z26" s="14">
        <f>_xll.BDH("ALNY US Equity","LT_DEBT_TO_TOT_EQY","FQ3 2024","FQ3 2024","Currency=USD","Period=FQ","BEST_FPERIOD_OVERRIDE=FQ","FILING_STATUS=MR","Sort=A","Dates=H","DateFormat=P","Fill=—","Direction=H","UseDPDF=Y")</f>
        <v>3893.4413</v>
      </c>
      <c r="AA26" s="14">
        <f>_xll.BDH("ALNY US Equity","LT_DEBT_TO_TOT_EQY","FQ4 2024","FQ4 2024","Currency=USD","Period=FQ","BEST_FPERIOD_OVERRIDE=FQ","FILING_STATUS=MR","Sort=A","Dates=H","DateFormat=P","Fill=—","Direction=H","UseDPDF=Y")</f>
        <v>1869.4282000000001</v>
      </c>
    </row>
    <row r="27" spans="1:27" x14ac:dyDescent="0.25">
      <c r="A27" s="10" t="s">
        <v>1467</v>
      </c>
      <c r="B27" s="10" t="s">
        <v>1468</v>
      </c>
      <c r="C27" s="14">
        <f>_xll.BDH("ALNY US Equity","LT_DEBT_TO_TOT_CAP","FQ4 2018","FQ4 2018","Currency=USD","Period=FQ","BEST_FPERIOD_OVERRIDE=FQ","FILING_STATUS=MR","Sort=A","Dates=H","DateFormat=P","Fill=—","Direction=H","UseDPDF=Y")</f>
        <v>2.2523</v>
      </c>
      <c r="D27" s="14">
        <f>_xll.BDH("ALNY US Equity","LT_DEBT_TO_TOT_CAP","FQ1 2019","FQ1 2019","Currency=USD","Period=FQ","BEST_FPERIOD_OVERRIDE=FQ","FILING_STATUS=MR","Sort=A","Dates=H","DateFormat=P","Fill=—","Direction=H","UseDPDF=Y")</f>
        <v>16.6448</v>
      </c>
      <c r="E27" s="14">
        <f>_xll.BDH("ALNY US Equity","LT_DEBT_TO_TOT_CAP","FQ2 2019","FQ2 2019","Currency=USD","Period=FQ","BEST_FPERIOD_OVERRIDE=FQ","FILING_STATUS=MR","Sort=A","Dates=H","DateFormat=P","Fill=—","Direction=H","UseDPDF=Y")</f>
        <v>14.672700000000001</v>
      </c>
      <c r="F27" s="14">
        <f>_xll.BDH("ALNY US Equity","LT_DEBT_TO_TOT_CAP","FQ3 2019","FQ3 2019","Currency=USD","Period=FQ","BEST_FPERIOD_OVERRIDE=FQ","FILING_STATUS=MR","Sort=A","Dates=H","DateFormat=P","Fill=—","Direction=H","UseDPDF=Y")</f>
        <v>14.4612</v>
      </c>
      <c r="G27" s="14">
        <f>_xll.BDH("ALNY US Equity","LT_DEBT_TO_TOT_CAP","FQ4 2019","FQ4 2019","Currency=USD","Period=FQ","BEST_FPERIOD_OVERRIDE=FQ","FILING_STATUS=MR","Sort=A","Dates=H","DateFormat=P","Fill=—","Direction=H","UseDPDF=Y")</f>
        <v>15.8469</v>
      </c>
      <c r="H27" s="14">
        <f>_xll.BDH("ALNY US Equity","LT_DEBT_TO_TOT_CAP","FQ1 2020","FQ1 2020","Currency=USD","Period=FQ","BEST_FPERIOD_OVERRIDE=FQ","FILING_STATUS=MR","Sort=A","Dates=H","DateFormat=P","Fill=—","Direction=H","UseDPDF=Y")</f>
        <v>16.668099999999999</v>
      </c>
      <c r="I27" s="14">
        <f>_xll.BDH("ALNY US Equity","LT_DEBT_TO_TOT_CAP","FQ2 2020","FQ2 2020","Currency=USD","Period=FQ","BEST_FPERIOD_OVERRIDE=FQ","FILING_STATUS=MR","Sort=A","Dates=H","DateFormat=P","Fill=—","Direction=H","UseDPDF=Y")</f>
        <v>16.422899999999998</v>
      </c>
      <c r="J27" s="14">
        <f>_xll.BDH("ALNY US Equity","LT_DEBT_TO_TOT_CAP","FQ3 2020","FQ3 2020","Currency=USD","Period=FQ","BEST_FPERIOD_OVERRIDE=FQ","FILING_STATUS=MR","Sort=A","Dates=H","DateFormat=P","Fill=—","Direction=H","UseDPDF=Y")</f>
        <v>19.2468</v>
      </c>
      <c r="K27" s="14">
        <f>_xll.BDH("ALNY US Equity","LT_DEBT_TO_TOT_CAP","FQ4 2020","FQ4 2020","Currency=USD","Period=FQ","BEST_FPERIOD_OVERRIDE=FQ","FILING_STATUS=MR","Sort=A","Dates=H","DateFormat=P","Fill=—","Direction=H","UseDPDF=Y")</f>
        <v>31.5016</v>
      </c>
      <c r="L27" s="14">
        <f>_xll.BDH("ALNY US Equity","LT_DEBT_TO_TOT_CAP","FQ1 2021","FQ1 2021","Currency=USD","Period=FQ","BEST_FPERIOD_OVERRIDE=FQ","FILING_STATUS=MR","Sort=A","Dates=H","DateFormat=P","Fill=—","Direction=H","UseDPDF=Y")</f>
        <v>33.197299999999998</v>
      </c>
      <c r="M27" s="14">
        <f>_xll.BDH("ALNY US Equity","LT_DEBT_TO_TOT_CAP","FQ2 2021","FQ2 2021","Currency=USD","Period=FQ","BEST_FPERIOD_OVERRIDE=FQ","FILING_STATUS=MR","Sort=A","Dates=H","DateFormat=P","Fill=—","Direction=H","UseDPDF=Y")</f>
        <v>44.703600000000002</v>
      </c>
      <c r="N27" s="14">
        <f>_xll.BDH("ALNY US Equity","LT_DEBT_TO_TOT_CAP","FQ3 2021","FQ3 2021","Currency=USD","Period=FQ","BEST_FPERIOD_OVERRIDE=FQ","FILING_STATUS=MR","Sort=A","Dates=H","DateFormat=P","Fill=—","Direction=H","UseDPDF=Y")</f>
        <v>47.471699999999998</v>
      </c>
      <c r="O27" s="14">
        <f>_xll.BDH("ALNY US Equity","LT_DEBT_TO_TOT_CAP","FQ4 2021","FQ4 2021","Currency=USD","Period=FQ","BEST_FPERIOD_OVERRIDE=FQ","FILING_STATUS=MR","Sort=A","Dates=H","DateFormat=P","Fill=—","Direction=H","UseDPDF=Y")</f>
        <v>60.351100000000002</v>
      </c>
      <c r="P27" s="14">
        <f>_xll.BDH("ALNY US Equity","LT_DEBT_TO_TOT_CAP","FQ1 2022","FQ1 2022","Currency=USD","Period=FQ","BEST_FPERIOD_OVERRIDE=FQ","FILING_STATUS=MR","Sort=A","Dates=H","DateFormat=P","Fill=—","Direction=H","UseDPDF=Y")</f>
        <v>68.317999999999998</v>
      </c>
      <c r="Q27" s="14">
        <f>_xll.BDH("ALNY US Equity","LT_DEBT_TO_TOT_CAP","FQ2 2022","FQ2 2022","Currency=USD","Period=FQ","BEST_FPERIOD_OVERRIDE=FQ","FILING_STATUS=MR","Sort=A","Dates=H","DateFormat=P","Fill=—","Direction=H","UseDPDF=Y")</f>
        <v>81.381900000000002</v>
      </c>
      <c r="R27" s="14">
        <f>_xll.BDH("ALNY US Equity","LT_DEBT_TO_TOT_CAP","FQ3 2022","FQ3 2022","Currency=USD","Period=FQ","BEST_FPERIOD_OVERRIDE=FQ","FILING_STATUS=MR","Sort=A","Dates=H","DateFormat=P","Fill=—","Direction=H","UseDPDF=Y")</f>
        <v>101.77</v>
      </c>
      <c r="S27" s="14">
        <f>_xll.BDH("ALNY US Equity","LT_DEBT_TO_TOT_CAP","FQ4 2022","FQ4 2022","Currency=USD","Period=FQ","BEST_FPERIOD_OVERRIDE=FQ","FILING_STATUS=MR","Sort=A","Dates=H","DateFormat=P","Fill=—","Direction=H","UseDPDF=Y")</f>
        <v>110.0046</v>
      </c>
      <c r="T27" s="14">
        <f>_xll.BDH("ALNY US Equity","LT_DEBT_TO_TOT_CAP","FQ1 2023","FQ1 2023","Currency=USD","Period=FQ","BEST_FPERIOD_OVERRIDE=FQ","FILING_STATUS=MR","Sort=A","Dates=H","DateFormat=P","Fill=—","Direction=H","UseDPDF=Y")</f>
        <v>120.3736</v>
      </c>
      <c r="U27" s="14">
        <f>_xll.BDH("ALNY US Equity","LT_DEBT_TO_TOT_CAP","FQ2 2023","FQ2 2023","Currency=USD","Period=FQ","BEST_FPERIOD_OVERRIDE=FQ","FILING_STATUS=MR","Sort=A","Dates=H","DateFormat=P","Fill=—","Direction=H","UseDPDF=Y")</f>
        <v>140.3946</v>
      </c>
      <c r="V27" s="14">
        <f>_xll.BDH("ALNY US Equity","LT_DEBT_TO_TOT_CAP","FQ3 2023","FQ3 2023","Currency=USD","Period=FQ","BEST_FPERIOD_OVERRIDE=FQ","FILING_STATUS=MR","Sort=A","Dates=H","DateFormat=P","Fill=—","Direction=H","UseDPDF=Y")</f>
        <v>110.8776</v>
      </c>
      <c r="W27" s="14">
        <f>_xll.BDH("ALNY US Equity","LT_DEBT_TO_TOT_CAP","FQ4 2023","FQ4 2023","Currency=USD","Period=FQ","BEST_FPERIOD_OVERRIDE=FQ","FILING_STATUS=MR","Sort=A","Dates=H","DateFormat=P","Fill=—","Direction=H","UseDPDF=Y")</f>
        <v>116.514</v>
      </c>
      <c r="X27" s="14">
        <f>_xll.BDH("ALNY US Equity","LT_DEBT_TO_TOT_CAP","FQ1 2024","FQ1 2024","Currency=USD","Period=FQ","BEST_FPERIOD_OVERRIDE=FQ","FILING_STATUS=MR","Sort=A","Dates=H","DateFormat=P","Fill=—","Direction=H","UseDPDF=Y")</f>
        <v>116.41459999999999</v>
      </c>
      <c r="Y27" s="14">
        <f>_xll.BDH("ALNY US Equity","LT_DEBT_TO_TOT_CAP","FQ2 2024","FQ2 2024","Currency=USD","Period=FQ","BEST_FPERIOD_OVERRIDE=FQ","FILING_STATUS=MR","Sort=A","Dates=H","DateFormat=P","Fill=—","Direction=H","UseDPDF=Y")</f>
        <v>98.540099999999995</v>
      </c>
      <c r="Z27" s="14">
        <f>_xll.BDH("ALNY US Equity","LT_DEBT_TO_TOT_CAP","FQ3 2024","FQ3 2024","Currency=USD","Period=FQ","BEST_FPERIOD_OVERRIDE=FQ","FILING_STATUS=MR","Sort=A","Dates=H","DateFormat=P","Fill=—","Direction=H","UseDPDF=Y")</f>
        <v>94.416200000000003</v>
      </c>
      <c r="AA27" s="14">
        <f>_xll.BDH("ALNY US Equity","LT_DEBT_TO_TOT_CAP","FQ4 2024","FQ4 2024","Currency=USD","Period=FQ","BEST_FPERIOD_OVERRIDE=FQ","FILING_STATUS=MR","Sort=A","Dates=H","DateFormat=P","Fill=—","Direction=H","UseDPDF=Y")</f>
        <v>92.005600000000001</v>
      </c>
    </row>
    <row r="28" spans="1:27" x14ac:dyDescent="0.25">
      <c r="A28" s="10" t="s">
        <v>1469</v>
      </c>
      <c r="B28" s="10" t="s">
        <v>1470</v>
      </c>
      <c r="C28" s="14">
        <f>_xll.BDH("ALNY US Equity","LT_DEBT_TO_TOT_ASSET","FQ4 2018","FQ4 2018","Currency=USD","Period=FQ","BEST_FPERIOD_OVERRIDE=FQ","FILING_STATUS=MR","Sort=A","Dates=H","DateFormat=P","Fill=—","Direction=H","UseDPDF=Y")</f>
        <v>1.905</v>
      </c>
      <c r="D28" s="14">
        <f>_xll.BDH("ALNY US Equity","LT_DEBT_TO_TOT_ASSET","FQ1 2019","FQ1 2019","Currency=USD","Period=FQ","BEST_FPERIOD_OVERRIDE=FQ","FILING_STATUS=MR","Sort=A","Dates=H","DateFormat=P","Fill=—","Direction=H","UseDPDF=Y")</f>
        <v>15.506500000000001</v>
      </c>
      <c r="E28" s="14">
        <f>_xll.BDH("ALNY US Equity","LT_DEBT_TO_TOT_ASSET","FQ2 2019","FQ2 2019","Currency=USD","Period=FQ","BEST_FPERIOD_OVERRIDE=FQ","FILING_STATUS=MR","Sort=A","Dates=H","DateFormat=P","Fill=—","Direction=H","UseDPDF=Y")</f>
        <v>11.3094</v>
      </c>
      <c r="F28" s="14">
        <f>_xll.BDH("ALNY US Equity","LT_DEBT_TO_TOT_ASSET","FQ3 2019","FQ3 2019","Currency=USD","Period=FQ","BEST_FPERIOD_OVERRIDE=FQ","FILING_STATUS=MR","Sort=A","Dates=H","DateFormat=P","Fill=—","Direction=H","UseDPDF=Y")</f>
        <v>10.8771</v>
      </c>
      <c r="G28" s="14">
        <f>_xll.BDH("ALNY US Equity","LT_DEBT_TO_TOT_ASSET","FQ4 2019","FQ4 2019","Currency=USD","Period=FQ","BEST_FPERIOD_OVERRIDE=FQ","FILING_STATUS=MR","Sort=A","Dates=H","DateFormat=P","Fill=—","Direction=H","UseDPDF=Y")</f>
        <v>11.529</v>
      </c>
      <c r="H28" s="14">
        <f>_xll.BDH("ALNY US Equity","LT_DEBT_TO_TOT_ASSET","FQ1 2020","FQ1 2020","Currency=USD","Period=FQ","BEST_FPERIOD_OVERRIDE=FQ","FILING_STATUS=MR","Sort=A","Dates=H","DateFormat=P","Fill=—","Direction=H","UseDPDF=Y")</f>
        <v>12.0977</v>
      </c>
      <c r="I28" s="14">
        <f>_xll.BDH("ALNY US Equity","LT_DEBT_TO_TOT_ASSET","FQ2 2020","FQ2 2020","Currency=USD","Period=FQ","BEST_FPERIOD_OVERRIDE=FQ","FILING_STATUS=MR","Sort=A","Dates=H","DateFormat=P","Fill=—","Direction=H","UseDPDF=Y")</f>
        <v>8.3458000000000006</v>
      </c>
      <c r="J28" s="14">
        <f>_xll.BDH("ALNY US Equity","LT_DEBT_TO_TOT_ASSET","FQ3 2020","FQ3 2020","Currency=USD","Period=FQ","BEST_FPERIOD_OVERRIDE=FQ","FILING_STATUS=MR","Sort=A","Dates=H","DateFormat=P","Fill=—","Direction=H","UseDPDF=Y")</f>
        <v>8.9880999999999993</v>
      </c>
      <c r="K28" s="14">
        <f>_xll.BDH("ALNY US Equity","LT_DEBT_TO_TOT_ASSET","FQ4 2020","FQ4 2020","Currency=USD","Period=FQ","BEST_FPERIOD_OVERRIDE=FQ","FILING_STATUS=MR","Sort=A","Dates=H","DateFormat=P","Fill=—","Direction=H","UseDPDF=Y")</f>
        <v>14.2151</v>
      </c>
      <c r="L28" s="14">
        <f>_xll.BDH("ALNY US Equity","LT_DEBT_TO_TOT_ASSET","FQ1 2021","FQ1 2021","Currency=USD","Period=FQ","BEST_FPERIOD_OVERRIDE=FQ","FILING_STATUS=MR","Sort=A","Dates=H","DateFormat=P","Fill=—","Direction=H","UseDPDF=Y")</f>
        <v>14.7332</v>
      </c>
      <c r="M28" s="14">
        <f>_xll.BDH("ALNY US Equity","LT_DEBT_TO_TOT_ASSET","FQ2 2021","FQ2 2021","Currency=USD","Period=FQ","BEST_FPERIOD_OVERRIDE=FQ","FILING_STATUS=MR","Sort=A","Dates=H","DateFormat=P","Fill=—","Direction=H","UseDPDF=Y")</f>
        <v>20.564900000000002</v>
      </c>
      <c r="N28" s="14">
        <f>_xll.BDH("ALNY US Equity","LT_DEBT_TO_TOT_ASSET","FQ3 2021","FQ3 2021","Currency=USD","Period=FQ","BEST_FPERIOD_OVERRIDE=FQ","FILING_STATUS=MR","Sort=A","Dates=H","DateFormat=P","Fill=—","Direction=H","UseDPDF=Y")</f>
        <v>20.730499999999999</v>
      </c>
      <c r="O28" s="14">
        <f>_xll.BDH("ALNY US Equity","LT_DEBT_TO_TOT_ASSET","FQ4 2021","FQ4 2021","Currency=USD","Period=FQ","BEST_FPERIOD_OVERRIDE=FQ","FILING_STATUS=MR","Sort=A","Dates=H","DateFormat=P","Fill=—","Direction=H","UseDPDF=Y")</f>
        <v>26.268599999999999</v>
      </c>
      <c r="P28" s="14">
        <f>_xll.BDH("ALNY US Equity","LT_DEBT_TO_TOT_ASSET","FQ1 2022","FQ1 2022","Currency=USD","Period=FQ","BEST_FPERIOD_OVERRIDE=FQ","FILING_STATUS=MR","Sort=A","Dates=H","DateFormat=P","Fill=—","Direction=H","UseDPDF=Y")</f>
        <v>27.787500000000001</v>
      </c>
      <c r="Q28" s="14">
        <f>_xll.BDH("ALNY US Equity","LT_DEBT_TO_TOT_ASSET","FQ2 2022","FQ2 2022","Currency=USD","Period=FQ","BEST_FPERIOD_OVERRIDE=FQ","FILING_STATUS=MR","Sort=A","Dates=H","DateFormat=P","Fill=—","Direction=H","UseDPDF=Y")</f>
        <v>28.517099999999999</v>
      </c>
      <c r="R28" s="14">
        <f>_xll.BDH("ALNY US Equity","LT_DEBT_TO_TOT_ASSET","FQ3 2022","FQ3 2022","Currency=USD","Period=FQ","BEST_FPERIOD_OVERRIDE=FQ","FILING_STATUS=MR","Sort=A","Dates=H","DateFormat=P","Fill=—","Direction=H","UseDPDF=Y")</f>
        <v>42.378700000000002</v>
      </c>
      <c r="S28" s="14">
        <f>_xll.BDH("ALNY US Equity","LT_DEBT_TO_TOT_ASSET","FQ4 2022","FQ4 2022","Currency=USD","Period=FQ","BEST_FPERIOD_OVERRIDE=FQ","FILING_STATUS=MR","Sort=A","Dates=H","DateFormat=P","Fill=—","Direction=H","UseDPDF=Y")</f>
        <v>36.044899999999998</v>
      </c>
      <c r="T28" s="14">
        <f>_xll.BDH("ALNY US Equity","LT_DEBT_TO_TOT_ASSET","FQ1 2023","FQ1 2023","Currency=USD","Period=FQ","BEST_FPERIOD_OVERRIDE=FQ","FILING_STATUS=MR","Sort=A","Dates=H","DateFormat=P","Fill=—","Direction=H","UseDPDF=Y")</f>
        <v>37.656500000000001</v>
      </c>
      <c r="U28" s="14">
        <f>_xll.BDH("ALNY US Equity","LT_DEBT_TO_TOT_ASSET","FQ2 2023","FQ2 2023","Currency=USD","Period=FQ","BEST_FPERIOD_OVERRIDE=FQ","FILING_STATUS=MR","Sort=A","Dates=H","DateFormat=P","Fill=—","Direction=H","UseDPDF=Y")</f>
        <v>37.393000000000001</v>
      </c>
      <c r="V28" s="14">
        <f>_xll.BDH("ALNY US Equity","LT_DEBT_TO_TOT_ASSET","FQ3 2023","FQ3 2023","Currency=USD","Period=FQ","BEST_FPERIOD_OVERRIDE=FQ","FILING_STATUS=MR","Sort=A","Dates=H","DateFormat=P","Fill=—","Direction=H","UseDPDF=Y")</f>
        <v>33.016300000000001</v>
      </c>
      <c r="W28" s="14">
        <f>_xll.BDH("ALNY US Equity","LT_DEBT_TO_TOT_ASSET","FQ4 2023","FQ4 2023","Currency=USD","Period=FQ","BEST_FPERIOD_OVERRIDE=FQ","FILING_STATUS=MR","Sort=A","Dates=H","DateFormat=P","Fill=—","Direction=H","UseDPDF=Y")</f>
        <v>33.000399999999999</v>
      </c>
      <c r="X28" s="14">
        <f>_xll.BDH("ALNY US Equity","LT_DEBT_TO_TOT_ASSET","FQ1 2024","FQ1 2024","Currency=USD","Period=FQ","BEST_FPERIOD_OVERRIDE=FQ","FILING_STATUS=MR","Sort=A","Dates=H","DateFormat=P","Fill=—","Direction=H","UseDPDF=Y")</f>
        <v>32.935000000000002</v>
      </c>
      <c r="Y28" s="14">
        <f>_xll.BDH("ALNY US Equity","LT_DEBT_TO_TOT_ASSET","FQ2 2024","FQ2 2024","Currency=USD","Period=FQ","BEST_FPERIOD_OVERRIDE=FQ","FILING_STATUS=MR","Sort=A","Dates=H","DateFormat=P","Fill=—","Direction=H","UseDPDF=Y")</f>
        <v>64.959000000000003</v>
      </c>
      <c r="Z28" s="14">
        <f>_xll.BDH("ALNY US Equity","LT_DEBT_TO_TOT_ASSET","FQ3 2024","FQ3 2024","Currency=USD","Period=FQ","BEST_FPERIOD_OVERRIDE=FQ","FILING_STATUS=MR","Sort=A","Dates=H","DateFormat=P","Fill=—","Direction=H","UseDPDF=Y")</f>
        <v>29.956499999999998</v>
      </c>
      <c r="AA28" s="14">
        <f>_xll.BDH("ALNY US Equity","LT_DEBT_TO_TOT_ASSET","FQ4 2024","FQ4 2024","Currency=USD","Period=FQ","BEST_FPERIOD_OVERRIDE=FQ","FILING_STATUS=MR","Sort=A","Dates=H","DateFormat=P","Fill=—","Direction=H","UseDPDF=Y")</f>
        <v>29.5794</v>
      </c>
    </row>
    <row r="29" spans="1:27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0" t="s">
        <v>1471</v>
      </c>
      <c r="B30" s="10" t="s">
        <v>1472</v>
      </c>
      <c r="C30" s="14">
        <f>_xll.BDH("ALNY US Equity","TOT_DEBT_TO_TOT_EQY","FQ4 2018","FQ4 2018","Currency=USD","Period=FQ","BEST_FPERIOD_OVERRIDE=FQ","FILING_STATUS=MR","Sort=A","Dates=H","DateFormat=P","Fill=—","Direction=H","UseDPDF=Y")</f>
        <v>2.3041999999999998</v>
      </c>
      <c r="D30" s="14">
        <f>_xll.BDH("ALNY US Equity","TOT_DEBT_TO_TOT_EQY","FQ1 2019","FQ1 2019","Currency=USD","Period=FQ","BEST_FPERIOD_OVERRIDE=FQ","FILING_STATUS=MR","Sort=A","Dates=H","DateFormat=P","Fill=—","Direction=H","UseDPDF=Y")</f>
        <v>21.2851</v>
      </c>
      <c r="E30" s="14">
        <f>_xll.BDH("ALNY US Equity","TOT_DEBT_TO_TOT_EQY","FQ2 2019","FQ2 2019","Currency=USD","Period=FQ","BEST_FPERIOD_OVERRIDE=FQ","FILING_STATUS=MR","Sort=A","Dates=H","DateFormat=P","Fill=—","Direction=H","UseDPDF=Y")</f>
        <v>19.153099999999998</v>
      </c>
      <c r="F30" s="14">
        <f>_xll.BDH("ALNY US Equity","TOT_DEBT_TO_TOT_EQY","FQ3 2019","FQ3 2019","Currency=USD","Period=FQ","BEST_FPERIOD_OVERRIDE=FQ","FILING_STATUS=MR","Sort=A","Dates=H","DateFormat=P","Fill=—","Direction=H","UseDPDF=Y")</f>
        <v>18.954899999999999</v>
      </c>
      <c r="G30" s="14">
        <f>_xll.BDH("ALNY US Equity","TOT_DEBT_TO_TOT_EQY","FQ4 2019","FQ4 2019","Currency=USD","Period=FQ","BEST_FPERIOD_OVERRIDE=FQ","FILING_STATUS=MR","Sort=A","Dates=H","DateFormat=P","Fill=—","Direction=H","UseDPDF=Y")</f>
        <v>21.117999999999999</v>
      </c>
      <c r="H30" s="14">
        <f>_xll.BDH("ALNY US Equity","TOT_DEBT_TO_TOT_EQY","FQ1 2020","FQ1 2020","Currency=USD","Period=FQ","BEST_FPERIOD_OVERRIDE=FQ","FILING_STATUS=MR","Sort=A","Dates=H","DateFormat=P","Fill=—","Direction=H","UseDPDF=Y")</f>
        <v>22.584199999999999</v>
      </c>
      <c r="I30" s="14">
        <f>_xll.BDH("ALNY US Equity","TOT_DEBT_TO_TOT_EQY","FQ2 2020","FQ2 2020","Currency=USD","Period=FQ","BEST_FPERIOD_OVERRIDE=FQ","FILING_STATUS=MR","Sort=A","Dates=H","DateFormat=P","Fill=—","Direction=H","UseDPDF=Y")</f>
        <v>22.509</v>
      </c>
      <c r="J30" s="14">
        <f>_xll.BDH("ALNY US Equity","TOT_DEBT_TO_TOT_EQY","FQ3 2020","FQ3 2020","Currency=USD","Period=FQ","BEST_FPERIOD_OVERRIDE=FQ","FILING_STATUS=MR","Sort=A","Dates=H","DateFormat=P","Fill=—","Direction=H","UseDPDF=Y")</f>
        <v>27.114999999999998</v>
      </c>
      <c r="K30" s="14">
        <f>_xll.BDH("ALNY US Equity","TOT_DEBT_TO_TOT_EQY","FQ4 2020","FQ4 2020","Currency=USD","Period=FQ","BEST_FPERIOD_OVERRIDE=FQ","FILING_STATUS=MR","Sort=A","Dates=H","DateFormat=P","Fill=—","Direction=H","UseDPDF=Y")</f>
        <v>51.285699999999999</v>
      </c>
      <c r="L30" s="14">
        <f>_xll.BDH("ALNY US Equity","TOT_DEBT_TO_TOT_EQY","FQ1 2021","FQ1 2021","Currency=USD","Period=FQ","BEST_FPERIOD_OVERRIDE=FQ","FILING_STATUS=MR","Sort=A","Dates=H","DateFormat=P","Fill=—","Direction=H","UseDPDF=Y")</f>
        <v>55.984400000000001</v>
      </c>
      <c r="M30" s="14">
        <f>_xll.BDH("ALNY US Equity","TOT_DEBT_TO_TOT_EQY","FQ2 2021","FQ2 2021","Currency=USD","Period=FQ","BEST_FPERIOD_OVERRIDE=FQ","FILING_STATUS=MR","Sort=A","Dates=H","DateFormat=P","Fill=—","Direction=H","UseDPDF=Y")</f>
        <v>89.185100000000006</v>
      </c>
      <c r="N30" s="14">
        <f>_xll.BDH("ALNY US Equity","TOT_DEBT_TO_TOT_EQY","FQ3 2021","FQ3 2021","Currency=USD","Period=FQ","BEST_FPERIOD_OVERRIDE=FQ","FILING_STATUS=MR","Sort=A","Dates=H","DateFormat=P","Fill=—","Direction=H","UseDPDF=Y")</f>
        <v>100.60169999999999</v>
      </c>
      <c r="O30" s="14">
        <f>_xll.BDH("ALNY US Equity","TOT_DEBT_TO_TOT_EQY","FQ4 2021","FQ4 2021","Currency=USD","Period=FQ","BEST_FPERIOD_OVERRIDE=FQ","FILING_STATUS=MR","Sort=A","Dates=H","DateFormat=P","Fill=—","Direction=H","UseDPDF=Y")</f>
        <v>169.6</v>
      </c>
      <c r="P30" s="14">
        <f>_xll.BDH("ALNY US Equity","TOT_DEBT_TO_TOT_EQY","FQ1 2022","FQ1 2022","Currency=USD","Period=FQ","BEST_FPERIOD_OVERRIDE=FQ","FILING_STATUS=MR","Sort=A","Dates=H","DateFormat=P","Fill=—","Direction=H","UseDPDF=Y")</f>
        <v>248.12370000000001</v>
      </c>
      <c r="Q30" s="14">
        <f>_xll.BDH("ALNY US Equity","TOT_DEBT_TO_TOT_EQY","FQ2 2022","FQ2 2022","Currency=USD","Period=FQ","BEST_FPERIOD_OVERRIDE=FQ","FILING_STATUS=MR","Sort=A","Dates=H","DateFormat=P","Fill=—","Direction=H","UseDPDF=Y")</f>
        <v>562.92600000000004</v>
      </c>
      <c r="R30" s="14" t="str">
        <f>_xll.BDH("ALNY US Equity","TOT_DEBT_TO_TOT_EQY","FQ3 2022","FQ3 2022","Currency=USD","Period=FQ","BEST_FPERIOD_OVERRIDE=FQ","FILING_STATUS=MR","Sort=A","Dates=H","DateFormat=P","Fill=—","Direction=H","UseDPDF=Y")</f>
        <v>—</v>
      </c>
      <c r="S30" s="14" t="str">
        <f>_xll.BDH("ALNY US Equity","TOT_DEBT_TO_TOT_EQY","FQ4 2022","FQ4 2022","Currency=USD","Period=FQ","BEST_FPERIOD_OVERRIDE=FQ","FILING_STATUS=MR","Sort=A","Dates=H","DateFormat=P","Fill=—","Direction=H","UseDPDF=Y")</f>
        <v>—</v>
      </c>
      <c r="T30" s="14" t="str">
        <f>_xll.BDH("ALNY US Equity","TOT_DEBT_TO_TOT_EQY","FQ1 2023","FQ1 2023","Currency=USD","Period=FQ","BEST_FPERIOD_OVERRIDE=FQ","FILING_STATUS=MR","Sort=A","Dates=H","DateFormat=P","Fill=—","Direction=H","UseDPDF=Y")</f>
        <v>—</v>
      </c>
      <c r="U30" s="14" t="str">
        <f>_xll.BDH("ALNY US Equity","TOT_DEBT_TO_TOT_EQY","FQ2 2023","FQ2 2023","Currency=USD","Period=FQ","BEST_FPERIOD_OVERRIDE=FQ","FILING_STATUS=MR","Sort=A","Dates=H","DateFormat=P","Fill=—","Direction=H","UseDPDF=Y")</f>
        <v>—</v>
      </c>
      <c r="V30" s="14" t="str">
        <f>_xll.BDH("ALNY US Equity","TOT_DEBT_TO_TOT_EQY","FQ3 2023","FQ3 2023","Currency=USD","Period=FQ","BEST_FPERIOD_OVERRIDE=FQ","FILING_STATUS=MR","Sort=A","Dates=H","DateFormat=P","Fill=—","Direction=H","UseDPDF=Y")</f>
        <v>—</v>
      </c>
      <c r="W30" s="14" t="str">
        <f>_xll.BDH("ALNY US Equity","TOT_DEBT_TO_TOT_EQY","FQ4 2023","FQ4 2023","Currency=USD","Period=FQ","BEST_FPERIOD_OVERRIDE=FQ","FILING_STATUS=MR","Sort=A","Dates=H","DateFormat=P","Fill=—","Direction=H","UseDPDF=Y")</f>
        <v>—</v>
      </c>
      <c r="X30" s="14" t="str">
        <f>_xll.BDH("ALNY US Equity","TOT_DEBT_TO_TOT_EQY","FQ1 2024","FQ1 2024","Currency=USD","Period=FQ","BEST_FPERIOD_OVERRIDE=FQ","FILING_STATUS=MR","Sort=A","Dates=H","DateFormat=P","Fill=—","Direction=H","UseDPDF=Y")</f>
        <v>—</v>
      </c>
      <c r="Y30" s="14" t="str">
        <f>_xll.BDH("ALNY US Equity","TOT_DEBT_TO_TOT_EQY","FQ2 2024","FQ2 2024","Currency=USD","Period=FQ","BEST_FPERIOD_OVERRIDE=FQ","FILING_STATUS=MR","Sort=A","Dates=H","DateFormat=P","Fill=—","Direction=H","UseDPDF=Y")</f>
        <v>—</v>
      </c>
      <c r="Z30" s="14">
        <f>_xll.BDH("ALNY US Equity","TOT_DEBT_TO_TOT_EQY","FQ3 2024","FQ3 2024","Currency=USD","Period=FQ","BEST_FPERIOD_OVERRIDE=FQ","FILING_STATUS=MR","Sort=A","Dates=H","DateFormat=P","Fill=—","Direction=H","UseDPDF=Y")</f>
        <v>4023.7003</v>
      </c>
      <c r="AA30" s="14">
        <f>_xll.BDH("ALNY US Equity","TOT_DEBT_TO_TOT_EQY","FQ4 2024","FQ4 2024","Currency=USD","Period=FQ","BEST_FPERIOD_OVERRIDE=FQ","FILING_STATUS=MR","Sort=A","Dates=H","DateFormat=P","Fill=—","Direction=H","UseDPDF=Y")</f>
        <v>1931.8625999999999</v>
      </c>
    </row>
    <row r="31" spans="1:27" x14ac:dyDescent="0.25">
      <c r="A31" s="10" t="s">
        <v>1473</v>
      </c>
      <c r="B31" s="10" t="s">
        <v>175</v>
      </c>
      <c r="C31" s="14">
        <f>_xll.BDH("ALNY US Equity","TOT_DEBT_TO_TOT_CAP","FQ4 2018","FQ4 2018","Currency=USD","Period=FQ","BEST_FPERIOD_OVERRIDE=FQ","FILING_STATUS=MR","Sort=A","Dates=H","DateFormat=P","Fill=—","Direction=H","UseDPDF=Y")</f>
        <v>2.2523</v>
      </c>
      <c r="D31" s="14">
        <f>_xll.BDH("ALNY US Equity","TOT_DEBT_TO_TOT_CAP","FQ1 2019","FQ1 2019","Currency=USD","Period=FQ","BEST_FPERIOD_OVERRIDE=FQ","FILING_STATUS=MR","Sort=A","Dates=H","DateFormat=P","Fill=—","Direction=H","UseDPDF=Y")</f>
        <v>17.549600000000002</v>
      </c>
      <c r="E31" s="14">
        <f>_xll.BDH("ALNY US Equity","TOT_DEBT_TO_TOT_CAP","FQ2 2019","FQ2 2019","Currency=USD","Period=FQ","BEST_FPERIOD_OVERRIDE=FQ","FILING_STATUS=MR","Sort=A","Dates=H","DateFormat=P","Fill=—","Direction=H","UseDPDF=Y")</f>
        <v>16.074400000000001</v>
      </c>
      <c r="F31" s="14">
        <f>_xll.BDH("ALNY US Equity","TOT_DEBT_TO_TOT_CAP","FQ3 2019","FQ3 2019","Currency=USD","Period=FQ","BEST_FPERIOD_OVERRIDE=FQ","FILING_STATUS=MR","Sort=A","Dates=H","DateFormat=P","Fill=—","Direction=H","UseDPDF=Y")</f>
        <v>15.9345</v>
      </c>
      <c r="G31" s="14">
        <f>_xll.BDH("ALNY US Equity","TOT_DEBT_TO_TOT_CAP","FQ4 2019","FQ4 2019","Currency=USD","Period=FQ","BEST_FPERIOD_OVERRIDE=FQ","FILING_STATUS=MR","Sort=A","Dates=H","DateFormat=P","Fill=—","Direction=H","UseDPDF=Y")</f>
        <v>17.4359</v>
      </c>
      <c r="H31" s="14">
        <f>_xll.BDH("ALNY US Equity","TOT_DEBT_TO_TOT_CAP","FQ1 2020","FQ1 2020","Currency=USD","Period=FQ","BEST_FPERIOD_OVERRIDE=FQ","FILING_STATUS=MR","Sort=A","Dates=H","DateFormat=P","Fill=—","Direction=H","UseDPDF=Y")</f>
        <v>18.423400000000001</v>
      </c>
      <c r="I31" s="14">
        <f>_xll.BDH("ALNY US Equity","TOT_DEBT_TO_TOT_CAP","FQ2 2020","FQ2 2020","Currency=USD","Period=FQ","BEST_FPERIOD_OVERRIDE=FQ","FILING_STATUS=MR","Sort=A","Dates=H","DateFormat=P","Fill=—","Direction=H","UseDPDF=Y")</f>
        <v>18.3734</v>
      </c>
      <c r="J31" s="14">
        <f>_xll.BDH("ALNY US Equity","TOT_DEBT_TO_TOT_CAP","FQ3 2020","FQ3 2020","Currency=USD","Period=FQ","BEST_FPERIOD_OVERRIDE=FQ","FILING_STATUS=MR","Sort=A","Dates=H","DateFormat=P","Fill=—","Direction=H","UseDPDF=Y")</f>
        <v>21.331099999999999</v>
      </c>
      <c r="K31" s="14">
        <f>_xll.BDH("ALNY US Equity","TOT_DEBT_TO_TOT_CAP","FQ4 2020","FQ4 2020","Currency=USD","Period=FQ","BEST_FPERIOD_OVERRIDE=FQ","FILING_STATUS=MR","Sort=A","Dates=H","DateFormat=P","Fill=—","Direction=H","UseDPDF=Y")</f>
        <v>33.899900000000002</v>
      </c>
      <c r="L31" s="14">
        <f>_xll.BDH("ALNY US Equity","TOT_DEBT_TO_TOT_CAP","FQ1 2021","FQ1 2021","Currency=USD","Period=FQ","BEST_FPERIOD_OVERRIDE=FQ","FILING_STATUS=MR","Sort=A","Dates=H","DateFormat=P","Fill=—","Direction=H","UseDPDF=Y")</f>
        <v>35.890999999999998</v>
      </c>
      <c r="M31" s="14">
        <f>_xll.BDH("ALNY US Equity","TOT_DEBT_TO_TOT_CAP","FQ2 2021","FQ2 2021","Currency=USD","Period=FQ","BEST_FPERIOD_OVERRIDE=FQ","FILING_STATUS=MR","Sort=A","Dates=H","DateFormat=P","Fill=—","Direction=H","UseDPDF=Y")</f>
        <v>47.1417</v>
      </c>
      <c r="N31" s="14">
        <f>_xll.BDH("ALNY US Equity","TOT_DEBT_TO_TOT_CAP","FQ3 2021","FQ3 2021","Currency=USD","Period=FQ","BEST_FPERIOD_OVERRIDE=FQ","FILING_STATUS=MR","Sort=A","Dates=H","DateFormat=P","Fill=—","Direction=H","UseDPDF=Y")</f>
        <v>50.15</v>
      </c>
      <c r="O31" s="14">
        <f>_xll.BDH("ALNY US Equity","TOT_DEBT_TO_TOT_CAP","FQ4 2021","FQ4 2021","Currency=USD","Period=FQ","BEST_FPERIOD_OVERRIDE=FQ","FILING_STATUS=MR","Sort=A","Dates=H","DateFormat=P","Fill=—","Direction=H","UseDPDF=Y")</f>
        <v>62.908000000000001</v>
      </c>
      <c r="P31" s="14">
        <f>_xll.BDH("ALNY US Equity","TOT_DEBT_TO_TOT_CAP","FQ1 2022","FQ1 2022","Currency=USD","Period=FQ","BEST_FPERIOD_OVERRIDE=FQ","FILING_STATUS=MR","Sort=A","Dates=H","DateFormat=P","Fill=—","Direction=H","UseDPDF=Y")</f>
        <v>71.274600000000007</v>
      </c>
      <c r="Q31" s="14">
        <f>_xll.BDH("ALNY US Equity","TOT_DEBT_TO_TOT_CAP","FQ2 2022","FQ2 2022","Currency=USD","Period=FQ","BEST_FPERIOD_OVERRIDE=FQ","FILING_STATUS=MR","Sort=A","Dates=H","DateFormat=P","Fill=—","Direction=H","UseDPDF=Y")</f>
        <v>84.915400000000005</v>
      </c>
      <c r="R31" s="14">
        <f>_xll.BDH("ALNY US Equity","TOT_DEBT_TO_TOT_CAP","FQ3 2022","FQ3 2022","Currency=USD","Period=FQ","BEST_FPERIOD_OVERRIDE=FQ","FILING_STATUS=MR","Sort=A","Dates=H","DateFormat=P","Fill=—","Direction=H","UseDPDF=Y")</f>
        <v>104.5945</v>
      </c>
      <c r="S31" s="14">
        <f>_xll.BDH("ALNY US Equity","TOT_DEBT_TO_TOT_CAP","FQ4 2022","FQ4 2022","Currency=USD","Period=FQ","BEST_FPERIOD_OVERRIDE=FQ","FILING_STATUS=MR","Sort=A","Dates=H","DateFormat=P","Fill=—","Direction=H","UseDPDF=Y")</f>
        <v>113.6161</v>
      </c>
      <c r="T31" s="14">
        <f>_xll.BDH("ALNY US Equity","TOT_DEBT_TO_TOT_CAP","FQ1 2023","FQ1 2023","Currency=USD","Period=FQ","BEST_FPERIOD_OVERRIDE=FQ","FILING_STATUS=MR","Sort=A","Dates=H","DateFormat=P","Fill=—","Direction=H","UseDPDF=Y")</f>
        <v>124.4312</v>
      </c>
      <c r="U31" s="14">
        <f>_xll.BDH("ALNY US Equity","TOT_DEBT_TO_TOT_CAP","FQ2 2023","FQ2 2023","Currency=USD","Period=FQ","BEST_FPERIOD_OVERRIDE=FQ","FILING_STATUS=MR","Sort=A","Dates=H","DateFormat=P","Fill=—","Direction=H","UseDPDF=Y")</f>
        <v>145.03749999999999</v>
      </c>
      <c r="V31" s="14">
        <f>_xll.BDH("ALNY US Equity","TOT_DEBT_TO_TOT_CAP","FQ3 2023","FQ3 2023","Currency=USD","Period=FQ","BEST_FPERIOD_OVERRIDE=FQ","FILING_STATUS=MR","Sort=A","Dates=H","DateFormat=P","Fill=—","Direction=H","UseDPDF=Y")</f>
        <v>114.5093</v>
      </c>
      <c r="W31" s="14">
        <f>_xll.BDH("ALNY US Equity","TOT_DEBT_TO_TOT_CAP","FQ4 2023","FQ4 2023","Currency=USD","Period=FQ","BEST_FPERIOD_OVERRIDE=FQ","FILING_STATUS=MR","Sort=A","Dates=H","DateFormat=P","Fill=—","Direction=H","UseDPDF=Y")</f>
        <v>120.3407</v>
      </c>
      <c r="X31" s="14">
        <f>_xll.BDH("ALNY US Equity","TOT_DEBT_TO_TOT_CAP","FQ1 2024","FQ1 2024","Currency=USD","Period=FQ","BEST_FPERIOD_OVERRIDE=FQ","FILING_STATUS=MR","Sort=A","Dates=H","DateFormat=P","Fill=—","Direction=H","UseDPDF=Y")</f>
        <v>120.2662</v>
      </c>
      <c r="Y31" s="14">
        <f>_xll.BDH("ALNY US Equity","TOT_DEBT_TO_TOT_CAP","FQ2 2024","FQ2 2024","Currency=USD","Period=FQ","BEST_FPERIOD_OVERRIDE=FQ","FILING_STATUS=MR","Sort=A","Dates=H","DateFormat=P","Fill=—","Direction=H","UseDPDF=Y")</f>
        <v>100.116</v>
      </c>
      <c r="Z31" s="14">
        <f>_xll.BDH("ALNY US Equity","TOT_DEBT_TO_TOT_CAP","FQ3 2024","FQ3 2024","Currency=USD","Period=FQ","BEST_FPERIOD_OVERRIDE=FQ","FILING_STATUS=MR","Sort=A","Dates=H","DateFormat=P","Fill=—","Direction=H","UseDPDF=Y")</f>
        <v>97.575000000000003</v>
      </c>
      <c r="AA31" s="14">
        <f>_xll.BDH("ALNY US Equity","TOT_DEBT_TO_TOT_CAP","FQ4 2024","FQ4 2024","Currency=USD","Period=FQ","BEST_FPERIOD_OVERRIDE=FQ","FILING_STATUS=MR","Sort=A","Dates=H","DateFormat=P","Fill=—","Direction=H","UseDPDF=Y")</f>
        <v>95.078400000000002</v>
      </c>
    </row>
    <row r="32" spans="1:27" x14ac:dyDescent="0.25">
      <c r="A32" s="10" t="s">
        <v>1474</v>
      </c>
      <c r="B32" s="10" t="s">
        <v>1475</v>
      </c>
      <c r="C32" s="14">
        <f>_xll.BDH("ALNY US Equity","TOT_DEBT_TO_TOT_ASSET","FQ4 2018","FQ4 2018","Currency=USD","Period=FQ","BEST_FPERIOD_OVERRIDE=FQ","FILING_STATUS=MR","Sort=A","Dates=H","DateFormat=P","Fill=—","Direction=H","UseDPDF=Y")</f>
        <v>1.905</v>
      </c>
      <c r="D32" s="14">
        <f>_xll.BDH("ALNY US Equity","TOT_DEBT_TO_TOT_ASSET","FQ1 2019","FQ1 2019","Currency=USD","Period=FQ","BEST_FPERIOD_OVERRIDE=FQ","FILING_STATUS=MR","Sort=A","Dates=H","DateFormat=P","Fill=—","Direction=H","UseDPDF=Y")</f>
        <v>16.349399999999999</v>
      </c>
      <c r="E32" s="14">
        <f>_xll.BDH("ALNY US Equity","TOT_DEBT_TO_TOT_ASSET","FQ2 2019","FQ2 2019","Currency=USD","Period=FQ","BEST_FPERIOD_OVERRIDE=FQ","FILING_STATUS=MR","Sort=A","Dates=H","DateFormat=P","Fill=—","Direction=H","UseDPDF=Y")</f>
        <v>12.389799999999999</v>
      </c>
      <c r="F32" s="14">
        <f>_xll.BDH("ALNY US Equity","TOT_DEBT_TO_TOT_ASSET","FQ3 2019","FQ3 2019","Currency=USD","Period=FQ","BEST_FPERIOD_OVERRIDE=FQ","FILING_STATUS=MR","Sort=A","Dates=H","DateFormat=P","Fill=—","Direction=H","UseDPDF=Y")</f>
        <v>11.985300000000001</v>
      </c>
      <c r="G32" s="14">
        <f>_xll.BDH("ALNY US Equity","TOT_DEBT_TO_TOT_ASSET","FQ4 2019","FQ4 2019","Currency=USD","Period=FQ","BEST_FPERIOD_OVERRIDE=FQ","FILING_STATUS=MR","Sort=A","Dates=H","DateFormat=P","Fill=—","Direction=H","UseDPDF=Y")</f>
        <v>12.685</v>
      </c>
      <c r="H32" s="14">
        <f>_xll.BDH("ALNY US Equity","TOT_DEBT_TO_TOT_ASSET","FQ1 2020","FQ1 2020","Currency=USD","Period=FQ","BEST_FPERIOD_OVERRIDE=FQ","FILING_STATUS=MR","Sort=A","Dates=H","DateFormat=P","Fill=—","Direction=H","UseDPDF=Y")</f>
        <v>13.371700000000001</v>
      </c>
      <c r="I32" s="14">
        <f>_xll.BDH("ALNY US Equity","TOT_DEBT_TO_TOT_ASSET","FQ2 2020","FQ2 2020","Currency=USD","Period=FQ","BEST_FPERIOD_OVERRIDE=FQ","FILING_STATUS=MR","Sort=A","Dates=H","DateFormat=P","Fill=—","Direction=H","UseDPDF=Y")</f>
        <v>9.3369999999999997</v>
      </c>
      <c r="J32" s="14">
        <f>_xll.BDH("ALNY US Equity","TOT_DEBT_TO_TOT_ASSET","FQ3 2020","FQ3 2020","Currency=USD","Period=FQ","BEST_FPERIOD_OVERRIDE=FQ","FILING_STATUS=MR","Sort=A","Dates=H","DateFormat=P","Fill=—","Direction=H","UseDPDF=Y")</f>
        <v>9.9614999999999991</v>
      </c>
      <c r="K32" s="14">
        <f>_xll.BDH("ALNY US Equity","TOT_DEBT_TO_TOT_ASSET","FQ4 2020","FQ4 2020","Currency=USD","Period=FQ","BEST_FPERIOD_OVERRIDE=FQ","FILING_STATUS=MR","Sort=A","Dates=H","DateFormat=P","Fill=—","Direction=H","UseDPDF=Y")</f>
        <v>15.2973</v>
      </c>
      <c r="L32" s="14">
        <f>_xll.BDH("ALNY US Equity","TOT_DEBT_TO_TOT_ASSET","FQ1 2021","FQ1 2021","Currency=USD","Period=FQ","BEST_FPERIOD_OVERRIDE=FQ","FILING_STATUS=MR","Sort=A","Dates=H","DateFormat=P","Fill=—","Direction=H","UseDPDF=Y")</f>
        <v>15.928699999999999</v>
      </c>
      <c r="M32" s="14">
        <f>_xll.BDH("ALNY US Equity","TOT_DEBT_TO_TOT_ASSET","FQ2 2021","FQ2 2021","Currency=USD","Period=FQ","BEST_FPERIOD_OVERRIDE=FQ","FILING_STATUS=MR","Sort=A","Dates=H","DateFormat=P","Fill=—","Direction=H","UseDPDF=Y")</f>
        <v>21.686499999999999</v>
      </c>
      <c r="N32" s="14">
        <f>_xll.BDH("ALNY US Equity","TOT_DEBT_TO_TOT_ASSET","FQ3 2021","FQ3 2021","Currency=USD","Period=FQ","BEST_FPERIOD_OVERRIDE=FQ","FILING_STATUS=MR","Sort=A","Dates=H","DateFormat=P","Fill=—","Direction=H","UseDPDF=Y")</f>
        <v>21.900099999999998</v>
      </c>
      <c r="O32" s="14">
        <f>_xll.BDH("ALNY US Equity","TOT_DEBT_TO_TOT_ASSET","FQ4 2021","FQ4 2021","Currency=USD","Period=FQ","BEST_FPERIOD_OVERRIDE=FQ","FILING_STATUS=MR","Sort=A","Dates=H","DateFormat=P","Fill=—","Direction=H","UseDPDF=Y")</f>
        <v>27.381499999999999</v>
      </c>
      <c r="P32" s="14">
        <f>_xll.BDH("ALNY US Equity","TOT_DEBT_TO_TOT_ASSET","FQ1 2022","FQ1 2022","Currency=USD","Period=FQ","BEST_FPERIOD_OVERRIDE=FQ","FILING_STATUS=MR","Sort=A","Dates=H","DateFormat=P","Fill=—","Direction=H","UseDPDF=Y")</f>
        <v>28.990100000000002</v>
      </c>
      <c r="Q32" s="14">
        <f>_xll.BDH("ALNY US Equity","TOT_DEBT_TO_TOT_ASSET","FQ2 2022","FQ2 2022","Currency=USD","Period=FQ","BEST_FPERIOD_OVERRIDE=FQ","FILING_STATUS=MR","Sort=A","Dates=H","DateFormat=P","Fill=—","Direction=H","UseDPDF=Y")</f>
        <v>29.755299999999998</v>
      </c>
      <c r="R32" s="14">
        <f>_xll.BDH("ALNY US Equity","TOT_DEBT_TO_TOT_ASSET","FQ3 2022","FQ3 2022","Currency=USD","Period=FQ","BEST_FPERIOD_OVERRIDE=FQ","FILING_STATUS=MR","Sort=A","Dates=H","DateFormat=P","Fill=—","Direction=H","UseDPDF=Y")</f>
        <v>43.554900000000004</v>
      </c>
      <c r="S32" s="14">
        <f>_xll.BDH("ALNY US Equity","TOT_DEBT_TO_TOT_ASSET","FQ4 2022","FQ4 2022","Currency=USD","Period=FQ","BEST_FPERIOD_OVERRIDE=FQ","FILING_STATUS=MR","Sort=A","Dates=H","DateFormat=P","Fill=—","Direction=H","UseDPDF=Y")</f>
        <v>37.228299999999997</v>
      </c>
      <c r="T32" s="14">
        <f>_xll.BDH("ALNY US Equity","TOT_DEBT_TO_TOT_ASSET","FQ1 2023","FQ1 2023","Currency=USD","Period=FQ","BEST_FPERIOD_OVERRIDE=FQ","FILING_STATUS=MR","Sort=A","Dates=H","DateFormat=P","Fill=—","Direction=H","UseDPDF=Y")</f>
        <v>38.925800000000002</v>
      </c>
      <c r="U32" s="14">
        <f>_xll.BDH("ALNY US Equity","TOT_DEBT_TO_TOT_ASSET","FQ2 2023","FQ2 2023","Currency=USD","Period=FQ","BEST_FPERIOD_OVERRIDE=FQ","FILING_STATUS=MR","Sort=A","Dates=H","DateFormat=P","Fill=—","Direction=H","UseDPDF=Y")</f>
        <v>38.629600000000003</v>
      </c>
      <c r="V32" s="14">
        <f>_xll.BDH("ALNY US Equity","TOT_DEBT_TO_TOT_ASSET","FQ3 2023","FQ3 2023","Currency=USD","Period=FQ","BEST_FPERIOD_OVERRIDE=FQ","FILING_STATUS=MR","Sort=A","Dates=H","DateFormat=P","Fill=—","Direction=H","UseDPDF=Y")</f>
        <v>34.097700000000003</v>
      </c>
      <c r="W32" s="14">
        <f>_xll.BDH("ALNY US Equity","TOT_DEBT_TO_TOT_ASSET","FQ4 2023","FQ4 2023","Currency=USD","Period=FQ","BEST_FPERIOD_OVERRIDE=FQ","FILING_STATUS=MR","Sort=A","Dates=H","DateFormat=P","Fill=—","Direction=H","UseDPDF=Y")</f>
        <v>34.084299999999999</v>
      </c>
      <c r="X32" s="14">
        <f>_xll.BDH("ALNY US Equity","TOT_DEBT_TO_TOT_ASSET","FQ1 2024","FQ1 2024","Currency=USD","Period=FQ","BEST_FPERIOD_OVERRIDE=FQ","FILING_STATUS=MR","Sort=A","Dates=H","DateFormat=P","Fill=—","Direction=H","UseDPDF=Y")</f>
        <v>34.0246</v>
      </c>
      <c r="Y32" s="14">
        <f>_xll.BDH("ALNY US Equity","TOT_DEBT_TO_TOT_ASSET","FQ2 2024","FQ2 2024","Currency=USD","Period=FQ","BEST_FPERIOD_OVERRIDE=FQ","FILING_STATUS=MR","Sort=A","Dates=H","DateFormat=P","Fill=—","Direction=H","UseDPDF=Y")</f>
        <v>65.997900000000001</v>
      </c>
      <c r="Z32" s="14">
        <f>_xll.BDH("ALNY US Equity","TOT_DEBT_TO_TOT_ASSET","FQ3 2024","FQ3 2024","Currency=USD","Period=FQ","BEST_FPERIOD_OVERRIDE=FQ","FILING_STATUS=MR","Sort=A","Dates=H","DateFormat=P","Fill=—","Direction=H","UseDPDF=Y")</f>
        <v>30.9588</v>
      </c>
      <c r="AA32" s="14">
        <f>_xll.BDH("ALNY US Equity","TOT_DEBT_TO_TOT_ASSET","FQ4 2024","FQ4 2024","Currency=USD","Period=FQ","BEST_FPERIOD_OVERRIDE=FQ","FILING_STATUS=MR","Sort=A","Dates=H","DateFormat=P","Fill=—","Direction=H","UseDPDF=Y")</f>
        <v>30.567299999999999</v>
      </c>
    </row>
    <row r="33" spans="1:27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10" t="s">
        <v>1476</v>
      </c>
      <c r="B34" s="10" t="s">
        <v>816</v>
      </c>
      <c r="C34" s="14">
        <f>_xll.BDH("ALNY US Equity","NET_DEBT_TO_SHRHLDR_EQTY","FQ4 2018","FQ4 2018","Currency=USD","Period=FQ","BEST_FPERIOD_OVERRIDE=FQ","FILING_STATUS=MR","Sort=A","Dates=H","DateFormat=P","Fill=—","Direction=H","UseDPDF=Y")</f>
        <v>-80.966499999999996</v>
      </c>
      <c r="D34" s="14">
        <f>_xll.BDH("ALNY US Equity","NET_DEBT_TO_SHRHLDR_EQTY","FQ1 2019","FQ1 2019","Currency=USD","Period=FQ","BEST_FPERIOD_OVERRIDE=FQ","FILING_STATUS=MR","Sort=A","Dates=H","DateFormat=P","Fill=—","Direction=H","UseDPDF=Y")</f>
        <v>-59.164099999999998</v>
      </c>
      <c r="E34" s="14">
        <f>_xll.BDH("ALNY US Equity","NET_DEBT_TO_SHRHLDR_EQTY","FQ2 2019","FQ2 2019","Currency=USD","Period=FQ","BEST_FPERIOD_OVERRIDE=FQ","FILING_STATUS=MR","Sort=A","Dates=H","DateFormat=P","Fill=—","Direction=H","UseDPDF=Y")</f>
        <v>-90.500699999999995</v>
      </c>
      <c r="F34" s="14">
        <f>_xll.BDH("ALNY US Equity","NET_DEBT_TO_SHRHLDR_EQTY","FQ3 2019","FQ3 2019","Currency=USD","Period=FQ","BEST_FPERIOD_OVERRIDE=FQ","FILING_STATUS=MR","Sort=A","Dates=H","DateFormat=P","Fill=—","Direction=H","UseDPDF=Y")</f>
        <v>-88.136899999999997</v>
      </c>
      <c r="G34" s="14">
        <f>_xll.BDH("ALNY US Equity","NET_DEBT_TO_SHRHLDR_EQTY","FQ4 2019","FQ4 2019","Currency=USD","Period=FQ","BEST_FPERIOD_OVERRIDE=FQ","FILING_STATUS=MR","Sort=A","Dates=H","DateFormat=P","Fill=—","Direction=H","UseDPDF=Y")</f>
        <v>-85.656899999999993</v>
      </c>
      <c r="H34" s="14">
        <f>_xll.BDH("ALNY US Equity","NET_DEBT_TO_SHRHLDR_EQTY","FQ1 2020","FQ1 2020","Currency=USD","Period=FQ","BEST_FPERIOD_OVERRIDE=FQ","FILING_STATUS=MR","Sort=A","Dates=H","DateFormat=P","Fill=—","Direction=H","UseDPDF=Y")</f>
        <v>-76.858199999999997</v>
      </c>
      <c r="I34" s="14">
        <f>_xll.BDH("ALNY US Equity","NET_DEBT_TO_SHRHLDR_EQTY","FQ2 2020","FQ2 2020","Currency=USD","Period=FQ","BEST_FPERIOD_OVERRIDE=FQ","FILING_STATUS=MR","Sort=A","Dates=H","DateFormat=P","Fill=—","Direction=H","UseDPDF=Y")</f>
        <v>-115.0582</v>
      </c>
      <c r="J34" s="14">
        <f>_xll.BDH("ALNY US Equity","NET_DEBT_TO_SHRHLDR_EQTY","FQ3 2020","FQ3 2020","Currency=USD","Period=FQ","BEST_FPERIOD_OVERRIDE=FQ","FILING_STATUS=MR","Sort=A","Dates=H","DateFormat=P","Fill=—","Direction=H","UseDPDF=Y")</f>
        <v>-123.8184</v>
      </c>
      <c r="K34" s="14">
        <f>_xll.BDH("ALNY US Equity","NET_DEBT_TO_SHRHLDR_EQTY","FQ4 2020","FQ4 2020","Currency=USD","Period=FQ","BEST_FPERIOD_OVERRIDE=FQ","FILING_STATUS=MR","Sort=A","Dates=H","DateFormat=P","Fill=—","Direction=H","UseDPDF=Y")</f>
        <v>-133.15719999999999</v>
      </c>
      <c r="L34" s="14">
        <f>_xll.BDH("ALNY US Equity","NET_DEBT_TO_SHRHLDR_EQTY","FQ1 2021","FQ1 2021","Currency=USD","Period=FQ","BEST_FPERIOD_OVERRIDE=FQ","FILING_STATUS=MR","Sort=A","Dates=H","DateFormat=P","Fill=—","Direction=H","UseDPDF=Y")</f>
        <v>-128.59289999999999</v>
      </c>
      <c r="M34" s="14">
        <f>_xll.BDH("ALNY US Equity","NET_DEBT_TO_SHRHLDR_EQTY","FQ2 2021","FQ2 2021","Currency=USD","Period=FQ","BEST_FPERIOD_OVERRIDE=FQ","FILING_STATUS=MR","Sort=A","Dates=H","DateFormat=P","Fill=—","Direction=H","UseDPDF=Y")</f>
        <v>-133.47329999999999</v>
      </c>
      <c r="N34" s="14">
        <f>_xll.BDH("ALNY US Equity","NET_DEBT_TO_SHRHLDR_EQTY","FQ3 2021","FQ3 2021","Currency=USD","Period=FQ","BEST_FPERIOD_OVERRIDE=FQ","FILING_STATUS=MR","Sort=A","Dates=H","DateFormat=P","Fill=—","Direction=H","UseDPDF=Y")</f>
        <v>-207.36060000000001</v>
      </c>
      <c r="O34" s="14">
        <f>_xll.BDH("ALNY US Equity","NET_DEBT_TO_SHRHLDR_EQTY","FQ4 2021","FQ4 2021","Currency=USD","Period=FQ","BEST_FPERIOD_OVERRIDE=FQ","FILING_STATUS=MR","Sort=A","Dates=H","DateFormat=P","Fill=—","Direction=H","UseDPDF=Y")</f>
        <v>-244.46870000000001</v>
      </c>
      <c r="P34" s="14">
        <f>_xll.BDH("ALNY US Equity","NET_DEBT_TO_SHRHLDR_EQTY","FQ1 2022","FQ1 2022","Currency=USD","Period=FQ","BEST_FPERIOD_OVERRIDE=FQ","FILING_STATUS=MR","Sort=A","Dates=H","DateFormat=P","Fill=—","Direction=H","UseDPDF=Y")</f>
        <v>-310.1397</v>
      </c>
      <c r="Q34" s="14">
        <f>_xll.BDH("ALNY US Equity","NET_DEBT_TO_SHRHLDR_EQTY","FQ2 2022","FQ2 2022","Currency=USD","Period=FQ","BEST_FPERIOD_OVERRIDE=FQ","FILING_STATUS=MR","Sort=A","Dates=H","DateFormat=P","Fill=—","Direction=H","UseDPDF=Y")</f>
        <v>-636.01340000000005</v>
      </c>
      <c r="R34" s="14" t="str">
        <f>_xll.BDH("ALNY US Equity","NET_DEBT_TO_SHRHLDR_EQTY","FQ3 2022","FQ3 2022","Currency=USD","Period=FQ","BEST_FPERIOD_OVERRIDE=FQ","FILING_STATUS=MR","Sort=A","Dates=H","DateFormat=P","Fill=—","Direction=H","UseDPDF=Y")</f>
        <v>—</v>
      </c>
      <c r="S34" s="14" t="str">
        <f>_xll.BDH("ALNY US Equity","NET_DEBT_TO_SHRHLDR_EQTY","FQ4 2022","FQ4 2022","Currency=USD","Period=FQ","BEST_FPERIOD_OVERRIDE=FQ","FILING_STATUS=MR","Sort=A","Dates=H","DateFormat=P","Fill=—","Direction=H","UseDPDF=Y")</f>
        <v>—</v>
      </c>
      <c r="T34" s="14" t="str">
        <f>_xll.BDH("ALNY US Equity","NET_DEBT_TO_SHRHLDR_EQTY","FQ1 2023","FQ1 2023","Currency=USD","Period=FQ","BEST_FPERIOD_OVERRIDE=FQ","FILING_STATUS=MR","Sort=A","Dates=H","DateFormat=P","Fill=—","Direction=H","UseDPDF=Y")</f>
        <v>—</v>
      </c>
      <c r="U34" s="14" t="str">
        <f>_xll.BDH("ALNY US Equity","NET_DEBT_TO_SHRHLDR_EQTY","FQ2 2023","FQ2 2023","Currency=USD","Period=FQ","BEST_FPERIOD_OVERRIDE=FQ","FILING_STATUS=MR","Sort=A","Dates=H","DateFormat=P","Fill=—","Direction=H","UseDPDF=Y")</f>
        <v>—</v>
      </c>
      <c r="V34" s="14" t="str">
        <f>_xll.BDH("ALNY US Equity","NET_DEBT_TO_SHRHLDR_EQTY","FQ3 2023","FQ3 2023","Currency=USD","Period=FQ","BEST_FPERIOD_OVERRIDE=FQ","FILING_STATUS=MR","Sort=A","Dates=H","DateFormat=P","Fill=—","Direction=H","UseDPDF=Y")</f>
        <v>—</v>
      </c>
      <c r="W34" s="14" t="str">
        <f>_xll.BDH("ALNY US Equity","NET_DEBT_TO_SHRHLDR_EQTY","FQ4 2023","FQ4 2023","Currency=USD","Period=FQ","BEST_FPERIOD_OVERRIDE=FQ","FILING_STATUS=MR","Sort=A","Dates=H","DateFormat=P","Fill=—","Direction=H","UseDPDF=Y")</f>
        <v>—</v>
      </c>
      <c r="X34" s="14" t="str">
        <f>_xll.BDH("ALNY US Equity","NET_DEBT_TO_SHRHLDR_EQTY","FQ1 2024","FQ1 2024","Currency=USD","Period=FQ","BEST_FPERIOD_OVERRIDE=FQ","FILING_STATUS=MR","Sort=A","Dates=H","DateFormat=P","Fill=—","Direction=H","UseDPDF=Y")</f>
        <v>—</v>
      </c>
      <c r="Y34" s="14" t="str">
        <f>_xll.BDH("ALNY US Equity","NET_DEBT_TO_SHRHLDR_EQTY","FQ2 2024","FQ2 2024","Currency=USD","Period=FQ","BEST_FPERIOD_OVERRIDE=FQ","FILING_STATUS=MR","Sort=A","Dates=H","DateFormat=P","Fill=—","Direction=H","UseDPDF=Y")</f>
        <v>—</v>
      </c>
      <c r="Z34" s="14">
        <f>_xll.BDH("ALNY US Equity","NET_DEBT_TO_SHRHLDR_EQTY","FQ3 2024","FQ3 2024","Currency=USD","Period=FQ","BEST_FPERIOD_OVERRIDE=FQ","FILING_STATUS=MR","Sort=A","Dates=H","DateFormat=P","Fill=—","Direction=H","UseDPDF=Y")</f>
        <v>-4569.4721</v>
      </c>
      <c r="AA34" s="14">
        <f>_xll.BDH("ALNY US Equity","NET_DEBT_TO_SHRHLDR_EQTY","FQ4 2024","FQ4 2024","Currency=USD","Period=FQ","BEST_FPERIOD_OVERRIDE=FQ","FILING_STATUS=MR","Sort=A","Dates=H","DateFormat=P","Fill=—","Direction=H","UseDPDF=Y")</f>
        <v>-2084.5099</v>
      </c>
    </row>
    <row r="35" spans="1:27" x14ac:dyDescent="0.25">
      <c r="A35" s="10" t="s">
        <v>1477</v>
      </c>
      <c r="B35" s="10" t="s">
        <v>1478</v>
      </c>
      <c r="C35" s="14">
        <f>_xll.BDH("ALNY US Equity","NET_DEBT_PCT_OF_TOT_CAPITAL","FQ4 2018","FQ4 2018","Currency=USD","Period=FQ","BEST_FPERIOD_OVERRIDE=FQ","FILING_STATUS=MR","Sort=A","Dates=H","DateFormat=P","Fill=—","Direction=H","UseDPDF=Y")</f>
        <v>-425.38839999999999</v>
      </c>
      <c r="D35" s="14">
        <f>_xll.BDH("ALNY US Equity","NET_DEBT_PCT_OF_TOT_CAPITAL","FQ1 2019","FQ1 2019","Currency=USD","Period=FQ","BEST_FPERIOD_OVERRIDE=FQ","FILING_STATUS=MR","Sort=A","Dates=H","DateFormat=P","Fill=—","Direction=H","UseDPDF=Y")</f>
        <v>-144.88239999999999</v>
      </c>
      <c r="E35" s="14">
        <f>_xll.BDH("ALNY US Equity","NET_DEBT_PCT_OF_TOT_CAPITAL","FQ2 2019","FQ2 2019","Currency=USD","Period=FQ","BEST_FPERIOD_OVERRIDE=FQ","FILING_STATUS=MR","Sort=A","Dates=H","DateFormat=P","Fill=—","Direction=H","UseDPDF=Y")</f>
        <v>-952.70429999999999</v>
      </c>
      <c r="F35" s="14">
        <f>_xll.BDH("ALNY US Equity","NET_DEBT_PCT_OF_TOT_CAPITAL","FQ3 2019","FQ3 2019","Currency=USD","Period=FQ","BEST_FPERIOD_OVERRIDE=FQ","FILING_STATUS=MR","Sort=A","Dates=H","DateFormat=P","Fill=—","Direction=H","UseDPDF=Y")</f>
        <v>-742.95150000000001</v>
      </c>
      <c r="G35" s="14">
        <f>_xll.BDH("ALNY US Equity","NET_DEBT_PCT_OF_TOT_CAPITAL","FQ4 2019","FQ4 2019","Currency=USD","Period=FQ","BEST_FPERIOD_OVERRIDE=FQ","FILING_STATUS=MR","Sort=A","Dates=H","DateFormat=P","Fill=—","Direction=H","UseDPDF=Y")</f>
        <v>-597.19949999999994</v>
      </c>
      <c r="H35" s="14">
        <f>_xll.BDH("ALNY US Equity","NET_DEBT_PCT_OF_TOT_CAPITAL","FQ1 2020","FQ1 2020","Currency=USD","Period=FQ","BEST_FPERIOD_OVERRIDE=FQ","FILING_STATUS=MR","Sort=A","Dates=H","DateFormat=P","Fill=—","Direction=H","UseDPDF=Y")</f>
        <v>-332.11930000000001</v>
      </c>
      <c r="I35" s="14">
        <f>_xll.BDH("ALNY US Equity","NET_DEBT_PCT_OF_TOT_CAPITAL","FQ2 2020","FQ2 2020","Currency=USD","Period=FQ","BEST_FPERIOD_OVERRIDE=FQ","FILING_STATUS=MR","Sort=A","Dates=H","DateFormat=P","Fill=—","Direction=H","UseDPDF=Y")</f>
        <v>764.09169999999995</v>
      </c>
      <c r="J35" s="14">
        <f>_xll.BDH("ALNY US Equity","NET_DEBT_PCT_OF_TOT_CAPITAL","FQ3 2020","FQ3 2020","Currency=USD","Period=FQ","BEST_FPERIOD_OVERRIDE=FQ","FILING_STATUS=MR","Sort=A","Dates=H","DateFormat=P","Fill=—","Direction=H","UseDPDF=Y")</f>
        <v>519.84349999999995</v>
      </c>
      <c r="K35" s="14">
        <f>_xll.BDH("ALNY US Equity","NET_DEBT_PCT_OF_TOT_CAPITAL","FQ4 2020","FQ4 2020","Currency=USD","Period=FQ","BEST_FPERIOD_OVERRIDE=FQ","FILING_STATUS=MR","Sort=A","Dates=H","DateFormat=P","Fill=—","Direction=H","UseDPDF=Y")</f>
        <v>401.59370000000001</v>
      </c>
      <c r="L35" s="14">
        <f>_xll.BDH("ALNY US Equity","NET_DEBT_PCT_OF_TOT_CAPITAL","FQ1 2021","FQ1 2021","Currency=USD","Period=FQ","BEST_FPERIOD_OVERRIDE=FQ","FILING_STATUS=MR","Sort=A","Dates=H","DateFormat=P","Fill=—","Direction=H","UseDPDF=Y")</f>
        <v>449.73660000000001</v>
      </c>
      <c r="M35" s="14">
        <f>_xll.BDH("ALNY US Equity","NET_DEBT_PCT_OF_TOT_CAPITAL","FQ2 2021","FQ2 2021","Currency=USD","Period=FQ","BEST_FPERIOD_OVERRIDE=FQ","FILING_STATUS=MR","Sort=A","Dates=H","DateFormat=P","Fill=—","Direction=H","UseDPDF=Y")</f>
        <v>398.74599999999998</v>
      </c>
      <c r="N35" s="14">
        <f>_xll.BDH("ALNY US Equity","NET_DEBT_PCT_OF_TOT_CAPITAL","FQ3 2021","FQ3 2021","Currency=USD","Period=FQ","BEST_FPERIOD_OVERRIDE=FQ","FILING_STATUS=MR","Sort=A","Dates=H","DateFormat=P","Fill=—","Direction=H","UseDPDF=Y")</f>
        <v>193.14410000000001</v>
      </c>
      <c r="O35" s="14">
        <f>_xll.BDH("ALNY US Equity","NET_DEBT_PCT_OF_TOT_CAPITAL","FQ4 2021","FQ4 2021","Currency=USD","Period=FQ","BEST_FPERIOD_OVERRIDE=FQ","FILING_STATUS=MR","Sort=A","Dates=H","DateFormat=P","Fill=—","Direction=H","UseDPDF=Y")</f>
        <v>169.2192</v>
      </c>
      <c r="P35" s="14">
        <f>_xll.BDH("ALNY US Equity","NET_DEBT_PCT_OF_TOT_CAPITAL","FQ1 2022","FQ1 2022","Currency=USD","Period=FQ","BEST_FPERIOD_OVERRIDE=FQ","FILING_STATUS=MR","Sort=A","Dates=H","DateFormat=P","Fill=—","Direction=H","UseDPDF=Y")</f>
        <v>147.5874</v>
      </c>
      <c r="Q35" s="14">
        <f>_xll.BDH("ALNY US Equity","NET_DEBT_PCT_OF_TOT_CAPITAL","FQ2 2022","FQ2 2022","Currency=USD","Period=FQ","BEST_FPERIOD_OVERRIDE=FQ","FILING_STATUS=MR","Sort=A","Dates=H","DateFormat=P","Fill=—","Direction=H","UseDPDF=Y")</f>
        <v>118.6562</v>
      </c>
      <c r="R35" s="14">
        <f>_xll.BDH("ALNY US Equity","NET_DEBT_PCT_OF_TOT_CAPITAL","FQ3 2022","FQ3 2022","Currency=USD","Period=FQ","BEST_FPERIOD_OVERRIDE=FQ","FILING_STATUS=MR","Sort=A","Dates=H","DateFormat=P","Fill=—","Direction=H","UseDPDF=Y")</f>
        <v>91.472700000000003</v>
      </c>
      <c r="S35" s="14">
        <f>_xll.BDH("ALNY US Equity","NET_DEBT_PCT_OF_TOT_CAPITAL","FQ4 2022","FQ4 2022","Currency=USD","Period=FQ","BEST_FPERIOD_OVERRIDE=FQ","FILING_STATUS=MR","Sort=A","Dates=H","DateFormat=P","Fill=—","Direction=H","UseDPDF=Y")</f>
        <v>84.644199999999998</v>
      </c>
      <c r="T35" s="14">
        <f>_xll.BDH("ALNY US Equity","NET_DEBT_PCT_OF_TOT_CAPITAL","FQ1 2023","FQ1 2023","Currency=USD","Period=FQ","BEST_FPERIOD_OVERRIDE=FQ","FILING_STATUS=MR","Sort=A","Dates=H","DateFormat=P","Fill=—","Direction=H","UseDPDF=Y")</f>
        <v>74.321799999999996</v>
      </c>
      <c r="U35" s="14">
        <f>_xll.BDH("ALNY US Equity","NET_DEBT_PCT_OF_TOT_CAPITAL","FQ2 2023","FQ2 2023","Currency=USD","Period=FQ","BEST_FPERIOD_OVERRIDE=FQ","FILING_STATUS=MR","Sort=A","Dates=H","DateFormat=P","Fill=—","Direction=H","UseDPDF=Y")</f>
        <v>64.550600000000003</v>
      </c>
      <c r="V35" s="14">
        <f>_xll.BDH("ALNY US Equity","NET_DEBT_PCT_OF_TOT_CAPITAL","FQ3 2023","FQ3 2023","Currency=USD","Period=FQ","BEST_FPERIOD_OVERRIDE=FQ","FILING_STATUS=MR","Sort=A","Dates=H","DateFormat=P","Fill=—","Direction=H","UseDPDF=Y")</f>
        <v>86.868399999999994</v>
      </c>
      <c r="W35" s="14">
        <f>_xll.BDH("ALNY US Equity","NET_DEBT_PCT_OF_TOT_CAPITAL","FQ4 2023","FQ4 2023","Currency=USD","Period=FQ","BEST_FPERIOD_OVERRIDE=FQ","FILING_STATUS=MR","Sort=A","Dates=H","DateFormat=P","Fill=—","Direction=H","UseDPDF=Y")</f>
        <v>83.712000000000003</v>
      </c>
      <c r="X35" s="14">
        <f>_xll.BDH("ALNY US Equity","NET_DEBT_PCT_OF_TOT_CAPITAL","FQ1 2024","FQ1 2024","Currency=USD","Period=FQ","BEST_FPERIOD_OVERRIDE=FQ","FILING_STATUS=MR","Sort=A","Dates=H","DateFormat=P","Fill=—","Direction=H","UseDPDF=Y")</f>
        <v>82.993200000000002</v>
      </c>
      <c r="Y35" s="14">
        <f>_xll.BDH("ALNY US Equity","NET_DEBT_PCT_OF_TOT_CAPITAL","FQ2 2024","FQ2 2024","Currency=USD","Period=FQ","BEST_FPERIOD_OVERRIDE=FQ","FILING_STATUS=MR","Sort=A","Dates=H","DateFormat=P","Fill=—","Direction=H","UseDPDF=Y")</f>
        <v>116.5248</v>
      </c>
      <c r="Z35" s="14">
        <f>_xll.BDH("ALNY US Equity","NET_DEBT_PCT_OF_TOT_CAPITAL","FQ3 2024","FQ3 2024","Currency=USD","Period=FQ","BEST_FPERIOD_OVERRIDE=FQ","FILING_STATUS=MR","Sort=A","Dates=H","DateFormat=P","Fill=—","Direction=H","UseDPDF=Y")</f>
        <v>102.23739999999999</v>
      </c>
      <c r="AA35" s="14">
        <f>_xll.BDH("ALNY US Equity","NET_DEBT_PCT_OF_TOT_CAPITAL","FQ4 2024","FQ4 2024","Currency=USD","Period=FQ","BEST_FPERIOD_OVERRIDE=FQ","FILING_STATUS=MR","Sort=A","Dates=H","DateFormat=P","Fill=—","Direction=H","UseDPDF=Y")</f>
        <v>105.039</v>
      </c>
    </row>
    <row r="36" spans="1:27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0" t="s">
        <v>78</v>
      </c>
      <c r="B37" s="10" t="s">
        <v>78</v>
      </c>
      <c r="C37" s="13">
        <f>_xll.BDH("ALNY US Equity","EBITDA","FQ4 2018","FQ4 2018","Currency=USD","Period=FQ","BEST_FPERIOD_OVERRIDE=FQ","FILING_STATUS=MR","SCALING_FORMAT=MLN","FA_ADJUSTED=GAAP","Sort=A","Dates=H","DateFormat=P","Fill=—","Direction=H","UseDPDF=Y")</f>
        <v>-222.584</v>
      </c>
      <c r="D37" s="13">
        <f>_xll.BDH("ALNY US Equity","EBITDA","FQ1 2019","FQ1 2019","Currency=USD","Period=FQ","BEST_FPERIOD_OVERRIDE=FQ","FILING_STATUS=MR","SCALING_FORMAT=MLN","FA_ADJUSTED=GAAP","Sort=A","Dates=H","DateFormat=P","Fill=—","Direction=H","UseDPDF=Y")</f>
        <v>-167.28800000000001</v>
      </c>
      <c r="E37" s="13">
        <f>_xll.BDH("ALNY US Equity","EBITDA","FQ2 2019","FQ2 2019","Currency=USD","Period=FQ","BEST_FPERIOD_OVERRIDE=FQ","FILING_STATUS=MR","SCALING_FORMAT=MLN","FA_ADJUSTED=GAAP","Sort=A","Dates=H","DateFormat=P","Fill=—","Direction=H","UseDPDF=Y")</f>
        <v>-217.23500000000001</v>
      </c>
      <c r="F37" s="13">
        <f>_xll.BDH("ALNY US Equity","EBITDA","FQ3 2019","FQ3 2019","Currency=USD","Period=FQ","BEST_FPERIOD_OVERRIDE=FQ","FILING_STATUS=MR","SCALING_FORMAT=MLN","FA_ADJUSTED=GAAP","Sort=A","Dates=H","DateFormat=P","Fill=—","Direction=H","UseDPDF=Y")</f>
        <v>-189.36600000000001</v>
      </c>
      <c r="G37" s="13">
        <f>_xll.BDH("ALNY US Equity","EBITDA","FQ4 2019","FQ4 2019","Currency=USD","Period=FQ","BEST_FPERIOD_OVERRIDE=FQ","FILING_STATUS=MR","SCALING_FORMAT=MLN","FA_ADJUSTED=GAAP","Sort=A","Dates=H","DateFormat=P","Fill=—","Direction=H","UseDPDF=Y")</f>
        <v>-272.56099999999998</v>
      </c>
      <c r="H37" s="13">
        <f>_xll.BDH("ALNY US Equity","EBITDA","FQ1 2020","FQ1 2020","Currency=USD","Period=FQ","BEST_FPERIOD_OVERRIDE=FQ","FILING_STATUS=MR","SCALING_FORMAT=MLN","FA_ADJUSTED=GAAP","Sort=A","Dates=H","DateFormat=P","Fill=—","Direction=H","UseDPDF=Y")</f>
        <v>-193.15199999999999</v>
      </c>
      <c r="I37" s="13">
        <f>_xll.BDH("ALNY US Equity","EBITDA","FQ2 2020","FQ2 2020","Currency=USD","Period=FQ","BEST_FPERIOD_OVERRIDE=FQ","FILING_STATUS=MR","SCALING_FORMAT=MLN","FA_ADJUSTED=GAAP","Sort=A","Dates=H","DateFormat=P","Fill=—","Direction=H","UseDPDF=Y")</f>
        <v>-181.08099999999999</v>
      </c>
      <c r="J37" s="13">
        <f>_xll.BDH("ALNY US Equity","EBITDA","FQ3 2020","FQ3 2020","Currency=USD","Period=FQ","BEST_FPERIOD_OVERRIDE=FQ","FILING_STATUS=MR","SCALING_FORMAT=MLN","FA_ADJUSTED=GAAP","Sort=A","Dates=H","DateFormat=P","Fill=—","Direction=H","UseDPDF=Y")</f>
        <v>-206.428</v>
      </c>
      <c r="K37" s="13">
        <f>_xll.BDH("ALNY US Equity","EBITDA","FQ4 2020","FQ4 2020","Currency=USD","Period=FQ","BEST_FPERIOD_OVERRIDE=FQ","FILING_STATUS=MR","SCALING_FORMAT=MLN","FA_ADJUSTED=GAAP","Sort=A","Dates=H","DateFormat=P","Fill=—","Direction=H","UseDPDF=Y")</f>
        <v>-173.34200000000001</v>
      </c>
      <c r="L37" s="13">
        <f>_xll.BDH("ALNY US Equity","EBITDA","FQ1 2021","FQ1 2021","Currency=USD","Period=FQ","BEST_FPERIOD_OVERRIDE=FQ","FILING_STATUS=MR","SCALING_FORMAT=MLN","FA_ADJUSTED=GAAP","Sort=A","Dates=H","DateFormat=P","Fill=—","Direction=H","UseDPDF=Y")</f>
        <v>-163.392</v>
      </c>
      <c r="M37" s="13">
        <f>_xll.BDH("ALNY US Equity","EBITDA","FQ2 2021","FQ2 2021","Currency=USD","Period=FQ","BEST_FPERIOD_OVERRIDE=FQ","FILING_STATUS=MR","SCALING_FORMAT=MLN","FA_ADJUSTED=GAAP","Sort=A","Dates=H","DateFormat=P","Fill=—","Direction=H","UseDPDF=Y")</f>
        <v>-123.999</v>
      </c>
      <c r="N37" s="13">
        <f>_xll.BDH("ALNY US Equity","EBITDA","FQ3 2021","FQ3 2021","Currency=USD","Period=FQ","BEST_FPERIOD_OVERRIDE=FQ","FILING_STATUS=MR","SCALING_FORMAT=MLN","FA_ADJUSTED=GAAP","Sort=A","Dates=H","DateFormat=P","Fill=—","Direction=H","UseDPDF=Y")</f>
        <v>-158.45699999999999</v>
      </c>
      <c r="O37" s="13">
        <f>_xll.BDH("ALNY US Equity","EBITDA","FQ4 2021","FQ4 2021","Currency=USD","Period=FQ","BEST_FPERIOD_OVERRIDE=FQ","FILING_STATUS=MR","SCALING_FORMAT=MLN","FA_ADJUSTED=GAAP","Sort=A","Dates=H","DateFormat=P","Fill=—","Direction=H","UseDPDF=Y")</f>
        <v>-173.11</v>
      </c>
      <c r="P37" s="13">
        <f>_xll.BDH("ALNY US Equity","EBITDA","FQ1 2022","FQ1 2022","Currency=USD","Period=FQ","BEST_FPERIOD_OVERRIDE=FQ","FILING_STATUS=MR","SCALING_FORMAT=MLN","FA_ADJUSTED=GAAP","Sort=A","Dates=H","DateFormat=P","Fill=—","Direction=H","UseDPDF=Y")</f>
        <v>-126.95399999999999</v>
      </c>
      <c r="Q37" s="13">
        <f>_xll.BDH("ALNY US Equity","EBITDA","FQ2 2022","FQ2 2022","Currency=USD","Period=FQ","BEST_FPERIOD_OVERRIDE=FQ","FILING_STATUS=MR","SCALING_FORMAT=MLN","FA_ADJUSTED=GAAP","Sort=A","Dates=H","DateFormat=P","Fill=—","Direction=H","UseDPDF=Y")</f>
        <v>-171.44900000000001</v>
      </c>
      <c r="R37" s="13">
        <f>_xll.BDH("ALNY US Equity","EBITDA","FQ3 2022","FQ3 2022","Currency=USD","Period=FQ","BEST_FPERIOD_OVERRIDE=FQ","FILING_STATUS=MR","SCALING_FORMAT=MLN","FA_ADJUSTED=GAAP","Sort=A","Dates=H","DateFormat=P","Fill=—","Direction=H","UseDPDF=Y")</f>
        <v>-237.39</v>
      </c>
      <c r="S37" s="13">
        <f>_xll.BDH("ALNY US Equity","EBITDA","FQ4 2022","FQ4 2022","Currency=USD","Period=FQ","BEST_FPERIOD_OVERRIDE=FQ","FILING_STATUS=MR","SCALING_FORMAT=MLN","FA_ADJUSTED=GAAP","Sort=A","Dates=H","DateFormat=P","Fill=—","Direction=H","UseDPDF=Y")</f>
        <v>-163.72900000000001</v>
      </c>
      <c r="T37" s="13">
        <f>_xll.BDH("ALNY US Equity","EBITDA","FQ1 2023","FQ1 2023","Currency=USD","Period=FQ","BEST_FPERIOD_OVERRIDE=FQ","FILING_STATUS=MR","SCALING_FORMAT=MLN","FA_ADJUSTED=GAAP","Sort=A","Dates=H","DateFormat=P","Fill=—","Direction=H","UseDPDF=Y")</f>
        <v>-123.72799999999999</v>
      </c>
      <c r="U37" s="13">
        <f>_xll.BDH("ALNY US Equity","EBITDA","FQ2 2023","FQ2 2023","Currency=USD","Period=FQ","BEST_FPERIOD_OVERRIDE=FQ","FILING_STATUS=MR","SCALING_FORMAT=MLN","FA_ADJUSTED=GAAP","Sort=A","Dates=H","DateFormat=P","Fill=—","Direction=H","UseDPDF=Y")</f>
        <v>-206.38399999999999</v>
      </c>
      <c r="V37" s="13">
        <f>_xll.BDH("ALNY US Equity","EBITDA","FQ3 2023","FQ3 2023","Currency=USD","Period=FQ","BEST_FPERIOD_OVERRIDE=FQ","FILING_STATUS=MR","SCALING_FORMAT=MLN","FA_ADJUSTED=GAAP","Sort=A","Dates=H","DateFormat=P","Fill=—","Direction=H","UseDPDF=Y")</f>
        <v>237.399</v>
      </c>
      <c r="W37" s="13">
        <f>_xll.BDH("ALNY US Equity","EBITDA","FQ4 2023","FQ4 2023","Currency=USD","Period=FQ","BEST_FPERIOD_OVERRIDE=FQ","FILING_STATUS=MR","SCALING_FORMAT=MLN","FA_ADJUSTED=GAAP","Sort=A","Dates=H","DateFormat=P","Fill=—","Direction=H","UseDPDF=Y")</f>
        <v>-92.430999999999997</v>
      </c>
      <c r="X37" s="13">
        <f>_xll.BDH("ALNY US Equity","EBITDA","FQ1 2024","FQ1 2024","Currency=USD","Period=FQ","BEST_FPERIOD_OVERRIDE=FQ","FILING_STATUS=MR","SCALING_FORMAT=MLN","FA_ADJUSTED=GAAP","Sort=A","Dates=H","DateFormat=P","Fill=—","Direction=H","UseDPDF=Y")</f>
        <v>-17.949000000000002</v>
      </c>
      <c r="Y37" s="13">
        <f>_xll.BDH("ALNY US Equity","EBITDA","FQ2 2024","FQ2 2024","Currency=USD","Period=FQ","BEST_FPERIOD_OVERRIDE=FQ","FILING_STATUS=MR","SCALING_FORMAT=MLN","FA_ADJUSTED=GAAP","Sort=A","Dates=H","DateFormat=P","Fill=—","Direction=H","UseDPDF=Y")</f>
        <v>73.305999999999997</v>
      </c>
      <c r="Z37" s="13">
        <f>_xll.BDH("ALNY US Equity","EBITDA","FQ3 2024","FQ3 2024","Currency=USD","Period=FQ","BEST_FPERIOD_OVERRIDE=FQ","FILING_STATUS=MR","SCALING_FORMAT=MLN","FA_ADJUSTED=GAAP","Sort=A","Dates=H","DateFormat=P","Fill=—","Direction=H","UseDPDF=Y")</f>
        <v>-49.866999999999997</v>
      </c>
      <c r="AA37" s="13">
        <f>_xll.BDH("ALNY US Equity","EBITDA","FQ4 2024","FQ4 2024","Currency=USD","Period=FQ","BEST_FPERIOD_OVERRIDE=FQ","FILING_STATUS=MR","SCALING_FORMAT=MLN","FA_ADJUSTED=GAAP","Sort=A","Dates=H","DateFormat=P","Fill=—","Direction=H","UseDPDF=Y")</f>
        <v>-90.991</v>
      </c>
    </row>
    <row r="38" spans="1:27" x14ac:dyDescent="0.25">
      <c r="A38" s="10" t="s">
        <v>1479</v>
      </c>
      <c r="B38" s="10" t="s">
        <v>1480</v>
      </c>
      <c r="C38" s="13">
        <f>_xll.BDH("ALNY US Equity","EBITDA_AFTER_CAPEX","FQ4 2018","FQ4 2018","Currency=USD","Period=FQ","BEST_FPERIOD_OVERRIDE=FQ","FILING_STATUS=MR","SCALING_FORMAT=MLN","FA_ADJUSTED=GAAP","Sort=A","Dates=H","DateFormat=P","Fill=—","Direction=H","UseDPDF=Y")</f>
        <v>-260.09699999999998</v>
      </c>
      <c r="D38" s="13">
        <f>_xll.BDH("ALNY US Equity","EBITDA_AFTER_CAPEX","FQ1 2019","FQ1 2019","Currency=USD","Period=FQ","BEST_FPERIOD_OVERRIDE=FQ","FILING_STATUS=MR","SCALING_FORMAT=MLN","FA_ADJUSTED=GAAP","Sort=A","Dates=H","DateFormat=P","Fill=—","Direction=H","UseDPDF=Y")</f>
        <v>-211.33699999999999</v>
      </c>
      <c r="E38" s="13">
        <f>_xll.BDH("ALNY US Equity","EBITDA_AFTER_CAPEX","FQ2 2019","FQ2 2019","Currency=USD","Period=FQ","BEST_FPERIOD_OVERRIDE=FQ","FILING_STATUS=MR","SCALING_FORMAT=MLN","FA_ADJUSTED=GAAP","Sort=A","Dates=H","DateFormat=P","Fill=—","Direction=H","UseDPDF=Y")</f>
        <v>-238.47900000000001</v>
      </c>
      <c r="F38" s="13">
        <f>_xll.BDH("ALNY US Equity","EBITDA_AFTER_CAPEX","FQ3 2019","FQ3 2019","Currency=USD","Period=FQ","BEST_FPERIOD_OVERRIDE=FQ","FILING_STATUS=MR","SCALING_FORMAT=MLN","FA_ADJUSTED=GAAP","Sort=A","Dates=H","DateFormat=P","Fill=—","Direction=H","UseDPDF=Y")</f>
        <v>-225.42400000000001</v>
      </c>
      <c r="G38" s="13">
        <f>_xll.BDH("ALNY US Equity","EBITDA_AFTER_CAPEX","FQ4 2019","FQ4 2019","Currency=USD","Period=FQ","BEST_FPERIOD_OVERRIDE=FQ","FILING_STATUS=MR","SCALING_FORMAT=MLN","FA_ADJUSTED=GAAP","Sort=A","Dates=H","DateFormat=P","Fill=—","Direction=H","UseDPDF=Y")</f>
        <v>-311.36599999999999</v>
      </c>
      <c r="H38" s="13">
        <f>_xll.BDH("ALNY US Equity","EBITDA_AFTER_CAPEX","FQ1 2020","FQ1 2020","Currency=USD","Period=FQ","BEST_FPERIOD_OVERRIDE=FQ","FILING_STATUS=MR","SCALING_FORMAT=MLN","FA_ADJUSTED=GAAP","Sort=A","Dates=H","DateFormat=P","Fill=—","Direction=H","UseDPDF=Y")</f>
        <v>-212.76900000000001</v>
      </c>
      <c r="I38" s="13">
        <f>_xll.BDH("ALNY US Equity","EBITDA_AFTER_CAPEX","FQ2 2020","FQ2 2020","Currency=USD","Period=FQ","BEST_FPERIOD_OVERRIDE=FQ","FILING_STATUS=MR","SCALING_FORMAT=MLN","FA_ADJUSTED=GAAP","Sort=A","Dates=H","DateFormat=P","Fill=—","Direction=H","UseDPDF=Y")</f>
        <v>-197.739</v>
      </c>
      <c r="J38" s="13">
        <f>_xll.BDH("ALNY US Equity","EBITDA_AFTER_CAPEX","FQ3 2020","FQ3 2020","Currency=USD","Period=FQ","BEST_FPERIOD_OVERRIDE=FQ","FILING_STATUS=MR","SCALING_FORMAT=MLN","FA_ADJUSTED=GAAP","Sort=A","Dates=H","DateFormat=P","Fill=—","Direction=H","UseDPDF=Y")</f>
        <v>-218.846</v>
      </c>
      <c r="K38" s="13">
        <f>_xll.BDH("ALNY US Equity","EBITDA_AFTER_CAPEX","FQ4 2020","FQ4 2020","Currency=USD","Period=FQ","BEST_FPERIOD_OVERRIDE=FQ","FILING_STATUS=MR","SCALING_FORMAT=MLN","FA_ADJUSTED=GAAP","Sort=A","Dates=H","DateFormat=P","Fill=—","Direction=H","UseDPDF=Y")</f>
        <v>-195.01</v>
      </c>
      <c r="L38" s="13">
        <f>_xll.BDH("ALNY US Equity","EBITDA_AFTER_CAPEX","FQ1 2021","FQ1 2021","Currency=USD","Period=FQ","BEST_FPERIOD_OVERRIDE=FQ","FILING_STATUS=MR","SCALING_FORMAT=MLN","FA_ADJUSTED=GAAP","Sort=A","Dates=H","DateFormat=P","Fill=—","Direction=H","UseDPDF=Y")</f>
        <v>-180.57</v>
      </c>
      <c r="M38" s="13">
        <f>_xll.BDH("ALNY US Equity","EBITDA_AFTER_CAPEX","FQ2 2021","FQ2 2021","Currency=USD","Period=FQ","BEST_FPERIOD_OVERRIDE=FQ","FILING_STATUS=MR","SCALING_FORMAT=MLN","FA_ADJUSTED=GAAP","Sort=A","Dates=H","DateFormat=P","Fill=—","Direction=H","UseDPDF=Y")</f>
        <v>-135.245</v>
      </c>
      <c r="N38" s="13">
        <f>_xll.BDH("ALNY US Equity","EBITDA_AFTER_CAPEX","FQ3 2021","FQ3 2021","Currency=USD","Period=FQ","BEST_FPERIOD_OVERRIDE=FQ","FILING_STATUS=MR","SCALING_FORMAT=MLN","FA_ADJUSTED=GAAP","Sort=A","Dates=H","DateFormat=P","Fill=—","Direction=H","UseDPDF=Y")</f>
        <v>-184.51900000000001</v>
      </c>
      <c r="O38" s="13">
        <f>_xll.BDH("ALNY US Equity","EBITDA_AFTER_CAPEX","FQ4 2021","FQ4 2021","Currency=USD","Period=FQ","BEST_FPERIOD_OVERRIDE=FQ","FILING_STATUS=MR","SCALING_FORMAT=MLN","FA_ADJUSTED=GAAP","Sort=A","Dates=H","DateFormat=P","Fill=—","Direction=H","UseDPDF=Y")</f>
        <v>-194.99600000000001</v>
      </c>
      <c r="P38" s="13">
        <f>_xll.BDH("ALNY US Equity","EBITDA_AFTER_CAPEX","FQ1 2022","FQ1 2022","Currency=USD","Period=FQ","BEST_FPERIOD_OVERRIDE=FQ","FILING_STATUS=MR","SCALING_FORMAT=MLN","FA_ADJUSTED=GAAP","Sort=A","Dates=H","DateFormat=P","Fill=—","Direction=H","UseDPDF=Y")</f>
        <v>-144.81299999999999</v>
      </c>
      <c r="Q38" s="13">
        <f>_xll.BDH("ALNY US Equity","EBITDA_AFTER_CAPEX","FQ2 2022","FQ2 2022","Currency=USD","Period=FQ","BEST_FPERIOD_OVERRIDE=FQ","FILING_STATUS=MR","SCALING_FORMAT=MLN","FA_ADJUSTED=GAAP","Sort=A","Dates=H","DateFormat=P","Fill=—","Direction=H","UseDPDF=Y")</f>
        <v>-187.50399999999999</v>
      </c>
      <c r="R38" s="13">
        <f>_xll.BDH("ALNY US Equity","EBITDA_AFTER_CAPEX","FQ3 2022","FQ3 2022","Currency=USD","Period=FQ","BEST_FPERIOD_OVERRIDE=FQ","FILING_STATUS=MR","SCALING_FORMAT=MLN","FA_ADJUSTED=GAAP","Sort=A","Dates=H","DateFormat=P","Fill=—","Direction=H","UseDPDF=Y")</f>
        <v>-253.9</v>
      </c>
      <c r="S38" s="13">
        <f>_xll.BDH("ALNY US Equity","EBITDA_AFTER_CAPEX","FQ4 2022","FQ4 2022","Currency=USD","Period=FQ","BEST_FPERIOD_OVERRIDE=FQ","FILING_STATUS=MR","SCALING_FORMAT=MLN","FA_ADJUSTED=GAAP","Sort=A","Dates=H","DateFormat=P","Fill=—","Direction=H","UseDPDF=Y")</f>
        <v>-185.364</v>
      </c>
      <c r="T38" s="13">
        <f>_xll.BDH("ALNY US Equity","EBITDA_AFTER_CAPEX","FQ1 2023","FQ1 2023","Currency=USD","Period=FQ","BEST_FPERIOD_OVERRIDE=FQ","FILING_STATUS=MR","SCALING_FORMAT=MLN","FA_ADJUSTED=GAAP","Sort=A","Dates=H","DateFormat=P","Fill=—","Direction=H","UseDPDF=Y")</f>
        <v>-137.619</v>
      </c>
      <c r="U38" s="13">
        <f>_xll.BDH("ALNY US Equity","EBITDA_AFTER_CAPEX","FQ2 2023","FQ2 2023","Currency=USD","Period=FQ","BEST_FPERIOD_OVERRIDE=FQ","FILING_STATUS=MR","SCALING_FORMAT=MLN","FA_ADJUSTED=GAAP","Sort=A","Dates=H","DateFormat=P","Fill=—","Direction=H","UseDPDF=Y")</f>
        <v>-222.303</v>
      </c>
      <c r="V38" s="13">
        <f>_xll.BDH("ALNY US Equity","EBITDA_AFTER_CAPEX","FQ3 2023","FQ3 2023","Currency=USD","Period=FQ","BEST_FPERIOD_OVERRIDE=FQ","FILING_STATUS=MR","SCALING_FORMAT=MLN","FA_ADJUSTED=GAAP","Sort=A","Dates=H","DateFormat=P","Fill=—","Direction=H","UseDPDF=Y")</f>
        <v>220.30699999999999</v>
      </c>
      <c r="W38" s="13">
        <f>_xll.BDH("ALNY US Equity","EBITDA_AFTER_CAPEX","FQ4 2023","FQ4 2023","Currency=USD","Period=FQ","BEST_FPERIOD_OVERRIDE=FQ","FILING_STATUS=MR","SCALING_FORMAT=MLN","FA_ADJUSTED=GAAP","Sort=A","Dates=H","DateFormat=P","Fill=—","Direction=H","UseDPDF=Y")</f>
        <v>-107.74</v>
      </c>
      <c r="X38" s="13">
        <f>_xll.BDH("ALNY US Equity","EBITDA_AFTER_CAPEX","FQ1 2024","FQ1 2024","Currency=USD","Period=FQ","BEST_FPERIOD_OVERRIDE=FQ","FILING_STATUS=MR","SCALING_FORMAT=MLN","FA_ADJUSTED=GAAP","Sort=A","Dates=H","DateFormat=P","Fill=—","Direction=H","UseDPDF=Y")</f>
        <v>-30.922000000000001</v>
      </c>
      <c r="Y38" s="13">
        <f>_xll.BDH("ALNY US Equity","EBITDA_AFTER_CAPEX","FQ2 2024","FQ2 2024","Currency=USD","Period=FQ","BEST_FPERIOD_OVERRIDE=FQ","FILING_STATUS=MR","SCALING_FORMAT=MLN","FA_ADJUSTED=GAAP","Sort=A","Dates=H","DateFormat=P","Fill=—","Direction=H","UseDPDF=Y")</f>
        <v>65.287999999999997</v>
      </c>
      <c r="Z38" s="13">
        <f>_xll.BDH("ALNY US Equity","EBITDA_AFTER_CAPEX","FQ3 2024","FQ3 2024","Currency=USD","Period=FQ","BEST_FPERIOD_OVERRIDE=FQ","FILING_STATUS=MR","SCALING_FORMAT=MLN","FA_ADJUSTED=GAAP","Sort=A","Dates=H","DateFormat=P","Fill=—","Direction=H","UseDPDF=Y")</f>
        <v>-54.058999999999997</v>
      </c>
      <c r="AA38" s="13">
        <f>_xll.BDH("ALNY US Equity","EBITDA_AFTER_CAPEX","FQ4 2024","FQ4 2024","Currency=USD","Period=FQ","BEST_FPERIOD_OVERRIDE=FQ","FILING_STATUS=MR","SCALING_FORMAT=MLN","FA_ADJUSTED=GAAP","Sort=A","Dates=H","DateFormat=P","Fill=—","Direction=H","UseDPDF=Y")</f>
        <v>-100.08499999999999</v>
      </c>
    </row>
    <row r="39" spans="1:27" x14ac:dyDescent="0.25">
      <c r="A39" s="10" t="s">
        <v>142</v>
      </c>
      <c r="B39" s="10" t="s">
        <v>99</v>
      </c>
      <c r="C39" s="13">
        <f>_xll.BDH("ALNY US Equity","IS_OPER_INC","FQ4 2018","FQ4 2018","Currency=USD","Period=FQ","BEST_FPERIOD_OVERRIDE=FQ","FILING_STATUS=MR","SCALING_FORMAT=MLN","FA_ADJUSTED=GAAP","Sort=A","Dates=H","DateFormat=P","Fill=—","Direction=H","UseDPDF=Y")</f>
        <v>-220.35599999999999</v>
      </c>
      <c r="D39" s="13">
        <f>_xll.BDH("ALNY US Equity","IS_OPER_INC","FQ1 2019","FQ1 2019","Currency=USD","Period=FQ","BEST_FPERIOD_OVERRIDE=FQ","FILING_STATUS=MR","SCALING_FORMAT=MLN","FA_ADJUSTED=GAAP","Sort=A","Dates=H","DateFormat=P","Fill=—","Direction=H","UseDPDF=Y")</f>
        <v>-188.78800000000001</v>
      </c>
      <c r="E39" s="13">
        <f>_xll.BDH("ALNY US Equity","IS_OPER_INC","FQ2 2019","FQ2 2019","Currency=USD","Period=FQ","BEST_FPERIOD_OVERRIDE=FQ","FILING_STATUS=MR","SCALING_FORMAT=MLN","FA_ADJUSTED=GAAP","Sort=A","Dates=H","DateFormat=P","Fill=—","Direction=H","UseDPDF=Y")</f>
        <v>-236.27099999999999</v>
      </c>
      <c r="F39" s="13">
        <f>_xll.BDH("ALNY US Equity","IS_OPER_INC","FQ3 2019","FQ3 2019","Currency=USD","Period=FQ","BEST_FPERIOD_OVERRIDE=FQ","FILING_STATUS=MR","SCALING_FORMAT=MLN","FA_ADJUSTED=GAAP","Sort=A","Dates=H","DateFormat=P","Fill=—","Direction=H","UseDPDF=Y")</f>
        <v>-216.29900000000001</v>
      </c>
      <c r="G39" s="13">
        <f>_xll.BDH("ALNY US Equity","IS_OPER_INC","FQ4 2019","FQ4 2019","Currency=USD","Period=FQ","BEST_FPERIOD_OVERRIDE=FQ","FILING_STATUS=MR","SCALING_FORMAT=MLN","FA_ADJUSTED=GAAP","Sort=A","Dates=H","DateFormat=P","Fill=—","Direction=H","UseDPDF=Y")</f>
        <v>-298.07299999999998</v>
      </c>
      <c r="H39" s="13">
        <f>_xll.BDH("ALNY US Equity","IS_OPER_INC","FQ1 2020","FQ1 2020","Currency=USD","Period=FQ","BEST_FPERIOD_OVERRIDE=FQ","FILING_STATUS=MR","SCALING_FORMAT=MLN","FA_ADJUSTED=GAAP","Sort=A","Dates=H","DateFormat=P","Fill=—","Direction=H","UseDPDF=Y")</f>
        <v>-210.15799999999999</v>
      </c>
      <c r="I39" s="13">
        <f>_xll.BDH("ALNY US Equity","IS_OPER_INC","FQ2 2020","FQ2 2020","Currency=USD","Period=FQ","BEST_FPERIOD_OVERRIDE=FQ","FILING_STATUS=MR","SCALING_FORMAT=MLN","FA_ADJUSTED=GAAP","Sort=A","Dates=H","DateFormat=P","Fill=—","Direction=H","UseDPDF=Y")</f>
        <v>-198.85900000000001</v>
      </c>
      <c r="J39" s="13">
        <f>_xll.BDH("ALNY US Equity","IS_OPER_INC","FQ3 2020","FQ3 2020","Currency=USD","Period=FQ","BEST_FPERIOD_OVERRIDE=FQ","FILING_STATUS=MR","SCALING_FORMAT=MLN","FA_ADJUSTED=GAAP","Sort=A","Dates=H","DateFormat=P","Fill=—","Direction=H","UseDPDF=Y")</f>
        <v>-225.19900000000001</v>
      </c>
      <c r="K39" s="13">
        <f>_xll.BDH("ALNY US Equity","IS_OPER_INC","FQ4 2020","FQ4 2020","Currency=USD","Period=FQ","BEST_FPERIOD_OVERRIDE=FQ","FILING_STATUS=MR","SCALING_FORMAT=MLN","FA_ADJUSTED=GAAP","Sort=A","Dates=H","DateFormat=P","Fill=—","Direction=H","UseDPDF=Y")</f>
        <v>-194.22200000000001</v>
      </c>
      <c r="L39" s="13">
        <f>_xll.BDH("ALNY US Equity","IS_OPER_INC","FQ1 2021","FQ1 2021","Currency=USD","Period=FQ","BEST_FPERIOD_OVERRIDE=FQ","FILING_STATUS=MR","SCALING_FORMAT=MLN","FA_ADJUSTED=GAAP","Sort=A","Dates=H","DateFormat=P","Fill=—","Direction=H","UseDPDF=Y")</f>
        <v>-186.25399999999999</v>
      </c>
      <c r="M39" s="13">
        <f>_xll.BDH("ALNY US Equity","IS_OPER_INC","FQ2 2021","FQ2 2021","Currency=USD","Period=FQ","BEST_FPERIOD_OVERRIDE=FQ","FILING_STATUS=MR","SCALING_FORMAT=MLN","FA_ADJUSTED=GAAP","Sort=A","Dates=H","DateFormat=P","Fill=—","Direction=H","UseDPDF=Y")</f>
        <v>-146.16</v>
      </c>
      <c r="N39" s="13">
        <f>_xll.BDH("ALNY US Equity","IS_OPER_INC","FQ3 2021","FQ3 2021","Currency=USD","Period=FQ","BEST_FPERIOD_OVERRIDE=FQ","FILING_STATUS=MR","SCALING_FORMAT=MLN","FA_ADJUSTED=GAAP","Sort=A","Dates=H","DateFormat=P","Fill=—","Direction=H","UseDPDF=Y")</f>
        <v>-181.67699999999999</v>
      </c>
      <c r="O39" s="13">
        <f>_xll.BDH("ALNY US Equity","IS_OPER_INC","FQ4 2021","FQ4 2021","Currency=USD","Period=FQ","BEST_FPERIOD_OVERRIDE=FQ","FILING_STATUS=MR","SCALING_FORMAT=MLN","FA_ADJUSTED=GAAP","Sort=A","Dates=H","DateFormat=P","Fill=—","Direction=H","UseDPDF=Y")</f>
        <v>-194.56100000000001</v>
      </c>
      <c r="P39" s="13">
        <f>_xll.BDH("ALNY US Equity","IS_OPER_INC","FQ1 2022","FQ1 2022","Currency=USD","Period=FQ","BEST_FPERIOD_OVERRIDE=FQ","FILING_STATUS=MR","SCALING_FORMAT=MLN","FA_ADJUSTED=GAAP","Sort=A","Dates=H","DateFormat=P","Fill=—","Direction=H","UseDPDF=Y")</f>
        <v>-146.732</v>
      </c>
      <c r="Q39" s="13">
        <f>_xll.BDH("ALNY US Equity","IS_OPER_INC","FQ2 2022","FQ2 2022","Currency=USD","Period=FQ","BEST_FPERIOD_OVERRIDE=FQ","FILING_STATUS=MR","SCALING_FORMAT=MLN","FA_ADJUSTED=GAAP","Sort=A","Dates=H","DateFormat=P","Fill=—","Direction=H","UseDPDF=Y")</f>
        <v>-191.68600000000001</v>
      </c>
      <c r="R39" s="13">
        <f>_xll.BDH("ALNY US Equity","IS_OPER_INC","FQ3 2022","FQ3 2022","Currency=USD","Period=FQ","BEST_FPERIOD_OVERRIDE=FQ","FILING_STATUS=MR","SCALING_FORMAT=MLN","FA_ADJUSTED=GAAP","Sort=A","Dates=H","DateFormat=P","Fill=—","Direction=H","UseDPDF=Y")</f>
        <v>-258.04000000000002</v>
      </c>
      <c r="S39" s="13">
        <f>_xll.BDH("ALNY US Equity","IS_OPER_INC","FQ4 2022","FQ4 2022","Currency=USD","Period=FQ","BEST_FPERIOD_OVERRIDE=FQ","FILING_STATUS=MR","SCALING_FORMAT=MLN","FA_ADJUSTED=GAAP","Sort=A","Dates=H","DateFormat=P","Fill=—","Direction=H","UseDPDF=Y")</f>
        <v>-188.614</v>
      </c>
      <c r="T39" s="13">
        <f>_xll.BDH("ALNY US Equity","IS_OPER_INC","FQ1 2023","FQ1 2023","Currency=USD","Period=FQ","BEST_FPERIOD_OVERRIDE=FQ","FILING_STATUS=MR","SCALING_FORMAT=MLN","FA_ADJUSTED=GAAP","Sort=A","Dates=H","DateFormat=P","Fill=—","Direction=H","UseDPDF=Y")</f>
        <v>-149.80699999999999</v>
      </c>
      <c r="U39" s="13">
        <f>_xll.BDH("ALNY US Equity","IS_OPER_INC","FQ2 2023","FQ2 2023","Currency=USD","Period=FQ","BEST_FPERIOD_OVERRIDE=FQ","FILING_STATUS=MR","SCALING_FORMAT=MLN","FA_ADJUSTED=GAAP","Sort=A","Dates=H","DateFormat=P","Fill=—","Direction=H","UseDPDF=Y")</f>
        <v>-229.83099999999999</v>
      </c>
      <c r="V39" s="13">
        <f>_xll.BDH("ALNY US Equity","IS_OPER_INC","FQ3 2023","FQ3 2023","Currency=USD","Period=FQ","BEST_FPERIOD_OVERRIDE=FQ","FILING_STATUS=MR","SCALING_FORMAT=MLN","FA_ADJUSTED=GAAP","Sort=A","Dates=H","DateFormat=P","Fill=—","Direction=H","UseDPDF=Y")</f>
        <v>213.86699999999999</v>
      </c>
      <c r="W39" s="13">
        <f>_xll.BDH("ALNY US Equity","IS_OPER_INC","FQ4 2023","FQ4 2023","Currency=USD","Period=FQ","BEST_FPERIOD_OVERRIDE=FQ","FILING_STATUS=MR","SCALING_FORMAT=MLN","FA_ADJUSTED=GAAP","Sort=A","Dates=H","DateFormat=P","Fill=—","Direction=H","UseDPDF=Y")</f>
        <v>-116.404</v>
      </c>
      <c r="X39" s="13">
        <f>_xll.BDH("ALNY US Equity","IS_OPER_INC","FQ1 2024","FQ1 2024","Currency=USD","Period=FQ","BEST_FPERIOD_OVERRIDE=FQ","FILING_STATUS=MR","SCALING_FORMAT=MLN","FA_ADJUSTED=GAAP","Sort=A","Dates=H","DateFormat=P","Fill=—","Direction=H","UseDPDF=Y")</f>
        <v>-43.435000000000002</v>
      </c>
      <c r="Y39" s="13">
        <f>_xll.BDH("ALNY US Equity","IS_OPER_INC","FQ2 2024","FQ2 2024","Currency=USD","Period=FQ","BEST_FPERIOD_OVERRIDE=FQ","FILING_STATUS=MR","SCALING_FORMAT=MLN","FA_ADJUSTED=GAAP","Sort=A","Dates=H","DateFormat=P","Fill=—","Direction=H","UseDPDF=Y")</f>
        <v>48.613999999999997</v>
      </c>
      <c r="Z39" s="13">
        <f>_xll.BDH("ALNY US Equity","IS_OPER_INC","FQ3 2024","FQ3 2024","Currency=USD","Period=FQ","BEST_FPERIOD_OVERRIDE=FQ","FILING_STATUS=MR","SCALING_FORMAT=MLN","FA_ADJUSTED=GAAP","Sort=A","Dates=H","DateFormat=P","Fill=—","Direction=H","UseDPDF=Y")</f>
        <v>-76.905000000000001</v>
      </c>
      <c r="AA39" s="13">
        <f>_xll.BDH("ALNY US Equity","IS_OPER_INC","FQ4 2024","FQ4 2024","Currency=USD","Period=FQ","BEST_FPERIOD_OVERRIDE=FQ","FILING_STATUS=MR","SCALING_FORMAT=MLN","FA_ADJUSTED=GAAP","Sort=A","Dates=H","DateFormat=P","Fill=—","Direction=H","UseDPDF=Y")</f>
        <v>-105.15900000000001</v>
      </c>
    </row>
    <row r="40" spans="1:27" x14ac:dyDescent="0.25">
      <c r="A40" s="7" t="s">
        <v>90</v>
      </c>
      <c r="B40" s="7"/>
      <c r="C40" s="7" t="s">
        <v>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4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1481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191</v>
      </c>
      <c r="B6" s="10" t="s">
        <v>192</v>
      </c>
      <c r="C6" s="12" t="s">
        <v>1446</v>
      </c>
      <c r="D6" s="12" t="s">
        <v>193</v>
      </c>
      <c r="E6" s="12" t="s">
        <v>193</v>
      </c>
      <c r="F6" s="12" t="s">
        <v>193</v>
      </c>
      <c r="G6" s="12" t="s">
        <v>193</v>
      </c>
      <c r="H6" s="12" t="s">
        <v>193</v>
      </c>
      <c r="I6" s="12" t="s">
        <v>193</v>
      </c>
      <c r="J6" s="12" t="s">
        <v>193</v>
      </c>
      <c r="K6" s="12" t="s">
        <v>193</v>
      </c>
      <c r="L6" s="12" t="s">
        <v>193</v>
      </c>
      <c r="M6" s="12" t="s">
        <v>193</v>
      </c>
      <c r="N6" s="12" t="s">
        <v>193</v>
      </c>
      <c r="O6" s="12" t="s">
        <v>193</v>
      </c>
      <c r="P6" s="12" t="s">
        <v>193</v>
      </c>
      <c r="Q6" s="12" t="s">
        <v>193</v>
      </c>
      <c r="R6" s="12" t="s">
        <v>193</v>
      </c>
      <c r="S6" s="12" t="s">
        <v>193</v>
      </c>
      <c r="T6" s="12" t="s">
        <v>193</v>
      </c>
      <c r="U6" s="12" t="s">
        <v>193</v>
      </c>
      <c r="V6" s="12" t="s">
        <v>193</v>
      </c>
      <c r="W6" s="12" t="s">
        <v>193</v>
      </c>
      <c r="X6" s="12" t="s">
        <v>193</v>
      </c>
      <c r="Y6" s="12" t="s">
        <v>193</v>
      </c>
      <c r="Z6" s="12" t="s">
        <v>193</v>
      </c>
      <c r="AA6" s="12" t="s">
        <v>193</v>
      </c>
    </row>
    <row r="7" spans="1:27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0" t="s">
        <v>1393</v>
      </c>
      <c r="B8" s="10" t="s">
        <v>285</v>
      </c>
      <c r="C8" s="13">
        <f>_xll.BDH("ALNY US Equity","TOT_DEBT_EX_OPERATING_LEA_LIABS","FQ4 2018","FQ4 2018","Currency=USD","Period=FQ","BEST_FPERIOD_OVERRIDE=FQ","FILING_STATUS=MR","SCALING_FORMAT=MLN","Sort=A","Dates=H","DateFormat=P","Fill=—","Direction=H","UseDPDF=Y")</f>
        <v>30</v>
      </c>
      <c r="D8" s="13">
        <f>_xll.BDH("ALNY US Equity","TOT_DEBT_EX_OPERATING_LEA_LIABS","FQ1 2019","FQ1 2019","Currency=USD","Period=FQ","BEST_FPERIOD_OVERRIDE=FQ","FILING_STATUS=MR","SCALING_FORMAT=MLN","Sort=A","Dates=H","DateFormat=P","Fill=—","Direction=H","UseDPDF=Y")</f>
        <v>30</v>
      </c>
      <c r="E8" s="13">
        <f>_xll.BDH("ALNY US Equity","TOT_DEBT_EX_OPERATING_LEA_LIABS","FQ2 2019","FQ2 2019","Currency=USD","Period=FQ","BEST_FPERIOD_OVERRIDE=FQ","FILING_STATUS=MR","SCALING_FORMAT=MLN","Sort=A","Dates=H","DateFormat=P","Fill=—","Direction=H","UseDPDF=Y")</f>
        <v>30</v>
      </c>
      <c r="F8" s="13">
        <f>_xll.BDH("ALNY US Equity","TOT_DEBT_EX_OPERATING_LEA_LIABS","FQ3 2019","FQ3 2019","Currency=USD","Period=FQ","BEST_FPERIOD_OVERRIDE=FQ","FILING_STATUS=MR","SCALING_FORMAT=MLN","Sort=A","Dates=H","DateFormat=P","Fill=—","Direction=H","UseDPDF=Y")</f>
        <v>0</v>
      </c>
      <c r="G8" s="13">
        <f>_xll.BDH("ALNY US Equity","TOT_DEBT_EX_OPERATING_LEA_LIABS","FQ4 2019","FQ4 2019","Currency=USD","Period=FQ","BEST_FPERIOD_OVERRIDE=FQ","FILING_STATUS=MR","SCALING_FORMAT=MLN","Sort=A","Dates=H","DateFormat=P","Fill=—","Direction=H","UseDPDF=Y")</f>
        <v>0</v>
      </c>
      <c r="H8" s="13">
        <f>_xll.BDH("ALNY US Equity","TOT_DEBT_EX_OPERATING_LEA_LIABS","FQ1 2020","FQ1 2020","Currency=USD","Period=FQ","BEST_FPERIOD_OVERRIDE=FQ","FILING_STATUS=MR","SCALING_FORMAT=MLN","Sort=A","Dates=H","DateFormat=P","Fill=—","Direction=H","UseDPDF=Y")</f>
        <v>0</v>
      </c>
      <c r="I8" s="13">
        <f>_xll.BDH("ALNY US Equity","TOT_DEBT_EX_OPERATING_LEA_LIABS","FQ2 2020","FQ2 2020","Currency=USD","Period=FQ","BEST_FPERIOD_OVERRIDE=FQ","FILING_STATUS=MR","SCALING_FORMAT=MLN","Sort=A","Dates=H","DateFormat=P","Fill=—","Direction=H","UseDPDF=Y")</f>
        <v>0</v>
      </c>
      <c r="J8" s="13">
        <f>_xll.BDH("ALNY US Equity","TOT_DEBT_EX_OPERATING_LEA_LIABS","FQ3 2020","FQ3 2020","Currency=USD","Period=FQ","BEST_FPERIOD_OVERRIDE=FQ","FILING_STATUS=MR","SCALING_FORMAT=MLN","Sort=A","Dates=H","DateFormat=P","Fill=—","Direction=H","UseDPDF=Y")</f>
        <v>0</v>
      </c>
      <c r="K8" s="13">
        <f>_xll.BDH("ALNY US Equity","TOT_DEBT_EX_OPERATING_LEA_LIABS","FQ4 2020","FQ4 2020","Currency=USD","Period=FQ","BEST_FPERIOD_OVERRIDE=FQ","FILING_STATUS=MR","SCALING_FORMAT=MLN","Sort=A","Dates=H","DateFormat=P","Fill=—","Direction=H","UseDPDF=Y")</f>
        <v>191.27799999999999</v>
      </c>
      <c r="L8" s="13">
        <f>_xll.BDH("ALNY US Equity","TOT_DEBT_EX_OPERATING_LEA_LIABS","FQ1 2021","FQ1 2021","Currency=USD","Period=FQ","BEST_FPERIOD_OVERRIDE=FQ","FILING_STATUS=MR","SCALING_FORMAT=MLN","Sort=A","Dates=H","DateFormat=P","Fill=—","Direction=H","UseDPDF=Y")</f>
        <v>191.59</v>
      </c>
      <c r="M8" s="13">
        <f>_xll.BDH("ALNY US Equity","TOT_DEBT_EX_OPERATING_LEA_LIABS","FQ2 2021","FQ2 2021","Currency=USD","Period=FQ","BEST_FPERIOD_OVERRIDE=FQ","FILING_STATUS=MR","SCALING_FORMAT=MLN","Sort=A","Dates=H","DateFormat=P","Fill=—","Direction=H","UseDPDF=Y")</f>
        <v>433.15100000000001</v>
      </c>
      <c r="N8" s="13">
        <f>_xll.BDH("ALNY US Equity","TOT_DEBT_EX_OPERATING_LEA_LIABS","FQ3 2021","FQ3 2021","Currency=USD","Period=FQ","BEST_FPERIOD_OVERRIDE=FQ","FILING_STATUS=MR","SCALING_FORMAT=MLN","Sort=A","Dates=H","DateFormat=P","Fill=—","Direction=H","UseDPDF=Y")</f>
        <v>433.79899999999998</v>
      </c>
      <c r="O8" s="13">
        <f>_xll.BDH("ALNY US Equity","TOT_DEBT_EX_OPERATING_LEA_LIABS","FQ4 2021","FQ4 2021","Currency=USD","Period=FQ","BEST_FPERIOD_OVERRIDE=FQ","FILING_STATUS=MR","SCALING_FORMAT=MLN","Sort=A","Dates=H","DateFormat=P","Fill=—","Direction=H","UseDPDF=Y")</f>
        <v>675.697</v>
      </c>
      <c r="P8" s="13">
        <f>_xll.BDH("ALNY US Equity","TOT_DEBT_EX_OPERATING_LEA_LIABS","FQ1 2022","FQ1 2022","Currency=USD","Period=FQ","BEST_FPERIOD_OVERRIDE=FQ","FILING_STATUS=MR","SCALING_FORMAT=MLN","Sort=A","Dates=H","DateFormat=P","Fill=—","Direction=H","UseDPDF=Y")</f>
        <v>676.71</v>
      </c>
      <c r="Q8" s="13">
        <f>_xll.BDH("ALNY US Equity","TOT_DEBT_EX_OPERATING_LEA_LIABS","FQ2 2022","FQ2 2022","Currency=USD","Period=FQ","BEST_FPERIOD_OVERRIDE=FQ","FILING_STATUS=MR","SCALING_FORMAT=MLN","Sort=A","Dates=H","DateFormat=P","Fill=—","Direction=H","UseDPDF=Y")</f>
        <v>677.72299999999996</v>
      </c>
      <c r="R8" s="13">
        <f>_xll.BDH("ALNY US Equity","TOT_DEBT_EX_OPERATING_LEA_LIABS","FQ3 2022","FQ3 2022","Currency=USD","Period=FQ","BEST_FPERIOD_OVERRIDE=FQ","FILING_STATUS=MR","SCALING_FORMAT=MLN","Sort=A","Dates=H","DateFormat=P","Fill=—","Direction=H","UseDPDF=Y")</f>
        <v>1231.873</v>
      </c>
      <c r="S8" s="13">
        <f>_xll.BDH("ALNY US Equity","TOT_DEBT_EX_OPERATING_LEA_LIABS","FQ4 2022","FQ4 2022","Currency=USD","Period=FQ","BEST_FPERIOD_OVERRIDE=FQ","FILING_STATUS=MR","SCALING_FORMAT=MLN","Sort=A","Dates=H","DateFormat=P","Fill=—","Direction=H","UseDPDF=Y")</f>
        <v>1016.942</v>
      </c>
      <c r="T8" s="13">
        <f>_xll.BDH("ALNY US Equity","TOT_DEBT_EX_OPERATING_LEA_LIABS","FQ1 2023","FQ1 2023","Currency=USD","Period=FQ","BEST_FPERIOD_OVERRIDE=FQ","FILING_STATUS=MR","SCALING_FORMAT=MLN","Sort=A","Dates=H","DateFormat=P","Fill=—","Direction=H","UseDPDF=Y")</f>
        <v>1017.8869999999999</v>
      </c>
      <c r="U8" s="13">
        <f>_xll.BDH("ALNY US Equity","TOT_DEBT_EX_OPERATING_LEA_LIABS","FQ2 2023","FQ2 2023","Currency=USD","Period=FQ","BEST_FPERIOD_OVERRIDE=FQ","FILING_STATUS=MR","SCALING_FORMAT=MLN","Sort=A","Dates=H","DateFormat=P","Fill=—","Direction=H","UseDPDF=Y")</f>
        <v>1018.843</v>
      </c>
      <c r="V8" s="13">
        <f>_xll.BDH("ALNY US Equity","TOT_DEBT_EX_OPERATING_LEA_LIABS","FQ3 2023","FQ3 2023","Currency=USD","Period=FQ","BEST_FPERIOD_OVERRIDE=FQ","FILING_STATUS=MR","SCALING_FORMAT=MLN","Sort=A","Dates=H","DateFormat=P","Fill=—","Direction=H","UseDPDF=Y")</f>
        <v>1019.809</v>
      </c>
      <c r="W8" s="13">
        <f>_xll.BDH("ALNY US Equity","TOT_DEBT_EX_OPERATING_LEA_LIABS","FQ4 2023","FQ4 2023","Currency=USD","Period=FQ","BEST_FPERIOD_OVERRIDE=FQ","FILING_STATUS=MR","SCALING_FORMAT=MLN","Sort=A","Dates=H","DateFormat=P","Fill=—","Direction=H","UseDPDF=Y")</f>
        <v>1020.776</v>
      </c>
      <c r="X8" s="13">
        <f>_xll.BDH("ALNY US Equity","TOT_DEBT_EX_OPERATING_LEA_LIABS","FQ1 2024","FQ1 2024","Currency=USD","Period=FQ","BEST_FPERIOD_OVERRIDE=FQ","FILING_STATUS=MR","SCALING_FORMAT=MLN","Sort=A","Dates=H","DateFormat=P","Fill=—","Direction=H","UseDPDF=Y")</f>
        <v>1021.732</v>
      </c>
      <c r="Y8" s="13">
        <f>_xll.BDH("ALNY US Equity","TOT_DEBT_EX_OPERATING_LEA_LIABS","FQ2 2024","FQ2 2024","Currency=USD","Period=FQ","BEST_FPERIOD_OVERRIDE=FQ","FILING_STATUS=MR","SCALING_FORMAT=MLN","Sort=A","Dates=H","DateFormat=P","Fill=—","Direction=H","UseDPDF=Y")</f>
        <v>2365.268</v>
      </c>
      <c r="Z8" s="13">
        <f>_xll.BDH("ALNY US Equity","TOT_DEBT_EX_OPERATING_LEA_LIABS","FQ3 2024","FQ3 2024","Currency=USD","Period=FQ","BEST_FPERIOD_OVERRIDE=FQ","FILING_STATUS=MR","SCALING_FORMAT=MLN","Sort=A","Dates=H","DateFormat=P","Fill=—","Direction=H","UseDPDF=Y")</f>
        <v>1023.654</v>
      </c>
      <c r="AA8" s="13">
        <f>_xll.BDH("ALNY US Equity","TOT_DEBT_EX_OPERATING_LEA_LIABS","FQ4 2024","FQ4 2024","Currency=USD","Period=FQ","BEST_FPERIOD_OVERRIDE=FQ","FILING_STATUS=MR","SCALING_FORMAT=MLN","Sort=A","Dates=H","DateFormat=P","Fill=—","Direction=H","UseDPDF=Y")</f>
        <v>1024.6210000000001</v>
      </c>
    </row>
    <row r="9" spans="1:27" x14ac:dyDescent="0.25">
      <c r="A9" s="10" t="s">
        <v>1447</v>
      </c>
      <c r="B9" s="10" t="s">
        <v>1482</v>
      </c>
      <c r="C9" s="13">
        <f>_xll.BDH("ALNY US Equity","ST_DEBT_EX_OPERATING_LEASE_LIABS","FQ4 2018","FQ4 2018","Currency=USD","Period=FQ","BEST_FPERIOD_OVERRIDE=FQ","FILING_STATUS=MR","SCALING_FORMAT=MLN","Sort=A","Dates=H","DateFormat=P","Fill=—","Direction=H","UseDPDF=Y")</f>
        <v>0</v>
      </c>
      <c r="D9" s="13">
        <f>_xll.BDH("ALNY US Equity","ST_DEBT_EX_OPERATING_LEASE_LIABS","FQ1 2019","FQ1 2019","Currency=USD","Period=FQ","BEST_FPERIOD_OVERRIDE=FQ","FILING_STATUS=MR","SCALING_FORMAT=MLN","Sort=A","Dates=H","DateFormat=P","Fill=—","Direction=H","UseDPDF=Y")</f>
        <v>0</v>
      </c>
      <c r="E9" s="13">
        <f>_xll.BDH("ALNY US Equity","ST_DEBT_EX_OPERATING_LEASE_LIABS","FQ2 2019","FQ2 2019","Currency=USD","Period=FQ","BEST_FPERIOD_OVERRIDE=FQ","FILING_STATUS=MR","SCALING_FORMAT=MLN","Sort=A","Dates=H","DateFormat=P","Fill=—","Direction=H","UseDPDF=Y")</f>
        <v>0</v>
      </c>
      <c r="F9" s="13">
        <f>_xll.BDH("ALNY US Equity","ST_DEBT_EX_OPERATING_LEASE_LIABS","FQ3 2019","FQ3 2019","Currency=USD","Period=FQ","BEST_FPERIOD_OVERRIDE=FQ","FILING_STATUS=MR","SCALING_FORMAT=MLN","Sort=A","Dates=H","DateFormat=P","Fill=—","Direction=H","UseDPDF=Y")</f>
        <v>0</v>
      </c>
      <c r="G9" s="13">
        <f>_xll.BDH("ALNY US Equity","ST_DEBT_EX_OPERATING_LEASE_LIABS","FQ4 2019","FQ4 2019","Currency=USD","Period=FQ","BEST_FPERIOD_OVERRIDE=FQ","FILING_STATUS=MR","SCALING_FORMAT=MLN","Sort=A","Dates=H","DateFormat=P","Fill=—","Direction=H","UseDPDF=Y")</f>
        <v>0</v>
      </c>
      <c r="H9" s="13">
        <f>_xll.BDH("ALNY US Equity","ST_DEBT_EX_OPERATING_LEASE_LIABS","FQ1 2020","FQ1 2020","Currency=USD","Period=FQ","BEST_FPERIOD_OVERRIDE=FQ","FILING_STATUS=MR","SCALING_FORMAT=MLN","Sort=A","Dates=H","DateFormat=P","Fill=—","Direction=H","UseDPDF=Y")</f>
        <v>0</v>
      </c>
      <c r="I9" s="13">
        <f>_xll.BDH("ALNY US Equity","ST_DEBT_EX_OPERATING_LEASE_LIABS","FQ2 2020","FQ2 2020","Currency=USD","Period=FQ","BEST_FPERIOD_OVERRIDE=FQ","FILING_STATUS=MR","SCALING_FORMAT=MLN","Sort=A","Dates=H","DateFormat=P","Fill=—","Direction=H","UseDPDF=Y")</f>
        <v>0</v>
      </c>
      <c r="J9" s="13">
        <f>_xll.BDH("ALNY US Equity","ST_DEBT_EX_OPERATING_LEASE_LIABS","FQ3 2020","FQ3 2020","Currency=USD","Period=FQ","BEST_FPERIOD_OVERRIDE=FQ","FILING_STATUS=MR","SCALING_FORMAT=MLN","Sort=A","Dates=H","DateFormat=P","Fill=—","Direction=H","UseDPDF=Y")</f>
        <v>0</v>
      </c>
      <c r="K9" s="13">
        <f>_xll.BDH("ALNY US Equity","ST_DEBT_EX_OPERATING_LEASE_LIABS","FQ4 2020","FQ4 2020","Currency=USD","Period=FQ","BEST_FPERIOD_OVERRIDE=FQ","FILING_STATUS=MR","SCALING_FORMAT=MLN","Sort=A","Dates=H","DateFormat=P","Fill=—","Direction=H","UseDPDF=Y")</f>
        <v>0</v>
      </c>
      <c r="L9" s="13">
        <f>_xll.BDH("ALNY US Equity","ST_DEBT_EX_OPERATING_LEASE_LIABS","FQ1 2021","FQ1 2021","Currency=USD","Period=FQ","BEST_FPERIOD_OVERRIDE=FQ","FILING_STATUS=MR","SCALING_FORMAT=MLN","Sort=A","Dates=H","DateFormat=P","Fill=—","Direction=H","UseDPDF=Y")</f>
        <v>0</v>
      </c>
      <c r="M9" s="13">
        <f>_xll.BDH("ALNY US Equity","ST_DEBT_EX_OPERATING_LEASE_LIABS","FQ2 2021","FQ2 2021","Currency=USD","Period=FQ","BEST_FPERIOD_OVERRIDE=FQ","FILING_STATUS=MR","SCALING_FORMAT=MLN","Sort=A","Dates=H","DateFormat=P","Fill=—","Direction=H","UseDPDF=Y")</f>
        <v>0</v>
      </c>
      <c r="N9" s="13">
        <f>_xll.BDH("ALNY US Equity","ST_DEBT_EX_OPERATING_LEASE_LIABS","FQ3 2021","FQ3 2021","Currency=USD","Period=FQ","BEST_FPERIOD_OVERRIDE=FQ","FILING_STATUS=MR","SCALING_FORMAT=MLN","Sort=A","Dates=H","DateFormat=P","Fill=—","Direction=H","UseDPDF=Y")</f>
        <v>0</v>
      </c>
      <c r="O9" s="13">
        <f>_xll.BDH("ALNY US Equity","ST_DEBT_EX_OPERATING_LEASE_LIABS","FQ4 2021","FQ4 2021","Currency=USD","Period=FQ","BEST_FPERIOD_OVERRIDE=FQ","FILING_STATUS=MR","SCALING_FORMAT=MLN","Sort=A","Dates=H","DateFormat=P","Fill=—","Direction=H","UseDPDF=Y")</f>
        <v>0</v>
      </c>
      <c r="P9" s="13">
        <f>_xll.BDH("ALNY US Equity","ST_DEBT_EX_OPERATING_LEASE_LIABS","FQ1 2022","FQ1 2022","Currency=USD","Period=FQ","BEST_FPERIOD_OVERRIDE=FQ","FILING_STATUS=MR","SCALING_FORMAT=MLN","Sort=A","Dates=H","DateFormat=P","Fill=—","Direction=H","UseDPDF=Y")</f>
        <v>0</v>
      </c>
      <c r="Q9" s="13">
        <f>_xll.BDH("ALNY US Equity","ST_DEBT_EX_OPERATING_LEASE_LIABS","FQ2 2022","FQ2 2022","Currency=USD","Period=FQ","BEST_FPERIOD_OVERRIDE=FQ","FILING_STATUS=MR","SCALING_FORMAT=MLN","Sort=A","Dates=H","DateFormat=P","Fill=—","Direction=H","UseDPDF=Y")</f>
        <v>0</v>
      </c>
      <c r="R9" s="13">
        <f>_xll.BDH("ALNY US Equity","ST_DEBT_EX_OPERATING_LEASE_LIABS","FQ3 2022","FQ3 2022","Currency=USD","Period=FQ","BEST_FPERIOD_OVERRIDE=FQ","FILING_STATUS=MR","SCALING_FORMAT=MLN","Sort=A","Dates=H","DateFormat=P","Fill=—","Direction=H","UseDPDF=Y")</f>
        <v>0</v>
      </c>
      <c r="S9" s="13">
        <f>_xll.BDH("ALNY US Equity","ST_DEBT_EX_OPERATING_LEASE_LIABS","FQ4 2022","FQ4 2022","Currency=USD","Period=FQ","BEST_FPERIOD_OVERRIDE=FQ","FILING_STATUS=MR","SCALING_FORMAT=MLN","Sort=A","Dates=H","DateFormat=P","Fill=—","Direction=H","UseDPDF=Y")</f>
        <v>0</v>
      </c>
      <c r="T9" s="13">
        <f>_xll.BDH("ALNY US Equity","ST_DEBT_EX_OPERATING_LEASE_LIABS","FQ1 2023","FQ1 2023","Currency=USD","Period=FQ","BEST_FPERIOD_OVERRIDE=FQ","FILING_STATUS=MR","SCALING_FORMAT=MLN","Sort=A","Dates=H","DateFormat=P","Fill=—","Direction=H","UseDPDF=Y")</f>
        <v>0</v>
      </c>
      <c r="U9" s="13">
        <f>_xll.BDH("ALNY US Equity","ST_DEBT_EX_OPERATING_LEASE_LIABS","FQ2 2023","FQ2 2023","Currency=USD","Period=FQ","BEST_FPERIOD_OVERRIDE=FQ","FILING_STATUS=MR","SCALING_FORMAT=MLN","Sort=A","Dates=H","DateFormat=P","Fill=—","Direction=H","UseDPDF=Y")</f>
        <v>0</v>
      </c>
      <c r="V9" s="13">
        <f>_xll.BDH("ALNY US Equity","ST_DEBT_EX_OPERATING_LEASE_LIABS","FQ3 2023","FQ3 2023","Currency=USD","Period=FQ","BEST_FPERIOD_OVERRIDE=FQ","FILING_STATUS=MR","SCALING_FORMAT=MLN","Sort=A","Dates=H","DateFormat=P","Fill=—","Direction=H","UseDPDF=Y")</f>
        <v>0</v>
      </c>
      <c r="W9" s="13">
        <f>_xll.BDH("ALNY US Equity","ST_DEBT_EX_OPERATING_LEASE_LIABS","FQ4 2023","FQ4 2023","Currency=USD","Period=FQ","BEST_FPERIOD_OVERRIDE=FQ","FILING_STATUS=MR","SCALING_FORMAT=MLN","Sort=A","Dates=H","DateFormat=P","Fill=—","Direction=H","UseDPDF=Y")</f>
        <v>0</v>
      </c>
      <c r="X9" s="13">
        <f>_xll.BDH("ALNY US Equity","ST_DEBT_EX_OPERATING_LEASE_LIABS","FQ1 2024","FQ1 2024","Currency=USD","Period=FQ","BEST_FPERIOD_OVERRIDE=FQ","FILING_STATUS=MR","SCALING_FORMAT=MLN","Sort=A","Dates=H","DateFormat=P","Fill=—","Direction=H","UseDPDF=Y")</f>
        <v>0</v>
      </c>
      <c r="Y9" s="13">
        <f>_xll.BDH("ALNY US Equity","ST_DEBT_EX_OPERATING_LEASE_LIABS","FQ2 2024","FQ2 2024","Currency=USD","Period=FQ","BEST_FPERIOD_OVERRIDE=FQ","FILING_STATUS=MR","SCALING_FORMAT=MLN","Sort=A","Dates=H","DateFormat=P","Fill=—","Direction=H","UseDPDF=Y")</f>
        <v>0</v>
      </c>
      <c r="Z9" s="13">
        <f>_xll.BDH("ALNY US Equity","ST_DEBT_EX_OPERATING_LEASE_LIABS","FQ3 2024","FQ3 2024","Currency=USD","Period=FQ","BEST_FPERIOD_OVERRIDE=FQ","FILING_STATUS=MR","SCALING_FORMAT=MLN","Sort=A","Dates=H","DateFormat=P","Fill=—","Direction=H","UseDPDF=Y")</f>
        <v>0</v>
      </c>
      <c r="AA9" s="13">
        <f>_xll.BDH("ALNY US Equity","ST_DEBT_EX_OPERATING_LEASE_LIABS","FQ4 2024","FQ4 2024","Currency=USD","Period=FQ","BEST_FPERIOD_OVERRIDE=FQ","FILING_STATUS=MR","SCALING_FORMAT=MLN","Sort=A","Dates=H","DateFormat=P","Fill=—","Direction=H","UseDPDF=Y")</f>
        <v>0</v>
      </c>
    </row>
    <row r="10" spans="1:27" x14ac:dyDescent="0.25">
      <c r="A10" s="10" t="s">
        <v>1448</v>
      </c>
      <c r="B10" s="10" t="s">
        <v>1483</v>
      </c>
      <c r="C10" s="13">
        <f>_xll.BDH("ALNY US Equity","LT_DEBT_EX_OPERATING_LEASE_LIABS","FQ4 2018","FQ4 2018","Currency=USD","Period=FQ","BEST_FPERIOD_OVERRIDE=FQ","FILING_STATUS=MR","SCALING_FORMAT=MLN","Sort=A","Dates=H","DateFormat=P","Fill=—","Direction=H","UseDPDF=Y")</f>
        <v>30</v>
      </c>
      <c r="D10" s="13">
        <f>_xll.BDH("ALNY US Equity","LT_DEBT_EX_OPERATING_LEASE_LIABS","FQ1 2019","FQ1 2019","Currency=USD","Period=FQ","BEST_FPERIOD_OVERRIDE=FQ","FILING_STATUS=MR","SCALING_FORMAT=MLN","Sort=A","Dates=H","DateFormat=P","Fill=—","Direction=H","UseDPDF=Y")</f>
        <v>30</v>
      </c>
      <c r="E10" s="13">
        <f>_xll.BDH("ALNY US Equity","LT_DEBT_EX_OPERATING_LEASE_LIABS","FQ2 2019","FQ2 2019","Currency=USD","Period=FQ","BEST_FPERIOD_OVERRIDE=FQ","FILING_STATUS=MR","SCALING_FORMAT=MLN","Sort=A","Dates=H","DateFormat=P","Fill=—","Direction=H","UseDPDF=Y")</f>
        <v>30</v>
      </c>
      <c r="F10" s="13">
        <f>_xll.BDH("ALNY US Equity","LT_DEBT_EX_OPERATING_LEASE_LIABS","FQ3 2019","FQ3 2019","Currency=USD","Period=FQ","BEST_FPERIOD_OVERRIDE=FQ","FILING_STATUS=MR","SCALING_FORMAT=MLN","Sort=A","Dates=H","DateFormat=P","Fill=—","Direction=H","UseDPDF=Y")</f>
        <v>0</v>
      </c>
      <c r="G10" s="13">
        <f>_xll.BDH("ALNY US Equity","LT_DEBT_EX_OPERATING_LEASE_LIABS","FQ4 2019","FQ4 2019","Currency=USD","Period=FQ","BEST_FPERIOD_OVERRIDE=FQ","FILING_STATUS=MR","SCALING_FORMAT=MLN","Sort=A","Dates=H","DateFormat=P","Fill=—","Direction=H","UseDPDF=Y")</f>
        <v>0</v>
      </c>
      <c r="H10" s="13">
        <f>_xll.BDH("ALNY US Equity","LT_DEBT_EX_OPERATING_LEASE_LIABS","FQ1 2020","FQ1 2020","Currency=USD","Period=FQ","BEST_FPERIOD_OVERRIDE=FQ","FILING_STATUS=MR","SCALING_FORMAT=MLN","Sort=A","Dates=H","DateFormat=P","Fill=—","Direction=H","UseDPDF=Y")</f>
        <v>0</v>
      </c>
      <c r="I10" s="13">
        <f>_xll.BDH("ALNY US Equity","LT_DEBT_EX_OPERATING_LEASE_LIABS","FQ2 2020","FQ2 2020","Currency=USD","Period=FQ","BEST_FPERIOD_OVERRIDE=FQ","FILING_STATUS=MR","SCALING_FORMAT=MLN","Sort=A","Dates=H","DateFormat=P","Fill=—","Direction=H","UseDPDF=Y")</f>
        <v>0</v>
      </c>
      <c r="J10" s="13">
        <f>_xll.BDH("ALNY US Equity","LT_DEBT_EX_OPERATING_LEASE_LIABS","FQ3 2020","FQ3 2020","Currency=USD","Period=FQ","BEST_FPERIOD_OVERRIDE=FQ","FILING_STATUS=MR","SCALING_FORMAT=MLN","Sort=A","Dates=H","DateFormat=P","Fill=—","Direction=H","UseDPDF=Y")</f>
        <v>0</v>
      </c>
      <c r="K10" s="13">
        <f>_xll.BDH("ALNY US Equity","LT_DEBT_EX_OPERATING_LEASE_LIABS","FQ4 2020","FQ4 2020","Currency=USD","Period=FQ","BEST_FPERIOD_OVERRIDE=FQ","FILING_STATUS=MR","SCALING_FORMAT=MLN","Sort=A","Dates=H","DateFormat=P","Fill=—","Direction=H","UseDPDF=Y")</f>
        <v>191.27799999999999</v>
      </c>
      <c r="L10" s="13">
        <f>_xll.BDH("ALNY US Equity","LT_DEBT_EX_OPERATING_LEASE_LIABS","FQ1 2021","FQ1 2021","Currency=USD","Period=FQ","BEST_FPERIOD_OVERRIDE=FQ","FILING_STATUS=MR","SCALING_FORMAT=MLN","Sort=A","Dates=H","DateFormat=P","Fill=—","Direction=H","UseDPDF=Y")</f>
        <v>191.59</v>
      </c>
      <c r="M10" s="13">
        <f>_xll.BDH("ALNY US Equity","LT_DEBT_EX_OPERATING_LEASE_LIABS","FQ2 2021","FQ2 2021","Currency=USD","Period=FQ","BEST_FPERIOD_OVERRIDE=FQ","FILING_STATUS=MR","SCALING_FORMAT=MLN","Sort=A","Dates=H","DateFormat=P","Fill=—","Direction=H","UseDPDF=Y")</f>
        <v>433.15100000000001</v>
      </c>
      <c r="N10" s="13">
        <f>_xll.BDH("ALNY US Equity","LT_DEBT_EX_OPERATING_LEASE_LIABS","FQ3 2021","FQ3 2021","Currency=USD","Period=FQ","BEST_FPERIOD_OVERRIDE=FQ","FILING_STATUS=MR","SCALING_FORMAT=MLN","Sort=A","Dates=H","DateFormat=P","Fill=—","Direction=H","UseDPDF=Y")</f>
        <v>433.79899999999998</v>
      </c>
      <c r="O10" s="13">
        <f>_xll.BDH("ALNY US Equity","LT_DEBT_EX_OPERATING_LEASE_LIABS","FQ4 2021","FQ4 2021","Currency=USD","Period=FQ","BEST_FPERIOD_OVERRIDE=FQ","FILING_STATUS=MR","SCALING_FORMAT=MLN","Sort=A","Dates=H","DateFormat=P","Fill=—","Direction=H","UseDPDF=Y")</f>
        <v>675.697</v>
      </c>
      <c r="P10" s="13">
        <f>_xll.BDH("ALNY US Equity","LT_DEBT_EX_OPERATING_LEASE_LIABS","FQ1 2022","FQ1 2022","Currency=USD","Period=FQ","BEST_FPERIOD_OVERRIDE=FQ","FILING_STATUS=MR","SCALING_FORMAT=MLN","Sort=A","Dates=H","DateFormat=P","Fill=—","Direction=H","UseDPDF=Y")</f>
        <v>676.71</v>
      </c>
      <c r="Q10" s="13">
        <f>_xll.BDH("ALNY US Equity","LT_DEBT_EX_OPERATING_LEASE_LIABS","FQ2 2022","FQ2 2022","Currency=USD","Period=FQ","BEST_FPERIOD_OVERRIDE=FQ","FILING_STATUS=MR","SCALING_FORMAT=MLN","Sort=A","Dates=H","DateFormat=P","Fill=—","Direction=H","UseDPDF=Y")</f>
        <v>677.72299999999996</v>
      </c>
      <c r="R10" s="13">
        <f>_xll.BDH("ALNY US Equity","LT_DEBT_EX_OPERATING_LEASE_LIABS","FQ3 2022","FQ3 2022","Currency=USD","Period=FQ","BEST_FPERIOD_OVERRIDE=FQ","FILING_STATUS=MR","SCALING_FORMAT=MLN","Sort=A","Dates=H","DateFormat=P","Fill=—","Direction=H","UseDPDF=Y")</f>
        <v>1231.873</v>
      </c>
      <c r="S10" s="13">
        <f>_xll.BDH("ALNY US Equity","LT_DEBT_EX_OPERATING_LEASE_LIABS","FQ4 2022","FQ4 2022","Currency=USD","Period=FQ","BEST_FPERIOD_OVERRIDE=FQ","FILING_STATUS=MR","SCALING_FORMAT=MLN","Sort=A","Dates=H","DateFormat=P","Fill=—","Direction=H","UseDPDF=Y")</f>
        <v>1016.942</v>
      </c>
      <c r="T10" s="13">
        <f>_xll.BDH("ALNY US Equity","LT_DEBT_EX_OPERATING_LEASE_LIABS","FQ1 2023","FQ1 2023","Currency=USD","Period=FQ","BEST_FPERIOD_OVERRIDE=FQ","FILING_STATUS=MR","SCALING_FORMAT=MLN","Sort=A","Dates=H","DateFormat=P","Fill=—","Direction=H","UseDPDF=Y")</f>
        <v>1017.8869999999999</v>
      </c>
      <c r="U10" s="13">
        <f>_xll.BDH("ALNY US Equity","LT_DEBT_EX_OPERATING_LEASE_LIABS","FQ2 2023","FQ2 2023","Currency=USD","Period=FQ","BEST_FPERIOD_OVERRIDE=FQ","FILING_STATUS=MR","SCALING_FORMAT=MLN","Sort=A","Dates=H","DateFormat=P","Fill=—","Direction=H","UseDPDF=Y")</f>
        <v>1018.843</v>
      </c>
      <c r="V10" s="13">
        <f>_xll.BDH("ALNY US Equity","LT_DEBT_EX_OPERATING_LEASE_LIABS","FQ3 2023","FQ3 2023","Currency=USD","Period=FQ","BEST_FPERIOD_OVERRIDE=FQ","FILING_STATUS=MR","SCALING_FORMAT=MLN","Sort=A","Dates=H","DateFormat=P","Fill=—","Direction=H","UseDPDF=Y")</f>
        <v>1019.809</v>
      </c>
      <c r="W10" s="13">
        <f>_xll.BDH("ALNY US Equity","LT_DEBT_EX_OPERATING_LEASE_LIABS","FQ4 2023","FQ4 2023","Currency=USD","Period=FQ","BEST_FPERIOD_OVERRIDE=FQ","FILING_STATUS=MR","SCALING_FORMAT=MLN","Sort=A","Dates=H","DateFormat=P","Fill=—","Direction=H","UseDPDF=Y")</f>
        <v>1020.776</v>
      </c>
      <c r="X10" s="13">
        <f>_xll.BDH("ALNY US Equity","LT_DEBT_EX_OPERATING_LEASE_LIABS","FQ1 2024","FQ1 2024","Currency=USD","Period=FQ","BEST_FPERIOD_OVERRIDE=FQ","FILING_STATUS=MR","SCALING_FORMAT=MLN","Sort=A","Dates=H","DateFormat=P","Fill=—","Direction=H","UseDPDF=Y")</f>
        <v>1021.732</v>
      </c>
      <c r="Y10" s="13">
        <f>_xll.BDH("ALNY US Equity","LT_DEBT_EX_OPERATING_LEASE_LIABS","FQ2 2024","FQ2 2024","Currency=USD","Period=FQ","BEST_FPERIOD_OVERRIDE=FQ","FILING_STATUS=MR","SCALING_FORMAT=MLN","Sort=A","Dates=H","DateFormat=P","Fill=—","Direction=H","UseDPDF=Y")</f>
        <v>2365.268</v>
      </c>
      <c r="Z10" s="13">
        <f>_xll.BDH("ALNY US Equity","LT_DEBT_EX_OPERATING_LEASE_LIABS","FQ3 2024","FQ3 2024","Currency=USD","Period=FQ","BEST_FPERIOD_OVERRIDE=FQ","FILING_STATUS=MR","SCALING_FORMAT=MLN","Sort=A","Dates=H","DateFormat=P","Fill=—","Direction=H","UseDPDF=Y")</f>
        <v>1023.654</v>
      </c>
      <c r="AA10" s="13">
        <f>_xll.BDH("ALNY US Equity","LT_DEBT_EX_OPERATING_LEASE_LIABS","FQ4 2024","FQ4 2024","Currency=USD","Period=FQ","BEST_FPERIOD_OVERRIDE=FQ","FILING_STATUS=MR","SCALING_FORMAT=MLN","Sort=A","Dates=H","DateFormat=P","Fill=—","Direction=H","UseDPDF=Y")</f>
        <v>1024.6210000000001</v>
      </c>
    </row>
    <row r="11" spans="1:27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0" t="s">
        <v>1449</v>
      </c>
      <c r="B12" s="10" t="s">
        <v>1484</v>
      </c>
      <c r="C12" s="14" t="str">
        <f>_xll.BDH("ALNY US Equity","TOT_DBT_TO_EBITDA_EX_OP_LEA_ACT","FQ4 2018","FQ4 2018","Currency=USD","Period=FQ","BEST_FPERIOD_OVERRIDE=FQ","FILING_STATUS=MR","FA_ADJUSTED=GAAP","Sort=A","Dates=H","DateFormat=P","Fill=—","Direction=H","UseDPDF=Y")</f>
        <v>—</v>
      </c>
      <c r="D12" s="14" t="str">
        <f>_xll.BDH("ALNY US Equity","TOT_DBT_TO_EBITDA_EX_OP_LEA_ACT","FQ1 2019","FQ1 2019","Currency=USD","Period=FQ","BEST_FPERIOD_OVERRIDE=FQ","FILING_STATUS=MR","FA_ADJUSTED=GAAP","Sort=A","Dates=H","DateFormat=P","Fill=—","Direction=H","UseDPDF=Y")</f>
        <v>—</v>
      </c>
      <c r="E12" s="14" t="str">
        <f>_xll.BDH("ALNY US Equity","TOT_DBT_TO_EBITDA_EX_OP_LEA_ACT","FQ2 2019","FQ2 2019","Currency=USD","Period=FQ","BEST_FPERIOD_OVERRIDE=FQ","FILING_STATUS=MR","FA_ADJUSTED=GAAP","Sort=A","Dates=H","DateFormat=P","Fill=—","Direction=H","UseDPDF=Y")</f>
        <v>—</v>
      </c>
      <c r="F12" s="14" t="str">
        <f>_xll.BDH("ALNY US Equity","TOT_DBT_TO_EBITDA_EX_OP_LEA_ACT","FQ3 2019","FQ3 2019","Currency=USD","Period=FQ","BEST_FPERIOD_OVERRIDE=FQ","FILING_STATUS=MR","FA_ADJUSTED=GAAP","Sort=A","Dates=H","DateFormat=P","Fill=—","Direction=H","UseDPDF=Y")</f>
        <v>—</v>
      </c>
      <c r="G12" s="14" t="str">
        <f>_xll.BDH("ALNY US Equity","TOT_DBT_TO_EBITDA_EX_OP_LEA_ACT","FQ4 2019","FQ4 2019","Currency=USD","Period=FQ","BEST_FPERIOD_OVERRIDE=FQ","FILING_STATUS=MR","FA_ADJUSTED=GAAP","Sort=A","Dates=H","DateFormat=P","Fill=—","Direction=H","UseDPDF=Y")</f>
        <v>—</v>
      </c>
      <c r="H12" s="14" t="str">
        <f>_xll.BDH("ALNY US Equity","TOT_DBT_TO_EBITDA_EX_OP_LEA_ACT","FQ1 2020","FQ1 2020","Currency=USD","Period=FQ","BEST_FPERIOD_OVERRIDE=FQ","FILING_STATUS=MR","FA_ADJUSTED=GAAP","Sort=A","Dates=H","DateFormat=P","Fill=—","Direction=H","UseDPDF=Y")</f>
        <v>—</v>
      </c>
      <c r="I12" s="14" t="str">
        <f>_xll.BDH("ALNY US Equity","TOT_DBT_TO_EBITDA_EX_OP_LEA_ACT","FQ2 2020","FQ2 2020","Currency=USD","Period=FQ","BEST_FPERIOD_OVERRIDE=FQ","FILING_STATUS=MR","FA_ADJUSTED=GAAP","Sort=A","Dates=H","DateFormat=P","Fill=—","Direction=H","UseDPDF=Y")</f>
        <v>—</v>
      </c>
      <c r="J12" s="14" t="str">
        <f>_xll.BDH("ALNY US Equity","TOT_DBT_TO_EBITDA_EX_OP_LEA_ACT","FQ3 2020","FQ3 2020","Currency=USD","Period=FQ","BEST_FPERIOD_OVERRIDE=FQ","FILING_STATUS=MR","FA_ADJUSTED=GAAP","Sort=A","Dates=H","DateFormat=P","Fill=—","Direction=H","UseDPDF=Y")</f>
        <v>—</v>
      </c>
      <c r="K12" s="14" t="str">
        <f>_xll.BDH("ALNY US Equity","TOT_DBT_TO_EBITDA_EX_OP_LEA_ACT","FQ4 2020","FQ4 2020","Currency=USD","Period=FQ","BEST_FPERIOD_OVERRIDE=FQ","FILING_STATUS=MR","FA_ADJUSTED=GAAP","Sort=A","Dates=H","DateFormat=P","Fill=—","Direction=H","UseDPDF=Y")</f>
        <v>—</v>
      </c>
      <c r="L12" s="14" t="str">
        <f>_xll.BDH("ALNY US Equity","TOT_DBT_TO_EBITDA_EX_OP_LEA_ACT","FQ1 2021","FQ1 2021","Currency=USD","Period=FQ","BEST_FPERIOD_OVERRIDE=FQ","FILING_STATUS=MR","FA_ADJUSTED=GAAP","Sort=A","Dates=H","DateFormat=P","Fill=—","Direction=H","UseDPDF=Y")</f>
        <v>—</v>
      </c>
      <c r="M12" s="14" t="str">
        <f>_xll.BDH("ALNY US Equity","TOT_DBT_TO_EBITDA_EX_OP_LEA_ACT","FQ2 2021","FQ2 2021","Currency=USD","Period=FQ","BEST_FPERIOD_OVERRIDE=FQ","FILING_STATUS=MR","FA_ADJUSTED=GAAP","Sort=A","Dates=H","DateFormat=P","Fill=—","Direction=H","UseDPDF=Y")</f>
        <v>—</v>
      </c>
      <c r="N12" s="14" t="str">
        <f>_xll.BDH("ALNY US Equity","TOT_DBT_TO_EBITDA_EX_OP_LEA_ACT","FQ3 2021","FQ3 2021","Currency=USD","Period=FQ","BEST_FPERIOD_OVERRIDE=FQ","FILING_STATUS=MR","FA_ADJUSTED=GAAP","Sort=A","Dates=H","DateFormat=P","Fill=—","Direction=H","UseDPDF=Y")</f>
        <v>—</v>
      </c>
      <c r="O12" s="14" t="str">
        <f>_xll.BDH("ALNY US Equity","TOT_DBT_TO_EBITDA_EX_OP_LEA_ACT","FQ4 2021","FQ4 2021","Currency=USD","Period=FQ","BEST_FPERIOD_OVERRIDE=FQ","FILING_STATUS=MR","FA_ADJUSTED=GAAP","Sort=A","Dates=H","DateFormat=P","Fill=—","Direction=H","UseDPDF=Y")</f>
        <v>—</v>
      </c>
      <c r="P12" s="14" t="str">
        <f>_xll.BDH("ALNY US Equity","TOT_DBT_TO_EBITDA_EX_OP_LEA_ACT","FQ1 2022","FQ1 2022","Currency=USD","Period=FQ","BEST_FPERIOD_OVERRIDE=FQ","FILING_STATUS=MR","FA_ADJUSTED=GAAP","Sort=A","Dates=H","DateFormat=P","Fill=—","Direction=H","UseDPDF=Y")</f>
        <v>—</v>
      </c>
      <c r="Q12" s="14" t="str">
        <f>_xll.BDH("ALNY US Equity","TOT_DBT_TO_EBITDA_EX_OP_LEA_ACT","FQ2 2022","FQ2 2022","Currency=USD","Period=FQ","BEST_FPERIOD_OVERRIDE=FQ","FILING_STATUS=MR","FA_ADJUSTED=GAAP","Sort=A","Dates=H","DateFormat=P","Fill=—","Direction=H","UseDPDF=Y")</f>
        <v>—</v>
      </c>
      <c r="R12" s="14" t="str">
        <f>_xll.BDH("ALNY US Equity","TOT_DBT_TO_EBITDA_EX_OP_LEA_ACT","FQ3 2022","FQ3 2022","Currency=USD","Period=FQ","BEST_FPERIOD_OVERRIDE=FQ","FILING_STATUS=MR","FA_ADJUSTED=GAAP","Sort=A","Dates=H","DateFormat=P","Fill=—","Direction=H","UseDPDF=Y")</f>
        <v>—</v>
      </c>
      <c r="S12" s="14" t="str">
        <f>_xll.BDH("ALNY US Equity","TOT_DBT_TO_EBITDA_EX_OP_LEA_ACT","FQ4 2022","FQ4 2022","Currency=USD","Period=FQ","BEST_FPERIOD_OVERRIDE=FQ","FILING_STATUS=MR","FA_ADJUSTED=GAAP","Sort=A","Dates=H","DateFormat=P","Fill=—","Direction=H","UseDPDF=Y")</f>
        <v>—</v>
      </c>
      <c r="T12" s="14" t="str">
        <f>_xll.BDH("ALNY US Equity","TOT_DBT_TO_EBITDA_EX_OP_LEA_ACT","FQ1 2023","FQ1 2023","Currency=USD","Period=FQ","BEST_FPERIOD_OVERRIDE=FQ","FILING_STATUS=MR","FA_ADJUSTED=GAAP","Sort=A","Dates=H","DateFormat=P","Fill=—","Direction=H","UseDPDF=Y")</f>
        <v>—</v>
      </c>
      <c r="U12" s="14" t="str">
        <f>_xll.BDH("ALNY US Equity","TOT_DBT_TO_EBITDA_EX_OP_LEA_ACT","FQ2 2023","FQ2 2023","Currency=USD","Period=FQ","BEST_FPERIOD_OVERRIDE=FQ","FILING_STATUS=MR","FA_ADJUSTED=GAAP","Sort=A","Dates=H","DateFormat=P","Fill=—","Direction=H","UseDPDF=Y")</f>
        <v>—</v>
      </c>
      <c r="V12" s="14" t="str">
        <f>_xll.BDH("ALNY US Equity","TOT_DBT_TO_EBITDA_EX_OP_LEA_ACT","FQ3 2023","FQ3 2023","Currency=USD","Period=FQ","BEST_FPERIOD_OVERRIDE=FQ","FILING_STATUS=MR","FA_ADJUSTED=GAAP","Sort=A","Dates=H","DateFormat=P","Fill=—","Direction=H","UseDPDF=Y")</f>
        <v>—</v>
      </c>
      <c r="W12" s="14" t="str">
        <f>_xll.BDH("ALNY US Equity","TOT_DBT_TO_EBITDA_EX_OP_LEA_ACT","FQ4 2023","FQ4 2023","Currency=USD","Period=FQ","BEST_FPERIOD_OVERRIDE=FQ","FILING_STATUS=MR","FA_ADJUSTED=GAAP","Sort=A","Dates=H","DateFormat=P","Fill=—","Direction=H","UseDPDF=Y")</f>
        <v>—</v>
      </c>
      <c r="X12" s="14" t="str">
        <f>_xll.BDH("ALNY US Equity","TOT_DBT_TO_EBITDA_EX_OP_LEA_ACT","FQ1 2024","FQ1 2024","Currency=USD","Period=FQ","BEST_FPERIOD_OVERRIDE=FQ","FILING_STATUS=MR","FA_ADJUSTED=GAAP","Sort=A","Dates=H","DateFormat=P","Fill=—","Direction=H","UseDPDF=Y")</f>
        <v>—</v>
      </c>
      <c r="Y12" s="14">
        <f>_xll.BDH("ALNY US Equity","TOT_DBT_TO_EBITDA_EX_OP_LEA_ACT","FQ2 2024","FQ2 2024","Currency=USD","Period=FQ","BEST_FPERIOD_OVERRIDE=FQ","FILING_STATUS=MR","FA_ADJUSTED=GAAP","Sort=A","Dates=H","DateFormat=P","Fill=—","Direction=H","UseDPDF=Y")</f>
        <v>11.8072</v>
      </c>
      <c r="Z12" s="14" t="str">
        <f>_xll.BDH("ALNY US Equity","TOT_DBT_TO_EBITDA_EX_OP_LEA_ACT","FQ3 2024","FQ3 2024","Currency=USD","Period=FQ","BEST_FPERIOD_OVERRIDE=FQ","FILING_STATUS=MR","FA_ADJUSTED=GAAP","Sort=A","Dates=H","DateFormat=P","Fill=—","Direction=H","UseDPDF=Y")</f>
        <v>—</v>
      </c>
      <c r="AA12" s="14" t="str">
        <f>_xll.BDH("ALNY US Equity","TOT_DBT_TO_EBITDA_EX_OP_LEA_ACT","FQ4 2024","FQ4 2024","Currency=USD","Period=FQ","BEST_FPERIOD_OVERRIDE=FQ","FILING_STATUS=MR","FA_ADJUSTED=GAAP","Sort=A","Dates=H","DateFormat=P","Fill=—","Direction=H","UseDPDF=Y")</f>
        <v>—</v>
      </c>
    </row>
    <row r="13" spans="1:27" x14ac:dyDescent="0.25">
      <c r="A13" s="10" t="s">
        <v>1451</v>
      </c>
      <c r="B13" s="10" t="s">
        <v>1485</v>
      </c>
      <c r="C13" s="14" t="str">
        <f>_xll.BDH("ALNY US Equity","NET_DEBT_EBITDA_EX_OPER_LEA_ACT","FQ4 2018","FQ4 2018","Currency=USD","Period=FQ","BEST_FPERIOD_OVERRIDE=FQ","FILING_STATUS=MR","FA_ADJUSTED=GAAP","Sort=A","Dates=H","DateFormat=P","Fill=—","Direction=H","UseDPDF=Y")</f>
        <v>—</v>
      </c>
      <c r="D13" s="14" t="str">
        <f>_xll.BDH("ALNY US Equity","NET_DEBT_EBITDA_EX_OPER_LEA_ACT","FQ1 2019","FQ1 2019","Currency=USD","Period=FQ","BEST_FPERIOD_OVERRIDE=FQ","FILING_STATUS=MR","FA_ADJUSTED=GAAP","Sort=A","Dates=H","DateFormat=P","Fill=—","Direction=H","UseDPDF=Y")</f>
        <v>—</v>
      </c>
      <c r="E13" s="14" t="str">
        <f>_xll.BDH("ALNY US Equity","NET_DEBT_EBITDA_EX_OPER_LEA_ACT","FQ2 2019","FQ2 2019","Currency=USD","Period=FQ","BEST_FPERIOD_OVERRIDE=FQ","FILING_STATUS=MR","FA_ADJUSTED=GAAP","Sort=A","Dates=H","DateFormat=P","Fill=—","Direction=H","UseDPDF=Y")</f>
        <v>—</v>
      </c>
      <c r="F13" s="14" t="str">
        <f>_xll.BDH("ALNY US Equity","NET_DEBT_EBITDA_EX_OPER_LEA_ACT","FQ3 2019","FQ3 2019","Currency=USD","Period=FQ","BEST_FPERIOD_OVERRIDE=FQ","FILING_STATUS=MR","FA_ADJUSTED=GAAP","Sort=A","Dates=H","DateFormat=P","Fill=—","Direction=H","UseDPDF=Y")</f>
        <v>—</v>
      </c>
      <c r="G13" s="14" t="str">
        <f>_xll.BDH("ALNY US Equity","NET_DEBT_EBITDA_EX_OPER_LEA_ACT","FQ4 2019","FQ4 2019","Currency=USD","Period=FQ","BEST_FPERIOD_OVERRIDE=FQ","FILING_STATUS=MR","FA_ADJUSTED=GAAP","Sort=A","Dates=H","DateFormat=P","Fill=—","Direction=H","UseDPDF=Y")</f>
        <v>—</v>
      </c>
      <c r="H13" s="14" t="str">
        <f>_xll.BDH("ALNY US Equity","NET_DEBT_EBITDA_EX_OPER_LEA_ACT","FQ1 2020","FQ1 2020","Currency=USD","Period=FQ","BEST_FPERIOD_OVERRIDE=FQ","FILING_STATUS=MR","FA_ADJUSTED=GAAP","Sort=A","Dates=H","DateFormat=P","Fill=—","Direction=H","UseDPDF=Y")</f>
        <v>—</v>
      </c>
      <c r="I13" s="14" t="str">
        <f>_xll.BDH("ALNY US Equity","NET_DEBT_EBITDA_EX_OPER_LEA_ACT","FQ2 2020","FQ2 2020","Currency=USD","Period=FQ","BEST_FPERIOD_OVERRIDE=FQ","FILING_STATUS=MR","FA_ADJUSTED=GAAP","Sort=A","Dates=H","DateFormat=P","Fill=—","Direction=H","UseDPDF=Y")</f>
        <v>—</v>
      </c>
      <c r="J13" s="14" t="str">
        <f>_xll.BDH("ALNY US Equity","NET_DEBT_EBITDA_EX_OPER_LEA_ACT","FQ3 2020","FQ3 2020","Currency=USD","Period=FQ","BEST_FPERIOD_OVERRIDE=FQ","FILING_STATUS=MR","FA_ADJUSTED=GAAP","Sort=A","Dates=H","DateFormat=P","Fill=—","Direction=H","UseDPDF=Y")</f>
        <v>—</v>
      </c>
      <c r="K13" s="14" t="str">
        <f>_xll.BDH("ALNY US Equity","NET_DEBT_EBITDA_EX_OPER_LEA_ACT","FQ4 2020","FQ4 2020","Currency=USD","Period=FQ","BEST_FPERIOD_OVERRIDE=FQ","FILING_STATUS=MR","FA_ADJUSTED=GAAP","Sort=A","Dates=H","DateFormat=P","Fill=—","Direction=H","UseDPDF=Y")</f>
        <v>—</v>
      </c>
      <c r="L13" s="14" t="str">
        <f>_xll.BDH("ALNY US Equity","NET_DEBT_EBITDA_EX_OPER_LEA_ACT","FQ1 2021","FQ1 2021","Currency=USD","Period=FQ","BEST_FPERIOD_OVERRIDE=FQ","FILING_STATUS=MR","FA_ADJUSTED=GAAP","Sort=A","Dates=H","DateFormat=P","Fill=—","Direction=H","UseDPDF=Y")</f>
        <v>—</v>
      </c>
      <c r="M13" s="14" t="str">
        <f>_xll.BDH("ALNY US Equity","NET_DEBT_EBITDA_EX_OPER_LEA_ACT","FQ2 2021","FQ2 2021","Currency=USD","Period=FQ","BEST_FPERIOD_OVERRIDE=FQ","FILING_STATUS=MR","FA_ADJUSTED=GAAP","Sort=A","Dates=H","DateFormat=P","Fill=—","Direction=H","UseDPDF=Y")</f>
        <v>—</v>
      </c>
      <c r="N13" s="14" t="str">
        <f>_xll.BDH("ALNY US Equity","NET_DEBT_EBITDA_EX_OPER_LEA_ACT","FQ3 2021","FQ3 2021","Currency=USD","Period=FQ","BEST_FPERIOD_OVERRIDE=FQ","FILING_STATUS=MR","FA_ADJUSTED=GAAP","Sort=A","Dates=H","DateFormat=P","Fill=—","Direction=H","UseDPDF=Y")</f>
        <v>—</v>
      </c>
      <c r="O13" s="14" t="str">
        <f>_xll.BDH("ALNY US Equity","NET_DEBT_EBITDA_EX_OPER_LEA_ACT","FQ4 2021","FQ4 2021","Currency=USD","Period=FQ","BEST_FPERIOD_OVERRIDE=FQ","FILING_STATUS=MR","FA_ADJUSTED=GAAP","Sort=A","Dates=H","DateFormat=P","Fill=—","Direction=H","UseDPDF=Y")</f>
        <v>—</v>
      </c>
      <c r="P13" s="14" t="str">
        <f>_xll.BDH("ALNY US Equity","NET_DEBT_EBITDA_EX_OPER_LEA_ACT","FQ1 2022","FQ1 2022","Currency=USD","Period=FQ","BEST_FPERIOD_OVERRIDE=FQ","FILING_STATUS=MR","FA_ADJUSTED=GAAP","Sort=A","Dates=H","DateFormat=P","Fill=—","Direction=H","UseDPDF=Y")</f>
        <v>—</v>
      </c>
      <c r="Q13" s="14" t="str">
        <f>_xll.BDH("ALNY US Equity","NET_DEBT_EBITDA_EX_OPER_LEA_ACT","FQ2 2022","FQ2 2022","Currency=USD","Period=FQ","BEST_FPERIOD_OVERRIDE=FQ","FILING_STATUS=MR","FA_ADJUSTED=GAAP","Sort=A","Dates=H","DateFormat=P","Fill=—","Direction=H","UseDPDF=Y")</f>
        <v>—</v>
      </c>
      <c r="R13" s="14" t="str">
        <f>_xll.BDH("ALNY US Equity","NET_DEBT_EBITDA_EX_OPER_LEA_ACT","FQ3 2022","FQ3 2022","Currency=USD","Period=FQ","BEST_FPERIOD_OVERRIDE=FQ","FILING_STATUS=MR","FA_ADJUSTED=GAAP","Sort=A","Dates=H","DateFormat=P","Fill=—","Direction=H","UseDPDF=Y")</f>
        <v>—</v>
      </c>
      <c r="S13" s="14" t="str">
        <f>_xll.BDH("ALNY US Equity","NET_DEBT_EBITDA_EX_OPER_LEA_ACT","FQ4 2022","FQ4 2022","Currency=USD","Period=FQ","BEST_FPERIOD_OVERRIDE=FQ","FILING_STATUS=MR","FA_ADJUSTED=GAAP","Sort=A","Dates=H","DateFormat=P","Fill=—","Direction=H","UseDPDF=Y")</f>
        <v>—</v>
      </c>
      <c r="T13" s="14" t="str">
        <f>_xll.BDH("ALNY US Equity","NET_DEBT_EBITDA_EX_OPER_LEA_ACT","FQ1 2023","FQ1 2023","Currency=USD","Period=FQ","BEST_FPERIOD_OVERRIDE=FQ","FILING_STATUS=MR","FA_ADJUSTED=GAAP","Sort=A","Dates=H","DateFormat=P","Fill=—","Direction=H","UseDPDF=Y")</f>
        <v>—</v>
      </c>
      <c r="U13" s="14" t="str">
        <f>_xll.BDH("ALNY US Equity","NET_DEBT_EBITDA_EX_OPER_LEA_ACT","FQ2 2023","FQ2 2023","Currency=USD","Period=FQ","BEST_FPERIOD_OVERRIDE=FQ","FILING_STATUS=MR","FA_ADJUSTED=GAAP","Sort=A","Dates=H","DateFormat=P","Fill=—","Direction=H","UseDPDF=Y")</f>
        <v>—</v>
      </c>
      <c r="V13" s="14" t="str">
        <f>_xll.BDH("ALNY US Equity","NET_DEBT_EBITDA_EX_OPER_LEA_ACT","FQ3 2023","FQ3 2023","Currency=USD","Period=FQ","BEST_FPERIOD_OVERRIDE=FQ","FILING_STATUS=MR","FA_ADJUSTED=GAAP","Sort=A","Dates=H","DateFormat=P","Fill=—","Direction=H","UseDPDF=Y")</f>
        <v>—</v>
      </c>
      <c r="W13" s="14" t="str">
        <f>_xll.BDH("ALNY US Equity","NET_DEBT_EBITDA_EX_OPER_LEA_ACT","FQ4 2023","FQ4 2023","Currency=USD","Period=FQ","BEST_FPERIOD_OVERRIDE=FQ","FILING_STATUS=MR","FA_ADJUSTED=GAAP","Sort=A","Dates=H","DateFormat=P","Fill=—","Direction=H","UseDPDF=Y")</f>
        <v>—</v>
      </c>
      <c r="X13" s="14" t="str">
        <f>_xll.BDH("ALNY US Equity","NET_DEBT_EBITDA_EX_OPER_LEA_ACT","FQ1 2024","FQ1 2024","Currency=USD","Period=FQ","BEST_FPERIOD_OVERRIDE=FQ","FILING_STATUS=MR","FA_ADJUSTED=GAAP","Sort=A","Dates=H","DateFormat=P","Fill=—","Direction=H","UseDPDF=Y")</f>
        <v>—</v>
      </c>
      <c r="Y13" s="14">
        <f>_xll.BDH("ALNY US Equity","NET_DEBT_EBITDA_EX_OPER_LEA_ACT","FQ2 2024","FQ2 2024","Currency=USD","Period=FQ","BEST_FPERIOD_OVERRIDE=FQ","FILING_STATUS=MR","FA_ADJUSTED=GAAP","Sort=A","Dates=H","DateFormat=P","Fill=—","Direction=H","UseDPDF=Y")</f>
        <v>-1.2948</v>
      </c>
      <c r="Z13" s="14" t="str">
        <f>_xll.BDH("ALNY US Equity","NET_DEBT_EBITDA_EX_OPER_LEA_ACT","FQ3 2024","FQ3 2024","Currency=USD","Period=FQ","BEST_FPERIOD_OVERRIDE=FQ","FILING_STATUS=MR","FA_ADJUSTED=GAAP","Sort=A","Dates=H","DateFormat=P","Fill=—","Direction=H","UseDPDF=Y")</f>
        <v>—</v>
      </c>
      <c r="AA13" s="14" t="str">
        <f>_xll.BDH("ALNY US Equity","NET_DEBT_EBITDA_EX_OPER_LEA_ACT","FQ4 2024","FQ4 2024","Currency=USD","Period=FQ","BEST_FPERIOD_OVERRIDE=FQ","FILING_STATUS=MR","FA_ADJUSTED=GAAP","Sort=A","Dates=H","DateFormat=P","Fill=—","Direction=H","UseDPDF=Y")</f>
        <v>—</v>
      </c>
    </row>
    <row r="14" spans="1:27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10" t="s">
        <v>1453</v>
      </c>
      <c r="B15" s="10" t="s">
        <v>1486</v>
      </c>
      <c r="C15" s="14" t="str">
        <f>_xll.BDH("ALNY US Equity","TOT_DEBT_TO_EBIT_EX_OPER_LEA_ACT","FQ4 2018","FQ4 2018","Currency=USD","Period=FQ","BEST_FPERIOD_OVERRIDE=FQ","FILING_STATUS=MR","FA_ADJUSTED=GAAP","Sort=A","Dates=H","DateFormat=P","Fill=—","Direction=H","UseDPDF=Y")</f>
        <v>—</v>
      </c>
      <c r="D15" s="14" t="str">
        <f>_xll.BDH("ALNY US Equity","TOT_DEBT_TO_EBIT_EX_OPER_LEA_ACT","FQ1 2019","FQ1 2019","Currency=USD","Period=FQ","BEST_FPERIOD_OVERRIDE=FQ","FILING_STATUS=MR","FA_ADJUSTED=GAAP","Sort=A","Dates=H","DateFormat=P","Fill=—","Direction=H","UseDPDF=Y")</f>
        <v>—</v>
      </c>
      <c r="E15" s="14" t="str">
        <f>_xll.BDH("ALNY US Equity","TOT_DEBT_TO_EBIT_EX_OPER_LEA_ACT","FQ2 2019","FQ2 2019","Currency=USD","Period=FQ","BEST_FPERIOD_OVERRIDE=FQ","FILING_STATUS=MR","FA_ADJUSTED=GAAP","Sort=A","Dates=H","DateFormat=P","Fill=—","Direction=H","UseDPDF=Y")</f>
        <v>—</v>
      </c>
      <c r="F15" s="14" t="str">
        <f>_xll.BDH("ALNY US Equity","TOT_DEBT_TO_EBIT_EX_OPER_LEA_ACT","FQ3 2019","FQ3 2019","Currency=USD","Period=FQ","BEST_FPERIOD_OVERRIDE=FQ","FILING_STATUS=MR","FA_ADJUSTED=GAAP","Sort=A","Dates=H","DateFormat=P","Fill=—","Direction=H","UseDPDF=Y")</f>
        <v>—</v>
      </c>
      <c r="G15" s="14" t="str">
        <f>_xll.BDH("ALNY US Equity","TOT_DEBT_TO_EBIT_EX_OPER_LEA_ACT","FQ4 2019","FQ4 2019","Currency=USD","Period=FQ","BEST_FPERIOD_OVERRIDE=FQ","FILING_STATUS=MR","FA_ADJUSTED=GAAP","Sort=A","Dates=H","DateFormat=P","Fill=—","Direction=H","UseDPDF=Y")</f>
        <v>—</v>
      </c>
      <c r="H15" s="14" t="str">
        <f>_xll.BDH("ALNY US Equity","TOT_DEBT_TO_EBIT_EX_OPER_LEA_ACT","FQ1 2020","FQ1 2020","Currency=USD","Period=FQ","BEST_FPERIOD_OVERRIDE=FQ","FILING_STATUS=MR","FA_ADJUSTED=GAAP","Sort=A","Dates=H","DateFormat=P","Fill=—","Direction=H","UseDPDF=Y")</f>
        <v>—</v>
      </c>
      <c r="I15" s="14" t="str">
        <f>_xll.BDH("ALNY US Equity","TOT_DEBT_TO_EBIT_EX_OPER_LEA_ACT","FQ2 2020","FQ2 2020","Currency=USD","Period=FQ","BEST_FPERIOD_OVERRIDE=FQ","FILING_STATUS=MR","FA_ADJUSTED=GAAP","Sort=A","Dates=H","DateFormat=P","Fill=—","Direction=H","UseDPDF=Y")</f>
        <v>—</v>
      </c>
      <c r="J15" s="14" t="str">
        <f>_xll.BDH("ALNY US Equity","TOT_DEBT_TO_EBIT_EX_OPER_LEA_ACT","FQ3 2020","FQ3 2020","Currency=USD","Period=FQ","BEST_FPERIOD_OVERRIDE=FQ","FILING_STATUS=MR","FA_ADJUSTED=GAAP","Sort=A","Dates=H","DateFormat=P","Fill=—","Direction=H","UseDPDF=Y")</f>
        <v>—</v>
      </c>
      <c r="K15" s="14" t="str">
        <f>_xll.BDH("ALNY US Equity","TOT_DEBT_TO_EBIT_EX_OPER_LEA_ACT","FQ4 2020","FQ4 2020","Currency=USD","Period=FQ","BEST_FPERIOD_OVERRIDE=FQ","FILING_STATUS=MR","FA_ADJUSTED=GAAP","Sort=A","Dates=H","DateFormat=P","Fill=—","Direction=H","UseDPDF=Y")</f>
        <v>—</v>
      </c>
      <c r="L15" s="14" t="str">
        <f>_xll.BDH("ALNY US Equity","TOT_DEBT_TO_EBIT_EX_OPER_LEA_ACT","FQ1 2021","FQ1 2021","Currency=USD","Period=FQ","BEST_FPERIOD_OVERRIDE=FQ","FILING_STATUS=MR","FA_ADJUSTED=GAAP","Sort=A","Dates=H","DateFormat=P","Fill=—","Direction=H","UseDPDF=Y")</f>
        <v>—</v>
      </c>
      <c r="M15" s="14" t="str">
        <f>_xll.BDH("ALNY US Equity","TOT_DEBT_TO_EBIT_EX_OPER_LEA_ACT","FQ2 2021","FQ2 2021","Currency=USD","Period=FQ","BEST_FPERIOD_OVERRIDE=FQ","FILING_STATUS=MR","FA_ADJUSTED=GAAP","Sort=A","Dates=H","DateFormat=P","Fill=—","Direction=H","UseDPDF=Y")</f>
        <v>—</v>
      </c>
      <c r="N15" s="14" t="str">
        <f>_xll.BDH("ALNY US Equity","TOT_DEBT_TO_EBIT_EX_OPER_LEA_ACT","FQ3 2021","FQ3 2021","Currency=USD","Period=FQ","BEST_FPERIOD_OVERRIDE=FQ","FILING_STATUS=MR","FA_ADJUSTED=GAAP","Sort=A","Dates=H","DateFormat=P","Fill=—","Direction=H","UseDPDF=Y")</f>
        <v>—</v>
      </c>
      <c r="O15" s="14" t="str">
        <f>_xll.BDH("ALNY US Equity","TOT_DEBT_TO_EBIT_EX_OPER_LEA_ACT","FQ4 2021","FQ4 2021","Currency=USD","Period=FQ","BEST_FPERIOD_OVERRIDE=FQ","FILING_STATUS=MR","FA_ADJUSTED=GAAP","Sort=A","Dates=H","DateFormat=P","Fill=—","Direction=H","UseDPDF=Y")</f>
        <v>—</v>
      </c>
      <c r="P15" s="14" t="str">
        <f>_xll.BDH("ALNY US Equity","TOT_DEBT_TO_EBIT_EX_OPER_LEA_ACT","FQ1 2022","FQ1 2022","Currency=USD","Period=FQ","BEST_FPERIOD_OVERRIDE=FQ","FILING_STATUS=MR","FA_ADJUSTED=GAAP","Sort=A","Dates=H","DateFormat=P","Fill=—","Direction=H","UseDPDF=Y")</f>
        <v>—</v>
      </c>
      <c r="Q15" s="14" t="str">
        <f>_xll.BDH("ALNY US Equity","TOT_DEBT_TO_EBIT_EX_OPER_LEA_ACT","FQ2 2022","FQ2 2022","Currency=USD","Period=FQ","BEST_FPERIOD_OVERRIDE=FQ","FILING_STATUS=MR","FA_ADJUSTED=GAAP","Sort=A","Dates=H","DateFormat=P","Fill=—","Direction=H","UseDPDF=Y")</f>
        <v>—</v>
      </c>
      <c r="R15" s="14" t="str">
        <f>_xll.BDH("ALNY US Equity","TOT_DEBT_TO_EBIT_EX_OPER_LEA_ACT","FQ3 2022","FQ3 2022","Currency=USD","Period=FQ","BEST_FPERIOD_OVERRIDE=FQ","FILING_STATUS=MR","FA_ADJUSTED=GAAP","Sort=A","Dates=H","DateFormat=P","Fill=—","Direction=H","UseDPDF=Y")</f>
        <v>—</v>
      </c>
      <c r="S15" s="14" t="str">
        <f>_xll.BDH("ALNY US Equity","TOT_DEBT_TO_EBIT_EX_OPER_LEA_ACT","FQ4 2022","FQ4 2022","Currency=USD","Period=FQ","BEST_FPERIOD_OVERRIDE=FQ","FILING_STATUS=MR","FA_ADJUSTED=GAAP","Sort=A","Dates=H","DateFormat=P","Fill=—","Direction=H","UseDPDF=Y")</f>
        <v>—</v>
      </c>
      <c r="T15" s="14" t="str">
        <f>_xll.BDH("ALNY US Equity","TOT_DEBT_TO_EBIT_EX_OPER_LEA_ACT","FQ1 2023","FQ1 2023","Currency=USD","Period=FQ","BEST_FPERIOD_OVERRIDE=FQ","FILING_STATUS=MR","FA_ADJUSTED=GAAP","Sort=A","Dates=H","DateFormat=P","Fill=—","Direction=H","UseDPDF=Y")</f>
        <v>—</v>
      </c>
      <c r="U15" s="14" t="str">
        <f>_xll.BDH("ALNY US Equity","TOT_DEBT_TO_EBIT_EX_OPER_LEA_ACT","FQ2 2023","FQ2 2023","Currency=USD","Period=FQ","BEST_FPERIOD_OVERRIDE=FQ","FILING_STATUS=MR","FA_ADJUSTED=GAAP","Sort=A","Dates=H","DateFormat=P","Fill=—","Direction=H","UseDPDF=Y")</f>
        <v>—</v>
      </c>
      <c r="V15" s="14" t="str">
        <f>_xll.BDH("ALNY US Equity","TOT_DEBT_TO_EBIT_EX_OPER_LEA_ACT","FQ3 2023","FQ3 2023","Currency=USD","Period=FQ","BEST_FPERIOD_OVERRIDE=FQ","FILING_STATUS=MR","FA_ADJUSTED=GAAP","Sort=A","Dates=H","DateFormat=P","Fill=—","Direction=H","UseDPDF=Y")</f>
        <v>—</v>
      </c>
      <c r="W15" s="14" t="str">
        <f>_xll.BDH("ALNY US Equity","TOT_DEBT_TO_EBIT_EX_OPER_LEA_ACT","FQ4 2023","FQ4 2023","Currency=USD","Period=FQ","BEST_FPERIOD_OVERRIDE=FQ","FILING_STATUS=MR","FA_ADJUSTED=GAAP","Sort=A","Dates=H","DateFormat=P","Fill=—","Direction=H","UseDPDF=Y")</f>
        <v>—</v>
      </c>
      <c r="X15" s="14" t="str">
        <f>_xll.BDH("ALNY US Equity","TOT_DEBT_TO_EBIT_EX_OPER_LEA_ACT","FQ1 2024","FQ1 2024","Currency=USD","Period=FQ","BEST_FPERIOD_OVERRIDE=FQ","FILING_STATUS=MR","FA_ADJUSTED=GAAP","Sort=A","Dates=H","DateFormat=P","Fill=—","Direction=H","UseDPDF=Y")</f>
        <v>—</v>
      </c>
      <c r="Y15" s="14">
        <f>_xll.BDH("ALNY US Equity","TOT_DEBT_TO_EBIT_EX_OPER_LEA_ACT","FQ2 2024","FQ2 2024","Currency=USD","Period=FQ","BEST_FPERIOD_OVERRIDE=FQ","FILING_STATUS=MR","FA_ADJUSTED=GAAP","Sort=A","Dates=H","DateFormat=P","Fill=—","Direction=H","UseDPDF=Y")</f>
        <v>23.043900000000001</v>
      </c>
      <c r="Z15" s="14" t="str">
        <f>_xll.BDH("ALNY US Equity","TOT_DEBT_TO_EBIT_EX_OPER_LEA_ACT","FQ3 2024","FQ3 2024","Currency=USD","Period=FQ","BEST_FPERIOD_OVERRIDE=FQ","FILING_STATUS=MR","FA_ADJUSTED=GAAP","Sort=A","Dates=H","DateFormat=P","Fill=—","Direction=H","UseDPDF=Y")</f>
        <v>—</v>
      </c>
      <c r="AA15" s="14" t="str">
        <f>_xll.BDH("ALNY US Equity","TOT_DEBT_TO_EBIT_EX_OPER_LEA_ACT","FQ4 2024","FQ4 2024","Currency=USD","Period=FQ","BEST_FPERIOD_OVERRIDE=FQ","FILING_STATUS=MR","FA_ADJUSTED=GAAP","Sort=A","Dates=H","DateFormat=P","Fill=—","Direction=H","UseDPDF=Y")</f>
        <v>—</v>
      </c>
    </row>
    <row r="16" spans="1:27" x14ac:dyDescent="0.25">
      <c r="A16" s="10" t="s">
        <v>1455</v>
      </c>
      <c r="B16" s="10" t="s">
        <v>1487</v>
      </c>
      <c r="C16" s="14" t="str">
        <f>_xll.BDH("ALNY US Equity","NET_DEBT_TO_EBIT_EX_OPER_LEA_ACT","FQ4 2018","FQ4 2018","Currency=USD","Period=FQ","BEST_FPERIOD_OVERRIDE=FQ","FILING_STATUS=MR","FA_ADJUSTED=GAAP","Sort=A","Dates=H","DateFormat=P","Fill=—","Direction=H","UseDPDF=Y")</f>
        <v>—</v>
      </c>
      <c r="D16" s="14" t="str">
        <f>_xll.BDH("ALNY US Equity","NET_DEBT_TO_EBIT_EX_OPER_LEA_ACT","FQ1 2019","FQ1 2019","Currency=USD","Period=FQ","BEST_FPERIOD_OVERRIDE=FQ","FILING_STATUS=MR","FA_ADJUSTED=GAAP","Sort=A","Dates=H","DateFormat=P","Fill=—","Direction=H","UseDPDF=Y")</f>
        <v>—</v>
      </c>
      <c r="E16" s="14" t="str">
        <f>_xll.BDH("ALNY US Equity","NET_DEBT_TO_EBIT_EX_OPER_LEA_ACT","FQ2 2019","FQ2 2019","Currency=USD","Period=FQ","BEST_FPERIOD_OVERRIDE=FQ","FILING_STATUS=MR","FA_ADJUSTED=GAAP","Sort=A","Dates=H","DateFormat=P","Fill=—","Direction=H","UseDPDF=Y")</f>
        <v>—</v>
      </c>
      <c r="F16" s="14" t="str">
        <f>_xll.BDH("ALNY US Equity","NET_DEBT_TO_EBIT_EX_OPER_LEA_ACT","FQ3 2019","FQ3 2019","Currency=USD","Period=FQ","BEST_FPERIOD_OVERRIDE=FQ","FILING_STATUS=MR","FA_ADJUSTED=GAAP","Sort=A","Dates=H","DateFormat=P","Fill=—","Direction=H","UseDPDF=Y")</f>
        <v>—</v>
      </c>
      <c r="G16" s="14" t="str">
        <f>_xll.BDH("ALNY US Equity","NET_DEBT_TO_EBIT_EX_OPER_LEA_ACT","FQ4 2019","FQ4 2019","Currency=USD","Period=FQ","BEST_FPERIOD_OVERRIDE=FQ","FILING_STATUS=MR","FA_ADJUSTED=GAAP","Sort=A","Dates=H","DateFormat=P","Fill=—","Direction=H","UseDPDF=Y")</f>
        <v>—</v>
      </c>
      <c r="H16" s="14" t="str">
        <f>_xll.BDH("ALNY US Equity","NET_DEBT_TO_EBIT_EX_OPER_LEA_ACT","FQ1 2020","FQ1 2020","Currency=USD","Period=FQ","BEST_FPERIOD_OVERRIDE=FQ","FILING_STATUS=MR","FA_ADJUSTED=GAAP","Sort=A","Dates=H","DateFormat=P","Fill=—","Direction=H","UseDPDF=Y")</f>
        <v>—</v>
      </c>
      <c r="I16" s="14" t="str">
        <f>_xll.BDH("ALNY US Equity","NET_DEBT_TO_EBIT_EX_OPER_LEA_ACT","FQ2 2020","FQ2 2020","Currency=USD","Period=FQ","BEST_FPERIOD_OVERRIDE=FQ","FILING_STATUS=MR","FA_ADJUSTED=GAAP","Sort=A","Dates=H","DateFormat=P","Fill=—","Direction=H","UseDPDF=Y")</f>
        <v>—</v>
      </c>
      <c r="J16" s="14" t="str">
        <f>_xll.BDH("ALNY US Equity","NET_DEBT_TO_EBIT_EX_OPER_LEA_ACT","FQ3 2020","FQ3 2020","Currency=USD","Period=FQ","BEST_FPERIOD_OVERRIDE=FQ","FILING_STATUS=MR","FA_ADJUSTED=GAAP","Sort=A","Dates=H","DateFormat=P","Fill=—","Direction=H","UseDPDF=Y")</f>
        <v>—</v>
      </c>
      <c r="K16" s="14" t="str">
        <f>_xll.BDH("ALNY US Equity","NET_DEBT_TO_EBIT_EX_OPER_LEA_ACT","FQ4 2020","FQ4 2020","Currency=USD","Period=FQ","BEST_FPERIOD_OVERRIDE=FQ","FILING_STATUS=MR","FA_ADJUSTED=GAAP","Sort=A","Dates=H","DateFormat=P","Fill=—","Direction=H","UseDPDF=Y")</f>
        <v>—</v>
      </c>
      <c r="L16" s="14" t="str">
        <f>_xll.BDH("ALNY US Equity","NET_DEBT_TO_EBIT_EX_OPER_LEA_ACT","FQ1 2021","FQ1 2021","Currency=USD","Period=FQ","BEST_FPERIOD_OVERRIDE=FQ","FILING_STATUS=MR","FA_ADJUSTED=GAAP","Sort=A","Dates=H","DateFormat=P","Fill=—","Direction=H","UseDPDF=Y")</f>
        <v>—</v>
      </c>
      <c r="M16" s="14" t="str">
        <f>_xll.BDH("ALNY US Equity","NET_DEBT_TO_EBIT_EX_OPER_LEA_ACT","FQ2 2021","FQ2 2021","Currency=USD","Period=FQ","BEST_FPERIOD_OVERRIDE=FQ","FILING_STATUS=MR","FA_ADJUSTED=GAAP","Sort=A","Dates=H","DateFormat=P","Fill=—","Direction=H","UseDPDF=Y")</f>
        <v>—</v>
      </c>
      <c r="N16" s="14" t="str">
        <f>_xll.BDH("ALNY US Equity","NET_DEBT_TO_EBIT_EX_OPER_LEA_ACT","FQ3 2021","FQ3 2021","Currency=USD","Period=FQ","BEST_FPERIOD_OVERRIDE=FQ","FILING_STATUS=MR","FA_ADJUSTED=GAAP","Sort=A","Dates=H","DateFormat=P","Fill=—","Direction=H","UseDPDF=Y")</f>
        <v>—</v>
      </c>
      <c r="O16" s="14" t="str">
        <f>_xll.BDH("ALNY US Equity","NET_DEBT_TO_EBIT_EX_OPER_LEA_ACT","FQ4 2021","FQ4 2021","Currency=USD","Period=FQ","BEST_FPERIOD_OVERRIDE=FQ","FILING_STATUS=MR","FA_ADJUSTED=GAAP","Sort=A","Dates=H","DateFormat=P","Fill=—","Direction=H","UseDPDF=Y")</f>
        <v>—</v>
      </c>
      <c r="P16" s="14" t="str">
        <f>_xll.BDH("ALNY US Equity","NET_DEBT_TO_EBIT_EX_OPER_LEA_ACT","FQ1 2022","FQ1 2022","Currency=USD","Period=FQ","BEST_FPERIOD_OVERRIDE=FQ","FILING_STATUS=MR","FA_ADJUSTED=GAAP","Sort=A","Dates=H","DateFormat=P","Fill=—","Direction=H","UseDPDF=Y")</f>
        <v>—</v>
      </c>
      <c r="Q16" s="14" t="str">
        <f>_xll.BDH("ALNY US Equity","NET_DEBT_TO_EBIT_EX_OPER_LEA_ACT","FQ2 2022","FQ2 2022","Currency=USD","Period=FQ","BEST_FPERIOD_OVERRIDE=FQ","FILING_STATUS=MR","FA_ADJUSTED=GAAP","Sort=A","Dates=H","DateFormat=P","Fill=—","Direction=H","UseDPDF=Y")</f>
        <v>—</v>
      </c>
      <c r="R16" s="14" t="str">
        <f>_xll.BDH("ALNY US Equity","NET_DEBT_TO_EBIT_EX_OPER_LEA_ACT","FQ3 2022","FQ3 2022","Currency=USD","Period=FQ","BEST_FPERIOD_OVERRIDE=FQ","FILING_STATUS=MR","FA_ADJUSTED=GAAP","Sort=A","Dates=H","DateFormat=P","Fill=—","Direction=H","UseDPDF=Y")</f>
        <v>—</v>
      </c>
      <c r="S16" s="14" t="str">
        <f>_xll.BDH("ALNY US Equity","NET_DEBT_TO_EBIT_EX_OPER_LEA_ACT","FQ4 2022","FQ4 2022","Currency=USD","Period=FQ","BEST_FPERIOD_OVERRIDE=FQ","FILING_STATUS=MR","FA_ADJUSTED=GAAP","Sort=A","Dates=H","DateFormat=P","Fill=—","Direction=H","UseDPDF=Y")</f>
        <v>—</v>
      </c>
      <c r="T16" s="14" t="str">
        <f>_xll.BDH("ALNY US Equity","NET_DEBT_TO_EBIT_EX_OPER_LEA_ACT","FQ1 2023","FQ1 2023","Currency=USD","Period=FQ","BEST_FPERIOD_OVERRIDE=FQ","FILING_STATUS=MR","FA_ADJUSTED=GAAP","Sort=A","Dates=H","DateFormat=P","Fill=—","Direction=H","UseDPDF=Y")</f>
        <v>—</v>
      </c>
      <c r="U16" s="14" t="str">
        <f>_xll.BDH("ALNY US Equity","NET_DEBT_TO_EBIT_EX_OPER_LEA_ACT","FQ2 2023","FQ2 2023","Currency=USD","Period=FQ","BEST_FPERIOD_OVERRIDE=FQ","FILING_STATUS=MR","FA_ADJUSTED=GAAP","Sort=A","Dates=H","DateFormat=P","Fill=—","Direction=H","UseDPDF=Y")</f>
        <v>—</v>
      </c>
      <c r="V16" s="14" t="str">
        <f>_xll.BDH("ALNY US Equity","NET_DEBT_TO_EBIT_EX_OPER_LEA_ACT","FQ3 2023","FQ3 2023","Currency=USD","Period=FQ","BEST_FPERIOD_OVERRIDE=FQ","FILING_STATUS=MR","FA_ADJUSTED=GAAP","Sort=A","Dates=H","DateFormat=P","Fill=—","Direction=H","UseDPDF=Y")</f>
        <v>—</v>
      </c>
      <c r="W16" s="14" t="str">
        <f>_xll.BDH("ALNY US Equity","NET_DEBT_TO_EBIT_EX_OPER_LEA_ACT","FQ4 2023","FQ4 2023","Currency=USD","Period=FQ","BEST_FPERIOD_OVERRIDE=FQ","FILING_STATUS=MR","FA_ADJUSTED=GAAP","Sort=A","Dates=H","DateFormat=P","Fill=—","Direction=H","UseDPDF=Y")</f>
        <v>—</v>
      </c>
      <c r="X16" s="14" t="str">
        <f>_xll.BDH("ALNY US Equity","NET_DEBT_TO_EBIT_EX_OPER_LEA_ACT","FQ1 2024","FQ1 2024","Currency=USD","Period=FQ","BEST_FPERIOD_OVERRIDE=FQ","FILING_STATUS=MR","FA_ADJUSTED=GAAP","Sort=A","Dates=H","DateFormat=P","Fill=—","Direction=H","UseDPDF=Y")</f>
        <v>—</v>
      </c>
      <c r="Y16" s="14">
        <f>_xll.BDH("ALNY US Equity","NET_DEBT_TO_EBIT_EX_OPER_LEA_ACT","FQ2 2024","FQ2 2024","Currency=USD","Period=FQ","BEST_FPERIOD_OVERRIDE=FQ","FILING_STATUS=MR","FA_ADJUSTED=GAAP","Sort=A","Dates=H","DateFormat=P","Fill=—","Direction=H","UseDPDF=Y")</f>
        <v>-2.5270000000000001</v>
      </c>
      <c r="Z16" s="14" t="str">
        <f>_xll.BDH("ALNY US Equity","NET_DEBT_TO_EBIT_EX_OPER_LEA_ACT","FQ3 2024","FQ3 2024","Currency=USD","Period=FQ","BEST_FPERIOD_OVERRIDE=FQ","FILING_STATUS=MR","FA_ADJUSTED=GAAP","Sort=A","Dates=H","DateFormat=P","Fill=—","Direction=H","UseDPDF=Y")</f>
        <v>—</v>
      </c>
      <c r="AA16" s="14" t="str">
        <f>_xll.BDH("ALNY US Equity","NET_DEBT_TO_EBIT_EX_OPER_LEA_ACT","FQ4 2024","FQ4 2024","Currency=USD","Period=FQ","BEST_FPERIOD_OVERRIDE=FQ","FILING_STATUS=MR","FA_ADJUSTED=GAAP","Sort=A","Dates=H","DateFormat=P","Fill=—","Direction=H","UseDPDF=Y")</f>
        <v>—</v>
      </c>
    </row>
    <row r="17" spans="1:27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0" t="s">
        <v>1457</v>
      </c>
      <c r="B18" s="10" t="s">
        <v>1488</v>
      </c>
      <c r="C18" s="14" t="str">
        <f>_xll.BDH("ALNY US Equity","EBITDA_AFT_OP_LEA_EXP_TO_INT_EXP","FQ4 2018","FQ4 2018","Currency=USD","Period=FQ","BEST_FPERIOD_OVERRIDE=FQ","FILING_STATUS=MR","FA_ADJUSTED=GAAP","Sort=A","Dates=H","DateFormat=P","Fill=—","Direction=H","UseDPDF=Y")</f>
        <v>—</v>
      </c>
      <c r="D18" s="14" t="str">
        <f>_xll.BDH("ALNY US Equity","EBITDA_AFT_OP_LEA_EXP_TO_INT_EXP","FQ1 2019","FQ1 2019","Currency=USD","Period=FQ","BEST_FPERIOD_OVERRIDE=FQ","FILING_STATUS=MR","FA_ADJUSTED=GAAP","Sort=A","Dates=H","DateFormat=P","Fill=—","Direction=H","UseDPDF=Y")</f>
        <v>—</v>
      </c>
      <c r="E18" s="14" t="str">
        <f>_xll.BDH("ALNY US Equity","EBITDA_AFT_OP_LEA_EXP_TO_INT_EXP","FQ2 2019","FQ2 2019","Currency=USD","Period=FQ","BEST_FPERIOD_OVERRIDE=FQ","FILING_STATUS=MR","FA_ADJUSTED=GAAP","Sort=A","Dates=H","DateFormat=P","Fill=—","Direction=H","UseDPDF=Y")</f>
        <v>—</v>
      </c>
      <c r="F18" s="14" t="str">
        <f>_xll.BDH("ALNY US Equity","EBITDA_AFT_OP_LEA_EXP_TO_INT_EXP","FQ3 2019","FQ3 2019","Currency=USD","Period=FQ","BEST_FPERIOD_OVERRIDE=FQ","FILING_STATUS=MR","FA_ADJUSTED=GAAP","Sort=A","Dates=H","DateFormat=P","Fill=—","Direction=H","UseDPDF=Y")</f>
        <v>—</v>
      </c>
      <c r="G18" s="14" t="str">
        <f>_xll.BDH("ALNY US Equity","EBITDA_AFT_OP_LEA_EXP_TO_INT_EXP","FQ4 2019","FQ4 2019","Currency=USD","Period=FQ","BEST_FPERIOD_OVERRIDE=FQ","FILING_STATUS=MR","FA_ADJUSTED=GAAP","Sort=A","Dates=H","DateFormat=P","Fill=—","Direction=H","UseDPDF=Y")</f>
        <v>—</v>
      </c>
      <c r="H18" s="14" t="str">
        <f>_xll.BDH("ALNY US Equity","EBITDA_AFT_OP_LEA_EXP_TO_INT_EXP","FQ1 2020","FQ1 2020","Currency=USD","Period=FQ","BEST_FPERIOD_OVERRIDE=FQ","FILING_STATUS=MR","FA_ADJUSTED=GAAP","Sort=A","Dates=H","DateFormat=P","Fill=—","Direction=H","UseDPDF=Y")</f>
        <v>—</v>
      </c>
      <c r="I18" s="14">
        <f>_xll.BDH("ALNY US Equity","EBITDA_AFT_OP_LEA_EXP_TO_INT_EXP","FQ2 2020","FQ2 2020","Currency=USD","Period=FQ","BEST_FPERIOD_OVERRIDE=FQ","FILING_STATUS=MR","FA_ADJUSTED=GAAP","Sort=A","Dates=H","DateFormat=P","Fill=—","Direction=H","UseDPDF=Y")</f>
        <v>-6.6456999999999997</v>
      </c>
      <c r="J18" s="14">
        <f>_xll.BDH("ALNY US Equity","EBITDA_AFT_OP_LEA_EXP_TO_INT_EXP","FQ3 2020","FQ3 2020","Currency=USD","Period=FQ","BEST_FPERIOD_OVERRIDE=FQ","FILING_STATUS=MR","FA_ADJUSTED=GAAP","Sort=A","Dates=H","DateFormat=P","Fill=—","Direction=H","UseDPDF=Y")</f>
        <v>-7.1848999999999998</v>
      </c>
      <c r="K18" s="14">
        <f>_xll.BDH("ALNY US Equity","EBITDA_AFT_OP_LEA_EXP_TO_INT_EXP","FQ4 2020","FQ4 2020","Currency=USD","Period=FQ","BEST_FPERIOD_OVERRIDE=FQ","FILING_STATUS=MR","FA_ADJUSTED=GAAP","Sort=A","Dates=H","DateFormat=P","Fill=—","Direction=H","UseDPDF=Y")</f>
        <v>-6.0785</v>
      </c>
      <c r="L18" s="14">
        <f>_xll.BDH("ALNY US Equity","EBITDA_AFT_OP_LEA_EXP_TO_INT_EXP","FQ1 2021","FQ1 2021","Currency=USD","Period=FQ","BEST_FPERIOD_OVERRIDE=FQ","FILING_STATUS=MR","FA_ADJUSTED=GAAP","Sort=A","Dates=H","DateFormat=P","Fill=—","Direction=H","UseDPDF=Y")</f>
        <v>-5.0251000000000001</v>
      </c>
      <c r="M18" s="14">
        <f>_xll.BDH("ALNY US Equity","EBITDA_AFT_OP_LEA_EXP_TO_INT_EXP","FQ2 2021","FQ2 2021","Currency=USD","Period=FQ","BEST_FPERIOD_OVERRIDE=FQ","FILING_STATUS=MR","FA_ADJUSTED=GAAP","Sort=A","Dates=H","DateFormat=P","Fill=—","Direction=H","UseDPDF=Y")</f>
        <v>-3.7107999999999999</v>
      </c>
      <c r="N18" s="14">
        <f>_xll.BDH("ALNY US Equity","EBITDA_AFT_OP_LEA_EXP_TO_INT_EXP","FQ3 2021","FQ3 2021","Currency=USD","Period=FQ","BEST_FPERIOD_OVERRIDE=FQ","FILING_STATUS=MR","FA_ADJUSTED=GAAP","Sort=A","Dates=H","DateFormat=P","Fill=—","Direction=H","UseDPDF=Y")</f>
        <v>-3.9344999999999999</v>
      </c>
      <c r="O18" s="14">
        <f>_xll.BDH("ALNY US Equity","EBITDA_AFT_OP_LEA_EXP_TO_INT_EXP","FQ4 2021","FQ4 2021","Currency=USD","Period=FQ","BEST_FPERIOD_OVERRIDE=FQ","FILING_STATUS=MR","FA_ADJUSTED=GAAP","Sort=A","Dates=H","DateFormat=P","Fill=—","Direction=H","UseDPDF=Y")</f>
        <v>-4.702</v>
      </c>
      <c r="P18" s="14">
        <f>_xll.BDH("ALNY US Equity","EBITDA_AFT_OP_LEA_EXP_TO_INT_EXP","FQ1 2022","FQ1 2022","Currency=USD","Period=FQ","BEST_FPERIOD_OVERRIDE=FQ","FILING_STATUS=MR","FA_ADJUSTED=GAAP","Sort=A","Dates=H","DateFormat=P","Fill=—","Direction=H","UseDPDF=Y")</f>
        <v>-2.9969000000000001</v>
      </c>
      <c r="Q18" s="14">
        <f>_xll.BDH("ALNY US Equity","EBITDA_AFT_OP_LEA_EXP_TO_INT_EXP","FQ2 2022","FQ2 2022","Currency=USD","Period=FQ","BEST_FPERIOD_OVERRIDE=FQ","FILING_STATUS=MR","FA_ADJUSTED=GAAP","Sort=A","Dates=H","DateFormat=P","Fill=—","Direction=H","UseDPDF=Y")</f>
        <v>-4.0237999999999996</v>
      </c>
      <c r="R18" s="14">
        <f>_xll.BDH("ALNY US Equity","EBITDA_AFT_OP_LEA_EXP_TO_INT_EXP","FQ3 2022","FQ3 2022","Currency=USD","Period=FQ","BEST_FPERIOD_OVERRIDE=FQ","FILING_STATUS=MR","FA_ADJUSTED=GAAP","Sort=A","Dates=H","DateFormat=P","Fill=—","Direction=H","UseDPDF=Y")</f>
        <v>-5.7782</v>
      </c>
      <c r="S18" s="14">
        <f>_xll.BDH("ALNY US Equity","EBITDA_AFT_OP_LEA_EXP_TO_INT_EXP","FQ4 2022","FQ4 2022","Currency=USD","Period=FQ","BEST_FPERIOD_OVERRIDE=FQ","FILING_STATUS=MR","FA_ADJUSTED=GAAP","Sort=A","Dates=H","DateFormat=P","Fill=—","Direction=H","UseDPDF=Y")</f>
        <v>-5.4734999999999996</v>
      </c>
      <c r="T18" s="14">
        <f>_xll.BDH("ALNY US Equity","EBITDA_AFT_OP_LEA_EXP_TO_INT_EXP","FQ1 2023","FQ1 2023","Currency=USD","Period=FQ","BEST_FPERIOD_OVERRIDE=FQ","FILING_STATUS=MR","FA_ADJUSTED=GAAP","Sort=A","Dates=H","DateFormat=P","Fill=—","Direction=H","UseDPDF=Y")</f>
        <v>-4.2731000000000003</v>
      </c>
      <c r="U18" s="14">
        <f>_xll.BDH("ALNY US Equity","EBITDA_AFT_OP_LEA_EXP_TO_INT_EXP","FQ2 2023","FQ2 2023","Currency=USD","Period=FQ","BEST_FPERIOD_OVERRIDE=FQ","FILING_STATUS=MR","FA_ADJUSTED=GAAP","Sort=A","Dates=H","DateFormat=P","Fill=—","Direction=H","UseDPDF=Y")</f>
        <v>-6.8714000000000004</v>
      </c>
      <c r="V18" s="14">
        <f>_xll.BDH("ALNY US Equity","EBITDA_AFT_OP_LEA_EXP_TO_INT_EXP","FQ3 2023","FQ3 2023","Currency=USD","Period=FQ","BEST_FPERIOD_OVERRIDE=FQ","FILING_STATUS=MR","FA_ADJUSTED=GAAP","Sort=A","Dates=H","DateFormat=P","Fill=—","Direction=H","UseDPDF=Y")</f>
        <v>7.6845999999999997</v>
      </c>
      <c r="W18" s="14">
        <f>_xll.BDH("ALNY US Equity","EBITDA_AFT_OP_LEA_EXP_TO_INT_EXP","FQ4 2023","FQ4 2023","Currency=USD","Period=FQ","BEST_FPERIOD_OVERRIDE=FQ","FILING_STATUS=MR","FA_ADJUSTED=GAAP","Sort=A","Dates=H","DateFormat=P","Fill=—","Direction=H","UseDPDF=Y")</f>
        <v>-2.9495</v>
      </c>
      <c r="X18" s="14">
        <f>_xll.BDH("ALNY US Equity","EBITDA_AFT_OP_LEA_EXP_TO_INT_EXP","FQ1 2024","FQ1 2024","Currency=USD","Period=FQ","BEST_FPERIOD_OVERRIDE=FQ","FILING_STATUS=MR","FA_ADJUSTED=GAAP","Sort=A","Dates=H","DateFormat=P","Fill=—","Direction=H","UseDPDF=Y")</f>
        <v>-0.5091</v>
      </c>
      <c r="Y18" s="14">
        <f>_xll.BDH("ALNY US Equity","EBITDA_AFT_OP_LEA_EXP_TO_INT_EXP","FQ2 2024","FQ2 2024","Currency=USD","Period=FQ","BEST_FPERIOD_OVERRIDE=FQ","FILING_STATUS=MR","FA_ADJUSTED=GAAP","Sort=A","Dates=H","DateFormat=P","Fill=—","Direction=H","UseDPDF=Y")</f>
        <v>2.2042000000000002</v>
      </c>
      <c r="Z18" s="14">
        <f>_xll.BDH("ALNY US Equity","EBITDA_AFT_OP_LEA_EXP_TO_INT_EXP","FQ3 2024","FQ3 2024","Currency=USD","Period=FQ","BEST_FPERIOD_OVERRIDE=FQ","FILING_STATUS=MR","FA_ADJUSTED=GAAP","Sort=A","Dates=H","DateFormat=P","Fill=—","Direction=H","UseDPDF=Y")</f>
        <v>-1.4505999999999999</v>
      </c>
      <c r="AA18" s="14">
        <f>_xll.BDH("ALNY US Equity","EBITDA_AFT_OP_LEA_EXP_TO_INT_EXP","FQ4 2024","FQ4 2024","Currency=USD","Period=FQ","BEST_FPERIOD_OVERRIDE=FQ","FILING_STATUS=MR","FA_ADJUSTED=GAAP","Sort=A","Dates=H","DateFormat=P","Fill=—","Direction=H","UseDPDF=Y")</f>
        <v>-2.3348</v>
      </c>
    </row>
    <row r="19" spans="1:27" x14ac:dyDescent="0.25">
      <c r="A19" s="10" t="s">
        <v>1459</v>
      </c>
      <c r="B19" s="10" t="s">
        <v>1489</v>
      </c>
      <c r="C19" s="14" t="str">
        <f>_xll.BDH("ALNY US Equity","EBITDA_AFT_CAPEX_OP_LEA_EX_INT","FQ4 2018","FQ4 2018","Currency=USD","Period=FQ","BEST_FPERIOD_OVERRIDE=FQ","FILING_STATUS=MR","FA_ADJUSTED=GAAP","Sort=A","Dates=H","DateFormat=P","Fill=—","Direction=H","UseDPDF=Y")</f>
        <v>—</v>
      </c>
      <c r="D19" s="14" t="str">
        <f>_xll.BDH("ALNY US Equity","EBITDA_AFT_CAPEX_OP_LEA_EX_INT","FQ1 2019","FQ1 2019","Currency=USD","Period=FQ","BEST_FPERIOD_OVERRIDE=FQ","FILING_STATUS=MR","FA_ADJUSTED=GAAP","Sort=A","Dates=H","DateFormat=P","Fill=—","Direction=H","UseDPDF=Y")</f>
        <v>—</v>
      </c>
      <c r="E19" s="14" t="str">
        <f>_xll.BDH("ALNY US Equity","EBITDA_AFT_CAPEX_OP_LEA_EX_INT","FQ2 2019","FQ2 2019","Currency=USD","Period=FQ","BEST_FPERIOD_OVERRIDE=FQ","FILING_STATUS=MR","FA_ADJUSTED=GAAP","Sort=A","Dates=H","DateFormat=P","Fill=—","Direction=H","UseDPDF=Y")</f>
        <v>—</v>
      </c>
      <c r="F19" s="14" t="str">
        <f>_xll.BDH("ALNY US Equity","EBITDA_AFT_CAPEX_OP_LEA_EX_INT","FQ3 2019","FQ3 2019","Currency=USD","Period=FQ","BEST_FPERIOD_OVERRIDE=FQ","FILING_STATUS=MR","FA_ADJUSTED=GAAP","Sort=A","Dates=H","DateFormat=P","Fill=—","Direction=H","UseDPDF=Y")</f>
        <v>—</v>
      </c>
      <c r="G19" s="14" t="str">
        <f>_xll.BDH("ALNY US Equity","EBITDA_AFT_CAPEX_OP_LEA_EX_INT","FQ4 2019","FQ4 2019","Currency=USD","Period=FQ","BEST_FPERIOD_OVERRIDE=FQ","FILING_STATUS=MR","FA_ADJUSTED=GAAP","Sort=A","Dates=H","DateFormat=P","Fill=—","Direction=H","UseDPDF=Y")</f>
        <v>—</v>
      </c>
      <c r="H19" s="14" t="str">
        <f>_xll.BDH("ALNY US Equity","EBITDA_AFT_CAPEX_OP_LEA_EX_INT","FQ1 2020","FQ1 2020","Currency=USD","Period=FQ","BEST_FPERIOD_OVERRIDE=FQ","FILING_STATUS=MR","FA_ADJUSTED=GAAP","Sort=A","Dates=H","DateFormat=P","Fill=—","Direction=H","UseDPDF=Y")</f>
        <v>—</v>
      </c>
      <c r="I19" s="14">
        <f>_xll.BDH("ALNY US Equity","EBITDA_AFT_CAPEX_OP_LEA_EX_INT","FQ2 2020","FQ2 2020","Currency=USD","Period=FQ","BEST_FPERIOD_OVERRIDE=FQ","FILING_STATUS=MR","FA_ADJUSTED=GAAP","Sort=A","Dates=H","DateFormat=P","Fill=—","Direction=H","UseDPDF=Y")</f>
        <v>-7.2569999999999997</v>
      </c>
      <c r="J19" s="14">
        <f>_xll.BDH("ALNY US Equity","EBITDA_AFT_CAPEX_OP_LEA_EX_INT","FQ3 2020","FQ3 2020","Currency=USD","Period=FQ","BEST_FPERIOD_OVERRIDE=FQ","FILING_STATUS=MR","FA_ADJUSTED=GAAP","Sort=A","Dates=H","DateFormat=P","Fill=—","Direction=H","UseDPDF=Y")</f>
        <v>-7.6170999999999998</v>
      </c>
      <c r="K19" s="14">
        <f>_xll.BDH("ALNY US Equity","EBITDA_AFT_CAPEX_OP_LEA_EX_INT","FQ4 2020","FQ4 2020","Currency=USD","Period=FQ","BEST_FPERIOD_OVERRIDE=FQ","FILING_STATUS=MR","FA_ADJUSTED=GAAP","Sort=A","Dates=H","DateFormat=P","Fill=—","Direction=H","UseDPDF=Y")</f>
        <v>-6.8384</v>
      </c>
      <c r="L19" s="14">
        <f>_xll.BDH("ALNY US Equity","EBITDA_AFT_CAPEX_OP_LEA_EX_INT","FQ1 2021","FQ1 2021","Currency=USD","Period=FQ","BEST_FPERIOD_OVERRIDE=FQ","FILING_STATUS=MR","FA_ADJUSTED=GAAP","Sort=A","Dates=H","DateFormat=P","Fill=—","Direction=H","UseDPDF=Y")</f>
        <v>-5.5533999999999999</v>
      </c>
      <c r="M19" s="14">
        <f>_xll.BDH("ALNY US Equity","EBITDA_AFT_CAPEX_OP_LEA_EX_INT","FQ2 2021","FQ2 2021","Currency=USD","Period=FQ","BEST_FPERIOD_OVERRIDE=FQ","FILING_STATUS=MR","FA_ADJUSTED=GAAP","Sort=A","Dates=H","DateFormat=P","Fill=—","Direction=H","UseDPDF=Y")</f>
        <v>-4.0472999999999999</v>
      </c>
      <c r="N19" s="14">
        <f>_xll.BDH("ALNY US Equity","EBITDA_AFT_CAPEX_OP_LEA_EX_INT","FQ3 2021","FQ3 2021","Currency=USD","Period=FQ","BEST_FPERIOD_OVERRIDE=FQ","FILING_STATUS=MR","FA_ADJUSTED=GAAP","Sort=A","Dates=H","DateFormat=P","Fill=—","Direction=H","UseDPDF=Y")</f>
        <v>-4.5815999999999999</v>
      </c>
      <c r="O19" s="14">
        <f>_xll.BDH("ALNY US Equity","EBITDA_AFT_CAPEX_OP_LEA_EX_INT","FQ4 2021","FQ4 2021","Currency=USD","Period=FQ","BEST_FPERIOD_OVERRIDE=FQ","FILING_STATUS=MR","FA_ADJUSTED=GAAP","Sort=A","Dates=H","DateFormat=P","Fill=—","Direction=H","UseDPDF=Y")</f>
        <v>-5.2965</v>
      </c>
      <c r="P19" s="14">
        <f>_xll.BDH("ALNY US Equity","EBITDA_AFT_CAPEX_OP_LEA_EX_INT","FQ1 2022","FQ1 2022","Currency=USD","Period=FQ","BEST_FPERIOD_OVERRIDE=FQ","FILING_STATUS=MR","FA_ADJUSTED=GAAP","Sort=A","Dates=H","DateFormat=P","Fill=—","Direction=H","UseDPDF=Y")</f>
        <v>-3.4184999999999999</v>
      </c>
      <c r="Q19" s="14">
        <f>_xll.BDH("ALNY US Equity","EBITDA_AFT_CAPEX_OP_LEA_EX_INT","FQ2 2022","FQ2 2022","Currency=USD","Period=FQ","BEST_FPERIOD_OVERRIDE=FQ","FILING_STATUS=MR","FA_ADJUSTED=GAAP","Sort=A","Dates=H","DateFormat=P","Fill=—","Direction=H","UseDPDF=Y")</f>
        <v>-4.4005999999999998</v>
      </c>
      <c r="R19" s="14">
        <f>_xll.BDH("ALNY US Equity","EBITDA_AFT_CAPEX_OP_LEA_EX_INT","FQ3 2022","FQ3 2022","Currency=USD","Period=FQ","BEST_FPERIOD_OVERRIDE=FQ","FILING_STATUS=MR","FA_ADJUSTED=GAAP","Sort=A","Dates=H","DateFormat=P","Fill=—","Direction=H","UseDPDF=Y")</f>
        <v>-6.18</v>
      </c>
      <c r="S19" s="14">
        <f>_xll.BDH("ALNY US Equity","EBITDA_AFT_CAPEX_OP_LEA_EX_INT","FQ4 2022","FQ4 2022","Currency=USD","Period=FQ","BEST_FPERIOD_OVERRIDE=FQ","FILING_STATUS=MR","FA_ADJUSTED=GAAP","Sort=A","Dates=H","DateFormat=P","Fill=—","Direction=H","UseDPDF=Y")</f>
        <v>-6.1967999999999996</v>
      </c>
      <c r="T19" s="14">
        <f>_xll.BDH("ALNY US Equity","EBITDA_AFT_CAPEX_OP_LEA_EX_INT","FQ1 2023","FQ1 2023","Currency=USD","Period=FQ","BEST_FPERIOD_OVERRIDE=FQ","FILING_STATUS=MR","FA_ADJUSTED=GAAP","Sort=A","Dates=H","DateFormat=P","Fill=—","Direction=H","UseDPDF=Y")</f>
        <v>-4.7529000000000003</v>
      </c>
      <c r="U19" s="14">
        <f>_xll.BDH("ALNY US Equity","EBITDA_AFT_CAPEX_OP_LEA_EX_INT","FQ2 2023","FQ2 2023","Currency=USD","Period=FQ","BEST_FPERIOD_OVERRIDE=FQ","FILING_STATUS=MR","FA_ADJUSTED=GAAP","Sort=A","Dates=H","DateFormat=P","Fill=—","Direction=H","UseDPDF=Y")</f>
        <v>-7.4015000000000004</v>
      </c>
      <c r="V19" s="14">
        <f>_xll.BDH("ALNY US Equity","EBITDA_AFT_CAPEX_OP_LEA_EX_INT","FQ3 2023","FQ3 2023","Currency=USD","Period=FQ","BEST_FPERIOD_OVERRIDE=FQ","FILING_STATUS=MR","FA_ADJUSTED=GAAP","Sort=A","Dates=H","DateFormat=P","Fill=—","Direction=H","UseDPDF=Y")</f>
        <v>7.1313000000000004</v>
      </c>
      <c r="W19" s="14">
        <f>_xll.BDH("ALNY US Equity","EBITDA_AFT_CAPEX_OP_LEA_EX_INT","FQ4 2023","FQ4 2023","Currency=USD","Period=FQ","BEST_FPERIOD_OVERRIDE=FQ","FILING_STATUS=MR","FA_ADJUSTED=GAAP","Sort=A","Dates=H","DateFormat=P","Fill=—","Direction=H","UseDPDF=Y")</f>
        <v>-3.4380000000000002</v>
      </c>
      <c r="X19" s="14">
        <f>_xll.BDH("ALNY US Equity","EBITDA_AFT_CAPEX_OP_LEA_EX_INT","FQ1 2024","FQ1 2024","Currency=USD","Period=FQ","BEST_FPERIOD_OVERRIDE=FQ","FILING_STATUS=MR","FA_ADJUSTED=GAAP","Sort=A","Dates=H","DateFormat=P","Fill=—","Direction=H","UseDPDF=Y")</f>
        <v>-0.87709999999999999</v>
      </c>
      <c r="Y19" s="14">
        <f>_xll.BDH("ALNY US Equity","EBITDA_AFT_CAPEX_OP_LEA_EX_INT","FQ2 2024","FQ2 2024","Currency=USD","Period=FQ","BEST_FPERIOD_OVERRIDE=FQ","FILING_STATUS=MR","FA_ADJUSTED=GAAP","Sort=A","Dates=H","DateFormat=P","Fill=—","Direction=H","UseDPDF=Y")</f>
        <v>1.9631000000000001</v>
      </c>
      <c r="Z19" s="14">
        <f>_xll.BDH("ALNY US Equity","EBITDA_AFT_CAPEX_OP_LEA_EX_INT","FQ3 2024","FQ3 2024","Currency=USD","Period=FQ","BEST_FPERIOD_OVERRIDE=FQ","FILING_STATUS=MR","FA_ADJUSTED=GAAP","Sort=A","Dates=H","DateFormat=P","Fill=—","Direction=H","UseDPDF=Y")</f>
        <v>-1.5726</v>
      </c>
      <c r="AA19" s="14">
        <f>_xll.BDH("ALNY US Equity","EBITDA_AFT_CAPEX_OP_LEA_EX_INT","FQ4 2024","FQ4 2024","Currency=USD","Period=FQ","BEST_FPERIOD_OVERRIDE=FQ","FILING_STATUS=MR","FA_ADJUSTED=GAAP","Sort=A","Dates=H","DateFormat=P","Fill=—","Direction=H","UseDPDF=Y")</f>
        <v>-2.5682</v>
      </c>
    </row>
    <row r="20" spans="1:27" x14ac:dyDescent="0.25">
      <c r="A20" s="10" t="s">
        <v>1461</v>
      </c>
      <c r="B20" s="10" t="s">
        <v>1490</v>
      </c>
      <c r="C20" s="14" t="str">
        <f>_xll.BDH("ALNY US Equity","EBIT_AFT_OP_LEA_EXPN_TO_INT_EXPN","FQ4 2018","FQ4 2018","Currency=USD","Period=FQ","BEST_FPERIOD_OVERRIDE=FQ","FILING_STATUS=MR","FA_ADJUSTED=GAAP","Sort=A","Dates=H","DateFormat=P","Fill=—","Direction=H","UseDPDF=Y")</f>
        <v>—</v>
      </c>
      <c r="D20" s="14" t="str">
        <f>_xll.BDH("ALNY US Equity","EBIT_AFT_OP_LEA_EXPN_TO_INT_EXPN","FQ1 2019","FQ1 2019","Currency=USD","Period=FQ","BEST_FPERIOD_OVERRIDE=FQ","FILING_STATUS=MR","FA_ADJUSTED=GAAP","Sort=A","Dates=H","DateFormat=P","Fill=—","Direction=H","UseDPDF=Y")</f>
        <v>—</v>
      </c>
      <c r="E20" s="14" t="str">
        <f>_xll.BDH("ALNY US Equity","EBIT_AFT_OP_LEA_EXPN_TO_INT_EXPN","FQ2 2019","FQ2 2019","Currency=USD","Period=FQ","BEST_FPERIOD_OVERRIDE=FQ","FILING_STATUS=MR","FA_ADJUSTED=GAAP","Sort=A","Dates=H","DateFormat=P","Fill=—","Direction=H","UseDPDF=Y")</f>
        <v>—</v>
      </c>
      <c r="F20" s="14" t="str">
        <f>_xll.BDH("ALNY US Equity","EBIT_AFT_OP_LEA_EXPN_TO_INT_EXPN","FQ3 2019","FQ3 2019","Currency=USD","Period=FQ","BEST_FPERIOD_OVERRIDE=FQ","FILING_STATUS=MR","FA_ADJUSTED=GAAP","Sort=A","Dates=H","DateFormat=P","Fill=—","Direction=H","UseDPDF=Y")</f>
        <v>—</v>
      </c>
      <c r="G20" s="14" t="str">
        <f>_xll.BDH("ALNY US Equity","EBIT_AFT_OP_LEA_EXPN_TO_INT_EXPN","FQ4 2019","FQ4 2019","Currency=USD","Period=FQ","BEST_FPERIOD_OVERRIDE=FQ","FILING_STATUS=MR","FA_ADJUSTED=GAAP","Sort=A","Dates=H","DateFormat=P","Fill=—","Direction=H","UseDPDF=Y")</f>
        <v>—</v>
      </c>
      <c r="H20" s="14" t="str">
        <f>_xll.BDH("ALNY US Equity","EBIT_AFT_OP_LEA_EXPN_TO_INT_EXPN","FQ1 2020","FQ1 2020","Currency=USD","Period=FQ","BEST_FPERIOD_OVERRIDE=FQ","FILING_STATUS=MR","FA_ADJUSTED=GAAP","Sort=A","Dates=H","DateFormat=P","Fill=—","Direction=H","UseDPDF=Y")</f>
        <v>—</v>
      </c>
      <c r="I20" s="14">
        <f>_xll.BDH("ALNY US Equity","EBIT_AFT_OP_LEA_EXPN_TO_INT_EXPN","FQ2 2020","FQ2 2020","Currency=USD","Period=FQ","BEST_FPERIOD_OVERRIDE=FQ","FILING_STATUS=MR","FA_ADJUSTED=GAAP","Sort=A","Dates=H","DateFormat=P","Fill=—","Direction=H","UseDPDF=Y")</f>
        <v>-7.2980999999999998</v>
      </c>
      <c r="J20" s="14">
        <f>_xll.BDH("ALNY US Equity","EBIT_AFT_OP_LEA_EXPN_TO_INT_EXPN","FQ3 2020","FQ3 2020","Currency=USD","Period=FQ","BEST_FPERIOD_OVERRIDE=FQ","FILING_STATUS=MR","FA_ADJUSTED=GAAP","Sort=A","Dates=H","DateFormat=P","Fill=—","Direction=H","UseDPDF=Y")</f>
        <v>-7.8381999999999996</v>
      </c>
      <c r="K20" s="14">
        <f>_xll.BDH("ALNY US Equity","EBIT_AFT_OP_LEA_EXPN_TO_INT_EXPN","FQ4 2020","FQ4 2020","Currency=USD","Period=FQ","BEST_FPERIOD_OVERRIDE=FQ","FILING_STATUS=MR","FA_ADJUSTED=GAAP","Sort=A","Dates=H","DateFormat=P","Fill=—","Direction=H","UseDPDF=Y")</f>
        <v>-6.8106999999999998</v>
      </c>
      <c r="L20" s="14">
        <f>_xll.BDH("ALNY US Equity","EBIT_AFT_OP_LEA_EXPN_TO_INT_EXPN","FQ1 2021","FQ1 2021","Currency=USD","Period=FQ","BEST_FPERIOD_OVERRIDE=FQ","FILING_STATUS=MR","FA_ADJUSTED=GAAP","Sort=A","Dates=H","DateFormat=P","Fill=—","Direction=H","UseDPDF=Y")</f>
        <v>-5.7282000000000002</v>
      </c>
      <c r="M20" s="14">
        <f>_xll.BDH("ALNY US Equity","EBIT_AFT_OP_LEA_EXPN_TO_INT_EXPN","FQ2 2021","FQ2 2021","Currency=USD","Period=FQ","BEST_FPERIOD_OVERRIDE=FQ","FILING_STATUS=MR","FA_ADJUSTED=GAAP","Sort=A","Dates=H","DateFormat=P","Fill=—","Direction=H","UseDPDF=Y")</f>
        <v>-4.3739999999999997</v>
      </c>
      <c r="N20" s="14">
        <f>_xll.BDH("ALNY US Equity","EBIT_AFT_OP_LEA_EXPN_TO_INT_EXPN","FQ3 2021","FQ3 2021","Currency=USD","Period=FQ","BEST_FPERIOD_OVERRIDE=FQ","FILING_STATUS=MR","FA_ADJUSTED=GAAP","Sort=A","Dates=H","DateFormat=P","Fill=—","Direction=H","UseDPDF=Y")</f>
        <v>-4.5110000000000001</v>
      </c>
      <c r="O20" s="14">
        <f>_xll.BDH("ALNY US Equity","EBIT_AFT_OP_LEA_EXPN_TO_INT_EXPN","FQ4 2021","FQ4 2021","Currency=USD","Period=FQ","BEST_FPERIOD_OVERRIDE=FQ","FILING_STATUS=MR","FA_ADJUSTED=GAAP","Sort=A","Dates=H","DateFormat=P","Fill=—","Direction=H","UseDPDF=Y")</f>
        <v>-5.2847</v>
      </c>
      <c r="P20" s="14">
        <f>_xll.BDH("ALNY US Equity","EBIT_AFT_OP_LEA_EXPN_TO_INT_EXPN","FQ1 2022","FQ1 2022","Currency=USD","Period=FQ","BEST_FPERIOD_OVERRIDE=FQ","FILING_STATUS=MR","FA_ADJUSTED=GAAP","Sort=A","Dates=H","DateFormat=P","Fill=—","Direction=H","UseDPDF=Y")</f>
        <v>-3.4638</v>
      </c>
      <c r="Q20" s="14">
        <f>_xll.BDH("ALNY US Equity","EBIT_AFT_OP_LEA_EXPN_TO_INT_EXPN","FQ2 2022","FQ2 2022","Currency=USD","Period=FQ","BEST_FPERIOD_OVERRIDE=FQ","FILING_STATUS=MR","FA_ADJUSTED=GAAP","Sort=A","Dates=H","DateFormat=P","Fill=—","Direction=H","UseDPDF=Y")</f>
        <v>-4.4987000000000004</v>
      </c>
      <c r="R20" s="14">
        <f>_xll.BDH("ALNY US Equity","EBIT_AFT_OP_LEA_EXPN_TO_INT_EXPN","FQ3 2022","FQ3 2022","Currency=USD","Period=FQ","BEST_FPERIOD_OVERRIDE=FQ","FILING_STATUS=MR","FA_ADJUSTED=GAAP","Sort=A","Dates=H","DateFormat=P","Fill=—","Direction=H","UseDPDF=Y")</f>
        <v>-6.2808000000000002</v>
      </c>
      <c r="S20" s="14">
        <f>_xll.BDH("ALNY US Equity","EBIT_AFT_OP_LEA_EXPN_TO_INT_EXPN","FQ4 2022","FQ4 2022","Currency=USD","Period=FQ","BEST_FPERIOD_OVERRIDE=FQ","FILING_STATUS=MR","FA_ADJUSTED=GAAP","Sort=A","Dates=H","DateFormat=P","Fill=—","Direction=H","UseDPDF=Y")</f>
        <v>-6.3053999999999997</v>
      </c>
      <c r="T20" s="14">
        <f>_xll.BDH("ALNY US Equity","EBIT_AFT_OP_LEA_EXPN_TO_INT_EXPN","FQ1 2023","FQ1 2023","Currency=USD","Period=FQ","BEST_FPERIOD_OVERRIDE=FQ","FILING_STATUS=MR","FA_ADJUSTED=GAAP","Sort=A","Dates=H","DateFormat=P","Fill=—","Direction=H","UseDPDF=Y")</f>
        <v>-5.1738</v>
      </c>
      <c r="U20" s="14">
        <f>_xll.BDH("ALNY US Equity","EBIT_AFT_OP_LEA_EXPN_TO_INT_EXPN","FQ2 2023","FQ2 2023","Currency=USD","Period=FQ","BEST_FPERIOD_OVERRIDE=FQ","FILING_STATUS=MR","FA_ADJUSTED=GAAP","Sort=A","Dates=H","DateFormat=P","Fill=—","Direction=H","UseDPDF=Y")</f>
        <v>-7.6520999999999999</v>
      </c>
      <c r="V20" s="14">
        <f>_xll.BDH("ALNY US Equity","EBIT_AFT_OP_LEA_EXPN_TO_INT_EXPN","FQ3 2023","FQ3 2023","Currency=USD","Period=FQ","BEST_FPERIOD_OVERRIDE=FQ","FILING_STATUS=MR","FA_ADJUSTED=GAAP","Sort=A","Dates=H","DateFormat=P","Fill=—","Direction=H","UseDPDF=Y")</f>
        <v>6.9227999999999996</v>
      </c>
      <c r="W20" s="14">
        <f>_xll.BDH("ALNY US Equity","EBIT_AFT_OP_LEA_EXPN_TO_INT_EXPN","FQ4 2023","FQ4 2023","Currency=USD","Period=FQ","BEST_FPERIOD_OVERRIDE=FQ","FILING_STATUS=MR","FA_ADJUSTED=GAAP","Sort=A","Dates=H","DateFormat=P","Fill=—","Direction=H","UseDPDF=Y")</f>
        <v>-3.7145000000000001</v>
      </c>
      <c r="X20" s="14">
        <f>_xll.BDH("ALNY US Equity","EBIT_AFT_OP_LEA_EXPN_TO_INT_EXPN","FQ1 2024","FQ1 2024","Currency=USD","Period=FQ","BEST_FPERIOD_OVERRIDE=FQ","FILING_STATUS=MR","FA_ADJUSTED=GAAP","Sort=A","Dates=H","DateFormat=P","Fill=—","Direction=H","UseDPDF=Y")</f>
        <v>-1.2321</v>
      </c>
      <c r="Y20" s="14">
        <f>_xll.BDH("ALNY US Equity","EBIT_AFT_OP_LEA_EXPN_TO_INT_EXPN","FQ2 2024","FQ2 2024","Currency=USD","Period=FQ","BEST_FPERIOD_OVERRIDE=FQ","FILING_STATUS=MR","FA_ADJUSTED=GAAP","Sort=A","Dates=H","DateFormat=P","Fill=—","Direction=H","UseDPDF=Y")</f>
        <v>1.4617</v>
      </c>
      <c r="Z20" s="14">
        <f>_xll.BDH("ALNY US Equity","EBIT_AFT_OP_LEA_EXPN_TO_INT_EXPN","FQ3 2024","FQ3 2024","Currency=USD","Period=FQ","BEST_FPERIOD_OVERRIDE=FQ","FILING_STATUS=MR","FA_ADJUSTED=GAAP","Sort=A","Dates=H","DateFormat=P","Fill=—","Direction=H","UseDPDF=Y")</f>
        <v>-2.2372000000000001</v>
      </c>
      <c r="AA20" s="14">
        <f>_xll.BDH("ALNY US Equity","EBIT_AFT_OP_LEA_EXPN_TO_INT_EXPN","FQ4 2024","FQ4 2024","Currency=USD","Period=FQ","BEST_FPERIOD_OVERRIDE=FQ","FILING_STATUS=MR","FA_ADJUSTED=GAAP","Sort=A","Dates=H","DateFormat=P","Fill=—","Direction=H","UseDPDF=Y")</f>
        <v>-2.6983999999999999</v>
      </c>
    </row>
    <row r="21" spans="1:2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10" t="s">
        <v>431</v>
      </c>
      <c r="B23" s="10" t="s">
        <v>1491</v>
      </c>
      <c r="C23" s="13" t="str">
        <f>_xll.BDH("ALNY US Equity","INT_EXPN_AFTER_OPERATING_LEA_ACT","FQ4 2018","FQ4 2018","Currency=USD","Period=FQ","BEST_FPERIOD_OVERRIDE=FQ","FILING_STATUS=MR","SCALING_FORMAT=MLN","FA_ADJUSTED=GAAP","Sort=A","Dates=H","DateFormat=P","Fill=—","Direction=H","UseDPDF=Y")</f>
        <v>—</v>
      </c>
      <c r="D23" s="13" t="str">
        <f>_xll.BDH("ALNY US Equity","INT_EXPN_AFTER_OPERATING_LEA_ACT","FQ1 2019","FQ1 2019","Currency=USD","Period=FQ","BEST_FPERIOD_OVERRIDE=FQ","FILING_STATUS=MR","SCALING_FORMAT=MLN","FA_ADJUSTED=GAAP","Sort=A","Dates=H","DateFormat=P","Fill=—","Direction=H","UseDPDF=Y")</f>
        <v>—</v>
      </c>
      <c r="E23" s="13" t="str">
        <f>_xll.BDH("ALNY US Equity","INT_EXPN_AFTER_OPERATING_LEA_ACT","FQ2 2019","FQ2 2019","Currency=USD","Period=FQ","BEST_FPERIOD_OVERRIDE=FQ","FILING_STATUS=MR","SCALING_FORMAT=MLN","FA_ADJUSTED=GAAP","Sort=A","Dates=H","DateFormat=P","Fill=—","Direction=H","UseDPDF=Y")</f>
        <v>—</v>
      </c>
      <c r="F23" s="13" t="str">
        <f>_xll.BDH("ALNY US Equity","INT_EXPN_AFTER_OPERATING_LEA_ACT","FQ3 2019","FQ3 2019","Currency=USD","Period=FQ","BEST_FPERIOD_OVERRIDE=FQ","FILING_STATUS=MR","SCALING_FORMAT=MLN","FA_ADJUSTED=GAAP","Sort=A","Dates=H","DateFormat=P","Fill=—","Direction=H","UseDPDF=Y")</f>
        <v>—</v>
      </c>
      <c r="G23" s="13" t="str">
        <f>_xll.BDH("ALNY US Equity","INT_EXPN_AFTER_OPERATING_LEA_ACT","FQ4 2019","FQ4 2019","Currency=USD","Period=FQ","BEST_FPERIOD_OVERRIDE=FQ","FILING_STATUS=MR","SCALING_FORMAT=MLN","FA_ADJUSTED=GAAP","Sort=A","Dates=H","DateFormat=P","Fill=—","Direction=H","UseDPDF=Y")</f>
        <v>—</v>
      </c>
      <c r="H23" s="13" t="str">
        <f>_xll.BDH("ALNY US Equity","INT_EXPN_AFTER_OPERATING_LEA_ACT","FQ1 2020","FQ1 2020","Currency=USD","Period=FQ","BEST_FPERIOD_OVERRIDE=FQ","FILING_STATUS=MR","SCALING_FORMAT=MLN","FA_ADJUSTED=GAAP","Sort=A","Dates=H","DateFormat=P","Fill=—","Direction=H","UseDPDF=Y")</f>
        <v>—</v>
      </c>
      <c r="I23" s="13">
        <f>_xll.BDH("ALNY US Equity","INT_EXPN_AFTER_OPERATING_LEA_ACT","FQ2 2020","FQ2 2020","Currency=USD","Period=FQ","BEST_FPERIOD_OVERRIDE=FQ","FILING_STATUS=MR","SCALING_FORMAT=MLN","FA_ADJUSTED=GAAP","Sort=A","Dates=H","DateFormat=P","Fill=—","Direction=H","UseDPDF=Y")</f>
        <v>27.248000000000001</v>
      </c>
      <c r="J23" s="13">
        <f>_xll.BDH("ALNY US Equity","INT_EXPN_AFTER_OPERATING_LEA_ACT","FQ3 2020","FQ3 2020","Currency=USD","Period=FQ","BEST_FPERIOD_OVERRIDE=FQ","FILING_STATUS=MR","SCALING_FORMAT=MLN","FA_ADJUSTED=GAAP","Sort=A","Dates=H","DateFormat=P","Fill=—","Direction=H","UseDPDF=Y")</f>
        <v>28.731000000000002</v>
      </c>
      <c r="K23" s="13">
        <f>_xll.BDH("ALNY US Equity","INT_EXPN_AFTER_OPERATING_LEA_ACT","FQ4 2020","FQ4 2020","Currency=USD","Period=FQ","BEST_FPERIOD_OVERRIDE=FQ","FILING_STATUS=MR","SCALING_FORMAT=MLN","FA_ADJUSTED=GAAP","Sort=A","Dates=H","DateFormat=P","Fill=—","Direction=H","UseDPDF=Y")</f>
        <v>28.516999999999999</v>
      </c>
      <c r="L23" s="13">
        <f>_xll.BDH("ALNY US Equity","INT_EXPN_AFTER_OPERATING_LEA_ACT","FQ1 2021","FQ1 2021","Currency=USD","Period=FQ","BEST_FPERIOD_OVERRIDE=FQ","FILING_STATUS=MR","SCALING_FORMAT=MLN","FA_ADJUSTED=GAAP","Sort=A","Dates=H","DateFormat=P","Fill=—","Direction=H","UseDPDF=Y")</f>
        <v>32.515000000000001</v>
      </c>
      <c r="M23" s="13">
        <f>_xll.BDH("ALNY US Equity","INT_EXPN_AFTER_OPERATING_LEA_ACT","FQ2 2021","FQ2 2021","Currency=USD","Period=FQ","BEST_FPERIOD_OVERRIDE=FQ","FILING_STATUS=MR","SCALING_FORMAT=MLN","FA_ADJUSTED=GAAP","Sort=A","Dates=H","DateFormat=P","Fill=—","Direction=H","UseDPDF=Y")</f>
        <v>33.415999999999997</v>
      </c>
      <c r="N23" s="13">
        <f>_xll.BDH("ALNY US Equity","INT_EXPN_AFTER_OPERATING_LEA_ACT","FQ3 2021","FQ3 2021","Currency=USD","Period=FQ","BEST_FPERIOD_OVERRIDE=FQ","FILING_STATUS=MR","SCALING_FORMAT=MLN","FA_ADJUSTED=GAAP","Sort=A","Dates=H","DateFormat=P","Fill=—","Direction=H","UseDPDF=Y")</f>
        <v>40.274000000000001</v>
      </c>
      <c r="O23" s="13">
        <f>_xll.BDH("ALNY US Equity","INT_EXPN_AFTER_OPERATING_LEA_ACT","FQ4 2021","FQ4 2021","Currency=USD","Period=FQ","BEST_FPERIOD_OVERRIDE=FQ","FILING_STATUS=MR","SCALING_FORMAT=MLN","FA_ADJUSTED=GAAP","Sort=A","Dates=H","DateFormat=P","Fill=—","Direction=H","UseDPDF=Y")</f>
        <v>36.816000000000003</v>
      </c>
      <c r="P23" s="13">
        <f>_xll.BDH("ALNY US Equity","INT_EXPN_AFTER_OPERATING_LEA_ACT","FQ1 2022","FQ1 2022","Currency=USD","Period=FQ","BEST_FPERIOD_OVERRIDE=FQ","FILING_STATUS=MR","SCALING_FORMAT=MLN","FA_ADJUSTED=GAAP","Sort=A","Dates=H","DateFormat=P","Fill=—","Direction=H","UseDPDF=Y")</f>
        <v>42.362000000000002</v>
      </c>
      <c r="Q23" s="13">
        <f>_xll.BDH("ALNY US Equity","INT_EXPN_AFTER_OPERATING_LEA_ACT","FQ2 2022","FQ2 2022","Currency=USD","Period=FQ","BEST_FPERIOD_OVERRIDE=FQ","FILING_STATUS=MR","SCALING_FORMAT=MLN","FA_ADJUSTED=GAAP","Sort=A","Dates=H","DateFormat=P","Fill=—","Direction=H","UseDPDF=Y")</f>
        <v>42.609000000000002</v>
      </c>
      <c r="R23" s="13">
        <f>_xll.BDH("ALNY US Equity","INT_EXPN_AFTER_OPERATING_LEA_ACT","FQ3 2022","FQ3 2022","Currency=USD","Period=FQ","BEST_FPERIOD_OVERRIDE=FQ","FILING_STATUS=MR","SCALING_FORMAT=MLN","FA_ADJUSTED=GAAP","Sort=A","Dates=H","DateFormat=P","Fill=—","Direction=H","UseDPDF=Y")</f>
        <v>41.084000000000003</v>
      </c>
      <c r="S23" s="13">
        <f>_xll.BDH("ALNY US Equity","INT_EXPN_AFTER_OPERATING_LEA_ACT","FQ4 2022","FQ4 2022","Currency=USD","Period=FQ","BEST_FPERIOD_OVERRIDE=FQ","FILING_STATUS=MR","SCALING_FORMAT=MLN","FA_ADJUSTED=GAAP","Sort=A","Dates=H","DateFormat=P","Fill=—","Direction=H","UseDPDF=Y")</f>
        <v>29.913</v>
      </c>
      <c r="T23" s="13">
        <f>_xll.BDH("ALNY US Equity","INT_EXPN_AFTER_OPERATING_LEA_ACT","FQ1 2023","FQ1 2023","Currency=USD","Period=FQ","BEST_FPERIOD_OVERRIDE=FQ","FILING_STATUS=MR","SCALING_FORMAT=MLN","FA_ADJUSTED=GAAP","Sort=A","Dates=H","DateFormat=P","Fill=—","Direction=H","UseDPDF=Y")</f>
        <v>28.954999999999998</v>
      </c>
      <c r="U23" s="13">
        <f>_xll.BDH("ALNY US Equity","INT_EXPN_AFTER_OPERATING_LEA_ACT","FQ2 2023","FQ2 2023","Currency=USD","Period=FQ","BEST_FPERIOD_OVERRIDE=FQ","FILING_STATUS=MR","SCALING_FORMAT=MLN","FA_ADJUSTED=GAAP","Sort=A","Dates=H","DateFormat=P","Fill=—","Direction=H","UseDPDF=Y")</f>
        <v>30.035</v>
      </c>
      <c r="V23" s="13">
        <f>_xll.BDH("ALNY US Equity","INT_EXPN_AFTER_OPERATING_LEA_ACT","FQ3 2023","FQ3 2023","Currency=USD","Period=FQ","BEST_FPERIOD_OVERRIDE=FQ","FILING_STATUS=MR","SCALING_FORMAT=MLN","FA_ADJUSTED=GAAP","Sort=A","Dates=H","DateFormat=P","Fill=—","Direction=H","UseDPDF=Y")</f>
        <v>30.893000000000001</v>
      </c>
      <c r="W23" s="13">
        <f>_xll.BDH("ALNY US Equity","INT_EXPN_AFTER_OPERATING_LEA_ACT","FQ4 2023","FQ4 2023","Currency=USD","Period=FQ","BEST_FPERIOD_OVERRIDE=FQ","FILING_STATUS=MR","SCALING_FORMAT=MLN","FA_ADJUSTED=GAAP","Sort=A","Dates=H","DateFormat=P","Fill=—","Direction=H","UseDPDF=Y")</f>
        <v>31.338000000000001</v>
      </c>
      <c r="X23" s="13">
        <f>_xll.BDH("ALNY US Equity","INT_EXPN_AFTER_OPERATING_LEA_ACT","FQ1 2024","FQ1 2024","Currency=USD","Period=FQ","BEST_FPERIOD_OVERRIDE=FQ","FILING_STATUS=MR","SCALING_FORMAT=MLN","FA_ADJUSTED=GAAP","Sort=A","Dates=H","DateFormat=P","Fill=—","Direction=H","UseDPDF=Y")</f>
        <v>35.253</v>
      </c>
      <c r="Y23" s="13">
        <f>_xll.BDH("ALNY US Equity","INT_EXPN_AFTER_OPERATING_LEA_ACT","FQ2 2024","FQ2 2024","Currency=USD","Period=FQ","BEST_FPERIOD_OVERRIDE=FQ","FILING_STATUS=MR","SCALING_FORMAT=MLN","FA_ADJUSTED=GAAP","Sort=A","Dates=H","DateFormat=P","Fill=—","Direction=H","UseDPDF=Y")</f>
        <v>33.258000000000003</v>
      </c>
      <c r="Z23" s="13">
        <f>_xll.BDH("ALNY US Equity","INT_EXPN_AFTER_OPERATING_LEA_ACT","FQ3 2024","FQ3 2024","Currency=USD","Period=FQ","BEST_FPERIOD_OVERRIDE=FQ","FILING_STATUS=MR","SCALING_FORMAT=MLN","FA_ADJUSTED=GAAP","Sort=A","Dates=H","DateFormat=P","Fill=—","Direction=H","UseDPDF=Y")</f>
        <v>34.375999999999998</v>
      </c>
      <c r="AA23" s="13">
        <f>_xll.BDH("ALNY US Equity","INT_EXPN_AFTER_OPERATING_LEA_ACT","FQ4 2024","FQ4 2024","Currency=USD","Period=FQ","BEST_FPERIOD_OVERRIDE=FQ","FILING_STATUS=MR","SCALING_FORMAT=MLN","FA_ADJUSTED=GAAP","Sort=A","Dates=H","DateFormat=P","Fill=—","Direction=H","UseDPDF=Y")</f>
        <v>38.970999999999997</v>
      </c>
    </row>
    <row r="24" spans="1:2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0" t="s">
        <v>1463</v>
      </c>
      <c r="B25" s="10" t="s">
        <v>1492</v>
      </c>
      <c r="C25" s="14">
        <f>_xll.BDH("ALNY US Equity","CE_TO_TOT_AST_LESS_OPER_LEA_AST","FQ4 2018","FQ4 2018","Currency=USD","Period=FQ","BEST_FPERIOD_OVERRIDE=FQ","FILING_STATUS=MR","Sort=A","Dates=H","DateFormat=P","Fill=—","Direction=H","UseDPDF=Y")</f>
        <v>82.674800000000005</v>
      </c>
      <c r="D25" s="14">
        <f>_xll.BDH("ALNY US Equity","CE_TO_TOT_AST_LESS_OPER_LEA_AST","FQ1 2019","FQ1 2019","Currency=USD","Period=FQ","BEST_FPERIOD_OVERRIDE=FQ","FILING_STATUS=MR","Sort=A","Dates=H","DateFormat=P","Fill=—","Direction=H","UseDPDF=Y")</f>
        <v>86.540499999999994</v>
      </c>
      <c r="E25" s="14">
        <f>_xll.BDH("ALNY US Equity","CE_TO_TOT_AST_LESS_OPER_LEA_AST","FQ2 2019","FQ2 2019","Currency=USD","Period=FQ","BEST_FPERIOD_OVERRIDE=FQ","FILING_STATUS=MR","Sort=A","Dates=H","DateFormat=P","Fill=—","Direction=H","UseDPDF=Y")</f>
        <v>70.5685</v>
      </c>
      <c r="F25" s="14">
        <f>_xll.BDH("ALNY US Equity","CE_TO_TOT_AST_LESS_OPER_LEA_AST","FQ3 2019","FQ3 2019","Currency=USD","Period=FQ","BEST_FPERIOD_OVERRIDE=FQ","FILING_STATUS=MR","Sort=A","Dates=H","DateFormat=P","Fill=—","Direction=H","UseDPDF=Y")</f>
        <v>69.325400000000002</v>
      </c>
      <c r="G25" s="14">
        <f>_xll.BDH("ALNY US Equity","CE_TO_TOT_AST_LESS_OPER_LEA_AST","FQ4 2019","FQ4 2019","Currency=USD","Period=FQ","BEST_FPERIOD_OVERRIDE=FQ","FILING_STATUS=MR","Sort=A","Dates=H","DateFormat=P","Fill=—","Direction=H","UseDPDF=Y")</f>
        <v>66.179100000000005</v>
      </c>
      <c r="H25" s="14">
        <f>_xll.BDH("ALNY US Equity","CE_TO_TOT_AST_LESS_OPER_LEA_AST","FQ1 2020","FQ1 2020","Currency=USD","Period=FQ","BEST_FPERIOD_OVERRIDE=FQ","FILING_STATUS=MR","Sort=A","Dates=H","DateFormat=P","Fill=—","Direction=H","UseDPDF=Y")</f>
        <v>65.573499999999996</v>
      </c>
      <c r="I25" s="14">
        <f>_xll.BDH("ALNY US Equity","CE_TO_TOT_AST_LESS_OPER_LEA_AST","FQ2 2020","FQ2 2020","Currency=USD","Period=FQ","BEST_FPERIOD_OVERRIDE=FQ","FILING_STATUS=MR","Sort=A","Dates=H","DateFormat=P","Fill=—","Direction=H","UseDPDF=Y")</f>
        <v>44.5107</v>
      </c>
      <c r="J25" s="14">
        <f>_xll.BDH("ALNY US Equity","CE_TO_TOT_AST_LESS_OPER_LEA_AST","FQ3 2020","FQ3 2020","Currency=USD","Period=FQ","BEST_FPERIOD_OVERRIDE=FQ","FILING_STATUS=MR","Sort=A","Dates=H","DateFormat=P","Fill=—","Direction=H","UseDPDF=Y")</f>
        <v>39.680100000000003</v>
      </c>
      <c r="K25" s="14">
        <f>_xll.BDH("ALNY US Equity","CE_TO_TOT_AST_LESS_OPER_LEA_AST","FQ4 2020","FQ4 2020","Currency=USD","Period=FQ","BEST_FPERIOD_OVERRIDE=FQ","FILING_STATUS=MR","Sort=A","Dates=H","DateFormat=P","Fill=—","Direction=H","UseDPDF=Y")</f>
        <v>32.103099999999998</v>
      </c>
      <c r="L25" s="14">
        <f>_xll.BDH("ALNY US Equity","CE_TO_TOT_AST_LESS_OPER_LEA_AST","FQ1 2021","FQ1 2021","Currency=USD","Period=FQ","BEST_FPERIOD_OVERRIDE=FQ","FILING_STATUS=MR","Sort=A","Dates=H","DateFormat=P","Fill=—","Direction=H","UseDPDF=Y")</f>
        <v>30.688300000000002</v>
      </c>
      <c r="M25" s="14">
        <f>_xll.BDH("ALNY US Equity","CE_TO_TOT_AST_LESS_OPER_LEA_AST","FQ2 2021","FQ2 2021","Currency=USD","Period=FQ","BEST_FPERIOD_OVERRIDE=FQ","FILING_STATUS=MR","Sort=A","Dates=H","DateFormat=P","Fill=—","Direction=H","UseDPDF=Y")</f>
        <v>26.085999999999999</v>
      </c>
      <c r="N25" s="14">
        <f>_xll.BDH("ALNY US Equity","CE_TO_TOT_AST_LESS_OPER_LEA_AST","FQ3 2021","FQ3 2021","Currency=USD","Period=FQ","BEST_FPERIOD_OVERRIDE=FQ","FILING_STATUS=MR","Sort=A","Dates=H","DateFormat=P","Fill=—","Direction=H","UseDPDF=Y")</f>
        <v>23.355499999999999</v>
      </c>
      <c r="O25" s="14">
        <f>_xll.BDH("ALNY US Equity","CE_TO_TOT_AST_LESS_OPER_LEA_AST","FQ4 2021","FQ4 2021","Currency=USD","Period=FQ","BEST_FPERIOD_OVERRIDE=FQ","FILING_STATUS=MR","Sort=A","Dates=H","DateFormat=P","Fill=—","Direction=H","UseDPDF=Y")</f>
        <v>17.241099999999999</v>
      </c>
      <c r="P25" s="14">
        <f>_xll.BDH("ALNY US Equity","CE_TO_TOT_AST_LESS_OPER_LEA_AST","FQ1 2022","FQ1 2022","Currency=USD","Period=FQ","BEST_FPERIOD_OVERRIDE=FQ","FILING_STATUS=MR","Sort=A","Dates=H","DateFormat=P","Fill=—","Direction=H","UseDPDF=Y")</f>
        <v>12.517799999999999</v>
      </c>
      <c r="Q25" s="14">
        <f>_xll.BDH("ALNY US Equity","CE_TO_TOT_AST_LESS_OPER_LEA_AST","FQ2 2022","FQ2 2022","Currency=USD","Period=FQ","BEST_FPERIOD_OVERRIDE=FQ","FILING_STATUS=MR","Sort=A","Dates=H","DateFormat=P","Fill=—","Direction=H","UseDPDF=Y")</f>
        <v>5.6668000000000003</v>
      </c>
      <c r="R25" s="14">
        <f>_xll.BDH("ALNY US Equity","CE_TO_TOT_AST_LESS_OPER_LEA_AST","FQ3 2022","FQ3 2022","Currency=USD","Period=FQ","BEST_FPERIOD_OVERRIDE=FQ","FILING_STATUS=MR","Sort=A","Dates=H","DateFormat=P","Fill=—","Direction=H","UseDPDF=Y")</f>
        <v>-2.0394999999999999</v>
      </c>
      <c r="S25" s="14">
        <f>_xll.BDH("ALNY US Equity","CE_TO_TOT_AST_LESS_OPER_LEA_AST","FQ4 2022","FQ4 2022","Currency=USD","Period=FQ","BEST_FPERIOD_OVERRIDE=FQ","FILING_STATUS=MR","Sort=A","Dates=H","DateFormat=P","Fill=—","Direction=H","UseDPDF=Y")</f>
        <v>-4.7496999999999998</v>
      </c>
      <c r="T25" s="14">
        <f>_xll.BDH("ALNY US Equity","CE_TO_TOT_AST_LESS_OPER_LEA_AST","FQ1 2023","FQ1 2023","Currency=USD","Period=FQ","BEST_FPERIOD_OVERRIDE=FQ","FILING_STATUS=MR","Sort=A","Dates=H","DateFormat=P","Fill=—","Direction=H","UseDPDF=Y")</f>
        <v>-8.1601999999999997</v>
      </c>
      <c r="U25" s="14">
        <f>_xll.BDH("ALNY US Equity","CE_TO_TOT_AST_LESS_OPER_LEA_AST","FQ2 2023","FQ2 2023","Currency=USD","Period=FQ","BEST_FPERIOD_OVERRIDE=FQ","FILING_STATUS=MR","Sort=A","Dates=H","DateFormat=P","Fill=—","Direction=H","UseDPDF=Y")</f>
        <v>-12.7797</v>
      </c>
      <c r="V25" s="14">
        <f>_xll.BDH("ALNY US Equity","CE_TO_TOT_AST_LESS_OPER_LEA_AST","FQ3 2023","FQ3 2023","Currency=USD","Period=FQ","BEST_FPERIOD_OVERRIDE=FQ","FILING_STATUS=MR","Sort=A","Dates=H","DateFormat=P","Fill=—","Direction=H","UseDPDF=Y")</f>
        <v>-4.5622999999999996</v>
      </c>
      <c r="W25" s="14">
        <f>_xll.BDH("ALNY US Equity","CE_TO_TOT_AST_LESS_OPER_LEA_AST","FQ4 2023","FQ4 2023","Currency=USD","Period=FQ","BEST_FPERIOD_OVERRIDE=FQ","FILING_STATUS=MR","Sort=A","Dates=H","DateFormat=P","Fill=—","Direction=H","UseDPDF=Y")</f>
        <v>-6.0781000000000001</v>
      </c>
      <c r="X25" s="14">
        <f>_xll.BDH("ALNY US Equity","CE_TO_TOT_AST_LESS_OPER_LEA_AST","FQ1 2024","FQ1 2024","Currency=USD","Period=FQ","BEST_FPERIOD_OVERRIDE=FQ","FILING_STATUS=MR","Sort=A","Dates=H","DateFormat=P","Fill=—","Direction=H","UseDPDF=Y")</f>
        <v>-6.0423999999999998</v>
      </c>
      <c r="Y25" s="14">
        <f>_xll.BDH("ALNY US Equity","CE_TO_TOT_AST_LESS_OPER_LEA_AST","FQ2 2024","FQ2 2024","Currency=USD","Period=FQ","BEST_FPERIOD_OVERRIDE=FQ","FILING_STATUS=MR","Sort=A","Dates=H","DateFormat=P","Fill=—","Direction=H","UseDPDF=Y")</f>
        <v>-8.0500000000000002E-2</v>
      </c>
      <c r="Z25" s="14">
        <f>_xll.BDH("ALNY US Equity","CE_TO_TOT_AST_LESS_OPER_LEA_AST","FQ3 2024","FQ3 2024","Currency=USD","Period=FQ","BEST_FPERIOD_OVERRIDE=FQ","FILING_STATUS=MR","Sort=A","Dates=H","DateFormat=P","Fill=—","Direction=H","UseDPDF=Y")</f>
        <v>0.80710000000000004</v>
      </c>
      <c r="AA25" s="14">
        <f>_xll.BDH("ALNY US Equity","CE_TO_TOT_AST_LESS_OPER_LEA_AST","FQ4 2024","FQ4 2024","Currency=USD","Period=FQ","BEST_FPERIOD_OVERRIDE=FQ","FILING_STATUS=MR","Sort=A","Dates=H","DateFormat=P","Fill=—","Direction=H","UseDPDF=Y")</f>
        <v>1.657</v>
      </c>
    </row>
    <row r="26" spans="1:27" x14ac:dyDescent="0.25">
      <c r="A26" s="10" t="s">
        <v>1465</v>
      </c>
      <c r="B26" s="10" t="s">
        <v>1493</v>
      </c>
      <c r="C26" s="14">
        <f>_xll.BDH("ALNY US Equity","LT_DBT_EX_OPER_LEA_LIABS_TO_EQTY","FQ4 2018","FQ4 2018","Currency=USD","Period=FQ","BEST_FPERIOD_OVERRIDE=FQ","FILING_STATUS=MR","Sort=A","Dates=H","DateFormat=P","Fill=—","Direction=H","UseDPDF=Y")</f>
        <v>2.3041999999999998</v>
      </c>
      <c r="D26" s="14">
        <f>_xll.BDH("ALNY US Equity","LT_DBT_EX_OPER_LEA_LIABS_TO_EQTY","FQ1 2019","FQ1 2019","Currency=USD","Period=FQ","BEST_FPERIOD_OVERRIDE=FQ","FILING_STATUS=MR","Sort=A","Dates=H","DateFormat=P","Fill=—","Direction=H","UseDPDF=Y")</f>
        <v>1.9393</v>
      </c>
      <c r="E26" s="14">
        <f>_xll.BDH("ALNY US Equity","LT_DBT_EX_OPER_LEA_LIABS_TO_EQTY","FQ2 2019","FQ2 2019","Currency=USD","Period=FQ","BEST_FPERIOD_OVERRIDE=FQ","FILING_STATUS=MR","Sort=A","Dates=H","DateFormat=P","Fill=—","Direction=H","UseDPDF=Y")</f>
        <v>1.7073</v>
      </c>
      <c r="F26" s="14">
        <f>_xll.BDH("ALNY US Equity","LT_DBT_EX_OPER_LEA_LIABS_TO_EQTY","FQ3 2019","FQ3 2019","Currency=USD","Period=FQ","BEST_FPERIOD_OVERRIDE=FQ","FILING_STATUS=MR","Sort=A","Dates=H","DateFormat=P","Fill=—","Direction=H","UseDPDF=Y")</f>
        <v>0</v>
      </c>
      <c r="G26" s="14">
        <f>_xll.BDH("ALNY US Equity","LT_DBT_EX_OPER_LEA_LIABS_TO_EQTY","FQ4 2019","FQ4 2019","Currency=USD","Period=FQ","BEST_FPERIOD_OVERRIDE=FQ","FILING_STATUS=MR","Sort=A","Dates=H","DateFormat=P","Fill=—","Direction=H","UseDPDF=Y")</f>
        <v>0</v>
      </c>
      <c r="H26" s="14">
        <f>_xll.BDH("ALNY US Equity","LT_DBT_EX_OPER_LEA_LIABS_TO_EQTY","FQ1 2020","FQ1 2020","Currency=USD","Period=FQ","BEST_FPERIOD_OVERRIDE=FQ","FILING_STATUS=MR","Sort=A","Dates=H","DateFormat=P","Fill=—","Direction=H","UseDPDF=Y")</f>
        <v>0</v>
      </c>
      <c r="I26" s="14">
        <f>_xll.BDH("ALNY US Equity","LT_DBT_EX_OPER_LEA_LIABS_TO_EQTY","FQ2 2020","FQ2 2020","Currency=USD","Period=FQ","BEST_FPERIOD_OVERRIDE=FQ","FILING_STATUS=MR","Sort=A","Dates=H","DateFormat=P","Fill=—","Direction=H","UseDPDF=Y")</f>
        <v>0</v>
      </c>
      <c r="J26" s="14">
        <f>_xll.BDH("ALNY US Equity","LT_DBT_EX_OPER_LEA_LIABS_TO_EQTY","FQ3 2020","FQ3 2020","Currency=USD","Period=FQ","BEST_FPERIOD_OVERRIDE=FQ","FILING_STATUS=MR","Sort=A","Dates=H","DateFormat=P","Fill=—","Direction=H","UseDPDF=Y")</f>
        <v>0</v>
      </c>
      <c r="K26" s="14">
        <f>_xll.BDH("ALNY US Equity","LT_DBT_EX_OPER_LEA_LIABS_TO_EQTY","FQ4 2020","FQ4 2020","Currency=USD","Period=FQ","BEST_FPERIOD_OVERRIDE=FQ","FILING_STATUS=MR","Sort=A","Dates=H","DateFormat=P","Fill=—","Direction=H","UseDPDF=Y")</f>
        <v>18.821999999999999</v>
      </c>
      <c r="L26" s="14">
        <f>_xll.BDH("ALNY US Equity","LT_DBT_EX_OPER_LEA_LIABS_TO_EQTY","FQ1 2021","FQ1 2021","Currency=USD","Period=FQ","BEST_FPERIOD_OVERRIDE=FQ","FILING_STATUS=MR","Sort=A","Dates=H","DateFormat=P","Fill=—","Direction=H","UseDPDF=Y")</f>
        <v>20.6858</v>
      </c>
      <c r="M26" s="14">
        <f>_xll.BDH("ALNY US Equity","LT_DBT_EX_OPER_LEA_LIABS_TO_EQTY","FQ2 2021","FQ2 2021","Currency=USD","Period=FQ","BEST_FPERIOD_OVERRIDE=FQ","FILING_STATUS=MR","Sort=A","Dates=H","DateFormat=P","Fill=—","Direction=H","UseDPDF=Y")</f>
        <v>50.758200000000002</v>
      </c>
      <c r="N26" s="14">
        <f>_xll.BDH("ALNY US Equity","LT_DBT_EX_OPER_LEA_LIABS_TO_EQTY","FQ3 2021","FQ3 2021","Currency=USD","Period=FQ","BEST_FPERIOD_OVERRIDE=FQ","FILING_STATUS=MR","Sort=A","Dates=H","DateFormat=P","Fill=—","Direction=H","UseDPDF=Y")</f>
        <v>57.3889</v>
      </c>
      <c r="O26" s="14">
        <f>_xll.BDH("ALNY US Equity","LT_DBT_EX_OPER_LEA_LIABS_TO_EQTY","FQ4 2021","FQ4 2021","Currency=USD","Period=FQ","BEST_FPERIOD_OVERRIDE=FQ","FILING_STATUS=MR","Sort=A","Dates=H","DateFormat=P","Fill=—","Direction=H","UseDPDF=Y")</f>
        <v>114.87479999999999</v>
      </c>
      <c r="P26" s="14">
        <f>_xll.BDH("ALNY US Equity","LT_DBT_EX_OPER_LEA_LIABS_TO_EQTY","FQ1 2022","FQ1 2022","Currency=USD","Period=FQ","BEST_FPERIOD_OVERRIDE=FQ","FILING_STATUS=MR","Sort=A","Dates=H","DateFormat=P","Fill=—","Direction=H","UseDPDF=Y")</f>
        <v>168.6858</v>
      </c>
      <c r="Q26" s="14">
        <f>_xll.BDH("ALNY US Equity","LT_DBT_EX_OPER_LEA_LIABS_TO_EQTY","FQ2 2022","FQ2 2022","Currency=USD","Period=FQ","BEST_FPERIOD_OVERRIDE=FQ","FILING_STATUS=MR","Sort=A","Dates=H","DateFormat=P","Fill=—","Direction=H","UseDPDF=Y")</f>
        <v>384.98239999999998</v>
      </c>
      <c r="R26" s="14" t="str">
        <f>_xll.BDH("ALNY US Equity","LT_DBT_EX_OPER_LEA_LIABS_TO_EQTY","FQ3 2022","FQ3 2022","Currency=USD","Period=FQ","BEST_FPERIOD_OVERRIDE=FQ","FILING_STATUS=MR","Sort=A","Dates=H","DateFormat=P","Fill=—","Direction=H","UseDPDF=Y")</f>
        <v>—</v>
      </c>
      <c r="S26" s="14" t="str">
        <f>_xll.BDH("ALNY US Equity","LT_DBT_EX_OPER_LEA_LIABS_TO_EQTY","FQ4 2022","FQ4 2022","Currency=USD","Period=FQ","BEST_FPERIOD_OVERRIDE=FQ","FILING_STATUS=MR","Sort=A","Dates=H","DateFormat=P","Fill=—","Direction=H","UseDPDF=Y")</f>
        <v>—</v>
      </c>
      <c r="T26" s="14" t="str">
        <f>_xll.BDH("ALNY US Equity","LT_DBT_EX_OPER_LEA_LIABS_TO_EQTY","FQ1 2023","FQ1 2023","Currency=USD","Period=FQ","BEST_FPERIOD_OVERRIDE=FQ","FILING_STATUS=MR","Sort=A","Dates=H","DateFormat=P","Fill=—","Direction=H","UseDPDF=Y")</f>
        <v>—</v>
      </c>
      <c r="U26" s="14" t="str">
        <f>_xll.BDH("ALNY US Equity","LT_DBT_EX_OPER_LEA_LIABS_TO_EQTY","FQ2 2023","FQ2 2023","Currency=USD","Period=FQ","BEST_FPERIOD_OVERRIDE=FQ","FILING_STATUS=MR","Sort=A","Dates=H","DateFormat=P","Fill=—","Direction=H","UseDPDF=Y")</f>
        <v>—</v>
      </c>
      <c r="V26" s="14" t="str">
        <f>_xll.BDH("ALNY US Equity","LT_DBT_EX_OPER_LEA_LIABS_TO_EQTY","FQ3 2023","FQ3 2023","Currency=USD","Period=FQ","BEST_FPERIOD_OVERRIDE=FQ","FILING_STATUS=MR","Sort=A","Dates=H","DateFormat=P","Fill=—","Direction=H","UseDPDF=Y")</f>
        <v>—</v>
      </c>
      <c r="W26" s="14" t="str">
        <f>_xll.BDH("ALNY US Equity","LT_DBT_EX_OPER_LEA_LIABS_TO_EQTY","FQ4 2023","FQ4 2023","Currency=USD","Period=FQ","BEST_FPERIOD_OVERRIDE=FQ","FILING_STATUS=MR","Sort=A","Dates=H","DateFormat=P","Fill=—","Direction=H","UseDPDF=Y")</f>
        <v>—</v>
      </c>
      <c r="X26" s="14" t="str">
        <f>_xll.BDH("ALNY US Equity","LT_DBT_EX_OPER_LEA_LIABS_TO_EQTY","FQ1 2024","FQ1 2024","Currency=USD","Period=FQ","BEST_FPERIOD_OVERRIDE=FQ","FILING_STATUS=MR","Sort=A","Dates=H","DateFormat=P","Fill=—","Direction=H","UseDPDF=Y")</f>
        <v>—</v>
      </c>
      <c r="Y26" s="14" t="str">
        <f>_xll.BDH("ALNY US Equity","LT_DBT_EX_OPER_LEA_LIABS_TO_EQTY","FQ2 2024","FQ2 2024","Currency=USD","Period=FQ","BEST_FPERIOD_OVERRIDE=FQ","FILING_STATUS=MR","Sort=A","Dates=H","DateFormat=P","Fill=—","Direction=H","UseDPDF=Y")</f>
        <v>—</v>
      </c>
      <c r="Z26" s="14">
        <f>_xll.BDH("ALNY US Equity","LT_DBT_EX_OPER_LEA_LIABS_TO_EQTY","FQ3 2024","FQ3 2024","Currency=USD","Period=FQ","BEST_FPERIOD_OVERRIDE=FQ","FILING_STATUS=MR","Sort=A","Dates=H","DateFormat=P","Fill=—","Direction=H","UseDPDF=Y")</f>
        <v>3163.9178999999999</v>
      </c>
      <c r="AA26" s="14">
        <f>_xll.BDH("ALNY US Equity","LT_DBT_EX_OPER_LEA_LIABS_TO_EQTY","FQ4 2024","FQ4 2024","Currency=USD","Period=FQ","BEST_FPERIOD_OVERRIDE=FQ","FILING_STATUS=MR","Sort=A","Dates=H","DateFormat=P","Fill=—","Direction=H","UseDPDF=Y")</f>
        <v>1527.2791</v>
      </c>
    </row>
    <row r="27" spans="1:27" x14ac:dyDescent="0.25">
      <c r="A27" s="10" t="s">
        <v>1467</v>
      </c>
      <c r="B27" s="10" t="s">
        <v>1494</v>
      </c>
      <c r="C27" s="14">
        <f>_xll.BDH("ALNY US Equity","LT_DBT_TO_CPTL_EX_OPER_LEA_LIABS","FQ4 2018","FQ4 2018","Currency=USD","Period=FQ","BEST_FPERIOD_OVERRIDE=FQ","FILING_STATUS=MR","Sort=A","Dates=H","DateFormat=P","Fill=—","Direction=H","UseDPDF=Y")</f>
        <v>2.2523</v>
      </c>
      <c r="D27" s="14">
        <f>_xll.BDH("ALNY US Equity","LT_DBT_TO_CPTL_EX_OPER_LEA_LIABS","FQ1 2019","FQ1 2019","Currency=USD","Period=FQ","BEST_FPERIOD_OVERRIDE=FQ","FILING_STATUS=MR","Sort=A","Dates=H","DateFormat=P","Fill=—","Direction=H","UseDPDF=Y")</f>
        <v>1.9024000000000001</v>
      </c>
      <c r="E27" s="14">
        <f>_xll.BDH("ALNY US Equity","LT_DBT_TO_CPTL_EX_OPER_LEA_LIABS","FQ2 2019","FQ2 2019","Currency=USD","Period=FQ","BEST_FPERIOD_OVERRIDE=FQ","FILING_STATUS=MR","Sort=A","Dates=H","DateFormat=P","Fill=—","Direction=H","UseDPDF=Y")</f>
        <v>1.6786000000000001</v>
      </c>
      <c r="F27" s="14">
        <f>_xll.BDH("ALNY US Equity","LT_DBT_TO_CPTL_EX_OPER_LEA_LIABS","FQ3 2019","FQ3 2019","Currency=USD","Period=FQ","BEST_FPERIOD_OVERRIDE=FQ","FILING_STATUS=MR","Sort=A","Dates=H","DateFormat=P","Fill=—","Direction=H","UseDPDF=Y")</f>
        <v>0</v>
      </c>
      <c r="G27" s="14">
        <f>_xll.BDH("ALNY US Equity","LT_DBT_TO_CPTL_EX_OPER_LEA_LIABS","FQ4 2019","FQ4 2019","Currency=USD","Period=FQ","BEST_FPERIOD_OVERRIDE=FQ","FILING_STATUS=MR","Sort=A","Dates=H","DateFormat=P","Fill=—","Direction=H","UseDPDF=Y")</f>
        <v>0</v>
      </c>
      <c r="H27" s="14">
        <f>_xll.BDH("ALNY US Equity","LT_DBT_TO_CPTL_EX_OPER_LEA_LIABS","FQ1 2020","FQ1 2020","Currency=USD","Period=FQ","BEST_FPERIOD_OVERRIDE=FQ","FILING_STATUS=MR","Sort=A","Dates=H","DateFormat=P","Fill=—","Direction=H","UseDPDF=Y")</f>
        <v>0</v>
      </c>
      <c r="I27" s="14">
        <f>_xll.BDH("ALNY US Equity","LT_DBT_TO_CPTL_EX_OPER_LEA_LIABS","FQ2 2020","FQ2 2020","Currency=USD","Period=FQ","BEST_FPERIOD_OVERRIDE=FQ","FILING_STATUS=MR","Sort=A","Dates=H","DateFormat=P","Fill=—","Direction=H","UseDPDF=Y")</f>
        <v>0</v>
      </c>
      <c r="J27" s="14">
        <f>_xll.BDH("ALNY US Equity","LT_DBT_TO_CPTL_EX_OPER_LEA_LIABS","FQ3 2020","FQ3 2020","Currency=USD","Period=FQ","BEST_FPERIOD_OVERRIDE=FQ","FILING_STATUS=MR","Sort=A","Dates=H","DateFormat=P","Fill=—","Direction=H","UseDPDF=Y")</f>
        <v>0</v>
      </c>
      <c r="K27" s="14">
        <f>_xll.BDH("ALNY US Equity","LT_DBT_TO_CPTL_EX_OPER_LEA_LIABS","FQ4 2020","FQ4 2020","Currency=USD","Period=FQ","BEST_FPERIOD_OVERRIDE=FQ","FILING_STATUS=MR","Sort=A","Dates=H","DateFormat=P","Fill=—","Direction=H","UseDPDF=Y")</f>
        <v>15.8405</v>
      </c>
      <c r="L27" s="14">
        <f>_xll.BDH("ALNY US Equity","LT_DBT_TO_CPTL_EX_OPER_LEA_LIABS","FQ1 2021","FQ1 2021","Currency=USD","Period=FQ","BEST_FPERIOD_OVERRIDE=FQ","FILING_STATUS=MR","Sort=A","Dates=H","DateFormat=P","Fill=—","Direction=H","UseDPDF=Y")</f>
        <v>17.1402</v>
      </c>
      <c r="M27" s="14">
        <f>_xll.BDH("ALNY US Equity","LT_DBT_TO_CPTL_EX_OPER_LEA_LIABS","FQ2 2021","FQ2 2021","Currency=USD","Period=FQ","BEST_FPERIOD_OVERRIDE=FQ","FILING_STATUS=MR","Sort=A","Dates=H","DateFormat=P","Fill=—","Direction=H","UseDPDF=Y")</f>
        <v>33.668599999999998</v>
      </c>
      <c r="N27" s="14">
        <f>_xll.BDH("ALNY US Equity","LT_DBT_TO_CPTL_EX_OPER_LEA_LIABS","FQ3 2021","FQ3 2021","Currency=USD","Period=FQ","BEST_FPERIOD_OVERRIDE=FQ","FILING_STATUS=MR","Sort=A","Dates=H","DateFormat=P","Fill=—","Direction=H","UseDPDF=Y")</f>
        <v>36.463099999999997</v>
      </c>
      <c r="O27" s="14">
        <f>_xll.BDH("ALNY US Equity","LT_DBT_TO_CPTL_EX_OPER_LEA_LIABS","FQ4 2021","FQ4 2021","Currency=USD","Period=FQ","BEST_FPERIOD_OVERRIDE=FQ","FILING_STATUS=MR","Sort=A","Dates=H","DateFormat=P","Fill=—","Direction=H","UseDPDF=Y")</f>
        <v>53.461300000000001</v>
      </c>
      <c r="P27" s="14">
        <f>_xll.BDH("ALNY US Equity","LT_DBT_TO_CPTL_EX_OPER_LEA_LIABS","FQ1 2022","FQ1 2022","Currency=USD","Period=FQ","BEST_FPERIOD_OVERRIDE=FQ","FILING_STATUS=MR","Sort=A","Dates=H","DateFormat=P","Fill=—","Direction=H","UseDPDF=Y")</f>
        <v>62.781799999999997</v>
      </c>
      <c r="Q27" s="14">
        <f>_xll.BDH("ALNY US Equity","LT_DBT_TO_CPTL_EX_OPER_LEA_LIABS","FQ2 2022","FQ2 2022","Currency=USD","Period=FQ","BEST_FPERIOD_OVERRIDE=FQ","FILING_STATUS=MR","Sort=A","Dates=H","DateFormat=P","Fill=—","Direction=H","UseDPDF=Y")</f>
        <v>79.380700000000004</v>
      </c>
      <c r="R27" s="14">
        <f>_xll.BDH("ALNY US Equity","LT_DBT_TO_CPTL_EX_OPER_LEA_LIABS","FQ3 2022","FQ3 2022","Currency=USD","Period=FQ","BEST_FPERIOD_OVERRIDE=FQ","FILING_STATUS=MR","Sort=A","Dates=H","DateFormat=P","Fill=—","Direction=H","UseDPDF=Y")</f>
        <v>105.80970000000001</v>
      </c>
      <c r="S27" s="14">
        <f>_xll.BDH("ALNY US Equity","LT_DBT_TO_CPTL_EX_OPER_LEA_LIABS","FQ4 2022","FQ4 2022","Currency=USD","Period=FQ","BEST_FPERIOD_OVERRIDE=FQ","FILING_STATUS=MR","Sort=A","Dates=H","DateFormat=P","Fill=—","Direction=H","UseDPDF=Y")</f>
        <v>118.4255</v>
      </c>
      <c r="T27" s="14">
        <f>_xll.BDH("ALNY US Equity","LT_DBT_TO_CPTL_EX_OPER_LEA_LIABS","FQ1 2023","FQ1 2023","Currency=USD","Period=FQ","BEST_FPERIOD_OVERRIDE=FQ","FILING_STATUS=MR","Sort=A","Dates=H","DateFormat=P","Fill=—","Direction=H","UseDPDF=Y")</f>
        <v>134.17140000000001</v>
      </c>
      <c r="U27" s="14">
        <f>_xll.BDH("ALNY US Equity","LT_DBT_TO_CPTL_EX_OPER_LEA_LIABS","FQ2 2023","FQ2 2023","Currency=USD","Period=FQ","BEST_FPERIOD_OVERRIDE=FQ","FILING_STATUS=MR","Sort=A","Dates=H","DateFormat=P","Fill=—","Direction=H","UseDPDF=Y")</f>
        <v>166.8287</v>
      </c>
      <c r="V27" s="14">
        <f>_xll.BDH("ALNY US Equity","LT_DBT_TO_CPTL_EX_OPER_LEA_LIABS","FQ3 2023","FQ3 2023","Currency=USD","Period=FQ","BEST_FPERIOD_OVERRIDE=FQ","FILING_STATUS=MR","Sort=A","Dates=H","DateFormat=P","Fill=—","Direction=H","UseDPDF=Y")</f>
        <v>119.4235</v>
      </c>
      <c r="W27" s="14">
        <f>_xll.BDH("ALNY US Equity","LT_DBT_TO_CPTL_EX_OPER_LEA_LIABS","FQ4 2023","FQ4 2023","Currency=USD","Period=FQ","BEST_FPERIOD_OVERRIDE=FQ","FILING_STATUS=MR","Sort=A","Dates=H","DateFormat=P","Fill=—","Direction=H","UseDPDF=Y")</f>
        <v>127.5759</v>
      </c>
      <c r="X27" s="14">
        <f>_xll.BDH("ALNY US Equity","LT_DBT_TO_CPTL_EX_OPER_LEA_LIABS","FQ1 2024","FQ1 2024","Currency=USD","Period=FQ","BEST_FPERIOD_OVERRIDE=FQ","FILING_STATUS=MR","Sort=A","Dates=H","DateFormat=P","Fill=—","Direction=H","UseDPDF=Y")</f>
        <v>127.325</v>
      </c>
      <c r="Y27" s="14">
        <f>_xll.BDH("ALNY US Equity","LT_DBT_TO_CPTL_EX_OPER_LEA_LIABS","FQ2 2024","FQ2 2024","Currency=USD","Period=FQ","BEST_FPERIOD_OVERRIDE=FQ","FILING_STATUS=MR","Sort=A","Dates=H","DateFormat=P","Fill=—","Direction=H","UseDPDF=Y")</f>
        <v>100.1298</v>
      </c>
      <c r="Z27" s="14">
        <f>_xll.BDH("ALNY US Equity","LT_DBT_TO_CPTL_EX_OPER_LEA_LIABS","FQ3 2024","FQ3 2024","Currency=USD","Period=FQ","BEST_FPERIOD_OVERRIDE=FQ","FILING_STATUS=MR","Sort=A","Dates=H","DateFormat=P","Fill=—","Direction=H","UseDPDF=Y")</f>
        <v>96.936199999999999</v>
      </c>
      <c r="AA27" s="14">
        <f>_xll.BDH("ALNY US Equity","LT_DBT_TO_CPTL_EX_OPER_LEA_LIABS","FQ4 2024","FQ4 2024","Currency=USD","Period=FQ","BEST_FPERIOD_OVERRIDE=FQ","FILING_STATUS=MR","Sort=A","Dates=H","DateFormat=P","Fill=—","Direction=H","UseDPDF=Y")</f>
        <v>93.854799999999997</v>
      </c>
    </row>
    <row r="28" spans="1:27" x14ac:dyDescent="0.25">
      <c r="A28" s="10" t="s">
        <v>1469</v>
      </c>
      <c r="B28" s="10" t="s">
        <v>1495</v>
      </c>
      <c r="C28" s="14">
        <f>_xll.BDH("ALNY US Equity","LT_DBT_AST_EX_OP_LEA_LIAB_AST","FQ4 2018","FQ4 2018","Currency=USD","Period=FQ","BEST_FPERIOD_OVERRIDE=FQ","FILING_STATUS=MR","Sort=A","Dates=H","DateFormat=P","Fill=—","Direction=H","UseDPDF=Y")</f>
        <v>1.905</v>
      </c>
      <c r="D28" s="14">
        <f>_xll.BDH("ALNY US Equity","LT_DBT_AST_EX_OP_LEA_LIAB_AST","FQ1 2019","FQ1 2019","Currency=USD","Period=FQ","BEST_FPERIOD_OVERRIDE=FQ","FILING_STATUS=MR","Sort=A","Dates=H","DateFormat=P","Fill=—","Direction=H","UseDPDF=Y")</f>
        <v>1.6781999999999999</v>
      </c>
      <c r="E28" s="14">
        <f>_xll.BDH("ALNY US Equity","LT_DBT_AST_EX_OP_LEA_LIAB_AST","FQ2 2019","FQ2 2019","Currency=USD","Period=FQ","BEST_FPERIOD_OVERRIDE=FQ","FILING_STATUS=MR","Sort=A","Dates=H","DateFormat=P","Fill=—","Direction=H","UseDPDF=Y")</f>
        <v>1.2048000000000001</v>
      </c>
      <c r="F28" s="14">
        <f>_xll.BDH("ALNY US Equity","LT_DBT_AST_EX_OP_LEA_LIAB_AST","FQ3 2019","FQ3 2019","Currency=USD","Period=FQ","BEST_FPERIOD_OVERRIDE=FQ","FILING_STATUS=MR","Sort=A","Dates=H","DateFormat=P","Fill=—","Direction=H","UseDPDF=Y")</f>
        <v>0</v>
      </c>
      <c r="G28" s="14">
        <f>_xll.BDH("ALNY US Equity","LT_DBT_AST_EX_OP_LEA_LIAB_AST","FQ4 2019","FQ4 2019","Currency=USD","Period=FQ","BEST_FPERIOD_OVERRIDE=FQ","FILING_STATUS=MR","Sort=A","Dates=H","DateFormat=P","Fill=—","Direction=H","UseDPDF=Y")</f>
        <v>0</v>
      </c>
      <c r="H28" s="14">
        <f>_xll.BDH("ALNY US Equity","LT_DBT_AST_EX_OP_LEA_LIAB_AST","FQ1 2020","FQ1 2020","Currency=USD","Period=FQ","BEST_FPERIOD_OVERRIDE=FQ","FILING_STATUS=MR","Sort=A","Dates=H","DateFormat=P","Fill=—","Direction=H","UseDPDF=Y")</f>
        <v>0</v>
      </c>
      <c r="I28" s="14">
        <f>_xll.BDH("ALNY US Equity","LT_DBT_AST_EX_OP_LEA_LIAB_AST","FQ2 2020","FQ2 2020","Currency=USD","Period=FQ","BEST_FPERIOD_OVERRIDE=FQ","FILING_STATUS=MR","Sort=A","Dates=H","DateFormat=P","Fill=—","Direction=H","UseDPDF=Y")</f>
        <v>0</v>
      </c>
      <c r="J28" s="14">
        <f>_xll.BDH("ALNY US Equity","LT_DBT_AST_EX_OP_LEA_LIAB_AST","FQ3 2020","FQ3 2020","Currency=USD","Period=FQ","BEST_FPERIOD_OVERRIDE=FQ","FILING_STATUS=MR","Sort=A","Dates=H","DateFormat=P","Fill=—","Direction=H","UseDPDF=Y")</f>
        <v>0</v>
      </c>
      <c r="K28" s="14">
        <f>_xll.BDH("ALNY US Equity","LT_DBT_AST_EX_OP_LEA_LIAB_AST","FQ4 2020","FQ4 2020","Currency=USD","Period=FQ","BEST_FPERIOD_OVERRIDE=FQ","FILING_STATUS=MR","Sort=A","Dates=H","DateFormat=P","Fill=—","Direction=H","UseDPDF=Y")</f>
        <v>6.0423999999999998</v>
      </c>
      <c r="L28" s="14">
        <f>_xll.BDH("ALNY US Equity","LT_DBT_AST_EX_OP_LEA_LIAB_AST","FQ1 2021","FQ1 2021","Currency=USD","Period=FQ","BEST_FPERIOD_OVERRIDE=FQ","FILING_STATUS=MR","Sort=A","Dates=H","DateFormat=P","Fill=—","Direction=H","UseDPDF=Y")</f>
        <v>6.3480999999999996</v>
      </c>
      <c r="M28" s="14">
        <f>_xll.BDH("ALNY US Equity","LT_DBT_AST_EX_OP_LEA_LIAB_AST","FQ2 2021","FQ2 2021","Currency=USD","Period=FQ","BEST_FPERIOD_OVERRIDE=FQ","FILING_STATUS=MR","Sort=A","Dates=H","DateFormat=P","Fill=—","Direction=H","UseDPDF=Y")</f>
        <v>13.2408</v>
      </c>
      <c r="N28" s="14">
        <f>_xll.BDH("ALNY US Equity","LT_DBT_AST_EX_OP_LEA_LIAB_AST","FQ3 2021","FQ3 2021","Currency=USD","Period=FQ","BEST_FPERIOD_OVERRIDE=FQ","FILING_STATUS=MR","Sort=A","Dates=H","DateFormat=P","Fill=—","Direction=H","UseDPDF=Y")</f>
        <v>13.403499999999999</v>
      </c>
      <c r="O28" s="14">
        <f>_xll.BDH("ALNY US Equity","LT_DBT_AST_EX_OP_LEA_LIAB_AST","FQ4 2021","FQ4 2021","Currency=USD","Period=FQ","BEST_FPERIOD_OVERRIDE=FQ","FILING_STATUS=MR","Sort=A","Dates=H","DateFormat=P","Fill=—","Direction=H","UseDPDF=Y")</f>
        <v>19.805700000000002</v>
      </c>
      <c r="P28" s="14">
        <f>_xll.BDH("ALNY US Equity","LT_DBT_AST_EX_OP_LEA_LIAB_AST","FQ1 2022","FQ1 2022","Currency=USD","Period=FQ","BEST_FPERIOD_OVERRIDE=FQ","FILING_STATUS=MR","Sort=A","Dates=H","DateFormat=P","Fill=—","Direction=H","UseDPDF=Y")</f>
        <v>21.1157</v>
      </c>
      <c r="Q28" s="14">
        <f>_xll.BDH("ALNY US Equity","LT_DBT_AST_EX_OP_LEA_LIAB_AST","FQ2 2022","FQ2 2022","Currency=USD","Period=FQ","BEST_FPERIOD_OVERRIDE=FQ","FILING_STATUS=MR","Sort=A","Dates=H","DateFormat=P","Fill=—","Direction=H","UseDPDF=Y")</f>
        <v>21.816299999999998</v>
      </c>
      <c r="R28" s="14">
        <f>_xll.BDH("ALNY US Equity","LT_DBT_AST_EX_OP_LEA_LIAB_AST","FQ3 2022","FQ3 2022","Currency=USD","Period=FQ","BEST_FPERIOD_OVERRIDE=FQ","FILING_STATUS=MR","Sort=A","Dates=H","DateFormat=P","Fill=—","Direction=H","UseDPDF=Y")</f>
        <v>37.144300000000001</v>
      </c>
      <c r="S28" s="14">
        <f>_xll.BDH("ALNY US Equity","LT_DBT_AST_EX_OP_LEA_LIAB_AST","FQ4 2022","FQ4 2022","Currency=USD","Period=FQ","BEST_FPERIOD_OVERRIDE=FQ","FILING_STATUS=MR","Sort=A","Dates=H","DateFormat=P","Fill=—","Direction=H","UseDPDF=Y")</f>
        <v>30.5276</v>
      </c>
      <c r="T28" s="14">
        <f>_xll.BDH("ALNY US Equity","LT_DBT_AST_EX_OP_LEA_LIAB_AST","FQ1 2023","FQ1 2023","Currency=USD","Period=FQ","BEST_FPERIOD_OVERRIDE=FQ","FILING_STATUS=MR","Sort=A","Dates=H","DateFormat=P","Fill=—","Direction=H","UseDPDF=Y")</f>
        <v>32.040399999999998</v>
      </c>
      <c r="U28" s="14">
        <f>_xll.BDH("ALNY US Equity","LT_DBT_AST_EX_OP_LEA_LIAB_AST","FQ2 2023","FQ2 2023","Currency=USD","Period=FQ","BEST_FPERIOD_OVERRIDE=FQ","FILING_STATUS=MR","Sort=A","Dates=H","DateFormat=P","Fill=—","Direction=H","UseDPDF=Y")</f>
        <v>31.902699999999999</v>
      </c>
      <c r="V28" s="14">
        <f>_xll.BDH("ALNY US Equity","LT_DBT_AST_EX_OP_LEA_LIAB_AST","FQ3 2023","FQ3 2023","Currency=USD","Period=FQ","BEST_FPERIOD_OVERRIDE=FQ","FILING_STATUS=MR","Sort=A","Dates=H","DateFormat=P","Fill=—","Direction=H","UseDPDF=Y")</f>
        <v>28.050699999999999</v>
      </c>
      <c r="W28" s="14">
        <f>_xll.BDH("ALNY US Equity","LT_DBT_AST_EX_OP_LEA_LIAB_AST","FQ4 2023","FQ4 2023","Currency=USD","Period=FQ","BEST_FPERIOD_OVERRIDE=FQ","FILING_STATUS=MR","Sort=A","Dates=H","DateFormat=P","Fill=—","Direction=H","UseDPDF=Y")</f>
        <v>28.119399999999999</v>
      </c>
      <c r="X28" s="14">
        <f>_xll.BDH("ALNY US Equity","LT_DBT_AST_EX_OP_LEA_LIAB_AST","FQ1 2024","FQ1 2024","Currency=USD","Period=FQ","BEST_FPERIOD_OVERRIDE=FQ","FILING_STATUS=MR","Sort=A","Dates=H","DateFormat=P","Fill=—","Direction=H","UseDPDF=Y")</f>
        <v>28.1553</v>
      </c>
      <c r="Y28" s="14">
        <f>_xll.BDH("ALNY US Equity","LT_DBT_AST_EX_OP_LEA_LIAB_AST","FQ2 2024","FQ2 2024","Currency=USD","Period=FQ","BEST_FPERIOD_OVERRIDE=FQ","FILING_STATUS=MR","Sort=A","Dates=H","DateFormat=P","Fill=—","Direction=H","UseDPDF=Y")</f>
        <v>62.058799999999998</v>
      </c>
      <c r="Z28" s="14">
        <f>_xll.BDH("ALNY US Equity","LT_DBT_AST_EX_OP_LEA_LIAB_AST","FQ3 2024","FQ3 2024","Currency=USD","Period=FQ","BEST_FPERIOD_OVERRIDE=FQ","FILING_STATUS=MR","Sort=A","Dates=H","DateFormat=P","Fill=—","Direction=H","UseDPDF=Y")</f>
        <v>25.536200000000001</v>
      </c>
      <c r="AA28" s="14">
        <f>_xll.BDH("ALNY US Equity","LT_DBT_AST_EX_OP_LEA_LIAB_AST","FQ4 2024","FQ4 2024","Currency=USD","Period=FQ","BEST_FPERIOD_OVERRIDE=FQ","FILING_STATUS=MR","Sort=A","Dates=H","DateFormat=P","Fill=—","Direction=H","UseDPDF=Y")</f>
        <v>25.3066</v>
      </c>
    </row>
    <row r="29" spans="1:27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10" t="s">
        <v>1471</v>
      </c>
      <c r="B30" s="10" t="s">
        <v>1496</v>
      </c>
      <c r="C30" s="14">
        <f>_xll.BDH("ALNY US Equity","TOT_DBT_EX_OP_LEA_LIABS_TO_EQTY","FQ4 2018","FQ4 2018","Currency=USD","Period=FQ","BEST_FPERIOD_OVERRIDE=FQ","FILING_STATUS=MR","Sort=A","Dates=H","DateFormat=P","Fill=—","Direction=H","UseDPDF=Y")</f>
        <v>2.3041999999999998</v>
      </c>
      <c r="D30" s="14">
        <f>_xll.BDH("ALNY US Equity","TOT_DBT_EX_OP_LEA_LIABS_TO_EQTY","FQ1 2019","FQ1 2019","Currency=USD","Period=FQ","BEST_FPERIOD_OVERRIDE=FQ","FILING_STATUS=MR","Sort=A","Dates=H","DateFormat=P","Fill=—","Direction=H","UseDPDF=Y")</f>
        <v>1.9393</v>
      </c>
      <c r="E30" s="14">
        <f>_xll.BDH("ALNY US Equity","TOT_DBT_EX_OP_LEA_LIABS_TO_EQTY","FQ2 2019","FQ2 2019","Currency=USD","Period=FQ","BEST_FPERIOD_OVERRIDE=FQ","FILING_STATUS=MR","Sort=A","Dates=H","DateFormat=P","Fill=—","Direction=H","UseDPDF=Y")</f>
        <v>1.7073</v>
      </c>
      <c r="F30" s="14">
        <f>_xll.BDH("ALNY US Equity","TOT_DBT_EX_OP_LEA_LIABS_TO_EQTY","FQ3 2019","FQ3 2019","Currency=USD","Period=FQ","BEST_FPERIOD_OVERRIDE=FQ","FILING_STATUS=MR","Sort=A","Dates=H","DateFormat=P","Fill=—","Direction=H","UseDPDF=Y")</f>
        <v>0</v>
      </c>
      <c r="G30" s="14">
        <f>_xll.BDH("ALNY US Equity","TOT_DBT_EX_OP_LEA_LIABS_TO_EQTY","FQ4 2019","FQ4 2019","Currency=USD","Period=FQ","BEST_FPERIOD_OVERRIDE=FQ","FILING_STATUS=MR","Sort=A","Dates=H","DateFormat=P","Fill=—","Direction=H","UseDPDF=Y")</f>
        <v>0</v>
      </c>
      <c r="H30" s="14">
        <f>_xll.BDH("ALNY US Equity","TOT_DBT_EX_OP_LEA_LIABS_TO_EQTY","FQ1 2020","FQ1 2020","Currency=USD","Period=FQ","BEST_FPERIOD_OVERRIDE=FQ","FILING_STATUS=MR","Sort=A","Dates=H","DateFormat=P","Fill=—","Direction=H","UseDPDF=Y")</f>
        <v>0</v>
      </c>
      <c r="I30" s="14">
        <f>_xll.BDH("ALNY US Equity","TOT_DBT_EX_OP_LEA_LIABS_TO_EQTY","FQ2 2020","FQ2 2020","Currency=USD","Period=FQ","BEST_FPERIOD_OVERRIDE=FQ","FILING_STATUS=MR","Sort=A","Dates=H","DateFormat=P","Fill=—","Direction=H","UseDPDF=Y")</f>
        <v>0</v>
      </c>
      <c r="J30" s="14">
        <f>_xll.BDH("ALNY US Equity","TOT_DBT_EX_OP_LEA_LIABS_TO_EQTY","FQ3 2020","FQ3 2020","Currency=USD","Period=FQ","BEST_FPERIOD_OVERRIDE=FQ","FILING_STATUS=MR","Sort=A","Dates=H","DateFormat=P","Fill=—","Direction=H","UseDPDF=Y")</f>
        <v>0</v>
      </c>
      <c r="K30" s="14">
        <f>_xll.BDH("ALNY US Equity","TOT_DBT_EX_OP_LEA_LIABS_TO_EQTY","FQ4 2020","FQ4 2020","Currency=USD","Period=FQ","BEST_FPERIOD_OVERRIDE=FQ","FILING_STATUS=MR","Sort=A","Dates=H","DateFormat=P","Fill=—","Direction=H","UseDPDF=Y")</f>
        <v>18.821999999999999</v>
      </c>
      <c r="L30" s="14">
        <f>_xll.BDH("ALNY US Equity","TOT_DBT_EX_OP_LEA_LIABS_TO_EQTY","FQ1 2021","FQ1 2021","Currency=USD","Period=FQ","BEST_FPERIOD_OVERRIDE=FQ","FILING_STATUS=MR","Sort=A","Dates=H","DateFormat=P","Fill=—","Direction=H","UseDPDF=Y")</f>
        <v>20.6858</v>
      </c>
      <c r="M30" s="14">
        <f>_xll.BDH("ALNY US Equity","TOT_DBT_EX_OP_LEA_LIABS_TO_EQTY","FQ2 2021","FQ2 2021","Currency=USD","Period=FQ","BEST_FPERIOD_OVERRIDE=FQ","FILING_STATUS=MR","Sort=A","Dates=H","DateFormat=P","Fill=—","Direction=H","UseDPDF=Y")</f>
        <v>50.758200000000002</v>
      </c>
      <c r="N30" s="14">
        <f>_xll.BDH("ALNY US Equity","TOT_DBT_EX_OP_LEA_LIABS_TO_EQTY","FQ3 2021","FQ3 2021","Currency=USD","Period=FQ","BEST_FPERIOD_OVERRIDE=FQ","FILING_STATUS=MR","Sort=A","Dates=H","DateFormat=P","Fill=—","Direction=H","UseDPDF=Y")</f>
        <v>57.3889</v>
      </c>
      <c r="O30" s="14">
        <f>_xll.BDH("ALNY US Equity","TOT_DBT_EX_OP_LEA_LIABS_TO_EQTY","FQ4 2021","FQ4 2021","Currency=USD","Period=FQ","BEST_FPERIOD_OVERRIDE=FQ","FILING_STATUS=MR","Sort=A","Dates=H","DateFormat=P","Fill=—","Direction=H","UseDPDF=Y")</f>
        <v>114.87479999999999</v>
      </c>
      <c r="P30" s="14">
        <f>_xll.BDH("ALNY US Equity","TOT_DBT_EX_OP_LEA_LIABS_TO_EQTY","FQ1 2022","FQ1 2022","Currency=USD","Period=FQ","BEST_FPERIOD_OVERRIDE=FQ","FILING_STATUS=MR","Sort=A","Dates=H","DateFormat=P","Fill=—","Direction=H","UseDPDF=Y")</f>
        <v>168.6858</v>
      </c>
      <c r="Q30" s="14">
        <f>_xll.BDH("ALNY US Equity","TOT_DBT_EX_OP_LEA_LIABS_TO_EQTY","FQ2 2022","FQ2 2022","Currency=USD","Period=FQ","BEST_FPERIOD_OVERRIDE=FQ","FILING_STATUS=MR","Sort=A","Dates=H","DateFormat=P","Fill=—","Direction=H","UseDPDF=Y")</f>
        <v>384.98239999999998</v>
      </c>
      <c r="R30" s="14" t="str">
        <f>_xll.BDH("ALNY US Equity","TOT_DBT_EX_OP_LEA_LIABS_TO_EQTY","FQ3 2022","FQ3 2022","Currency=USD","Period=FQ","BEST_FPERIOD_OVERRIDE=FQ","FILING_STATUS=MR","Sort=A","Dates=H","DateFormat=P","Fill=—","Direction=H","UseDPDF=Y")</f>
        <v>—</v>
      </c>
      <c r="S30" s="14" t="str">
        <f>_xll.BDH("ALNY US Equity","TOT_DBT_EX_OP_LEA_LIABS_TO_EQTY","FQ4 2022","FQ4 2022","Currency=USD","Period=FQ","BEST_FPERIOD_OVERRIDE=FQ","FILING_STATUS=MR","Sort=A","Dates=H","DateFormat=P","Fill=—","Direction=H","UseDPDF=Y")</f>
        <v>—</v>
      </c>
      <c r="T30" s="14" t="str">
        <f>_xll.BDH("ALNY US Equity","TOT_DBT_EX_OP_LEA_LIABS_TO_EQTY","FQ1 2023","FQ1 2023","Currency=USD","Period=FQ","BEST_FPERIOD_OVERRIDE=FQ","FILING_STATUS=MR","Sort=A","Dates=H","DateFormat=P","Fill=—","Direction=H","UseDPDF=Y")</f>
        <v>—</v>
      </c>
      <c r="U30" s="14" t="str">
        <f>_xll.BDH("ALNY US Equity","TOT_DBT_EX_OP_LEA_LIABS_TO_EQTY","FQ2 2023","FQ2 2023","Currency=USD","Period=FQ","BEST_FPERIOD_OVERRIDE=FQ","FILING_STATUS=MR","Sort=A","Dates=H","DateFormat=P","Fill=—","Direction=H","UseDPDF=Y")</f>
        <v>—</v>
      </c>
      <c r="V30" s="14" t="str">
        <f>_xll.BDH("ALNY US Equity","TOT_DBT_EX_OP_LEA_LIABS_TO_EQTY","FQ3 2023","FQ3 2023","Currency=USD","Period=FQ","BEST_FPERIOD_OVERRIDE=FQ","FILING_STATUS=MR","Sort=A","Dates=H","DateFormat=P","Fill=—","Direction=H","UseDPDF=Y")</f>
        <v>—</v>
      </c>
      <c r="W30" s="14" t="str">
        <f>_xll.BDH("ALNY US Equity","TOT_DBT_EX_OP_LEA_LIABS_TO_EQTY","FQ4 2023","FQ4 2023","Currency=USD","Period=FQ","BEST_FPERIOD_OVERRIDE=FQ","FILING_STATUS=MR","Sort=A","Dates=H","DateFormat=P","Fill=—","Direction=H","UseDPDF=Y")</f>
        <v>—</v>
      </c>
      <c r="X30" s="14" t="str">
        <f>_xll.BDH("ALNY US Equity","TOT_DBT_EX_OP_LEA_LIABS_TO_EQTY","FQ1 2024","FQ1 2024","Currency=USD","Period=FQ","BEST_FPERIOD_OVERRIDE=FQ","FILING_STATUS=MR","Sort=A","Dates=H","DateFormat=P","Fill=—","Direction=H","UseDPDF=Y")</f>
        <v>—</v>
      </c>
      <c r="Y30" s="14" t="str">
        <f>_xll.BDH("ALNY US Equity","TOT_DBT_EX_OP_LEA_LIABS_TO_EQTY","FQ2 2024","FQ2 2024","Currency=USD","Period=FQ","BEST_FPERIOD_OVERRIDE=FQ","FILING_STATUS=MR","Sort=A","Dates=H","DateFormat=P","Fill=—","Direction=H","UseDPDF=Y")</f>
        <v>—</v>
      </c>
      <c r="Z30" s="14">
        <f>_xll.BDH("ALNY US Equity","TOT_DBT_EX_OP_LEA_LIABS_TO_EQTY","FQ3 2024","FQ3 2024","Currency=USD","Period=FQ","BEST_FPERIOD_OVERRIDE=FQ","FILING_STATUS=MR","Sort=A","Dates=H","DateFormat=P","Fill=—","Direction=H","UseDPDF=Y")</f>
        <v>3163.9178999999999</v>
      </c>
      <c r="AA30" s="14">
        <f>_xll.BDH("ALNY US Equity","TOT_DBT_EX_OP_LEA_LIABS_TO_EQTY","FQ4 2024","FQ4 2024","Currency=USD","Period=FQ","BEST_FPERIOD_OVERRIDE=FQ","FILING_STATUS=MR","Sort=A","Dates=H","DateFormat=P","Fill=—","Direction=H","UseDPDF=Y")</f>
        <v>1527.2791</v>
      </c>
    </row>
    <row r="31" spans="1:27" x14ac:dyDescent="0.25">
      <c r="A31" s="10" t="s">
        <v>1473</v>
      </c>
      <c r="B31" s="10" t="s">
        <v>288</v>
      </c>
      <c r="C31" s="14">
        <f>_xll.BDH("ALNY US Equity","TOT_DBT_TO_CPTL_EX_OP_LEA_LIABS","FQ4 2018","FQ4 2018","Currency=USD","Period=FQ","BEST_FPERIOD_OVERRIDE=FQ","FILING_STATUS=MR","Sort=A","Dates=H","DateFormat=P","Fill=—","Direction=H","UseDPDF=Y")</f>
        <v>2.2523</v>
      </c>
      <c r="D31" s="14">
        <f>_xll.BDH("ALNY US Equity","TOT_DBT_TO_CPTL_EX_OP_LEA_LIABS","FQ1 2019","FQ1 2019","Currency=USD","Period=FQ","BEST_FPERIOD_OVERRIDE=FQ","FILING_STATUS=MR","Sort=A","Dates=H","DateFormat=P","Fill=—","Direction=H","UseDPDF=Y")</f>
        <v>1.9024000000000001</v>
      </c>
      <c r="E31" s="14">
        <f>_xll.BDH("ALNY US Equity","TOT_DBT_TO_CPTL_EX_OP_LEA_LIABS","FQ2 2019","FQ2 2019","Currency=USD","Period=FQ","BEST_FPERIOD_OVERRIDE=FQ","FILING_STATUS=MR","Sort=A","Dates=H","DateFormat=P","Fill=—","Direction=H","UseDPDF=Y")</f>
        <v>1.6786000000000001</v>
      </c>
      <c r="F31" s="14">
        <f>_xll.BDH("ALNY US Equity","TOT_DBT_TO_CPTL_EX_OP_LEA_LIABS","FQ3 2019","FQ3 2019","Currency=USD","Period=FQ","BEST_FPERIOD_OVERRIDE=FQ","FILING_STATUS=MR","Sort=A","Dates=H","DateFormat=P","Fill=—","Direction=H","UseDPDF=Y")</f>
        <v>0</v>
      </c>
      <c r="G31" s="14">
        <f>_xll.BDH("ALNY US Equity","TOT_DBT_TO_CPTL_EX_OP_LEA_LIABS","FQ4 2019","FQ4 2019","Currency=USD","Period=FQ","BEST_FPERIOD_OVERRIDE=FQ","FILING_STATUS=MR","Sort=A","Dates=H","DateFormat=P","Fill=—","Direction=H","UseDPDF=Y")</f>
        <v>0</v>
      </c>
      <c r="H31" s="14">
        <f>_xll.BDH("ALNY US Equity","TOT_DBT_TO_CPTL_EX_OP_LEA_LIABS","FQ1 2020","FQ1 2020","Currency=USD","Period=FQ","BEST_FPERIOD_OVERRIDE=FQ","FILING_STATUS=MR","Sort=A","Dates=H","DateFormat=P","Fill=—","Direction=H","UseDPDF=Y")</f>
        <v>0</v>
      </c>
      <c r="I31" s="14">
        <f>_xll.BDH("ALNY US Equity","TOT_DBT_TO_CPTL_EX_OP_LEA_LIABS","FQ2 2020","FQ2 2020","Currency=USD","Period=FQ","BEST_FPERIOD_OVERRIDE=FQ","FILING_STATUS=MR","Sort=A","Dates=H","DateFormat=P","Fill=—","Direction=H","UseDPDF=Y")</f>
        <v>0</v>
      </c>
      <c r="J31" s="14">
        <f>_xll.BDH("ALNY US Equity","TOT_DBT_TO_CPTL_EX_OP_LEA_LIABS","FQ3 2020","FQ3 2020","Currency=USD","Period=FQ","BEST_FPERIOD_OVERRIDE=FQ","FILING_STATUS=MR","Sort=A","Dates=H","DateFormat=P","Fill=—","Direction=H","UseDPDF=Y")</f>
        <v>0</v>
      </c>
      <c r="K31" s="14">
        <f>_xll.BDH("ALNY US Equity","TOT_DBT_TO_CPTL_EX_OP_LEA_LIABS","FQ4 2020","FQ4 2020","Currency=USD","Period=FQ","BEST_FPERIOD_OVERRIDE=FQ","FILING_STATUS=MR","Sort=A","Dates=H","DateFormat=P","Fill=—","Direction=H","UseDPDF=Y")</f>
        <v>15.8405</v>
      </c>
      <c r="L31" s="14">
        <f>_xll.BDH("ALNY US Equity","TOT_DBT_TO_CPTL_EX_OP_LEA_LIABS","FQ1 2021","FQ1 2021","Currency=USD","Period=FQ","BEST_FPERIOD_OVERRIDE=FQ","FILING_STATUS=MR","Sort=A","Dates=H","DateFormat=P","Fill=—","Direction=H","UseDPDF=Y")</f>
        <v>17.1402</v>
      </c>
      <c r="M31" s="14">
        <f>_xll.BDH("ALNY US Equity","TOT_DBT_TO_CPTL_EX_OP_LEA_LIABS","FQ2 2021","FQ2 2021","Currency=USD","Period=FQ","BEST_FPERIOD_OVERRIDE=FQ","FILING_STATUS=MR","Sort=A","Dates=H","DateFormat=P","Fill=—","Direction=H","UseDPDF=Y")</f>
        <v>33.668599999999998</v>
      </c>
      <c r="N31" s="14">
        <f>_xll.BDH("ALNY US Equity","TOT_DBT_TO_CPTL_EX_OP_LEA_LIABS","FQ3 2021","FQ3 2021","Currency=USD","Period=FQ","BEST_FPERIOD_OVERRIDE=FQ","FILING_STATUS=MR","Sort=A","Dates=H","DateFormat=P","Fill=—","Direction=H","UseDPDF=Y")</f>
        <v>36.463099999999997</v>
      </c>
      <c r="O31" s="14">
        <f>_xll.BDH("ALNY US Equity","TOT_DBT_TO_CPTL_EX_OP_LEA_LIABS","FQ4 2021","FQ4 2021","Currency=USD","Period=FQ","BEST_FPERIOD_OVERRIDE=FQ","FILING_STATUS=MR","Sort=A","Dates=H","DateFormat=P","Fill=—","Direction=H","UseDPDF=Y")</f>
        <v>53.461300000000001</v>
      </c>
      <c r="P31" s="14">
        <f>_xll.BDH("ALNY US Equity","TOT_DBT_TO_CPTL_EX_OP_LEA_LIABS","FQ1 2022","FQ1 2022","Currency=USD","Period=FQ","BEST_FPERIOD_OVERRIDE=FQ","FILING_STATUS=MR","Sort=A","Dates=H","DateFormat=P","Fill=—","Direction=H","UseDPDF=Y")</f>
        <v>62.781799999999997</v>
      </c>
      <c r="Q31" s="14">
        <f>_xll.BDH("ALNY US Equity","TOT_DBT_TO_CPTL_EX_OP_LEA_LIABS","FQ2 2022","FQ2 2022","Currency=USD","Period=FQ","BEST_FPERIOD_OVERRIDE=FQ","FILING_STATUS=MR","Sort=A","Dates=H","DateFormat=P","Fill=—","Direction=H","UseDPDF=Y")</f>
        <v>79.380700000000004</v>
      </c>
      <c r="R31" s="14">
        <f>_xll.BDH("ALNY US Equity","TOT_DBT_TO_CPTL_EX_OP_LEA_LIABS","FQ3 2022","FQ3 2022","Currency=USD","Period=FQ","BEST_FPERIOD_OVERRIDE=FQ","FILING_STATUS=MR","Sort=A","Dates=H","DateFormat=P","Fill=—","Direction=H","UseDPDF=Y")</f>
        <v>105.80970000000001</v>
      </c>
      <c r="S31" s="14">
        <f>_xll.BDH("ALNY US Equity","TOT_DBT_TO_CPTL_EX_OP_LEA_LIABS","FQ4 2022","FQ4 2022","Currency=USD","Period=FQ","BEST_FPERIOD_OVERRIDE=FQ","FILING_STATUS=MR","Sort=A","Dates=H","DateFormat=P","Fill=—","Direction=H","UseDPDF=Y")</f>
        <v>118.4255</v>
      </c>
      <c r="T31" s="14">
        <f>_xll.BDH("ALNY US Equity","TOT_DBT_TO_CPTL_EX_OP_LEA_LIABS","FQ1 2023","FQ1 2023","Currency=USD","Period=FQ","BEST_FPERIOD_OVERRIDE=FQ","FILING_STATUS=MR","Sort=A","Dates=H","DateFormat=P","Fill=—","Direction=H","UseDPDF=Y")</f>
        <v>134.17140000000001</v>
      </c>
      <c r="U31" s="14">
        <f>_xll.BDH("ALNY US Equity","TOT_DBT_TO_CPTL_EX_OP_LEA_LIABS","FQ2 2023","FQ2 2023","Currency=USD","Period=FQ","BEST_FPERIOD_OVERRIDE=FQ","FILING_STATUS=MR","Sort=A","Dates=H","DateFormat=P","Fill=—","Direction=H","UseDPDF=Y")</f>
        <v>166.8287</v>
      </c>
      <c r="V31" s="14">
        <f>_xll.BDH("ALNY US Equity","TOT_DBT_TO_CPTL_EX_OP_LEA_LIABS","FQ3 2023","FQ3 2023","Currency=USD","Period=FQ","BEST_FPERIOD_OVERRIDE=FQ","FILING_STATUS=MR","Sort=A","Dates=H","DateFormat=P","Fill=—","Direction=H","UseDPDF=Y")</f>
        <v>119.4235</v>
      </c>
      <c r="W31" s="14">
        <f>_xll.BDH("ALNY US Equity","TOT_DBT_TO_CPTL_EX_OP_LEA_LIABS","FQ4 2023","FQ4 2023","Currency=USD","Period=FQ","BEST_FPERIOD_OVERRIDE=FQ","FILING_STATUS=MR","Sort=A","Dates=H","DateFormat=P","Fill=—","Direction=H","UseDPDF=Y")</f>
        <v>127.5759</v>
      </c>
      <c r="X31" s="14">
        <f>_xll.BDH("ALNY US Equity","TOT_DBT_TO_CPTL_EX_OP_LEA_LIABS","FQ1 2024","FQ1 2024","Currency=USD","Period=FQ","BEST_FPERIOD_OVERRIDE=FQ","FILING_STATUS=MR","Sort=A","Dates=H","DateFormat=P","Fill=—","Direction=H","UseDPDF=Y")</f>
        <v>127.325</v>
      </c>
      <c r="Y31" s="14">
        <f>_xll.BDH("ALNY US Equity","TOT_DBT_TO_CPTL_EX_OP_LEA_LIABS","FQ2 2024","FQ2 2024","Currency=USD","Period=FQ","BEST_FPERIOD_OVERRIDE=FQ","FILING_STATUS=MR","Sort=A","Dates=H","DateFormat=P","Fill=—","Direction=H","UseDPDF=Y")</f>
        <v>100.1298</v>
      </c>
      <c r="Z31" s="14">
        <f>_xll.BDH("ALNY US Equity","TOT_DBT_TO_CPTL_EX_OP_LEA_LIABS","FQ3 2024","FQ3 2024","Currency=USD","Period=FQ","BEST_FPERIOD_OVERRIDE=FQ","FILING_STATUS=MR","Sort=A","Dates=H","DateFormat=P","Fill=—","Direction=H","UseDPDF=Y")</f>
        <v>96.936199999999999</v>
      </c>
      <c r="AA31" s="14">
        <f>_xll.BDH("ALNY US Equity","TOT_DBT_TO_CPTL_EX_OP_LEA_LIABS","FQ4 2024","FQ4 2024","Currency=USD","Period=FQ","BEST_FPERIOD_OVERRIDE=FQ","FILING_STATUS=MR","Sort=A","Dates=H","DateFormat=P","Fill=—","Direction=H","UseDPDF=Y")</f>
        <v>93.854799999999997</v>
      </c>
    </row>
    <row r="32" spans="1:27" x14ac:dyDescent="0.25">
      <c r="A32" s="10" t="s">
        <v>1474</v>
      </c>
      <c r="B32" s="10" t="s">
        <v>1497</v>
      </c>
      <c r="C32" s="14">
        <f>_xll.BDH("ALNY US Equity","TOT_DBT_AST_EX_OP_LEA_LIAB_AST","FQ4 2018","FQ4 2018","Currency=USD","Period=FQ","BEST_FPERIOD_OVERRIDE=FQ","FILING_STATUS=MR","Sort=A","Dates=H","DateFormat=P","Fill=—","Direction=H","UseDPDF=Y")</f>
        <v>1.905</v>
      </c>
      <c r="D32" s="14">
        <f>_xll.BDH("ALNY US Equity","TOT_DBT_AST_EX_OP_LEA_LIAB_AST","FQ1 2019","FQ1 2019","Currency=USD","Period=FQ","BEST_FPERIOD_OVERRIDE=FQ","FILING_STATUS=MR","Sort=A","Dates=H","DateFormat=P","Fill=—","Direction=H","UseDPDF=Y")</f>
        <v>1.6781999999999999</v>
      </c>
      <c r="E32" s="14">
        <f>_xll.BDH("ALNY US Equity","TOT_DBT_AST_EX_OP_LEA_LIAB_AST","FQ2 2019","FQ2 2019","Currency=USD","Period=FQ","BEST_FPERIOD_OVERRIDE=FQ","FILING_STATUS=MR","Sort=A","Dates=H","DateFormat=P","Fill=—","Direction=H","UseDPDF=Y")</f>
        <v>1.2048000000000001</v>
      </c>
      <c r="F32" s="14">
        <f>_xll.BDH("ALNY US Equity","TOT_DBT_AST_EX_OP_LEA_LIAB_AST","FQ3 2019","FQ3 2019","Currency=USD","Period=FQ","BEST_FPERIOD_OVERRIDE=FQ","FILING_STATUS=MR","Sort=A","Dates=H","DateFormat=P","Fill=—","Direction=H","UseDPDF=Y")</f>
        <v>0</v>
      </c>
      <c r="G32" s="14">
        <f>_xll.BDH("ALNY US Equity","TOT_DBT_AST_EX_OP_LEA_LIAB_AST","FQ4 2019","FQ4 2019","Currency=USD","Period=FQ","BEST_FPERIOD_OVERRIDE=FQ","FILING_STATUS=MR","Sort=A","Dates=H","DateFormat=P","Fill=—","Direction=H","UseDPDF=Y")</f>
        <v>0</v>
      </c>
      <c r="H32" s="14">
        <f>_xll.BDH("ALNY US Equity","TOT_DBT_AST_EX_OP_LEA_LIAB_AST","FQ1 2020","FQ1 2020","Currency=USD","Period=FQ","BEST_FPERIOD_OVERRIDE=FQ","FILING_STATUS=MR","Sort=A","Dates=H","DateFormat=P","Fill=—","Direction=H","UseDPDF=Y")</f>
        <v>0</v>
      </c>
      <c r="I32" s="14">
        <f>_xll.BDH("ALNY US Equity","TOT_DBT_AST_EX_OP_LEA_LIAB_AST","FQ2 2020","FQ2 2020","Currency=USD","Period=FQ","BEST_FPERIOD_OVERRIDE=FQ","FILING_STATUS=MR","Sort=A","Dates=H","DateFormat=P","Fill=—","Direction=H","UseDPDF=Y")</f>
        <v>0</v>
      </c>
      <c r="J32" s="14">
        <f>_xll.BDH("ALNY US Equity","TOT_DBT_AST_EX_OP_LEA_LIAB_AST","FQ3 2020","FQ3 2020","Currency=USD","Period=FQ","BEST_FPERIOD_OVERRIDE=FQ","FILING_STATUS=MR","Sort=A","Dates=H","DateFormat=P","Fill=—","Direction=H","UseDPDF=Y")</f>
        <v>0</v>
      </c>
      <c r="K32" s="14">
        <f>_xll.BDH("ALNY US Equity","TOT_DBT_AST_EX_OP_LEA_LIAB_AST","FQ4 2020","FQ4 2020","Currency=USD","Period=FQ","BEST_FPERIOD_OVERRIDE=FQ","FILING_STATUS=MR","Sort=A","Dates=H","DateFormat=P","Fill=—","Direction=H","UseDPDF=Y")</f>
        <v>6.0423999999999998</v>
      </c>
      <c r="L32" s="14">
        <f>_xll.BDH("ALNY US Equity","TOT_DBT_AST_EX_OP_LEA_LIAB_AST","FQ1 2021","FQ1 2021","Currency=USD","Period=FQ","BEST_FPERIOD_OVERRIDE=FQ","FILING_STATUS=MR","Sort=A","Dates=H","DateFormat=P","Fill=—","Direction=H","UseDPDF=Y")</f>
        <v>6.3480999999999996</v>
      </c>
      <c r="M32" s="14">
        <f>_xll.BDH("ALNY US Equity","TOT_DBT_AST_EX_OP_LEA_LIAB_AST","FQ2 2021","FQ2 2021","Currency=USD","Period=FQ","BEST_FPERIOD_OVERRIDE=FQ","FILING_STATUS=MR","Sort=A","Dates=H","DateFormat=P","Fill=—","Direction=H","UseDPDF=Y")</f>
        <v>13.2408</v>
      </c>
      <c r="N32" s="14">
        <f>_xll.BDH("ALNY US Equity","TOT_DBT_AST_EX_OP_LEA_LIAB_AST","FQ3 2021","FQ3 2021","Currency=USD","Period=FQ","BEST_FPERIOD_OVERRIDE=FQ","FILING_STATUS=MR","Sort=A","Dates=H","DateFormat=P","Fill=—","Direction=H","UseDPDF=Y")</f>
        <v>13.403499999999999</v>
      </c>
      <c r="O32" s="14">
        <f>_xll.BDH("ALNY US Equity","TOT_DBT_AST_EX_OP_LEA_LIAB_AST","FQ4 2021","FQ4 2021","Currency=USD","Period=FQ","BEST_FPERIOD_OVERRIDE=FQ","FILING_STATUS=MR","Sort=A","Dates=H","DateFormat=P","Fill=—","Direction=H","UseDPDF=Y")</f>
        <v>19.805700000000002</v>
      </c>
      <c r="P32" s="14">
        <f>_xll.BDH("ALNY US Equity","TOT_DBT_AST_EX_OP_LEA_LIAB_AST","FQ1 2022","FQ1 2022","Currency=USD","Period=FQ","BEST_FPERIOD_OVERRIDE=FQ","FILING_STATUS=MR","Sort=A","Dates=H","DateFormat=P","Fill=—","Direction=H","UseDPDF=Y")</f>
        <v>21.1157</v>
      </c>
      <c r="Q32" s="14">
        <f>_xll.BDH("ALNY US Equity","TOT_DBT_AST_EX_OP_LEA_LIAB_AST","FQ2 2022","FQ2 2022","Currency=USD","Period=FQ","BEST_FPERIOD_OVERRIDE=FQ","FILING_STATUS=MR","Sort=A","Dates=H","DateFormat=P","Fill=—","Direction=H","UseDPDF=Y")</f>
        <v>21.816299999999998</v>
      </c>
      <c r="R32" s="14">
        <f>_xll.BDH("ALNY US Equity","TOT_DBT_AST_EX_OP_LEA_LIAB_AST","FQ3 2022","FQ3 2022","Currency=USD","Period=FQ","BEST_FPERIOD_OVERRIDE=FQ","FILING_STATUS=MR","Sort=A","Dates=H","DateFormat=P","Fill=—","Direction=H","UseDPDF=Y")</f>
        <v>37.144300000000001</v>
      </c>
      <c r="S32" s="14">
        <f>_xll.BDH("ALNY US Equity","TOT_DBT_AST_EX_OP_LEA_LIAB_AST","FQ4 2022","FQ4 2022","Currency=USD","Period=FQ","BEST_FPERIOD_OVERRIDE=FQ","FILING_STATUS=MR","Sort=A","Dates=H","DateFormat=P","Fill=—","Direction=H","UseDPDF=Y")</f>
        <v>30.5276</v>
      </c>
      <c r="T32" s="14">
        <f>_xll.BDH("ALNY US Equity","TOT_DBT_AST_EX_OP_LEA_LIAB_AST","FQ1 2023","FQ1 2023","Currency=USD","Period=FQ","BEST_FPERIOD_OVERRIDE=FQ","FILING_STATUS=MR","Sort=A","Dates=H","DateFormat=P","Fill=—","Direction=H","UseDPDF=Y")</f>
        <v>32.040399999999998</v>
      </c>
      <c r="U32" s="14">
        <f>_xll.BDH("ALNY US Equity","TOT_DBT_AST_EX_OP_LEA_LIAB_AST","FQ2 2023","FQ2 2023","Currency=USD","Period=FQ","BEST_FPERIOD_OVERRIDE=FQ","FILING_STATUS=MR","Sort=A","Dates=H","DateFormat=P","Fill=—","Direction=H","UseDPDF=Y")</f>
        <v>31.902699999999999</v>
      </c>
      <c r="V32" s="14">
        <f>_xll.BDH("ALNY US Equity","TOT_DBT_AST_EX_OP_LEA_LIAB_AST","FQ3 2023","FQ3 2023","Currency=USD","Period=FQ","BEST_FPERIOD_OVERRIDE=FQ","FILING_STATUS=MR","Sort=A","Dates=H","DateFormat=P","Fill=—","Direction=H","UseDPDF=Y")</f>
        <v>28.050699999999999</v>
      </c>
      <c r="W32" s="14">
        <f>_xll.BDH("ALNY US Equity","TOT_DBT_AST_EX_OP_LEA_LIAB_AST","FQ4 2023","FQ4 2023","Currency=USD","Period=FQ","BEST_FPERIOD_OVERRIDE=FQ","FILING_STATUS=MR","Sort=A","Dates=H","DateFormat=P","Fill=—","Direction=H","UseDPDF=Y")</f>
        <v>28.119399999999999</v>
      </c>
      <c r="X32" s="14">
        <f>_xll.BDH("ALNY US Equity","TOT_DBT_AST_EX_OP_LEA_LIAB_AST","FQ1 2024","FQ1 2024","Currency=USD","Period=FQ","BEST_FPERIOD_OVERRIDE=FQ","FILING_STATUS=MR","Sort=A","Dates=H","DateFormat=P","Fill=—","Direction=H","UseDPDF=Y")</f>
        <v>28.1553</v>
      </c>
      <c r="Y32" s="14">
        <f>_xll.BDH("ALNY US Equity","TOT_DBT_AST_EX_OP_LEA_LIAB_AST","FQ2 2024","FQ2 2024","Currency=USD","Period=FQ","BEST_FPERIOD_OVERRIDE=FQ","FILING_STATUS=MR","Sort=A","Dates=H","DateFormat=P","Fill=—","Direction=H","UseDPDF=Y")</f>
        <v>62.058799999999998</v>
      </c>
      <c r="Z32" s="14">
        <f>_xll.BDH("ALNY US Equity","TOT_DBT_AST_EX_OP_LEA_LIAB_AST","FQ3 2024","FQ3 2024","Currency=USD","Period=FQ","BEST_FPERIOD_OVERRIDE=FQ","FILING_STATUS=MR","Sort=A","Dates=H","DateFormat=P","Fill=—","Direction=H","UseDPDF=Y")</f>
        <v>25.536200000000001</v>
      </c>
      <c r="AA32" s="14">
        <f>_xll.BDH("ALNY US Equity","TOT_DBT_AST_EX_OP_LEA_LIAB_AST","FQ4 2024","FQ4 2024","Currency=USD","Period=FQ","BEST_FPERIOD_OVERRIDE=FQ","FILING_STATUS=MR","Sort=A","Dates=H","DateFormat=P","Fill=—","Direction=H","UseDPDF=Y")</f>
        <v>25.3066</v>
      </c>
    </row>
    <row r="33" spans="1:27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10" t="s">
        <v>1476</v>
      </c>
      <c r="B34" s="10" t="s">
        <v>1498</v>
      </c>
      <c r="C34" s="14">
        <f>_xll.BDH("ALNY US Equity","NET_DBT_EX_OPER_LEA_LIABS_EQTY","FQ4 2018","FQ4 2018","Currency=USD","Period=FQ","BEST_FPERIOD_OVERRIDE=FQ","FILING_STATUS=MR","Sort=A","Dates=H","DateFormat=P","Fill=—","Direction=H","UseDPDF=Y")</f>
        <v>-80.966499999999996</v>
      </c>
      <c r="D34" s="14">
        <f>_xll.BDH("ALNY US Equity","NET_DBT_EX_OPER_LEA_LIABS_EQTY","FQ1 2019","FQ1 2019","Currency=USD","Period=FQ","BEST_FPERIOD_OVERRIDE=FQ","FILING_STATUS=MR","Sort=A","Dates=H","DateFormat=P","Fill=—","Direction=H","UseDPDF=Y")</f>
        <v>-78.509900000000002</v>
      </c>
      <c r="E34" s="14">
        <f>_xll.BDH("ALNY US Equity","NET_DBT_EX_OPER_LEA_LIABS_EQTY","FQ2 2019","FQ2 2019","Currency=USD","Period=FQ","BEST_FPERIOD_OVERRIDE=FQ","FILING_STATUS=MR","Sort=A","Dates=H","DateFormat=P","Fill=—","Direction=H","UseDPDF=Y")</f>
        <v>-107.9465</v>
      </c>
      <c r="F34" s="14">
        <f>_xll.BDH("ALNY US Equity","NET_DBT_EX_OPER_LEA_LIABS_EQTY","FQ3 2019","FQ3 2019","Currency=USD","Period=FQ","BEST_FPERIOD_OVERRIDE=FQ","FILING_STATUS=MR","Sort=A","Dates=H","DateFormat=P","Fill=—","Direction=H","UseDPDF=Y")</f>
        <v>-107.09180000000001</v>
      </c>
      <c r="G34" s="14">
        <f>_xll.BDH("ALNY US Equity","NET_DBT_EX_OPER_LEA_LIABS_EQTY","FQ4 2019","FQ4 2019","Currency=USD","Period=FQ","BEST_FPERIOD_OVERRIDE=FQ","FILING_STATUS=MR","Sort=A","Dates=H","DateFormat=P","Fill=—","Direction=H","UseDPDF=Y")</f>
        <v>-106.7749</v>
      </c>
      <c r="H34" s="14">
        <f>_xll.BDH("ALNY US Equity","NET_DBT_EX_OPER_LEA_LIABS_EQTY","FQ1 2020","FQ1 2020","Currency=USD","Period=FQ","BEST_FPERIOD_OVERRIDE=FQ","FILING_STATUS=MR","Sort=A","Dates=H","DateFormat=P","Fill=—","Direction=H","UseDPDF=Y")</f>
        <v>-99.442400000000006</v>
      </c>
      <c r="I34" s="14">
        <f>_xll.BDH("ALNY US Equity","NET_DBT_EX_OPER_LEA_LIABS_EQTY","FQ2 2020","FQ2 2020","Currency=USD","Period=FQ","BEST_FPERIOD_OVERRIDE=FQ","FILING_STATUS=MR","Sort=A","Dates=H","DateFormat=P","Fill=—","Direction=H","UseDPDF=Y")</f>
        <v>-137.56720000000001</v>
      </c>
      <c r="J34" s="14">
        <f>_xll.BDH("ALNY US Equity","NET_DBT_EX_OPER_LEA_LIABS_EQTY","FQ3 2020","FQ3 2020","Currency=USD","Period=FQ","BEST_FPERIOD_OVERRIDE=FQ","FILING_STATUS=MR","Sort=A","Dates=H","DateFormat=P","Fill=—","Direction=H","UseDPDF=Y")</f>
        <v>-150.93340000000001</v>
      </c>
      <c r="K34" s="14">
        <f>_xll.BDH("ALNY US Equity","NET_DBT_EX_OPER_LEA_LIABS_EQTY","FQ4 2020","FQ4 2020","Currency=USD","Period=FQ","BEST_FPERIOD_OVERRIDE=FQ","FILING_STATUS=MR","Sort=A","Dates=H","DateFormat=P","Fill=—","Direction=H","UseDPDF=Y")</f>
        <v>-165.62090000000001</v>
      </c>
      <c r="L34" s="14">
        <f>_xll.BDH("ALNY US Equity","NET_DBT_EX_OPER_LEA_LIABS_EQTY","FQ1 2021","FQ1 2021","Currency=USD","Period=FQ","BEST_FPERIOD_OVERRIDE=FQ","FILING_STATUS=MR","Sort=A","Dates=H","DateFormat=P","Fill=—","Direction=H","UseDPDF=Y")</f>
        <v>-163.89150000000001</v>
      </c>
      <c r="M34" s="14">
        <f>_xll.BDH("ALNY US Equity","NET_DBT_EX_OPER_LEA_LIABS_EQTY","FQ2 2021","FQ2 2021","Currency=USD","Period=FQ","BEST_FPERIOD_OVERRIDE=FQ","FILING_STATUS=MR","Sort=A","Dates=H","DateFormat=P","Fill=—","Direction=H","UseDPDF=Y")</f>
        <v>-171.90020000000001</v>
      </c>
      <c r="N34" s="14">
        <f>_xll.BDH("ALNY US Equity","NET_DBT_EX_OPER_LEA_LIABS_EQTY","FQ3 2021","FQ3 2021","Currency=USD","Period=FQ","BEST_FPERIOD_OVERRIDE=FQ","FILING_STATUS=MR","Sort=A","Dates=H","DateFormat=P","Fill=—","Direction=H","UseDPDF=Y")</f>
        <v>-250.57329999999999</v>
      </c>
      <c r="O34" s="14">
        <f>_xll.BDH("ALNY US Equity","NET_DBT_EX_OPER_LEA_LIABS_EQTY","FQ4 2021","FQ4 2021","Currency=USD","Period=FQ","BEST_FPERIOD_OVERRIDE=FQ","FILING_STATUS=MR","Sort=A","Dates=H","DateFormat=P","Fill=—","Direction=H","UseDPDF=Y")</f>
        <v>-299.19380000000001</v>
      </c>
      <c r="P34" s="14">
        <f>_xll.BDH("ALNY US Equity","NET_DBT_EX_OPER_LEA_LIABS_EQTY","FQ1 2022","FQ1 2022","Currency=USD","Period=FQ","BEST_FPERIOD_OVERRIDE=FQ","FILING_STATUS=MR","Sort=A","Dates=H","DateFormat=P","Fill=—","Direction=H","UseDPDF=Y")</f>
        <v>-389.57760000000002</v>
      </c>
      <c r="Q34" s="14">
        <f>_xll.BDH("ALNY US Equity","NET_DBT_EX_OPER_LEA_LIABS_EQTY","FQ2 2022","FQ2 2022","Currency=USD","Period=FQ","BEST_FPERIOD_OVERRIDE=FQ","FILING_STATUS=MR","Sort=A","Dates=H","DateFormat=P","Fill=—","Direction=H","UseDPDF=Y")</f>
        <v>-813.95709999999997</v>
      </c>
      <c r="R34" s="14" t="str">
        <f>_xll.BDH("ALNY US Equity","NET_DBT_EX_OPER_LEA_LIABS_EQTY","FQ3 2022","FQ3 2022","Currency=USD","Period=FQ","BEST_FPERIOD_OVERRIDE=FQ","FILING_STATUS=MR","Sort=A","Dates=H","DateFormat=P","Fill=—","Direction=H","UseDPDF=Y")</f>
        <v>—</v>
      </c>
      <c r="S34" s="14" t="str">
        <f>_xll.BDH("ALNY US Equity","NET_DBT_EX_OPER_LEA_LIABS_EQTY","FQ4 2022","FQ4 2022","Currency=USD","Period=FQ","BEST_FPERIOD_OVERRIDE=FQ","FILING_STATUS=MR","Sort=A","Dates=H","DateFormat=P","Fill=—","Direction=H","UseDPDF=Y")</f>
        <v>—</v>
      </c>
      <c r="T34" s="14" t="str">
        <f>_xll.BDH("ALNY US Equity","NET_DBT_EX_OPER_LEA_LIABS_EQTY","FQ1 2023","FQ1 2023","Currency=USD","Period=FQ","BEST_FPERIOD_OVERRIDE=FQ","FILING_STATUS=MR","Sort=A","Dates=H","DateFormat=P","Fill=—","Direction=H","UseDPDF=Y")</f>
        <v>—</v>
      </c>
      <c r="U34" s="14" t="str">
        <f>_xll.BDH("ALNY US Equity","NET_DBT_EX_OPER_LEA_LIABS_EQTY","FQ2 2023","FQ2 2023","Currency=USD","Period=FQ","BEST_FPERIOD_OVERRIDE=FQ","FILING_STATUS=MR","Sort=A","Dates=H","DateFormat=P","Fill=—","Direction=H","UseDPDF=Y")</f>
        <v>—</v>
      </c>
      <c r="V34" s="14" t="str">
        <f>_xll.BDH("ALNY US Equity","NET_DBT_EX_OPER_LEA_LIABS_EQTY","FQ3 2023","FQ3 2023","Currency=USD","Period=FQ","BEST_FPERIOD_OVERRIDE=FQ","FILING_STATUS=MR","Sort=A","Dates=H","DateFormat=P","Fill=—","Direction=H","UseDPDF=Y")</f>
        <v>—</v>
      </c>
      <c r="W34" s="14" t="str">
        <f>_xll.BDH("ALNY US Equity","NET_DBT_EX_OPER_LEA_LIABS_EQTY","FQ4 2023","FQ4 2023","Currency=USD","Period=FQ","BEST_FPERIOD_OVERRIDE=FQ","FILING_STATUS=MR","Sort=A","Dates=H","DateFormat=P","Fill=—","Direction=H","UseDPDF=Y")</f>
        <v>—</v>
      </c>
      <c r="X34" s="14" t="str">
        <f>_xll.BDH("ALNY US Equity","NET_DBT_EX_OPER_LEA_LIABS_EQTY","FQ1 2024","FQ1 2024","Currency=USD","Period=FQ","BEST_FPERIOD_OVERRIDE=FQ","FILING_STATUS=MR","Sort=A","Dates=H","DateFormat=P","Fill=—","Direction=H","UseDPDF=Y")</f>
        <v>—</v>
      </c>
      <c r="Y34" s="14" t="str">
        <f>_xll.BDH("ALNY US Equity","NET_DBT_EX_OPER_LEA_LIABS_EQTY","FQ2 2024","FQ2 2024","Currency=USD","Period=FQ","BEST_FPERIOD_OVERRIDE=FQ","FILING_STATUS=MR","Sort=A","Dates=H","DateFormat=P","Fill=—","Direction=H","UseDPDF=Y")</f>
        <v>—</v>
      </c>
      <c r="Z34" s="14">
        <f>_xll.BDH("ALNY US Equity","NET_DBT_EX_OPER_LEA_LIABS_EQTY","FQ3 2024","FQ3 2024","Currency=USD","Period=FQ","BEST_FPERIOD_OVERRIDE=FQ","FILING_STATUS=MR","Sort=A","Dates=H","DateFormat=P","Fill=—","Direction=H","UseDPDF=Y")</f>
        <v>-5429.2545</v>
      </c>
      <c r="AA34" s="14">
        <f>_xll.BDH("ALNY US Equity","NET_DBT_EX_OPER_LEA_LIABS_EQTY","FQ4 2024","FQ4 2024","Currency=USD","Period=FQ","BEST_FPERIOD_OVERRIDE=FQ","FILING_STATUS=MR","Sort=A","Dates=H","DateFormat=P","Fill=—","Direction=H","UseDPDF=Y")</f>
        <v>-2489.0934000000002</v>
      </c>
    </row>
    <row r="35" spans="1:27" x14ac:dyDescent="0.25">
      <c r="A35" s="10" t="s">
        <v>1477</v>
      </c>
      <c r="B35" s="10" t="s">
        <v>1499</v>
      </c>
      <c r="C35" s="14">
        <f>_xll.BDH("ALNY US Equity","NET_DBT_CPTL_EX_OPER_LEA_LIABS","FQ4 2018","FQ4 2018","Currency=USD","Period=FQ","BEST_FPERIOD_OVERRIDE=FQ","FILING_STATUS=MR","Sort=A","Dates=H","DateFormat=P","Fill=—","Direction=H","UseDPDF=Y")</f>
        <v>-425.38839999999999</v>
      </c>
      <c r="D35" s="14">
        <f>_xll.BDH("ALNY US Equity","NET_DBT_CPTL_EX_OPER_LEA_LIABS","FQ1 2019","FQ1 2019","Currency=USD","Period=FQ","BEST_FPERIOD_OVERRIDE=FQ","FILING_STATUS=MR","Sort=A","Dates=H","DateFormat=P","Fill=—","Direction=H","UseDPDF=Y")</f>
        <v>-365.33030000000002</v>
      </c>
      <c r="E35" s="14">
        <f>_xll.BDH("ALNY US Equity","NET_DBT_CPTL_EX_OPER_LEA_LIABS","FQ2 2019","FQ2 2019","Currency=USD","Period=FQ","BEST_FPERIOD_OVERRIDE=FQ","FILING_STATUS=MR","Sort=A","Dates=H","DateFormat=P","Fill=—","Direction=H","UseDPDF=Y")</f>
        <v>1358.4112</v>
      </c>
      <c r="F35" s="14">
        <f>_xll.BDH("ALNY US Equity","NET_DBT_CPTL_EX_OPER_LEA_LIABS","FQ3 2019","FQ3 2019","Currency=USD","Period=FQ","BEST_FPERIOD_OVERRIDE=FQ","FILING_STATUS=MR","Sort=A","Dates=H","DateFormat=P","Fill=—","Direction=H","UseDPDF=Y")</f>
        <v>1510.0841</v>
      </c>
      <c r="G35" s="14">
        <f>_xll.BDH("ALNY US Equity","NET_DBT_CPTL_EX_OPER_LEA_LIABS","FQ4 2019","FQ4 2019","Currency=USD","Period=FQ","BEST_FPERIOD_OVERRIDE=FQ","FILING_STATUS=MR","Sort=A","Dates=H","DateFormat=P","Fill=—","Direction=H","UseDPDF=Y")</f>
        <v>1576.0356999999999</v>
      </c>
      <c r="H35" s="14">
        <f>_xll.BDH("ALNY US Equity","NET_DBT_CPTL_EX_OPER_LEA_LIABS","FQ1 2020","FQ1 2020","Currency=USD","Period=FQ","BEST_FPERIOD_OVERRIDE=FQ","FILING_STATUS=MR","Sort=A","Dates=H","DateFormat=P","Fill=—","Direction=H","UseDPDF=Y")</f>
        <v>-17834.2147</v>
      </c>
      <c r="I35" s="14">
        <f>_xll.BDH("ALNY US Equity","NET_DBT_CPTL_EX_OPER_LEA_LIABS","FQ2 2020","FQ2 2020","Currency=USD","Period=FQ","BEST_FPERIOD_OVERRIDE=FQ","FILING_STATUS=MR","Sort=A","Dates=H","DateFormat=P","Fill=—","Direction=H","UseDPDF=Y")</f>
        <v>366.18959999999998</v>
      </c>
      <c r="J35" s="14">
        <f>_xll.BDH("ALNY US Equity","NET_DBT_CPTL_EX_OPER_LEA_LIABS","FQ3 2020","FQ3 2020","Currency=USD","Period=FQ","BEST_FPERIOD_OVERRIDE=FQ","FILING_STATUS=MR","Sort=A","Dates=H","DateFormat=P","Fill=—","Direction=H","UseDPDF=Y")</f>
        <v>296.3347</v>
      </c>
      <c r="K35" s="14">
        <f>_xll.BDH("ALNY US Equity","NET_DBT_CPTL_EX_OPER_LEA_LIABS","FQ4 2020","FQ4 2020","Currency=USD","Period=FQ","BEST_FPERIOD_OVERRIDE=FQ","FILING_STATUS=MR","Sort=A","Dates=H","DateFormat=P","Fill=—","Direction=H","UseDPDF=Y")</f>
        <v>252.39060000000001</v>
      </c>
      <c r="L35" s="14">
        <f>_xll.BDH("ALNY US Equity","NET_DBT_CPTL_EX_OPER_LEA_LIABS","FQ1 2021","FQ1 2021","Currency=USD","Period=FQ","BEST_FPERIOD_OVERRIDE=FQ","FILING_STATUS=MR","Sort=A","Dates=H","DateFormat=P","Fill=—","Direction=H","UseDPDF=Y")</f>
        <v>256.51530000000002</v>
      </c>
      <c r="M35" s="14">
        <f>_xll.BDH("ALNY US Equity","NET_DBT_CPTL_EX_OPER_LEA_LIABS","FQ2 2021","FQ2 2021","Currency=USD","Period=FQ","BEST_FPERIOD_OVERRIDE=FQ","FILING_STATUS=MR","Sort=A","Dates=H","DateFormat=P","Fill=—","Direction=H","UseDPDF=Y")</f>
        <v>239.08170000000001</v>
      </c>
      <c r="N35" s="14">
        <f>_xll.BDH("ALNY US Equity","NET_DBT_CPTL_EX_OPER_LEA_LIABS","FQ3 2021","FQ3 2021","Currency=USD","Period=FQ","BEST_FPERIOD_OVERRIDE=FQ","FILING_STATUS=MR","Sort=A","Dates=H","DateFormat=P","Fill=—","Direction=H","UseDPDF=Y")</f>
        <v>166.4128</v>
      </c>
      <c r="O35" s="14">
        <f>_xll.BDH("ALNY US Equity","NET_DBT_CPTL_EX_OPER_LEA_LIABS","FQ4 2021","FQ4 2021","Currency=USD","Period=FQ","BEST_FPERIOD_OVERRIDE=FQ","FILING_STATUS=MR","Sort=A","Dates=H","DateFormat=P","Fill=—","Direction=H","UseDPDF=Y")</f>
        <v>150.20240000000001</v>
      </c>
      <c r="P35" s="14">
        <f>_xll.BDH("ALNY US Equity","NET_DBT_CPTL_EX_OPER_LEA_LIABS","FQ1 2022","FQ1 2022","Currency=USD","Period=FQ","BEST_FPERIOD_OVERRIDE=FQ","FILING_STATUS=MR","Sort=A","Dates=H","DateFormat=P","Fill=—","Direction=H","UseDPDF=Y")</f>
        <v>134.53309999999999</v>
      </c>
      <c r="Q35" s="14">
        <f>_xll.BDH("ALNY US Equity","NET_DBT_CPTL_EX_OPER_LEA_LIABS","FQ2 2022","FQ2 2022","Currency=USD","Period=FQ","BEST_FPERIOD_OVERRIDE=FQ","FILING_STATUS=MR","Sort=A","Dates=H","DateFormat=P","Fill=—","Direction=H","UseDPDF=Y")</f>
        <v>114.0064</v>
      </c>
      <c r="R35" s="14">
        <f>_xll.BDH("ALNY US Equity","NET_DBT_CPTL_EX_OPER_LEA_LIABS","FQ3 2022","FQ3 2022","Currency=USD","Period=FQ","BEST_FPERIOD_OVERRIDE=FQ","FILING_STATUS=MR","Sort=A","Dates=H","DateFormat=P","Fill=—","Direction=H","UseDPDF=Y")</f>
        <v>93.857200000000006</v>
      </c>
      <c r="S35" s="14">
        <f>_xll.BDH("ALNY US Equity","NET_DBT_CPTL_EX_OPER_LEA_LIABS","FQ4 2022","FQ4 2022","Currency=USD","Period=FQ","BEST_FPERIOD_OVERRIDE=FQ","FILING_STATUS=MR","Sort=A","Dates=H","DateFormat=P","Fill=—","Direction=H","UseDPDF=Y")</f>
        <v>88.136399999999995</v>
      </c>
      <c r="T35" s="14">
        <f>_xll.BDH("ALNY US Equity","NET_DBT_CPTL_EX_OPER_LEA_LIABS","FQ1 2023","FQ1 2023","Currency=USD","Period=FQ","BEST_FPERIOD_OVERRIDE=FQ","FILING_STATUS=MR","Sort=A","Dates=H","DateFormat=P","Fill=—","Direction=H","UseDPDF=Y")</f>
        <v>80.241299999999995</v>
      </c>
      <c r="U35" s="14">
        <f>_xll.BDH("ALNY US Equity","NET_DBT_CPTL_EX_OPER_LEA_LIABS","FQ2 2023","FQ2 2023","Currency=USD","Period=FQ","BEST_FPERIOD_OVERRIDE=FQ","FILING_STATUS=MR","Sort=A","Dates=H","DateFormat=P","Fill=—","Direction=H","UseDPDF=Y")</f>
        <v>71.790700000000001</v>
      </c>
      <c r="V35" s="14">
        <f>_xll.BDH("ALNY US Equity","NET_DBT_CPTL_EX_OPER_LEA_LIABS","FQ3 2023","FQ3 2023","Currency=USD","Period=FQ","BEST_FPERIOD_OVERRIDE=FQ","FILING_STATUS=MR","Sort=A","Dates=H","DateFormat=P","Fill=—","Direction=H","UseDPDF=Y")</f>
        <v>89.315100000000001</v>
      </c>
      <c r="W35" s="14">
        <f>_xll.BDH("ALNY US Equity","NET_DBT_CPTL_EX_OPER_LEA_LIABS","FQ4 2023","FQ4 2023","Currency=USD","Period=FQ","BEST_FPERIOD_OVERRIDE=FQ","FILING_STATUS=MR","Sort=A","Dates=H","DateFormat=P","Fill=—","Direction=H","UseDPDF=Y")</f>
        <v>86.539900000000003</v>
      </c>
      <c r="X35" s="14">
        <f>_xll.BDH("ALNY US Equity","NET_DBT_CPTL_EX_OPER_LEA_LIABS","FQ1 2024","FQ1 2024","Currency=USD","Period=FQ","BEST_FPERIOD_OVERRIDE=FQ","FILING_STATUS=MR","Sort=A","Dates=H","DateFormat=P","Fill=—","Direction=H","UseDPDF=Y")</f>
        <v>86.023099999999999</v>
      </c>
      <c r="Y35" s="14">
        <f>_xll.BDH("ALNY US Equity","NET_DBT_CPTL_EX_OPER_LEA_LIABS","FQ2 2024","FQ2 2024","Currency=USD","Period=FQ","BEST_FPERIOD_OVERRIDE=FQ","FILING_STATUS=MR","Sort=A","Dates=H","DateFormat=P","Fill=—","Direction=H","UseDPDF=Y")</f>
        <v>98.831400000000002</v>
      </c>
      <c r="Z35" s="14">
        <f>_xll.BDH("ALNY US Equity","NET_DBT_CPTL_EX_OPER_LEA_LIABS","FQ3 2024","FQ3 2024","Currency=USD","Period=FQ","BEST_FPERIOD_OVERRIDE=FQ","FILING_STATUS=MR","Sort=A","Dates=H","DateFormat=P","Fill=—","Direction=H","UseDPDF=Y")</f>
        <v>101.8764</v>
      </c>
      <c r="AA35" s="14">
        <f>_xll.BDH("ALNY US Equity","NET_DBT_CPTL_EX_OPER_LEA_LIABS","FQ4 2024","FQ4 2024","Currency=USD","Period=FQ","BEST_FPERIOD_OVERRIDE=FQ","FILING_STATUS=MR","Sort=A","Dates=H","DateFormat=P","Fill=—","Direction=H","UseDPDF=Y")</f>
        <v>104.1857</v>
      </c>
    </row>
    <row r="36" spans="1:27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10" t="s">
        <v>78</v>
      </c>
      <c r="B37" s="10" t="s">
        <v>1500</v>
      </c>
      <c r="C37" s="13">
        <f>_xll.BDH("ALNY US Equity","EBITDA_AFTER_OPERATING_LEA_EXPN","FQ4 2018","FQ4 2018","Currency=USD","Period=FQ","BEST_FPERIOD_OVERRIDE=FQ","FILING_STATUS=MR","SCALING_FORMAT=MLN","FA_ADJUSTED=GAAP","Sort=A","Dates=H","DateFormat=P","Fill=—","Direction=H","UseDPDF=Y")</f>
        <v>-222.584</v>
      </c>
      <c r="D37" s="13">
        <f>_xll.BDH("ALNY US Equity","EBITDA_AFTER_OPERATING_LEA_EXPN","FQ1 2019","FQ1 2019","Currency=USD","Period=FQ","BEST_FPERIOD_OVERRIDE=FQ","FILING_STATUS=MR","SCALING_FORMAT=MLN","FA_ADJUSTED=GAAP","Sort=A","Dates=H","DateFormat=P","Fill=—","Direction=H","UseDPDF=Y")</f>
        <v>-176.578</v>
      </c>
      <c r="E37" s="13">
        <f>_xll.BDH("ALNY US Equity","EBITDA_AFTER_OPERATING_LEA_EXPN","FQ2 2019","FQ2 2019","Currency=USD","Period=FQ","BEST_FPERIOD_OVERRIDE=FQ","FILING_STATUS=MR","SCALING_FORMAT=MLN","FA_ADJUSTED=GAAP","Sort=A","Dates=H","DateFormat=P","Fill=—","Direction=H","UseDPDF=Y")</f>
        <v>-226.52600000000001</v>
      </c>
      <c r="F37" s="13">
        <f>_xll.BDH("ALNY US Equity","EBITDA_AFTER_OPERATING_LEA_EXPN","FQ3 2019","FQ3 2019","Currency=USD","Period=FQ","BEST_FPERIOD_OVERRIDE=FQ","FILING_STATUS=MR","SCALING_FORMAT=MLN","FA_ADJUSTED=GAAP","Sort=A","Dates=H","DateFormat=P","Fill=—","Direction=H","UseDPDF=Y")</f>
        <v>-198.648</v>
      </c>
      <c r="G37" s="13">
        <f>_xll.BDH("ALNY US Equity","EBITDA_AFTER_OPERATING_LEA_EXPN","FQ4 2019","FQ4 2019","Currency=USD","Period=FQ","BEST_FPERIOD_OVERRIDE=FQ","FILING_STATUS=MR","SCALING_FORMAT=MLN","FA_ADJUSTED=GAAP","Sort=A","Dates=H","DateFormat=P","Fill=—","Direction=H","UseDPDF=Y")</f>
        <v>-283.31099999999998</v>
      </c>
      <c r="H37" s="13">
        <f>_xll.BDH("ALNY US Equity","EBITDA_AFTER_OPERATING_LEA_EXPN","FQ1 2020","FQ1 2020","Currency=USD","Period=FQ","BEST_FPERIOD_OVERRIDE=FQ","FILING_STATUS=MR","SCALING_FORMAT=MLN","FA_ADJUSTED=GAAP","Sort=A","Dates=H","DateFormat=P","Fill=—","Direction=H","UseDPDF=Y")</f>
        <v>-193.15199999999999</v>
      </c>
      <c r="I37" s="13">
        <f>_xll.BDH("ALNY US Equity","EBITDA_AFTER_OPERATING_LEA_EXPN","FQ2 2020","FQ2 2020","Currency=USD","Period=FQ","BEST_FPERIOD_OVERRIDE=FQ","FILING_STATUS=MR","SCALING_FORMAT=MLN","FA_ADJUSTED=GAAP","Sort=A","Dates=H","DateFormat=P","Fill=—","Direction=H","UseDPDF=Y")</f>
        <v>-181.08099999999999</v>
      </c>
      <c r="J37" s="13">
        <f>_xll.BDH("ALNY US Equity","EBITDA_AFTER_OPERATING_LEA_EXPN","FQ3 2020","FQ3 2020","Currency=USD","Period=FQ","BEST_FPERIOD_OVERRIDE=FQ","FILING_STATUS=MR","SCALING_FORMAT=MLN","FA_ADJUSTED=GAAP","Sort=A","Dates=H","DateFormat=P","Fill=—","Direction=H","UseDPDF=Y")</f>
        <v>-206.428</v>
      </c>
      <c r="K37" s="13">
        <f>_xll.BDH("ALNY US Equity","EBITDA_AFTER_OPERATING_LEA_EXPN","FQ4 2020","FQ4 2020","Currency=USD","Period=FQ","BEST_FPERIOD_OVERRIDE=FQ","FILING_STATUS=MR","SCALING_FORMAT=MLN","FA_ADJUSTED=GAAP","Sort=A","Dates=H","DateFormat=P","Fill=—","Direction=H","UseDPDF=Y")</f>
        <v>-173.34200000000001</v>
      </c>
      <c r="L37" s="13">
        <f>_xll.BDH("ALNY US Equity","EBITDA_AFTER_OPERATING_LEA_EXPN","FQ1 2021","FQ1 2021","Currency=USD","Period=FQ","BEST_FPERIOD_OVERRIDE=FQ","FILING_STATUS=MR","SCALING_FORMAT=MLN","FA_ADJUSTED=GAAP","Sort=A","Dates=H","DateFormat=P","Fill=—","Direction=H","UseDPDF=Y")</f>
        <v>-163.392</v>
      </c>
      <c r="M37" s="13">
        <f>_xll.BDH("ALNY US Equity","EBITDA_AFTER_OPERATING_LEA_EXPN","FQ2 2021","FQ2 2021","Currency=USD","Period=FQ","BEST_FPERIOD_OVERRIDE=FQ","FILING_STATUS=MR","SCALING_FORMAT=MLN","FA_ADJUSTED=GAAP","Sort=A","Dates=H","DateFormat=P","Fill=—","Direction=H","UseDPDF=Y")</f>
        <v>-123.999</v>
      </c>
      <c r="N37" s="13">
        <f>_xll.BDH("ALNY US Equity","EBITDA_AFTER_OPERATING_LEA_EXPN","FQ3 2021","FQ3 2021","Currency=USD","Period=FQ","BEST_FPERIOD_OVERRIDE=FQ","FILING_STATUS=MR","SCALING_FORMAT=MLN","FA_ADJUSTED=GAAP","Sort=A","Dates=H","DateFormat=P","Fill=—","Direction=H","UseDPDF=Y")</f>
        <v>-158.45699999999999</v>
      </c>
      <c r="O37" s="13">
        <f>_xll.BDH("ALNY US Equity","EBITDA_AFTER_OPERATING_LEA_EXPN","FQ4 2021","FQ4 2021","Currency=USD","Period=FQ","BEST_FPERIOD_OVERRIDE=FQ","FILING_STATUS=MR","SCALING_FORMAT=MLN","FA_ADJUSTED=GAAP","Sort=A","Dates=H","DateFormat=P","Fill=—","Direction=H","UseDPDF=Y")</f>
        <v>-173.11</v>
      </c>
      <c r="P37" s="13">
        <f>_xll.BDH("ALNY US Equity","EBITDA_AFTER_OPERATING_LEA_EXPN","FQ1 2022","FQ1 2022","Currency=USD","Period=FQ","BEST_FPERIOD_OVERRIDE=FQ","FILING_STATUS=MR","SCALING_FORMAT=MLN","FA_ADJUSTED=GAAP","Sort=A","Dates=H","DateFormat=P","Fill=—","Direction=H","UseDPDF=Y")</f>
        <v>-126.95399999999999</v>
      </c>
      <c r="Q37" s="13">
        <f>_xll.BDH("ALNY US Equity","EBITDA_AFTER_OPERATING_LEA_EXPN","FQ2 2022","FQ2 2022","Currency=USD","Period=FQ","BEST_FPERIOD_OVERRIDE=FQ","FILING_STATUS=MR","SCALING_FORMAT=MLN","FA_ADJUSTED=GAAP","Sort=A","Dates=H","DateFormat=P","Fill=—","Direction=H","UseDPDF=Y")</f>
        <v>-171.44900000000001</v>
      </c>
      <c r="R37" s="13">
        <f>_xll.BDH("ALNY US Equity","EBITDA_AFTER_OPERATING_LEA_EXPN","FQ3 2022","FQ3 2022","Currency=USD","Period=FQ","BEST_FPERIOD_OVERRIDE=FQ","FILING_STATUS=MR","SCALING_FORMAT=MLN","FA_ADJUSTED=GAAP","Sort=A","Dates=H","DateFormat=P","Fill=—","Direction=H","UseDPDF=Y")</f>
        <v>-237.39</v>
      </c>
      <c r="S37" s="13">
        <f>_xll.BDH("ALNY US Equity","EBITDA_AFTER_OPERATING_LEA_EXPN","FQ4 2022","FQ4 2022","Currency=USD","Period=FQ","BEST_FPERIOD_OVERRIDE=FQ","FILING_STATUS=MR","SCALING_FORMAT=MLN","FA_ADJUSTED=GAAP","Sort=A","Dates=H","DateFormat=P","Fill=—","Direction=H","UseDPDF=Y")</f>
        <v>-163.72900000000001</v>
      </c>
      <c r="T37" s="13">
        <f>_xll.BDH("ALNY US Equity","EBITDA_AFTER_OPERATING_LEA_EXPN","FQ1 2023","FQ1 2023","Currency=USD","Period=FQ","BEST_FPERIOD_OVERRIDE=FQ","FILING_STATUS=MR","SCALING_FORMAT=MLN","FA_ADJUSTED=GAAP","Sort=A","Dates=H","DateFormat=P","Fill=—","Direction=H","UseDPDF=Y")</f>
        <v>-123.72799999999999</v>
      </c>
      <c r="U37" s="13">
        <f>_xll.BDH("ALNY US Equity","EBITDA_AFTER_OPERATING_LEA_EXPN","FQ2 2023","FQ2 2023","Currency=USD","Period=FQ","BEST_FPERIOD_OVERRIDE=FQ","FILING_STATUS=MR","SCALING_FORMAT=MLN","FA_ADJUSTED=GAAP","Sort=A","Dates=H","DateFormat=P","Fill=—","Direction=H","UseDPDF=Y")</f>
        <v>-206.38399999999999</v>
      </c>
      <c r="V37" s="13">
        <f>_xll.BDH("ALNY US Equity","EBITDA_AFTER_OPERATING_LEA_EXPN","FQ3 2023","FQ3 2023","Currency=USD","Period=FQ","BEST_FPERIOD_OVERRIDE=FQ","FILING_STATUS=MR","SCALING_FORMAT=MLN","FA_ADJUSTED=GAAP","Sort=A","Dates=H","DateFormat=P","Fill=—","Direction=H","UseDPDF=Y")</f>
        <v>237.399</v>
      </c>
      <c r="W37" s="13">
        <f>_xll.BDH("ALNY US Equity","EBITDA_AFTER_OPERATING_LEA_EXPN","FQ4 2023","FQ4 2023","Currency=USD","Period=FQ","BEST_FPERIOD_OVERRIDE=FQ","FILING_STATUS=MR","SCALING_FORMAT=MLN","FA_ADJUSTED=GAAP","Sort=A","Dates=H","DateFormat=P","Fill=—","Direction=H","UseDPDF=Y")</f>
        <v>-92.430999999999997</v>
      </c>
      <c r="X37" s="13">
        <f>_xll.BDH("ALNY US Equity","EBITDA_AFTER_OPERATING_LEA_EXPN","FQ1 2024","FQ1 2024","Currency=USD","Period=FQ","BEST_FPERIOD_OVERRIDE=FQ","FILING_STATUS=MR","SCALING_FORMAT=MLN","FA_ADJUSTED=GAAP","Sort=A","Dates=H","DateFormat=P","Fill=—","Direction=H","UseDPDF=Y")</f>
        <v>-17.949000000000002</v>
      </c>
      <c r="Y37" s="13">
        <f>_xll.BDH("ALNY US Equity","EBITDA_AFTER_OPERATING_LEA_EXPN","FQ2 2024","FQ2 2024","Currency=USD","Period=FQ","BEST_FPERIOD_OVERRIDE=FQ","FILING_STATUS=MR","SCALING_FORMAT=MLN","FA_ADJUSTED=GAAP","Sort=A","Dates=H","DateFormat=P","Fill=—","Direction=H","UseDPDF=Y")</f>
        <v>73.305999999999997</v>
      </c>
      <c r="Z37" s="13">
        <f>_xll.BDH("ALNY US Equity","EBITDA_AFTER_OPERATING_LEA_EXPN","FQ3 2024","FQ3 2024","Currency=USD","Period=FQ","BEST_FPERIOD_OVERRIDE=FQ","FILING_STATUS=MR","SCALING_FORMAT=MLN","FA_ADJUSTED=GAAP","Sort=A","Dates=H","DateFormat=P","Fill=—","Direction=H","UseDPDF=Y")</f>
        <v>-49.866999999999997</v>
      </c>
      <c r="AA37" s="13">
        <f>_xll.BDH("ALNY US Equity","EBITDA_AFTER_OPERATING_LEA_EXPN","FQ4 2024","FQ4 2024","Currency=USD","Period=FQ","BEST_FPERIOD_OVERRIDE=FQ","FILING_STATUS=MR","SCALING_FORMAT=MLN","FA_ADJUSTED=GAAP","Sort=A","Dates=H","DateFormat=P","Fill=—","Direction=H","UseDPDF=Y")</f>
        <v>-90.991</v>
      </c>
    </row>
    <row r="38" spans="1:27" x14ac:dyDescent="0.25">
      <c r="A38" s="10" t="s">
        <v>1479</v>
      </c>
      <c r="B38" s="10" t="s">
        <v>1501</v>
      </c>
      <c r="C38" s="13">
        <f>_xll.BDH("ALNY US Equity","EBITDA_AFT_CAPEX_AND_OP_LEA_EXPN","FQ4 2018","FQ4 2018","Currency=USD","Period=FQ","BEST_FPERIOD_OVERRIDE=FQ","FILING_STATUS=MR","SCALING_FORMAT=MLN","FA_ADJUSTED=GAAP","Sort=A","Dates=H","DateFormat=P","Fill=—","Direction=H","UseDPDF=Y")</f>
        <v>-260.09699999999998</v>
      </c>
      <c r="D38" s="13">
        <f>_xll.BDH("ALNY US Equity","EBITDA_AFT_CAPEX_AND_OP_LEA_EXPN","FQ1 2019","FQ1 2019","Currency=USD","Period=FQ","BEST_FPERIOD_OVERRIDE=FQ","FILING_STATUS=MR","SCALING_FORMAT=MLN","FA_ADJUSTED=GAAP","Sort=A","Dates=H","DateFormat=P","Fill=—","Direction=H","UseDPDF=Y")</f>
        <v>-220.62700000000001</v>
      </c>
      <c r="E38" s="13">
        <f>_xll.BDH("ALNY US Equity","EBITDA_AFT_CAPEX_AND_OP_LEA_EXPN","FQ2 2019","FQ2 2019","Currency=USD","Period=FQ","BEST_FPERIOD_OVERRIDE=FQ","FILING_STATUS=MR","SCALING_FORMAT=MLN","FA_ADJUSTED=GAAP","Sort=A","Dates=H","DateFormat=P","Fill=—","Direction=H","UseDPDF=Y")</f>
        <v>-247.77</v>
      </c>
      <c r="F38" s="13">
        <f>_xll.BDH("ALNY US Equity","EBITDA_AFT_CAPEX_AND_OP_LEA_EXPN","FQ3 2019","FQ3 2019","Currency=USD","Period=FQ","BEST_FPERIOD_OVERRIDE=FQ","FILING_STATUS=MR","SCALING_FORMAT=MLN","FA_ADJUSTED=GAAP","Sort=A","Dates=H","DateFormat=P","Fill=—","Direction=H","UseDPDF=Y")</f>
        <v>-234.70599999999999</v>
      </c>
      <c r="G38" s="13">
        <f>_xll.BDH("ALNY US Equity","EBITDA_AFT_CAPEX_AND_OP_LEA_EXPN","FQ4 2019","FQ4 2019","Currency=USD","Period=FQ","BEST_FPERIOD_OVERRIDE=FQ","FILING_STATUS=MR","SCALING_FORMAT=MLN","FA_ADJUSTED=GAAP","Sort=A","Dates=H","DateFormat=P","Fill=—","Direction=H","UseDPDF=Y")</f>
        <v>-322.11599999999999</v>
      </c>
      <c r="H38" s="13">
        <f>_xll.BDH("ALNY US Equity","EBITDA_AFT_CAPEX_AND_OP_LEA_EXPN","FQ1 2020","FQ1 2020","Currency=USD","Period=FQ","BEST_FPERIOD_OVERRIDE=FQ","FILING_STATUS=MR","SCALING_FORMAT=MLN","FA_ADJUSTED=GAAP","Sort=A","Dates=H","DateFormat=P","Fill=—","Direction=H","UseDPDF=Y")</f>
        <v>-212.76900000000001</v>
      </c>
      <c r="I38" s="13">
        <f>_xll.BDH("ALNY US Equity","EBITDA_AFT_CAPEX_AND_OP_LEA_EXPN","FQ2 2020","FQ2 2020","Currency=USD","Period=FQ","BEST_FPERIOD_OVERRIDE=FQ","FILING_STATUS=MR","SCALING_FORMAT=MLN","FA_ADJUSTED=GAAP","Sort=A","Dates=H","DateFormat=P","Fill=—","Direction=H","UseDPDF=Y")</f>
        <v>-197.739</v>
      </c>
      <c r="J38" s="13">
        <f>_xll.BDH("ALNY US Equity","EBITDA_AFT_CAPEX_AND_OP_LEA_EXPN","FQ3 2020","FQ3 2020","Currency=USD","Period=FQ","BEST_FPERIOD_OVERRIDE=FQ","FILING_STATUS=MR","SCALING_FORMAT=MLN","FA_ADJUSTED=GAAP","Sort=A","Dates=H","DateFormat=P","Fill=—","Direction=H","UseDPDF=Y")</f>
        <v>-218.846</v>
      </c>
      <c r="K38" s="13">
        <f>_xll.BDH("ALNY US Equity","EBITDA_AFT_CAPEX_AND_OP_LEA_EXPN","FQ4 2020","FQ4 2020","Currency=USD","Period=FQ","BEST_FPERIOD_OVERRIDE=FQ","FILING_STATUS=MR","SCALING_FORMAT=MLN","FA_ADJUSTED=GAAP","Sort=A","Dates=H","DateFormat=P","Fill=—","Direction=H","UseDPDF=Y")</f>
        <v>-195.01</v>
      </c>
      <c r="L38" s="13">
        <f>_xll.BDH("ALNY US Equity","EBITDA_AFT_CAPEX_AND_OP_LEA_EXPN","FQ1 2021","FQ1 2021","Currency=USD","Period=FQ","BEST_FPERIOD_OVERRIDE=FQ","FILING_STATUS=MR","SCALING_FORMAT=MLN","FA_ADJUSTED=GAAP","Sort=A","Dates=H","DateFormat=P","Fill=—","Direction=H","UseDPDF=Y")</f>
        <v>-180.57</v>
      </c>
      <c r="M38" s="13">
        <f>_xll.BDH("ALNY US Equity","EBITDA_AFT_CAPEX_AND_OP_LEA_EXPN","FQ2 2021","FQ2 2021","Currency=USD","Period=FQ","BEST_FPERIOD_OVERRIDE=FQ","FILING_STATUS=MR","SCALING_FORMAT=MLN","FA_ADJUSTED=GAAP","Sort=A","Dates=H","DateFormat=P","Fill=—","Direction=H","UseDPDF=Y")</f>
        <v>-135.245</v>
      </c>
      <c r="N38" s="13">
        <f>_xll.BDH("ALNY US Equity","EBITDA_AFT_CAPEX_AND_OP_LEA_EXPN","FQ3 2021","FQ3 2021","Currency=USD","Period=FQ","BEST_FPERIOD_OVERRIDE=FQ","FILING_STATUS=MR","SCALING_FORMAT=MLN","FA_ADJUSTED=GAAP","Sort=A","Dates=H","DateFormat=P","Fill=—","Direction=H","UseDPDF=Y")</f>
        <v>-184.51900000000001</v>
      </c>
      <c r="O38" s="13">
        <f>_xll.BDH("ALNY US Equity","EBITDA_AFT_CAPEX_AND_OP_LEA_EXPN","FQ4 2021","FQ4 2021","Currency=USD","Period=FQ","BEST_FPERIOD_OVERRIDE=FQ","FILING_STATUS=MR","SCALING_FORMAT=MLN","FA_ADJUSTED=GAAP","Sort=A","Dates=H","DateFormat=P","Fill=—","Direction=H","UseDPDF=Y")</f>
        <v>-194.99600000000001</v>
      </c>
      <c r="P38" s="13">
        <f>_xll.BDH("ALNY US Equity","EBITDA_AFT_CAPEX_AND_OP_LEA_EXPN","FQ1 2022","FQ1 2022","Currency=USD","Period=FQ","BEST_FPERIOD_OVERRIDE=FQ","FILING_STATUS=MR","SCALING_FORMAT=MLN","FA_ADJUSTED=GAAP","Sort=A","Dates=H","DateFormat=P","Fill=—","Direction=H","UseDPDF=Y")</f>
        <v>-144.81299999999999</v>
      </c>
      <c r="Q38" s="13">
        <f>_xll.BDH("ALNY US Equity","EBITDA_AFT_CAPEX_AND_OP_LEA_EXPN","FQ2 2022","FQ2 2022","Currency=USD","Period=FQ","BEST_FPERIOD_OVERRIDE=FQ","FILING_STATUS=MR","SCALING_FORMAT=MLN","FA_ADJUSTED=GAAP","Sort=A","Dates=H","DateFormat=P","Fill=—","Direction=H","UseDPDF=Y")</f>
        <v>-187.50399999999999</v>
      </c>
      <c r="R38" s="13">
        <f>_xll.BDH("ALNY US Equity","EBITDA_AFT_CAPEX_AND_OP_LEA_EXPN","FQ3 2022","FQ3 2022","Currency=USD","Period=FQ","BEST_FPERIOD_OVERRIDE=FQ","FILING_STATUS=MR","SCALING_FORMAT=MLN","FA_ADJUSTED=GAAP","Sort=A","Dates=H","DateFormat=P","Fill=—","Direction=H","UseDPDF=Y")</f>
        <v>-253.9</v>
      </c>
      <c r="S38" s="13">
        <f>_xll.BDH("ALNY US Equity","EBITDA_AFT_CAPEX_AND_OP_LEA_EXPN","FQ4 2022","FQ4 2022","Currency=USD","Period=FQ","BEST_FPERIOD_OVERRIDE=FQ","FILING_STATUS=MR","SCALING_FORMAT=MLN","FA_ADJUSTED=GAAP","Sort=A","Dates=H","DateFormat=P","Fill=—","Direction=H","UseDPDF=Y")</f>
        <v>-185.364</v>
      </c>
      <c r="T38" s="13">
        <f>_xll.BDH("ALNY US Equity","EBITDA_AFT_CAPEX_AND_OP_LEA_EXPN","FQ1 2023","FQ1 2023","Currency=USD","Period=FQ","BEST_FPERIOD_OVERRIDE=FQ","FILING_STATUS=MR","SCALING_FORMAT=MLN","FA_ADJUSTED=GAAP","Sort=A","Dates=H","DateFormat=P","Fill=—","Direction=H","UseDPDF=Y")</f>
        <v>-137.619</v>
      </c>
      <c r="U38" s="13">
        <f>_xll.BDH("ALNY US Equity","EBITDA_AFT_CAPEX_AND_OP_LEA_EXPN","FQ2 2023","FQ2 2023","Currency=USD","Period=FQ","BEST_FPERIOD_OVERRIDE=FQ","FILING_STATUS=MR","SCALING_FORMAT=MLN","FA_ADJUSTED=GAAP","Sort=A","Dates=H","DateFormat=P","Fill=—","Direction=H","UseDPDF=Y")</f>
        <v>-222.303</v>
      </c>
      <c r="V38" s="13">
        <f>_xll.BDH("ALNY US Equity","EBITDA_AFT_CAPEX_AND_OP_LEA_EXPN","FQ3 2023","FQ3 2023","Currency=USD","Period=FQ","BEST_FPERIOD_OVERRIDE=FQ","FILING_STATUS=MR","SCALING_FORMAT=MLN","FA_ADJUSTED=GAAP","Sort=A","Dates=H","DateFormat=P","Fill=—","Direction=H","UseDPDF=Y")</f>
        <v>220.30699999999999</v>
      </c>
      <c r="W38" s="13">
        <f>_xll.BDH("ALNY US Equity","EBITDA_AFT_CAPEX_AND_OP_LEA_EXPN","FQ4 2023","FQ4 2023","Currency=USD","Period=FQ","BEST_FPERIOD_OVERRIDE=FQ","FILING_STATUS=MR","SCALING_FORMAT=MLN","FA_ADJUSTED=GAAP","Sort=A","Dates=H","DateFormat=P","Fill=—","Direction=H","UseDPDF=Y")</f>
        <v>-107.74</v>
      </c>
      <c r="X38" s="13">
        <f>_xll.BDH("ALNY US Equity","EBITDA_AFT_CAPEX_AND_OP_LEA_EXPN","FQ1 2024","FQ1 2024","Currency=USD","Period=FQ","BEST_FPERIOD_OVERRIDE=FQ","FILING_STATUS=MR","SCALING_FORMAT=MLN","FA_ADJUSTED=GAAP","Sort=A","Dates=H","DateFormat=P","Fill=—","Direction=H","UseDPDF=Y")</f>
        <v>-30.922000000000001</v>
      </c>
      <c r="Y38" s="13">
        <f>_xll.BDH("ALNY US Equity","EBITDA_AFT_CAPEX_AND_OP_LEA_EXPN","FQ2 2024","FQ2 2024","Currency=USD","Period=FQ","BEST_FPERIOD_OVERRIDE=FQ","FILING_STATUS=MR","SCALING_FORMAT=MLN","FA_ADJUSTED=GAAP","Sort=A","Dates=H","DateFormat=P","Fill=—","Direction=H","UseDPDF=Y")</f>
        <v>65.287999999999997</v>
      </c>
      <c r="Z38" s="13">
        <f>_xll.BDH("ALNY US Equity","EBITDA_AFT_CAPEX_AND_OP_LEA_EXPN","FQ3 2024","FQ3 2024","Currency=USD","Period=FQ","BEST_FPERIOD_OVERRIDE=FQ","FILING_STATUS=MR","SCALING_FORMAT=MLN","FA_ADJUSTED=GAAP","Sort=A","Dates=H","DateFormat=P","Fill=—","Direction=H","UseDPDF=Y")</f>
        <v>-54.058999999999997</v>
      </c>
      <c r="AA38" s="13">
        <f>_xll.BDH("ALNY US Equity","EBITDA_AFT_CAPEX_AND_OP_LEA_EXPN","FQ4 2024","FQ4 2024","Currency=USD","Period=FQ","BEST_FPERIOD_OVERRIDE=FQ","FILING_STATUS=MR","SCALING_FORMAT=MLN","FA_ADJUSTED=GAAP","Sort=A","Dates=H","DateFormat=P","Fill=—","Direction=H","UseDPDF=Y")</f>
        <v>-100.08499999999999</v>
      </c>
    </row>
    <row r="39" spans="1:27" x14ac:dyDescent="0.25">
      <c r="A39" s="10" t="s">
        <v>142</v>
      </c>
      <c r="B39" s="10" t="s">
        <v>1502</v>
      </c>
      <c r="C39" s="13">
        <f>_xll.BDH("ALNY US Equity","EBIT_AFTER_OPERATING_LEASE","FQ4 2018","FQ4 2018","Currency=USD","Period=FQ","BEST_FPERIOD_OVERRIDE=FQ","FILING_STATUS=MR","SCALING_FORMAT=MLN","FA_ADJUSTED=GAAP","Sort=A","Dates=H","DateFormat=P","Fill=—","Direction=H","UseDPDF=Y")</f>
        <v>-220.35599999999999</v>
      </c>
      <c r="D39" s="13">
        <f>_xll.BDH("ALNY US Equity","EBIT_AFTER_OPERATING_LEASE","FQ1 2019","FQ1 2019","Currency=USD","Period=FQ","BEST_FPERIOD_OVERRIDE=FQ","FILING_STATUS=MR","SCALING_FORMAT=MLN","FA_ADJUSTED=GAAP","Sort=A","Dates=H","DateFormat=P","Fill=—","Direction=H","UseDPDF=Y")</f>
        <v>-188.78800000000001</v>
      </c>
      <c r="E39" s="13">
        <f>_xll.BDH("ALNY US Equity","EBIT_AFTER_OPERATING_LEASE","FQ2 2019","FQ2 2019","Currency=USD","Period=FQ","BEST_FPERIOD_OVERRIDE=FQ","FILING_STATUS=MR","SCALING_FORMAT=MLN","FA_ADJUSTED=GAAP","Sort=A","Dates=H","DateFormat=P","Fill=—","Direction=H","UseDPDF=Y")</f>
        <v>-236.27099999999999</v>
      </c>
      <c r="F39" s="13">
        <f>_xll.BDH("ALNY US Equity","EBIT_AFTER_OPERATING_LEASE","FQ3 2019","FQ3 2019","Currency=USD","Period=FQ","BEST_FPERIOD_OVERRIDE=FQ","FILING_STATUS=MR","SCALING_FORMAT=MLN","FA_ADJUSTED=GAAP","Sort=A","Dates=H","DateFormat=P","Fill=—","Direction=H","UseDPDF=Y")</f>
        <v>-216.29900000000001</v>
      </c>
      <c r="G39" s="13">
        <f>_xll.BDH("ALNY US Equity","EBIT_AFTER_OPERATING_LEASE","FQ4 2019","FQ4 2019","Currency=USD","Period=FQ","BEST_FPERIOD_OVERRIDE=FQ","FILING_STATUS=MR","SCALING_FORMAT=MLN","FA_ADJUSTED=GAAP","Sort=A","Dates=H","DateFormat=P","Fill=—","Direction=H","UseDPDF=Y")</f>
        <v>-298.07299999999998</v>
      </c>
      <c r="H39" s="13">
        <f>_xll.BDH("ALNY US Equity","EBIT_AFTER_OPERATING_LEASE","FQ1 2020","FQ1 2020","Currency=USD","Period=FQ","BEST_FPERIOD_OVERRIDE=FQ","FILING_STATUS=MR","SCALING_FORMAT=MLN","FA_ADJUSTED=GAAP","Sort=A","Dates=H","DateFormat=P","Fill=—","Direction=H","UseDPDF=Y")</f>
        <v>-210.15799999999999</v>
      </c>
      <c r="I39" s="13">
        <f>_xll.BDH("ALNY US Equity","EBIT_AFTER_OPERATING_LEASE","FQ2 2020","FQ2 2020","Currency=USD","Period=FQ","BEST_FPERIOD_OVERRIDE=FQ","FILING_STATUS=MR","SCALING_FORMAT=MLN","FA_ADJUSTED=GAAP","Sort=A","Dates=H","DateFormat=P","Fill=—","Direction=H","UseDPDF=Y")</f>
        <v>-198.85900000000001</v>
      </c>
      <c r="J39" s="13">
        <f>_xll.BDH("ALNY US Equity","EBIT_AFTER_OPERATING_LEASE","FQ3 2020","FQ3 2020","Currency=USD","Period=FQ","BEST_FPERIOD_OVERRIDE=FQ","FILING_STATUS=MR","SCALING_FORMAT=MLN","FA_ADJUSTED=GAAP","Sort=A","Dates=H","DateFormat=P","Fill=—","Direction=H","UseDPDF=Y")</f>
        <v>-225.19900000000001</v>
      </c>
      <c r="K39" s="13">
        <f>_xll.BDH("ALNY US Equity","EBIT_AFTER_OPERATING_LEASE","FQ4 2020","FQ4 2020","Currency=USD","Period=FQ","BEST_FPERIOD_OVERRIDE=FQ","FILING_STATUS=MR","SCALING_FORMAT=MLN","FA_ADJUSTED=GAAP","Sort=A","Dates=H","DateFormat=P","Fill=—","Direction=H","UseDPDF=Y")</f>
        <v>-194.22200000000001</v>
      </c>
      <c r="L39" s="13">
        <f>_xll.BDH("ALNY US Equity","EBIT_AFTER_OPERATING_LEASE","FQ1 2021","FQ1 2021","Currency=USD","Period=FQ","BEST_FPERIOD_OVERRIDE=FQ","FILING_STATUS=MR","SCALING_FORMAT=MLN","FA_ADJUSTED=GAAP","Sort=A","Dates=H","DateFormat=P","Fill=—","Direction=H","UseDPDF=Y")</f>
        <v>-186.25399999999999</v>
      </c>
      <c r="M39" s="13">
        <f>_xll.BDH("ALNY US Equity","EBIT_AFTER_OPERATING_LEASE","FQ2 2021","FQ2 2021","Currency=USD","Period=FQ","BEST_FPERIOD_OVERRIDE=FQ","FILING_STATUS=MR","SCALING_FORMAT=MLN","FA_ADJUSTED=GAAP","Sort=A","Dates=H","DateFormat=P","Fill=—","Direction=H","UseDPDF=Y")</f>
        <v>-146.16</v>
      </c>
      <c r="N39" s="13">
        <f>_xll.BDH("ALNY US Equity","EBIT_AFTER_OPERATING_LEASE","FQ3 2021","FQ3 2021","Currency=USD","Period=FQ","BEST_FPERIOD_OVERRIDE=FQ","FILING_STATUS=MR","SCALING_FORMAT=MLN","FA_ADJUSTED=GAAP","Sort=A","Dates=H","DateFormat=P","Fill=—","Direction=H","UseDPDF=Y")</f>
        <v>-181.67699999999999</v>
      </c>
      <c r="O39" s="13">
        <f>_xll.BDH("ALNY US Equity","EBIT_AFTER_OPERATING_LEASE","FQ4 2021","FQ4 2021","Currency=USD","Period=FQ","BEST_FPERIOD_OVERRIDE=FQ","FILING_STATUS=MR","SCALING_FORMAT=MLN","FA_ADJUSTED=GAAP","Sort=A","Dates=H","DateFormat=P","Fill=—","Direction=H","UseDPDF=Y")</f>
        <v>-194.56100000000001</v>
      </c>
      <c r="P39" s="13">
        <f>_xll.BDH("ALNY US Equity","EBIT_AFTER_OPERATING_LEASE","FQ1 2022","FQ1 2022","Currency=USD","Period=FQ","BEST_FPERIOD_OVERRIDE=FQ","FILING_STATUS=MR","SCALING_FORMAT=MLN","FA_ADJUSTED=GAAP","Sort=A","Dates=H","DateFormat=P","Fill=—","Direction=H","UseDPDF=Y")</f>
        <v>-146.732</v>
      </c>
      <c r="Q39" s="13">
        <f>_xll.BDH("ALNY US Equity","EBIT_AFTER_OPERATING_LEASE","FQ2 2022","FQ2 2022","Currency=USD","Period=FQ","BEST_FPERIOD_OVERRIDE=FQ","FILING_STATUS=MR","SCALING_FORMAT=MLN","FA_ADJUSTED=GAAP","Sort=A","Dates=H","DateFormat=P","Fill=—","Direction=H","UseDPDF=Y")</f>
        <v>-191.68600000000001</v>
      </c>
      <c r="R39" s="13">
        <f>_xll.BDH("ALNY US Equity","EBIT_AFTER_OPERATING_LEASE","FQ3 2022","FQ3 2022","Currency=USD","Period=FQ","BEST_FPERIOD_OVERRIDE=FQ","FILING_STATUS=MR","SCALING_FORMAT=MLN","FA_ADJUSTED=GAAP","Sort=A","Dates=H","DateFormat=P","Fill=—","Direction=H","UseDPDF=Y")</f>
        <v>-258.04000000000002</v>
      </c>
      <c r="S39" s="13">
        <f>_xll.BDH("ALNY US Equity","EBIT_AFTER_OPERATING_LEASE","FQ4 2022","FQ4 2022","Currency=USD","Period=FQ","BEST_FPERIOD_OVERRIDE=FQ","FILING_STATUS=MR","SCALING_FORMAT=MLN","FA_ADJUSTED=GAAP","Sort=A","Dates=H","DateFormat=P","Fill=—","Direction=H","UseDPDF=Y")</f>
        <v>-188.614</v>
      </c>
      <c r="T39" s="13">
        <f>_xll.BDH("ALNY US Equity","EBIT_AFTER_OPERATING_LEASE","FQ1 2023","FQ1 2023","Currency=USD","Period=FQ","BEST_FPERIOD_OVERRIDE=FQ","FILING_STATUS=MR","SCALING_FORMAT=MLN","FA_ADJUSTED=GAAP","Sort=A","Dates=H","DateFormat=P","Fill=—","Direction=H","UseDPDF=Y")</f>
        <v>-149.80699999999999</v>
      </c>
      <c r="U39" s="13">
        <f>_xll.BDH("ALNY US Equity","EBIT_AFTER_OPERATING_LEASE","FQ2 2023","FQ2 2023","Currency=USD","Period=FQ","BEST_FPERIOD_OVERRIDE=FQ","FILING_STATUS=MR","SCALING_FORMAT=MLN","FA_ADJUSTED=GAAP","Sort=A","Dates=H","DateFormat=P","Fill=—","Direction=H","UseDPDF=Y")</f>
        <v>-229.83099999999999</v>
      </c>
      <c r="V39" s="13">
        <f>_xll.BDH("ALNY US Equity","EBIT_AFTER_OPERATING_LEASE","FQ3 2023","FQ3 2023","Currency=USD","Period=FQ","BEST_FPERIOD_OVERRIDE=FQ","FILING_STATUS=MR","SCALING_FORMAT=MLN","FA_ADJUSTED=GAAP","Sort=A","Dates=H","DateFormat=P","Fill=—","Direction=H","UseDPDF=Y")</f>
        <v>213.86699999999999</v>
      </c>
      <c r="W39" s="13">
        <f>_xll.BDH("ALNY US Equity","EBIT_AFTER_OPERATING_LEASE","FQ4 2023","FQ4 2023","Currency=USD","Period=FQ","BEST_FPERIOD_OVERRIDE=FQ","FILING_STATUS=MR","SCALING_FORMAT=MLN","FA_ADJUSTED=GAAP","Sort=A","Dates=H","DateFormat=P","Fill=—","Direction=H","UseDPDF=Y")</f>
        <v>-116.404</v>
      </c>
      <c r="X39" s="13">
        <f>_xll.BDH("ALNY US Equity","EBIT_AFTER_OPERATING_LEASE","FQ1 2024","FQ1 2024","Currency=USD","Period=FQ","BEST_FPERIOD_OVERRIDE=FQ","FILING_STATUS=MR","SCALING_FORMAT=MLN","FA_ADJUSTED=GAAP","Sort=A","Dates=H","DateFormat=P","Fill=—","Direction=H","UseDPDF=Y")</f>
        <v>-43.435000000000002</v>
      </c>
      <c r="Y39" s="13">
        <f>_xll.BDH("ALNY US Equity","EBIT_AFTER_OPERATING_LEASE","FQ2 2024","FQ2 2024","Currency=USD","Period=FQ","BEST_FPERIOD_OVERRIDE=FQ","FILING_STATUS=MR","SCALING_FORMAT=MLN","FA_ADJUSTED=GAAP","Sort=A","Dates=H","DateFormat=P","Fill=—","Direction=H","UseDPDF=Y")</f>
        <v>48.613999999999997</v>
      </c>
      <c r="Z39" s="13">
        <f>_xll.BDH("ALNY US Equity","EBIT_AFTER_OPERATING_LEASE","FQ3 2024","FQ3 2024","Currency=USD","Period=FQ","BEST_FPERIOD_OVERRIDE=FQ","FILING_STATUS=MR","SCALING_FORMAT=MLN","FA_ADJUSTED=GAAP","Sort=A","Dates=H","DateFormat=P","Fill=—","Direction=H","UseDPDF=Y")</f>
        <v>-76.905000000000001</v>
      </c>
      <c r="AA39" s="13">
        <f>_xll.BDH("ALNY US Equity","EBIT_AFTER_OPERATING_LEASE","FQ4 2024","FQ4 2024","Currency=USD","Period=FQ","BEST_FPERIOD_OVERRIDE=FQ","FILING_STATUS=MR","SCALING_FORMAT=MLN","FA_ADJUSTED=GAAP","Sort=A","Dates=H","DateFormat=P","Fill=—","Direction=H","UseDPDF=Y")</f>
        <v>-105.15900000000001</v>
      </c>
    </row>
    <row r="40" spans="1:27" x14ac:dyDescent="0.25">
      <c r="A40" s="7" t="s">
        <v>90</v>
      </c>
      <c r="B40" s="7"/>
      <c r="C40" s="7" t="s">
        <v>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1503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10" t="s">
        <v>1504</v>
      </c>
      <c r="B6" s="10" t="s">
        <v>1505</v>
      </c>
      <c r="C6" s="14">
        <f>_xll.BDH("ALNY US Equity","CASH_RATIO","FQ4 2018","FQ4 2018","Currency=USD","Period=FQ","BEST_FPERIOD_OVERRIDE=FQ","FILING_STATUS=MR","Sort=A","Dates=H","DateFormat=P","Fill=—","Direction=H","UseDPDF=Y")</f>
        <v>6.0400999999999998</v>
      </c>
      <c r="D6" s="14">
        <f>_xll.BDH("ALNY US Equity","CASH_RATIO","FQ1 2019","FQ1 2019","Currency=USD","Period=FQ","BEST_FPERIOD_OVERRIDE=FQ","FILING_STATUS=MR","Sort=A","Dates=H","DateFormat=P","Fill=—","Direction=H","UseDPDF=Y")</f>
        <v>8.3435000000000006</v>
      </c>
      <c r="E6" s="14">
        <f>_xll.BDH("ALNY US Equity","CASH_RATIO","FQ2 2019","FQ2 2019","Currency=USD","Period=FQ","BEST_FPERIOD_OVERRIDE=FQ","FILING_STATUS=MR","Sort=A","Dates=H","DateFormat=P","Fill=—","Direction=H","UseDPDF=Y")</f>
        <v>5.8636999999999997</v>
      </c>
      <c r="F6" s="14">
        <f>_xll.BDH("ALNY US Equity","CASH_RATIO","FQ3 2019","FQ3 2019","Currency=USD","Period=FQ","BEST_FPERIOD_OVERRIDE=FQ","FILING_STATUS=MR","Sort=A","Dates=H","DateFormat=P","Fill=—","Direction=H","UseDPDF=Y")</f>
        <v>4.8773999999999997</v>
      </c>
      <c r="G6" s="14">
        <f>_xll.BDH("ALNY US Equity","CASH_RATIO","FQ4 2019","FQ4 2019","Currency=USD","Period=FQ","BEST_FPERIOD_OVERRIDE=FQ","FILING_STATUS=MR","Sort=A","Dates=H","DateFormat=P","Fill=—","Direction=H","UseDPDF=Y")</f>
        <v>4.3567</v>
      </c>
      <c r="H6" s="14">
        <f>_xll.BDH("ALNY US Equity","CASH_RATIO","FQ1 2020","FQ1 2020","Currency=USD","Period=FQ","BEST_FPERIOD_OVERRIDE=FQ","FILING_STATUS=MR","Sort=A","Dates=H","DateFormat=P","Fill=—","Direction=H","UseDPDF=Y")</f>
        <v>3.9617</v>
      </c>
      <c r="I6" s="14">
        <f>_xll.BDH("ALNY US Equity","CASH_RATIO","FQ2 2020","FQ2 2020","Currency=USD","Period=FQ","BEST_FPERIOD_OVERRIDE=FQ","FILING_STATUS=MR","Sort=A","Dates=H","DateFormat=P","Fill=—","Direction=H","UseDPDF=Y")</f>
        <v>5.0105000000000004</v>
      </c>
      <c r="J6" s="14">
        <f>_xll.BDH("ALNY US Equity","CASH_RATIO","FQ3 2020","FQ3 2020","Currency=USD","Period=FQ","BEST_FPERIOD_OVERRIDE=FQ","FILING_STATUS=MR","Sort=A","Dates=H","DateFormat=P","Fill=—","Direction=H","UseDPDF=Y")</f>
        <v>3.8187000000000002</v>
      </c>
      <c r="K6" s="14">
        <f>_xll.BDH("ALNY US Equity","CASH_RATIO","FQ4 2020","FQ4 2020","Currency=USD","Period=FQ","BEST_FPERIOD_OVERRIDE=FQ","FILING_STATUS=MR","Sort=A","Dates=H","DateFormat=P","Fill=—","Direction=H","UseDPDF=Y")</f>
        <v>3.2025999999999999</v>
      </c>
      <c r="L6" s="14">
        <f>_xll.BDH("ALNY US Equity","CASH_RATIO","FQ1 2021","FQ1 2021","Currency=USD","Period=FQ","BEST_FPERIOD_OVERRIDE=FQ","FILING_STATUS=MR","Sort=A","Dates=H","DateFormat=P","Fill=—","Direction=H","UseDPDF=Y")</f>
        <v>3.4548000000000001</v>
      </c>
      <c r="M6" s="14">
        <f>_xll.BDH("ALNY US Equity","CASH_RATIO","FQ2 2021","FQ2 2021","Currency=USD","Period=FQ","BEST_FPERIOD_OVERRIDE=FQ","FILING_STATUS=MR","Sort=A","Dates=H","DateFormat=P","Fill=—","Direction=H","UseDPDF=Y")</f>
        <v>3.4257</v>
      </c>
      <c r="N6" s="14">
        <f>_xll.BDH("ALNY US Equity","CASH_RATIO","FQ3 2021","FQ3 2021","Currency=USD","Period=FQ","BEST_FPERIOD_OVERRIDE=FQ","FILING_STATUS=MR","Sort=A","Dates=H","DateFormat=P","Fill=—","Direction=H","UseDPDF=Y")</f>
        <v>3.8121</v>
      </c>
      <c r="O6" s="14">
        <f>_xll.BDH("ALNY US Equity","CASH_RATIO","FQ4 2021","FQ4 2021","Currency=USD","Period=FQ","BEST_FPERIOD_OVERRIDE=FQ","FILING_STATUS=MR","Sort=A","Dates=H","DateFormat=P","Fill=—","Direction=H","UseDPDF=Y")</f>
        <v>3.5007999999999999</v>
      </c>
      <c r="P6" s="14">
        <f>_xll.BDH("ALNY US Equity","CASH_RATIO","FQ1 2022","FQ1 2022","Currency=USD","Period=FQ","BEST_FPERIOD_OVERRIDE=FQ","FILING_STATUS=MR","Sort=A","Dates=H","DateFormat=P","Fill=—","Direction=H","UseDPDF=Y")</f>
        <v>3.6959</v>
      </c>
      <c r="Q6" s="14">
        <f>_xll.BDH("ALNY US Equity","CASH_RATIO","FQ2 2022","FQ2 2022","Currency=USD","Period=FQ","BEST_FPERIOD_OVERRIDE=FQ","FILING_STATUS=MR","Sort=A","Dates=H","DateFormat=P","Fill=—","Direction=H","UseDPDF=Y")</f>
        <v>3.2092000000000001</v>
      </c>
      <c r="R6" s="14">
        <f>_xll.BDH("ALNY US Equity","CASH_RATIO","FQ3 2022","FQ3 2022","Currency=USD","Period=FQ","BEST_FPERIOD_OVERRIDE=FQ","FILING_STATUS=MR","Sort=A","Dates=H","DateFormat=P","Fill=—","Direction=H","UseDPDF=Y")</f>
        <v>2.9314</v>
      </c>
      <c r="S6" s="14">
        <f>_xll.BDH("ALNY US Equity","CASH_RATIO","FQ4 2022","FQ4 2022","Currency=USD","Period=FQ","BEST_FPERIOD_OVERRIDE=FQ","FILING_STATUS=MR","Sort=A","Dates=H","DateFormat=P","Fill=—","Direction=H","UseDPDF=Y")</f>
        <v>2.855</v>
      </c>
      <c r="T6" s="14">
        <f>_xll.BDH("ALNY US Equity","CASH_RATIO","FQ1 2023","FQ1 2023","Currency=USD","Period=FQ","BEST_FPERIOD_OVERRIDE=FQ","FILING_STATUS=MR","Sort=A","Dates=H","DateFormat=P","Fill=—","Direction=H","UseDPDF=Y")</f>
        <v>3.0750000000000002</v>
      </c>
      <c r="U6" s="14">
        <f>_xll.BDH("ALNY US Equity","CASH_RATIO","FQ2 2023","FQ2 2023","Currency=USD","Period=FQ","BEST_FPERIOD_OVERRIDE=FQ","FILING_STATUS=MR","Sort=A","Dates=H","DateFormat=P","Fill=—","Direction=H","UseDPDF=Y")</f>
        <v>2.6089000000000002</v>
      </c>
      <c r="V6" s="14">
        <f>_xll.BDH("ALNY US Equity","CASH_RATIO","FQ3 2023","FQ3 2023","Currency=USD","Period=FQ","BEST_FPERIOD_OVERRIDE=FQ","FILING_STATUS=MR","Sort=A","Dates=H","DateFormat=P","Fill=—","Direction=H","UseDPDF=Y")</f>
        <v>2.5335000000000001</v>
      </c>
      <c r="W6" s="14">
        <f>_xll.BDH("ALNY US Equity","CASH_RATIO","FQ4 2023","FQ4 2023","Currency=USD","Period=FQ","BEST_FPERIOD_OVERRIDE=FQ","FILING_STATUS=MR","Sort=A","Dates=H","DateFormat=P","Fill=—","Direction=H","UseDPDF=Y")</f>
        <v>2.5206</v>
      </c>
      <c r="X6" s="14">
        <f>_xll.BDH("ALNY US Equity","CASH_RATIO","FQ1 2024","FQ1 2024","Currency=USD","Period=FQ","BEST_FPERIOD_OVERRIDE=FQ","FILING_STATUS=MR","Sort=A","Dates=H","DateFormat=P","Fill=—","Direction=H","UseDPDF=Y")</f>
        <v>2.5181</v>
      </c>
      <c r="Y6" s="14">
        <f>_xll.BDH("ALNY US Equity","CASH_RATIO","FQ2 2024","FQ2 2024","Currency=USD","Period=FQ","BEST_FPERIOD_OVERRIDE=FQ","FILING_STATUS=MR","Sort=A","Dates=H","DateFormat=P","Fill=—","Direction=H","UseDPDF=Y")</f>
        <v>2.4872000000000001</v>
      </c>
      <c r="Z6" s="14">
        <f>_xll.BDH("ALNY US Equity","CASH_RATIO","FQ3 2024","FQ3 2024","Currency=USD","Period=FQ","BEST_FPERIOD_OVERRIDE=FQ","FILING_STATUS=MR","Sort=A","Dates=H","DateFormat=P","Fill=—","Direction=H","UseDPDF=Y")</f>
        <v>2.2776000000000001</v>
      </c>
      <c r="AA6" s="14">
        <f>_xll.BDH("ALNY US Equity","CASH_RATIO","FQ4 2024","FQ4 2024","Currency=USD","Period=FQ","BEST_FPERIOD_OVERRIDE=FQ","FILING_STATUS=MR","Sort=A","Dates=H","DateFormat=P","Fill=—","Direction=H","UseDPDF=Y")</f>
        <v>2.2713999999999999</v>
      </c>
    </row>
    <row r="7" spans="1:27" x14ac:dyDescent="0.25">
      <c r="A7" s="10" t="s">
        <v>819</v>
      </c>
      <c r="B7" s="10" t="s">
        <v>820</v>
      </c>
      <c r="C7" s="14">
        <f>_xll.BDH("ALNY US Equity","CUR_RATIO","FQ4 2018","FQ4 2018","Currency=USD","Period=FQ","BEST_FPERIOD_OVERRIDE=FQ","FILING_STATUS=MR","Sort=A","Dates=H","DateFormat=P","Fill=—","Direction=H","UseDPDF=Y")</f>
        <v>6.6893000000000002</v>
      </c>
      <c r="D7" s="14">
        <f>_xll.BDH("ALNY US Equity","CUR_RATIO","FQ1 2019","FQ1 2019","Currency=USD","Period=FQ","BEST_FPERIOD_OVERRIDE=FQ","FILING_STATUS=MR","Sort=A","Dates=H","DateFormat=P","Fill=—","Direction=H","UseDPDF=Y")</f>
        <v>9.3322000000000003</v>
      </c>
      <c r="E7" s="14">
        <f>_xll.BDH("ALNY US Equity","CUR_RATIO","FQ2 2019","FQ2 2019","Currency=USD","Period=FQ","BEST_FPERIOD_OVERRIDE=FQ","FILING_STATUS=MR","Sort=A","Dates=H","DateFormat=P","Fill=—","Direction=H","UseDPDF=Y")</f>
        <v>6.2804000000000002</v>
      </c>
      <c r="F7" s="14">
        <f>_xll.BDH("ALNY US Equity","CUR_RATIO","FQ3 2019","FQ3 2019","Currency=USD","Period=FQ","BEST_FPERIOD_OVERRIDE=FQ","FILING_STATUS=MR","Sort=A","Dates=H","DateFormat=P","Fill=—","Direction=H","UseDPDF=Y")</f>
        <v>5.3768000000000002</v>
      </c>
      <c r="G7" s="14">
        <f>_xll.BDH("ALNY US Equity","CUR_RATIO","FQ4 2019","FQ4 2019","Currency=USD","Period=FQ","BEST_FPERIOD_OVERRIDE=FQ","FILING_STATUS=MR","Sort=A","Dates=H","DateFormat=P","Fill=—","Direction=H","UseDPDF=Y")</f>
        <v>4.8663999999999996</v>
      </c>
      <c r="H7" s="14">
        <f>_xll.BDH("ALNY US Equity","CUR_RATIO","FQ1 2020","FQ1 2020","Currency=USD","Period=FQ","BEST_FPERIOD_OVERRIDE=FQ","FILING_STATUS=MR","Sort=A","Dates=H","DateFormat=P","Fill=—","Direction=H","UseDPDF=Y")</f>
        <v>4.6776999999999997</v>
      </c>
      <c r="I7" s="14">
        <f>_xll.BDH("ALNY US Equity","CUR_RATIO","FQ2 2020","FQ2 2020","Currency=USD","Period=FQ","BEST_FPERIOD_OVERRIDE=FQ","FILING_STATUS=MR","Sort=A","Dates=H","DateFormat=P","Fill=—","Direction=H","UseDPDF=Y")</f>
        <v>5.6216999999999997</v>
      </c>
      <c r="J7" s="14">
        <f>_xll.BDH("ALNY US Equity","CUR_RATIO","FQ3 2020","FQ3 2020","Currency=USD","Period=FQ","BEST_FPERIOD_OVERRIDE=FQ","FILING_STATUS=MR","Sort=A","Dates=H","DateFormat=P","Fill=—","Direction=H","UseDPDF=Y")</f>
        <v>5.3196000000000003</v>
      </c>
      <c r="K7" s="14">
        <f>_xll.BDH("ALNY US Equity","CUR_RATIO","FQ4 2020","FQ4 2020","Currency=USD","Period=FQ","BEST_FPERIOD_OVERRIDE=FQ","FILING_STATUS=MR","Sort=A","Dates=H","DateFormat=P","Fill=—","Direction=H","UseDPDF=Y")</f>
        <v>4.4676</v>
      </c>
      <c r="L7" s="14">
        <f>_xll.BDH("ALNY US Equity","CUR_RATIO","FQ1 2021","FQ1 2021","Currency=USD","Period=FQ","BEST_FPERIOD_OVERRIDE=FQ","FILING_STATUS=MR","Sort=A","Dates=H","DateFormat=P","Fill=—","Direction=H","UseDPDF=Y")</f>
        <v>4.9917999999999996</v>
      </c>
      <c r="M7" s="14">
        <f>_xll.BDH("ALNY US Equity","CUR_RATIO","FQ2 2021","FQ2 2021","Currency=USD","Period=FQ","BEST_FPERIOD_OVERRIDE=FQ","FILING_STATUS=MR","Sort=A","Dates=H","DateFormat=P","Fill=—","Direction=H","UseDPDF=Y")</f>
        <v>4.9132999999999996</v>
      </c>
      <c r="N7" s="14">
        <f>_xll.BDH("ALNY US Equity","CUR_RATIO","FQ3 2021","FQ3 2021","Currency=USD","Period=FQ","BEST_FPERIOD_OVERRIDE=FQ","FILING_STATUS=MR","Sort=A","Dates=H","DateFormat=P","Fill=—","Direction=H","UseDPDF=Y")</f>
        <v>4.3811</v>
      </c>
      <c r="O7" s="14">
        <f>_xll.BDH("ALNY US Equity","CUR_RATIO","FQ4 2021","FQ4 2021","Currency=USD","Period=FQ","BEST_FPERIOD_OVERRIDE=FQ","FILING_STATUS=MR","Sort=A","Dates=H","DateFormat=P","Fill=—","Direction=H","UseDPDF=Y")</f>
        <v>4.0369999999999999</v>
      </c>
      <c r="P7" s="14">
        <f>_xll.BDH("ALNY US Equity","CUR_RATIO","FQ1 2022","FQ1 2022","Currency=USD","Period=FQ","BEST_FPERIOD_OVERRIDE=FQ","FILING_STATUS=MR","Sort=A","Dates=H","DateFormat=P","Fill=—","Direction=H","UseDPDF=Y")</f>
        <v>4.2736999999999998</v>
      </c>
      <c r="Q7" s="14">
        <f>_xll.BDH("ALNY US Equity","CUR_RATIO","FQ2 2022","FQ2 2022","Currency=USD","Period=FQ","BEST_FPERIOD_OVERRIDE=FQ","FILING_STATUS=MR","Sort=A","Dates=H","DateFormat=P","Fill=—","Direction=H","UseDPDF=Y")</f>
        <v>3.7581000000000002</v>
      </c>
      <c r="R7" s="14">
        <f>_xll.BDH("ALNY US Equity","CUR_RATIO","FQ3 2022","FQ3 2022","Currency=USD","Period=FQ","BEST_FPERIOD_OVERRIDE=FQ","FILING_STATUS=MR","Sort=A","Dates=H","DateFormat=P","Fill=—","Direction=H","UseDPDF=Y")</f>
        <v>3.4820000000000002</v>
      </c>
      <c r="S7" s="14">
        <f>_xll.BDH("ALNY US Equity","CUR_RATIO","FQ4 2022","FQ4 2022","Currency=USD","Period=FQ","BEST_FPERIOD_OVERRIDE=FQ","FILING_STATUS=MR","Sort=A","Dates=H","DateFormat=P","Fill=—","Direction=H","UseDPDF=Y")</f>
        <v>3.5059</v>
      </c>
      <c r="T7" s="14">
        <f>_xll.BDH("ALNY US Equity","CUR_RATIO","FQ1 2023","FQ1 2023","Currency=USD","Period=FQ","BEST_FPERIOD_OVERRIDE=FQ","FILING_STATUS=MR","Sort=A","Dates=H","DateFormat=P","Fill=—","Direction=H","UseDPDF=Y")</f>
        <v>3.7734999999999999</v>
      </c>
      <c r="U7" s="14">
        <f>_xll.BDH("ALNY US Equity","CUR_RATIO","FQ2 2023","FQ2 2023","Currency=USD","Period=FQ","BEST_FPERIOD_OVERRIDE=FQ","FILING_STATUS=MR","Sort=A","Dates=H","DateFormat=P","Fill=—","Direction=H","UseDPDF=Y")</f>
        <v>3.2004999999999999</v>
      </c>
      <c r="V7" s="14">
        <f>_xll.BDH("ALNY US Equity","CUR_RATIO","FQ3 2023","FQ3 2023","Currency=USD","Period=FQ","BEST_FPERIOD_OVERRIDE=FQ","FILING_STATUS=MR","Sort=A","Dates=H","DateFormat=P","Fill=—","Direction=H","UseDPDF=Y")</f>
        <v>3.1433</v>
      </c>
      <c r="W7" s="14">
        <f>_xll.BDH("ALNY US Equity","CUR_RATIO","FQ4 2023","FQ4 2023","Currency=USD","Period=FQ","BEST_FPERIOD_OVERRIDE=FQ","FILING_STATUS=MR","Sort=A","Dates=H","DateFormat=P","Fill=—","Direction=H","UseDPDF=Y")</f>
        <v>3.0819999999999999</v>
      </c>
      <c r="X7" s="14">
        <f>_xll.BDH("ALNY US Equity","CUR_RATIO","FQ1 2024","FQ1 2024","Currency=USD","Period=FQ","BEST_FPERIOD_OVERRIDE=FQ","FILING_STATUS=MR","Sort=A","Dates=H","DateFormat=P","Fill=—","Direction=H","UseDPDF=Y")</f>
        <v>3.1736</v>
      </c>
      <c r="Y7" s="14">
        <f>_xll.BDH("ALNY US Equity","CUR_RATIO","FQ2 2024","FQ2 2024","Currency=USD","Period=FQ","BEST_FPERIOD_OVERRIDE=FQ","FILING_STATUS=MR","Sort=A","Dates=H","DateFormat=P","Fill=—","Direction=H","UseDPDF=Y")</f>
        <v>3.0066999999999999</v>
      </c>
      <c r="Z7" s="14">
        <f>_xll.BDH("ALNY US Equity","CUR_RATIO","FQ3 2024","FQ3 2024","Currency=USD","Period=FQ","BEST_FPERIOD_OVERRIDE=FQ","FILING_STATUS=MR","Sort=A","Dates=H","DateFormat=P","Fill=—","Direction=H","UseDPDF=Y")</f>
        <v>2.7488999999999999</v>
      </c>
      <c r="AA7" s="14">
        <f>_xll.BDH("ALNY US Equity","CUR_RATIO","FQ4 2024","FQ4 2024","Currency=USD","Period=FQ","BEST_FPERIOD_OVERRIDE=FQ","FILING_STATUS=MR","Sort=A","Dates=H","DateFormat=P","Fill=—","Direction=H","UseDPDF=Y")</f>
        <v>2.7778</v>
      </c>
    </row>
    <row r="8" spans="1:27" x14ac:dyDescent="0.25">
      <c r="A8" s="10" t="s">
        <v>1506</v>
      </c>
      <c r="B8" s="10" t="s">
        <v>1507</v>
      </c>
      <c r="C8" s="14">
        <f>_xll.BDH("ALNY US Equity","QUICK_RATIO","FQ4 2018","FQ4 2018","Currency=USD","Period=FQ","BEST_FPERIOD_OVERRIDE=FQ","FILING_STATUS=MR","Sort=A","Dates=H","DateFormat=P","Fill=—","Direction=H","UseDPDF=Y")</f>
        <v>6.1445999999999996</v>
      </c>
      <c r="D8" s="14">
        <f>_xll.BDH("ALNY US Equity","QUICK_RATIO","FQ1 2019","FQ1 2019","Currency=USD","Period=FQ","BEST_FPERIOD_OVERRIDE=FQ","FILING_STATUS=MR","Sort=A","Dates=H","DateFormat=P","Fill=—","Direction=H","UseDPDF=Y")</f>
        <v>8.5701000000000001</v>
      </c>
      <c r="E8" s="14">
        <f>_xll.BDH("ALNY US Equity","QUICK_RATIO","FQ2 2019","FQ2 2019","Currency=USD","Period=FQ","BEST_FPERIOD_OVERRIDE=FQ","FILING_STATUS=MR","Sort=A","Dates=H","DateFormat=P","Fill=—","Direction=H","UseDPDF=Y")</f>
        <v>5.9572000000000003</v>
      </c>
      <c r="F8" s="14">
        <f>_xll.BDH("ALNY US Equity","QUICK_RATIO","FQ3 2019","FQ3 2019","Currency=USD","Period=FQ","BEST_FPERIOD_OVERRIDE=FQ","FILING_STATUS=MR","Sort=A","Dates=H","DateFormat=P","Fill=—","Direction=H","UseDPDF=Y")</f>
        <v>5.0137</v>
      </c>
      <c r="G8" s="14">
        <f>_xll.BDH("ALNY US Equity","QUICK_RATIO","FQ4 2019","FQ4 2019","Currency=USD","Period=FQ","BEST_FPERIOD_OVERRIDE=FQ","FILING_STATUS=MR","Sort=A","Dates=H","DateFormat=P","Fill=—","Direction=H","UseDPDF=Y")</f>
        <v>4.4786999999999999</v>
      </c>
      <c r="H8" s="14">
        <f>_xll.BDH("ALNY US Equity","QUICK_RATIO","FQ1 2020","FQ1 2020","Currency=USD","Period=FQ","BEST_FPERIOD_OVERRIDE=FQ","FILING_STATUS=MR","Sort=A","Dates=H","DateFormat=P","Fill=—","Direction=H","UseDPDF=Y")</f>
        <v>4.1848000000000001</v>
      </c>
      <c r="I8" s="14">
        <f>_xll.BDH("ALNY US Equity","QUICK_RATIO","FQ2 2020","FQ2 2020","Currency=USD","Period=FQ","BEST_FPERIOD_OVERRIDE=FQ","FILING_STATUS=MR","Sort=A","Dates=H","DateFormat=P","Fill=—","Direction=H","UseDPDF=Y")</f>
        <v>5.1904000000000003</v>
      </c>
      <c r="J8" s="14">
        <f>_xll.BDH("ALNY US Equity","QUICK_RATIO","FQ3 2020","FQ3 2020","Currency=USD","Period=FQ","BEST_FPERIOD_OVERRIDE=FQ","FILING_STATUS=MR","Sort=A","Dates=H","DateFormat=P","Fill=—","Direction=H","UseDPDF=Y")</f>
        <v>3.9834000000000001</v>
      </c>
      <c r="K8" s="14">
        <f>_xll.BDH("ALNY US Equity","QUICK_RATIO","FQ4 2020","FQ4 2020","Currency=USD","Period=FQ","BEST_FPERIOD_OVERRIDE=FQ","FILING_STATUS=MR","Sort=A","Dates=H","DateFormat=P","Fill=—","Direction=H","UseDPDF=Y")</f>
        <v>3.3776000000000002</v>
      </c>
      <c r="L8" s="14">
        <f>_xll.BDH("ALNY US Equity","QUICK_RATIO","FQ1 2021","FQ1 2021","Currency=USD","Period=FQ","BEST_FPERIOD_OVERRIDE=FQ","FILING_STATUS=MR","Sort=A","Dates=H","DateFormat=P","Fill=—","Direction=H","UseDPDF=Y")</f>
        <v>3.6783999999999999</v>
      </c>
      <c r="M8" s="14">
        <f>_xll.BDH("ALNY US Equity","QUICK_RATIO","FQ2 2021","FQ2 2021","Currency=USD","Period=FQ","BEST_FPERIOD_OVERRIDE=FQ","FILING_STATUS=MR","Sort=A","Dates=H","DateFormat=P","Fill=—","Direction=H","UseDPDF=Y")</f>
        <v>3.69</v>
      </c>
      <c r="N8" s="14">
        <f>_xll.BDH("ALNY US Equity","QUICK_RATIO","FQ3 2021","FQ3 2021","Currency=USD","Period=FQ","BEST_FPERIOD_OVERRIDE=FQ","FILING_STATUS=MR","Sort=A","Dates=H","DateFormat=P","Fill=—","Direction=H","UseDPDF=Y")</f>
        <v>4.0430999999999999</v>
      </c>
      <c r="O8" s="14">
        <f>_xll.BDH("ALNY US Equity","QUICK_RATIO","FQ4 2021","FQ4 2021","Currency=USD","Period=FQ","BEST_FPERIOD_OVERRIDE=FQ","FILING_STATUS=MR","Sort=A","Dates=H","DateFormat=P","Fill=—","Direction=H","UseDPDF=Y")</f>
        <v>3.7863000000000002</v>
      </c>
      <c r="P8" s="14">
        <f>_xll.BDH("ALNY US Equity","QUICK_RATIO","FQ1 2022","FQ1 2022","Currency=USD","Period=FQ","BEST_FPERIOD_OVERRIDE=FQ","FILING_STATUS=MR","Sort=A","Dates=H","DateFormat=P","Fill=—","Direction=H","UseDPDF=Y")</f>
        <v>3.9542000000000002</v>
      </c>
      <c r="Q8" s="14">
        <f>_xll.BDH("ALNY US Equity","QUICK_RATIO","FQ2 2022","FQ2 2022","Currency=USD","Period=FQ","BEST_FPERIOD_OVERRIDE=FQ","FILING_STATUS=MR","Sort=A","Dates=H","DateFormat=P","Fill=—","Direction=H","UseDPDF=Y")</f>
        <v>3.4255</v>
      </c>
      <c r="R8" s="14">
        <f>_xll.BDH("ALNY US Equity","QUICK_RATIO","FQ3 2022","FQ3 2022","Currency=USD","Period=FQ","BEST_FPERIOD_OVERRIDE=FQ","FILING_STATUS=MR","Sort=A","Dates=H","DateFormat=P","Fill=—","Direction=H","UseDPDF=Y")</f>
        <v>3.1701000000000001</v>
      </c>
      <c r="S8" s="14">
        <f>_xll.BDH("ALNY US Equity","QUICK_RATIO","FQ4 2022","FQ4 2022","Currency=USD","Period=FQ","BEST_FPERIOD_OVERRIDE=FQ","FILING_STATUS=MR","Sort=A","Dates=H","DateFormat=P","Fill=—","Direction=H","UseDPDF=Y")</f>
        <v>3.1648999999999998</v>
      </c>
      <c r="T8" s="14">
        <f>_xll.BDH("ALNY US Equity","QUICK_RATIO","FQ1 2023","FQ1 2023","Currency=USD","Period=FQ","BEST_FPERIOD_OVERRIDE=FQ","FILING_STATUS=MR","Sort=A","Dates=H","DateFormat=P","Fill=—","Direction=H","UseDPDF=Y")</f>
        <v>3.4009</v>
      </c>
      <c r="U8" s="14">
        <f>_xll.BDH("ALNY US Equity","QUICK_RATIO","FQ2 2023","FQ2 2023","Currency=USD","Period=FQ","BEST_FPERIOD_OVERRIDE=FQ","FILING_STATUS=MR","Sort=A","Dates=H","DateFormat=P","Fill=—","Direction=H","UseDPDF=Y")</f>
        <v>2.8887</v>
      </c>
      <c r="V8" s="14">
        <f>_xll.BDH("ALNY US Equity","QUICK_RATIO","FQ3 2023","FQ3 2023","Currency=USD","Period=FQ","BEST_FPERIOD_OVERRIDE=FQ","FILING_STATUS=MR","Sort=A","Dates=H","DateFormat=P","Fill=—","Direction=H","UseDPDF=Y")</f>
        <v>2.8761000000000001</v>
      </c>
      <c r="W8" s="14">
        <f>_xll.BDH("ALNY US Equity","QUICK_RATIO","FQ4 2023","FQ4 2023","Currency=USD","Period=FQ","BEST_FPERIOD_OVERRIDE=FQ","FILING_STATUS=MR","Sort=A","Dates=H","DateFormat=P","Fill=—","Direction=H","UseDPDF=Y")</f>
        <v>2.8593000000000002</v>
      </c>
      <c r="X8" s="14">
        <f>_xll.BDH("ALNY US Equity","QUICK_RATIO","FQ1 2024","FQ1 2024","Currency=USD","Period=FQ","BEST_FPERIOD_OVERRIDE=FQ","FILING_STATUS=MR","Sort=A","Dates=H","DateFormat=P","Fill=—","Direction=H","UseDPDF=Y")</f>
        <v>2.8593000000000002</v>
      </c>
      <c r="Y8" s="14">
        <f>_xll.BDH("ALNY US Equity","QUICK_RATIO","FQ2 2024","FQ2 2024","Currency=USD","Period=FQ","BEST_FPERIOD_OVERRIDE=FQ","FILING_STATUS=MR","Sort=A","Dates=H","DateFormat=P","Fill=—","Direction=H","UseDPDF=Y")</f>
        <v>2.7805</v>
      </c>
      <c r="Z8" s="14">
        <f>_xll.BDH("ALNY US Equity","QUICK_RATIO","FQ3 2024","FQ3 2024","Currency=USD","Period=FQ","BEST_FPERIOD_OVERRIDE=FQ","FILING_STATUS=MR","Sort=A","Dates=H","DateFormat=P","Fill=—","Direction=H","UseDPDF=Y")</f>
        <v>2.5674999999999999</v>
      </c>
      <c r="AA8" s="14">
        <f>_xll.BDH("ALNY US Equity","QUICK_RATIO","FQ4 2024","FQ4 2024","Currency=USD","Period=FQ","BEST_FPERIOD_OVERRIDE=FQ","FILING_STATUS=MR","Sort=A","Dates=H","DateFormat=P","Fill=—","Direction=H","UseDPDF=Y")</f>
        <v>2.6131000000000002</v>
      </c>
    </row>
    <row r="9" spans="1:27" x14ac:dyDescent="0.25">
      <c r="A9" s="10" t="s">
        <v>1508</v>
      </c>
      <c r="B9" s="10" t="s">
        <v>1509</v>
      </c>
      <c r="C9" s="14">
        <f>_xll.BDH("ALNY US Equity","CFO_TO_AVG_CURRENT_LIABILITIES","FQ4 2018","FQ4 2018","Currency=USD","Period=FQ","BEST_FPERIOD_OVERRIDE=FQ","FILING_STATUS=MR","Sort=A","Dates=H","DateFormat=P","Fill=—","Direction=H","UseDPDF=Y")</f>
        <v>-3.4756999999999998</v>
      </c>
      <c r="D9" s="14">
        <f>_xll.BDH("ALNY US Equity","CFO_TO_AVG_CURRENT_LIABILITIES","FQ1 2019","FQ1 2019","Currency=USD","Period=FQ","BEST_FPERIOD_OVERRIDE=FQ","FILING_STATUS=MR","Sort=A","Dates=H","DateFormat=P","Fill=—","Direction=H","UseDPDF=Y")</f>
        <v>-4.5018000000000002</v>
      </c>
      <c r="E9" s="14">
        <f>_xll.BDH("ALNY US Equity","CFO_TO_AVG_CURRENT_LIABILITIES","FQ2 2019","FQ2 2019","Currency=USD","Period=FQ","BEST_FPERIOD_OVERRIDE=FQ","FILING_STATUS=MR","Sort=A","Dates=H","DateFormat=P","Fill=—","Direction=H","UseDPDF=Y")</f>
        <v>-0.92290000000000005</v>
      </c>
      <c r="F9" s="14">
        <f>_xll.BDH("ALNY US Equity","CFO_TO_AVG_CURRENT_LIABILITIES","FQ3 2019","FQ3 2019","Currency=USD","Period=FQ","BEST_FPERIOD_OVERRIDE=FQ","FILING_STATUS=MR","Sort=A","Dates=H","DateFormat=P","Fill=—","Direction=H","UseDPDF=Y")</f>
        <v>-0.98199999999999998</v>
      </c>
      <c r="G9" s="14">
        <f>_xll.BDH("ALNY US Equity","CFO_TO_AVG_CURRENT_LIABILITIES","FQ4 2019","FQ4 2019","Currency=USD","Period=FQ","BEST_FPERIOD_OVERRIDE=FQ","FILING_STATUS=MR","Sort=A","Dates=H","DateFormat=P","Fill=—","Direction=H","UseDPDF=Y")</f>
        <v>-1.0465</v>
      </c>
      <c r="H9" s="14">
        <f>_xll.BDH("ALNY US Equity","CFO_TO_AVG_CURRENT_LIABILITIES","FQ1 2020","FQ1 2020","Currency=USD","Period=FQ","BEST_FPERIOD_OVERRIDE=FQ","FILING_STATUS=MR","Sort=A","Dates=H","DateFormat=P","Fill=—","Direction=H","UseDPDF=Y")</f>
        <v>-1.3774999999999999</v>
      </c>
      <c r="I9" s="14">
        <f>_xll.BDH("ALNY US Equity","CFO_TO_AVG_CURRENT_LIABILITIES","FQ2 2020","FQ2 2020","Currency=USD","Period=FQ","BEST_FPERIOD_OVERRIDE=FQ","FILING_STATUS=MR","Sort=A","Dates=H","DateFormat=P","Fill=—","Direction=H","UseDPDF=Y")</f>
        <v>-2.1324000000000001</v>
      </c>
      <c r="J9" s="14">
        <f>_xll.BDH("ALNY US Equity","CFO_TO_AVG_CURRENT_LIABILITIES","FQ3 2020","FQ3 2020","Currency=USD","Period=FQ","BEST_FPERIOD_OVERRIDE=FQ","FILING_STATUS=MR","Sort=A","Dates=H","DateFormat=P","Fill=—","Direction=H","UseDPDF=Y")</f>
        <v>-1.6512</v>
      </c>
      <c r="K9" s="14">
        <f>_xll.BDH("ALNY US Equity","CFO_TO_AVG_CURRENT_LIABILITIES","FQ4 2020","FQ4 2020","Currency=USD","Period=FQ","BEST_FPERIOD_OVERRIDE=FQ","FILING_STATUS=MR","Sort=A","Dates=H","DateFormat=P","Fill=—","Direction=H","UseDPDF=Y")</f>
        <v>-1.3113999999999999</v>
      </c>
      <c r="L9" s="14">
        <f>_xll.BDH("ALNY US Equity","CFO_TO_AVG_CURRENT_LIABILITIES","FQ1 2021","FQ1 2021","Currency=USD","Period=FQ","BEST_FPERIOD_OVERRIDE=FQ","FILING_STATUS=MR","Sort=A","Dates=H","DateFormat=P","Fill=—","Direction=H","UseDPDF=Y")</f>
        <v>-1.4501999999999999</v>
      </c>
      <c r="M9" s="14">
        <f>_xll.BDH("ALNY US Equity","CFO_TO_AVG_CURRENT_LIABILITIES","FQ2 2021","FQ2 2021","Currency=USD","Period=FQ","BEST_FPERIOD_OVERRIDE=FQ","FILING_STATUS=MR","Sort=A","Dates=H","DateFormat=P","Fill=—","Direction=H","UseDPDF=Y")</f>
        <v>-1.2587999999999999</v>
      </c>
      <c r="N9" s="14">
        <f>_xll.BDH("ALNY US Equity","CFO_TO_AVG_CURRENT_LIABILITIES","FQ3 2021","FQ3 2021","Currency=USD","Period=FQ","BEST_FPERIOD_OVERRIDE=FQ","FILING_STATUS=MR","Sort=A","Dates=H","DateFormat=P","Fill=—","Direction=H","UseDPDF=Y")</f>
        <v>-1.127</v>
      </c>
      <c r="O9" s="14">
        <f>_xll.BDH("ALNY US Equity","CFO_TO_AVG_CURRENT_LIABILITIES","FQ4 2021","FQ4 2021","Currency=USD","Period=FQ","BEST_FPERIOD_OVERRIDE=FQ","FILING_STATUS=MR","Sort=A","Dates=H","DateFormat=P","Fill=—","Direction=H","UseDPDF=Y")</f>
        <v>-1.0019</v>
      </c>
      <c r="P9" s="14">
        <f>_xll.BDH("ALNY US Equity","CFO_TO_AVG_CURRENT_LIABILITIES","FQ1 2022","FQ1 2022","Currency=USD","Period=FQ","BEST_FPERIOD_OVERRIDE=FQ","FILING_STATUS=MR","Sort=A","Dates=H","DateFormat=P","Fill=—","Direction=H","UseDPDF=Y")</f>
        <v>-1.0488</v>
      </c>
      <c r="Q9" s="14">
        <f>_xll.BDH("ALNY US Equity","CFO_TO_AVG_CURRENT_LIABILITIES","FQ2 2022","FQ2 2022","Currency=USD","Period=FQ","BEST_FPERIOD_OVERRIDE=FQ","FILING_STATUS=MR","Sort=A","Dates=H","DateFormat=P","Fill=—","Direction=H","UseDPDF=Y")</f>
        <v>-0.95379999999999998</v>
      </c>
      <c r="R9" s="14">
        <f>_xll.BDH("ALNY US Equity","CFO_TO_AVG_CURRENT_LIABILITIES","FQ3 2022","FQ3 2022","Currency=USD","Period=FQ","BEST_FPERIOD_OVERRIDE=FQ","FILING_STATUS=MR","Sort=A","Dates=H","DateFormat=P","Fill=—","Direction=H","UseDPDF=Y")</f>
        <v>-0.80879999999999996</v>
      </c>
      <c r="S9" s="14">
        <f>_xll.BDH("ALNY US Equity","CFO_TO_AVG_CURRENT_LIABILITIES","FQ4 2022","FQ4 2022","Currency=USD","Period=FQ","BEST_FPERIOD_OVERRIDE=FQ","FILING_STATUS=MR","Sort=A","Dates=H","DateFormat=P","Fill=—","Direction=H","UseDPDF=Y")</f>
        <v>-0.73960000000000004</v>
      </c>
      <c r="T9" s="14">
        <f>_xll.BDH("ALNY US Equity","CFO_TO_AVG_CURRENT_LIABILITIES","FQ1 2023","FQ1 2023","Currency=USD","Period=FQ","BEST_FPERIOD_OVERRIDE=FQ","FILING_STATUS=MR","Sort=A","Dates=H","DateFormat=P","Fill=—","Direction=H","UseDPDF=Y")</f>
        <v>-0.83879999999999999</v>
      </c>
      <c r="U9" s="14">
        <f>_xll.BDH("ALNY US Equity","CFO_TO_AVG_CURRENT_LIABILITIES","FQ2 2023","FQ2 2023","Currency=USD","Period=FQ","BEST_FPERIOD_OVERRIDE=FQ","FILING_STATUS=MR","Sort=A","Dates=H","DateFormat=P","Fill=—","Direction=H","UseDPDF=Y")</f>
        <v>-0.65369999999999995</v>
      </c>
      <c r="V9" s="14">
        <f>_xll.BDH("ALNY US Equity","CFO_TO_AVG_CURRENT_LIABILITIES","FQ3 2023","FQ3 2023","Currency=USD","Period=FQ","BEST_FPERIOD_OVERRIDE=FQ","FILING_STATUS=MR","Sort=A","Dates=H","DateFormat=P","Fill=—","Direction=H","UseDPDF=Y")</f>
        <v>2.3E-3</v>
      </c>
      <c r="W9" s="14">
        <f>_xll.BDH("ALNY US Equity","CFO_TO_AVG_CURRENT_LIABILITIES","FQ4 2023","FQ4 2023","Currency=USD","Period=FQ","BEST_FPERIOD_OVERRIDE=FQ","FILING_STATUS=MR","Sort=A","Dates=H","DateFormat=P","Fill=—","Direction=H","UseDPDF=Y")</f>
        <v>0.12</v>
      </c>
      <c r="X9" s="14">
        <f>_xll.BDH("ALNY US Equity","CFO_TO_AVG_CURRENT_LIABILITIES","FQ1 2024","FQ1 2024","Currency=USD","Period=FQ","BEST_FPERIOD_OVERRIDE=FQ","FILING_STATUS=MR","Sort=A","Dates=H","DateFormat=P","Fill=—","Direction=H","UseDPDF=Y")</f>
        <v>0.23419999999999999</v>
      </c>
      <c r="Y9" s="14">
        <f>_xll.BDH("ALNY US Equity","CFO_TO_AVG_CURRENT_LIABILITIES","FQ2 2024","FQ2 2024","Currency=USD","Period=FQ","BEST_FPERIOD_OVERRIDE=FQ","FILING_STATUS=MR","Sort=A","Dates=H","DateFormat=P","Fill=—","Direction=H","UseDPDF=Y")</f>
        <v>0.40379999999999999</v>
      </c>
      <c r="Z9" s="14">
        <f>_xll.BDH("ALNY US Equity","CFO_TO_AVG_CURRENT_LIABILITIES","FQ3 2024","FQ3 2024","Currency=USD","Period=FQ","BEST_FPERIOD_OVERRIDE=FQ","FILING_STATUS=MR","Sort=A","Dates=H","DateFormat=P","Fill=—","Direction=H","UseDPDF=Y")</f>
        <v>5.21E-2</v>
      </c>
      <c r="AA9" s="14">
        <f>_xll.BDH("ALNY US Equity","CFO_TO_AVG_CURRENT_LIABILITIES","FQ4 2024","FQ4 2024","Currency=USD","Period=FQ","BEST_FPERIOD_OVERRIDE=FQ","FILING_STATUS=MR","Sort=A","Dates=H","DateFormat=P","Fill=—","Direction=H","UseDPDF=Y")</f>
        <v>-7.7000000000000002E-3</v>
      </c>
    </row>
    <row r="10" spans="1:27" x14ac:dyDescent="0.25">
      <c r="A10" s="10" t="s">
        <v>1463</v>
      </c>
      <c r="B10" s="10" t="s">
        <v>1464</v>
      </c>
      <c r="C10" s="14">
        <f>_xll.BDH("ALNY US Equity","COM_EQY_TO_TOT_ASSET","FQ4 2018","FQ4 2018","Currency=USD","Period=FQ","BEST_FPERIOD_OVERRIDE=FQ","FILING_STATUS=MR","Sort=A","Dates=H","DateFormat=P","Fill=—","Direction=H","UseDPDF=Y")</f>
        <v>82.674800000000005</v>
      </c>
      <c r="D10" s="14">
        <f>_xll.BDH("ALNY US Equity","COM_EQY_TO_TOT_ASSET","FQ1 2019","FQ1 2019","Currency=USD","Period=FQ","BEST_FPERIOD_OVERRIDE=FQ","FILING_STATUS=MR","Sort=A","Dates=H","DateFormat=P","Fill=—","Direction=H","UseDPDF=Y")</f>
        <v>76.811700000000002</v>
      </c>
      <c r="E10" s="14">
        <f>_xll.BDH("ALNY US Equity","COM_EQY_TO_TOT_ASSET","FQ2 2019","FQ2 2019","Currency=USD","Period=FQ","BEST_FPERIOD_OVERRIDE=FQ","FILING_STATUS=MR","Sort=A","Dates=H","DateFormat=P","Fill=—","Direction=H","UseDPDF=Y")</f>
        <v>64.688100000000006</v>
      </c>
      <c r="F10" s="14">
        <f>_xll.BDH("ALNY US Equity","COM_EQY_TO_TOT_ASSET","FQ3 2019","FQ3 2019","Currency=USD","Period=FQ","BEST_FPERIOD_OVERRIDE=FQ","FILING_STATUS=MR","Sort=A","Dates=H","DateFormat=P","Fill=—","Direction=H","UseDPDF=Y")</f>
        <v>63.230800000000002</v>
      </c>
      <c r="G10" s="14">
        <f>_xll.BDH("ALNY US Equity","COM_EQY_TO_TOT_ASSET","FQ4 2019","FQ4 2019","Currency=USD","Period=FQ","BEST_FPERIOD_OVERRIDE=FQ","FILING_STATUS=MR","Sort=A","Dates=H","DateFormat=P","Fill=—","Direction=H","UseDPDF=Y")</f>
        <v>60.067300000000003</v>
      </c>
      <c r="H10" s="14">
        <f>_xll.BDH("ALNY US Equity","COM_EQY_TO_TOT_ASSET","FQ1 2020","FQ1 2020","Currency=USD","Period=FQ","BEST_FPERIOD_OVERRIDE=FQ","FILING_STATUS=MR","Sort=A","Dates=H","DateFormat=P","Fill=—","Direction=H","UseDPDF=Y")</f>
        <v>59.208399999999997</v>
      </c>
      <c r="I10" s="14">
        <f>_xll.BDH("ALNY US Equity","COM_EQY_TO_TOT_ASSET","FQ2 2020","FQ2 2020","Currency=USD","Period=FQ","BEST_FPERIOD_OVERRIDE=FQ","FILING_STATUS=MR","Sort=A","Dates=H","DateFormat=P","Fill=—","Direction=H","UseDPDF=Y")</f>
        <v>41.481099999999998</v>
      </c>
      <c r="J10" s="14">
        <f>_xll.BDH("ALNY US Equity","COM_EQY_TO_TOT_ASSET","FQ3 2020","FQ3 2020","Currency=USD","Period=FQ","BEST_FPERIOD_OVERRIDE=FQ","FILING_STATUS=MR","Sort=A","Dates=H","DateFormat=P","Fill=—","Direction=H","UseDPDF=Y")</f>
        <v>36.7378</v>
      </c>
      <c r="K10" s="14">
        <f>_xll.BDH("ALNY US Equity","COM_EQY_TO_TOT_ASSET","FQ4 2020","FQ4 2020","Currency=USD","Period=FQ","BEST_FPERIOD_OVERRIDE=FQ","FILING_STATUS=MR","Sort=A","Dates=H","DateFormat=P","Fill=—","Direction=H","UseDPDF=Y")</f>
        <v>29.8277</v>
      </c>
      <c r="L10" s="14">
        <f>_xll.BDH("ALNY US Equity","COM_EQY_TO_TOT_ASSET","FQ1 2021","FQ1 2021","Currency=USD","Period=FQ","BEST_FPERIOD_OVERRIDE=FQ","FILING_STATUS=MR","Sort=A","Dates=H","DateFormat=P","Fill=—","Direction=H","UseDPDF=Y")</f>
        <v>28.452000000000002</v>
      </c>
      <c r="M10" s="14">
        <f>_xll.BDH("ALNY US Equity","COM_EQY_TO_TOT_ASSET","FQ2 2021","FQ2 2021","Currency=USD","Period=FQ","BEST_FPERIOD_OVERRIDE=FQ","FILING_STATUS=MR","Sort=A","Dates=H","DateFormat=P","Fill=—","Direction=H","UseDPDF=Y")</f>
        <v>24.316299999999998</v>
      </c>
      <c r="N10" s="14">
        <f>_xll.BDH("ALNY US Equity","COM_EQY_TO_TOT_ASSET","FQ3 2021","FQ3 2021","Currency=USD","Period=FQ","BEST_FPERIOD_OVERRIDE=FQ","FILING_STATUS=MR","Sort=A","Dates=H","DateFormat=P","Fill=—","Direction=H","UseDPDF=Y")</f>
        <v>21.769100000000002</v>
      </c>
      <c r="O10" s="14">
        <f>_xll.BDH("ALNY US Equity","COM_EQY_TO_TOT_ASSET","FQ4 2021","FQ4 2021","Currency=USD","Period=FQ","BEST_FPERIOD_OVERRIDE=FQ","FILING_STATUS=MR","Sort=A","Dates=H","DateFormat=P","Fill=—","Direction=H","UseDPDF=Y")</f>
        <v>16.1448</v>
      </c>
      <c r="P10" s="14">
        <f>_xll.BDH("ALNY US Equity","COM_EQY_TO_TOT_ASSET","FQ1 2022","FQ1 2022","Currency=USD","Period=FQ","BEST_FPERIOD_OVERRIDE=FQ","FILING_STATUS=MR","Sort=A","Dates=H","DateFormat=P","Fill=—","Direction=H","UseDPDF=Y")</f>
        <v>11.6837</v>
      </c>
      <c r="Q10" s="14">
        <f>_xll.BDH("ALNY US Equity","COM_EQY_TO_TOT_ASSET","FQ2 2022","FQ2 2022","Currency=USD","Period=FQ","BEST_FPERIOD_OVERRIDE=FQ","FILING_STATUS=MR","Sort=A","Dates=H","DateFormat=P","Fill=—","Direction=H","UseDPDF=Y")</f>
        <v>5.2858000000000001</v>
      </c>
      <c r="R10" s="14">
        <f>_xll.BDH("ALNY US Equity","COM_EQY_TO_TOT_ASSET","FQ3 2022","FQ3 2022","Currency=USD","Period=FQ","BEST_FPERIOD_OVERRIDE=FQ","FILING_STATUS=MR","Sort=A","Dates=H","DateFormat=P","Fill=—","Direction=H","UseDPDF=Y")</f>
        <v>-1.9132</v>
      </c>
      <c r="S10" s="14">
        <f>_xll.BDH("ALNY US Equity","COM_EQY_TO_TOT_ASSET","FQ4 2022","FQ4 2022","Currency=USD","Period=FQ","BEST_FPERIOD_OVERRIDE=FQ","FILING_STATUS=MR","Sort=A","Dates=H","DateFormat=P","Fill=—","Direction=H","UseDPDF=Y")</f>
        <v>-4.4615999999999998</v>
      </c>
      <c r="T10" s="14">
        <f>_xll.BDH("ALNY US Equity","COM_EQY_TO_TOT_ASSET","FQ1 2023","FQ1 2023","Currency=USD","Period=FQ","BEST_FPERIOD_OVERRIDE=FQ","FILING_STATUS=MR","Sort=A","Dates=H","DateFormat=P","Fill=—","Direction=H","UseDPDF=Y")</f>
        <v>-7.6428000000000003</v>
      </c>
      <c r="U10" s="14">
        <f>_xll.BDH("ALNY US Equity","COM_EQY_TO_TOT_ASSET","FQ2 2023","FQ2 2023","Currency=USD","Period=FQ","BEST_FPERIOD_OVERRIDE=FQ","FILING_STATUS=MR","Sort=A","Dates=H","DateFormat=P","Fill=—","Direction=H","UseDPDF=Y")</f>
        <v>-11.9954</v>
      </c>
      <c r="V10" s="14">
        <f>_xll.BDH("ALNY US Equity","COM_EQY_TO_TOT_ASSET","FQ3 2023","FQ3 2023","Currency=USD","Period=FQ","BEST_FPERIOD_OVERRIDE=FQ","FILING_STATUS=MR","Sort=A","Dates=H","DateFormat=P","Fill=—","Direction=H","UseDPDF=Y")</f>
        <v>-4.3205</v>
      </c>
      <c r="W10" s="14">
        <f>_xll.BDH("ALNY US Equity","COM_EQY_TO_TOT_ASSET","FQ4 2023","FQ4 2023","Currency=USD","Period=FQ","BEST_FPERIOD_OVERRIDE=FQ","FILING_STATUS=MR","Sort=A","Dates=H","DateFormat=P","Fill=—","Direction=H","UseDPDF=Y")</f>
        <v>-5.7610999999999999</v>
      </c>
      <c r="X10" s="14">
        <f>_xll.BDH("ALNY US Equity","COM_EQY_TO_TOT_ASSET","FQ1 2024","FQ1 2024","Currency=USD","Period=FQ","BEST_FPERIOD_OVERRIDE=FQ","FILING_STATUS=MR","Sort=A","Dates=H","DateFormat=P","Fill=—","Direction=H","UseDPDF=Y")</f>
        <v>-5.7335000000000003</v>
      </c>
      <c r="Y10" s="14">
        <f>_xll.BDH("ALNY US Equity","COM_EQY_TO_TOT_ASSET","FQ2 2024","FQ2 2024","Currency=USD","Period=FQ","BEST_FPERIOD_OVERRIDE=FQ","FILING_STATUS=MR","Sort=A","Dates=H","DateFormat=P","Fill=—","Direction=H","UseDPDF=Y")</f>
        <v>-7.6499999999999999E-2</v>
      </c>
      <c r="Z10" s="14">
        <f>_xll.BDH("ALNY US Equity","COM_EQY_TO_TOT_ASSET","FQ3 2024","FQ3 2024","Currency=USD","Period=FQ","BEST_FPERIOD_OVERRIDE=FQ","FILING_STATUS=MR","Sort=A","Dates=H","DateFormat=P","Fill=—","Direction=H","UseDPDF=Y")</f>
        <v>0.76939999999999997</v>
      </c>
      <c r="AA10" s="14">
        <f>_xll.BDH("ALNY US Equity","COM_EQY_TO_TOT_ASSET","FQ4 2024","FQ4 2024","Currency=USD","Period=FQ","BEST_FPERIOD_OVERRIDE=FQ","FILING_STATUS=MR","Sort=A","Dates=H","DateFormat=P","Fill=—","Direction=H","UseDPDF=Y")</f>
        <v>1.5823</v>
      </c>
    </row>
    <row r="11" spans="1:27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0" t="s">
        <v>1465</v>
      </c>
      <c r="B12" s="10" t="s">
        <v>1466</v>
      </c>
      <c r="C12" s="14">
        <f>_xll.BDH("ALNY US Equity","LT_DEBT_TO_TOT_EQY","FQ4 2018","FQ4 2018","Currency=USD","Period=FQ","BEST_FPERIOD_OVERRIDE=FQ","FILING_STATUS=MR","Sort=A","Dates=H","DateFormat=P","Fill=—","Direction=H","UseDPDF=Y")</f>
        <v>2.3041999999999998</v>
      </c>
      <c r="D12" s="14">
        <f>_xll.BDH("ALNY US Equity","LT_DEBT_TO_TOT_EQY","FQ1 2019","FQ1 2019","Currency=USD","Period=FQ","BEST_FPERIOD_OVERRIDE=FQ","FILING_STATUS=MR","Sort=A","Dates=H","DateFormat=P","Fill=—","Direction=H","UseDPDF=Y")</f>
        <v>20.1876</v>
      </c>
      <c r="E12" s="14">
        <f>_xll.BDH("ALNY US Equity","LT_DEBT_TO_TOT_EQY","FQ2 2019","FQ2 2019","Currency=USD","Period=FQ","BEST_FPERIOD_OVERRIDE=FQ","FILING_STATUS=MR","Sort=A","Dates=H","DateFormat=P","Fill=—","Direction=H","UseDPDF=Y")</f>
        <v>17.483000000000001</v>
      </c>
      <c r="F12" s="14">
        <f>_xll.BDH("ALNY US Equity","LT_DEBT_TO_TOT_EQY","FQ3 2019","FQ3 2019","Currency=USD","Period=FQ","BEST_FPERIOD_OVERRIDE=FQ","FILING_STATUS=MR","Sort=A","Dates=H","DateFormat=P","Fill=—","Direction=H","UseDPDF=Y")</f>
        <v>17.202300000000001</v>
      </c>
      <c r="G12" s="14">
        <f>_xll.BDH("ALNY US Equity","LT_DEBT_TO_TOT_EQY","FQ4 2019","FQ4 2019","Currency=USD","Period=FQ","BEST_FPERIOD_OVERRIDE=FQ","FILING_STATUS=MR","Sort=A","Dates=H","DateFormat=P","Fill=—","Direction=H","UseDPDF=Y")</f>
        <v>19.1935</v>
      </c>
      <c r="H12" s="14">
        <f>_xll.BDH("ALNY US Equity","LT_DEBT_TO_TOT_EQY","FQ1 2020","FQ1 2020","Currency=USD","Period=FQ","BEST_FPERIOD_OVERRIDE=FQ","FILING_STATUS=MR","Sort=A","Dates=H","DateFormat=P","Fill=—","Direction=H","UseDPDF=Y")</f>
        <v>20.432400000000001</v>
      </c>
      <c r="I12" s="14">
        <f>_xll.BDH("ALNY US Equity","LT_DEBT_TO_TOT_EQY","FQ2 2020","FQ2 2020","Currency=USD","Period=FQ","BEST_FPERIOD_OVERRIDE=FQ","FILING_STATUS=MR","Sort=A","Dates=H","DateFormat=P","Fill=—","Direction=H","UseDPDF=Y")</f>
        <v>20.119499999999999</v>
      </c>
      <c r="J12" s="14">
        <f>_xll.BDH("ALNY US Equity","LT_DEBT_TO_TOT_EQY","FQ3 2020","FQ3 2020","Currency=USD","Period=FQ","BEST_FPERIOD_OVERRIDE=FQ","FILING_STATUS=MR","Sort=A","Dates=H","DateFormat=P","Fill=—","Direction=H","UseDPDF=Y")</f>
        <v>24.465499999999999</v>
      </c>
      <c r="K12" s="14">
        <f>_xll.BDH("ALNY US Equity","LT_DEBT_TO_TOT_EQY","FQ4 2020","FQ4 2020","Currency=USD","Period=FQ","BEST_FPERIOD_OVERRIDE=FQ","FILING_STATUS=MR","Sort=A","Dates=H","DateFormat=P","Fill=—","Direction=H","UseDPDF=Y")</f>
        <v>47.657400000000003</v>
      </c>
      <c r="L12" s="14">
        <f>_xll.BDH("ALNY US Equity","LT_DEBT_TO_TOT_EQY","FQ1 2021","FQ1 2021","Currency=USD","Period=FQ","BEST_FPERIOD_OVERRIDE=FQ","FILING_STATUS=MR","Sort=A","Dates=H","DateFormat=P","Fill=—","Direction=H","UseDPDF=Y")</f>
        <v>51.782600000000002</v>
      </c>
      <c r="M12" s="14">
        <f>_xll.BDH("ALNY US Equity","LT_DEBT_TO_TOT_EQY","FQ2 2021","FQ2 2021","Currency=USD","Period=FQ","BEST_FPERIOD_OVERRIDE=FQ","FILING_STATUS=MR","Sort=A","Dates=H","DateFormat=P","Fill=—","Direction=H","UseDPDF=Y")</f>
        <v>84.572500000000005</v>
      </c>
      <c r="N12" s="14">
        <f>_xll.BDH("ALNY US Equity","LT_DEBT_TO_TOT_EQY","FQ3 2021","FQ3 2021","Currency=USD","Period=FQ","BEST_FPERIOD_OVERRIDE=FQ","FILING_STATUS=MR","Sort=A","Dates=H","DateFormat=P","Fill=—","Direction=H","UseDPDF=Y")</f>
        <v>95.228999999999999</v>
      </c>
      <c r="O12" s="14">
        <f>_xll.BDH("ALNY US Equity","LT_DEBT_TO_TOT_EQY","FQ4 2021","FQ4 2021","Currency=USD","Period=FQ","BEST_FPERIOD_OVERRIDE=FQ","FILING_STATUS=MR","Sort=A","Dates=H","DateFormat=P","Fill=—","Direction=H","UseDPDF=Y")</f>
        <v>162.7064</v>
      </c>
      <c r="P12" s="14">
        <f>_xll.BDH("ALNY US Equity","LT_DEBT_TO_TOT_EQY","FQ1 2022","FQ1 2022","Currency=USD","Period=FQ","BEST_FPERIOD_OVERRIDE=FQ","FILING_STATUS=MR","Sort=A","Dates=H","DateFormat=P","Fill=—","Direction=H","UseDPDF=Y")</f>
        <v>237.8312</v>
      </c>
      <c r="Q12" s="14">
        <f>_xll.BDH("ALNY US Equity","LT_DEBT_TO_TOT_EQY","FQ2 2022","FQ2 2022","Currency=USD","Period=FQ","BEST_FPERIOD_OVERRIDE=FQ","FILING_STATUS=MR","Sort=A","Dates=H","DateFormat=P","Fill=—","Direction=H","UseDPDF=Y")</f>
        <v>539.5018</v>
      </c>
      <c r="R12" s="14" t="str">
        <f>_xll.BDH("ALNY US Equity","LT_DEBT_TO_TOT_EQY","FQ3 2022","FQ3 2022","Currency=USD","Period=FQ","BEST_FPERIOD_OVERRIDE=FQ","FILING_STATUS=MR","Sort=A","Dates=H","DateFormat=P","Fill=—","Direction=H","UseDPDF=Y")</f>
        <v>—</v>
      </c>
      <c r="S12" s="14" t="str">
        <f>_xll.BDH("ALNY US Equity","LT_DEBT_TO_TOT_EQY","FQ4 2022","FQ4 2022","Currency=USD","Period=FQ","BEST_FPERIOD_OVERRIDE=FQ","FILING_STATUS=MR","Sort=A","Dates=H","DateFormat=P","Fill=—","Direction=H","UseDPDF=Y")</f>
        <v>—</v>
      </c>
      <c r="T12" s="14" t="str">
        <f>_xll.BDH("ALNY US Equity","LT_DEBT_TO_TOT_EQY","FQ1 2023","FQ1 2023","Currency=USD","Period=FQ","BEST_FPERIOD_OVERRIDE=FQ","FILING_STATUS=MR","Sort=A","Dates=H","DateFormat=P","Fill=—","Direction=H","UseDPDF=Y")</f>
        <v>—</v>
      </c>
      <c r="U12" s="14" t="str">
        <f>_xll.BDH("ALNY US Equity","LT_DEBT_TO_TOT_EQY","FQ2 2023","FQ2 2023","Currency=USD","Period=FQ","BEST_FPERIOD_OVERRIDE=FQ","FILING_STATUS=MR","Sort=A","Dates=H","DateFormat=P","Fill=—","Direction=H","UseDPDF=Y")</f>
        <v>—</v>
      </c>
      <c r="V12" s="14" t="str">
        <f>_xll.BDH("ALNY US Equity","LT_DEBT_TO_TOT_EQY","FQ3 2023","FQ3 2023","Currency=USD","Period=FQ","BEST_FPERIOD_OVERRIDE=FQ","FILING_STATUS=MR","Sort=A","Dates=H","DateFormat=P","Fill=—","Direction=H","UseDPDF=Y")</f>
        <v>—</v>
      </c>
      <c r="W12" s="14" t="str">
        <f>_xll.BDH("ALNY US Equity","LT_DEBT_TO_TOT_EQY","FQ4 2023","FQ4 2023","Currency=USD","Period=FQ","BEST_FPERIOD_OVERRIDE=FQ","FILING_STATUS=MR","Sort=A","Dates=H","DateFormat=P","Fill=—","Direction=H","UseDPDF=Y")</f>
        <v>—</v>
      </c>
      <c r="X12" s="14" t="str">
        <f>_xll.BDH("ALNY US Equity","LT_DEBT_TO_TOT_EQY","FQ1 2024","FQ1 2024","Currency=USD","Period=FQ","BEST_FPERIOD_OVERRIDE=FQ","FILING_STATUS=MR","Sort=A","Dates=H","DateFormat=P","Fill=—","Direction=H","UseDPDF=Y")</f>
        <v>—</v>
      </c>
      <c r="Y12" s="14" t="str">
        <f>_xll.BDH("ALNY US Equity","LT_DEBT_TO_TOT_EQY","FQ2 2024","FQ2 2024","Currency=USD","Period=FQ","BEST_FPERIOD_OVERRIDE=FQ","FILING_STATUS=MR","Sort=A","Dates=H","DateFormat=P","Fill=—","Direction=H","UseDPDF=Y")</f>
        <v>—</v>
      </c>
      <c r="Z12" s="14">
        <f>_xll.BDH("ALNY US Equity","LT_DEBT_TO_TOT_EQY","FQ3 2024","FQ3 2024","Currency=USD","Period=FQ","BEST_FPERIOD_OVERRIDE=FQ","FILING_STATUS=MR","Sort=A","Dates=H","DateFormat=P","Fill=—","Direction=H","UseDPDF=Y")</f>
        <v>3893.4413</v>
      </c>
      <c r="AA12" s="14">
        <f>_xll.BDH("ALNY US Equity","LT_DEBT_TO_TOT_EQY","FQ4 2024","FQ4 2024","Currency=USD","Period=FQ","BEST_FPERIOD_OVERRIDE=FQ","FILING_STATUS=MR","Sort=A","Dates=H","DateFormat=P","Fill=—","Direction=H","UseDPDF=Y")</f>
        <v>1869.4282000000001</v>
      </c>
    </row>
    <row r="13" spans="1:27" x14ac:dyDescent="0.25">
      <c r="A13" s="10" t="s">
        <v>1467</v>
      </c>
      <c r="B13" s="10" t="s">
        <v>1468</v>
      </c>
      <c r="C13" s="14">
        <f>_xll.BDH("ALNY US Equity","LT_DEBT_TO_TOT_CAP","FQ4 2018","FQ4 2018","Currency=USD","Period=FQ","BEST_FPERIOD_OVERRIDE=FQ","FILING_STATUS=MR","Sort=A","Dates=H","DateFormat=P","Fill=—","Direction=H","UseDPDF=Y")</f>
        <v>2.2523</v>
      </c>
      <c r="D13" s="14">
        <f>_xll.BDH("ALNY US Equity","LT_DEBT_TO_TOT_CAP","FQ1 2019","FQ1 2019","Currency=USD","Period=FQ","BEST_FPERIOD_OVERRIDE=FQ","FILING_STATUS=MR","Sort=A","Dates=H","DateFormat=P","Fill=—","Direction=H","UseDPDF=Y")</f>
        <v>16.6448</v>
      </c>
      <c r="E13" s="14">
        <f>_xll.BDH("ALNY US Equity","LT_DEBT_TO_TOT_CAP","FQ2 2019","FQ2 2019","Currency=USD","Period=FQ","BEST_FPERIOD_OVERRIDE=FQ","FILING_STATUS=MR","Sort=A","Dates=H","DateFormat=P","Fill=—","Direction=H","UseDPDF=Y")</f>
        <v>14.672700000000001</v>
      </c>
      <c r="F13" s="14">
        <f>_xll.BDH("ALNY US Equity","LT_DEBT_TO_TOT_CAP","FQ3 2019","FQ3 2019","Currency=USD","Period=FQ","BEST_FPERIOD_OVERRIDE=FQ","FILING_STATUS=MR","Sort=A","Dates=H","DateFormat=P","Fill=—","Direction=H","UseDPDF=Y")</f>
        <v>14.4612</v>
      </c>
      <c r="G13" s="14">
        <f>_xll.BDH("ALNY US Equity","LT_DEBT_TO_TOT_CAP","FQ4 2019","FQ4 2019","Currency=USD","Period=FQ","BEST_FPERIOD_OVERRIDE=FQ","FILING_STATUS=MR","Sort=A","Dates=H","DateFormat=P","Fill=—","Direction=H","UseDPDF=Y")</f>
        <v>15.8469</v>
      </c>
      <c r="H13" s="14">
        <f>_xll.BDH("ALNY US Equity","LT_DEBT_TO_TOT_CAP","FQ1 2020","FQ1 2020","Currency=USD","Period=FQ","BEST_FPERIOD_OVERRIDE=FQ","FILING_STATUS=MR","Sort=A","Dates=H","DateFormat=P","Fill=—","Direction=H","UseDPDF=Y")</f>
        <v>16.668099999999999</v>
      </c>
      <c r="I13" s="14">
        <f>_xll.BDH("ALNY US Equity","LT_DEBT_TO_TOT_CAP","FQ2 2020","FQ2 2020","Currency=USD","Period=FQ","BEST_FPERIOD_OVERRIDE=FQ","FILING_STATUS=MR","Sort=A","Dates=H","DateFormat=P","Fill=—","Direction=H","UseDPDF=Y")</f>
        <v>16.422899999999998</v>
      </c>
      <c r="J13" s="14">
        <f>_xll.BDH("ALNY US Equity","LT_DEBT_TO_TOT_CAP","FQ3 2020","FQ3 2020","Currency=USD","Period=FQ","BEST_FPERIOD_OVERRIDE=FQ","FILING_STATUS=MR","Sort=A","Dates=H","DateFormat=P","Fill=—","Direction=H","UseDPDF=Y")</f>
        <v>19.2468</v>
      </c>
      <c r="K13" s="14">
        <f>_xll.BDH("ALNY US Equity","LT_DEBT_TO_TOT_CAP","FQ4 2020","FQ4 2020","Currency=USD","Period=FQ","BEST_FPERIOD_OVERRIDE=FQ","FILING_STATUS=MR","Sort=A","Dates=H","DateFormat=P","Fill=—","Direction=H","UseDPDF=Y")</f>
        <v>31.5016</v>
      </c>
      <c r="L13" s="14">
        <f>_xll.BDH("ALNY US Equity","LT_DEBT_TO_TOT_CAP","FQ1 2021","FQ1 2021","Currency=USD","Period=FQ","BEST_FPERIOD_OVERRIDE=FQ","FILING_STATUS=MR","Sort=A","Dates=H","DateFormat=P","Fill=—","Direction=H","UseDPDF=Y")</f>
        <v>33.197299999999998</v>
      </c>
      <c r="M13" s="14">
        <f>_xll.BDH("ALNY US Equity","LT_DEBT_TO_TOT_CAP","FQ2 2021","FQ2 2021","Currency=USD","Period=FQ","BEST_FPERIOD_OVERRIDE=FQ","FILING_STATUS=MR","Sort=A","Dates=H","DateFormat=P","Fill=—","Direction=H","UseDPDF=Y")</f>
        <v>44.703600000000002</v>
      </c>
      <c r="N13" s="14">
        <f>_xll.BDH("ALNY US Equity","LT_DEBT_TO_TOT_CAP","FQ3 2021","FQ3 2021","Currency=USD","Period=FQ","BEST_FPERIOD_OVERRIDE=FQ","FILING_STATUS=MR","Sort=A","Dates=H","DateFormat=P","Fill=—","Direction=H","UseDPDF=Y")</f>
        <v>47.471699999999998</v>
      </c>
      <c r="O13" s="14">
        <f>_xll.BDH("ALNY US Equity","LT_DEBT_TO_TOT_CAP","FQ4 2021","FQ4 2021","Currency=USD","Period=FQ","BEST_FPERIOD_OVERRIDE=FQ","FILING_STATUS=MR","Sort=A","Dates=H","DateFormat=P","Fill=—","Direction=H","UseDPDF=Y")</f>
        <v>60.351100000000002</v>
      </c>
      <c r="P13" s="14">
        <f>_xll.BDH("ALNY US Equity","LT_DEBT_TO_TOT_CAP","FQ1 2022","FQ1 2022","Currency=USD","Period=FQ","BEST_FPERIOD_OVERRIDE=FQ","FILING_STATUS=MR","Sort=A","Dates=H","DateFormat=P","Fill=—","Direction=H","UseDPDF=Y")</f>
        <v>68.317999999999998</v>
      </c>
      <c r="Q13" s="14">
        <f>_xll.BDH("ALNY US Equity","LT_DEBT_TO_TOT_CAP","FQ2 2022","FQ2 2022","Currency=USD","Period=FQ","BEST_FPERIOD_OVERRIDE=FQ","FILING_STATUS=MR","Sort=A","Dates=H","DateFormat=P","Fill=—","Direction=H","UseDPDF=Y")</f>
        <v>81.381900000000002</v>
      </c>
      <c r="R13" s="14">
        <f>_xll.BDH("ALNY US Equity","LT_DEBT_TO_TOT_CAP","FQ3 2022","FQ3 2022","Currency=USD","Period=FQ","BEST_FPERIOD_OVERRIDE=FQ","FILING_STATUS=MR","Sort=A","Dates=H","DateFormat=P","Fill=—","Direction=H","UseDPDF=Y")</f>
        <v>101.77</v>
      </c>
      <c r="S13" s="14">
        <f>_xll.BDH("ALNY US Equity","LT_DEBT_TO_TOT_CAP","FQ4 2022","FQ4 2022","Currency=USD","Period=FQ","BEST_FPERIOD_OVERRIDE=FQ","FILING_STATUS=MR","Sort=A","Dates=H","DateFormat=P","Fill=—","Direction=H","UseDPDF=Y")</f>
        <v>110.0046</v>
      </c>
      <c r="T13" s="14">
        <f>_xll.BDH("ALNY US Equity","LT_DEBT_TO_TOT_CAP","FQ1 2023","FQ1 2023","Currency=USD","Period=FQ","BEST_FPERIOD_OVERRIDE=FQ","FILING_STATUS=MR","Sort=A","Dates=H","DateFormat=P","Fill=—","Direction=H","UseDPDF=Y")</f>
        <v>120.3736</v>
      </c>
      <c r="U13" s="14">
        <f>_xll.BDH("ALNY US Equity","LT_DEBT_TO_TOT_CAP","FQ2 2023","FQ2 2023","Currency=USD","Period=FQ","BEST_FPERIOD_OVERRIDE=FQ","FILING_STATUS=MR","Sort=A","Dates=H","DateFormat=P","Fill=—","Direction=H","UseDPDF=Y")</f>
        <v>140.3946</v>
      </c>
      <c r="V13" s="14">
        <f>_xll.BDH("ALNY US Equity","LT_DEBT_TO_TOT_CAP","FQ3 2023","FQ3 2023","Currency=USD","Period=FQ","BEST_FPERIOD_OVERRIDE=FQ","FILING_STATUS=MR","Sort=A","Dates=H","DateFormat=P","Fill=—","Direction=H","UseDPDF=Y")</f>
        <v>110.8776</v>
      </c>
      <c r="W13" s="14">
        <f>_xll.BDH("ALNY US Equity","LT_DEBT_TO_TOT_CAP","FQ4 2023","FQ4 2023","Currency=USD","Period=FQ","BEST_FPERIOD_OVERRIDE=FQ","FILING_STATUS=MR","Sort=A","Dates=H","DateFormat=P","Fill=—","Direction=H","UseDPDF=Y")</f>
        <v>116.514</v>
      </c>
      <c r="X13" s="14">
        <f>_xll.BDH("ALNY US Equity","LT_DEBT_TO_TOT_CAP","FQ1 2024","FQ1 2024","Currency=USD","Period=FQ","BEST_FPERIOD_OVERRIDE=FQ","FILING_STATUS=MR","Sort=A","Dates=H","DateFormat=P","Fill=—","Direction=H","UseDPDF=Y")</f>
        <v>116.41459999999999</v>
      </c>
      <c r="Y13" s="14">
        <f>_xll.BDH("ALNY US Equity","LT_DEBT_TO_TOT_CAP","FQ2 2024","FQ2 2024","Currency=USD","Period=FQ","BEST_FPERIOD_OVERRIDE=FQ","FILING_STATUS=MR","Sort=A","Dates=H","DateFormat=P","Fill=—","Direction=H","UseDPDF=Y")</f>
        <v>98.540099999999995</v>
      </c>
      <c r="Z13" s="14">
        <f>_xll.BDH("ALNY US Equity","LT_DEBT_TO_TOT_CAP","FQ3 2024","FQ3 2024","Currency=USD","Period=FQ","BEST_FPERIOD_OVERRIDE=FQ","FILING_STATUS=MR","Sort=A","Dates=H","DateFormat=P","Fill=—","Direction=H","UseDPDF=Y")</f>
        <v>94.416200000000003</v>
      </c>
      <c r="AA13" s="14">
        <f>_xll.BDH("ALNY US Equity","LT_DEBT_TO_TOT_CAP","FQ4 2024","FQ4 2024","Currency=USD","Period=FQ","BEST_FPERIOD_OVERRIDE=FQ","FILING_STATUS=MR","Sort=A","Dates=H","DateFormat=P","Fill=—","Direction=H","UseDPDF=Y")</f>
        <v>92.005600000000001</v>
      </c>
    </row>
    <row r="14" spans="1:27" x14ac:dyDescent="0.25">
      <c r="A14" s="10" t="s">
        <v>1469</v>
      </c>
      <c r="B14" s="10" t="s">
        <v>1470</v>
      </c>
      <c r="C14" s="14">
        <f>_xll.BDH("ALNY US Equity","LT_DEBT_TO_TOT_ASSET","FQ4 2018","FQ4 2018","Currency=USD","Period=FQ","BEST_FPERIOD_OVERRIDE=FQ","FILING_STATUS=MR","Sort=A","Dates=H","DateFormat=P","Fill=—","Direction=H","UseDPDF=Y")</f>
        <v>1.905</v>
      </c>
      <c r="D14" s="14">
        <f>_xll.BDH("ALNY US Equity","LT_DEBT_TO_TOT_ASSET","FQ1 2019","FQ1 2019","Currency=USD","Period=FQ","BEST_FPERIOD_OVERRIDE=FQ","FILING_STATUS=MR","Sort=A","Dates=H","DateFormat=P","Fill=—","Direction=H","UseDPDF=Y")</f>
        <v>15.506500000000001</v>
      </c>
      <c r="E14" s="14">
        <f>_xll.BDH("ALNY US Equity","LT_DEBT_TO_TOT_ASSET","FQ2 2019","FQ2 2019","Currency=USD","Period=FQ","BEST_FPERIOD_OVERRIDE=FQ","FILING_STATUS=MR","Sort=A","Dates=H","DateFormat=P","Fill=—","Direction=H","UseDPDF=Y")</f>
        <v>11.3094</v>
      </c>
      <c r="F14" s="14">
        <f>_xll.BDH("ALNY US Equity","LT_DEBT_TO_TOT_ASSET","FQ3 2019","FQ3 2019","Currency=USD","Period=FQ","BEST_FPERIOD_OVERRIDE=FQ","FILING_STATUS=MR","Sort=A","Dates=H","DateFormat=P","Fill=—","Direction=H","UseDPDF=Y")</f>
        <v>10.8771</v>
      </c>
      <c r="G14" s="14">
        <f>_xll.BDH("ALNY US Equity","LT_DEBT_TO_TOT_ASSET","FQ4 2019","FQ4 2019","Currency=USD","Period=FQ","BEST_FPERIOD_OVERRIDE=FQ","FILING_STATUS=MR","Sort=A","Dates=H","DateFormat=P","Fill=—","Direction=H","UseDPDF=Y")</f>
        <v>11.529</v>
      </c>
      <c r="H14" s="14">
        <f>_xll.BDH("ALNY US Equity","LT_DEBT_TO_TOT_ASSET","FQ1 2020","FQ1 2020","Currency=USD","Period=FQ","BEST_FPERIOD_OVERRIDE=FQ","FILING_STATUS=MR","Sort=A","Dates=H","DateFormat=P","Fill=—","Direction=H","UseDPDF=Y")</f>
        <v>12.0977</v>
      </c>
      <c r="I14" s="14">
        <f>_xll.BDH("ALNY US Equity","LT_DEBT_TO_TOT_ASSET","FQ2 2020","FQ2 2020","Currency=USD","Period=FQ","BEST_FPERIOD_OVERRIDE=FQ","FILING_STATUS=MR","Sort=A","Dates=H","DateFormat=P","Fill=—","Direction=H","UseDPDF=Y")</f>
        <v>8.3458000000000006</v>
      </c>
      <c r="J14" s="14">
        <f>_xll.BDH("ALNY US Equity","LT_DEBT_TO_TOT_ASSET","FQ3 2020","FQ3 2020","Currency=USD","Period=FQ","BEST_FPERIOD_OVERRIDE=FQ","FILING_STATUS=MR","Sort=A","Dates=H","DateFormat=P","Fill=—","Direction=H","UseDPDF=Y")</f>
        <v>8.9880999999999993</v>
      </c>
      <c r="K14" s="14">
        <f>_xll.BDH("ALNY US Equity","LT_DEBT_TO_TOT_ASSET","FQ4 2020","FQ4 2020","Currency=USD","Period=FQ","BEST_FPERIOD_OVERRIDE=FQ","FILING_STATUS=MR","Sort=A","Dates=H","DateFormat=P","Fill=—","Direction=H","UseDPDF=Y")</f>
        <v>14.2151</v>
      </c>
      <c r="L14" s="14">
        <f>_xll.BDH("ALNY US Equity","LT_DEBT_TO_TOT_ASSET","FQ1 2021","FQ1 2021","Currency=USD","Period=FQ","BEST_FPERIOD_OVERRIDE=FQ","FILING_STATUS=MR","Sort=A","Dates=H","DateFormat=P","Fill=—","Direction=H","UseDPDF=Y")</f>
        <v>14.7332</v>
      </c>
      <c r="M14" s="14">
        <f>_xll.BDH("ALNY US Equity","LT_DEBT_TO_TOT_ASSET","FQ2 2021","FQ2 2021","Currency=USD","Period=FQ","BEST_FPERIOD_OVERRIDE=FQ","FILING_STATUS=MR","Sort=A","Dates=H","DateFormat=P","Fill=—","Direction=H","UseDPDF=Y")</f>
        <v>20.564900000000002</v>
      </c>
      <c r="N14" s="14">
        <f>_xll.BDH("ALNY US Equity","LT_DEBT_TO_TOT_ASSET","FQ3 2021","FQ3 2021","Currency=USD","Period=FQ","BEST_FPERIOD_OVERRIDE=FQ","FILING_STATUS=MR","Sort=A","Dates=H","DateFormat=P","Fill=—","Direction=H","UseDPDF=Y")</f>
        <v>20.730499999999999</v>
      </c>
      <c r="O14" s="14">
        <f>_xll.BDH("ALNY US Equity","LT_DEBT_TO_TOT_ASSET","FQ4 2021","FQ4 2021","Currency=USD","Period=FQ","BEST_FPERIOD_OVERRIDE=FQ","FILING_STATUS=MR","Sort=A","Dates=H","DateFormat=P","Fill=—","Direction=H","UseDPDF=Y")</f>
        <v>26.268599999999999</v>
      </c>
      <c r="P14" s="14">
        <f>_xll.BDH("ALNY US Equity","LT_DEBT_TO_TOT_ASSET","FQ1 2022","FQ1 2022","Currency=USD","Period=FQ","BEST_FPERIOD_OVERRIDE=FQ","FILING_STATUS=MR","Sort=A","Dates=H","DateFormat=P","Fill=—","Direction=H","UseDPDF=Y")</f>
        <v>27.787500000000001</v>
      </c>
      <c r="Q14" s="14">
        <f>_xll.BDH("ALNY US Equity","LT_DEBT_TO_TOT_ASSET","FQ2 2022","FQ2 2022","Currency=USD","Period=FQ","BEST_FPERIOD_OVERRIDE=FQ","FILING_STATUS=MR","Sort=A","Dates=H","DateFormat=P","Fill=—","Direction=H","UseDPDF=Y")</f>
        <v>28.517099999999999</v>
      </c>
      <c r="R14" s="14">
        <f>_xll.BDH("ALNY US Equity","LT_DEBT_TO_TOT_ASSET","FQ3 2022","FQ3 2022","Currency=USD","Period=FQ","BEST_FPERIOD_OVERRIDE=FQ","FILING_STATUS=MR","Sort=A","Dates=H","DateFormat=P","Fill=—","Direction=H","UseDPDF=Y")</f>
        <v>42.378700000000002</v>
      </c>
      <c r="S14" s="14">
        <f>_xll.BDH("ALNY US Equity","LT_DEBT_TO_TOT_ASSET","FQ4 2022","FQ4 2022","Currency=USD","Period=FQ","BEST_FPERIOD_OVERRIDE=FQ","FILING_STATUS=MR","Sort=A","Dates=H","DateFormat=P","Fill=—","Direction=H","UseDPDF=Y")</f>
        <v>36.044899999999998</v>
      </c>
      <c r="T14" s="14">
        <f>_xll.BDH("ALNY US Equity","LT_DEBT_TO_TOT_ASSET","FQ1 2023","FQ1 2023","Currency=USD","Period=FQ","BEST_FPERIOD_OVERRIDE=FQ","FILING_STATUS=MR","Sort=A","Dates=H","DateFormat=P","Fill=—","Direction=H","UseDPDF=Y")</f>
        <v>37.656500000000001</v>
      </c>
      <c r="U14" s="14">
        <f>_xll.BDH("ALNY US Equity","LT_DEBT_TO_TOT_ASSET","FQ2 2023","FQ2 2023","Currency=USD","Period=FQ","BEST_FPERIOD_OVERRIDE=FQ","FILING_STATUS=MR","Sort=A","Dates=H","DateFormat=P","Fill=—","Direction=H","UseDPDF=Y")</f>
        <v>37.393000000000001</v>
      </c>
      <c r="V14" s="14">
        <f>_xll.BDH("ALNY US Equity","LT_DEBT_TO_TOT_ASSET","FQ3 2023","FQ3 2023","Currency=USD","Period=FQ","BEST_FPERIOD_OVERRIDE=FQ","FILING_STATUS=MR","Sort=A","Dates=H","DateFormat=P","Fill=—","Direction=H","UseDPDF=Y")</f>
        <v>33.016300000000001</v>
      </c>
      <c r="W14" s="14">
        <f>_xll.BDH("ALNY US Equity","LT_DEBT_TO_TOT_ASSET","FQ4 2023","FQ4 2023","Currency=USD","Period=FQ","BEST_FPERIOD_OVERRIDE=FQ","FILING_STATUS=MR","Sort=A","Dates=H","DateFormat=P","Fill=—","Direction=H","UseDPDF=Y")</f>
        <v>33.000399999999999</v>
      </c>
      <c r="X14" s="14">
        <f>_xll.BDH("ALNY US Equity","LT_DEBT_TO_TOT_ASSET","FQ1 2024","FQ1 2024","Currency=USD","Period=FQ","BEST_FPERIOD_OVERRIDE=FQ","FILING_STATUS=MR","Sort=A","Dates=H","DateFormat=P","Fill=—","Direction=H","UseDPDF=Y")</f>
        <v>32.935000000000002</v>
      </c>
      <c r="Y14" s="14">
        <f>_xll.BDH("ALNY US Equity","LT_DEBT_TO_TOT_ASSET","FQ2 2024","FQ2 2024","Currency=USD","Period=FQ","BEST_FPERIOD_OVERRIDE=FQ","FILING_STATUS=MR","Sort=A","Dates=H","DateFormat=P","Fill=—","Direction=H","UseDPDF=Y")</f>
        <v>64.959000000000003</v>
      </c>
      <c r="Z14" s="14">
        <f>_xll.BDH("ALNY US Equity","LT_DEBT_TO_TOT_ASSET","FQ3 2024","FQ3 2024","Currency=USD","Period=FQ","BEST_FPERIOD_OVERRIDE=FQ","FILING_STATUS=MR","Sort=A","Dates=H","DateFormat=P","Fill=—","Direction=H","UseDPDF=Y")</f>
        <v>29.956499999999998</v>
      </c>
      <c r="AA14" s="14">
        <f>_xll.BDH("ALNY US Equity","LT_DEBT_TO_TOT_ASSET","FQ4 2024","FQ4 2024","Currency=USD","Period=FQ","BEST_FPERIOD_OVERRIDE=FQ","FILING_STATUS=MR","Sort=A","Dates=H","DateFormat=P","Fill=—","Direction=H","UseDPDF=Y")</f>
        <v>29.5794</v>
      </c>
    </row>
    <row r="15" spans="1:27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10" t="s">
        <v>1471</v>
      </c>
      <c r="B16" s="10" t="s">
        <v>1472</v>
      </c>
      <c r="C16" s="14">
        <f>_xll.BDH("ALNY US Equity","TOT_DEBT_TO_TOT_EQY","FQ4 2018","FQ4 2018","Currency=USD","Period=FQ","BEST_FPERIOD_OVERRIDE=FQ","FILING_STATUS=MR","Sort=A","Dates=H","DateFormat=P","Fill=—","Direction=H","UseDPDF=Y")</f>
        <v>2.3041999999999998</v>
      </c>
      <c r="D16" s="14">
        <f>_xll.BDH("ALNY US Equity","TOT_DEBT_TO_TOT_EQY","FQ1 2019","FQ1 2019","Currency=USD","Period=FQ","BEST_FPERIOD_OVERRIDE=FQ","FILING_STATUS=MR","Sort=A","Dates=H","DateFormat=P","Fill=—","Direction=H","UseDPDF=Y")</f>
        <v>21.2851</v>
      </c>
      <c r="E16" s="14">
        <f>_xll.BDH("ALNY US Equity","TOT_DEBT_TO_TOT_EQY","FQ2 2019","FQ2 2019","Currency=USD","Period=FQ","BEST_FPERIOD_OVERRIDE=FQ","FILING_STATUS=MR","Sort=A","Dates=H","DateFormat=P","Fill=—","Direction=H","UseDPDF=Y")</f>
        <v>19.153099999999998</v>
      </c>
      <c r="F16" s="14">
        <f>_xll.BDH("ALNY US Equity","TOT_DEBT_TO_TOT_EQY","FQ3 2019","FQ3 2019","Currency=USD","Period=FQ","BEST_FPERIOD_OVERRIDE=FQ","FILING_STATUS=MR","Sort=A","Dates=H","DateFormat=P","Fill=—","Direction=H","UseDPDF=Y")</f>
        <v>18.954899999999999</v>
      </c>
      <c r="G16" s="14">
        <f>_xll.BDH("ALNY US Equity","TOT_DEBT_TO_TOT_EQY","FQ4 2019","FQ4 2019","Currency=USD","Period=FQ","BEST_FPERIOD_OVERRIDE=FQ","FILING_STATUS=MR","Sort=A","Dates=H","DateFormat=P","Fill=—","Direction=H","UseDPDF=Y")</f>
        <v>21.117999999999999</v>
      </c>
      <c r="H16" s="14">
        <f>_xll.BDH("ALNY US Equity","TOT_DEBT_TO_TOT_EQY","FQ1 2020","FQ1 2020","Currency=USD","Period=FQ","BEST_FPERIOD_OVERRIDE=FQ","FILING_STATUS=MR","Sort=A","Dates=H","DateFormat=P","Fill=—","Direction=H","UseDPDF=Y")</f>
        <v>22.584199999999999</v>
      </c>
      <c r="I16" s="14">
        <f>_xll.BDH("ALNY US Equity","TOT_DEBT_TO_TOT_EQY","FQ2 2020","FQ2 2020","Currency=USD","Period=FQ","BEST_FPERIOD_OVERRIDE=FQ","FILING_STATUS=MR","Sort=A","Dates=H","DateFormat=P","Fill=—","Direction=H","UseDPDF=Y")</f>
        <v>22.509</v>
      </c>
      <c r="J16" s="14">
        <f>_xll.BDH("ALNY US Equity","TOT_DEBT_TO_TOT_EQY","FQ3 2020","FQ3 2020","Currency=USD","Period=FQ","BEST_FPERIOD_OVERRIDE=FQ","FILING_STATUS=MR","Sort=A","Dates=H","DateFormat=P","Fill=—","Direction=H","UseDPDF=Y")</f>
        <v>27.114999999999998</v>
      </c>
      <c r="K16" s="14">
        <f>_xll.BDH("ALNY US Equity","TOT_DEBT_TO_TOT_EQY","FQ4 2020","FQ4 2020","Currency=USD","Period=FQ","BEST_FPERIOD_OVERRIDE=FQ","FILING_STATUS=MR","Sort=A","Dates=H","DateFormat=P","Fill=—","Direction=H","UseDPDF=Y")</f>
        <v>51.285699999999999</v>
      </c>
      <c r="L16" s="14">
        <f>_xll.BDH("ALNY US Equity","TOT_DEBT_TO_TOT_EQY","FQ1 2021","FQ1 2021","Currency=USD","Period=FQ","BEST_FPERIOD_OVERRIDE=FQ","FILING_STATUS=MR","Sort=A","Dates=H","DateFormat=P","Fill=—","Direction=H","UseDPDF=Y")</f>
        <v>55.984400000000001</v>
      </c>
      <c r="M16" s="14">
        <f>_xll.BDH("ALNY US Equity","TOT_DEBT_TO_TOT_EQY","FQ2 2021","FQ2 2021","Currency=USD","Period=FQ","BEST_FPERIOD_OVERRIDE=FQ","FILING_STATUS=MR","Sort=A","Dates=H","DateFormat=P","Fill=—","Direction=H","UseDPDF=Y")</f>
        <v>89.185100000000006</v>
      </c>
      <c r="N16" s="14">
        <f>_xll.BDH("ALNY US Equity","TOT_DEBT_TO_TOT_EQY","FQ3 2021","FQ3 2021","Currency=USD","Period=FQ","BEST_FPERIOD_OVERRIDE=FQ","FILING_STATUS=MR","Sort=A","Dates=H","DateFormat=P","Fill=—","Direction=H","UseDPDF=Y")</f>
        <v>100.60169999999999</v>
      </c>
      <c r="O16" s="14">
        <f>_xll.BDH("ALNY US Equity","TOT_DEBT_TO_TOT_EQY","FQ4 2021","FQ4 2021","Currency=USD","Period=FQ","BEST_FPERIOD_OVERRIDE=FQ","FILING_STATUS=MR","Sort=A","Dates=H","DateFormat=P","Fill=—","Direction=H","UseDPDF=Y")</f>
        <v>169.6</v>
      </c>
      <c r="P16" s="14">
        <f>_xll.BDH("ALNY US Equity","TOT_DEBT_TO_TOT_EQY","FQ1 2022","FQ1 2022","Currency=USD","Period=FQ","BEST_FPERIOD_OVERRIDE=FQ","FILING_STATUS=MR","Sort=A","Dates=H","DateFormat=P","Fill=—","Direction=H","UseDPDF=Y")</f>
        <v>248.12370000000001</v>
      </c>
      <c r="Q16" s="14">
        <f>_xll.BDH("ALNY US Equity","TOT_DEBT_TO_TOT_EQY","FQ2 2022","FQ2 2022","Currency=USD","Period=FQ","BEST_FPERIOD_OVERRIDE=FQ","FILING_STATUS=MR","Sort=A","Dates=H","DateFormat=P","Fill=—","Direction=H","UseDPDF=Y")</f>
        <v>562.92600000000004</v>
      </c>
      <c r="R16" s="14" t="str">
        <f>_xll.BDH("ALNY US Equity","TOT_DEBT_TO_TOT_EQY","FQ3 2022","FQ3 2022","Currency=USD","Period=FQ","BEST_FPERIOD_OVERRIDE=FQ","FILING_STATUS=MR","Sort=A","Dates=H","DateFormat=P","Fill=—","Direction=H","UseDPDF=Y")</f>
        <v>—</v>
      </c>
      <c r="S16" s="14" t="str">
        <f>_xll.BDH("ALNY US Equity","TOT_DEBT_TO_TOT_EQY","FQ4 2022","FQ4 2022","Currency=USD","Period=FQ","BEST_FPERIOD_OVERRIDE=FQ","FILING_STATUS=MR","Sort=A","Dates=H","DateFormat=P","Fill=—","Direction=H","UseDPDF=Y")</f>
        <v>—</v>
      </c>
      <c r="T16" s="14" t="str">
        <f>_xll.BDH("ALNY US Equity","TOT_DEBT_TO_TOT_EQY","FQ1 2023","FQ1 2023","Currency=USD","Period=FQ","BEST_FPERIOD_OVERRIDE=FQ","FILING_STATUS=MR","Sort=A","Dates=H","DateFormat=P","Fill=—","Direction=H","UseDPDF=Y")</f>
        <v>—</v>
      </c>
      <c r="U16" s="14" t="str">
        <f>_xll.BDH("ALNY US Equity","TOT_DEBT_TO_TOT_EQY","FQ2 2023","FQ2 2023","Currency=USD","Period=FQ","BEST_FPERIOD_OVERRIDE=FQ","FILING_STATUS=MR","Sort=A","Dates=H","DateFormat=P","Fill=—","Direction=H","UseDPDF=Y")</f>
        <v>—</v>
      </c>
      <c r="V16" s="14" t="str">
        <f>_xll.BDH("ALNY US Equity","TOT_DEBT_TO_TOT_EQY","FQ3 2023","FQ3 2023","Currency=USD","Period=FQ","BEST_FPERIOD_OVERRIDE=FQ","FILING_STATUS=MR","Sort=A","Dates=H","DateFormat=P","Fill=—","Direction=H","UseDPDF=Y")</f>
        <v>—</v>
      </c>
      <c r="W16" s="14" t="str">
        <f>_xll.BDH("ALNY US Equity","TOT_DEBT_TO_TOT_EQY","FQ4 2023","FQ4 2023","Currency=USD","Period=FQ","BEST_FPERIOD_OVERRIDE=FQ","FILING_STATUS=MR","Sort=A","Dates=H","DateFormat=P","Fill=—","Direction=H","UseDPDF=Y")</f>
        <v>—</v>
      </c>
      <c r="X16" s="14" t="str">
        <f>_xll.BDH("ALNY US Equity","TOT_DEBT_TO_TOT_EQY","FQ1 2024","FQ1 2024","Currency=USD","Period=FQ","BEST_FPERIOD_OVERRIDE=FQ","FILING_STATUS=MR","Sort=A","Dates=H","DateFormat=P","Fill=—","Direction=H","UseDPDF=Y")</f>
        <v>—</v>
      </c>
      <c r="Y16" s="14" t="str">
        <f>_xll.BDH("ALNY US Equity","TOT_DEBT_TO_TOT_EQY","FQ2 2024","FQ2 2024","Currency=USD","Period=FQ","BEST_FPERIOD_OVERRIDE=FQ","FILING_STATUS=MR","Sort=A","Dates=H","DateFormat=P","Fill=—","Direction=H","UseDPDF=Y")</f>
        <v>—</v>
      </c>
      <c r="Z16" s="14">
        <f>_xll.BDH("ALNY US Equity","TOT_DEBT_TO_TOT_EQY","FQ3 2024","FQ3 2024","Currency=USD","Period=FQ","BEST_FPERIOD_OVERRIDE=FQ","FILING_STATUS=MR","Sort=A","Dates=H","DateFormat=P","Fill=—","Direction=H","UseDPDF=Y")</f>
        <v>4023.7003</v>
      </c>
      <c r="AA16" s="14">
        <f>_xll.BDH("ALNY US Equity","TOT_DEBT_TO_TOT_EQY","FQ4 2024","FQ4 2024","Currency=USD","Period=FQ","BEST_FPERIOD_OVERRIDE=FQ","FILING_STATUS=MR","Sort=A","Dates=H","DateFormat=P","Fill=—","Direction=H","UseDPDF=Y")</f>
        <v>1931.8625999999999</v>
      </c>
    </row>
    <row r="17" spans="1:27" x14ac:dyDescent="0.25">
      <c r="A17" s="10" t="s">
        <v>1473</v>
      </c>
      <c r="B17" s="10" t="s">
        <v>175</v>
      </c>
      <c r="C17" s="14">
        <f>_xll.BDH("ALNY US Equity","TOT_DEBT_TO_TOT_CAP","FQ4 2018","FQ4 2018","Currency=USD","Period=FQ","BEST_FPERIOD_OVERRIDE=FQ","FILING_STATUS=MR","Sort=A","Dates=H","DateFormat=P","Fill=—","Direction=H","UseDPDF=Y")</f>
        <v>2.2523</v>
      </c>
      <c r="D17" s="14">
        <f>_xll.BDH("ALNY US Equity","TOT_DEBT_TO_TOT_CAP","FQ1 2019","FQ1 2019","Currency=USD","Period=FQ","BEST_FPERIOD_OVERRIDE=FQ","FILING_STATUS=MR","Sort=A","Dates=H","DateFormat=P","Fill=—","Direction=H","UseDPDF=Y")</f>
        <v>17.549600000000002</v>
      </c>
      <c r="E17" s="14">
        <f>_xll.BDH("ALNY US Equity","TOT_DEBT_TO_TOT_CAP","FQ2 2019","FQ2 2019","Currency=USD","Period=FQ","BEST_FPERIOD_OVERRIDE=FQ","FILING_STATUS=MR","Sort=A","Dates=H","DateFormat=P","Fill=—","Direction=H","UseDPDF=Y")</f>
        <v>16.074400000000001</v>
      </c>
      <c r="F17" s="14">
        <f>_xll.BDH("ALNY US Equity","TOT_DEBT_TO_TOT_CAP","FQ3 2019","FQ3 2019","Currency=USD","Period=FQ","BEST_FPERIOD_OVERRIDE=FQ","FILING_STATUS=MR","Sort=A","Dates=H","DateFormat=P","Fill=—","Direction=H","UseDPDF=Y")</f>
        <v>15.9345</v>
      </c>
      <c r="G17" s="14">
        <f>_xll.BDH("ALNY US Equity","TOT_DEBT_TO_TOT_CAP","FQ4 2019","FQ4 2019","Currency=USD","Period=FQ","BEST_FPERIOD_OVERRIDE=FQ","FILING_STATUS=MR","Sort=A","Dates=H","DateFormat=P","Fill=—","Direction=H","UseDPDF=Y")</f>
        <v>17.4359</v>
      </c>
      <c r="H17" s="14">
        <f>_xll.BDH("ALNY US Equity","TOT_DEBT_TO_TOT_CAP","FQ1 2020","FQ1 2020","Currency=USD","Period=FQ","BEST_FPERIOD_OVERRIDE=FQ","FILING_STATUS=MR","Sort=A","Dates=H","DateFormat=P","Fill=—","Direction=H","UseDPDF=Y")</f>
        <v>18.423400000000001</v>
      </c>
      <c r="I17" s="14">
        <f>_xll.BDH("ALNY US Equity","TOT_DEBT_TO_TOT_CAP","FQ2 2020","FQ2 2020","Currency=USD","Period=FQ","BEST_FPERIOD_OVERRIDE=FQ","FILING_STATUS=MR","Sort=A","Dates=H","DateFormat=P","Fill=—","Direction=H","UseDPDF=Y")</f>
        <v>18.3734</v>
      </c>
      <c r="J17" s="14">
        <f>_xll.BDH("ALNY US Equity","TOT_DEBT_TO_TOT_CAP","FQ3 2020","FQ3 2020","Currency=USD","Period=FQ","BEST_FPERIOD_OVERRIDE=FQ","FILING_STATUS=MR","Sort=A","Dates=H","DateFormat=P","Fill=—","Direction=H","UseDPDF=Y")</f>
        <v>21.331099999999999</v>
      </c>
      <c r="K17" s="14">
        <f>_xll.BDH("ALNY US Equity","TOT_DEBT_TO_TOT_CAP","FQ4 2020","FQ4 2020","Currency=USD","Period=FQ","BEST_FPERIOD_OVERRIDE=FQ","FILING_STATUS=MR","Sort=A","Dates=H","DateFormat=P","Fill=—","Direction=H","UseDPDF=Y")</f>
        <v>33.899900000000002</v>
      </c>
      <c r="L17" s="14">
        <f>_xll.BDH("ALNY US Equity","TOT_DEBT_TO_TOT_CAP","FQ1 2021","FQ1 2021","Currency=USD","Period=FQ","BEST_FPERIOD_OVERRIDE=FQ","FILING_STATUS=MR","Sort=A","Dates=H","DateFormat=P","Fill=—","Direction=H","UseDPDF=Y")</f>
        <v>35.890999999999998</v>
      </c>
      <c r="M17" s="14">
        <f>_xll.BDH("ALNY US Equity","TOT_DEBT_TO_TOT_CAP","FQ2 2021","FQ2 2021","Currency=USD","Period=FQ","BEST_FPERIOD_OVERRIDE=FQ","FILING_STATUS=MR","Sort=A","Dates=H","DateFormat=P","Fill=—","Direction=H","UseDPDF=Y")</f>
        <v>47.1417</v>
      </c>
      <c r="N17" s="14">
        <f>_xll.BDH("ALNY US Equity","TOT_DEBT_TO_TOT_CAP","FQ3 2021","FQ3 2021","Currency=USD","Period=FQ","BEST_FPERIOD_OVERRIDE=FQ","FILING_STATUS=MR","Sort=A","Dates=H","DateFormat=P","Fill=—","Direction=H","UseDPDF=Y")</f>
        <v>50.15</v>
      </c>
      <c r="O17" s="14">
        <f>_xll.BDH("ALNY US Equity","TOT_DEBT_TO_TOT_CAP","FQ4 2021","FQ4 2021","Currency=USD","Period=FQ","BEST_FPERIOD_OVERRIDE=FQ","FILING_STATUS=MR","Sort=A","Dates=H","DateFormat=P","Fill=—","Direction=H","UseDPDF=Y")</f>
        <v>62.908000000000001</v>
      </c>
      <c r="P17" s="14">
        <f>_xll.BDH("ALNY US Equity","TOT_DEBT_TO_TOT_CAP","FQ1 2022","FQ1 2022","Currency=USD","Period=FQ","BEST_FPERIOD_OVERRIDE=FQ","FILING_STATUS=MR","Sort=A","Dates=H","DateFormat=P","Fill=—","Direction=H","UseDPDF=Y")</f>
        <v>71.274600000000007</v>
      </c>
      <c r="Q17" s="14">
        <f>_xll.BDH("ALNY US Equity","TOT_DEBT_TO_TOT_CAP","FQ2 2022","FQ2 2022","Currency=USD","Period=FQ","BEST_FPERIOD_OVERRIDE=FQ","FILING_STATUS=MR","Sort=A","Dates=H","DateFormat=P","Fill=—","Direction=H","UseDPDF=Y")</f>
        <v>84.915400000000005</v>
      </c>
      <c r="R17" s="14">
        <f>_xll.BDH("ALNY US Equity","TOT_DEBT_TO_TOT_CAP","FQ3 2022","FQ3 2022","Currency=USD","Period=FQ","BEST_FPERIOD_OVERRIDE=FQ","FILING_STATUS=MR","Sort=A","Dates=H","DateFormat=P","Fill=—","Direction=H","UseDPDF=Y")</f>
        <v>104.5945</v>
      </c>
      <c r="S17" s="14">
        <f>_xll.BDH("ALNY US Equity","TOT_DEBT_TO_TOT_CAP","FQ4 2022","FQ4 2022","Currency=USD","Period=FQ","BEST_FPERIOD_OVERRIDE=FQ","FILING_STATUS=MR","Sort=A","Dates=H","DateFormat=P","Fill=—","Direction=H","UseDPDF=Y")</f>
        <v>113.6161</v>
      </c>
      <c r="T17" s="14">
        <f>_xll.BDH("ALNY US Equity","TOT_DEBT_TO_TOT_CAP","FQ1 2023","FQ1 2023","Currency=USD","Period=FQ","BEST_FPERIOD_OVERRIDE=FQ","FILING_STATUS=MR","Sort=A","Dates=H","DateFormat=P","Fill=—","Direction=H","UseDPDF=Y")</f>
        <v>124.4312</v>
      </c>
      <c r="U17" s="14">
        <f>_xll.BDH("ALNY US Equity","TOT_DEBT_TO_TOT_CAP","FQ2 2023","FQ2 2023","Currency=USD","Period=FQ","BEST_FPERIOD_OVERRIDE=FQ","FILING_STATUS=MR","Sort=A","Dates=H","DateFormat=P","Fill=—","Direction=H","UseDPDF=Y")</f>
        <v>145.03749999999999</v>
      </c>
      <c r="V17" s="14">
        <f>_xll.BDH("ALNY US Equity","TOT_DEBT_TO_TOT_CAP","FQ3 2023","FQ3 2023","Currency=USD","Period=FQ","BEST_FPERIOD_OVERRIDE=FQ","FILING_STATUS=MR","Sort=A","Dates=H","DateFormat=P","Fill=—","Direction=H","UseDPDF=Y")</f>
        <v>114.5093</v>
      </c>
      <c r="W17" s="14">
        <f>_xll.BDH("ALNY US Equity","TOT_DEBT_TO_TOT_CAP","FQ4 2023","FQ4 2023","Currency=USD","Period=FQ","BEST_FPERIOD_OVERRIDE=FQ","FILING_STATUS=MR","Sort=A","Dates=H","DateFormat=P","Fill=—","Direction=H","UseDPDF=Y")</f>
        <v>120.3407</v>
      </c>
      <c r="X17" s="14">
        <f>_xll.BDH("ALNY US Equity","TOT_DEBT_TO_TOT_CAP","FQ1 2024","FQ1 2024","Currency=USD","Period=FQ","BEST_FPERIOD_OVERRIDE=FQ","FILING_STATUS=MR","Sort=A","Dates=H","DateFormat=P","Fill=—","Direction=H","UseDPDF=Y")</f>
        <v>120.2662</v>
      </c>
      <c r="Y17" s="14">
        <f>_xll.BDH("ALNY US Equity","TOT_DEBT_TO_TOT_CAP","FQ2 2024","FQ2 2024","Currency=USD","Period=FQ","BEST_FPERIOD_OVERRIDE=FQ","FILING_STATUS=MR","Sort=A","Dates=H","DateFormat=P","Fill=—","Direction=H","UseDPDF=Y")</f>
        <v>100.116</v>
      </c>
      <c r="Z17" s="14">
        <f>_xll.BDH("ALNY US Equity","TOT_DEBT_TO_TOT_CAP","FQ3 2024","FQ3 2024","Currency=USD","Period=FQ","BEST_FPERIOD_OVERRIDE=FQ","FILING_STATUS=MR","Sort=A","Dates=H","DateFormat=P","Fill=—","Direction=H","UseDPDF=Y")</f>
        <v>97.575000000000003</v>
      </c>
      <c r="AA17" s="14">
        <f>_xll.BDH("ALNY US Equity","TOT_DEBT_TO_TOT_CAP","FQ4 2024","FQ4 2024","Currency=USD","Period=FQ","BEST_FPERIOD_OVERRIDE=FQ","FILING_STATUS=MR","Sort=A","Dates=H","DateFormat=P","Fill=—","Direction=H","UseDPDF=Y")</f>
        <v>95.078400000000002</v>
      </c>
    </row>
    <row r="18" spans="1:27" x14ac:dyDescent="0.25">
      <c r="A18" s="10" t="s">
        <v>1474</v>
      </c>
      <c r="B18" s="10" t="s">
        <v>1475</v>
      </c>
      <c r="C18" s="14">
        <f>_xll.BDH("ALNY US Equity","TOT_DEBT_TO_TOT_ASSET","FQ4 2018","FQ4 2018","Currency=USD","Period=FQ","BEST_FPERIOD_OVERRIDE=FQ","FILING_STATUS=MR","Sort=A","Dates=H","DateFormat=P","Fill=—","Direction=H","UseDPDF=Y")</f>
        <v>1.905</v>
      </c>
      <c r="D18" s="14">
        <f>_xll.BDH("ALNY US Equity","TOT_DEBT_TO_TOT_ASSET","FQ1 2019","FQ1 2019","Currency=USD","Period=FQ","BEST_FPERIOD_OVERRIDE=FQ","FILING_STATUS=MR","Sort=A","Dates=H","DateFormat=P","Fill=—","Direction=H","UseDPDF=Y")</f>
        <v>16.349399999999999</v>
      </c>
      <c r="E18" s="14">
        <f>_xll.BDH("ALNY US Equity","TOT_DEBT_TO_TOT_ASSET","FQ2 2019","FQ2 2019","Currency=USD","Period=FQ","BEST_FPERIOD_OVERRIDE=FQ","FILING_STATUS=MR","Sort=A","Dates=H","DateFormat=P","Fill=—","Direction=H","UseDPDF=Y")</f>
        <v>12.389799999999999</v>
      </c>
      <c r="F18" s="14">
        <f>_xll.BDH("ALNY US Equity","TOT_DEBT_TO_TOT_ASSET","FQ3 2019","FQ3 2019","Currency=USD","Period=FQ","BEST_FPERIOD_OVERRIDE=FQ","FILING_STATUS=MR","Sort=A","Dates=H","DateFormat=P","Fill=—","Direction=H","UseDPDF=Y")</f>
        <v>11.985300000000001</v>
      </c>
      <c r="G18" s="14">
        <f>_xll.BDH("ALNY US Equity","TOT_DEBT_TO_TOT_ASSET","FQ4 2019","FQ4 2019","Currency=USD","Period=FQ","BEST_FPERIOD_OVERRIDE=FQ","FILING_STATUS=MR","Sort=A","Dates=H","DateFormat=P","Fill=—","Direction=H","UseDPDF=Y")</f>
        <v>12.685</v>
      </c>
      <c r="H18" s="14">
        <f>_xll.BDH("ALNY US Equity","TOT_DEBT_TO_TOT_ASSET","FQ1 2020","FQ1 2020","Currency=USD","Period=FQ","BEST_FPERIOD_OVERRIDE=FQ","FILING_STATUS=MR","Sort=A","Dates=H","DateFormat=P","Fill=—","Direction=H","UseDPDF=Y")</f>
        <v>13.371700000000001</v>
      </c>
      <c r="I18" s="14">
        <f>_xll.BDH("ALNY US Equity","TOT_DEBT_TO_TOT_ASSET","FQ2 2020","FQ2 2020","Currency=USD","Period=FQ","BEST_FPERIOD_OVERRIDE=FQ","FILING_STATUS=MR","Sort=A","Dates=H","DateFormat=P","Fill=—","Direction=H","UseDPDF=Y")</f>
        <v>9.3369999999999997</v>
      </c>
      <c r="J18" s="14">
        <f>_xll.BDH("ALNY US Equity","TOT_DEBT_TO_TOT_ASSET","FQ3 2020","FQ3 2020","Currency=USD","Period=FQ","BEST_FPERIOD_OVERRIDE=FQ","FILING_STATUS=MR","Sort=A","Dates=H","DateFormat=P","Fill=—","Direction=H","UseDPDF=Y")</f>
        <v>9.9614999999999991</v>
      </c>
      <c r="K18" s="14">
        <f>_xll.BDH("ALNY US Equity","TOT_DEBT_TO_TOT_ASSET","FQ4 2020","FQ4 2020","Currency=USD","Period=FQ","BEST_FPERIOD_OVERRIDE=FQ","FILING_STATUS=MR","Sort=A","Dates=H","DateFormat=P","Fill=—","Direction=H","UseDPDF=Y")</f>
        <v>15.2973</v>
      </c>
      <c r="L18" s="14">
        <f>_xll.BDH("ALNY US Equity","TOT_DEBT_TO_TOT_ASSET","FQ1 2021","FQ1 2021","Currency=USD","Period=FQ","BEST_FPERIOD_OVERRIDE=FQ","FILING_STATUS=MR","Sort=A","Dates=H","DateFormat=P","Fill=—","Direction=H","UseDPDF=Y")</f>
        <v>15.928699999999999</v>
      </c>
      <c r="M18" s="14">
        <f>_xll.BDH("ALNY US Equity","TOT_DEBT_TO_TOT_ASSET","FQ2 2021","FQ2 2021","Currency=USD","Period=FQ","BEST_FPERIOD_OVERRIDE=FQ","FILING_STATUS=MR","Sort=A","Dates=H","DateFormat=P","Fill=—","Direction=H","UseDPDF=Y")</f>
        <v>21.686499999999999</v>
      </c>
      <c r="N18" s="14">
        <f>_xll.BDH("ALNY US Equity","TOT_DEBT_TO_TOT_ASSET","FQ3 2021","FQ3 2021","Currency=USD","Period=FQ","BEST_FPERIOD_OVERRIDE=FQ","FILING_STATUS=MR","Sort=A","Dates=H","DateFormat=P","Fill=—","Direction=H","UseDPDF=Y")</f>
        <v>21.900099999999998</v>
      </c>
      <c r="O18" s="14">
        <f>_xll.BDH("ALNY US Equity","TOT_DEBT_TO_TOT_ASSET","FQ4 2021","FQ4 2021","Currency=USD","Period=FQ","BEST_FPERIOD_OVERRIDE=FQ","FILING_STATUS=MR","Sort=A","Dates=H","DateFormat=P","Fill=—","Direction=H","UseDPDF=Y")</f>
        <v>27.381499999999999</v>
      </c>
      <c r="P18" s="14">
        <f>_xll.BDH("ALNY US Equity","TOT_DEBT_TO_TOT_ASSET","FQ1 2022","FQ1 2022","Currency=USD","Period=FQ","BEST_FPERIOD_OVERRIDE=FQ","FILING_STATUS=MR","Sort=A","Dates=H","DateFormat=P","Fill=—","Direction=H","UseDPDF=Y")</f>
        <v>28.990100000000002</v>
      </c>
      <c r="Q18" s="14">
        <f>_xll.BDH("ALNY US Equity","TOT_DEBT_TO_TOT_ASSET","FQ2 2022","FQ2 2022","Currency=USD","Period=FQ","BEST_FPERIOD_OVERRIDE=FQ","FILING_STATUS=MR","Sort=A","Dates=H","DateFormat=P","Fill=—","Direction=H","UseDPDF=Y")</f>
        <v>29.755299999999998</v>
      </c>
      <c r="R18" s="14">
        <f>_xll.BDH("ALNY US Equity","TOT_DEBT_TO_TOT_ASSET","FQ3 2022","FQ3 2022","Currency=USD","Period=FQ","BEST_FPERIOD_OVERRIDE=FQ","FILING_STATUS=MR","Sort=A","Dates=H","DateFormat=P","Fill=—","Direction=H","UseDPDF=Y")</f>
        <v>43.554900000000004</v>
      </c>
      <c r="S18" s="14">
        <f>_xll.BDH("ALNY US Equity","TOT_DEBT_TO_TOT_ASSET","FQ4 2022","FQ4 2022","Currency=USD","Period=FQ","BEST_FPERIOD_OVERRIDE=FQ","FILING_STATUS=MR","Sort=A","Dates=H","DateFormat=P","Fill=—","Direction=H","UseDPDF=Y")</f>
        <v>37.228299999999997</v>
      </c>
      <c r="T18" s="14">
        <f>_xll.BDH("ALNY US Equity","TOT_DEBT_TO_TOT_ASSET","FQ1 2023","FQ1 2023","Currency=USD","Period=FQ","BEST_FPERIOD_OVERRIDE=FQ","FILING_STATUS=MR","Sort=A","Dates=H","DateFormat=P","Fill=—","Direction=H","UseDPDF=Y")</f>
        <v>38.925800000000002</v>
      </c>
      <c r="U18" s="14">
        <f>_xll.BDH("ALNY US Equity","TOT_DEBT_TO_TOT_ASSET","FQ2 2023","FQ2 2023","Currency=USD","Period=FQ","BEST_FPERIOD_OVERRIDE=FQ","FILING_STATUS=MR","Sort=A","Dates=H","DateFormat=P","Fill=—","Direction=H","UseDPDF=Y")</f>
        <v>38.629600000000003</v>
      </c>
      <c r="V18" s="14">
        <f>_xll.BDH("ALNY US Equity","TOT_DEBT_TO_TOT_ASSET","FQ3 2023","FQ3 2023","Currency=USD","Period=FQ","BEST_FPERIOD_OVERRIDE=FQ","FILING_STATUS=MR","Sort=A","Dates=H","DateFormat=P","Fill=—","Direction=H","UseDPDF=Y")</f>
        <v>34.097700000000003</v>
      </c>
      <c r="W18" s="14">
        <f>_xll.BDH("ALNY US Equity","TOT_DEBT_TO_TOT_ASSET","FQ4 2023","FQ4 2023","Currency=USD","Period=FQ","BEST_FPERIOD_OVERRIDE=FQ","FILING_STATUS=MR","Sort=A","Dates=H","DateFormat=P","Fill=—","Direction=H","UseDPDF=Y")</f>
        <v>34.084299999999999</v>
      </c>
      <c r="X18" s="14">
        <f>_xll.BDH("ALNY US Equity","TOT_DEBT_TO_TOT_ASSET","FQ1 2024","FQ1 2024","Currency=USD","Period=FQ","BEST_FPERIOD_OVERRIDE=FQ","FILING_STATUS=MR","Sort=A","Dates=H","DateFormat=P","Fill=—","Direction=H","UseDPDF=Y")</f>
        <v>34.0246</v>
      </c>
      <c r="Y18" s="14">
        <f>_xll.BDH("ALNY US Equity","TOT_DEBT_TO_TOT_ASSET","FQ2 2024","FQ2 2024","Currency=USD","Period=FQ","BEST_FPERIOD_OVERRIDE=FQ","FILING_STATUS=MR","Sort=A","Dates=H","DateFormat=P","Fill=—","Direction=H","UseDPDF=Y")</f>
        <v>65.997900000000001</v>
      </c>
      <c r="Z18" s="14">
        <f>_xll.BDH("ALNY US Equity","TOT_DEBT_TO_TOT_ASSET","FQ3 2024","FQ3 2024","Currency=USD","Period=FQ","BEST_FPERIOD_OVERRIDE=FQ","FILING_STATUS=MR","Sort=A","Dates=H","DateFormat=P","Fill=—","Direction=H","UseDPDF=Y")</f>
        <v>30.9588</v>
      </c>
      <c r="AA18" s="14">
        <f>_xll.BDH("ALNY US Equity","TOT_DEBT_TO_TOT_ASSET","FQ4 2024","FQ4 2024","Currency=USD","Period=FQ","BEST_FPERIOD_OVERRIDE=FQ","FILING_STATUS=MR","Sort=A","Dates=H","DateFormat=P","Fill=—","Direction=H","UseDPDF=Y")</f>
        <v>30.567299999999999</v>
      </c>
    </row>
    <row r="19" spans="1:27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0" t="s">
        <v>1510</v>
      </c>
      <c r="B20" s="10" t="s">
        <v>1511</v>
      </c>
      <c r="C20" s="14">
        <f>_xll.BDH("ALNY US Equity","CASH_FLOW_TO_TOT_LIAB","FQ4 2018","FQ4 2018","Currency=USD","Period=FQ","BEST_FPERIOD_OVERRIDE=FQ","FILING_STATUS=MR","Sort=A","Dates=H","DateFormat=P","Fill=—","Direction=H","UseDPDF=Y")</f>
        <v>-206.20959999999999</v>
      </c>
      <c r="D20" s="14">
        <f>_xll.BDH("ALNY US Equity","CASH_FLOW_TO_TOT_LIAB","FQ1 2019","FQ1 2019","Currency=USD","Period=FQ","BEST_FPERIOD_OVERRIDE=FQ","FILING_STATUS=MR","Sort=A","Dates=H","DateFormat=P","Fill=—","Direction=H","UseDPDF=Y")</f>
        <v>-127.5044</v>
      </c>
      <c r="E20" s="14">
        <f>_xll.BDH("ALNY US Equity","CASH_FLOW_TO_TOT_LIAB","FQ2 2019","FQ2 2019","Currency=USD","Period=FQ","BEST_FPERIOD_OVERRIDE=FQ","FILING_STATUS=MR","Sort=A","Dates=H","DateFormat=P","Fill=—","Direction=H","UseDPDF=Y")</f>
        <v>-21.275700000000001</v>
      </c>
      <c r="F20" s="14">
        <f>_xll.BDH("ALNY US Equity","CASH_FLOW_TO_TOT_LIAB","FQ3 2019","FQ3 2019","Currency=USD","Period=FQ","BEST_FPERIOD_OVERRIDE=FQ","FILING_STATUS=MR","Sort=A","Dates=H","DateFormat=P","Fill=—","Direction=H","UseDPDF=Y")</f>
        <v>-24.921900000000001</v>
      </c>
      <c r="G20" s="14">
        <f>_xll.BDH("ALNY US Equity","CASH_FLOW_TO_TOT_LIAB","FQ4 2019","FQ4 2019","Currency=USD","Period=FQ","BEST_FPERIOD_OVERRIDE=FQ","FILING_STATUS=MR","Sort=A","Dates=H","DateFormat=P","Fill=—","Direction=H","UseDPDF=Y")</f>
        <v>-29.110700000000001</v>
      </c>
      <c r="H20" s="14">
        <f>_xll.BDH("ALNY US Equity","CASH_FLOW_TO_TOT_LIAB","FQ1 2020","FQ1 2020","Currency=USD","Period=FQ","BEST_FPERIOD_OVERRIDE=FQ","FILING_STATUS=MR","Sort=A","Dates=H","DateFormat=P","Fill=—","Direction=H","UseDPDF=Y")</f>
        <v>-36.141500000000001</v>
      </c>
      <c r="I20" s="14">
        <f>_xll.BDH("ALNY US Equity","CASH_FLOW_TO_TOT_LIAB","FQ2 2020","FQ2 2020","Currency=USD","Period=FQ","BEST_FPERIOD_OVERRIDE=FQ","FILING_STATUS=MR","Sort=A","Dates=H","DateFormat=P","Fill=—","Direction=H","UseDPDF=Y")</f>
        <v>-38.493200000000002</v>
      </c>
      <c r="J20" s="14">
        <f>_xll.BDH("ALNY US Equity","CASH_FLOW_TO_TOT_LIAB","FQ3 2020","FQ3 2020","Currency=USD","Period=FQ","BEST_FPERIOD_OVERRIDE=FQ","FILING_STATUS=MR","Sort=A","Dates=H","DateFormat=P","Fill=—","Direction=H","UseDPDF=Y")</f>
        <v>-32.873399999999997</v>
      </c>
      <c r="K20" s="14">
        <f>_xll.BDH("ALNY US Equity","CASH_FLOW_TO_TOT_LIAB","FQ4 2020","FQ4 2020","Currency=USD","Period=FQ","BEST_FPERIOD_OVERRIDE=FQ","FILING_STATUS=MR","Sort=A","Dates=H","DateFormat=P","Fill=—","Direction=H","UseDPDF=Y")</f>
        <v>-25.721800000000002</v>
      </c>
      <c r="L20" s="14">
        <f>_xll.BDH("ALNY US Equity","CASH_FLOW_TO_TOT_LIAB","FQ1 2021","FQ1 2021","Currency=USD","Period=FQ","BEST_FPERIOD_OVERRIDE=FQ","FILING_STATUS=MR","Sort=A","Dates=H","DateFormat=P","Fill=—","Direction=H","UseDPDF=Y")</f>
        <v>-25.9527</v>
      </c>
      <c r="M20" s="14">
        <f>_xll.BDH("ALNY US Equity","CASH_FLOW_TO_TOT_LIAB","FQ2 2021","FQ2 2021","Currency=USD","Period=FQ","BEST_FPERIOD_OVERRIDE=FQ","FILING_STATUS=MR","Sort=A","Dates=H","DateFormat=P","Fill=—","Direction=H","UseDPDF=Y")</f>
        <v>-22.250399999999999</v>
      </c>
      <c r="N20" s="14">
        <f>_xll.BDH("ALNY US Equity","CASH_FLOW_TO_TOT_LIAB","FQ3 2021","FQ3 2021","Currency=USD","Period=FQ","BEST_FPERIOD_OVERRIDE=FQ","FILING_STATUS=MR","Sort=A","Dates=H","DateFormat=P","Fill=—","Direction=H","UseDPDF=Y")</f>
        <v>-22.628900000000002</v>
      </c>
      <c r="O20" s="14">
        <f>_xll.BDH("ALNY US Equity","CASH_FLOW_TO_TOT_LIAB","FQ4 2021","FQ4 2021","Currency=USD","Period=FQ","BEST_FPERIOD_OVERRIDE=FQ","FILING_STATUS=MR","Sort=A","Dates=H","DateFormat=P","Fill=—","Direction=H","UseDPDF=Y")</f>
        <v>-21.004000000000001</v>
      </c>
      <c r="P20" s="14">
        <f>_xll.BDH("ALNY US Equity","CASH_FLOW_TO_TOT_LIAB","FQ1 2022","FQ1 2022","Currency=USD","Period=FQ","BEST_FPERIOD_OVERRIDE=FQ","FILING_STATUS=MR","Sort=A","Dates=H","DateFormat=P","Fill=—","Direction=H","UseDPDF=Y")</f>
        <v>-19.035399999999999</v>
      </c>
      <c r="Q20" s="14">
        <f>_xll.BDH("ALNY US Equity","CASH_FLOW_TO_TOT_LIAB","FQ2 2022","FQ2 2022","Currency=USD","Period=FQ","BEST_FPERIOD_OVERRIDE=FQ","FILING_STATUS=MR","Sort=A","Dates=H","DateFormat=P","Fill=—","Direction=H","UseDPDF=Y")</f>
        <v>-18.329699999999999</v>
      </c>
      <c r="R20" s="14">
        <f>_xll.BDH("ALNY US Equity","CASH_FLOW_TO_TOT_LIAB","FQ3 2022","FQ3 2022","Currency=USD","Period=FQ","BEST_FPERIOD_OVERRIDE=FQ","FILING_STATUS=MR","Sort=A","Dates=H","DateFormat=P","Fill=—","Direction=H","UseDPDF=Y")</f>
        <v>-15.5274</v>
      </c>
      <c r="S20" s="14">
        <f>_xll.BDH("ALNY US Equity","CASH_FLOW_TO_TOT_LIAB","FQ4 2022","FQ4 2022","Currency=USD","Period=FQ","BEST_FPERIOD_OVERRIDE=FQ","FILING_STATUS=MR","Sort=A","Dates=H","DateFormat=P","Fill=—","Direction=H","UseDPDF=Y")</f>
        <v>-14.610900000000001</v>
      </c>
      <c r="T20" s="14">
        <f>_xll.BDH("ALNY US Equity","CASH_FLOW_TO_TOT_LIAB","FQ1 2023","FQ1 2023","Currency=USD","Period=FQ","BEST_FPERIOD_OVERRIDE=FQ","FILING_STATUS=MR","Sort=A","Dates=H","DateFormat=P","Fill=—","Direction=H","UseDPDF=Y")</f>
        <v>-14.695399999999999</v>
      </c>
      <c r="U20" s="14">
        <f>_xll.BDH("ALNY US Equity","CASH_FLOW_TO_TOT_LIAB","FQ2 2023","FQ2 2023","Currency=USD","Period=FQ","BEST_FPERIOD_OVERRIDE=FQ","FILING_STATUS=MR","Sort=A","Dates=H","DateFormat=P","Fill=—","Direction=H","UseDPDF=Y")</f>
        <v>-12.4057</v>
      </c>
      <c r="V20" s="14">
        <f>_xll.BDH("ALNY US Equity","CASH_FLOW_TO_TOT_LIAB","FQ3 2023","FQ3 2023","Currency=USD","Period=FQ","BEST_FPERIOD_OVERRIDE=FQ","FILING_STATUS=MR","Sort=A","Dates=H","DateFormat=P","Fill=—","Direction=H","UseDPDF=Y")</f>
        <v>4.9299999999999997E-2</v>
      </c>
      <c r="W20" s="14">
        <f>_xll.BDH("ALNY US Equity","CASH_FLOW_TO_TOT_LIAB","FQ4 2023","FQ4 2023","Currency=USD","Period=FQ","BEST_FPERIOD_OVERRIDE=FQ","FILING_STATUS=MR","Sort=A","Dates=H","DateFormat=P","Fill=—","Direction=H","UseDPDF=Y")</f>
        <v>2.5714000000000001</v>
      </c>
      <c r="X20" s="14">
        <f>_xll.BDH("ALNY US Equity","CASH_FLOW_TO_TOT_LIAB","FQ1 2024","FQ1 2024","Currency=USD","Period=FQ","BEST_FPERIOD_OVERRIDE=FQ","FILING_STATUS=MR","Sort=A","Dates=H","DateFormat=P","Fill=—","Direction=H","UseDPDF=Y")</f>
        <v>4.6768999999999998</v>
      </c>
      <c r="Y20" s="14">
        <f>_xll.BDH("ALNY US Equity","CASH_FLOW_TO_TOT_LIAB","FQ2 2024","FQ2 2024","Currency=USD","Period=FQ","BEST_FPERIOD_OVERRIDE=FQ","FILING_STATUS=MR","Sort=A","Dates=H","DateFormat=P","Fill=—","Direction=H","UseDPDF=Y")</f>
        <v>9.2769999999999992</v>
      </c>
      <c r="Z20" s="14">
        <f>_xll.BDH("ALNY US Equity","CASH_FLOW_TO_TOT_LIAB","FQ3 2024","FQ3 2024","Currency=USD","Period=FQ","BEST_FPERIOD_OVERRIDE=FQ","FILING_STATUS=MR","Sort=A","Dates=H","DateFormat=P","Fill=—","Direction=H","UseDPDF=Y")</f>
        <v>1.3553999999999999</v>
      </c>
      <c r="AA20" s="14">
        <f>_xll.BDH("ALNY US Equity","CASH_FLOW_TO_TOT_LIAB","FQ4 2024","FQ4 2024","Currency=USD","Period=FQ","BEST_FPERIOD_OVERRIDE=FQ","FILING_STATUS=MR","Sort=A","Dates=H","DateFormat=P","Fill=—","Direction=H","UseDPDF=Y")</f>
        <v>-0.19919999999999999</v>
      </c>
    </row>
    <row r="21" spans="1:27" x14ac:dyDescent="0.25">
      <c r="A21" s="10" t="s">
        <v>1512</v>
      </c>
      <c r="B21" s="10" t="s">
        <v>1513</v>
      </c>
      <c r="C21" s="14">
        <f>_xll.BDH("ALNY US Equity","CAP_EXPEND_RATIO","FQ4 2018","FQ4 2018","Currency=USD","Period=FQ","BEST_FPERIOD_OVERRIDE=FQ","FILING_STATUS=MR","Sort=A","Dates=H","DateFormat=P","Fill=—","Direction=H","UseDPDF=Y")</f>
        <v>-4.0107999999999997</v>
      </c>
      <c r="D21" s="14">
        <f>_xll.BDH("ALNY US Equity","CAP_EXPEND_RATIO","FQ1 2019","FQ1 2019","Currency=USD","Period=FQ","BEST_FPERIOD_OVERRIDE=FQ","FILING_STATUS=MR","Sort=A","Dates=H","DateFormat=P","Fill=—","Direction=H","UseDPDF=Y")</f>
        <v>-4.2796000000000003</v>
      </c>
      <c r="E21" s="14">
        <f>_xll.BDH("ALNY US Equity","CAP_EXPEND_RATIO","FQ2 2019","FQ2 2019","Currency=USD","Period=FQ","BEST_FPERIOD_OVERRIDE=FQ","FILING_STATUS=MR","Sort=A","Dates=H","DateFormat=P","Fill=—","Direction=H","UseDPDF=Y")</f>
        <v>13.589499999999999</v>
      </c>
      <c r="F21" s="14">
        <f>_xll.BDH("ALNY US Equity","CAP_EXPEND_RATIO","FQ3 2019","FQ3 2019","Currency=USD","Period=FQ","BEST_FPERIOD_OVERRIDE=FQ","FILING_STATUS=MR","Sort=A","Dates=H","DateFormat=P","Fill=—","Direction=H","UseDPDF=Y")</f>
        <v>-5.0650000000000004</v>
      </c>
      <c r="G21" s="14">
        <f>_xll.BDH("ALNY US Equity","CAP_EXPEND_RATIO","FQ4 2019","FQ4 2019","Currency=USD","Period=FQ","BEST_FPERIOD_OVERRIDE=FQ","FILING_STATUS=MR","Sort=A","Dates=H","DateFormat=P","Fill=—","Direction=H","UseDPDF=Y")</f>
        <v>-5.0503999999999998</v>
      </c>
      <c r="H21" s="14">
        <f>_xll.BDH("ALNY US Equity","CAP_EXPEND_RATIO","FQ1 2020","FQ1 2020","Currency=USD","Period=FQ","BEST_FPERIOD_OVERRIDE=FQ","FILING_STATUS=MR","Sort=A","Dates=H","DateFormat=P","Fill=—","Direction=H","UseDPDF=Y")</f>
        <v>-12.548400000000001</v>
      </c>
      <c r="I21" s="14">
        <f>_xll.BDH("ALNY US Equity","CAP_EXPEND_RATIO","FQ2 2020","FQ2 2020","Currency=USD","Period=FQ","BEST_FPERIOD_OVERRIDE=FQ","FILING_STATUS=MR","Sort=A","Dates=H","DateFormat=P","Fill=—","Direction=H","UseDPDF=Y")</f>
        <v>-8.1240000000000006</v>
      </c>
      <c r="J21" s="14">
        <f>_xll.BDH("ALNY US Equity","CAP_EXPEND_RATIO","FQ3 2020","FQ3 2020","Currency=USD","Period=FQ","BEST_FPERIOD_OVERRIDE=FQ","FILING_STATUS=MR","Sort=A","Dates=H","DateFormat=P","Fill=—","Direction=H","UseDPDF=Y")</f>
        <v>-8.8843999999999994</v>
      </c>
      <c r="K21" s="14">
        <f>_xll.BDH("ALNY US Equity","CAP_EXPEND_RATIO","FQ4 2020","FQ4 2020","Currency=USD","Period=FQ","BEST_FPERIOD_OVERRIDE=FQ","FILING_STATUS=MR","Sort=A","Dates=H","DateFormat=P","Fill=—","Direction=H","UseDPDF=Y")</f>
        <v>-5.6832000000000003</v>
      </c>
      <c r="L21" s="14">
        <f>_xll.BDH("ALNY US Equity","CAP_EXPEND_RATIO","FQ1 2021","FQ1 2021","Currency=USD","Period=FQ","BEST_FPERIOD_OVERRIDE=FQ","FILING_STATUS=MR","Sort=A","Dates=H","DateFormat=P","Fill=—","Direction=H","UseDPDF=Y")</f>
        <v>-13.7187</v>
      </c>
      <c r="M21" s="14">
        <f>_xll.BDH("ALNY US Equity","CAP_EXPEND_RATIO","FQ2 2021","FQ2 2021","Currency=USD","Period=FQ","BEST_FPERIOD_OVERRIDE=FQ","FILING_STATUS=MR","Sort=A","Dates=H","DateFormat=P","Fill=—","Direction=H","UseDPDF=Y")</f>
        <v>-10.8355</v>
      </c>
      <c r="N21" s="14">
        <f>_xll.BDH("ALNY US Equity","CAP_EXPEND_RATIO","FQ3 2021","FQ3 2021","Currency=USD","Period=FQ","BEST_FPERIOD_OVERRIDE=FQ","FILING_STATUS=MR","Sort=A","Dates=H","DateFormat=P","Fill=—","Direction=H","UseDPDF=Y")</f>
        <v>-5.1429999999999998</v>
      </c>
      <c r="O21" s="14">
        <f>_xll.BDH("ALNY US Equity","CAP_EXPEND_RATIO","FQ4 2021","FQ4 2021","Currency=USD","Period=FQ","BEST_FPERIOD_OVERRIDE=FQ","FILING_STATUS=MR","Sort=A","Dates=H","DateFormat=P","Fill=—","Direction=H","UseDPDF=Y")</f>
        <v>-6.8601000000000001</v>
      </c>
      <c r="P21" s="14">
        <f>_xll.BDH("ALNY US Equity","CAP_EXPEND_RATIO","FQ1 2022","FQ1 2022","Currency=USD","Period=FQ","BEST_FPERIOD_OVERRIDE=FQ","FILING_STATUS=MR","Sort=A","Dates=H","DateFormat=P","Fill=—","Direction=H","UseDPDF=Y")</f>
        <v>-9.5858000000000008</v>
      </c>
      <c r="Q21" s="14">
        <f>_xll.BDH("ALNY US Equity","CAP_EXPEND_RATIO","FQ2 2022","FQ2 2022","Currency=USD","Period=FQ","BEST_FPERIOD_OVERRIDE=FQ","FILING_STATUS=MR","Sort=A","Dates=H","DateFormat=P","Fill=—","Direction=H","UseDPDF=Y")</f>
        <v>-7.6498999999999997</v>
      </c>
      <c r="R21" s="14">
        <f>_xll.BDH("ALNY US Equity","CAP_EXPEND_RATIO","FQ3 2022","FQ3 2022","Currency=USD","Period=FQ","BEST_FPERIOD_OVERRIDE=FQ","FILING_STATUS=MR","Sort=A","Dates=H","DateFormat=P","Fill=—","Direction=H","UseDPDF=Y")</f>
        <v>-6.9827000000000004</v>
      </c>
      <c r="S21" s="14">
        <f>_xll.BDH("ALNY US Equity","CAP_EXPEND_RATIO","FQ4 2022","FQ4 2022","Currency=USD","Period=FQ","BEST_FPERIOD_OVERRIDE=FQ","FILING_STATUS=MR","Sort=A","Dates=H","DateFormat=P","Fill=—","Direction=H","UseDPDF=Y")</f>
        <v>-6.1002000000000001</v>
      </c>
      <c r="T21" s="14">
        <f>_xll.BDH("ALNY US Equity","CAP_EXPEND_RATIO","FQ1 2023","FQ1 2023","Currency=USD","Period=FQ","BEST_FPERIOD_OVERRIDE=FQ","FILING_STATUS=MR","Sort=A","Dates=H","DateFormat=P","Fill=—","Direction=H","UseDPDF=Y")</f>
        <v>-11.984400000000001</v>
      </c>
      <c r="U21" s="14">
        <f>_xll.BDH("ALNY US Equity","CAP_EXPEND_RATIO","FQ2 2023","FQ2 2023","Currency=USD","Period=FQ","BEST_FPERIOD_OVERRIDE=FQ","FILING_STATUS=MR","Sort=A","Dates=H","DateFormat=P","Fill=—","Direction=H","UseDPDF=Y")</f>
        <v>-3.7054</v>
      </c>
      <c r="V21" s="14">
        <f>_xll.BDH("ALNY US Equity","CAP_EXPEND_RATIO","FQ3 2023","FQ3 2023","Currency=USD","Period=FQ","BEST_FPERIOD_OVERRIDE=FQ","FILING_STATUS=MR","Sort=A","Dates=H","DateFormat=P","Fill=—","Direction=H","UseDPDF=Y")</f>
        <v>21.028099999999998</v>
      </c>
      <c r="W21" s="14">
        <f>_xll.BDH("ALNY US Equity","CAP_EXPEND_RATIO","FQ4 2023","FQ4 2023","Currency=USD","Period=FQ","BEST_FPERIOD_OVERRIDE=FQ","FILING_STATUS=MR","Sort=A","Dates=H","DateFormat=P","Fill=—","Direction=H","UseDPDF=Y")</f>
        <v>-1.9461999999999999</v>
      </c>
      <c r="X21" s="14">
        <f>_xll.BDH("ALNY US Equity","CAP_EXPEND_RATIO","FQ1 2024","FQ1 2024","Currency=USD","Period=FQ","BEST_FPERIOD_OVERRIDE=FQ","FILING_STATUS=MR","Sort=A","Dates=H","DateFormat=P","Fill=—","Direction=H","UseDPDF=Y")</f>
        <v>-6.2834000000000003</v>
      </c>
      <c r="Y21" s="14">
        <f>_xll.BDH("ALNY US Equity","CAP_EXPEND_RATIO","FQ2 2024","FQ2 2024","Currency=USD","Period=FQ","BEST_FPERIOD_OVERRIDE=FQ","FILING_STATUS=MR","Sort=A","Dates=H","DateFormat=P","Fill=—","Direction=H","UseDPDF=Y")</f>
        <v>15.4849</v>
      </c>
      <c r="Z21" s="14">
        <f>_xll.BDH("ALNY US Equity","CAP_EXPEND_RATIO","FQ3 2024","FQ3 2024","Currency=USD","Period=FQ","BEST_FPERIOD_OVERRIDE=FQ","FILING_STATUS=MR","Sort=A","Dates=H","DateFormat=P","Fill=—","Direction=H","UseDPDF=Y")</f>
        <v>10.426299999999999</v>
      </c>
      <c r="AA21" s="14">
        <f>_xll.BDH("ALNY US Equity","CAP_EXPEND_RATIO","FQ4 2024","FQ4 2024","Currency=USD","Period=FQ","BEST_FPERIOD_OVERRIDE=FQ","FILING_STATUS=MR","Sort=A","Dates=H","DateFormat=P","Fill=—","Direction=H","UseDPDF=Y")</f>
        <v>-10.4093</v>
      </c>
    </row>
    <row r="22" spans="1:27" x14ac:dyDescent="0.25">
      <c r="A22" s="10" t="s">
        <v>1514</v>
      </c>
      <c r="B22" s="10" t="s">
        <v>1515</v>
      </c>
      <c r="C22" s="14">
        <f>_xll.BDH("ALNY US Equity","ALTMAN_Z_SCORE","FQ4 2018","FQ4 2018","Currency=USD","Period=FQ","BEST_FPERIOD_OVERRIDE=FQ","FILING_STATUS=MR","Sort=A","Dates=H","DateFormat=P","Fill=—","Direction=H","UseDPDF=Y")</f>
        <v>12.7919</v>
      </c>
      <c r="D22" s="14">
        <f>_xll.BDH("ALNY US Equity","ALTMAN_Z_SCORE","FQ1 2019","FQ1 2019","Currency=USD","Period=FQ","BEST_FPERIOD_OVERRIDE=FQ","FILING_STATUS=MR","Sort=A","Dates=H","DateFormat=P","Fill=—","Direction=H","UseDPDF=Y")</f>
        <v>10.042400000000001</v>
      </c>
      <c r="E22" s="14">
        <f>_xll.BDH("ALNY US Equity","ALTMAN_Z_SCORE","FQ2 2019","FQ2 2019","Currency=USD","Period=FQ","BEST_FPERIOD_OVERRIDE=FQ","FILING_STATUS=MR","Sort=A","Dates=H","DateFormat=P","Fill=—","Direction=H","UseDPDF=Y")</f>
        <v>2.8746999999999998</v>
      </c>
      <c r="F22" s="14">
        <f>_xll.BDH("ALNY US Equity","ALTMAN_Z_SCORE","FQ3 2019","FQ3 2019","Currency=USD","Period=FQ","BEST_FPERIOD_OVERRIDE=FQ","FILING_STATUS=MR","Sort=A","Dates=H","DateFormat=P","Fill=—","Direction=H","UseDPDF=Y")</f>
        <v>3.5179</v>
      </c>
      <c r="G22" s="14">
        <f>_xll.BDH("ALNY US Equity","ALTMAN_Z_SCORE","FQ4 2019","FQ4 2019","Currency=USD","Period=FQ","BEST_FPERIOD_OVERRIDE=FQ","FILING_STATUS=MR","Sort=A","Dates=H","DateFormat=P","Fill=—","Direction=H","UseDPDF=Y")</f>
        <v>5.3569000000000004</v>
      </c>
      <c r="H22" s="14">
        <f>_xll.BDH("ALNY US Equity","ALTMAN_Z_SCORE","FQ1 2020","FQ1 2020","Currency=USD","Period=FQ","BEST_FPERIOD_OVERRIDE=FQ","FILING_STATUS=MR","Sort=A","Dates=H","DateFormat=P","Fill=—","Direction=H","UseDPDF=Y")</f>
        <v>4.9310999999999998</v>
      </c>
      <c r="I22" s="14">
        <f>_xll.BDH("ALNY US Equity","ALTMAN_Z_SCORE","FQ2 2020","FQ2 2020","Currency=USD","Period=FQ","BEST_FPERIOD_OVERRIDE=FQ","FILING_STATUS=MR","Sort=A","Dates=H","DateFormat=P","Fill=—","Direction=H","UseDPDF=Y")</f>
        <v>3.3018999999999998</v>
      </c>
      <c r="J22" s="14">
        <f>_xll.BDH("ALNY US Equity","ALTMAN_Z_SCORE","FQ3 2020","FQ3 2020","Currency=USD","Period=FQ","BEST_FPERIOD_OVERRIDE=FQ","FILING_STATUS=MR","Sort=A","Dates=H","DateFormat=P","Fill=—","Direction=H","UseDPDF=Y")</f>
        <v>2.9479000000000002</v>
      </c>
      <c r="K22" s="14">
        <f>_xll.BDH("ALNY US Equity","ALTMAN_Z_SCORE","FQ4 2020","FQ4 2020","Currency=USD","Period=FQ","BEST_FPERIOD_OVERRIDE=FQ","FILING_STATUS=MR","Sort=A","Dates=H","DateFormat=P","Fill=—","Direction=H","UseDPDF=Y")</f>
        <v>1.9623999999999999</v>
      </c>
      <c r="L22" s="14">
        <f>_xll.BDH("ALNY US Equity","ALTMAN_Z_SCORE","FQ1 2021","FQ1 2021","Currency=USD","Period=FQ","BEST_FPERIOD_OVERRIDE=FQ","FILING_STATUS=MR","Sort=A","Dates=H","DateFormat=P","Fill=—","Direction=H","UseDPDF=Y")</f>
        <v>2.2854000000000001</v>
      </c>
      <c r="M22" s="14">
        <f>_xll.BDH("ALNY US Equity","ALTMAN_Z_SCORE","FQ2 2021","FQ2 2021","Currency=USD","Period=FQ","BEST_FPERIOD_OVERRIDE=FQ","FILING_STATUS=MR","Sort=A","Dates=H","DateFormat=P","Fill=—","Direction=H","UseDPDF=Y")</f>
        <v>2.7477</v>
      </c>
      <c r="N22" s="14">
        <f>_xll.BDH("ALNY US Equity","ALTMAN_Z_SCORE","FQ3 2021","FQ3 2021","Currency=USD","Period=FQ","BEST_FPERIOD_OVERRIDE=FQ","FILING_STATUS=MR","Sort=A","Dates=H","DateFormat=P","Fill=—","Direction=H","UseDPDF=Y")</f>
        <v>3.1242000000000001</v>
      </c>
      <c r="O22" s="14">
        <f>_xll.BDH("ALNY US Equity","ALTMAN_Z_SCORE","FQ4 2021","FQ4 2021","Currency=USD","Period=FQ","BEST_FPERIOD_OVERRIDE=FQ","FILING_STATUS=MR","Sort=A","Dates=H","DateFormat=P","Fill=—","Direction=H","UseDPDF=Y")</f>
        <v>2.1793</v>
      </c>
      <c r="P22" s="14">
        <f>_xll.BDH("ALNY US Equity","ALTMAN_Z_SCORE","FQ1 2022","FQ1 2022","Currency=USD","Period=FQ","BEST_FPERIOD_OVERRIDE=FQ","FILING_STATUS=MR","Sort=A","Dates=H","DateFormat=P","Fill=—","Direction=H","UseDPDF=Y")</f>
        <v>1.875</v>
      </c>
      <c r="Q22" s="14">
        <f>_xll.BDH("ALNY US Equity","ALTMAN_Z_SCORE","FQ2 2022","FQ2 2022","Currency=USD","Period=FQ","BEST_FPERIOD_OVERRIDE=FQ","FILING_STATUS=MR","Sort=A","Dates=H","DateFormat=P","Fill=—","Direction=H","UseDPDF=Y")</f>
        <v>1.0589</v>
      </c>
      <c r="R22" s="14">
        <f>_xll.BDH("ALNY US Equity","ALTMAN_Z_SCORE","FQ3 2022","FQ3 2022","Currency=USD","Period=FQ","BEST_FPERIOD_OVERRIDE=FQ","FILING_STATUS=MR","Sort=A","Dates=H","DateFormat=P","Fill=—","Direction=H","UseDPDF=Y")</f>
        <v>1.6659999999999999</v>
      </c>
      <c r="S22" s="14">
        <f>_xll.BDH("ALNY US Equity","ALTMAN_Z_SCORE","FQ4 2022","FQ4 2022","Currency=USD","Period=FQ","BEST_FPERIOD_OVERRIDE=FQ","FILING_STATUS=MR","Sort=A","Dates=H","DateFormat=P","Fill=—","Direction=H","UseDPDF=Y")</f>
        <v>2.3551000000000002</v>
      </c>
      <c r="T22" s="14">
        <f>_xll.BDH("ALNY US Equity","ALTMAN_Z_SCORE","FQ1 2023","FQ1 2023","Currency=USD","Period=FQ","BEST_FPERIOD_OVERRIDE=FQ","FILING_STATUS=MR","Sort=A","Dates=H","DateFormat=P","Fill=—","Direction=H","UseDPDF=Y")</f>
        <v>1.534</v>
      </c>
      <c r="U22" s="14">
        <f>_xll.BDH("ALNY US Equity","ALTMAN_Z_SCORE","FQ2 2023","FQ2 2023","Currency=USD","Period=FQ","BEST_FPERIOD_OVERRIDE=FQ","FILING_STATUS=MR","Sort=A","Dates=H","DateFormat=P","Fill=—","Direction=H","UseDPDF=Y")</f>
        <v>1.0103</v>
      </c>
      <c r="V22" s="14">
        <f>_xll.BDH("ALNY US Equity","ALTMAN_Z_SCORE","FQ3 2023","FQ3 2023","Currency=USD","Period=FQ","BEST_FPERIOD_OVERRIDE=FQ","FILING_STATUS=MR","Sort=A","Dates=H","DateFormat=P","Fill=—","Direction=H","UseDPDF=Y")</f>
        <v>1.5912999999999999</v>
      </c>
      <c r="W22" s="14">
        <f>_xll.BDH("ALNY US Equity","ALTMAN_Z_SCORE","FQ4 2023","FQ4 2023","Currency=USD","Period=FQ","BEST_FPERIOD_OVERRIDE=FQ","FILING_STATUS=MR","Sort=A","Dates=H","DateFormat=P","Fill=—","Direction=H","UseDPDF=Y")</f>
        <v>1.8613999999999999</v>
      </c>
      <c r="X22" s="14">
        <f>_xll.BDH("ALNY US Equity","ALTMAN_Z_SCORE","FQ1 2024","FQ1 2024","Currency=USD","Period=FQ","BEST_FPERIOD_OVERRIDE=FQ","FILING_STATUS=MR","Sort=A","Dates=H","DateFormat=P","Fill=—","Direction=H","UseDPDF=Y")</f>
        <v>1.2172000000000001</v>
      </c>
      <c r="Y22" s="14">
        <f>_xll.BDH("ALNY US Equity","ALTMAN_Z_SCORE","FQ2 2024","FQ2 2024","Currency=USD","Period=FQ","BEST_FPERIOD_OVERRIDE=FQ","FILING_STATUS=MR","Sort=A","Dates=H","DateFormat=P","Fill=—","Direction=H","UseDPDF=Y")</f>
        <v>3.4226000000000001</v>
      </c>
      <c r="Z22" s="14">
        <f>_xll.BDH("ALNY US Equity","ALTMAN_Z_SCORE","FQ3 2024","FQ3 2024","Currency=USD","Period=FQ","BEST_FPERIOD_OVERRIDE=FQ","FILING_STATUS=MR","Sort=A","Dates=H","DateFormat=P","Fill=—","Direction=H","UseDPDF=Y")</f>
        <v>3.6383999999999999</v>
      </c>
      <c r="AA22" s="14">
        <f>_xll.BDH("ALNY US Equity","ALTMAN_Z_SCORE","FQ4 2024","FQ4 2024","Currency=USD","Period=FQ","BEST_FPERIOD_OVERRIDE=FQ","FILING_STATUS=MR","Sort=A","Dates=H","DateFormat=P","Fill=—","Direction=H","UseDPDF=Y")</f>
        <v>2.9470999999999998</v>
      </c>
    </row>
    <row r="23" spans="1:27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10" t="s">
        <v>1516</v>
      </c>
      <c r="B25" s="10" t="s">
        <v>1517</v>
      </c>
      <c r="C25" s="13" t="str">
        <f>_xll.BDH("ALNY US Equity","BS_TOT_COM_PAPER_ISSUED","FQ4 2018","FQ4 2018","Currency=USD","Period=FQ","BEST_FPERIOD_OVERRIDE=FQ","FILING_STATUS=MR","SCALING_FORMAT=MLN","Sort=A","Dates=H","DateFormat=P","Fill=—","Direction=H","UseDPDF=Y")</f>
        <v>—</v>
      </c>
      <c r="D25" s="13">
        <f>_xll.BDH("ALNY US Equity","BS_TOT_COM_PAPER_ISSUED","FQ1 2019","FQ1 2019","Currency=USD","Period=FQ","BEST_FPERIOD_OVERRIDE=FQ","FILING_STATUS=MR","SCALING_FORMAT=MLN","Sort=A","Dates=H","DateFormat=P","Fill=—","Direction=H","UseDPDF=Y")</f>
        <v>34.393999999999998</v>
      </c>
      <c r="E25" s="13">
        <f>_xll.BDH("ALNY US Equity","BS_TOT_COM_PAPER_ISSUED","FQ2 2019","FQ2 2019","Currency=USD","Period=FQ","BEST_FPERIOD_OVERRIDE=FQ","FILING_STATUS=MR","SCALING_FORMAT=MLN","Sort=A","Dates=H","DateFormat=P","Fill=—","Direction=H","UseDPDF=Y")</f>
        <v>2.9889999999999999</v>
      </c>
      <c r="F25" s="13">
        <f>_xll.BDH("ALNY US Equity","BS_TOT_COM_PAPER_ISSUED","FQ3 2019","FQ3 2019","Currency=USD","Period=FQ","BEST_FPERIOD_OVERRIDE=FQ","FILING_STATUS=MR","SCALING_FORMAT=MLN","Sort=A","Dates=H","DateFormat=P","Fill=—","Direction=H","UseDPDF=Y")</f>
        <v>29.486999999999998</v>
      </c>
      <c r="G25" s="13">
        <f>_xll.BDH("ALNY US Equity","BS_TOT_COM_PAPER_ISSUED","FQ4 2019","FQ4 2019","Currency=USD","Period=FQ","BEST_FPERIOD_OVERRIDE=FQ","FILING_STATUS=MR","SCALING_FORMAT=MLN","Sort=A","Dates=H","DateFormat=P","Fill=—","Direction=H","UseDPDF=Y")</f>
        <v>39.912999999999997</v>
      </c>
      <c r="H25" s="13">
        <f>_xll.BDH("ALNY US Equity","BS_TOT_COM_PAPER_ISSUED","FQ1 2020","FQ1 2020","Currency=USD","Period=FQ","BEST_FPERIOD_OVERRIDE=FQ","FILING_STATUS=MR","SCALING_FORMAT=MLN","Sort=A","Dates=H","DateFormat=P","Fill=—","Direction=H","UseDPDF=Y")</f>
        <v>21.792000000000002</v>
      </c>
      <c r="I25" s="13">
        <f>_xll.BDH("ALNY US Equity","BS_TOT_COM_PAPER_ISSUED","FQ2 2020","FQ2 2020","Currency=USD","Period=FQ","BEST_FPERIOD_OVERRIDE=FQ","FILING_STATUS=MR","SCALING_FORMAT=MLN","Sort=A","Dates=H","DateFormat=P","Fill=—","Direction=H","UseDPDF=Y")</f>
        <v>11.613</v>
      </c>
      <c r="J25" s="13">
        <f>_xll.BDH("ALNY US Equity","BS_TOT_COM_PAPER_ISSUED","FQ3 2020","FQ3 2020","Currency=USD","Period=FQ","BEST_FPERIOD_OVERRIDE=FQ","FILING_STATUS=MR","SCALING_FORMAT=MLN","Sort=A","Dates=H","DateFormat=P","Fill=—","Direction=H","UseDPDF=Y")</f>
        <v>39.912999999999997</v>
      </c>
      <c r="K25" s="13" t="str">
        <f>_xll.BDH("ALNY US Equity","BS_TOT_COM_PAPER_ISSUED","FQ4 2020","FQ4 2020","Currency=USD","Period=FQ","BEST_FPERIOD_OVERRIDE=FQ","FILING_STATUS=MR","SCALING_FORMAT=MLN","Sort=A","Dates=H","DateFormat=P","Fill=—","Direction=H","UseDPDF=Y")</f>
        <v>—</v>
      </c>
      <c r="L25" s="13">
        <f>_xll.BDH("ALNY US Equity","BS_TOT_COM_PAPER_ISSUED","FQ1 2021","FQ1 2021","Currency=USD","Period=FQ","BEST_FPERIOD_OVERRIDE=FQ","FILING_STATUS=MR","SCALING_FORMAT=MLN","Sort=A","Dates=H","DateFormat=P","Fill=—","Direction=H","UseDPDF=Y")</f>
        <v>0</v>
      </c>
      <c r="M25" s="13">
        <f>_xll.BDH("ALNY US Equity","BS_TOT_COM_PAPER_ISSUED","FQ2 2021","FQ2 2021","Currency=USD","Period=FQ","BEST_FPERIOD_OVERRIDE=FQ","FILING_STATUS=MR","SCALING_FORMAT=MLN","Sort=A","Dates=H","DateFormat=P","Fill=—","Direction=H","UseDPDF=Y")</f>
        <v>36.468000000000004</v>
      </c>
      <c r="N25" s="13">
        <f>_xll.BDH("ALNY US Equity","BS_TOT_COM_PAPER_ISSUED","FQ3 2021","FQ3 2021","Currency=USD","Period=FQ","BEST_FPERIOD_OVERRIDE=FQ","FILING_STATUS=MR","SCALING_FORMAT=MLN","Sort=A","Dates=H","DateFormat=P","Fill=—","Direction=H","UseDPDF=Y")</f>
        <v>87.522999999999996</v>
      </c>
      <c r="O25" s="13">
        <f>_xll.BDH("ALNY US Equity","BS_TOT_COM_PAPER_ISSUED","FQ4 2021","FQ4 2021","Currency=USD","Period=FQ","BEST_FPERIOD_OVERRIDE=FQ","FILING_STATUS=MR","SCALING_FORMAT=MLN","Sort=A","Dates=H","DateFormat=P","Fill=—","Direction=H","UseDPDF=Y")</f>
        <v>78.543000000000006</v>
      </c>
      <c r="P25" s="13">
        <f>_xll.BDH("ALNY US Equity","BS_TOT_COM_PAPER_ISSUED","FQ1 2022","FQ1 2022","Currency=USD","Period=FQ","BEST_FPERIOD_OVERRIDE=FQ","FILING_STATUS=MR","SCALING_FORMAT=MLN","Sort=A","Dates=H","DateFormat=P","Fill=—","Direction=H","UseDPDF=Y")</f>
        <v>0</v>
      </c>
      <c r="Q25" s="13">
        <f>_xll.BDH("ALNY US Equity","BS_TOT_COM_PAPER_ISSUED","FQ2 2022","FQ2 2022","Currency=USD","Period=FQ","BEST_FPERIOD_OVERRIDE=FQ","FILING_STATUS=MR","SCALING_FORMAT=MLN","Sort=A","Dates=H","DateFormat=P","Fill=—","Direction=H","UseDPDF=Y")</f>
        <v>0</v>
      </c>
      <c r="R25" s="13">
        <f>_xll.BDH("ALNY US Equity","BS_TOT_COM_PAPER_ISSUED","FQ3 2022","FQ3 2022","Currency=USD","Period=FQ","BEST_FPERIOD_OVERRIDE=FQ","FILING_STATUS=MR","SCALING_FORMAT=MLN","Sort=A","Dates=H","DateFormat=P","Fill=—","Direction=H","UseDPDF=Y")</f>
        <v>0</v>
      </c>
      <c r="S25" s="13">
        <f>_xll.BDH("ALNY US Equity","BS_TOT_COM_PAPER_ISSUED","FQ4 2022","FQ4 2022","Currency=USD","Period=FQ","BEST_FPERIOD_OVERRIDE=FQ","FILING_STATUS=MR","SCALING_FORMAT=MLN","Sort=A","Dates=H","DateFormat=P","Fill=—","Direction=H","UseDPDF=Y")</f>
        <v>59.143000000000001</v>
      </c>
      <c r="T25" s="13">
        <f>_xll.BDH("ALNY US Equity","BS_TOT_COM_PAPER_ISSUED","FQ1 2023","FQ1 2023","Currency=USD","Period=FQ","BEST_FPERIOD_OVERRIDE=FQ","FILING_STATUS=MR","SCALING_FORMAT=MLN","Sort=A","Dates=H","DateFormat=P","Fill=—","Direction=H","UseDPDF=Y")</f>
        <v>0</v>
      </c>
      <c r="U25" s="13">
        <f>_xll.BDH("ALNY US Equity","BS_TOT_COM_PAPER_ISSUED","FQ2 2023","FQ2 2023","Currency=USD","Period=FQ","BEST_FPERIOD_OVERRIDE=FQ","FILING_STATUS=MR","SCALING_FORMAT=MLN","Sort=A","Dates=H","DateFormat=P","Fill=—","Direction=H","UseDPDF=Y")</f>
        <v>92.576999999999998</v>
      </c>
      <c r="V25" s="13">
        <f>_xll.BDH("ALNY US Equity","BS_TOT_COM_PAPER_ISSUED","FQ3 2023","FQ3 2023","Currency=USD","Period=FQ","BEST_FPERIOD_OVERRIDE=FQ","FILING_STATUS=MR","SCALING_FORMAT=MLN","Sort=A","Dates=H","DateFormat=P","Fill=—","Direction=H","UseDPDF=Y")</f>
        <v>65.849999999999994</v>
      </c>
      <c r="W25" s="13">
        <f>_xll.BDH("ALNY US Equity","BS_TOT_COM_PAPER_ISSUED","FQ4 2023","FQ4 2023","Currency=USD","Period=FQ","BEST_FPERIOD_OVERRIDE=FQ","FILING_STATUS=MR","SCALING_FORMAT=MLN","Sort=A","Dates=H","DateFormat=P","Fill=—","Direction=H","UseDPDF=Y")</f>
        <v>58.901000000000003</v>
      </c>
      <c r="X25" s="13">
        <f>_xll.BDH("ALNY US Equity","BS_TOT_COM_PAPER_ISSUED","FQ1 2024","FQ1 2024","Currency=USD","Period=FQ","BEST_FPERIOD_OVERRIDE=FQ","FILING_STATUS=MR","SCALING_FORMAT=MLN","Sort=A","Dates=H","DateFormat=P","Fill=—","Direction=H","UseDPDF=Y")</f>
        <v>0</v>
      </c>
      <c r="Y25" s="13">
        <f>_xll.BDH("ALNY US Equity","BS_TOT_COM_PAPER_ISSUED","FQ2 2024","FQ2 2024","Currency=USD","Period=FQ","BEST_FPERIOD_OVERRIDE=FQ","FILING_STATUS=MR","SCALING_FORMAT=MLN","Sort=A","Dates=H","DateFormat=P","Fill=—","Direction=H","UseDPDF=Y")</f>
        <v>70.078999999999994</v>
      </c>
      <c r="Z25" s="13">
        <f>_xll.BDH("ALNY US Equity","BS_TOT_COM_PAPER_ISSUED","FQ3 2024","FQ3 2024","Currency=USD","Period=FQ","BEST_FPERIOD_OVERRIDE=FQ","FILING_STATUS=MR","SCALING_FORMAT=MLN","Sort=A","Dates=H","DateFormat=P","Fill=—","Direction=H","UseDPDF=Y")</f>
        <v>50.213999999999999</v>
      </c>
      <c r="AA25" s="13">
        <f>_xll.BDH("ALNY US Equity","BS_TOT_COM_PAPER_ISSUED","FQ4 2024","FQ4 2024","Currency=USD","Period=FQ","BEST_FPERIOD_OVERRIDE=FQ","FILING_STATUS=MR","SCALING_FORMAT=MLN","Sort=A","Dates=H","DateFormat=P","Fill=—","Direction=H","UseDPDF=Y")</f>
        <v>35.408000000000001</v>
      </c>
    </row>
    <row r="26" spans="1:27" x14ac:dyDescent="0.25">
      <c r="A26" s="7" t="s">
        <v>90</v>
      </c>
      <c r="B26" s="7"/>
      <c r="C26" s="7" t="s">
        <v>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1518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1519</v>
      </c>
      <c r="B6" s="6" t="s">
        <v>1520</v>
      </c>
      <c r="C6" s="20">
        <f>_xll.BDH("ALNY US Equity","ACCT_RCV_TURN","FQ4 2018","FQ4 2018","Currency=USD","Period=FQ","BEST_FPERIOD_OVERRIDE=FQ","FILING_STATUS=MR","FA_ADJUSTED=GAAP","Sort=A","Dates=H","DateFormat=P","Fill=—","Direction=H","UseDPDF=Y")</f>
        <v>7.9859</v>
      </c>
      <c r="D6" s="20">
        <f>_xll.BDH("ALNY US Equity","ACCT_RCV_TURN","FQ1 2019","FQ1 2019","Currency=USD","Period=FQ","BEST_FPERIOD_OVERRIDE=FQ","FILING_STATUS=MR","FA_ADJUSTED=GAAP","Sort=A","Dates=H","DateFormat=P","Fill=—","Direction=H","UseDPDF=Y")</f>
        <v>5.1064999999999996</v>
      </c>
      <c r="E6" s="20">
        <f>_xll.BDH("ALNY US Equity","ACCT_RCV_TURN","FQ2 2019","FQ2 2019","Currency=USD","Period=FQ","BEST_FPERIOD_OVERRIDE=FQ","FILING_STATUS=MR","FA_ADJUSTED=GAAP","Sort=A","Dates=H","DateFormat=P","Fill=—","Direction=H","UseDPDF=Y")</f>
        <v>6.5785999999999998</v>
      </c>
      <c r="F6" s="20">
        <f>_xll.BDH("ALNY US Equity","ACCT_RCV_TURN","FQ3 2019","FQ3 2019","Currency=USD","Period=FQ","BEST_FPERIOD_OVERRIDE=FQ","FILING_STATUS=MR","FA_ADJUSTED=GAAP","Sort=A","Dates=H","DateFormat=P","Fill=—","Direction=H","UseDPDF=Y")</f>
        <v>6.5708000000000002</v>
      </c>
      <c r="G6" s="20">
        <f>_xll.BDH("ALNY US Equity","ACCT_RCV_TURN","FQ4 2019","FQ4 2019","Currency=USD","Period=FQ","BEST_FPERIOD_OVERRIDE=FQ","FILING_STATUS=MR","FA_ADJUSTED=GAAP","Sort=A","Dates=H","DateFormat=P","Fill=—","Direction=H","UseDPDF=Y")</f>
        <v>7.1150000000000002</v>
      </c>
      <c r="H6" s="20">
        <f>_xll.BDH("ALNY US Equity","ACCT_RCV_TURN","FQ1 2020","FQ1 2020","Currency=USD","Period=FQ","BEST_FPERIOD_OVERRIDE=FQ","FILING_STATUS=MR","FA_ADJUSTED=GAAP","Sort=A","Dates=H","DateFormat=P","Fill=—","Direction=H","UseDPDF=Y")</f>
        <v>5.2286000000000001</v>
      </c>
      <c r="I6" s="20">
        <f>_xll.BDH("ALNY US Equity","ACCT_RCV_TURN","FQ2 2020","FQ2 2020","Currency=USD","Period=FQ","BEST_FPERIOD_OVERRIDE=FQ","FILING_STATUS=MR","FA_ADJUSTED=GAAP","Sort=A","Dates=H","DateFormat=P","Fill=—","Direction=H","UseDPDF=Y")</f>
        <v>6.9137000000000004</v>
      </c>
      <c r="J6" s="20">
        <f>_xll.BDH("ALNY US Equity","ACCT_RCV_TURN","FQ3 2020","FQ3 2020","Currency=USD","Period=FQ","BEST_FPERIOD_OVERRIDE=FQ","FILING_STATUS=MR","FA_ADJUSTED=GAAP","Sort=A","Dates=H","DateFormat=P","Fill=—","Direction=H","UseDPDF=Y")</f>
        <v>6.3033000000000001</v>
      </c>
      <c r="K6" s="20">
        <f>_xll.BDH("ALNY US Equity","ACCT_RCV_TURN","FQ4 2020","FQ4 2020","Currency=USD","Period=FQ","BEST_FPERIOD_OVERRIDE=FQ","FILING_STATUS=MR","FA_ADJUSTED=GAAP","Sort=A","Dates=H","DateFormat=P","Fill=—","Direction=H","UseDPDF=Y")</f>
        <v>6.7782</v>
      </c>
      <c r="L6" s="20">
        <f>_xll.BDH("ALNY US Equity","ACCT_RCV_TURN","FQ1 2021","FQ1 2021","Currency=USD","Period=FQ","BEST_FPERIOD_OVERRIDE=FQ","FILING_STATUS=MR","FA_ADJUSTED=GAAP","Sort=A","Dates=H","DateFormat=P","Fill=—","Direction=H","UseDPDF=Y")</f>
        <v>6.1326000000000001</v>
      </c>
      <c r="M6" s="20">
        <f>_xll.BDH("ALNY US Equity","ACCT_RCV_TURN","FQ2 2021","FQ2 2021","Currency=USD","Period=FQ","BEST_FPERIOD_OVERRIDE=FQ","FILING_STATUS=MR","FA_ADJUSTED=GAAP","Sort=A","Dates=H","DateFormat=P","Fill=—","Direction=H","UseDPDF=Y")</f>
        <v>6.3749000000000002</v>
      </c>
      <c r="N6" s="20">
        <f>_xll.BDH("ALNY US Equity","ACCT_RCV_TURN","FQ3 2021","FQ3 2021","Currency=USD","Period=FQ","BEST_FPERIOD_OVERRIDE=FQ","FILING_STATUS=MR","FA_ADJUSTED=GAAP","Sort=A","Dates=H","DateFormat=P","Fill=—","Direction=H","UseDPDF=Y")</f>
        <v>6.8063000000000002</v>
      </c>
      <c r="O6" s="20">
        <f>_xll.BDH("ALNY US Equity","ACCT_RCV_TURN","FQ4 2021","FQ4 2021","Currency=USD","Period=FQ","BEST_FPERIOD_OVERRIDE=FQ","FILING_STATUS=MR","FA_ADJUSTED=GAAP","Sort=A","Dates=H","DateFormat=P","Fill=—","Direction=H","UseDPDF=Y")</f>
        <v>5.6101999999999999</v>
      </c>
      <c r="P6" s="20">
        <f>_xll.BDH("ALNY US Equity","ACCT_RCV_TURN","FQ1 2022","FQ1 2022","Currency=USD","Period=FQ","BEST_FPERIOD_OVERRIDE=FQ","FILING_STATUS=MR","FA_ADJUSTED=GAAP","Sort=A","Dates=H","DateFormat=P","Fill=—","Direction=H","UseDPDF=Y")</f>
        <v>6.5876999999999999</v>
      </c>
      <c r="Q6" s="20">
        <f>_xll.BDH("ALNY US Equity","ACCT_RCV_TURN","FQ2 2022","FQ2 2022","Currency=USD","Period=FQ","BEST_FPERIOD_OVERRIDE=FQ","FILING_STATUS=MR","FA_ADJUSTED=GAAP","Sort=A","Dates=H","DateFormat=P","Fill=—","Direction=H","UseDPDF=Y")</f>
        <v>6.1223999999999998</v>
      </c>
      <c r="R6" s="20">
        <f>_xll.BDH("ALNY US Equity","ACCT_RCV_TURN","FQ3 2022","FQ3 2022","Currency=USD","Period=FQ","BEST_FPERIOD_OVERRIDE=FQ","FILING_STATUS=MR","FA_ADJUSTED=GAAP","Sort=A","Dates=H","DateFormat=P","Fill=—","Direction=H","UseDPDF=Y")</f>
        <v>5.9028999999999998</v>
      </c>
      <c r="S6" s="20">
        <f>_xll.BDH("ALNY US Equity","ACCT_RCV_TURN","FQ4 2022","FQ4 2022","Currency=USD","Period=FQ","BEST_FPERIOD_OVERRIDE=FQ","FILING_STATUS=MR","FA_ADJUSTED=GAAP","Sort=A","Dates=H","DateFormat=P","Fill=—","Direction=H","UseDPDF=Y")</f>
        <v>4.7530000000000001</v>
      </c>
      <c r="T6" s="20">
        <f>_xll.BDH("ALNY US Equity","ACCT_RCV_TURN","FQ1 2023","FQ1 2023","Currency=USD","Period=FQ","BEST_FPERIOD_OVERRIDE=FQ","FILING_STATUS=MR","FA_ADJUSTED=GAAP","Sort=A","Dates=H","DateFormat=P","Fill=—","Direction=H","UseDPDF=Y")</f>
        <v>6.0827</v>
      </c>
      <c r="U6" s="20">
        <f>_xll.BDH("ALNY US Equity","ACCT_RCV_TURN","FQ2 2023","FQ2 2023","Currency=USD","Period=FQ","BEST_FPERIOD_OVERRIDE=FQ","FILING_STATUS=MR","FA_ADJUSTED=GAAP","Sort=A","Dates=H","DateFormat=P","Fill=—","Direction=H","UseDPDF=Y")</f>
        <v>6.8193000000000001</v>
      </c>
      <c r="V6" s="20">
        <f>_xll.BDH("ALNY US Equity","ACCT_RCV_TURN","FQ3 2023","FQ3 2023","Currency=USD","Period=FQ","BEST_FPERIOD_OVERRIDE=FQ","FILING_STATUS=MR","FA_ADJUSTED=GAAP","Sort=A","Dates=H","DateFormat=P","Fill=—","Direction=H","UseDPDF=Y")</f>
        <v>6.7598000000000003</v>
      </c>
      <c r="W6" s="20">
        <f>_xll.BDH("ALNY US Equity","ACCT_RCV_TURN","FQ4 2023","FQ4 2023","Currency=USD","Period=FQ","BEST_FPERIOD_OVERRIDE=FQ","FILING_STATUS=MR","FA_ADJUSTED=GAAP","Sort=A","Dates=H","DateFormat=P","Fill=—","Direction=H","UseDPDF=Y")</f>
        <v>6.4633000000000003</v>
      </c>
      <c r="X6" s="20">
        <f>_xll.BDH("ALNY US Equity","ACCT_RCV_TURN","FQ1 2024","FQ1 2024","Currency=USD","Period=FQ","BEST_FPERIOD_OVERRIDE=FQ","FILING_STATUS=MR","FA_ADJUSTED=GAAP","Sort=A","Dates=H","DateFormat=P","Fill=—","Direction=H","UseDPDF=Y")</f>
        <v>7.4085999999999999</v>
      </c>
      <c r="Y6" s="20">
        <f>_xll.BDH("ALNY US Equity","ACCT_RCV_TURN","FQ2 2024","FQ2 2024","Currency=USD","Period=FQ","BEST_FPERIOD_OVERRIDE=FQ","FILING_STATUS=MR","FA_ADJUSTED=GAAP","Sort=A","Dates=H","DateFormat=P","Fill=—","Direction=H","UseDPDF=Y")</f>
        <v>8.8449000000000009</v>
      </c>
      <c r="Z6" s="20">
        <f>_xll.BDH("ALNY US Equity","ACCT_RCV_TURN","FQ3 2024","FQ3 2024","Currency=USD","Period=FQ","BEST_FPERIOD_OVERRIDE=FQ","FILING_STATUS=MR","FA_ADJUSTED=GAAP","Sort=A","Dates=H","DateFormat=P","Fill=—","Direction=H","UseDPDF=Y")</f>
        <v>6.1675000000000004</v>
      </c>
      <c r="AA6" s="20">
        <f>_xll.BDH("ALNY US Equity","ACCT_RCV_TURN","FQ4 2024","FQ4 2024","Currency=USD","Period=FQ","BEST_FPERIOD_OVERRIDE=FQ","FILING_STATUS=MR","FA_ADJUSTED=GAAP","Sort=A","Dates=H","DateFormat=P","Fill=—","Direction=H","UseDPDF=Y")</f>
        <v>6.1336000000000004</v>
      </c>
    </row>
    <row r="7" spans="1:27" x14ac:dyDescent="0.25">
      <c r="A7" s="10" t="s">
        <v>1521</v>
      </c>
      <c r="B7" s="10" t="s">
        <v>1522</v>
      </c>
      <c r="C7" s="14">
        <f>_xll.BDH("ALNY US Equity","ACCT_RCV_DAYS","FQ4 2018","FQ4 2018","Currency=USD","Period=FQ","BEST_FPERIOD_OVERRIDE=FQ","FILING_STATUS=MR","FA_ADJUSTED=GAAP","Sort=A","Dates=H","DateFormat=P","Fill=—","Direction=H","UseDPDF=Y")</f>
        <v>45.705399999999997</v>
      </c>
      <c r="D7" s="14">
        <f>_xll.BDH("ALNY US Equity","ACCT_RCV_DAYS","FQ1 2019","FQ1 2019","Currency=USD","Period=FQ","BEST_FPERIOD_OVERRIDE=FQ","FILING_STATUS=MR","FA_ADJUSTED=GAAP","Sort=A","Dates=H","DateFormat=P","Fill=—","Direction=H","UseDPDF=Y")</f>
        <v>71.477000000000004</v>
      </c>
      <c r="E7" s="14">
        <f>_xll.BDH("ALNY US Equity","ACCT_RCV_DAYS","FQ2 2019","FQ2 2019","Currency=USD","Period=FQ","BEST_FPERIOD_OVERRIDE=FQ","FILING_STATUS=MR","FA_ADJUSTED=GAAP","Sort=A","Dates=H","DateFormat=P","Fill=—","Direction=H","UseDPDF=Y")</f>
        <v>55.482799999999997</v>
      </c>
      <c r="F7" s="14">
        <f>_xll.BDH("ALNY US Equity","ACCT_RCV_DAYS","FQ3 2019","FQ3 2019","Currency=USD","Period=FQ","BEST_FPERIOD_OVERRIDE=FQ","FILING_STATUS=MR","FA_ADJUSTED=GAAP","Sort=A","Dates=H","DateFormat=P","Fill=—","Direction=H","UseDPDF=Y")</f>
        <v>55.549100000000003</v>
      </c>
      <c r="G7" s="14">
        <f>_xll.BDH("ALNY US Equity","ACCT_RCV_DAYS","FQ4 2019","FQ4 2019","Currency=USD","Period=FQ","BEST_FPERIOD_OVERRIDE=FQ","FILING_STATUS=MR","FA_ADJUSTED=GAAP","Sort=A","Dates=H","DateFormat=P","Fill=—","Direction=H","UseDPDF=Y")</f>
        <v>51.3001</v>
      </c>
      <c r="H7" s="14">
        <f>_xll.BDH("ALNY US Equity","ACCT_RCV_DAYS","FQ1 2020","FQ1 2020","Currency=USD","Period=FQ","BEST_FPERIOD_OVERRIDE=FQ","FILING_STATUS=MR","FA_ADJUSTED=GAAP","Sort=A","Dates=H","DateFormat=P","Fill=—","Direction=H","UseDPDF=Y")</f>
        <v>70.000100000000003</v>
      </c>
      <c r="I7" s="14">
        <f>_xll.BDH("ALNY US Equity","ACCT_RCV_DAYS","FQ2 2020","FQ2 2020","Currency=USD","Period=FQ","BEST_FPERIOD_OVERRIDE=FQ","FILING_STATUS=MR","FA_ADJUSTED=GAAP","Sort=A","Dates=H","DateFormat=P","Fill=—","Direction=H","UseDPDF=Y")</f>
        <v>52.938400000000001</v>
      </c>
      <c r="J7" s="14">
        <f>_xll.BDH("ALNY US Equity","ACCT_RCV_DAYS","FQ3 2020","FQ3 2020","Currency=USD","Period=FQ","BEST_FPERIOD_OVERRIDE=FQ","FILING_STATUS=MR","FA_ADJUSTED=GAAP","Sort=A","Dates=H","DateFormat=P","Fill=—","Direction=H","UseDPDF=Y")</f>
        <v>58.065300000000001</v>
      </c>
      <c r="K7" s="14">
        <f>_xll.BDH("ALNY US Equity","ACCT_RCV_DAYS","FQ4 2020","FQ4 2020","Currency=USD","Period=FQ","BEST_FPERIOD_OVERRIDE=FQ","FILING_STATUS=MR","FA_ADJUSTED=GAAP","Sort=A","Dates=H","DateFormat=P","Fill=—","Direction=H","UseDPDF=Y")</f>
        <v>53.997</v>
      </c>
      <c r="L7" s="14">
        <f>_xll.BDH("ALNY US Equity","ACCT_RCV_DAYS","FQ1 2021","FQ1 2021","Currency=USD","Period=FQ","BEST_FPERIOD_OVERRIDE=FQ","FILING_STATUS=MR","FA_ADJUSTED=GAAP","Sort=A","Dates=H","DateFormat=P","Fill=—","Direction=H","UseDPDF=Y")</f>
        <v>59.517600000000002</v>
      </c>
      <c r="M7" s="14">
        <f>_xll.BDH("ALNY US Equity","ACCT_RCV_DAYS","FQ2 2021","FQ2 2021","Currency=USD","Period=FQ","BEST_FPERIOD_OVERRIDE=FQ","FILING_STATUS=MR","FA_ADJUSTED=GAAP","Sort=A","Dates=H","DateFormat=P","Fill=—","Direction=H","UseDPDF=Y")</f>
        <v>57.2562</v>
      </c>
      <c r="N7" s="14">
        <f>_xll.BDH("ALNY US Equity","ACCT_RCV_DAYS","FQ3 2021","FQ3 2021","Currency=USD","Period=FQ","BEST_FPERIOD_OVERRIDE=FQ","FILING_STATUS=MR","FA_ADJUSTED=GAAP","Sort=A","Dates=H","DateFormat=P","Fill=—","Direction=H","UseDPDF=Y")</f>
        <v>53.6267</v>
      </c>
      <c r="O7" s="14">
        <f>_xll.BDH("ALNY US Equity","ACCT_RCV_DAYS","FQ4 2021","FQ4 2021","Currency=USD","Period=FQ","BEST_FPERIOD_OVERRIDE=FQ","FILING_STATUS=MR","FA_ADJUSTED=GAAP","Sort=A","Dates=H","DateFormat=P","Fill=—","Direction=H","UseDPDF=Y")</f>
        <v>65.060299999999998</v>
      </c>
      <c r="P7" s="14">
        <f>_xll.BDH("ALNY US Equity","ACCT_RCV_DAYS","FQ1 2022","FQ1 2022","Currency=USD","Period=FQ","BEST_FPERIOD_OVERRIDE=FQ","FILING_STATUS=MR","FA_ADJUSTED=GAAP","Sort=A","Dates=H","DateFormat=P","Fill=—","Direction=H","UseDPDF=Y")</f>
        <v>55.406399999999998</v>
      </c>
      <c r="Q7" s="14">
        <f>_xll.BDH("ALNY US Equity","ACCT_RCV_DAYS","FQ2 2022","FQ2 2022","Currency=USD","Period=FQ","BEST_FPERIOD_OVERRIDE=FQ","FILING_STATUS=MR","FA_ADJUSTED=GAAP","Sort=A","Dates=H","DateFormat=P","Fill=—","Direction=H","UseDPDF=Y")</f>
        <v>59.617600000000003</v>
      </c>
      <c r="R7" s="14">
        <f>_xll.BDH("ALNY US Equity","ACCT_RCV_DAYS","FQ3 2022","FQ3 2022","Currency=USD","Period=FQ","BEST_FPERIOD_OVERRIDE=FQ","FILING_STATUS=MR","FA_ADJUSTED=GAAP","Sort=A","Dates=H","DateFormat=P","Fill=—","Direction=H","UseDPDF=Y")</f>
        <v>61.834400000000002</v>
      </c>
      <c r="S7" s="14">
        <f>_xll.BDH("ALNY US Equity","ACCT_RCV_DAYS","FQ4 2022","FQ4 2022","Currency=USD","Period=FQ","BEST_FPERIOD_OVERRIDE=FQ","FILING_STATUS=MR","FA_ADJUSTED=GAAP","Sort=A","Dates=H","DateFormat=P","Fill=—","Direction=H","UseDPDF=Y")</f>
        <v>76.793999999999997</v>
      </c>
      <c r="T7" s="14">
        <f>_xll.BDH("ALNY US Equity","ACCT_RCV_DAYS","FQ1 2023","FQ1 2023","Currency=USD","Period=FQ","BEST_FPERIOD_OVERRIDE=FQ","FILING_STATUS=MR","FA_ADJUSTED=GAAP","Sort=A","Dates=H","DateFormat=P","Fill=—","Direction=H","UseDPDF=Y")</f>
        <v>60.0062</v>
      </c>
      <c r="U7" s="14">
        <f>_xll.BDH("ALNY US Equity","ACCT_RCV_DAYS","FQ2 2023","FQ2 2023","Currency=USD","Period=FQ","BEST_FPERIOD_OVERRIDE=FQ","FILING_STATUS=MR","FA_ADJUSTED=GAAP","Sort=A","Dates=H","DateFormat=P","Fill=—","Direction=H","UseDPDF=Y")</f>
        <v>53.5244</v>
      </c>
      <c r="V7" s="14">
        <f>_xll.BDH("ALNY US Equity","ACCT_RCV_DAYS","FQ3 2023","FQ3 2023","Currency=USD","Period=FQ","BEST_FPERIOD_OVERRIDE=FQ","FILING_STATUS=MR","FA_ADJUSTED=GAAP","Sort=A","Dates=H","DateFormat=P","Fill=—","Direction=H","UseDPDF=Y")</f>
        <v>53.995600000000003</v>
      </c>
      <c r="W7" s="14">
        <f>_xll.BDH("ALNY US Equity","ACCT_RCV_DAYS","FQ4 2023","FQ4 2023","Currency=USD","Period=FQ","BEST_FPERIOD_OVERRIDE=FQ","FILING_STATUS=MR","FA_ADJUSTED=GAAP","Sort=A","Dates=H","DateFormat=P","Fill=—","Direction=H","UseDPDF=Y")</f>
        <v>56.473100000000002</v>
      </c>
      <c r="X7" s="14">
        <f>_xll.BDH("ALNY US Equity","ACCT_RCV_DAYS","FQ1 2024","FQ1 2024","Currency=USD","Period=FQ","BEST_FPERIOD_OVERRIDE=FQ","FILING_STATUS=MR","FA_ADJUSTED=GAAP","Sort=A","Dates=H","DateFormat=P","Fill=—","Direction=H","UseDPDF=Y")</f>
        <v>49.401800000000001</v>
      </c>
      <c r="Y7" s="14">
        <f>_xll.BDH("ALNY US Equity","ACCT_RCV_DAYS","FQ2 2024","FQ2 2024","Currency=USD","Period=FQ","BEST_FPERIOD_OVERRIDE=FQ","FILING_STATUS=MR","FA_ADJUSTED=GAAP","Sort=A","Dates=H","DateFormat=P","Fill=—","Direction=H","UseDPDF=Y")</f>
        <v>41.379899999999999</v>
      </c>
      <c r="Z7" s="14">
        <f>_xll.BDH("ALNY US Equity","ACCT_RCV_DAYS","FQ3 2024","FQ3 2024","Currency=USD","Period=FQ","BEST_FPERIOD_OVERRIDE=FQ","FILING_STATUS=MR","FA_ADJUSTED=GAAP","Sort=A","Dates=H","DateFormat=P","Fill=—","Direction=H","UseDPDF=Y")</f>
        <v>59.343000000000004</v>
      </c>
      <c r="AA7" s="14">
        <f>_xll.BDH("ALNY US Equity","ACCT_RCV_DAYS","FQ4 2024","FQ4 2024","Currency=USD","Period=FQ","BEST_FPERIOD_OVERRIDE=FQ","FILING_STATUS=MR","FA_ADJUSTED=GAAP","Sort=A","Dates=H","DateFormat=P","Fill=—","Direction=H","UseDPDF=Y")</f>
        <v>59.671700000000001</v>
      </c>
    </row>
    <row r="8" spans="1:27" x14ac:dyDescent="0.25">
      <c r="A8" s="6" t="s">
        <v>1523</v>
      </c>
      <c r="B8" s="6" t="s">
        <v>1524</v>
      </c>
      <c r="C8" s="20" t="str">
        <f>_xll.BDH("ALNY US Equity","INVENT_TURN","FQ4 2018","FQ4 2018","Currency=USD","Period=FQ","BEST_FPERIOD_OVERRIDE=FQ","FILING_STATUS=MR","FA_ADJUSTED=GAAP","Sort=A","Dates=H","DateFormat=P","Fill=—","Direction=H","UseDPDF=Y")</f>
        <v>—</v>
      </c>
      <c r="D8" s="20">
        <f>_xll.BDH("ALNY US Equity","INVENT_TURN","FQ1 2019","FQ1 2019","Currency=USD","Period=FQ","BEST_FPERIOD_OVERRIDE=FQ","FILING_STATUS=MR","FA_ADJUSTED=GAAP","Sort=A","Dates=H","DateFormat=P","Fill=—","Direction=H","UseDPDF=Y")</f>
        <v>0.32179999999999997</v>
      </c>
      <c r="E8" s="20">
        <f>_xll.BDH("ALNY US Equity","INVENT_TURN","FQ2 2019","FQ2 2019","Currency=USD","Period=FQ","BEST_FPERIOD_OVERRIDE=FQ","FILING_STATUS=MR","FA_ADJUSTED=GAAP","Sort=A","Dates=H","DateFormat=P","Fill=—","Direction=H","UseDPDF=Y")</f>
        <v>0.46689999999999998</v>
      </c>
      <c r="F8" s="20">
        <f>_xll.BDH("ALNY US Equity","INVENT_TURN","FQ3 2019","FQ3 2019","Currency=USD","Period=FQ","BEST_FPERIOD_OVERRIDE=FQ","FILING_STATUS=MR","FA_ADJUSTED=GAAP","Sort=A","Dates=H","DateFormat=P","Fill=—","Direction=H","UseDPDF=Y")</f>
        <v>0.44330000000000003</v>
      </c>
      <c r="G8" s="20">
        <f>_xll.BDH("ALNY US Equity","INVENT_TURN","FQ4 2019","FQ4 2019","Currency=USD","Period=FQ","BEST_FPERIOD_OVERRIDE=FQ","FILING_STATUS=MR","FA_ADJUSTED=GAAP","Sort=A","Dates=H","DateFormat=P","Fill=—","Direction=H","UseDPDF=Y")</f>
        <v>0.62329999999999997</v>
      </c>
      <c r="H8" s="20">
        <f>_xll.BDH("ALNY US Equity","INVENT_TURN","FQ1 2020","FQ1 2020","Currency=USD","Period=FQ","BEST_FPERIOD_OVERRIDE=FQ","FILING_STATUS=MR","FA_ADJUSTED=GAAP","Sort=A","Dates=H","DateFormat=P","Fill=—","Direction=H","UseDPDF=Y")</f>
        <v>0.69820000000000004</v>
      </c>
      <c r="I8" s="20">
        <f>_xll.BDH("ALNY US Equity","INVENT_TURN","FQ2 2020","FQ2 2020","Currency=USD","Period=FQ","BEST_FPERIOD_OVERRIDE=FQ","FILING_STATUS=MR","FA_ADJUSTED=GAAP","Sort=A","Dates=H","DateFormat=P","Fill=—","Direction=H","UseDPDF=Y")</f>
        <v>0.8579</v>
      </c>
      <c r="J8" s="20">
        <f>_xll.BDH("ALNY US Equity","INVENT_TURN","FQ3 2020","FQ3 2020","Currency=USD","Period=FQ","BEST_FPERIOD_OVERRIDE=FQ","FILING_STATUS=MR","FA_ADJUSTED=GAAP","Sort=A","Dates=H","DateFormat=P","Fill=—","Direction=H","UseDPDF=Y")</f>
        <v>1.1062000000000001</v>
      </c>
      <c r="K8" s="20">
        <f>_xll.BDH("ALNY US Equity","INVENT_TURN","FQ4 2020","FQ4 2020","Currency=USD","Period=FQ","BEST_FPERIOD_OVERRIDE=FQ","FILING_STATUS=MR","FA_ADJUSTED=GAAP","Sort=A","Dates=H","DateFormat=P","Fill=—","Direction=H","UseDPDF=Y")</f>
        <v>1.1867000000000001</v>
      </c>
      <c r="L8" s="20">
        <f>_xll.BDH("ALNY US Equity","INVENT_TURN","FQ1 2021","FQ1 2021","Currency=USD","Period=FQ","BEST_FPERIOD_OVERRIDE=FQ","FILING_STATUS=MR","FA_ADJUSTED=GAAP","Sort=A","Dates=H","DateFormat=P","Fill=—","Direction=H","UseDPDF=Y")</f>
        <v>1.3472</v>
      </c>
      <c r="M8" s="20">
        <f>_xll.BDH("ALNY US Equity","INVENT_TURN","FQ2 2021","FQ2 2021","Currency=USD","Period=FQ","BEST_FPERIOD_OVERRIDE=FQ","FILING_STATUS=MR","FA_ADJUSTED=GAAP","Sort=A","Dates=H","DateFormat=P","Fill=—","Direction=H","UseDPDF=Y")</f>
        <v>1.4172</v>
      </c>
      <c r="N8" s="20">
        <f>_xll.BDH("ALNY US Equity","INVENT_TURN","FQ3 2021","FQ3 2021","Currency=USD","Period=FQ","BEST_FPERIOD_OVERRIDE=FQ","FILING_STATUS=MR","FA_ADJUSTED=GAAP","Sort=A","Dates=H","DateFormat=P","Fill=—","Direction=H","UseDPDF=Y")</f>
        <v>1.5226999999999999</v>
      </c>
      <c r="O8" s="20">
        <f>_xll.BDH("ALNY US Equity","INVENT_TURN","FQ4 2021","FQ4 2021","Currency=USD","Period=FQ","BEST_FPERIOD_OVERRIDE=FQ","FILING_STATUS=MR","FA_ADJUSTED=GAAP","Sort=A","Dates=H","DateFormat=P","Fill=—","Direction=H","UseDPDF=Y")</f>
        <v>1.7347999999999999</v>
      </c>
      <c r="P8" s="20">
        <f>_xll.BDH("ALNY US Equity","INVENT_TURN","FQ1 2022","FQ1 2022","Currency=USD","Period=FQ","BEST_FPERIOD_OVERRIDE=FQ","FILING_STATUS=MR","FA_ADJUSTED=GAAP","Sort=A","Dates=H","DateFormat=P","Fill=—","Direction=H","UseDPDF=Y")</f>
        <v>1.8984000000000001</v>
      </c>
      <c r="Q8" s="20">
        <f>_xll.BDH("ALNY US Equity","INVENT_TURN","FQ2 2022","FQ2 2022","Currency=USD","Period=FQ","BEST_FPERIOD_OVERRIDE=FQ","FILING_STATUS=MR","FA_ADJUSTED=GAAP","Sort=A","Dates=H","DateFormat=P","Fill=—","Direction=H","UseDPDF=Y")</f>
        <v>1.6934</v>
      </c>
      <c r="R8" s="20">
        <f>_xll.BDH("ALNY US Equity","INVENT_TURN","FQ3 2022","FQ3 2022","Currency=USD","Period=FQ","BEST_FPERIOD_OVERRIDE=FQ","FILING_STATUS=MR","FA_ADJUSTED=GAAP","Sort=A","Dates=H","DateFormat=P","Fill=—","Direction=H","UseDPDF=Y")</f>
        <v>1.4548000000000001</v>
      </c>
      <c r="S8" s="20">
        <f>_xll.BDH("ALNY US Equity","INVENT_TURN","FQ4 2022","FQ4 2022","Currency=USD","Period=FQ","BEST_FPERIOD_OVERRIDE=FQ","FILING_STATUS=MR","FA_ADJUSTED=GAAP","Sort=A","Dates=H","DateFormat=P","Fill=—","Direction=H","UseDPDF=Y")</f>
        <v>1.5680000000000001</v>
      </c>
      <c r="T8" s="20">
        <f>_xll.BDH("ALNY US Equity","INVENT_TURN","FQ1 2023","FQ1 2023","Currency=USD","Period=FQ","BEST_FPERIOD_OVERRIDE=FQ","FILING_STATUS=MR","FA_ADJUSTED=GAAP","Sort=A","Dates=H","DateFormat=P","Fill=—","Direction=H","UseDPDF=Y")</f>
        <v>1.7877000000000001</v>
      </c>
      <c r="U8" s="20">
        <f>_xll.BDH("ALNY US Equity","INVENT_TURN","FQ2 2023","FQ2 2023","Currency=USD","Period=FQ","BEST_FPERIOD_OVERRIDE=FQ","FILING_STATUS=MR","FA_ADJUSTED=GAAP","Sort=A","Dates=H","DateFormat=P","Fill=—","Direction=H","UseDPDF=Y")</f>
        <v>2.456</v>
      </c>
      <c r="V8" s="20">
        <f>_xll.BDH("ALNY US Equity","INVENT_TURN","FQ3 2023","FQ3 2023","Currency=USD","Period=FQ","BEST_FPERIOD_OVERRIDE=FQ","FILING_STATUS=MR","FA_ADJUSTED=GAAP","Sort=A","Dates=H","DateFormat=P","Fill=—","Direction=H","UseDPDF=Y")</f>
        <v>2.6111</v>
      </c>
      <c r="W8" s="20">
        <f>_xll.BDH("ALNY US Equity","INVENT_TURN","FQ4 2023","FQ4 2023","Currency=USD","Period=FQ","BEST_FPERIOD_OVERRIDE=FQ","FILING_STATUS=MR","FA_ADJUSTED=GAAP","Sort=A","Dates=H","DateFormat=P","Fill=—","Direction=H","UseDPDF=Y")</f>
        <v>2.8464</v>
      </c>
      <c r="X8" s="20">
        <f>_xll.BDH("ALNY US Equity","INVENT_TURN","FQ1 2024","FQ1 2024","Currency=USD","Period=FQ","BEST_FPERIOD_OVERRIDE=FQ","FILING_STATUS=MR","FA_ADJUSTED=GAAP","Sort=A","Dates=H","DateFormat=P","Fill=—","Direction=H","UseDPDF=Y")</f>
        <v>2.8469000000000002</v>
      </c>
      <c r="Y8" s="20">
        <f>_xll.BDH("ALNY US Equity","INVENT_TURN","FQ2 2024","FQ2 2024","Currency=USD","Period=FQ","BEST_FPERIOD_OVERRIDE=FQ","FILING_STATUS=MR","FA_ADJUSTED=GAAP","Sort=A","Dates=H","DateFormat=P","Fill=—","Direction=H","UseDPDF=Y")</f>
        <v>3.3054000000000001</v>
      </c>
      <c r="Z8" s="20">
        <f>_xll.BDH("ALNY US Equity","INVENT_TURN","FQ3 2024","FQ3 2024","Currency=USD","Period=FQ","BEST_FPERIOD_OVERRIDE=FQ","FILING_STATUS=MR","FA_ADJUSTED=GAAP","Sort=A","Dates=H","DateFormat=P","Fill=—","Direction=H","UseDPDF=Y")</f>
        <v>3.5678999999999998</v>
      </c>
      <c r="AA8" s="20">
        <f>_xll.BDH("ALNY US Equity","INVENT_TURN","FQ4 2024","FQ4 2024","Currency=USD","Period=FQ","BEST_FPERIOD_OVERRIDE=FQ","FILING_STATUS=MR","FA_ADJUSTED=GAAP","Sort=A","Dates=H","DateFormat=P","Fill=—","Direction=H","UseDPDF=Y")</f>
        <v>3.8576000000000001</v>
      </c>
    </row>
    <row r="9" spans="1:27" x14ac:dyDescent="0.25">
      <c r="A9" s="10" t="s">
        <v>1525</v>
      </c>
      <c r="B9" s="10" t="s">
        <v>1526</v>
      </c>
      <c r="C9" s="14" t="str">
        <f>_xll.BDH("ALNY US Equity","INVENT_DAYS","FQ4 2018","FQ4 2018","Currency=USD","Period=FQ","BEST_FPERIOD_OVERRIDE=FQ","FILING_STATUS=MR","FA_ADJUSTED=GAAP","Sort=A","Dates=H","DateFormat=P","Fill=—","Direction=H","UseDPDF=Y")</f>
        <v>—</v>
      </c>
      <c r="D9" s="14">
        <f>_xll.BDH("ALNY US Equity","INVENT_DAYS","FQ1 2019","FQ1 2019","Currency=USD","Period=FQ","BEST_FPERIOD_OVERRIDE=FQ","FILING_STATUS=MR","FA_ADJUSTED=GAAP","Sort=A","Dates=H","DateFormat=P","Fill=—","Direction=H","UseDPDF=Y")</f>
        <v>1134.2363</v>
      </c>
      <c r="E9" s="14">
        <f>_xll.BDH("ALNY US Equity","INVENT_DAYS","FQ2 2019","FQ2 2019","Currency=USD","Period=FQ","BEST_FPERIOD_OVERRIDE=FQ","FILING_STATUS=MR","FA_ADJUSTED=GAAP","Sort=A","Dates=H","DateFormat=P","Fill=—","Direction=H","UseDPDF=Y")</f>
        <v>781.75490000000002</v>
      </c>
      <c r="F9" s="14">
        <f>_xll.BDH("ALNY US Equity","INVENT_DAYS","FQ3 2019","FQ3 2019","Currency=USD","Period=FQ","BEST_FPERIOD_OVERRIDE=FQ","FILING_STATUS=MR","FA_ADJUSTED=GAAP","Sort=A","Dates=H","DateFormat=P","Fill=—","Direction=H","UseDPDF=Y")</f>
        <v>823.30060000000003</v>
      </c>
      <c r="G9" s="14">
        <f>_xll.BDH("ALNY US Equity","INVENT_DAYS","FQ4 2019","FQ4 2019","Currency=USD","Period=FQ","BEST_FPERIOD_OVERRIDE=FQ","FILING_STATUS=MR","FA_ADJUSTED=GAAP","Sort=A","Dates=H","DateFormat=P","Fill=—","Direction=H","UseDPDF=Y")</f>
        <v>585.58460000000002</v>
      </c>
      <c r="H9" s="14">
        <f>_xll.BDH("ALNY US Equity","INVENT_DAYS","FQ1 2020","FQ1 2020","Currency=USD","Period=FQ","BEST_FPERIOD_OVERRIDE=FQ","FILING_STATUS=MR","FA_ADJUSTED=GAAP","Sort=A","Dates=H","DateFormat=P","Fill=—","Direction=H","UseDPDF=Y")</f>
        <v>524.17629999999997</v>
      </c>
      <c r="I9" s="14">
        <f>_xll.BDH("ALNY US Equity","INVENT_DAYS","FQ2 2020","FQ2 2020","Currency=USD","Period=FQ","BEST_FPERIOD_OVERRIDE=FQ","FILING_STATUS=MR","FA_ADJUSTED=GAAP","Sort=A","Dates=H","DateFormat=P","Fill=—","Direction=H","UseDPDF=Y")</f>
        <v>426.60840000000002</v>
      </c>
      <c r="J9" s="14">
        <f>_xll.BDH("ALNY US Equity","INVENT_DAYS","FQ3 2020","FQ3 2020","Currency=USD","Period=FQ","BEST_FPERIOD_OVERRIDE=FQ","FILING_STATUS=MR","FA_ADJUSTED=GAAP","Sort=A","Dates=H","DateFormat=P","Fill=—","Direction=H","UseDPDF=Y")</f>
        <v>330.86169999999998</v>
      </c>
      <c r="K9" s="14">
        <f>_xll.BDH("ALNY US Equity","INVENT_DAYS","FQ4 2020","FQ4 2020","Currency=USD","Period=FQ","BEST_FPERIOD_OVERRIDE=FQ","FILING_STATUS=MR","FA_ADJUSTED=GAAP","Sort=A","Dates=H","DateFormat=P","Fill=—","Direction=H","UseDPDF=Y")</f>
        <v>308.43090000000001</v>
      </c>
      <c r="L9" s="14">
        <f>_xll.BDH("ALNY US Equity","INVENT_DAYS","FQ1 2021","FQ1 2021","Currency=USD","Period=FQ","BEST_FPERIOD_OVERRIDE=FQ","FILING_STATUS=MR","FA_ADJUSTED=GAAP","Sort=A","Dates=H","DateFormat=P","Fill=—","Direction=H","UseDPDF=Y")</f>
        <v>270.93470000000002</v>
      </c>
      <c r="M9" s="14">
        <f>_xll.BDH("ALNY US Equity","INVENT_DAYS","FQ2 2021","FQ2 2021","Currency=USD","Period=FQ","BEST_FPERIOD_OVERRIDE=FQ","FILING_STATUS=MR","FA_ADJUSTED=GAAP","Sort=A","Dates=H","DateFormat=P","Fill=—","Direction=H","UseDPDF=Y")</f>
        <v>257.54219999999998</v>
      </c>
      <c r="N9" s="14">
        <f>_xll.BDH("ALNY US Equity","INVENT_DAYS","FQ3 2021","FQ3 2021","Currency=USD","Period=FQ","BEST_FPERIOD_OVERRIDE=FQ","FILING_STATUS=MR","FA_ADJUSTED=GAAP","Sort=A","Dates=H","DateFormat=P","Fill=—","Direction=H","UseDPDF=Y")</f>
        <v>239.70140000000001</v>
      </c>
      <c r="O9" s="14">
        <f>_xll.BDH("ALNY US Equity","INVENT_DAYS","FQ4 2021","FQ4 2021","Currency=USD","Period=FQ","BEST_FPERIOD_OVERRIDE=FQ","FILING_STATUS=MR","FA_ADJUSTED=GAAP","Sort=A","Dates=H","DateFormat=P","Fill=—","Direction=H","UseDPDF=Y")</f>
        <v>210.39510000000001</v>
      </c>
      <c r="P9" s="14">
        <f>_xll.BDH("ALNY US Equity","INVENT_DAYS","FQ1 2022","FQ1 2022","Currency=USD","Period=FQ","BEST_FPERIOD_OVERRIDE=FQ","FILING_STATUS=MR","FA_ADJUSTED=GAAP","Sort=A","Dates=H","DateFormat=P","Fill=—","Direction=H","UseDPDF=Y")</f>
        <v>192.27010000000001</v>
      </c>
      <c r="Q9" s="14">
        <f>_xll.BDH("ALNY US Equity","INVENT_DAYS","FQ2 2022","FQ2 2022","Currency=USD","Period=FQ","BEST_FPERIOD_OVERRIDE=FQ","FILING_STATUS=MR","FA_ADJUSTED=GAAP","Sort=A","Dates=H","DateFormat=P","Fill=—","Direction=H","UseDPDF=Y")</f>
        <v>215.54249999999999</v>
      </c>
      <c r="R9" s="14">
        <f>_xll.BDH("ALNY US Equity","INVENT_DAYS","FQ3 2022","FQ3 2022","Currency=USD","Period=FQ","BEST_FPERIOD_OVERRIDE=FQ","FILING_STATUS=MR","FA_ADJUSTED=GAAP","Sort=A","Dates=H","DateFormat=P","Fill=—","Direction=H","UseDPDF=Y")</f>
        <v>250.8991</v>
      </c>
      <c r="S9" s="14">
        <f>_xll.BDH("ALNY US Equity","INVENT_DAYS","FQ4 2022","FQ4 2022","Currency=USD","Period=FQ","BEST_FPERIOD_OVERRIDE=FQ","FILING_STATUS=MR","FA_ADJUSTED=GAAP","Sort=A","Dates=H","DateFormat=P","Fill=—","Direction=H","UseDPDF=Y")</f>
        <v>232.77760000000001</v>
      </c>
      <c r="T9" s="14">
        <f>_xll.BDH("ALNY US Equity","INVENT_DAYS","FQ1 2023","FQ1 2023","Currency=USD","Period=FQ","BEST_FPERIOD_OVERRIDE=FQ","FILING_STATUS=MR","FA_ADJUSTED=GAAP","Sort=A","Dates=H","DateFormat=P","Fill=—","Direction=H","UseDPDF=Y")</f>
        <v>204.17580000000001</v>
      </c>
      <c r="U9" s="14">
        <f>_xll.BDH("ALNY US Equity","INVENT_DAYS","FQ2 2023","FQ2 2023","Currency=USD","Period=FQ","BEST_FPERIOD_OVERRIDE=FQ","FILING_STATUS=MR","FA_ADJUSTED=GAAP","Sort=A","Dates=H","DateFormat=P","Fill=—","Direction=H","UseDPDF=Y")</f>
        <v>148.61420000000001</v>
      </c>
      <c r="V9" s="14">
        <f>_xll.BDH("ALNY US Equity","INVENT_DAYS","FQ3 2023","FQ3 2023","Currency=USD","Period=FQ","BEST_FPERIOD_OVERRIDE=FQ","FILING_STATUS=MR","FA_ADJUSTED=GAAP","Sort=A","Dates=H","DateFormat=P","Fill=—","Direction=H","UseDPDF=Y")</f>
        <v>139.7861</v>
      </c>
      <c r="W9" s="14">
        <f>_xll.BDH("ALNY US Equity","INVENT_DAYS","FQ4 2023","FQ4 2023","Currency=USD","Period=FQ","BEST_FPERIOD_OVERRIDE=FQ","FILING_STATUS=MR","FA_ADJUSTED=GAAP","Sort=A","Dates=H","DateFormat=P","Fill=—","Direction=H","UseDPDF=Y")</f>
        <v>128.23429999999999</v>
      </c>
      <c r="X9" s="14">
        <f>_xll.BDH("ALNY US Equity","INVENT_DAYS","FQ1 2024","FQ1 2024","Currency=USD","Period=FQ","BEST_FPERIOD_OVERRIDE=FQ","FILING_STATUS=MR","FA_ADJUSTED=GAAP","Sort=A","Dates=H","DateFormat=P","Fill=—","Direction=H","UseDPDF=Y")</f>
        <v>128.5598</v>
      </c>
      <c r="Y9" s="14">
        <f>_xll.BDH("ALNY US Equity","INVENT_DAYS","FQ2 2024","FQ2 2024","Currency=USD","Period=FQ","BEST_FPERIOD_OVERRIDE=FQ","FILING_STATUS=MR","FA_ADJUSTED=GAAP","Sort=A","Dates=H","DateFormat=P","Fill=—","Direction=H","UseDPDF=Y")</f>
        <v>110.7276</v>
      </c>
      <c r="Z9" s="14">
        <f>_xll.BDH("ALNY US Equity","INVENT_DAYS","FQ3 2024","FQ3 2024","Currency=USD","Period=FQ","BEST_FPERIOD_OVERRIDE=FQ","FILING_STATUS=MR","FA_ADJUSTED=GAAP","Sort=A","Dates=H","DateFormat=P","Fill=—","Direction=H","UseDPDF=Y")</f>
        <v>102.5802</v>
      </c>
      <c r="AA9" s="14">
        <f>_xll.BDH("ALNY US Equity","INVENT_DAYS","FQ4 2024","FQ4 2024","Currency=USD","Period=FQ","BEST_FPERIOD_OVERRIDE=FQ","FILING_STATUS=MR","FA_ADJUSTED=GAAP","Sort=A","Dates=H","DateFormat=P","Fill=—","Direction=H","UseDPDF=Y")</f>
        <v>94.878500000000003</v>
      </c>
    </row>
    <row r="10" spans="1:27" x14ac:dyDescent="0.25">
      <c r="A10" s="6" t="s">
        <v>1527</v>
      </c>
      <c r="B10" s="6" t="s">
        <v>1528</v>
      </c>
      <c r="C10" s="20" t="str">
        <f>_xll.BDH("ALNY US Equity","ACCOUNTS_PAYABLE_TURNOVER","FQ4 2018","FQ4 2018","Currency=USD","Period=FQ","BEST_FPERIOD_OVERRIDE=FQ","FILING_STATUS=MR","FA_ADJUSTED=GAAP","Sort=A","Dates=H","DateFormat=P","Fill=—","Direction=H","UseDPDF=Y")</f>
        <v>—</v>
      </c>
      <c r="D10" s="20">
        <f>_xll.BDH("ALNY US Equity","ACCOUNTS_PAYABLE_TURNOVER","FQ1 2019","FQ1 2019","Currency=USD","Period=FQ","BEST_FPERIOD_OVERRIDE=FQ","FILING_STATUS=MR","FA_ADJUSTED=GAAP","Sort=A","Dates=H","DateFormat=P","Fill=—","Direction=H","UseDPDF=Y")</f>
        <v>2.0710000000000002</v>
      </c>
      <c r="E10" s="20">
        <f>_xll.BDH("ALNY US Equity","ACCOUNTS_PAYABLE_TURNOVER","FQ2 2019","FQ2 2019","Currency=USD","Period=FQ","BEST_FPERIOD_OVERRIDE=FQ","FILING_STATUS=MR","FA_ADJUSTED=GAAP","Sort=A","Dates=H","DateFormat=P","Fill=—","Direction=H","UseDPDF=Y")</f>
        <v>1.2034</v>
      </c>
      <c r="F10" s="20">
        <f>_xll.BDH("ALNY US Equity","ACCOUNTS_PAYABLE_TURNOVER","FQ3 2019","FQ3 2019","Currency=USD","Period=FQ","BEST_FPERIOD_OVERRIDE=FQ","FILING_STATUS=MR","FA_ADJUSTED=GAAP","Sort=A","Dates=H","DateFormat=P","Fill=—","Direction=H","UseDPDF=Y")</f>
        <v>1.8976</v>
      </c>
      <c r="G10" s="20">
        <f>_xll.BDH("ALNY US Equity","ACCOUNTS_PAYABLE_TURNOVER","FQ4 2019","FQ4 2019","Currency=USD","Period=FQ","BEST_FPERIOD_OVERRIDE=FQ","FILING_STATUS=MR","FA_ADJUSTED=GAAP","Sort=A","Dates=H","DateFormat=P","Fill=—","Direction=H","UseDPDF=Y")</f>
        <v>1.0465</v>
      </c>
      <c r="H10" s="20">
        <f>_xll.BDH("ALNY US Equity","ACCOUNTS_PAYABLE_TURNOVER","FQ1 2020","FQ1 2020","Currency=USD","Period=FQ","BEST_FPERIOD_OVERRIDE=FQ","FILING_STATUS=MR","FA_ADJUSTED=GAAP","Sort=A","Dates=H","DateFormat=P","Fill=—","Direction=H","UseDPDF=Y")</f>
        <v>2.2584</v>
      </c>
      <c r="I10" s="20">
        <f>_xll.BDH("ALNY US Equity","ACCOUNTS_PAYABLE_TURNOVER","FQ2 2020","FQ2 2020","Currency=USD","Period=FQ","BEST_FPERIOD_OVERRIDE=FQ","FILING_STATUS=MR","FA_ADJUSTED=GAAP","Sort=A","Dates=H","DateFormat=P","Fill=—","Direction=H","UseDPDF=Y")</f>
        <v>1.7968</v>
      </c>
      <c r="J10" s="20">
        <f>_xll.BDH("ALNY US Equity","ACCOUNTS_PAYABLE_TURNOVER","FQ3 2020","FQ3 2020","Currency=USD","Period=FQ","BEST_FPERIOD_OVERRIDE=FQ","FILING_STATUS=MR","FA_ADJUSTED=GAAP","Sort=A","Dates=H","DateFormat=P","Fill=—","Direction=H","UseDPDF=Y")</f>
        <v>2.3662999999999998</v>
      </c>
      <c r="K10" s="20">
        <f>_xll.BDH("ALNY US Equity","ACCOUNTS_PAYABLE_TURNOVER","FQ4 2020","FQ4 2020","Currency=USD","Period=FQ","BEST_FPERIOD_OVERRIDE=FQ","FILING_STATUS=MR","FA_ADJUSTED=GAAP","Sort=A","Dates=H","DateFormat=P","Fill=—","Direction=H","UseDPDF=Y")</f>
        <v>1.9029</v>
      </c>
      <c r="L10" s="20">
        <f>_xll.BDH("ALNY US Equity","ACCOUNTS_PAYABLE_TURNOVER","FQ1 2021","FQ1 2021","Currency=USD","Period=FQ","BEST_FPERIOD_OVERRIDE=FQ","FILING_STATUS=MR","FA_ADJUSTED=GAAP","Sort=A","Dates=H","DateFormat=P","Fill=—","Direction=H","UseDPDF=Y")</f>
        <v>2.3631000000000002</v>
      </c>
      <c r="M10" s="20">
        <f>_xll.BDH("ALNY US Equity","ACCOUNTS_PAYABLE_TURNOVER","FQ2 2021","FQ2 2021","Currency=USD","Period=FQ","BEST_FPERIOD_OVERRIDE=FQ","FILING_STATUS=MR","FA_ADJUSTED=GAAP","Sort=A","Dates=H","DateFormat=P","Fill=—","Direction=H","UseDPDF=Y")</f>
        <v>3.07</v>
      </c>
      <c r="N10" s="20">
        <f>_xll.BDH("ALNY US Equity","ACCOUNTS_PAYABLE_TURNOVER","FQ3 2021","FQ3 2021","Currency=USD","Period=FQ","BEST_FPERIOD_OVERRIDE=FQ","FILING_STATUS=MR","FA_ADJUSTED=GAAP","Sort=A","Dates=H","DateFormat=P","Fill=—","Direction=H","UseDPDF=Y")</f>
        <v>4.6071999999999997</v>
      </c>
      <c r="O10" s="20">
        <f>_xll.BDH("ALNY US Equity","ACCOUNTS_PAYABLE_TURNOVER","FQ4 2021","FQ4 2021","Currency=USD","Period=FQ","BEST_FPERIOD_OVERRIDE=FQ","FILING_STATUS=MR","FA_ADJUSTED=GAAP","Sort=A","Dates=H","DateFormat=P","Fill=—","Direction=H","UseDPDF=Y")</f>
        <v>2.4133</v>
      </c>
      <c r="P10" s="20">
        <f>_xll.BDH("ALNY US Equity","ACCOUNTS_PAYABLE_TURNOVER","FQ1 2022","FQ1 2022","Currency=USD","Period=FQ","BEST_FPERIOD_OVERRIDE=FQ","FILING_STATUS=MR","FA_ADJUSTED=GAAP","Sort=A","Dates=H","DateFormat=P","Fill=—","Direction=H","UseDPDF=Y")</f>
        <v>2.9769000000000001</v>
      </c>
      <c r="Q10" s="20">
        <f>_xll.BDH("ALNY US Equity","ACCOUNTS_PAYABLE_TURNOVER","FQ2 2022","FQ2 2022","Currency=USD","Period=FQ","BEST_FPERIOD_OVERRIDE=FQ","FILING_STATUS=MR","FA_ADJUSTED=GAAP","Sort=A","Dates=H","DateFormat=P","Fill=—","Direction=H","UseDPDF=Y")</f>
        <v>2.8698000000000001</v>
      </c>
      <c r="R10" s="20">
        <f>_xll.BDH("ALNY US Equity","ACCOUNTS_PAYABLE_TURNOVER","FQ3 2022","FQ3 2022","Currency=USD","Period=FQ","BEST_FPERIOD_OVERRIDE=FQ","FILING_STATUS=MR","FA_ADJUSTED=GAAP","Sort=A","Dates=H","DateFormat=P","Fill=—","Direction=H","UseDPDF=Y")</f>
        <v>4.2869000000000002</v>
      </c>
      <c r="S10" s="20">
        <f>_xll.BDH("ALNY US Equity","ACCOUNTS_PAYABLE_TURNOVER","FQ4 2022","FQ4 2022","Currency=USD","Period=FQ","BEST_FPERIOD_OVERRIDE=FQ","FILING_STATUS=MR","FA_ADJUSTED=GAAP","Sort=A","Dates=H","DateFormat=P","Fill=—","Direction=H","UseDPDF=Y")</f>
        <v>2.4651999999999998</v>
      </c>
      <c r="T10" s="20">
        <f>_xll.BDH("ALNY US Equity","ACCOUNTS_PAYABLE_TURNOVER","FQ1 2023","FQ1 2023","Currency=USD","Period=FQ","BEST_FPERIOD_OVERRIDE=FQ","FILING_STATUS=MR","FA_ADJUSTED=GAAP","Sort=A","Dates=H","DateFormat=P","Fill=—","Direction=H","UseDPDF=Y")</f>
        <v>4.1215000000000002</v>
      </c>
      <c r="U10" s="20">
        <f>_xll.BDH("ALNY US Equity","ACCOUNTS_PAYABLE_TURNOVER","FQ2 2023","FQ2 2023","Currency=USD","Period=FQ","BEST_FPERIOD_OVERRIDE=FQ","FILING_STATUS=MR","FA_ADJUSTED=GAAP","Sort=A","Dates=H","DateFormat=P","Fill=—","Direction=H","UseDPDF=Y")</f>
        <v>4.3525</v>
      </c>
      <c r="V10" s="20">
        <f>_xll.BDH("ALNY US Equity","ACCOUNTS_PAYABLE_TURNOVER","FQ3 2023","FQ3 2023","Currency=USD","Period=FQ","BEST_FPERIOD_OVERRIDE=FQ","FILING_STATUS=MR","FA_ADJUSTED=GAAP","Sort=A","Dates=H","DateFormat=P","Fill=—","Direction=H","UseDPDF=Y")</f>
        <v>4.4767000000000001</v>
      </c>
      <c r="W10" s="20">
        <f>_xll.BDH("ALNY US Equity","ACCOUNTS_PAYABLE_TURNOVER","FQ4 2023","FQ4 2023","Currency=USD","Period=FQ","BEST_FPERIOD_OVERRIDE=FQ","FILING_STATUS=MR","FA_ADJUSTED=GAAP","Sort=A","Dates=H","DateFormat=P","Fill=—","Direction=H","UseDPDF=Y")</f>
        <v>3.5230000000000001</v>
      </c>
      <c r="X10" s="20">
        <f>_xll.BDH("ALNY US Equity","ACCOUNTS_PAYABLE_TURNOVER","FQ1 2024","FQ1 2024","Currency=USD","Period=FQ","BEST_FPERIOD_OVERRIDE=FQ","FILING_STATUS=MR","FA_ADJUSTED=GAAP","Sort=A","Dates=H","DateFormat=P","Fill=—","Direction=H","UseDPDF=Y")</f>
        <v>4.0406000000000004</v>
      </c>
      <c r="Y10" s="20">
        <f>_xll.BDH("ALNY US Equity","ACCOUNTS_PAYABLE_TURNOVER","FQ2 2024","FQ2 2024","Currency=USD","Period=FQ","BEST_FPERIOD_OVERRIDE=FQ","FILING_STATUS=MR","FA_ADJUSTED=GAAP","Sort=A","Dates=H","DateFormat=P","Fill=—","Direction=H","UseDPDF=Y")</f>
        <v>4.3124000000000002</v>
      </c>
      <c r="Z10" s="20">
        <f>_xll.BDH("ALNY US Equity","ACCOUNTS_PAYABLE_TURNOVER","FQ3 2024","FQ3 2024","Currency=USD","Period=FQ","BEST_FPERIOD_OVERRIDE=FQ","FILING_STATUS=MR","FA_ADJUSTED=GAAP","Sort=A","Dates=H","DateFormat=P","Fill=—","Direction=H","UseDPDF=Y")</f>
        <v>3.9632000000000001</v>
      </c>
      <c r="AA10" s="20">
        <f>_xll.BDH("ALNY US Equity","ACCOUNTS_PAYABLE_TURNOVER","FQ4 2024","FQ4 2024","Currency=USD","Period=FQ","BEST_FPERIOD_OVERRIDE=FQ","FILING_STATUS=MR","FA_ADJUSTED=GAAP","Sort=A","Dates=H","DateFormat=P","Fill=—","Direction=H","UseDPDF=Y")</f>
        <v>4.3455000000000004</v>
      </c>
    </row>
    <row r="11" spans="1:27" x14ac:dyDescent="0.25">
      <c r="A11" s="10" t="s">
        <v>1529</v>
      </c>
      <c r="B11" s="10" t="s">
        <v>1530</v>
      </c>
      <c r="C11" s="14" t="str">
        <f>_xll.BDH("ALNY US Equity","ACCOUNTS_PAYABLE_TURNOVER_DAYS","FQ4 2018","FQ4 2018","Currency=USD","Period=FQ","BEST_FPERIOD_OVERRIDE=FQ","FILING_STATUS=MR","FA_ADJUSTED=GAAP","Sort=A","Dates=H","DateFormat=P","Fill=—","Direction=H","UseDPDF=Y")</f>
        <v>—</v>
      </c>
      <c r="D11" s="14">
        <f>_xll.BDH("ALNY US Equity","ACCOUNTS_PAYABLE_TURNOVER_DAYS","FQ1 2019","FQ1 2019","Currency=USD","Period=FQ","BEST_FPERIOD_OVERRIDE=FQ","FILING_STATUS=MR","FA_ADJUSTED=GAAP","Sort=A","Dates=H","DateFormat=P","Fill=—","Direction=H","UseDPDF=Y")</f>
        <v>176.24639999999999</v>
      </c>
      <c r="E11" s="14">
        <f>_xll.BDH("ALNY US Equity","ACCOUNTS_PAYABLE_TURNOVER_DAYS","FQ2 2019","FQ2 2019","Currency=USD","Period=FQ","BEST_FPERIOD_OVERRIDE=FQ","FILING_STATUS=MR","FA_ADJUSTED=GAAP","Sort=A","Dates=H","DateFormat=P","Fill=—","Direction=H","UseDPDF=Y")</f>
        <v>303.31479999999999</v>
      </c>
      <c r="F11" s="14">
        <f>_xll.BDH("ALNY US Equity","ACCOUNTS_PAYABLE_TURNOVER_DAYS","FQ3 2019","FQ3 2019","Currency=USD","Period=FQ","BEST_FPERIOD_OVERRIDE=FQ","FILING_STATUS=MR","FA_ADJUSTED=GAAP","Sort=A","Dates=H","DateFormat=P","Fill=—","Direction=H","UseDPDF=Y")</f>
        <v>192.34960000000001</v>
      </c>
      <c r="G11" s="14">
        <f>_xll.BDH("ALNY US Equity","ACCOUNTS_PAYABLE_TURNOVER_DAYS","FQ4 2019","FQ4 2019","Currency=USD","Period=FQ","BEST_FPERIOD_OVERRIDE=FQ","FILING_STATUS=MR","FA_ADJUSTED=GAAP","Sort=A","Dates=H","DateFormat=P","Fill=—","Direction=H","UseDPDF=Y")</f>
        <v>348.79390000000001</v>
      </c>
      <c r="H11" s="14">
        <f>_xll.BDH("ALNY US Equity","ACCOUNTS_PAYABLE_TURNOVER_DAYS","FQ1 2020","FQ1 2020","Currency=USD","Period=FQ","BEST_FPERIOD_OVERRIDE=FQ","FILING_STATUS=MR","FA_ADJUSTED=GAAP","Sort=A","Dates=H","DateFormat=P","Fill=—","Direction=H","UseDPDF=Y")</f>
        <v>162.05850000000001</v>
      </c>
      <c r="I11" s="14">
        <f>_xll.BDH("ALNY US Equity","ACCOUNTS_PAYABLE_TURNOVER_DAYS","FQ2 2020","FQ2 2020","Currency=USD","Period=FQ","BEST_FPERIOD_OVERRIDE=FQ","FILING_STATUS=MR","FA_ADJUSTED=GAAP","Sort=A","Dates=H","DateFormat=P","Fill=—","Direction=H","UseDPDF=Y")</f>
        <v>203.69370000000001</v>
      </c>
      <c r="J11" s="14">
        <f>_xll.BDH("ALNY US Equity","ACCOUNTS_PAYABLE_TURNOVER_DAYS","FQ3 2020","FQ3 2020","Currency=USD","Period=FQ","BEST_FPERIOD_OVERRIDE=FQ","FILING_STATUS=MR","FA_ADJUSTED=GAAP","Sort=A","Dates=H","DateFormat=P","Fill=—","Direction=H","UseDPDF=Y")</f>
        <v>154.67070000000001</v>
      </c>
      <c r="K11" s="14">
        <f>_xll.BDH("ALNY US Equity","ACCOUNTS_PAYABLE_TURNOVER_DAYS","FQ4 2020","FQ4 2020","Currency=USD","Period=FQ","BEST_FPERIOD_OVERRIDE=FQ","FILING_STATUS=MR","FA_ADJUSTED=GAAP","Sort=A","Dates=H","DateFormat=P","Fill=—","Direction=H","UseDPDF=Y")</f>
        <v>192.3364</v>
      </c>
      <c r="L11" s="14">
        <f>_xll.BDH("ALNY US Equity","ACCOUNTS_PAYABLE_TURNOVER_DAYS","FQ1 2021","FQ1 2021","Currency=USD","Period=FQ","BEST_FPERIOD_OVERRIDE=FQ","FILING_STATUS=MR","FA_ADJUSTED=GAAP","Sort=A","Dates=H","DateFormat=P","Fill=—","Direction=H","UseDPDF=Y")</f>
        <v>154.46090000000001</v>
      </c>
      <c r="M11" s="14">
        <f>_xll.BDH("ALNY US Equity","ACCOUNTS_PAYABLE_TURNOVER_DAYS","FQ2 2021","FQ2 2021","Currency=USD","Period=FQ","BEST_FPERIOD_OVERRIDE=FQ","FILING_STATUS=MR","FA_ADJUSTED=GAAP","Sort=A","Dates=H","DateFormat=P","Fill=—","Direction=H","UseDPDF=Y")</f>
        <v>118.8926</v>
      </c>
      <c r="N11" s="14">
        <f>_xll.BDH("ALNY US Equity","ACCOUNTS_PAYABLE_TURNOVER_DAYS","FQ3 2021","FQ3 2021","Currency=USD","Period=FQ","BEST_FPERIOD_OVERRIDE=FQ","FILING_STATUS=MR","FA_ADJUSTED=GAAP","Sort=A","Dates=H","DateFormat=P","Fill=—","Direction=H","UseDPDF=Y")</f>
        <v>79.223600000000005</v>
      </c>
      <c r="O11" s="14">
        <f>_xll.BDH("ALNY US Equity","ACCOUNTS_PAYABLE_TURNOVER_DAYS","FQ4 2021","FQ4 2021","Currency=USD","Period=FQ","BEST_FPERIOD_OVERRIDE=FQ","FILING_STATUS=MR","FA_ADJUSTED=GAAP","Sort=A","Dates=H","DateFormat=P","Fill=—","Direction=H","UseDPDF=Y")</f>
        <v>151.24440000000001</v>
      </c>
      <c r="P11" s="14">
        <f>_xll.BDH("ALNY US Equity","ACCOUNTS_PAYABLE_TURNOVER_DAYS","FQ1 2022","FQ1 2022","Currency=USD","Period=FQ","BEST_FPERIOD_OVERRIDE=FQ","FILING_STATUS=MR","FA_ADJUSTED=GAAP","Sort=A","Dates=H","DateFormat=P","Fill=—","Direction=H","UseDPDF=Y")</f>
        <v>122.6125</v>
      </c>
      <c r="Q11" s="14">
        <f>_xll.BDH("ALNY US Equity","ACCOUNTS_PAYABLE_TURNOVER_DAYS","FQ2 2022","FQ2 2022","Currency=USD","Period=FQ","BEST_FPERIOD_OVERRIDE=FQ","FILING_STATUS=MR","FA_ADJUSTED=GAAP","Sort=A","Dates=H","DateFormat=P","Fill=—","Direction=H","UseDPDF=Y")</f>
        <v>127.1846</v>
      </c>
      <c r="R11" s="14">
        <f>_xll.BDH("ALNY US Equity","ACCOUNTS_PAYABLE_TURNOVER_DAYS","FQ3 2022","FQ3 2022","Currency=USD","Period=FQ","BEST_FPERIOD_OVERRIDE=FQ","FILING_STATUS=MR","FA_ADJUSTED=GAAP","Sort=A","Dates=H","DateFormat=P","Fill=—","Direction=H","UseDPDF=Y")</f>
        <v>85.143100000000004</v>
      </c>
      <c r="S11" s="14">
        <f>_xll.BDH("ALNY US Equity","ACCOUNTS_PAYABLE_TURNOVER_DAYS","FQ4 2022","FQ4 2022","Currency=USD","Period=FQ","BEST_FPERIOD_OVERRIDE=FQ","FILING_STATUS=MR","FA_ADJUSTED=GAAP","Sort=A","Dates=H","DateFormat=P","Fill=—","Direction=H","UseDPDF=Y")</f>
        <v>148.0607</v>
      </c>
      <c r="T11" s="14">
        <f>_xll.BDH("ALNY US Equity","ACCOUNTS_PAYABLE_TURNOVER_DAYS","FQ1 2023","FQ1 2023","Currency=USD","Period=FQ","BEST_FPERIOD_OVERRIDE=FQ","FILING_STATUS=MR","FA_ADJUSTED=GAAP","Sort=A","Dates=H","DateFormat=P","Fill=—","Direction=H","UseDPDF=Y")</f>
        <v>88.560400000000001</v>
      </c>
      <c r="U11" s="14">
        <f>_xll.BDH("ALNY US Equity","ACCOUNTS_PAYABLE_TURNOVER_DAYS","FQ2 2023","FQ2 2023","Currency=USD","Period=FQ","BEST_FPERIOD_OVERRIDE=FQ","FILING_STATUS=MR","FA_ADJUSTED=GAAP","Sort=A","Dates=H","DateFormat=P","Fill=—","Direction=H","UseDPDF=Y")</f>
        <v>83.859499999999997</v>
      </c>
      <c r="V11" s="14">
        <f>_xll.BDH("ALNY US Equity","ACCOUNTS_PAYABLE_TURNOVER_DAYS","FQ3 2023","FQ3 2023","Currency=USD","Period=FQ","BEST_FPERIOD_OVERRIDE=FQ","FILING_STATUS=MR","FA_ADJUSTED=GAAP","Sort=A","Dates=H","DateFormat=P","Fill=—","Direction=H","UseDPDF=Y")</f>
        <v>81.532700000000006</v>
      </c>
      <c r="W11" s="14">
        <f>_xll.BDH("ALNY US Equity","ACCOUNTS_PAYABLE_TURNOVER_DAYS","FQ4 2023","FQ4 2023","Currency=USD","Period=FQ","BEST_FPERIOD_OVERRIDE=FQ","FILING_STATUS=MR","FA_ADJUSTED=GAAP","Sort=A","Dates=H","DateFormat=P","Fill=—","Direction=H","UseDPDF=Y")</f>
        <v>103.6046</v>
      </c>
      <c r="X11" s="14">
        <f>_xll.BDH("ALNY US Equity","ACCOUNTS_PAYABLE_TURNOVER_DAYS","FQ1 2024","FQ1 2024","Currency=USD","Period=FQ","BEST_FPERIOD_OVERRIDE=FQ","FILING_STATUS=MR","FA_ADJUSTED=GAAP","Sort=A","Dates=H","DateFormat=P","Fill=—","Direction=H","UseDPDF=Y")</f>
        <v>90.579899999999995</v>
      </c>
      <c r="Y11" s="14">
        <f>_xll.BDH("ALNY US Equity","ACCOUNTS_PAYABLE_TURNOVER_DAYS","FQ2 2024","FQ2 2024","Currency=USD","Period=FQ","BEST_FPERIOD_OVERRIDE=FQ","FILING_STATUS=MR","FA_ADJUSTED=GAAP","Sort=A","Dates=H","DateFormat=P","Fill=—","Direction=H","UseDPDF=Y")</f>
        <v>84.870699999999999</v>
      </c>
      <c r="Z11" s="14">
        <f>_xll.BDH("ALNY US Equity","ACCOUNTS_PAYABLE_TURNOVER_DAYS","FQ3 2024","FQ3 2024","Currency=USD","Period=FQ","BEST_FPERIOD_OVERRIDE=FQ","FILING_STATUS=MR","FA_ADJUSTED=GAAP","Sort=A","Dates=H","DateFormat=P","Fill=—","Direction=H","UseDPDF=Y")</f>
        <v>92.350099999999998</v>
      </c>
      <c r="AA11" s="14">
        <f>_xll.BDH("ALNY US Equity","ACCOUNTS_PAYABLE_TURNOVER_DAYS","FQ4 2024","FQ4 2024","Currency=USD","Period=FQ","BEST_FPERIOD_OVERRIDE=FQ","FILING_STATUS=MR","FA_ADJUSTED=GAAP","Sort=A","Dates=H","DateFormat=P","Fill=—","Direction=H","UseDPDF=Y")</f>
        <v>84.224999999999994</v>
      </c>
    </row>
    <row r="12" spans="1:27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6" t="s">
        <v>821</v>
      </c>
      <c r="B13" s="6" t="s">
        <v>822</v>
      </c>
      <c r="C13" s="20" t="str">
        <f>_xll.BDH("ALNY US Equity","CASH_CONVERSION_CYCLE","FQ4 2018","FQ4 2018","Currency=USD","Period=FQ","BEST_FPERIOD_OVERRIDE=FQ","FILING_STATUS=MR","FA_ADJUSTED=GAAP","Sort=A","Dates=H","DateFormat=P","Fill=—","Direction=H","UseDPDF=Y")</f>
        <v>—</v>
      </c>
      <c r="D13" s="20">
        <f>_xll.BDH("ALNY US Equity","CASH_CONVERSION_CYCLE","FQ1 2019","FQ1 2019","Currency=USD","Period=FQ","BEST_FPERIOD_OVERRIDE=FQ","FILING_STATUS=MR","FA_ADJUSTED=GAAP","Sort=A","Dates=H","DateFormat=P","Fill=—","Direction=H","UseDPDF=Y")</f>
        <v>1029.4668999999999</v>
      </c>
      <c r="E13" s="20">
        <f>_xll.BDH("ALNY US Equity","CASH_CONVERSION_CYCLE","FQ2 2019","FQ2 2019","Currency=USD","Period=FQ","BEST_FPERIOD_OVERRIDE=FQ","FILING_STATUS=MR","FA_ADJUSTED=GAAP","Sort=A","Dates=H","DateFormat=P","Fill=—","Direction=H","UseDPDF=Y")</f>
        <v>533.92290000000003</v>
      </c>
      <c r="F13" s="20">
        <f>_xll.BDH("ALNY US Equity","CASH_CONVERSION_CYCLE","FQ3 2019","FQ3 2019","Currency=USD","Period=FQ","BEST_FPERIOD_OVERRIDE=FQ","FILING_STATUS=MR","FA_ADJUSTED=GAAP","Sort=A","Dates=H","DateFormat=P","Fill=—","Direction=H","UseDPDF=Y")</f>
        <v>686.50009999999997</v>
      </c>
      <c r="G13" s="20">
        <f>_xll.BDH("ALNY US Equity","CASH_CONVERSION_CYCLE","FQ4 2019","FQ4 2019","Currency=USD","Period=FQ","BEST_FPERIOD_OVERRIDE=FQ","FILING_STATUS=MR","FA_ADJUSTED=GAAP","Sort=A","Dates=H","DateFormat=P","Fill=—","Direction=H","UseDPDF=Y")</f>
        <v>288.0908</v>
      </c>
      <c r="H13" s="20">
        <f>_xll.BDH("ALNY US Equity","CASH_CONVERSION_CYCLE","FQ1 2020","FQ1 2020","Currency=USD","Period=FQ","BEST_FPERIOD_OVERRIDE=FQ","FILING_STATUS=MR","FA_ADJUSTED=GAAP","Sort=A","Dates=H","DateFormat=P","Fill=—","Direction=H","UseDPDF=Y")</f>
        <v>432.11790000000002</v>
      </c>
      <c r="I13" s="20">
        <f>_xll.BDH("ALNY US Equity","CASH_CONVERSION_CYCLE","FQ2 2020","FQ2 2020","Currency=USD","Period=FQ","BEST_FPERIOD_OVERRIDE=FQ","FILING_STATUS=MR","FA_ADJUSTED=GAAP","Sort=A","Dates=H","DateFormat=P","Fill=—","Direction=H","UseDPDF=Y")</f>
        <v>275.85300000000001</v>
      </c>
      <c r="J13" s="20">
        <f>_xll.BDH("ALNY US Equity","CASH_CONVERSION_CYCLE","FQ3 2020","FQ3 2020","Currency=USD","Period=FQ","BEST_FPERIOD_OVERRIDE=FQ","FILING_STATUS=MR","FA_ADJUSTED=GAAP","Sort=A","Dates=H","DateFormat=P","Fill=—","Direction=H","UseDPDF=Y")</f>
        <v>234.25630000000001</v>
      </c>
      <c r="K13" s="20">
        <f>_xll.BDH("ALNY US Equity","CASH_CONVERSION_CYCLE","FQ4 2020","FQ4 2020","Currency=USD","Period=FQ","BEST_FPERIOD_OVERRIDE=FQ","FILING_STATUS=MR","FA_ADJUSTED=GAAP","Sort=A","Dates=H","DateFormat=P","Fill=—","Direction=H","UseDPDF=Y")</f>
        <v>170.0915</v>
      </c>
      <c r="L13" s="20">
        <f>_xll.BDH("ALNY US Equity","CASH_CONVERSION_CYCLE","FQ1 2021","FQ1 2021","Currency=USD","Period=FQ","BEST_FPERIOD_OVERRIDE=FQ","FILING_STATUS=MR","FA_ADJUSTED=GAAP","Sort=A","Dates=H","DateFormat=P","Fill=—","Direction=H","UseDPDF=Y")</f>
        <v>175.9915</v>
      </c>
      <c r="M13" s="20">
        <f>_xll.BDH("ALNY US Equity","CASH_CONVERSION_CYCLE","FQ2 2021","FQ2 2021","Currency=USD","Period=FQ","BEST_FPERIOD_OVERRIDE=FQ","FILING_STATUS=MR","FA_ADJUSTED=GAAP","Sort=A","Dates=H","DateFormat=P","Fill=—","Direction=H","UseDPDF=Y")</f>
        <v>195.9058</v>
      </c>
      <c r="N13" s="20">
        <f>_xll.BDH("ALNY US Equity","CASH_CONVERSION_CYCLE","FQ3 2021","FQ3 2021","Currency=USD","Period=FQ","BEST_FPERIOD_OVERRIDE=FQ","FILING_STATUS=MR","FA_ADJUSTED=GAAP","Sort=A","Dates=H","DateFormat=P","Fill=—","Direction=H","UseDPDF=Y")</f>
        <v>214.1045</v>
      </c>
      <c r="O13" s="20">
        <f>_xll.BDH("ALNY US Equity","CASH_CONVERSION_CYCLE","FQ4 2021","FQ4 2021","Currency=USD","Period=FQ","BEST_FPERIOD_OVERRIDE=FQ","FILING_STATUS=MR","FA_ADJUSTED=GAAP","Sort=A","Dates=H","DateFormat=P","Fill=—","Direction=H","UseDPDF=Y")</f>
        <v>124.211</v>
      </c>
      <c r="P13" s="20">
        <f>_xll.BDH("ALNY US Equity","CASH_CONVERSION_CYCLE","FQ1 2022","FQ1 2022","Currency=USD","Period=FQ","BEST_FPERIOD_OVERRIDE=FQ","FILING_STATUS=MR","FA_ADJUSTED=GAAP","Sort=A","Dates=H","DateFormat=P","Fill=—","Direction=H","UseDPDF=Y")</f>
        <v>125.0641</v>
      </c>
      <c r="Q13" s="20">
        <f>_xll.BDH("ALNY US Equity","CASH_CONVERSION_CYCLE","FQ2 2022","FQ2 2022","Currency=USD","Period=FQ","BEST_FPERIOD_OVERRIDE=FQ","FILING_STATUS=MR","FA_ADJUSTED=GAAP","Sort=A","Dates=H","DateFormat=P","Fill=—","Direction=H","UseDPDF=Y")</f>
        <v>147.97559999999999</v>
      </c>
      <c r="R13" s="20">
        <f>_xll.BDH("ALNY US Equity","CASH_CONVERSION_CYCLE","FQ3 2022","FQ3 2022","Currency=USD","Period=FQ","BEST_FPERIOD_OVERRIDE=FQ","FILING_STATUS=MR","FA_ADJUSTED=GAAP","Sort=A","Dates=H","DateFormat=P","Fill=—","Direction=H","UseDPDF=Y")</f>
        <v>227.59049999999999</v>
      </c>
      <c r="S13" s="20">
        <f>_xll.BDH("ALNY US Equity","CASH_CONVERSION_CYCLE","FQ4 2022","FQ4 2022","Currency=USD","Period=FQ","BEST_FPERIOD_OVERRIDE=FQ","FILING_STATUS=MR","FA_ADJUSTED=GAAP","Sort=A","Dates=H","DateFormat=P","Fill=—","Direction=H","UseDPDF=Y")</f>
        <v>161.51089999999999</v>
      </c>
      <c r="T13" s="20">
        <f>_xll.BDH("ALNY US Equity","CASH_CONVERSION_CYCLE","FQ1 2023","FQ1 2023","Currency=USD","Period=FQ","BEST_FPERIOD_OVERRIDE=FQ","FILING_STATUS=MR","FA_ADJUSTED=GAAP","Sort=A","Dates=H","DateFormat=P","Fill=—","Direction=H","UseDPDF=Y")</f>
        <v>175.6215</v>
      </c>
      <c r="U13" s="20">
        <f>_xll.BDH("ALNY US Equity","CASH_CONVERSION_CYCLE","FQ2 2023","FQ2 2023","Currency=USD","Period=FQ","BEST_FPERIOD_OVERRIDE=FQ","FILING_STATUS=MR","FA_ADJUSTED=GAAP","Sort=A","Dates=H","DateFormat=P","Fill=—","Direction=H","UseDPDF=Y")</f>
        <v>118.2792</v>
      </c>
      <c r="V13" s="20">
        <f>_xll.BDH("ALNY US Equity","CASH_CONVERSION_CYCLE","FQ3 2023","FQ3 2023","Currency=USD","Period=FQ","BEST_FPERIOD_OVERRIDE=FQ","FILING_STATUS=MR","FA_ADJUSTED=GAAP","Sort=A","Dates=H","DateFormat=P","Fill=—","Direction=H","UseDPDF=Y")</f>
        <v>112.249</v>
      </c>
      <c r="W13" s="20">
        <f>_xll.BDH("ALNY US Equity","CASH_CONVERSION_CYCLE","FQ4 2023","FQ4 2023","Currency=USD","Period=FQ","BEST_FPERIOD_OVERRIDE=FQ","FILING_STATUS=MR","FA_ADJUSTED=GAAP","Sort=A","Dates=H","DateFormat=P","Fill=—","Direction=H","UseDPDF=Y")</f>
        <v>81.102900000000005</v>
      </c>
      <c r="X13" s="20">
        <f>_xll.BDH("ALNY US Equity","CASH_CONVERSION_CYCLE","FQ1 2024","FQ1 2024","Currency=USD","Period=FQ","BEST_FPERIOD_OVERRIDE=FQ","FILING_STATUS=MR","FA_ADJUSTED=GAAP","Sort=A","Dates=H","DateFormat=P","Fill=—","Direction=H","UseDPDF=Y")</f>
        <v>87.381799999999998</v>
      </c>
      <c r="Y13" s="20">
        <f>_xll.BDH("ALNY US Equity","CASH_CONVERSION_CYCLE","FQ2 2024","FQ2 2024","Currency=USD","Period=FQ","BEST_FPERIOD_OVERRIDE=FQ","FILING_STATUS=MR","FA_ADJUSTED=GAAP","Sort=A","Dates=H","DateFormat=P","Fill=—","Direction=H","UseDPDF=Y")</f>
        <v>67.236800000000002</v>
      </c>
      <c r="Z13" s="20">
        <f>_xll.BDH("ALNY US Equity","CASH_CONVERSION_CYCLE","FQ3 2024","FQ3 2024","Currency=USD","Period=FQ","BEST_FPERIOD_OVERRIDE=FQ","FILING_STATUS=MR","FA_ADJUSTED=GAAP","Sort=A","Dates=H","DateFormat=P","Fill=—","Direction=H","UseDPDF=Y")</f>
        <v>69.573099999999997</v>
      </c>
      <c r="AA13" s="20">
        <f>_xll.BDH("ALNY US Equity","CASH_CONVERSION_CYCLE","FQ4 2024","FQ4 2024","Currency=USD","Period=FQ","BEST_FPERIOD_OVERRIDE=FQ","FILING_STATUS=MR","FA_ADJUSTED=GAAP","Sort=A","Dates=H","DateFormat=P","Fill=—","Direction=H","UseDPDF=Y")</f>
        <v>70.325199999999995</v>
      </c>
    </row>
    <row r="14" spans="1:27" x14ac:dyDescent="0.25">
      <c r="A14" s="6" t="s">
        <v>1531</v>
      </c>
      <c r="B14" s="6" t="s">
        <v>1532</v>
      </c>
      <c r="C14" s="20" t="str">
        <f>_xll.BDH("ALNY US Equity","INV_TO_CASH_DAYS","FQ4 2018","FQ4 2018","Currency=USD","Period=FQ","BEST_FPERIOD_OVERRIDE=FQ","FILING_STATUS=MR","FA_ADJUSTED=GAAP","Sort=A","Dates=H","DateFormat=P","Fill=—","Direction=H","UseDPDF=Y")</f>
        <v>—</v>
      </c>
      <c r="D14" s="20">
        <f>_xll.BDH("ALNY US Equity","INV_TO_CASH_DAYS","FQ1 2019","FQ1 2019","Currency=USD","Period=FQ","BEST_FPERIOD_OVERRIDE=FQ","FILING_STATUS=MR","FA_ADJUSTED=GAAP","Sort=A","Dates=H","DateFormat=P","Fill=—","Direction=H","UseDPDF=Y")</f>
        <v>1205.7132999999999</v>
      </c>
      <c r="E14" s="20">
        <f>_xll.BDH("ALNY US Equity","INV_TO_CASH_DAYS","FQ2 2019","FQ2 2019","Currency=USD","Period=FQ","BEST_FPERIOD_OVERRIDE=FQ","FILING_STATUS=MR","FA_ADJUSTED=GAAP","Sort=A","Dates=H","DateFormat=P","Fill=—","Direction=H","UseDPDF=Y")</f>
        <v>837.23770000000002</v>
      </c>
      <c r="F14" s="20">
        <f>_xll.BDH("ALNY US Equity","INV_TO_CASH_DAYS","FQ3 2019","FQ3 2019","Currency=USD","Period=FQ","BEST_FPERIOD_OVERRIDE=FQ","FILING_STATUS=MR","FA_ADJUSTED=GAAP","Sort=A","Dates=H","DateFormat=P","Fill=—","Direction=H","UseDPDF=Y")</f>
        <v>878.84969999999998</v>
      </c>
      <c r="G14" s="20">
        <f>_xll.BDH("ALNY US Equity","INV_TO_CASH_DAYS","FQ4 2019","FQ4 2019","Currency=USD","Period=FQ","BEST_FPERIOD_OVERRIDE=FQ","FILING_STATUS=MR","FA_ADJUSTED=GAAP","Sort=A","Dates=H","DateFormat=P","Fill=—","Direction=H","UseDPDF=Y")</f>
        <v>636.88469999999995</v>
      </c>
      <c r="H14" s="20">
        <f>_xll.BDH("ALNY US Equity","INV_TO_CASH_DAYS","FQ1 2020","FQ1 2020","Currency=USD","Period=FQ","BEST_FPERIOD_OVERRIDE=FQ","FILING_STATUS=MR","FA_ADJUSTED=GAAP","Sort=A","Dates=H","DateFormat=P","Fill=—","Direction=H","UseDPDF=Y")</f>
        <v>594.17639999999994</v>
      </c>
      <c r="I14" s="20">
        <f>_xll.BDH("ALNY US Equity","INV_TO_CASH_DAYS","FQ2 2020","FQ2 2020","Currency=USD","Period=FQ","BEST_FPERIOD_OVERRIDE=FQ","FILING_STATUS=MR","FA_ADJUSTED=GAAP","Sort=A","Dates=H","DateFormat=P","Fill=—","Direction=H","UseDPDF=Y")</f>
        <v>479.54680000000002</v>
      </c>
      <c r="J14" s="20">
        <f>_xll.BDH("ALNY US Equity","INV_TO_CASH_DAYS","FQ3 2020","FQ3 2020","Currency=USD","Period=FQ","BEST_FPERIOD_OVERRIDE=FQ","FILING_STATUS=MR","FA_ADJUSTED=GAAP","Sort=A","Dates=H","DateFormat=P","Fill=—","Direction=H","UseDPDF=Y")</f>
        <v>388.92700000000002</v>
      </c>
      <c r="K14" s="20">
        <f>_xll.BDH("ALNY US Equity","INV_TO_CASH_DAYS","FQ4 2020","FQ4 2020","Currency=USD","Period=FQ","BEST_FPERIOD_OVERRIDE=FQ","FILING_STATUS=MR","FA_ADJUSTED=GAAP","Sort=A","Dates=H","DateFormat=P","Fill=—","Direction=H","UseDPDF=Y")</f>
        <v>362.42790000000002</v>
      </c>
      <c r="L14" s="20">
        <f>_xll.BDH("ALNY US Equity","INV_TO_CASH_DAYS","FQ1 2021","FQ1 2021","Currency=USD","Period=FQ","BEST_FPERIOD_OVERRIDE=FQ","FILING_STATUS=MR","FA_ADJUSTED=GAAP","Sort=A","Dates=H","DateFormat=P","Fill=—","Direction=H","UseDPDF=Y")</f>
        <v>330.45229999999998</v>
      </c>
      <c r="M14" s="20">
        <f>_xll.BDH("ALNY US Equity","INV_TO_CASH_DAYS","FQ2 2021","FQ2 2021","Currency=USD","Period=FQ","BEST_FPERIOD_OVERRIDE=FQ","FILING_STATUS=MR","FA_ADJUSTED=GAAP","Sort=A","Dates=H","DateFormat=P","Fill=—","Direction=H","UseDPDF=Y")</f>
        <v>314.79840000000002</v>
      </c>
      <c r="N14" s="20">
        <f>_xll.BDH("ALNY US Equity","INV_TO_CASH_DAYS","FQ3 2021","FQ3 2021","Currency=USD","Period=FQ","BEST_FPERIOD_OVERRIDE=FQ","FILING_STATUS=MR","FA_ADJUSTED=GAAP","Sort=A","Dates=H","DateFormat=P","Fill=—","Direction=H","UseDPDF=Y")</f>
        <v>293.32810000000001</v>
      </c>
      <c r="O14" s="20">
        <f>_xll.BDH("ALNY US Equity","INV_TO_CASH_DAYS","FQ4 2021","FQ4 2021","Currency=USD","Period=FQ","BEST_FPERIOD_OVERRIDE=FQ","FILING_STATUS=MR","FA_ADJUSTED=GAAP","Sort=A","Dates=H","DateFormat=P","Fill=—","Direction=H","UseDPDF=Y")</f>
        <v>275.4554</v>
      </c>
      <c r="P14" s="20">
        <f>_xll.BDH("ALNY US Equity","INV_TO_CASH_DAYS","FQ1 2022","FQ1 2022","Currency=USD","Period=FQ","BEST_FPERIOD_OVERRIDE=FQ","FILING_STATUS=MR","FA_ADJUSTED=GAAP","Sort=A","Dates=H","DateFormat=P","Fill=—","Direction=H","UseDPDF=Y")</f>
        <v>247.6765</v>
      </c>
      <c r="Q14" s="20">
        <f>_xll.BDH("ALNY US Equity","INV_TO_CASH_DAYS","FQ2 2022","FQ2 2022","Currency=USD","Period=FQ","BEST_FPERIOD_OVERRIDE=FQ","FILING_STATUS=MR","FA_ADJUSTED=GAAP","Sort=A","Dates=H","DateFormat=P","Fill=—","Direction=H","UseDPDF=Y")</f>
        <v>275.16019999999997</v>
      </c>
      <c r="R14" s="20">
        <f>_xll.BDH("ALNY US Equity","INV_TO_CASH_DAYS","FQ3 2022","FQ3 2022","Currency=USD","Period=FQ","BEST_FPERIOD_OVERRIDE=FQ","FILING_STATUS=MR","FA_ADJUSTED=GAAP","Sort=A","Dates=H","DateFormat=P","Fill=—","Direction=H","UseDPDF=Y")</f>
        <v>312.73360000000002</v>
      </c>
      <c r="S14" s="20">
        <f>_xll.BDH("ALNY US Equity","INV_TO_CASH_DAYS","FQ4 2022","FQ4 2022","Currency=USD","Period=FQ","BEST_FPERIOD_OVERRIDE=FQ","FILING_STATUS=MR","FA_ADJUSTED=GAAP","Sort=A","Dates=H","DateFormat=P","Fill=—","Direction=H","UseDPDF=Y")</f>
        <v>309.57159999999999</v>
      </c>
      <c r="T14" s="20">
        <f>_xll.BDH("ALNY US Equity","INV_TO_CASH_DAYS","FQ1 2023","FQ1 2023","Currency=USD","Period=FQ","BEST_FPERIOD_OVERRIDE=FQ","FILING_STATUS=MR","FA_ADJUSTED=GAAP","Sort=A","Dates=H","DateFormat=P","Fill=—","Direction=H","UseDPDF=Y")</f>
        <v>264.18189999999998</v>
      </c>
      <c r="U14" s="20">
        <f>_xll.BDH("ALNY US Equity","INV_TO_CASH_DAYS","FQ2 2023","FQ2 2023","Currency=USD","Period=FQ","BEST_FPERIOD_OVERRIDE=FQ","FILING_STATUS=MR","FA_ADJUSTED=GAAP","Sort=A","Dates=H","DateFormat=P","Fill=—","Direction=H","UseDPDF=Y")</f>
        <v>202.1387</v>
      </c>
      <c r="V14" s="20">
        <f>_xll.BDH("ALNY US Equity","INV_TO_CASH_DAYS","FQ3 2023","FQ3 2023","Currency=USD","Period=FQ","BEST_FPERIOD_OVERRIDE=FQ","FILING_STATUS=MR","FA_ADJUSTED=GAAP","Sort=A","Dates=H","DateFormat=P","Fill=—","Direction=H","UseDPDF=Y")</f>
        <v>193.7817</v>
      </c>
      <c r="W14" s="20">
        <f>_xll.BDH("ALNY US Equity","INV_TO_CASH_DAYS","FQ4 2023","FQ4 2023","Currency=USD","Period=FQ","BEST_FPERIOD_OVERRIDE=FQ","FILING_STATUS=MR","FA_ADJUSTED=GAAP","Sort=A","Dates=H","DateFormat=P","Fill=—","Direction=H","UseDPDF=Y")</f>
        <v>184.70750000000001</v>
      </c>
      <c r="X14" s="20">
        <f>_xll.BDH("ALNY US Equity","INV_TO_CASH_DAYS","FQ1 2024","FQ1 2024","Currency=USD","Period=FQ","BEST_FPERIOD_OVERRIDE=FQ","FILING_STATUS=MR","FA_ADJUSTED=GAAP","Sort=A","Dates=H","DateFormat=P","Fill=—","Direction=H","UseDPDF=Y")</f>
        <v>177.96170000000001</v>
      </c>
      <c r="Y14" s="20">
        <f>_xll.BDH("ALNY US Equity","INV_TO_CASH_DAYS","FQ2 2024","FQ2 2024","Currency=USD","Period=FQ","BEST_FPERIOD_OVERRIDE=FQ","FILING_STATUS=MR","FA_ADJUSTED=GAAP","Sort=A","Dates=H","DateFormat=P","Fill=—","Direction=H","UseDPDF=Y")</f>
        <v>152.10740000000001</v>
      </c>
      <c r="Z14" s="20">
        <f>_xll.BDH("ALNY US Equity","INV_TO_CASH_DAYS","FQ3 2024","FQ3 2024","Currency=USD","Period=FQ","BEST_FPERIOD_OVERRIDE=FQ","FILING_STATUS=MR","FA_ADJUSTED=GAAP","Sort=A","Dates=H","DateFormat=P","Fill=—","Direction=H","UseDPDF=Y")</f>
        <v>161.92320000000001</v>
      </c>
      <c r="AA14" s="20">
        <f>_xll.BDH("ALNY US Equity","INV_TO_CASH_DAYS","FQ4 2024","FQ4 2024","Currency=USD","Period=FQ","BEST_FPERIOD_OVERRIDE=FQ","FILING_STATUS=MR","FA_ADJUSTED=GAAP","Sort=A","Dates=H","DateFormat=P","Fill=—","Direction=H","UseDPDF=Y")</f>
        <v>154.55019999999999</v>
      </c>
    </row>
    <row r="15" spans="1:27" x14ac:dyDescent="0.25">
      <c r="A15" s="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6" t="s">
        <v>1533</v>
      </c>
      <c r="B16" s="6" t="s">
        <v>687</v>
      </c>
      <c r="C16" s="19">
        <f>_xll.BDH("ALNY US Equity","BS_INVENTORIES","FQ4 2018","FQ4 2018","Currency=USD","Period=FQ","BEST_FPERIOD_OVERRIDE=FQ","FILING_STATUS=MR","SCALING_FORMAT=MLN","Sort=A","Dates=H","DateFormat=P","Fill=—","Direction=H","UseDPDF=Y")</f>
        <v>24.068000000000001</v>
      </c>
      <c r="D16" s="19">
        <f>_xll.BDH("ALNY US Equity","BS_INVENTORIES","FQ1 2019","FQ1 2019","Currency=USD","Period=FQ","BEST_FPERIOD_OVERRIDE=FQ","FILING_STATUS=MR","SCALING_FORMAT=MLN","Sort=A","Dates=H","DateFormat=P","Fill=—","Direction=H","UseDPDF=Y")</f>
        <v>32.000999999999998</v>
      </c>
      <c r="E16" s="19">
        <f>_xll.BDH("ALNY US Equity","BS_INVENTORIES","FQ2 2019","FQ2 2019","Currency=USD","Period=FQ","BEST_FPERIOD_OVERRIDE=FQ","FILING_STATUS=MR","SCALING_FORMAT=MLN","Sort=A","Dates=H","DateFormat=P","Fill=—","Direction=H","UseDPDF=Y")</f>
        <v>40.587000000000003</v>
      </c>
      <c r="F16" s="19">
        <f>_xll.BDH("ALNY US Equity","BS_INVENTORIES","FQ3 2019","FQ3 2019","Currency=USD","Period=FQ","BEST_FPERIOD_OVERRIDE=FQ","FILING_STATUS=MR","SCALING_FORMAT=MLN","Sort=A","Dates=H","DateFormat=P","Fill=—","Direction=H","UseDPDF=Y")</f>
        <v>54.561999999999998</v>
      </c>
      <c r="G16" s="19">
        <f>_xll.BDH("ALNY US Equity","BS_INVENTORIES","FQ4 2019","FQ4 2019","Currency=USD","Period=FQ","BEST_FPERIOD_OVERRIDE=FQ","FILING_STATUS=MR","SCALING_FORMAT=MLN","Sort=A","Dates=H","DateFormat=P","Fill=—","Direction=H","UseDPDF=Y")</f>
        <v>56.347999999999999</v>
      </c>
      <c r="H16" s="19">
        <f>_xll.BDH("ALNY US Equity","BS_INVENTORIES","FQ1 2020","FQ1 2020","Currency=USD","Period=FQ","BEST_FPERIOD_OVERRIDE=FQ","FILING_STATUS=MR","SCALING_FORMAT=MLN","Sort=A","Dates=H","DateFormat=P","Fill=—","Direction=H","UseDPDF=Y")</f>
        <v>68.3</v>
      </c>
      <c r="I16" s="19">
        <f>_xll.BDH("ALNY US Equity","BS_INVENTORIES","FQ2 2020","FQ2 2020","Currency=USD","Period=FQ","BEST_FPERIOD_OVERRIDE=FQ","FILING_STATUS=MR","SCALING_FORMAT=MLN","Sort=A","Dates=H","DateFormat=P","Fill=—","Direction=H","UseDPDF=Y")</f>
        <v>77.418000000000006</v>
      </c>
      <c r="J16" s="19">
        <f>_xll.BDH("ALNY US Equity","BS_INVENTORIES","FQ3 2020","FQ3 2020","Currency=USD","Period=FQ","BEST_FPERIOD_OVERRIDE=FQ","FILING_STATUS=MR","SCALING_FORMAT=MLN","Sort=A","Dates=H","DateFormat=P","Fill=—","Direction=H","UseDPDF=Y")</f>
        <v>66.941999999999993</v>
      </c>
      <c r="K16" s="19">
        <f>_xll.BDH("ALNY US Equity","BS_INVENTORIES","FQ4 2020","FQ4 2020","Currency=USD","Period=FQ","BEST_FPERIOD_OVERRIDE=FQ","FILING_STATUS=MR","SCALING_FORMAT=MLN","Sort=A","Dates=H","DateFormat=P","Fill=—","Direction=H","UseDPDF=Y")</f>
        <v>75.201999999999998</v>
      </c>
      <c r="L16" s="19">
        <f>_xll.BDH("ALNY US Equity","BS_INVENTORIES","FQ1 2021","FQ1 2021","Currency=USD","Period=FQ","BEST_FPERIOD_OVERRIDE=FQ","FILING_STATUS=MR","SCALING_FORMAT=MLN","Sort=A","Dates=H","DateFormat=P","Fill=—","Direction=H","UseDPDF=Y")</f>
        <v>73.94</v>
      </c>
      <c r="M16" s="19">
        <f>_xll.BDH("ALNY US Equity","BS_INVENTORIES","FQ2 2021","FQ2 2021","Currency=USD","Period=FQ","BEST_FPERIOD_OVERRIDE=FQ","FILING_STATUS=MR","SCALING_FORMAT=MLN","Sort=A","Dates=H","DateFormat=P","Fill=—","Direction=H","UseDPDF=Y")</f>
        <v>84.358000000000004</v>
      </c>
      <c r="N16" s="19">
        <f>_xll.BDH("ALNY US Equity","BS_INVENTORIES","FQ3 2021","FQ3 2021","Currency=USD","Period=FQ","BEST_FPERIOD_OVERRIDE=FQ","FILING_STATUS=MR","SCALING_FORMAT=MLN","Sort=A","Dates=H","DateFormat=P","Fill=—","Direction=H","UseDPDF=Y")</f>
        <v>97.899000000000001</v>
      </c>
      <c r="O16" s="19">
        <f>_xll.BDH("ALNY US Equity","BS_INVENTORIES","FQ4 2021","FQ4 2021","Currency=USD","Period=FQ","BEST_FPERIOD_OVERRIDE=FQ","FILING_STATUS=MR","SCALING_FORMAT=MLN","Sort=A","Dates=H","DateFormat=P","Fill=—","Direction=H","UseDPDF=Y")</f>
        <v>86.363</v>
      </c>
      <c r="P16" s="19">
        <f>_xll.BDH("ALNY US Equity","BS_INVENTORIES","FQ1 2022","FQ1 2022","Currency=USD","Period=FQ","BEST_FPERIOD_OVERRIDE=FQ","FILING_STATUS=MR","SCALING_FORMAT=MLN","Sort=A","Dates=H","DateFormat=P","Fill=—","Direction=H","UseDPDF=Y")</f>
        <v>78.516000000000005</v>
      </c>
      <c r="Q16" s="19">
        <f>_xll.BDH("ALNY US Equity","BS_INVENTORIES","FQ2 2022","FQ2 2022","Currency=USD","Period=FQ","BEST_FPERIOD_OVERRIDE=FQ","FILING_STATUS=MR","SCALING_FORMAT=MLN","Sort=A","Dates=H","DateFormat=P","Fill=—","Direction=H","UseDPDF=Y")</f>
        <v>88.975999999999999</v>
      </c>
      <c r="R16" s="19">
        <f>_xll.BDH("ALNY US Equity","BS_INVENTORIES","FQ3 2022","FQ3 2022","Currency=USD","Period=FQ","BEST_FPERIOD_OVERRIDE=FQ","FILING_STATUS=MR","SCALING_FORMAT=MLN","Sort=A","Dates=H","DateFormat=P","Fill=—","Direction=H","UseDPDF=Y")</f>
        <v>115.489</v>
      </c>
      <c r="S16" s="19">
        <f>_xll.BDH("ALNY US Equity","BS_INVENTORIES","FQ4 2022","FQ4 2022","Currency=USD","Period=FQ","BEST_FPERIOD_OVERRIDE=FQ","FILING_STATUS=MR","SCALING_FORMAT=MLN","Sort=A","Dates=H","DateFormat=P","Fill=—","Direction=H","UseDPDF=Y")</f>
        <v>128.96199999999999</v>
      </c>
      <c r="T16" s="19">
        <f>_xll.BDH("ALNY US Equity","BS_INVENTORIES","FQ1 2023","FQ1 2023","Currency=USD","Period=FQ","BEST_FPERIOD_OVERRIDE=FQ","FILING_STATUS=MR","SCALING_FORMAT=MLN","Sort=A","Dates=H","DateFormat=P","Fill=—","Direction=H","UseDPDF=Y")</f>
        <v>131.87899999999999</v>
      </c>
      <c r="U16" s="19">
        <f>_xll.BDH("ALNY US Equity","BS_INVENTORIES","FQ2 2023","FQ2 2023","Currency=USD","Period=FQ","BEST_FPERIOD_OVERRIDE=FQ","FILING_STATUS=MR","SCALING_FORMAT=MLN","Sort=A","Dates=H","DateFormat=P","Fill=—","Direction=H","UseDPDF=Y")</f>
        <v>100.453</v>
      </c>
      <c r="V16" s="19">
        <f>_xll.BDH("ALNY US Equity","BS_INVENTORIES","FQ3 2023","FQ3 2023","Currency=USD","Period=FQ","BEST_FPERIOD_OVERRIDE=FQ","FILING_STATUS=MR","SCALING_FORMAT=MLN","Sort=A","Dates=H","DateFormat=P","Fill=—","Direction=H","UseDPDF=Y")</f>
        <v>95.771000000000001</v>
      </c>
      <c r="W16" s="19">
        <f>_xll.BDH("ALNY US Equity","BS_INVENTORIES","FQ4 2023","FQ4 2023","Currency=USD","Period=FQ","BEST_FPERIOD_OVERRIDE=FQ","FILING_STATUS=MR","SCALING_FORMAT=MLN","Sort=A","Dates=H","DateFormat=P","Fill=—","Direction=H","UseDPDF=Y")</f>
        <v>89.146000000000001</v>
      </c>
      <c r="X16" s="19">
        <f>_xll.BDH("ALNY US Equity","BS_INVENTORIES","FQ1 2024","FQ1 2024","Currency=USD","Period=FQ","BEST_FPERIOD_OVERRIDE=FQ","FILING_STATUS=MR","SCALING_FORMAT=MLN","Sort=A","Dates=H","DateFormat=P","Fill=—","Direction=H","UseDPDF=Y")</f>
        <v>93.988</v>
      </c>
      <c r="Y16" s="19">
        <f>_xll.BDH("ALNY US Equity","BS_INVENTORIES","FQ2 2024","FQ2 2024","Currency=USD","Period=FQ","BEST_FPERIOD_OVERRIDE=FQ","FILING_STATUS=MR","SCALING_FORMAT=MLN","Sort=A","Dates=H","DateFormat=P","Fill=—","Direction=H","UseDPDF=Y")</f>
        <v>83.980999999999995</v>
      </c>
      <c r="Z16" s="19">
        <f>_xll.BDH("ALNY US Equity","BS_INVENTORIES","FQ3 2024","FQ3 2024","Currency=USD","Period=FQ","BEST_FPERIOD_OVERRIDE=FQ","FILING_STATUS=MR","SCALING_FORMAT=MLN","Sort=A","Dates=H","DateFormat=P","Fill=—","Direction=H","UseDPDF=Y")</f>
        <v>75.986999999999995</v>
      </c>
      <c r="AA16" s="19">
        <f>_xll.BDH("ALNY US Equity","BS_INVENTORIES","FQ4 2024","FQ4 2024","Currency=USD","Period=FQ","BEST_FPERIOD_OVERRIDE=FQ","FILING_STATUS=MR","SCALING_FORMAT=MLN","Sort=A","Dates=H","DateFormat=P","Fill=—","Direction=H","UseDPDF=Y")</f>
        <v>78.509</v>
      </c>
    </row>
    <row r="17" spans="1:27" x14ac:dyDescent="0.25">
      <c r="A17" s="10" t="s">
        <v>1534</v>
      </c>
      <c r="B17" s="10" t="s">
        <v>689</v>
      </c>
      <c r="C17" s="13">
        <f>_xll.BDH("ALNY US Equity","INVTRY_RAW_MATERIALS","FQ4 2018","FQ4 2018","Currency=USD","Period=FQ","BEST_FPERIOD_OVERRIDE=FQ","FILING_STATUS=MR","SCALING_FORMAT=MLN","Sort=A","Dates=H","DateFormat=P","Fill=—","Direction=H","UseDPDF=Y")</f>
        <v>8.7089999999999996</v>
      </c>
      <c r="D17" s="13">
        <f>_xll.BDH("ALNY US Equity","INVTRY_RAW_MATERIALS","FQ1 2019","FQ1 2019","Currency=USD","Period=FQ","BEST_FPERIOD_OVERRIDE=FQ","FILING_STATUS=MR","SCALING_FORMAT=MLN","Sort=A","Dates=H","DateFormat=P","Fill=—","Direction=H","UseDPDF=Y")</f>
        <v>9.1790000000000003</v>
      </c>
      <c r="E17" s="13">
        <f>_xll.BDH("ALNY US Equity","INVTRY_RAW_MATERIALS","FQ2 2019","FQ2 2019","Currency=USD","Period=FQ","BEST_FPERIOD_OVERRIDE=FQ","FILING_STATUS=MR","SCALING_FORMAT=MLN","Sort=A","Dates=H","DateFormat=P","Fill=—","Direction=H","UseDPDF=Y")</f>
        <v>8.4459999999999997</v>
      </c>
      <c r="F17" s="13">
        <f>_xll.BDH("ALNY US Equity","INVTRY_RAW_MATERIALS","FQ3 2019","FQ3 2019","Currency=USD","Period=FQ","BEST_FPERIOD_OVERRIDE=FQ","FILING_STATUS=MR","SCALING_FORMAT=MLN","Sort=A","Dates=H","DateFormat=P","Fill=—","Direction=H","UseDPDF=Y")</f>
        <v>11.6</v>
      </c>
      <c r="G17" s="13">
        <f>_xll.BDH("ALNY US Equity","INVTRY_RAW_MATERIALS","FQ4 2019","FQ4 2019","Currency=USD","Period=FQ","BEST_FPERIOD_OVERRIDE=FQ","FILING_STATUS=MR","SCALING_FORMAT=MLN","Sort=A","Dates=H","DateFormat=P","Fill=—","Direction=H","UseDPDF=Y")</f>
        <v>15.417999999999999</v>
      </c>
      <c r="H17" s="13">
        <f>_xll.BDH("ALNY US Equity","INVTRY_RAW_MATERIALS","FQ1 2020","FQ1 2020","Currency=USD","Period=FQ","BEST_FPERIOD_OVERRIDE=FQ","FILING_STATUS=MR","SCALING_FORMAT=MLN","Sort=A","Dates=H","DateFormat=P","Fill=—","Direction=H","UseDPDF=Y")</f>
        <v>30.661999999999999</v>
      </c>
      <c r="I17" s="13">
        <f>_xll.BDH("ALNY US Equity","INVTRY_RAW_MATERIALS","FQ2 2020","FQ2 2020","Currency=USD","Period=FQ","BEST_FPERIOD_OVERRIDE=FQ","FILING_STATUS=MR","SCALING_FORMAT=MLN","Sort=A","Dates=H","DateFormat=P","Fill=—","Direction=H","UseDPDF=Y")</f>
        <v>43.515000000000001</v>
      </c>
      <c r="J17" s="13" t="str">
        <f>_xll.BDH("ALNY US Equity","INVTRY_RAW_MATERIALS","FQ3 2020","FQ3 2020","Currency=USD","Period=FQ","BEST_FPERIOD_OVERRIDE=FQ","FILING_STATUS=MR","SCALING_FORMAT=MLN","Sort=A","Dates=H","DateFormat=P","Fill=—","Direction=H","UseDPDF=Y")</f>
        <v>—</v>
      </c>
      <c r="K17" s="13">
        <f>_xll.BDH("ALNY US Equity","INVTRY_RAW_MATERIALS","FQ4 2020","FQ4 2020","Currency=USD","Period=FQ","BEST_FPERIOD_OVERRIDE=FQ","FILING_STATUS=MR","SCALING_FORMAT=MLN","Sort=A","Dates=H","DateFormat=P","Fill=—","Direction=H","UseDPDF=Y")</f>
        <v>46.36</v>
      </c>
      <c r="L17" s="13">
        <f>_xll.BDH("ALNY US Equity","INVTRY_RAW_MATERIALS","FQ1 2021","FQ1 2021","Currency=USD","Period=FQ","BEST_FPERIOD_OVERRIDE=FQ","FILING_STATUS=MR","SCALING_FORMAT=MLN","Sort=A","Dates=H","DateFormat=P","Fill=—","Direction=H","UseDPDF=Y")</f>
        <v>53.694000000000003</v>
      </c>
      <c r="M17" s="13">
        <f>_xll.BDH("ALNY US Equity","INVTRY_RAW_MATERIALS","FQ2 2021","FQ2 2021","Currency=USD","Period=FQ","BEST_FPERIOD_OVERRIDE=FQ","FILING_STATUS=MR","SCALING_FORMAT=MLN","Sort=A","Dates=H","DateFormat=P","Fill=—","Direction=H","UseDPDF=Y")</f>
        <v>54.344000000000001</v>
      </c>
      <c r="N17" s="13">
        <f>_xll.BDH("ALNY US Equity","INVTRY_RAW_MATERIALS","FQ3 2021","FQ3 2021","Currency=USD","Period=FQ","BEST_FPERIOD_OVERRIDE=FQ","FILING_STATUS=MR","SCALING_FORMAT=MLN","Sort=A","Dates=H","DateFormat=P","Fill=—","Direction=H","UseDPDF=Y")</f>
        <v>65.158000000000001</v>
      </c>
      <c r="O17" s="13">
        <f>_xll.BDH("ALNY US Equity","INVTRY_RAW_MATERIALS","FQ4 2021","FQ4 2021","Currency=USD","Period=FQ","BEST_FPERIOD_OVERRIDE=FQ","FILING_STATUS=MR","SCALING_FORMAT=MLN","Sort=A","Dates=H","DateFormat=P","Fill=—","Direction=H","UseDPDF=Y")</f>
        <v>14.754</v>
      </c>
      <c r="P17" s="13">
        <f>_xll.BDH("ALNY US Equity","INVTRY_RAW_MATERIALS","FQ1 2022","FQ1 2022","Currency=USD","Period=FQ","BEST_FPERIOD_OVERRIDE=FQ","FILING_STATUS=MR","SCALING_FORMAT=MLN","Sort=A","Dates=H","DateFormat=P","Fill=—","Direction=H","UseDPDF=Y")</f>
        <v>20.372</v>
      </c>
      <c r="Q17" s="13">
        <f>_xll.BDH("ALNY US Equity","INVTRY_RAW_MATERIALS","FQ2 2022","FQ2 2022","Currency=USD","Period=FQ","BEST_FPERIOD_OVERRIDE=FQ","FILING_STATUS=MR","SCALING_FORMAT=MLN","Sort=A","Dates=H","DateFormat=P","Fill=—","Direction=H","UseDPDF=Y")</f>
        <v>19.14</v>
      </c>
      <c r="R17" s="13">
        <f>_xll.BDH("ALNY US Equity","INVTRY_RAW_MATERIALS","FQ3 2022","FQ3 2022","Currency=USD","Period=FQ","BEST_FPERIOD_OVERRIDE=FQ","FILING_STATUS=MR","SCALING_FORMAT=MLN","Sort=A","Dates=H","DateFormat=P","Fill=—","Direction=H","UseDPDF=Y")</f>
        <v>17.718</v>
      </c>
      <c r="S17" s="13">
        <f>_xll.BDH("ALNY US Equity","INVTRY_RAW_MATERIALS","FQ4 2022","FQ4 2022","Currency=USD","Period=FQ","BEST_FPERIOD_OVERRIDE=FQ","FILING_STATUS=MR","SCALING_FORMAT=MLN","Sort=A","Dates=H","DateFormat=P","Fill=—","Direction=H","UseDPDF=Y")</f>
        <v>22.315000000000001</v>
      </c>
      <c r="T17" s="13">
        <f>_xll.BDH("ALNY US Equity","INVTRY_RAW_MATERIALS","FQ1 2023","FQ1 2023","Currency=USD","Period=FQ","BEST_FPERIOD_OVERRIDE=FQ","FILING_STATUS=MR","SCALING_FORMAT=MLN","Sort=A","Dates=H","DateFormat=P","Fill=—","Direction=H","UseDPDF=Y")</f>
        <v>22.875</v>
      </c>
      <c r="U17" s="13">
        <f>_xll.BDH("ALNY US Equity","INVTRY_RAW_MATERIALS","FQ2 2023","FQ2 2023","Currency=USD","Period=FQ","BEST_FPERIOD_OVERRIDE=FQ","FILING_STATUS=MR","SCALING_FORMAT=MLN","Sort=A","Dates=H","DateFormat=P","Fill=—","Direction=H","UseDPDF=Y")</f>
        <v>17.449000000000002</v>
      </c>
      <c r="V17" s="13">
        <f>_xll.BDH("ALNY US Equity","INVTRY_RAW_MATERIALS","FQ3 2023","FQ3 2023","Currency=USD","Period=FQ","BEST_FPERIOD_OVERRIDE=FQ","FILING_STATUS=MR","SCALING_FORMAT=MLN","Sort=A","Dates=H","DateFormat=P","Fill=—","Direction=H","UseDPDF=Y")</f>
        <v>20.120999999999999</v>
      </c>
      <c r="W17" s="13">
        <f>_xll.BDH("ALNY US Equity","INVTRY_RAW_MATERIALS","FQ4 2023","FQ4 2023","Currency=USD","Period=FQ","BEST_FPERIOD_OVERRIDE=FQ","FILING_STATUS=MR","SCALING_FORMAT=MLN","Sort=A","Dates=H","DateFormat=P","Fill=—","Direction=H","UseDPDF=Y")</f>
        <v>23.346</v>
      </c>
      <c r="X17" s="13">
        <f>_xll.BDH("ALNY US Equity","INVTRY_RAW_MATERIALS","FQ1 2024","FQ1 2024","Currency=USD","Period=FQ","BEST_FPERIOD_OVERRIDE=FQ","FILING_STATUS=MR","SCALING_FORMAT=MLN","Sort=A","Dates=H","DateFormat=P","Fill=—","Direction=H","UseDPDF=Y")</f>
        <v>25.401</v>
      </c>
      <c r="Y17" s="13">
        <f>_xll.BDH("ALNY US Equity","INVTRY_RAW_MATERIALS","FQ2 2024","FQ2 2024","Currency=USD","Period=FQ","BEST_FPERIOD_OVERRIDE=FQ","FILING_STATUS=MR","SCALING_FORMAT=MLN","Sort=A","Dates=H","DateFormat=P","Fill=—","Direction=H","UseDPDF=Y")</f>
        <v>26.021000000000001</v>
      </c>
      <c r="Z17" s="13">
        <f>_xll.BDH("ALNY US Equity","INVTRY_RAW_MATERIALS","FQ3 2024","FQ3 2024","Currency=USD","Period=FQ","BEST_FPERIOD_OVERRIDE=FQ","FILING_STATUS=MR","SCALING_FORMAT=MLN","Sort=A","Dates=H","DateFormat=P","Fill=—","Direction=H","UseDPDF=Y")</f>
        <v>22.364999999999998</v>
      </c>
      <c r="AA17" s="13">
        <f>_xll.BDH("ALNY US Equity","INVTRY_RAW_MATERIALS","FQ4 2024","FQ4 2024","Currency=USD","Period=FQ","BEST_FPERIOD_OVERRIDE=FQ","FILING_STATUS=MR","SCALING_FORMAT=MLN","Sort=A","Dates=H","DateFormat=P","Fill=—","Direction=H","UseDPDF=Y")</f>
        <v>23.965</v>
      </c>
    </row>
    <row r="18" spans="1:27" x14ac:dyDescent="0.25">
      <c r="A18" s="10" t="s">
        <v>1535</v>
      </c>
      <c r="B18" s="10" t="s">
        <v>691</v>
      </c>
      <c r="C18" s="13">
        <f>_xll.BDH("ALNY US Equity","INVTRY_IN_PROGRESS","FQ4 2018","FQ4 2018","Currency=USD","Period=FQ","BEST_FPERIOD_OVERRIDE=FQ","FILING_STATUS=MR","SCALING_FORMAT=MLN","Sort=A","Dates=H","DateFormat=P","Fill=—","Direction=H","UseDPDF=Y")</f>
        <v>15.262</v>
      </c>
      <c r="D18" s="13">
        <f>_xll.BDH("ALNY US Equity","INVTRY_IN_PROGRESS","FQ1 2019","FQ1 2019","Currency=USD","Period=FQ","BEST_FPERIOD_OVERRIDE=FQ","FILING_STATUS=MR","SCALING_FORMAT=MLN","Sort=A","Dates=H","DateFormat=P","Fill=—","Direction=H","UseDPDF=Y")</f>
        <v>22.687000000000001</v>
      </c>
      <c r="E18" s="13">
        <f>_xll.BDH("ALNY US Equity","INVTRY_IN_PROGRESS","FQ2 2019","FQ2 2019","Currency=USD","Period=FQ","BEST_FPERIOD_OVERRIDE=FQ","FILING_STATUS=MR","SCALING_FORMAT=MLN","Sort=A","Dates=H","DateFormat=P","Fill=—","Direction=H","UseDPDF=Y")</f>
        <v>31.696000000000002</v>
      </c>
      <c r="F18" s="13">
        <f>_xll.BDH("ALNY US Equity","INVTRY_IN_PROGRESS","FQ3 2019","FQ3 2019","Currency=USD","Period=FQ","BEST_FPERIOD_OVERRIDE=FQ","FILING_STATUS=MR","SCALING_FORMAT=MLN","Sort=A","Dates=H","DateFormat=P","Fill=—","Direction=H","UseDPDF=Y")</f>
        <v>42.383000000000003</v>
      </c>
      <c r="G18" s="13">
        <f>_xll.BDH("ALNY US Equity","INVTRY_IN_PROGRESS","FQ4 2019","FQ4 2019","Currency=USD","Period=FQ","BEST_FPERIOD_OVERRIDE=FQ","FILING_STATUS=MR","SCALING_FORMAT=MLN","Sort=A","Dates=H","DateFormat=P","Fill=—","Direction=H","UseDPDF=Y")</f>
        <v>38.274999999999999</v>
      </c>
      <c r="H18" s="13">
        <f>_xll.BDH("ALNY US Equity","INVTRY_IN_PROGRESS","FQ1 2020","FQ1 2020","Currency=USD","Period=FQ","BEST_FPERIOD_OVERRIDE=FQ","FILING_STATUS=MR","SCALING_FORMAT=MLN","Sort=A","Dates=H","DateFormat=P","Fill=—","Direction=H","UseDPDF=Y")</f>
        <v>33.411999999999999</v>
      </c>
      <c r="I18" s="13">
        <f>_xll.BDH("ALNY US Equity","INVTRY_IN_PROGRESS","FQ2 2020","FQ2 2020","Currency=USD","Period=FQ","BEST_FPERIOD_OVERRIDE=FQ","FILING_STATUS=MR","SCALING_FORMAT=MLN","Sort=A","Dates=H","DateFormat=P","Fill=—","Direction=H","UseDPDF=Y")</f>
        <v>20.686</v>
      </c>
      <c r="J18" s="13" t="str">
        <f>_xll.BDH("ALNY US Equity","INVTRY_IN_PROGRESS","FQ3 2020","FQ3 2020","Currency=USD","Period=FQ","BEST_FPERIOD_OVERRIDE=FQ","FILING_STATUS=MR","SCALING_FORMAT=MLN","Sort=A","Dates=H","DateFormat=P","Fill=—","Direction=H","UseDPDF=Y")</f>
        <v>—</v>
      </c>
      <c r="K18" s="13">
        <f>_xll.BDH("ALNY US Equity","INVTRY_IN_PROGRESS","FQ4 2020","FQ4 2020","Currency=USD","Period=FQ","BEST_FPERIOD_OVERRIDE=FQ","FILING_STATUS=MR","SCALING_FORMAT=MLN","Sort=A","Dates=H","DateFormat=P","Fill=—","Direction=H","UseDPDF=Y")</f>
        <v>16.149000000000001</v>
      </c>
      <c r="L18" s="13">
        <f>_xll.BDH("ALNY US Equity","INVTRY_IN_PROGRESS","FQ1 2021","FQ1 2021","Currency=USD","Period=FQ","BEST_FPERIOD_OVERRIDE=FQ","FILING_STATUS=MR","SCALING_FORMAT=MLN","Sort=A","Dates=H","DateFormat=P","Fill=—","Direction=H","UseDPDF=Y")</f>
        <v>23.593</v>
      </c>
      <c r="M18" s="13">
        <f>_xll.BDH("ALNY US Equity","INVTRY_IN_PROGRESS","FQ2 2021","FQ2 2021","Currency=USD","Period=FQ","BEST_FPERIOD_OVERRIDE=FQ","FILING_STATUS=MR","SCALING_FORMAT=MLN","Sort=A","Dates=H","DateFormat=P","Fill=—","Direction=H","UseDPDF=Y")</f>
        <v>25.311</v>
      </c>
      <c r="N18" s="13">
        <f>_xll.BDH("ALNY US Equity","INVTRY_IN_PROGRESS","FQ3 2021","FQ3 2021","Currency=USD","Period=FQ","BEST_FPERIOD_OVERRIDE=FQ","FILING_STATUS=MR","SCALING_FORMAT=MLN","Sort=A","Dates=H","DateFormat=P","Fill=—","Direction=H","UseDPDF=Y")</f>
        <v>33.124000000000002</v>
      </c>
      <c r="O18" s="13">
        <f>_xll.BDH("ALNY US Equity","INVTRY_IN_PROGRESS","FQ4 2021","FQ4 2021","Currency=USD","Period=FQ","BEST_FPERIOD_OVERRIDE=FQ","FILING_STATUS=MR","SCALING_FORMAT=MLN","Sort=A","Dates=H","DateFormat=P","Fill=—","Direction=H","UseDPDF=Y")</f>
        <v>64.603999999999999</v>
      </c>
      <c r="P18" s="13">
        <f>_xll.BDH("ALNY US Equity","INVTRY_IN_PROGRESS","FQ1 2022","FQ1 2022","Currency=USD","Period=FQ","BEST_FPERIOD_OVERRIDE=FQ","FILING_STATUS=MR","SCALING_FORMAT=MLN","Sort=A","Dates=H","DateFormat=P","Fill=—","Direction=H","UseDPDF=Y")</f>
        <v>91.262</v>
      </c>
      <c r="Q18" s="13">
        <f>_xll.BDH("ALNY US Equity","INVTRY_IN_PROGRESS","FQ2 2022","FQ2 2022","Currency=USD","Period=FQ","BEST_FPERIOD_OVERRIDE=FQ","FILING_STATUS=MR","SCALING_FORMAT=MLN","Sort=A","Dates=H","DateFormat=P","Fill=—","Direction=H","UseDPDF=Y")</f>
        <v>100.191</v>
      </c>
      <c r="R18" s="13">
        <f>_xll.BDH("ALNY US Equity","INVTRY_IN_PROGRESS","FQ3 2022","FQ3 2022","Currency=USD","Period=FQ","BEST_FPERIOD_OVERRIDE=FQ","FILING_STATUS=MR","SCALING_FORMAT=MLN","Sort=A","Dates=H","DateFormat=P","Fill=—","Direction=H","UseDPDF=Y")</f>
        <v>102.447</v>
      </c>
      <c r="S18" s="13">
        <f>_xll.BDH("ALNY US Equity","INVTRY_IN_PROGRESS","FQ4 2022","FQ4 2022","Currency=USD","Period=FQ","BEST_FPERIOD_OVERRIDE=FQ","FILING_STATUS=MR","SCALING_FORMAT=MLN","Sort=A","Dates=H","DateFormat=P","Fill=—","Direction=H","UseDPDF=Y")</f>
        <v>113.783</v>
      </c>
      <c r="T18" s="13">
        <f>_xll.BDH("ALNY US Equity","INVTRY_IN_PROGRESS","FQ1 2023","FQ1 2023","Currency=USD","Period=FQ","BEST_FPERIOD_OVERRIDE=FQ","FILING_STATUS=MR","SCALING_FORMAT=MLN","Sort=A","Dates=H","DateFormat=P","Fill=—","Direction=H","UseDPDF=Y")</f>
        <v>110.976</v>
      </c>
      <c r="U18" s="13">
        <f>_xll.BDH("ALNY US Equity","INVTRY_IN_PROGRESS","FQ2 2023","FQ2 2023","Currency=USD","Period=FQ","BEST_FPERIOD_OVERRIDE=FQ","FILING_STATUS=MR","SCALING_FORMAT=MLN","Sort=A","Dates=H","DateFormat=P","Fill=—","Direction=H","UseDPDF=Y")</f>
        <v>116.661</v>
      </c>
      <c r="V18" s="13">
        <f>_xll.BDH("ALNY US Equity","INVTRY_IN_PROGRESS","FQ3 2023","FQ3 2023","Currency=USD","Period=FQ","BEST_FPERIOD_OVERRIDE=FQ","FILING_STATUS=MR","SCALING_FORMAT=MLN","Sort=A","Dates=H","DateFormat=P","Fill=—","Direction=H","UseDPDF=Y")</f>
        <v>88.691000000000003</v>
      </c>
      <c r="W18" s="13">
        <f>_xll.BDH("ALNY US Equity","INVTRY_IN_PROGRESS","FQ4 2023","FQ4 2023","Currency=USD","Period=FQ","BEST_FPERIOD_OVERRIDE=FQ","FILING_STATUS=MR","SCALING_FORMAT=MLN","Sort=A","Dates=H","DateFormat=P","Fill=—","Direction=H","UseDPDF=Y")</f>
        <v>76.962999999999994</v>
      </c>
      <c r="X18" s="13">
        <f>_xll.BDH("ALNY US Equity","INVTRY_IN_PROGRESS","FQ1 2024","FQ1 2024","Currency=USD","Period=FQ","BEST_FPERIOD_OVERRIDE=FQ","FILING_STATUS=MR","SCALING_FORMAT=MLN","Sort=A","Dates=H","DateFormat=P","Fill=—","Direction=H","UseDPDF=Y")</f>
        <v>76.070999999999998</v>
      </c>
      <c r="Y18" s="13">
        <f>_xll.BDH("ALNY US Equity","INVTRY_IN_PROGRESS","FQ2 2024","FQ2 2024","Currency=USD","Period=FQ","BEST_FPERIOD_OVERRIDE=FQ","FILING_STATUS=MR","SCALING_FORMAT=MLN","Sort=A","Dates=H","DateFormat=P","Fill=—","Direction=H","UseDPDF=Y")</f>
        <v>66.534999999999997</v>
      </c>
      <c r="Z18" s="13">
        <f>_xll.BDH("ALNY US Equity","INVTRY_IN_PROGRESS","FQ3 2024","FQ3 2024","Currency=USD","Period=FQ","BEST_FPERIOD_OVERRIDE=FQ","FILING_STATUS=MR","SCALING_FORMAT=MLN","Sort=A","Dates=H","DateFormat=P","Fill=—","Direction=H","UseDPDF=Y")</f>
        <v>69.864999999999995</v>
      </c>
      <c r="AA18" s="13">
        <f>_xll.BDH("ALNY US Equity","INVTRY_IN_PROGRESS","FQ4 2024","FQ4 2024","Currency=USD","Period=FQ","BEST_FPERIOD_OVERRIDE=FQ","FILING_STATUS=MR","SCALING_FORMAT=MLN","Sort=A","Dates=H","DateFormat=P","Fill=—","Direction=H","UseDPDF=Y")</f>
        <v>64.977999999999994</v>
      </c>
    </row>
    <row r="19" spans="1:27" x14ac:dyDescent="0.25">
      <c r="A19" s="10" t="s">
        <v>1536</v>
      </c>
      <c r="B19" s="10" t="s">
        <v>693</v>
      </c>
      <c r="C19" s="13">
        <f>_xll.BDH("ALNY US Equity","INVTRY_FINISHED_GOODS","FQ4 2018","FQ4 2018","Currency=USD","Period=FQ","BEST_FPERIOD_OVERRIDE=FQ","FILING_STATUS=MR","SCALING_FORMAT=MLN","Sort=A","Dates=H","DateFormat=P","Fill=—","Direction=H","UseDPDF=Y")</f>
        <v>9.7000000000000003E-2</v>
      </c>
      <c r="D19" s="13">
        <f>_xll.BDH("ALNY US Equity","INVTRY_FINISHED_GOODS","FQ1 2019","FQ1 2019","Currency=USD","Period=FQ","BEST_FPERIOD_OVERRIDE=FQ","FILING_STATUS=MR","SCALING_FORMAT=MLN","Sort=A","Dates=H","DateFormat=P","Fill=—","Direction=H","UseDPDF=Y")</f>
        <v>0.13500000000000001</v>
      </c>
      <c r="E19" s="13">
        <f>_xll.BDH("ALNY US Equity","INVTRY_FINISHED_GOODS","FQ2 2019","FQ2 2019","Currency=USD","Period=FQ","BEST_FPERIOD_OVERRIDE=FQ","FILING_STATUS=MR","SCALING_FORMAT=MLN","Sort=A","Dates=H","DateFormat=P","Fill=—","Direction=H","UseDPDF=Y")</f>
        <v>0.44500000000000001</v>
      </c>
      <c r="F19" s="13">
        <f>_xll.BDH("ALNY US Equity","INVTRY_FINISHED_GOODS","FQ3 2019","FQ3 2019","Currency=USD","Period=FQ","BEST_FPERIOD_OVERRIDE=FQ","FILING_STATUS=MR","SCALING_FORMAT=MLN","Sort=A","Dates=H","DateFormat=P","Fill=—","Direction=H","UseDPDF=Y")</f>
        <v>0.57899999999999996</v>
      </c>
      <c r="G19" s="13">
        <f>_xll.BDH("ALNY US Equity","INVTRY_FINISHED_GOODS","FQ4 2019","FQ4 2019","Currency=USD","Period=FQ","BEST_FPERIOD_OVERRIDE=FQ","FILING_STATUS=MR","SCALING_FORMAT=MLN","Sort=A","Dates=H","DateFormat=P","Fill=—","Direction=H","UseDPDF=Y")</f>
        <v>2.6549999999999998</v>
      </c>
      <c r="H19" s="13">
        <f>_xll.BDH("ALNY US Equity","INVTRY_FINISHED_GOODS","FQ1 2020","FQ1 2020","Currency=USD","Period=FQ","BEST_FPERIOD_OVERRIDE=FQ","FILING_STATUS=MR","SCALING_FORMAT=MLN","Sort=A","Dates=H","DateFormat=P","Fill=—","Direction=H","UseDPDF=Y")</f>
        <v>4.226</v>
      </c>
      <c r="I19" s="13">
        <f>_xll.BDH("ALNY US Equity","INVTRY_FINISHED_GOODS","FQ2 2020","FQ2 2020","Currency=USD","Period=FQ","BEST_FPERIOD_OVERRIDE=FQ","FILING_STATUS=MR","SCALING_FORMAT=MLN","Sort=A","Dates=H","DateFormat=P","Fill=—","Direction=H","UseDPDF=Y")</f>
        <v>13.217000000000001</v>
      </c>
      <c r="J19" s="13" t="str">
        <f>_xll.BDH("ALNY US Equity","INVTRY_FINISHED_GOODS","FQ3 2020","FQ3 2020","Currency=USD","Period=FQ","BEST_FPERIOD_OVERRIDE=FQ","FILING_STATUS=MR","SCALING_FORMAT=MLN","Sort=A","Dates=H","DateFormat=P","Fill=—","Direction=H","UseDPDF=Y")</f>
        <v>—</v>
      </c>
      <c r="K19" s="13">
        <f>_xll.BDH("ALNY US Equity","INVTRY_FINISHED_GOODS","FQ4 2020","FQ4 2020","Currency=USD","Period=FQ","BEST_FPERIOD_OVERRIDE=FQ","FILING_STATUS=MR","SCALING_FORMAT=MLN","Sort=A","Dates=H","DateFormat=P","Fill=—","Direction=H","UseDPDF=Y")</f>
        <v>12.693</v>
      </c>
      <c r="L19" s="13">
        <f>_xll.BDH("ALNY US Equity","INVTRY_FINISHED_GOODS","FQ1 2021","FQ1 2021","Currency=USD","Period=FQ","BEST_FPERIOD_OVERRIDE=FQ","FILING_STATUS=MR","SCALING_FORMAT=MLN","Sort=A","Dates=H","DateFormat=P","Fill=—","Direction=H","UseDPDF=Y")</f>
        <v>13.753</v>
      </c>
      <c r="M19" s="13">
        <f>_xll.BDH("ALNY US Equity","INVTRY_FINISHED_GOODS","FQ2 2021","FQ2 2021","Currency=USD","Period=FQ","BEST_FPERIOD_OVERRIDE=FQ","FILING_STATUS=MR","SCALING_FORMAT=MLN","Sort=A","Dates=H","DateFormat=P","Fill=—","Direction=H","UseDPDF=Y")</f>
        <v>16.452999999999999</v>
      </c>
      <c r="N19" s="13">
        <f>_xll.BDH("ALNY US Equity","INVTRY_FINISHED_GOODS","FQ3 2021","FQ3 2021","Currency=USD","Period=FQ","BEST_FPERIOD_OVERRIDE=FQ","FILING_STATUS=MR","SCALING_FORMAT=MLN","Sort=A","Dates=H","DateFormat=P","Fill=—","Direction=H","UseDPDF=Y")</f>
        <v>12.667</v>
      </c>
      <c r="O19" s="13">
        <f>_xll.BDH("ALNY US Equity","INVTRY_FINISHED_GOODS","FQ4 2021","FQ4 2021","Currency=USD","Period=FQ","BEST_FPERIOD_OVERRIDE=FQ","FILING_STATUS=MR","SCALING_FORMAT=MLN","Sort=A","Dates=H","DateFormat=P","Fill=—","Direction=H","UseDPDF=Y")</f>
        <v>7.0049999999999999</v>
      </c>
      <c r="P19" s="13">
        <f>_xll.BDH("ALNY US Equity","INVTRY_FINISHED_GOODS","FQ1 2022","FQ1 2022","Currency=USD","Period=FQ","BEST_FPERIOD_OVERRIDE=FQ","FILING_STATUS=MR","SCALING_FORMAT=MLN","Sort=A","Dates=H","DateFormat=P","Fill=—","Direction=H","UseDPDF=Y")</f>
        <v>10.428000000000001</v>
      </c>
      <c r="Q19" s="13">
        <f>_xll.BDH("ALNY US Equity","INVTRY_FINISHED_GOODS","FQ2 2022","FQ2 2022","Currency=USD","Period=FQ","BEST_FPERIOD_OVERRIDE=FQ","FILING_STATUS=MR","SCALING_FORMAT=MLN","Sort=A","Dates=H","DateFormat=P","Fill=—","Direction=H","UseDPDF=Y")</f>
        <v>13.192</v>
      </c>
      <c r="R19" s="13">
        <f>_xll.BDH("ALNY US Equity","INVTRY_FINISHED_GOODS","FQ3 2022","FQ3 2022","Currency=USD","Period=FQ","BEST_FPERIOD_OVERRIDE=FQ","FILING_STATUS=MR","SCALING_FORMAT=MLN","Sort=A","Dates=H","DateFormat=P","Fill=—","Direction=H","UseDPDF=Y")</f>
        <v>21.483000000000001</v>
      </c>
      <c r="S19" s="13">
        <f>_xll.BDH("ALNY US Equity","INVTRY_FINISHED_GOODS","FQ4 2022","FQ4 2022","Currency=USD","Period=FQ","BEST_FPERIOD_OVERRIDE=FQ","FILING_STATUS=MR","SCALING_FORMAT=MLN","Sort=A","Dates=H","DateFormat=P","Fill=—","Direction=H","UseDPDF=Y")</f>
        <v>25.606000000000002</v>
      </c>
      <c r="T19" s="13">
        <f>_xll.BDH("ALNY US Equity","INVTRY_FINISHED_GOODS","FQ1 2023","FQ1 2023","Currency=USD","Period=FQ","BEST_FPERIOD_OVERRIDE=FQ","FILING_STATUS=MR","SCALING_FORMAT=MLN","Sort=A","Dates=H","DateFormat=P","Fill=—","Direction=H","UseDPDF=Y")</f>
        <v>29.533999999999999</v>
      </c>
      <c r="U19" s="13">
        <f>_xll.BDH("ALNY US Equity","INVTRY_FINISHED_GOODS","FQ2 2023","FQ2 2023","Currency=USD","Period=FQ","BEST_FPERIOD_OVERRIDE=FQ","FILING_STATUS=MR","SCALING_FORMAT=MLN","Sort=A","Dates=H","DateFormat=P","Fill=—","Direction=H","UseDPDF=Y")</f>
        <v>28.504999999999999</v>
      </c>
      <c r="V19" s="13">
        <f>_xll.BDH("ALNY US Equity","INVTRY_FINISHED_GOODS","FQ3 2023","FQ3 2023","Currency=USD","Period=FQ","BEST_FPERIOD_OVERRIDE=FQ","FILING_STATUS=MR","SCALING_FORMAT=MLN","Sort=A","Dates=H","DateFormat=P","Fill=—","Direction=H","UseDPDF=Y")</f>
        <v>27.658000000000001</v>
      </c>
      <c r="W19" s="13">
        <f>_xll.BDH("ALNY US Equity","INVTRY_FINISHED_GOODS","FQ4 2023","FQ4 2023","Currency=USD","Period=FQ","BEST_FPERIOD_OVERRIDE=FQ","FILING_STATUS=MR","SCALING_FORMAT=MLN","Sort=A","Dates=H","DateFormat=P","Fill=—","Direction=H","UseDPDF=Y")</f>
        <v>25.123000000000001</v>
      </c>
      <c r="X19" s="13">
        <f>_xll.BDH("ALNY US Equity","INVTRY_FINISHED_GOODS","FQ1 2024","FQ1 2024","Currency=USD","Period=FQ","BEST_FPERIOD_OVERRIDE=FQ","FILING_STATUS=MR","SCALING_FORMAT=MLN","Sort=A","Dates=H","DateFormat=P","Fill=—","Direction=H","UseDPDF=Y")</f>
        <v>24.818999999999999</v>
      </c>
      <c r="Y19" s="13">
        <f>_xll.BDH("ALNY US Equity","INVTRY_FINISHED_GOODS","FQ2 2024","FQ2 2024","Currency=USD","Period=FQ","BEST_FPERIOD_OVERRIDE=FQ","FILING_STATUS=MR","SCALING_FORMAT=MLN","Sort=A","Dates=H","DateFormat=P","Fill=—","Direction=H","UseDPDF=Y")</f>
        <v>27.855</v>
      </c>
      <c r="Z19" s="13">
        <f>_xll.BDH("ALNY US Equity","INVTRY_FINISHED_GOODS","FQ3 2024","FQ3 2024","Currency=USD","Period=FQ","BEST_FPERIOD_OVERRIDE=FQ","FILING_STATUS=MR","SCALING_FORMAT=MLN","Sort=A","Dates=H","DateFormat=P","Fill=—","Direction=H","UseDPDF=Y")</f>
        <v>23.126000000000001</v>
      </c>
      <c r="AA19" s="13">
        <f>_xll.BDH("ALNY US Equity","INVTRY_FINISHED_GOODS","FQ4 2024","FQ4 2024","Currency=USD","Period=FQ","BEST_FPERIOD_OVERRIDE=FQ","FILING_STATUS=MR","SCALING_FORMAT=MLN","Sort=A","Dates=H","DateFormat=P","Fill=—","Direction=H","UseDPDF=Y")</f>
        <v>26.433</v>
      </c>
    </row>
    <row r="20" spans="1:27" x14ac:dyDescent="0.25">
      <c r="A20" s="10" t="s">
        <v>1537</v>
      </c>
      <c r="B20" s="10" t="s">
        <v>695</v>
      </c>
      <c r="C20" s="13">
        <f>_xll.BDH("ALNY US Equity","BS_OTHER_INV","FQ4 2018","FQ4 2018","Currency=USD","Period=FQ","BEST_FPERIOD_OVERRIDE=FQ","FILING_STATUS=MR","SCALING_FORMAT=MLN","Sort=A","Dates=H","DateFormat=P","Fill=—","Direction=H","UseDPDF=Y")</f>
        <v>0</v>
      </c>
      <c r="D20" s="13">
        <f>_xll.BDH("ALNY US Equity","BS_OTHER_INV","FQ1 2019","FQ1 2019","Currency=USD","Period=FQ","BEST_FPERIOD_OVERRIDE=FQ","FILING_STATUS=MR","SCALING_FORMAT=MLN","Sort=A","Dates=H","DateFormat=P","Fill=—","Direction=H","UseDPDF=Y")</f>
        <v>0</v>
      </c>
      <c r="E20" s="13">
        <f>_xll.BDH("ALNY US Equity","BS_OTHER_INV","FQ2 2019","FQ2 2019","Currency=USD","Period=FQ","BEST_FPERIOD_OVERRIDE=FQ","FILING_STATUS=MR","SCALING_FORMAT=MLN","Sort=A","Dates=H","DateFormat=P","Fill=—","Direction=H","UseDPDF=Y")</f>
        <v>0</v>
      </c>
      <c r="F20" s="13">
        <f>_xll.BDH("ALNY US Equity","BS_OTHER_INV","FQ3 2019","FQ3 2019","Currency=USD","Period=FQ","BEST_FPERIOD_OVERRIDE=FQ","FILING_STATUS=MR","SCALING_FORMAT=MLN","Sort=A","Dates=H","DateFormat=P","Fill=—","Direction=H","UseDPDF=Y")</f>
        <v>0</v>
      </c>
      <c r="G20" s="13">
        <f>_xll.BDH("ALNY US Equity","BS_OTHER_INV","FQ4 2019","FQ4 2019","Currency=USD","Period=FQ","BEST_FPERIOD_OVERRIDE=FQ","FILING_STATUS=MR","SCALING_FORMAT=MLN","Sort=A","Dates=H","DateFormat=P","Fill=—","Direction=H","UseDPDF=Y")</f>
        <v>0</v>
      </c>
      <c r="H20" s="13">
        <f>_xll.BDH("ALNY US Equity","BS_OTHER_INV","FQ1 2020","FQ1 2020","Currency=USD","Period=FQ","BEST_FPERIOD_OVERRIDE=FQ","FILING_STATUS=MR","SCALING_FORMAT=MLN","Sort=A","Dates=H","DateFormat=P","Fill=—","Direction=H","UseDPDF=Y")</f>
        <v>0</v>
      </c>
      <c r="I20" s="13">
        <f>_xll.BDH("ALNY US Equity","BS_OTHER_INV","FQ2 2020","FQ2 2020","Currency=USD","Period=FQ","BEST_FPERIOD_OVERRIDE=FQ","FILING_STATUS=MR","SCALING_FORMAT=MLN","Sort=A","Dates=H","DateFormat=P","Fill=—","Direction=H","UseDPDF=Y")</f>
        <v>0</v>
      </c>
      <c r="J20" s="13">
        <f>_xll.BDH("ALNY US Equity","BS_OTHER_INV","FQ3 2020","FQ3 2020","Currency=USD","Period=FQ","BEST_FPERIOD_OVERRIDE=FQ","FILING_STATUS=MR","SCALING_FORMAT=MLN","Sort=A","Dates=H","DateFormat=P","Fill=—","Direction=H","UseDPDF=Y")</f>
        <v>0</v>
      </c>
      <c r="K20" s="13">
        <f>_xll.BDH("ALNY US Equity","BS_OTHER_INV","FQ4 2020","FQ4 2020","Currency=USD","Period=FQ","BEST_FPERIOD_OVERRIDE=FQ","FILING_STATUS=MR","SCALING_FORMAT=MLN","Sort=A","Dates=H","DateFormat=P","Fill=—","Direction=H","UseDPDF=Y")</f>
        <v>0</v>
      </c>
      <c r="L20" s="13">
        <f>_xll.BDH("ALNY US Equity","BS_OTHER_INV","FQ1 2021","FQ1 2021","Currency=USD","Period=FQ","BEST_FPERIOD_OVERRIDE=FQ","FILING_STATUS=MR","SCALING_FORMAT=MLN","Sort=A","Dates=H","DateFormat=P","Fill=—","Direction=H","UseDPDF=Y")</f>
        <v>-17.100000000000001</v>
      </c>
      <c r="M20" s="13">
        <f>_xll.BDH("ALNY US Equity","BS_OTHER_INV","FQ2 2021","FQ2 2021","Currency=USD","Period=FQ","BEST_FPERIOD_OVERRIDE=FQ","FILING_STATUS=MR","SCALING_FORMAT=MLN","Sort=A","Dates=H","DateFormat=P","Fill=—","Direction=H","UseDPDF=Y")</f>
        <v>-11.75</v>
      </c>
      <c r="N20" s="13">
        <f>_xll.BDH("ALNY US Equity","BS_OTHER_INV","FQ3 2021","FQ3 2021","Currency=USD","Period=FQ","BEST_FPERIOD_OVERRIDE=FQ","FILING_STATUS=MR","SCALING_FORMAT=MLN","Sort=A","Dates=H","DateFormat=P","Fill=—","Direction=H","UseDPDF=Y")</f>
        <v>-13.05</v>
      </c>
      <c r="O20" s="13">
        <f>_xll.BDH("ALNY US Equity","BS_OTHER_INV","FQ4 2021","FQ4 2021","Currency=USD","Period=FQ","BEST_FPERIOD_OVERRIDE=FQ","FILING_STATUS=MR","SCALING_FORMAT=MLN","Sort=A","Dates=H","DateFormat=P","Fill=—","Direction=H","UseDPDF=Y")</f>
        <v>0</v>
      </c>
      <c r="P20" s="13">
        <f>_xll.BDH("ALNY US Equity","BS_OTHER_INV","FQ1 2022","FQ1 2022","Currency=USD","Period=FQ","BEST_FPERIOD_OVERRIDE=FQ","FILING_STATUS=MR","SCALING_FORMAT=MLN","Sort=A","Dates=H","DateFormat=P","Fill=—","Direction=H","UseDPDF=Y")</f>
        <v>-43.545999999999999</v>
      </c>
      <c r="Q20" s="13">
        <f>_xll.BDH("ALNY US Equity","BS_OTHER_INV","FQ2 2022","FQ2 2022","Currency=USD","Period=FQ","BEST_FPERIOD_OVERRIDE=FQ","FILING_STATUS=MR","SCALING_FORMAT=MLN","Sort=A","Dates=H","DateFormat=P","Fill=—","Direction=H","UseDPDF=Y")</f>
        <v>-43.546999999999997</v>
      </c>
      <c r="R20" s="13">
        <f>_xll.BDH("ALNY US Equity","BS_OTHER_INV","FQ3 2022","FQ3 2022","Currency=USD","Period=FQ","BEST_FPERIOD_OVERRIDE=FQ","FILING_STATUS=MR","SCALING_FORMAT=MLN","Sort=A","Dates=H","DateFormat=P","Fill=—","Direction=H","UseDPDF=Y")</f>
        <v>-26.158999999999999</v>
      </c>
      <c r="S20" s="13">
        <f>_xll.BDH("ALNY US Equity","BS_OTHER_INV","FQ4 2022","FQ4 2022","Currency=USD","Period=FQ","BEST_FPERIOD_OVERRIDE=FQ","FILING_STATUS=MR","SCALING_FORMAT=MLN","Sort=A","Dates=H","DateFormat=P","Fill=—","Direction=H","UseDPDF=Y")</f>
        <v>-32.741999999999997</v>
      </c>
      <c r="T20" s="13">
        <f>_xll.BDH("ALNY US Equity","BS_OTHER_INV","FQ1 2023","FQ1 2023","Currency=USD","Period=FQ","BEST_FPERIOD_OVERRIDE=FQ","FILING_STATUS=MR","SCALING_FORMAT=MLN","Sort=A","Dates=H","DateFormat=P","Fill=—","Direction=H","UseDPDF=Y")</f>
        <v>-31.506</v>
      </c>
      <c r="U20" s="13">
        <f>_xll.BDH("ALNY US Equity","BS_OTHER_INV","FQ2 2023","FQ2 2023","Currency=USD","Period=FQ","BEST_FPERIOD_OVERRIDE=FQ","FILING_STATUS=MR","SCALING_FORMAT=MLN","Sort=A","Dates=H","DateFormat=P","Fill=—","Direction=H","UseDPDF=Y")</f>
        <v>-62.161999999999999</v>
      </c>
      <c r="V20" s="13">
        <f>_xll.BDH("ALNY US Equity","BS_OTHER_INV","FQ3 2023","FQ3 2023","Currency=USD","Period=FQ","BEST_FPERIOD_OVERRIDE=FQ","FILING_STATUS=MR","SCALING_FORMAT=MLN","Sort=A","Dates=H","DateFormat=P","Fill=—","Direction=H","UseDPDF=Y")</f>
        <v>-40.698999999999998</v>
      </c>
      <c r="W20" s="13">
        <f>_xll.BDH("ALNY US Equity","BS_OTHER_INV","FQ4 2023","FQ4 2023","Currency=USD","Period=FQ","BEST_FPERIOD_OVERRIDE=FQ","FILING_STATUS=MR","SCALING_FORMAT=MLN","Sort=A","Dates=H","DateFormat=P","Fill=—","Direction=H","UseDPDF=Y")</f>
        <v>-36.286000000000001</v>
      </c>
      <c r="X20" s="13">
        <f>_xll.BDH("ALNY US Equity","BS_OTHER_INV","FQ1 2024","FQ1 2024","Currency=USD","Period=FQ","BEST_FPERIOD_OVERRIDE=FQ","FILING_STATUS=MR","SCALING_FORMAT=MLN","Sort=A","Dates=H","DateFormat=P","Fill=—","Direction=H","UseDPDF=Y")</f>
        <v>-32.302999999999997</v>
      </c>
      <c r="Y20" s="13">
        <f>_xll.BDH("ALNY US Equity","BS_OTHER_INV","FQ2 2024","FQ2 2024","Currency=USD","Period=FQ","BEST_FPERIOD_OVERRIDE=FQ","FILING_STATUS=MR","SCALING_FORMAT=MLN","Sort=A","Dates=H","DateFormat=P","Fill=—","Direction=H","UseDPDF=Y")</f>
        <v>-36.43</v>
      </c>
      <c r="Z20" s="13">
        <f>_xll.BDH("ALNY US Equity","BS_OTHER_INV","FQ3 2024","FQ3 2024","Currency=USD","Period=FQ","BEST_FPERIOD_OVERRIDE=FQ","FILING_STATUS=MR","SCALING_FORMAT=MLN","Sort=A","Dates=H","DateFormat=P","Fill=—","Direction=H","UseDPDF=Y")</f>
        <v>-39.369</v>
      </c>
      <c r="AA20" s="13">
        <f>_xll.BDH("ALNY US Equity","BS_OTHER_INV","FQ4 2024","FQ4 2024","Currency=USD","Period=FQ","BEST_FPERIOD_OVERRIDE=FQ","FILING_STATUS=MR","SCALING_FORMAT=MLN","Sort=A","Dates=H","DateFormat=P","Fill=—","Direction=H","UseDPDF=Y")</f>
        <v>-36.866999999999997</v>
      </c>
    </row>
    <row r="21" spans="1:27" x14ac:dyDescent="0.25">
      <c r="A21" s="7" t="s">
        <v>90</v>
      </c>
      <c r="B21" s="7"/>
      <c r="C21" s="7" t="s">
        <v>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4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1538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</row>
    <row r="5" spans="1:27" x14ac:dyDescent="0.25">
      <c r="A5" s="9" t="s">
        <v>34</v>
      </c>
      <c r="B5" s="9"/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</row>
    <row r="6" spans="1:27" x14ac:dyDescent="0.25">
      <c r="A6" s="6" t="s">
        <v>1539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1540</v>
      </c>
      <c r="B7" s="10" t="s">
        <v>1541</v>
      </c>
      <c r="C7" s="13">
        <f>_xll.BDH("ALNY US Equity","TRAIL_12M_CASH_FROM_OPER","FQ2 2019","FQ2 2019","Currency=USD","Period=FQ","BEST_FPERIOD_OVERRIDE=FQ","FILING_STATUS=MR","SCALING_FORMAT=MLN","Sort=A","Dates=H","DateFormat=P","Fill=—","Direction=H","UseDPDF=Y")</f>
        <v>-204.08</v>
      </c>
      <c r="D7" s="13">
        <f>_xll.BDH("ALNY US Equity","TRAIL_12M_CASH_FROM_OPER","FQ3 2019","FQ3 2019","Currency=USD","Period=FQ","BEST_FPERIOD_OVERRIDE=FQ","FILING_STATUS=MR","SCALING_FORMAT=MLN","Sort=A","Dates=H","DateFormat=P","Fill=—","Direction=H","UseDPDF=Y")</f>
        <v>-232.904</v>
      </c>
      <c r="E7" s="13">
        <f>_xll.BDH("ALNY US Equity","TRAIL_12M_CASH_FROM_OPER","FQ4 2019","FQ4 2019","Currency=USD","Period=FQ","BEST_FPERIOD_OVERRIDE=FQ","FILING_STATUS=MR","SCALING_FORMAT=MLN","Sort=A","Dates=H","DateFormat=P","Fill=—","Direction=H","UseDPDF=Y")</f>
        <v>-278.42700000000002</v>
      </c>
      <c r="F7" s="13">
        <f>_xll.BDH("ALNY US Equity","TRAIL_12M_CASH_FROM_OPER","FQ1 2020","FQ1 2020","Currency=USD","Period=FQ","BEST_FPERIOD_OVERRIDE=FQ","FILING_STATUS=MR","SCALING_FORMAT=MLN","Sort=A","Dates=H","DateFormat=P","Fill=—","Direction=H","UseDPDF=Y")</f>
        <v>-336.07799999999997</v>
      </c>
      <c r="G7" s="13">
        <f>_xll.BDH("ALNY US Equity","TRAIL_12M_CASH_FROM_OPER","FQ2 2020","FQ2 2020","Currency=USD","Period=FQ","BEST_FPERIOD_OVERRIDE=FQ","FILING_STATUS=MR","SCALING_FORMAT=MLN","Sort=A","Dates=H","DateFormat=P","Fill=—","Direction=H","UseDPDF=Y")</f>
        <v>-760.10299999999995</v>
      </c>
      <c r="H7" s="13">
        <f>_xll.BDH("ALNY US Equity","TRAIL_12M_CASH_FROM_OPER","FQ3 2020","FQ3 2020","Currency=USD","Period=FQ","BEST_FPERIOD_OVERRIDE=FQ","FILING_STATUS=MR","SCALING_FORMAT=MLN","Sort=A","Dates=H","DateFormat=P","Fill=—","Direction=H","UseDPDF=Y")</f>
        <v>-687.79700000000003</v>
      </c>
      <c r="I7" s="13">
        <f>_xll.BDH("ALNY US Equity","TRAIL_12M_CASH_FROM_OPER","FQ4 2020","FQ4 2020","Currency=USD","Period=FQ","BEST_FPERIOD_OVERRIDE=FQ","FILING_STATUS=MR","SCALING_FORMAT=MLN","Sort=A","Dates=H","DateFormat=P","Fill=—","Direction=H","UseDPDF=Y")</f>
        <v>-614.96100000000001</v>
      </c>
      <c r="J7" s="13">
        <f>_xll.BDH("ALNY US Equity","TRAIL_12M_CASH_FROM_OPER","FQ1 2021","FQ1 2021","Currency=USD","Period=FQ","BEST_FPERIOD_OVERRIDE=FQ","FILING_STATUS=MR","SCALING_FORMAT=MLN","Sort=A","Dates=H","DateFormat=P","Fill=—","Direction=H","UseDPDF=Y")</f>
        <v>-604.46</v>
      </c>
      <c r="K7" s="13">
        <f>_xll.BDH("ALNY US Equity","TRAIL_12M_CASH_FROM_OPER","FQ2 2021","FQ2 2021","Currency=USD","Period=FQ","BEST_FPERIOD_OVERRIDE=FQ","FILING_STATUS=MR","SCALING_FORMAT=MLN","Sort=A","Dates=H","DateFormat=P","Fill=—","Direction=H","UseDPDF=Y")</f>
        <v>-590.98599999999999</v>
      </c>
      <c r="L7" s="13">
        <f>_xll.BDH("ALNY US Equity","TRAIL_12M_CASH_FROM_OPER","FQ3 2021","FQ3 2021","Currency=USD","Period=FQ","BEST_FPERIOD_OVERRIDE=FQ","FILING_STATUS=MR","SCALING_FORMAT=MLN","Sort=A","Dates=H","DateFormat=P","Fill=—","Direction=H","UseDPDF=Y")</f>
        <v>-614.69600000000003</v>
      </c>
      <c r="M7" s="13">
        <f>_xll.BDH("ALNY US Equity","TRAIL_12M_CASH_FROM_OPER","FQ4 2021","FQ4 2021","Currency=USD","Period=FQ","BEST_FPERIOD_OVERRIDE=FQ","FILING_STATUS=MR","SCALING_FORMAT=MLN","Sort=A","Dates=H","DateFormat=P","Fill=—","Direction=H","UseDPDF=Y")</f>
        <v>-641.69299999999998</v>
      </c>
      <c r="N7" s="13">
        <f>_xll.BDH("ALNY US Equity","TRAIL_12M_CASH_FROM_OPER","FQ1 2022","FQ1 2022","Currency=USD","Period=FQ","BEST_FPERIOD_OVERRIDE=FQ","FILING_STATUS=MR","SCALING_FORMAT=MLN","Sort=A","Dates=H","DateFormat=P","Fill=—","Direction=H","UseDPDF=Y")</f>
        <v>-577.226</v>
      </c>
      <c r="O7" s="13">
        <f>_xll.BDH("ALNY US Equity","TRAIL_12M_CASH_FROM_OPER","FQ2 2022","FQ2 2022","Currency=USD","Period=FQ","BEST_FPERIOD_OVERRIDE=FQ","FILING_STATUS=MR","SCALING_FORMAT=MLN","Sort=A","Dates=H","DateFormat=P","Fill=—","Direction=H","UseDPDF=Y")</f>
        <v>-578.18899999999996</v>
      </c>
      <c r="P7" s="13">
        <f>_xll.BDH("ALNY US Equity","TRAIL_12M_CASH_FROM_OPER","FQ3 2022","FQ3 2022","Currency=USD","Period=FQ","BEST_FPERIOD_OVERRIDE=FQ","FILING_STATUS=MR","SCALING_FORMAT=MLN","Sort=A","Dates=H","DateFormat=P","Fill=—","Direction=H","UseDPDF=Y")</f>
        <v>-559.43700000000001</v>
      </c>
      <c r="Q7" s="13">
        <f>_xll.BDH("ALNY US Equity","TRAIL_12M_CASH_FROM_OPER","FQ4 2022","FQ4 2022","Currency=USD","Period=FQ","BEST_FPERIOD_OVERRIDE=FQ","FILING_STATUS=MR","SCALING_FORMAT=MLN","Sort=A","Dates=H","DateFormat=P","Fill=—","Direction=H","UseDPDF=Y")</f>
        <v>-541.274</v>
      </c>
      <c r="R7" s="13">
        <f>_xll.BDH("ALNY US Equity","TRAIL_12M_CASH_FROM_OPER","FQ1 2023","FQ1 2023","Currency=USD","Period=FQ","BEST_FPERIOD_OVERRIDE=FQ","FILING_STATUS=MR","SCALING_FORMAT=MLN","Sort=A","Dates=H","DateFormat=P","Fill=—","Direction=H","UseDPDF=Y")</f>
        <v>-536.55600000000004</v>
      </c>
      <c r="S7" s="13">
        <f>_xll.BDH("ALNY US Equity","TRAIL_12M_CASH_FROM_OPER","FQ2 2023","FQ2 2023","Currency=USD","Period=FQ","BEST_FPERIOD_OVERRIDE=FQ","FILING_STATUS=MR","SCALING_FORMAT=MLN","Sort=A","Dates=H","DateFormat=P","Fill=—","Direction=H","UseDPDF=Y")</f>
        <v>-472.72300000000001</v>
      </c>
      <c r="T7" s="13">
        <f>_xll.BDH("ALNY US Equity","TRAIL_12M_CASH_FROM_OPER","FQ3 2023","FQ3 2023","Currency=USD","Period=FQ","BEST_FPERIOD_OVERRIDE=FQ","FILING_STATUS=MR","SCALING_FORMAT=MLN","Sort=A","Dates=H","DateFormat=P","Fill=—","Direction=H","UseDPDF=Y")</f>
        <v>1.9730000000000001</v>
      </c>
      <c r="U7" s="13">
        <f>_xll.BDH("ALNY US Equity","TRAIL_12M_CASH_FROM_OPER","FQ4 2023","FQ4 2023","Currency=USD","Period=FQ","BEST_FPERIOD_OVERRIDE=FQ","FILING_STATUS=MR","SCALING_FORMAT=MLN","Sort=A","Dates=H","DateFormat=P","Fill=—","Direction=H","UseDPDF=Y")</f>
        <v>104.15600000000001</v>
      </c>
      <c r="V7" s="13">
        <f>_xll.BDH("ALNY US Equity","TRAIL_12M_CASH_FROM_OPER","FQ1 2024","FQ1 2024","Currency=USD","Period=FQ","BEST_FPERIOD_OVERRIDE=FQ","FILING_STATUS=MR","SCALING_FORMAT=MLN","Sort=A","Dates=H","DateFormat=P","Fill=—","Direction=H","UseDPDF=Y")</f>
        <v>189.11600000000001</v>
      </c>
      <c r="W7" s="13">
        <f>_xll.BDH("ALNY US Equity","TRAIL_12M_CASH_FROM_OPER","FQ2 2024","FQ2 2024","Currency=USD","Period=FQ","BEST_FPERIOD_OVERRIDE=FQ","FILING_STATUS=MR","SCALING_FORMAT=MLN","Sort=A","Dates=H","DateFormat=P","Fill=—","Direction=H","UseDPDF=Y")</f>
        <v>372.26</v>
      </c>
      <c r="X7" s="13">
        <f>_xll.BDH("ALNY US Equity","TRAIL_12M_CASH_FROM_OPER","FQ3 2024","FQ3 2024","Currency=USD","Period=FQ","BEST_FPERIOD_OVERRIDE=FQ","FILING_STATUS=MR","SCALING_FORMAT=MLN","Sort=A","Dates=H","DateFormat=P","Fill=—","Direction=H","UseDPDF=Y")</f>
        <v>56.555</v>
      </c>
      <c r="Y7" s="13">
        <f>_xll.BDH("ALNY US Equity","TRAIL_12M_CASH_FROM_OPER","FQ4 2024","FQ4 2024","Currency=USD","Period=FQ","BEST_FPERIOD_OVERRIDE=FQ","FILING_STATUS=MR","SCALING_FORMAT=MLN","Sort=A","Dates=H","DateFormat=P","Fill=—","Direction=H","UseDPDF=Y")</f>
        <v>-8.3119999999999994</v>
      </c>
      <c r="Z7" s="13">
        <v>8884.6372510000001</v>
      </c>
      <c r="AA7" s="13">
        <v>8806.3871880000006</v>
      </c>
    </row>
    <row r="8" spans="1:27" x14ac:dyDescent="0.25">
      <c r="A8" s="10" t="s">
        <v>1542</v>
      </c>
      <c r="B8" s="10" t="s">
        <v>1543</v>
      </c>
      <c r="C8" s="13">
        <f>_xll.BDH("ALNY US Equity","TRAIL_12M_CAP_EXPEND","FQ2 2019","FQ2 2019","Currency=USD","Period=FQ","BEST_FPERIOD_OVERRIDE=FQ","FILING_STATUS=MR","SCALING_FORMAT=MLN","Sort=A","Dates=H","DateFormat=P","Fill=—","Direction=H","UseDPDF=Y")</f>
        <v>-148.215</v>
      </c>
      <c r="D8" s="13">
        <f>_xll.BDH("ALNY US Equity","TRAIL_12M_CAP_EXPEND","FQ3 2019","FQ3 2019","Currency=USD","Period=FQ","BEST_FPERIOD_OVERRIDE=FQ","FILING_STATUS=MR","SCALING_FORMAT=MLN","Sort=A","Dates=H","DateFormat=P","Fill=—","Direction=H","UseDPDF=Y")</f>
        <v>-138.864</v>
      </c>
      <c r="E8" s="13">
        <f>_xll.BDH("ALNY US Equity","TRAIL_12M_CAP_EXPEND","FQ4 2019","FQ4 2019","Currency=USD","Period=FQ","BEST_FPERIOD_OVERRIDE=FQ","FILING_STATUS=MR","SCALING_FORMAT=MLN","Sort=A","Dates=H","DateFormat=P","Fill=—","Direction=H","UseDPDF=Y")</f>
        <v>-140.15600000000001</v>
      </c>
      <c r="F8" s="13">
        <f>_xll.BDH("ALNY US Equity","TRAIL_12M_CAP_EXPEND","FQ1 2020","FQ1 2020","Currency=USD","Period=FQ","BEST_FPERIOD_OVERRIDE=FQ","FILING_STATUS=MR","SCALING_FORMAT=MLN","Sort=A","Dates=H","DateFormat=P","Fill=—","Direction=H","UseDPDF=Y")</f>
        <v>-115.724</v>
      </c>
      <c r="G8" s="13">
        <f>_xll.BDH("ALNY US Equity","TRAIL_12M_CAP_EXPEND","FQ2 2020","FQ2 2020","Currency=USD","Period=FQ","BEST_FPERIOD_OVERRIDE=FQ","FILING_STATUS=MR","SCALING_FORMAT=MLN","Sort=A","Dates=H","DateFormat=P","Fill=—","Direction=H","UseDPDF=Y")</f>
        <v>-111.13800000000001</v>
      </c>
      <c r="H8" s="13">
        <f>_xll.BDH("ALNY US Equity","TRAIL_12M_CAP_EXPEND","FQ3 2020","FQ3 2020","Currency=USD","Period=FQ","BEST_FPERIOD_OVERRIDE=FQ","FILING_STATUS=MR","SCALING_FORMAT=MLN","Sort=A","Dates=H","DateFormat=P","Fill=—","Direction=H","UseDPDF=Y")</f>
        <v>-87.498000000000005</v>
      </c>
      <c r="I8" s="13">
        <f>_xll.BDH("ALNY US Equity","TRAIL_12M_CAP_EXPEND","FQ4 2020","FQ4 2020","Currency=USD","Period=FQ","BEST_FPERIOD_OVERRIDE=FQ","FILING_STATUS=MR","SCALING_FORMAT=MLN","Sort=A","Dates=H","DateFormat=P","Fill=—","Direction=H","UseDPDF=Y")</f>
        <v>-70.361000000000004</v>
      </c>
      <c r="J8" s="13">
        <f>_xll.BDH("ALNY US Equity","TRAIL_12M_CAP_EXPEND","FQ1 2021","FQ1 2021","Currency=USD","Period=FQ","BEST_FPERIOD_OVERRIDE=FQ","FILING_STATUS=MR","SCALING_FORMAT=MLN","Sort=A","Dates=H","DateFormat=P","Fill=—","Direction=H","UseDPDF=Y")</f>
        <v>-67.921999999999997</v>
      </c>
      <c r="K8" s="13">
        <f>_xll.BDH("ALNY US Equity","TRAIL_12M_CAP_EXPEND","FQ2 2021","FQ2 2021","Currency=USD","Period=FQ","BEST_FPERIOD_OVERRIDE=FQ","FILING_STATUS=MR","SCALING_FORMAT=MLN","Sort=A","Dates=H","DateFormat=P","Fill=—","Direction=H","UseDPDF=Y")</f>
        <v>-62.51</v>
      </c>
      <c r="L8" s="13">
        <f>_xll.BDH("ALNY US Equity","TRAIL_12M_CAP_EXPEND","FQ3 2021","FQ3 2021","Currency=USD","Period=FQ","BEST_FPERIOD_OVERRIDE=FQ","FILING_STATUS=MR","SCALING_FORMAT=MLN","Sort=A","Dates=H","DateFormat=P","Fill=—","Direction=H","UseDPDF=Y")</f>
        <v>-76.153999999999996</v>
      </c>
      <c r="M8" s="13">
        <f>_xll.BDH("ALNY US Equity","TRAIL_12M_CAP_EXPEND","FQ4 2021","FQ4 2021","Currency=USD","Period=FQ","BEST_FPERIOD_OVERRIDE=FQ","FILING_STATUS=MR","SCALING_FORMAT=MLN","Sort=A","Dates=H","DateFormat=P","Fill=—","Direction=H","UseDPDF=Y")</f>
        <v>-76.372</v>
      </c>
      <c r="N8" s="13">
        <f>_xll.BDH("ALNY US Equity","TRAIL_12M_CAP_EXPEND","FQ1 2022","FQ1 2022","Currency=USD","Period=FQ","BEST_FPERIOD_OVERRIDE=FQ","FILING_STATUS=MR","SCALING_FORMAT=MLN","Sort=A","Dates=H","DateFormat=P","Fill=—","Direction=H","UseDPDF=Y")</f>
        <v>-77.052999999999997</v>
      </c>
      <c r="O8" s="13">
        <f>_xll.BDH("ALNY US Equity","TRAIL_12M_CAP_EXPEND","FQ2 2022","FQ2 2022","Currency=USD","Period=FQ","BEST_FPERIOD_OVERRIDE=FQ","FILING_STATUS=MR","SCALING_FORMAT=MLN","Sort=A","Dates=H","DateFormat=P","Fill=—","Direction=H","UseDPDF=Y")</f>
        <v>-81.861999999999995</v>
      </c>
      <c r="P8" s="13">
        <f>_xll.BDH("ALNY US Equity","TRAIL_12M_CAP_EXPEND","FQ3 2022","FQ3 2022","Currency=USD","Period=FQ","BEST_FPERIOD_OVERRIDE=FQ","FILING_STATUS=MR","SCALING_FORMAT=MLN","Sort=A","Dates=H","DateFormat=P","Fill=—","Direction=H","UseDPDF=Y")</f>
        <v>-72.31</v>
      </c>
      <c r="Q8" s="13">
        <f>_xll.BDH("ALNY US Equity","TRAIL_12M_CAP_EXPEND","FQ4 2022","FQ4 2022","Currency=USD","Period=FQ","BEST_FPERIOD_OVERRIDE=FQ","FILING_STATUS=MR","SCALING_FORMAT=MLN","Sort=A","Dates=H","DateFormat=P","Fill=—","Direction=H","UseDPDF=Y")</f>
        <v>-72.058999999999997</v>
      </c>
      <c r="R8" s="13">
        <f>_xll.BDH("ALNY US Equity","TRAIL_12M_CAP_EXPEND","FQ1 2023","FQ1 2023","Currency=USD","Period=FQ","BEST_FPERIOD_OVERRIDE=FQ","FILING_STATUS=MR","SCALING_FORMAT=MLN","Sort=A","Dates=H","DateFormat=P","Fill=—","Direction=H","UseDPDF=Y")</f>
        <v>-68.090999999999994</v>
      </c>
      <c r="S8" s="13">
        <f>_xll.BDH("ALNY US Equity","TRAIL_12M_CAP_EXPEND","FQ2 2023","FQ2 2023","Currency=USD","Period=FQ","BEST_FPERIOD_OVERRIDE=FQ","FILING_STATUS=MR","SCALING_FORMAT=MLN","Sort=A","Dates=H","DateFormat=P","Fill=—","Direction=H","UseDPDF=Y")</f>
        <v>-67.954999999999998</v>
      </c>
      <c r="T8" s="13">
        <f>_xll.BDH("ALNY US Equity","TRAIL_12M_CAP_EXPEND","FQ3 2023","FQ3 2023","Currency=USD","Period=FQ","BEST_FPERIOD_OVERRIDE=FQ","FILING_STATUS=MR","SCALING_FORMAT=MLN","Sort=A","Dates=H","DateFormat=P","Fill=—","Direction=H","UseDPDF=Y")</f>
        <v>-68.537000000000006</v>
      </c>
      <c r="U8" s="13">
        <f>_xll.BDH("ALNY US Equity","TRAIL_12M_CAP_EXPEND","FQ4 2023","FQ4 2023","Currency=USD","Period=FQ","BEST_FPERIOD_OVERRIDE=FQ","FILING_STATUS=MR","SCALING_FORMAT=MLN","Sort=A","Dates=H","DateFormat=P","Fill=—","Direction=H","UseDPDF=Y")</f>
        <v>-62.210999999999999</v>
      </c>
      <c r="V8" s="13">
        <f>_xll.BDH("ALNY US Equity","TRAIL_12M_CAP_EXPEND","FQ1 2024","FQ1 2024","Currency=USD","Period=FQ","BEST_FPERIOD_OVERRIDE=FQ","FILING_STATUS=MR","SCALING_FORMAT=MLN","Sort=A","Dates=H","DateFormat=P","Fill=—","Direction=H","UseDPDF=Y")</f>
        <v>-61.292999999999999</v>
      </c>
      <c r="W8" s="13">
        <f>_xll.BDH("ALNY US Equity","TRAIL_12M_CAP_EXPEND","FQ2 2024","FQ2 2024","Currency=USD","Period=FQ","BEST_FPERIOD_OVERRIDE=FQ","FILING_STATUS=MR","SCALING_FORMAT=MLN","Sort=A","Dates=H","DateFormat=P","Fill=—","Direction=H","UseDPDF=Y")</f>
        <v>-53.392000000000003</v>
      </c>
      <c r="X8" s="13">
        <f>_xll.BDH("ALNY US Equity","TRAIL_12M_CAP_EXPEND","FQ3 2024","FQ3 2024","Currency=USD","Period=FQ","BEST_FPERIOD_OVERRIDE=FQ","FILING_STATUS=MR","SCALING_FORMAT=MLN","Sort=A","Dates=H","DateFormat=P","Fill=—","Direction=H","UseDPDF=Y")</f>
        <v>-40.491999999999997</v>
      </c>
      <c r="Y8" s="13">
        <f>_xll.BDH("ALNY US Equity","TRAIL_12M_CAP_EXPEND","FQ4 2024","FQ4 2024","Currency=USD","Period=FQ","BEST_FPERIOD_OVERRIDE=FQ","FILING_STATUS=MR","SCALING_FORMAT=MLN","Sort=A","Dates=H","DateFormat=P","Fill=—","Direction=H","UseDPDF=Y")</f>
        <v>-34.277000000000001</v>
      </c>
      <c r="Z8" s="13"/>
      <c r="AA8" s="13"/>
    </row>
    <row r="9" spans="1:27" x14ac:dyDescent="0.25">
      <c r="A9" s="6" t="s">
        <v>88</v>
      </c>
      <c r="B9" s="6" t="s">
        <v>1544</v>
      </c>
      <c r="C9" s="19">
        <f>_xll.BDH("ALNY US Equity","TRAIL_12M_FREE_CASH_FLOW","FQ2 2019","FQ2 2019","Currency=USD","Period=FQ","BEST_FPERIOD_OVERRIDE=FQ","FILING_STATUS=MR","SCALING_FORMAT=MLN","Sort=A","Dates=H","DateFormat=P","Fill=—","Direction=H","UseDPDF=Y")</f>
        <v>-352.29500000000002</v>
      </c>
      <c r="D9" s="19">
        <f>_xll.BDH("ALNY US Equity","TRAIL_12M_FREE_CASH_FLOW","FQ3 2019","FQ3 2019","Currency=USD","Period=FQ","BEST_FPERIOD_OVERRIDE=FQ","FILING_STATUS=MR","SCALING_FORMAT=MLN","Sort=A","Dates=H","DateFormat=P","Fill=—","Direction=H","UseDPDF=Y")</f>
        <v>-371.76799999999997</v>
      </c>
      <c r="E9" s="19">
        <f>_xll.BDH("ALNY US Equity","TRAIL_12M_FREE_CASH_FLOW","FQ4 2019","FQ4 2019","Currency=USD","Period=FQ","BEST_FPERIOD_OVERRIDE=FQ","FILING_STATUS=MR","SCALING_FORMAT=MLN","Sort=A","Dates=H","DateFormat=P","Fill=—","Direction=H","UseDPDF=Y")</f>
        <v>-418.58300000000003</v>
      </c>
      <c r="F9" s="19">
        <f>_xll.BDH("ALNY US Equity","TRAIL_12M_FREE_CASH_FLOW","FQ1 2020","FQ1 2020","Currency=USD","Period=FQ","BEST_FPERIOD_OVERRIDE=FQ","FILING_STATUS=MR","SCALING_FORMAT=MLN","Sort=A","Dates=H","DateFormat=P","Fill=—","Direction=H","UseDPDF=Y")</f>
        <v>-451.80200000000002</v>
      </c>
      <c r="G9" s="19">
        <f>_xll.BDH("ALNY US Equity","TRAIL_12M_FREE_CASH_FLOW","FQ2 2020","FQ2 2020","Currency=USD","Period=FQ","BEST_FPERIOD_OVERRIDE=FQ","FILING_STATUS=MR","SCALING_FORMAT=MLN","Sort=A","Dates=H","DateFormat=P","Fill=—","Direction=H","UseDPDF=Y")</f>
        <v>-871.24099999999999</v>
      </c>
      <c r="H9" s="19">
        <f>_xll.BDH("ALNY US Equity","TRAIL_12M_FREE_CASH_FLOW","FQ3 2020","FQ3 2020","Currency=USD","Period=FQ","BEST_FPERIOD_OVERRIDE=FQ","FILING_STATUS=MR","SCALING_FORMAT=MLN","Sort=A","Dates=H","DateFormat=P","Fill=—","Direction=H","UseDPDF=Y")</f>
        <v>-775.29499999999996</v>
      </c>
      <c r="I9" s="19">
        <f>_xll.BDH("ALNY US Equity","TRAIL_12M_FREE_CASH_FLOW","FQ4 2020","FQ4 2020","Currency=USD","Period=FQ","BEST_FPERIOD_OVERRIDE=FQ","FILING_STATUS=MR","SCALING_FORMAT=MLN","Sort=A","Dates=H","DateFormat=P","Fill=—","Direction=H","UseDPDF=Y")</f>
        <v>-685.322</v>
      </c>
      <c r="J9" s="19">
        <f>_xll.BDH("ALNY US Equity","TRAIL_12M_FREE_CASH_FLOW","FQ1 2021","FQ1 2021","Currency=USD","Period=FQ","BEST_FPERIOD_OVERRIDE=FQ","FILING_STATUS=MR","SCALING_FORMAT=MLN","Sort=A","Dates=H","DateFormat=P","Fill=—","Direction=H","UseDPDF=Y")</f>
        <v>-672.38199999999995</v>
      </c>
      <c r="K9" s="19">
        <f>_xll.BDH("ALNY US Equity","TRAIL_12M_FREE_CASH_FLOW","FQ2 2021","FQ2 2021","Currency=USD","Period=FQ","BEST_FPERIOD_OVERRIDE=FQ","FILING_STATUS=MR","SCALING_FORMAT=MLN","Sort=A","Dates=H","DateFormat=P","Fill=—","Direction=H","UseDPDF=Y")</f>
        <v>-653.49599999999998</v>
      </c>
      <c r="L9" s="19">
        <f>_xll.BDH("ALNY US Equity","TRAIL_12M_FREE_CASH_FLOW","FQ3 2021","FQ3 2021","Currency=USD","Period=FQ","BEST_FPERIOD_OVERRIDE=FQ","FILING_STATUS=MR","SCALING_FORMAT=MLN","Sort=A","Dates=H","DateFormat=P","Fill=—","Direction=H","UseDPDF=Y")</f>
        <v>-690.85</v>
      </c>
      <c r="M9" s="19">
        <f>_xll.BDH("ALNY US Equity","TRAIL_12M_FREE_CASH_FLOW","FQ4 2021","FQ4 2021","Currency=USD","Period=FQ","BEST_FPERIOD_OVERRIDE=FQ","FILING_STATUS=MR","SCALING_FORMAT=MLN","Sort=A","Dates=H","DateFormat=P","Fill=—","Direction=H","UseDPDF=Y")</f>
        <v>-718.06500000000005</v>
      </c>
      <c r="N9" s="19">
        <f>_xll.BDH("ALNY US Equity","TRAIL_12M_FREE_CASH_FLOW","FQ1 2022","FQ1 2022","Currency=USD","Period=FQ","BEST_FPERIOD_OVERRIDE=FQ","FILING_STATUS=MR","SCALING_FORMAT=MLN","Sort=A","Dates=H","DateFormat=P","Fill=—","Direction=H","UseDPDF=Y")</f>
        <v>-654.279</v>
      </c>
      <c r="O9" s="19">
        <f>_xll.BDH("ALNY US Equity","TRAIL_12M_FREE_CASH_FLOW","FQ2 2022","FQ2 2022","Currency=USD","Period=FQ","BEST_FPERIOD_OVERRIDE=FQ","FILING_STATUS=MR","SCALING_FORMAT=MLN","Sort=A","Dates=H","DateFormat=P","Fill=—","Direction=H","UseDPDF=Y")</f>
        <v>-660.05100000000004</v>
      </c>
      <c r="P9" s="19">
        <f>_xll.BDH("ALNY US Equity","TRAIL_12M_FREE_CASH_FLOW","FQ3 2022","FQ3 2022","Currency=USD","Period=FQ","BEST_FPERIOD_OVERRIDE=FQ","FILING_STATUS=MR","SCALING_FORMAT=MLN","Sort=A","Dates=H","DateFormat=P","Fill=—","Direction=H","UseDPDF=Y")</f>
        <v>-631.74699999999996</v>
      </c>
      <c r="Q9" s="19">
        <f>_xll.BDH("ALNY US Equity","TRAIL_12M_FREE_CASH_FLOW","FQ4 2022","FQ4 2022","Currency=USD","Period=FQ","BEST_FPERIOD_OVERRIDE=FQ","FILING_STATUS=MR","SCALING_FORMAT=MLN","Sort=A","Dates=H","DateFormat=P","Fill=—","Direction=H","UseDPDF=Y")</f>
        <v>-613.33299999999997</v>
      </c>
      <c r="R9" s="19">
        <f>_xll.BDH("ALNY US Equity","TRAIL_12M_FREE_CASH_FLOW","FQ1 2023","FQ1 2023","Currency=USD","Period=FQ","BEST_FPERIOD_OVERRIDE=FQ","FILING_STATUS=MR","SCALING_FORMAT=MLN","Sort=A","Dates=H","DateFormat=P","Fill=—","Direction=H","UseDPDF=Y")</f>
        <v>-604.64700000000005</v>
      </c>
      <c r="S9" s="19">
        <f>_xll.BDH("ALNY US Equity","TRAIL_12M_FREE_CASH_FLOW","FQ2 2023","FQ2 2023","Currency=USD","Period=FQ","BEST_FPERIOD_OVERRIDE=FQ","FILING_STATUS=MR","SCALING_FORMAT=MLN","Sort=A","Dates=H","DateFormat=P","Fill=—","Direction=H","UseDPDF=Y")</f>
        <v>-540.678</v>
      </c>
      <c r="T9" s="19">
        <f>_xll.BDH("ALNY US Equity","TRAIL_12M_FREE_CASH_FLOW","FQ3 2023","FQ3 2023","Currency=USD","Period=FQ","BEST_FPERIOD_OVERRIDE=FQ","FILING_STATUS=MR","SCALING_FORMAT=MLN","Sort=A","Dates=H","DateFormat=P","Fill=—","Direction=H","UseDPDF=Y")</f>
        <v>-66.563999999999993</v>
      </c>
      <c r="U9" s="19">
        <f>_xll.BDH("ALNY US Equity","TRAIL_12M_FREE_CASH_FLOW","FQ4 2023","FQ4 2023","Currency=USD","Period=FQ","BEST_FPERIOD_OVERRIDE=FQ","FILING_STATUS=MR","SCALING_FORMAT=MLN","Sort=A","Dates=H","DateFormat=P","Fill=—","Direction=H","UseDPDF=Y")</f>
        <v>41.945</v>
      </c>
      <c r="V9" s="19">
        <f>_xll.BDH("ALNY US Equity","TRAIL_12M_FREE_CASH_FLOW","FQ1 2024","FQ1 2024","Currency=USD","Period=FQ","BEST_FPERIOD_OVERRIDE=FQ","FILING_STATUS=MR","SCALING_FORMAT=MLN","Sort=A","Dates=H","DateFormat=P","Fill=—","Direction=H","UseDPDF=Y")</f>
        <v>127.82299999999999</v>
      </c>
      <c r="W9" s="19">
        <f>_xll.BDH("ALNY US Equity","TRAIL_12M_FREE_CASH_FLOW","FQ2 2024","FQ2 2024","Currency=USD","Period=FQ","BEST_FPERIOD_OVERRIDE=FQ","FILING_STATUS=MR","SCALING_FORMAT=MLN","Sort=A","Dates=H","DateFormat=P","Fill=—","Direction=H","UseDPDF=Y")</f>
        <v>318.86799999999999</v>
      </c>
      <c r="X9" s="19">
        <f>_xll.BDH("ALNY US Equity","TRAIL_12M_FREE_CASH_FLOW","FQ3 2024","FQ3 2024","Currency=USD","Period=FQ","BEST_FPERIOD_OVERRIDE=FQ","FILING_STATUS=MR","SCALING_FORMAT=MLN","Sort=A","Dates=H","DateFormat=P","Fill=—","Direction=H","UseDPDF=Y")</f>
        <v>16.062999999999999</v>
      </c>
      <c r="Y9" s="19">
        <f>_xll.BDH("ALNY US Equity","TRAIL_12M_FREE_CASH_FLOW","FQ4 2024","FQ4 2024","Currency=USD","Period=FQ","BEST_FPERIOD_OVERRIDE=FQ","FILING_STATUS=MR","SCALING_FORMAT=MLN","Sort=A","Dates=H","DateFormat=P","Fill=—","Direction=H","UseDPDF=Y")</f>
        <v>-42.588999999999999</v>
      </c>
      <c r="Z9" s="19">
        <v>8833.9159999999993</v>
      </c>
      <c r="AA9" s="19">
        <v>8751.1810000000005</v>
      </c>
    </row>
    <row r="10" spans="1:27" x14ac:dyDescent="0.25">
      <c r="A10" s="11" t="s">
        <v>60</v>
      </c>
      <c r="B10" s="11" t="s">
        <v>61</v>
      </c>
      <c r="C10" s="25">
        <f>_xll.BDH("ALNY US Equity","HISTORICAL_MARKET_CAP","FQ2 2019","FQ2 2019","Currency=USD","Period=FQ","BEST_FPERIOD_OVERRIDE=FQ","FILING_STATUS=MR","SCALING_FORMAT=MLN","Sort=A","Dates=H","DateFormat=P","Fill=—","Direction=H","UseDPDF=Y")</f>
        <v>8062.4318000000003</v>
      </c>
      <c r="D10" s="25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E10" s="25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F10" s="25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G10" s="25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H10" s="25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I10" s="25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J10" s="25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K10" s="25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L10" s="25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M10" s="25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N10" s="25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O10" s="25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P10" s="25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Q10" s="25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R10" s="25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S10" s="25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T10" s="25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U10" s="25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V10" s="25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W10" s="25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X10" s="25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Y10" s="25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Z10" s="25"/>
      <c r="AA10" s="25"/>
    </row>
    <row r="11" spans="1:27" x14ac:dyDescent="0.25">
      <c r="A11" s="6" t="s">
        <v>1545</v>
      </c>
      <c r="B11" s="6" t="s">
        <v>1546</v>
      </c>
      <c r="C11" s="20">
        <f>_xll.BDH("ALNY US Equity","FREE_CASH_FLOW_YIELD","FQ2 2019","FQ2 2019","Currency=USD","Period=FQ","BEST_FPERIOD_OVERRIDE=FQ","FILING_STATUS=MR","Sort=A","Dates=H","DateFormat=P","Fill=—","Direction=H","UseDPDF=Y")</f>
        <v>-4.9335000000000004</v>
      </c>
      <c r="D11" s="20">
        <f>_xll.BDH("ALNY US Equity","FREE_CASH_FLOW_YIELD","FQ3 2019","FQ3 2019","Currency=USD","Period=FQ","BEST_FPERIOD_OVERRIDE=FQ","FILING_STATUS=MR","Sort=A","Dates=H","DateFormat=P","Fill=—","Direction=H","UseDPDF=Y")</f>
        <v>-4.4950000000000001</v>
      </c>
      <c r="E11" s="20">
        <f>_xll.BDH("ALNY US Equity","FREE_CASH_FLOW_YIELD","FQ4 2019","FQ4 2019","Currency=USD","Period=FQ","BEST_FPERIOD_OVERRIDE=FQ","FILING_STATUS=MR","Sort=A","Dates=H","DateFormat=P","Fill=—","Direction=H","UseDPDF=Y")</f>
        <v>-3.3481000000000001</v>
      </c>
      <c r="F11" s="20">
        <f>_xll.BDH("ALNY US Equity","FREE_CASH_FLOW_YIELD","FQ1 2020","FQ1 2020","Currency=USD","Period=FQ","BEST_FPERIOD_OVERRIDE=FQ","FILING_STATUS=MR","Sort=A","Dates=H","DateFormat=P","Fill=—","Direction=H","UseDPDF=Y")</f>
        <v>-3.6810999999999998</v>
      </c>
      <c r="G11" s="20">
        <f>_xll.BDH("ALNY US Equity","FREE_CASH_FLOW_YIELD","FQ2 2020","FQ2 2020","Currency=USD","Period=FQ","BEST_FPERIOD_OVERRIDE=FQ","FILING_STATUS=MR","Sort=A","Dates=H","DateFormat=P","Fill=—","Direction=H","UseDPDF=Y")</f>
        <v>-5.2614999999999998</v>
      </c>
      <c r="H11" s="20">
        <f>_xll.BDH("ALNY US Equity","FREE_CASH_FLOW_YIELD","FQ3 2020","FQ3 2020","Currency=USD","Period=FQ","BEST_FPERIOD_OVERRIDE=FQ","FILING_STATUS=MR","Sort=A","Dates=H","DateFormat=P","Fill=—","Direction=H","UseDPDF=Y")</f>
        <v>-4.6971999999999996</v>
      </c>
      <c r="I11" s="20">
        <f>_xll.BDH("ALNY US Equity","FREE_CASH_FLOW_YIELD","FQ4 2020","FQ4 2020","Currency=USD","Period=FQ","BEST_FPERIOD_OVERRIDE=FQ","FILING_STATUS=MR","Sort=A","Dates=H","DateFormat=P","Fill=—","Direction=H","UseDPDF=Y")</f>
        <v>-4.6039000000000003</v>
      </c>
      <c r="J11" s="20">
        <f>_xll.BDH("ALNY US Equity","FREE_CASH_FLOW_YIELD","FQ1 2021","FQ1 2021","Currency=USD","Period=FQ","BEST_FPERIOD_OVERRIDE=FQ","FILING_STATUS=MR","Sort=A","Dates=H","DateFormat=P","Fill=—","Direction=H","UseDPDF=Y")</f>
        <v>-4.0979000000000001</v>
      </c>
      <c r="K11" s="20">
        <f>_xll.BDH("ALNY US Equity","FREE_CASH_FLOW_YIELD","FQ2 2021","FQ2 2021","Currency=USD","Period=FQ","BEST_FPERIOD_OVERRIDE=FQ","FILING_STATUS=MR","Sort=A","Dates=H","DateFormat=P","Fill=—","Direction=H","UseDPDF=Y")</f>
        <v>-3.2995999999999999</v>
      </c>
      <c r="L11" s="20">
        <f>_xll.BDH("ALNY US Equity","FREE_CASH_FLOW_YIELD","FQ3 2021","FQ3 2021","Currency=USD","Period=FQ","BEST_FPERIOD_OVERRIDE=FQ","FILING_STATUS=MR","Sort=A","Dates=H","DateFormat=P","Fill=—","Direction=H","UseDPDF=Y")</f>
        <v>-3.1137000000000001</v>
      </c>
      <c r="M11" s="20">
        <f>_xll.BDH("ALNY US Equity","FREE_CASH_FLOW_YIELD","FQ4 2021","FQ4 2021","Currency=USD","Period=FQ","BEST_FPERIOD_OVERRIDE=FQ","FILING_STATUS=MR","Sort=A","Dates=H","DateFormat=P","Fill=—","Direction=H","UseDPDF=Y")</f>
        <v>-3.5792999999999999</v>
      </c>
      <c r="N11" s="20">
        <f>_xll.BDH("ALNY US Equity","FREE_CASH_FLOW_YIELD","FQ1 2022","FQ1 2022","Currency=USD","Period=FQ","BEST_FPERIOD_OVERRIDE=FQ","FILING_STATUS=MR","Sort=A","Dates=H","DateFormat=P","Fill=—","Direction=H","UseDPDF=Y")</f>
        <v>-3.3563000000000001</v>
      </c>
      <c r="O11" s="20">
        <f>_xll.BDH("ALNY US Equity","FREE_CASH_FLOW_YIELD","FQ2 2022","FQ2 2022","Currency=USD","Period=FQ","BEST_FPERIOD_OVERRIDE=FQ","FILING_STATUS=MR","Sort=A","Dates=H","DateFormat=P","Fill=—","Direction=H","UseDPDF=Y")</f>
        <v>-3.7703000000000002</v>
      </c>
      <c r="P11" s="20">
        <f>_xll.BDH("ALNY US Equity","FREE_CASH_FLOW_YIELD","FQ3 2022","FQ3 2022","Currency=USD","Period=FQ","BEST_FPERIOD_OVERRIDE=FQ","FILING_STATUS=MR","Sort=A","Dates=H","DateFormat=P","Fill=—","Direction=H","UseDPDF=Y")</f>
        <v>-2.6149</v>
      </c>
      <c r="Q11" s="20">
        <f>_xll.BDH("ALNY US Equity","FREE_CASH_FLOW_YIELD","FQ4 2022","FQ4 2022","Currency=USD","Period=FQ","BEST_FPERIOD_OVERRIDE=FQ","FILING_STATUS=MR","Sort=A","Dates=H","DateFormat=P","Fill=—","Direction=H","UseDPDF=Y")</f>
        <v>-2.1223999999999998</v>
      </c>
      <c r="R11" s="20">
        <f>_xll.BDH("ALNY US Equity","FREE_CASH_FLOW_YIELD","FQ1 2023","FQ1 2023","Currency=USD","Period=FQ","BEST_FPERIOD_OVERRIDE=FQ","FILING_STATUS=MR","Sort=A","Dates=H","DateFormat=P","Fill=—","Direction=H","UseDPDF=Y")</f>
        <v>-2.4596</v>
      </c>
      <c r="S11" s="20">
        <f>_xll.BDH("ALNY US Equity","FREE_CASH_FLOW_YIELD","FQ2 2023","FQ2 2023","Currency=USD","Period=FQ","BEST_FPERIOD_OVERRIDE=FQ","FILING_STATUS=MR","Sort=A","Dates=H","DateFormat=P","Fill=—","Direction=H","UseDPDF=Y")</f>
        <v>-2.3054999999999999</v>
      </c>
      <c r="T11" s="20">
        <f>_xll.BDH("ALNY US Equity","FREE_CASH_FLOW_YIELD","FQ3 2023","FQ3 2023","Currency=USD","Period=FQ","BEST_FPERIOD_OVERRIDE=FQ","FILING_STATUS=MR","Sort=A","Dates=H","DateFormat=P","Fill=—","Direction=H","UseDPDF=Y")</f>
        <v>-0.31990000000000002</v>
      </c>
      <c r="U11" s="20">
        <f>_xll.BDH("ALNY US Equity","FREE_CASH_FLOW_YIELD","FQ4 2023","FQ4 2023","Currency=USD","Period=FQ","BEST_FPERIOD_OVERRIDE=FQ","FILING_STATUS=MR","Sort=A","Dates=H","DateFormat=P","Fill=—","Direction=H","UseDPDF=Y")</f>
        <v>0.16750000000000001</v>
      </c>
      <c r="V11" s="20">
        <f>_xll.BDH("ALNY US Equity","FREE_CASH_FLOW_YIELD","FQ1 2024","FQ1 2024","Currency=USD","Period=FQ","BEST_FPERIOD_OVERRIDE=FQ","FILING_STATUS=MR","Sort=A","Dates=H","DateFormat=P","Fill=—","Direction=H","UseDPDF=Y")</f>
        <v>0.68569999999999998</v>
      </c>
      <c r="W11" s="20">
        <f>_xll.BDH("ALNY US Equity","FREE_CASH_FLOW_YIELD","FQ2 2024","FQ2 2024","Currency=USD","Period=FQ","BEST_FPERIOD_OVERRIDE=FQ","FILING_STATUS=MR","Sort=A","Dates=H","DateFormat=P","Fill=—","Direction=H","UseDPDF=Y")</f>
        <v>1.0461</v>
      </c>
      <c r="X11" s="20">
        <f>_xll.BDH("ALNY US Equity","FREE_CASH_FLOW_YIELD","FQ3 2024","FQ3 2024","Currency=USD","Period=FQ","BEST_FPERIOD_OVERRIDE=FQ","FILING_STATUS=MR","Sort=A","Dates=H","DateFormat=P","Fill=—","Direction=H","UseDPDF=Y")</f>
        <v>4.2000000000000003E-2</v>
      </c>
      <c r="Y11" s="20">
        <f>_xll.BDH("ALNY US Equity","FREE_CASH_FLOW_YIELD","FQ4 2024","FQ4 2024","Currency=USD","Period=FQ","BEST_FPERIOD_OVERRIDE=FQ","FILING_STATUS=MR","Sort=A","Dates=H","DateFormat=P","Fill=—","Direction=H","UseDPDF=Y")</f>
        <v>-0.13980000000000001</v>
      </c>
      <c r="Z11" s="20"/>
      <c r="AA11" s="20"/>
    </row>
    <row r="12" spans="1:27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0" t="s">
        <v>1547</v>
      </c>
      <c r="B13" s="10" t="s">
        <v>1548</v>
      </c>
      <c r="C13" s="13">
        <f>_xll.BDH("ALNY US Equity","T12M_DVDS_PAID","FQ2 2019","FQ2 2019","Currency=USD","Period=FQ","BEST_FPERIOD_OVERRIDE=FQ","FILING_STATUS=MR","SCALING_FORMAT=MLN","Sort=A","Dates=H","DateFormat=P","Fill=—","Direction=H","UseDPDF=Y")</f>
        <v>0</v>
      </c>
      <c r="D13" s="13">
        <f>_xll.BDH("ALNY US Equity","T12M_DVDS_PAID","FQ3 2019","FQ3 2019","Currency=USD","Period=FQ","BEST_FPERIOD_OVERRIDE=FQ","FILING_STATUS=MR","SCALING_FORMAT=MLN","Sort=A","Dates=H","DateFormat=P","Fill=—","Direction=H","UseDPDF=Y")</f>
        <v>0</v>
      </c>
      <c r="E13" s="13">
        <f>_xll.BDH("ALNY US Equity","T12M_DVDS_PAID","FQ4 2019","FQ4 2019","Currency=USD","Period=FQ","BEST_FPERIOD_OVERRIDE=FQ","FILING_STATUS=MR","SCALING_FORMAT=MLN","Sort=A","Dates=H","DateFormat=P","Fill=—","Direction=H","UseDPDF=Y")</f>
        <v>0</v>
      </c>
      <c r="F13" s="13">
        <f>_xll.BDH("ALNY US Equity","T12M_DVDS_PAID","FQ1 2020","FQ1 2020","Currency=USD","Period=FQ","BEST_FPERIOD_OVERRIDE=FQ","FILING_STATUS=MR","SCALING_FORMAT=MLN","Sort=A","Dates=H","DateFormat=P","Fill=—","Direction=H","UseDPDF=Y")</f>
        <v>0</v>
      </c>
      <c r="G13" s="13">
        <f>_xll.BDH("ALNY US Equity","T12M_DVDS_PAID","FQ2 2020","FQ2 2020","Currency=USD","Period=FQ","BEST_FPERIOD_OVERRIDE=FQ","FILING_STATUS=MR","SCALING_FORMAT=MLN","Sort=A","Dates=H","DateFormat=P","Fill=—","Direction=H","UseDPDF=Y")</f>
        <v>0</v>
      </c>
      <c r="H13" s="13">
        <f>_xll.BDH("ALNY US Equity","T12M_DVDS_PAID","FQ3 2020","FQ3 2020","Currency=USD","Period=FQ","BEST_FPERIOD_OVERRIDE=FQ","FILING_STATUS=MR","SCALING_FORMAT=MLN","Sort=A","Dates=H","DateFormat=P","Fill=—","Direction=H","UseDPDF=Y")</f>
        <v>0</v>
      </c>
      <c r="I13" s="13">
        <f>_xll.BDH("ALNY US Equity","T12M_DVDS_PAID","FQ4 2020","FQ4 2020","Currency=USD","Period=FQ","BEST_FPERIOD_OVERRIDE=FQ","FILING_STATUS=MR","SCALING_FORMAT=MLN","Sort=A","Dates=H","DateFormat=P","Fill=—","Direction=H","UseDPDF=Y")</f>
        <v>0</v>
      </c>
      <c r="J13" s="13">
        <f>_xll.BDH("ALNY US Equity","T12M_DVDS_PAID","FQ1 2021","FQ1 2021","Currency=USD","Period=FQ","BEST_FPERIOD_OVERRIDE=FQ","FILING_STATUS=MR","SCALING_FORMAT=MLN","Sort=A","Dates=H","DateFormat=P","Fill=—","Direction=H","UseDPDF=Y")</f>
        <v>0</v>
      </c>
      <c r="K13" s="13">
        <f>_xll.BDH("ALNY US Equity","T12M_DVDS_PAID","FQ2 2021","FQ2 2021","Currency=USD","Period=FQ","BEST_FPERIOD_OVERRIDE=FQ","FILING_STATUS=MR","SCALING_FORMAT=MLN","Sort=A","Dates=H","DateFormat=P","Fill=—","Direction=H","UseDPDF=Y")</f>
        <v>0</v>
      </c>
      <c r="L13" s="13">
        <f>_xll.BDH("ALNY US Equity","T12M_DVDS_PAID","FQ3 2021","FQ3 2021","Currency=USD","Period=FQ","BEST_FPERIOD_OVERRIDE=FQ","FILING_STATUS=MR","SCALING_FORMAT=MLN","Sort=A","Dates=H","DateFormat=P","Fill=—","Direction=H","UseDPDF=Y")</f>
        <v>0</v>
      </c>
      <c r="M13" s="13">
        <f>_xll.BDH("ALNY US Equity","T12M_DVDS_PAID","FQ4 2021","FQ4 2021","Currency=USD","Period=FQ","BEST_FPERIOD_OVERRIDE=FQ","FILING_STATUS=MR","SCALING_FORMAT=MLN","Sort=A","Dates=H","DateFormat=P","Fill=—","Direction=H","UseDPDF=Y")</f>
        <v>0</v>
      </c>
      <c r="N13" s="13">
        <f>_xll.BDH("ALNY US Equity","T12M_DVDS_PAID","FQ1 2022","FQ1 2022","Currency=USD","Period=FQ","BEST_FPERIOD_OVERRIDE=FQ","FILING_STATUS=MR","SCALING_FORMAT=MLN","Sort=A","Dates=H","DateFormat=P","Fill=—","Direction=H","UseDPDF=Y")</f>
        <v>0</v>
      </c>
      <c r="O13" s="13">
        <f>_xll.BDH("ALNY US Equity","T12M_DVDS_PAID","FQ2 2022","FQ2 2022","Currency=USD","Period=FQ","BEST_FPERIOD_OVERRIDE=FQ","FILING_STATUS=MR","SCALING_FORMAT=MLN","Sort=A","Dates=H","DateFormat=P","Fill=—","Direction=H","UseDPDF=Y")</f>
        <v>0</v>
      </c>
      <c r="P13" s="13">
        <f>_xll.BDH("ALNY US Equity","T12M_DVDS_PAID","FQ3 2022","FQ3 2022","Currency=USD","Period=FQ","BEST_FPERIOD_OVERRIDE=FQ","FILING_STATUS=MR","SCALING_FORMAT=MLN","Sort=A","Dates=H","DateFormat=P","Fill=—","Direction=H","UseDPDF=Y")</f>
        <v>0</v>
      </c>
      <c r="Q13" s="13">
        <f>_xll.BDH("ALNY US Equity","T12M_DVDS_PAID","FQ4 2022","FQ4 2022","Currency=USD","Period=FQ","BEST_FPERIOD_OVERRIDE=FQ","FILING_STATUS=MR","SCALING_FORMAT=MLN","Sort=A","Dates=H","DateFormat=P","Fill=—","Direction=H","UseDPDF=Y")</f>
        <v>0</v>
      </c>
      <c r="R13" s="13">
        <f>_xll.BDH("ALNY US Equity","T12M_DVDS_PAID","FQ1 2023","FQ1 2023","Currency=USD","Period=FQ","BEST_FPERIOD_OVERRIDE=FQ","FILING_STATUS=MR","SCALING_FORMAT=MLN","Sort=A","Dates=H","DateFormat=P","Fill=—","Direction=H","UseDPDF=Y")</f>
        <v>0</v>
      </c>
      <c r="S13" s="13">
        <f>_xll.BDH("ALNY US Equity","T12M_DVDS_PAID","FQ2 2023","FQ2 2023","Currency=USD","Period=FQ","BEST_FPERIOD_OVERRIDE=FQ","FILING_STATUS=MR","SCALING_FORMAT=MLN","Sort=A","Dates=H","DateFormat=P","Fill=—","Direction=H","UseDPDF=Y")</f>
        <v>0</v>
      </c>
      <c r="T13" s="13">
        <f>_xll.BDH("ALNY US Equity","T12M_DVDS_PAID","FQ3 2023","FQ3 2023","Currency=USD","Period=FQ","BEST_FPERIOD_OVERRIDE=FQ","FILING_STATUS=MR","SCALING_FORMAT=MLN","Sort=A","Dates=H","DateFormat=P","Fill=—","Direction=H","UseDPDF=Y")</f>
        <v>0</v>
      </c>
      <c r="U13" s="13">
        <f>_xll.BDH("ALNY US Equity","T12M_DVDS_PAID","FQ4 2023","FQ4 2023","Currency=USD","Period=FQ","BEST_FPERIOD_OVERRIDE=FQ","FILING_STATUS=MR","SCALING_FORMAT=MLN","Sort=A","Dates=H","DateFormat=P","Fill=—","Direction=H","UseDPDF=Y")</f>
        <v>0</v>
      </c>
      <c r="V13" s="13">
        <f>_xll.BDH("ALNY US Equity","T12M_DVDS_PAID","FQ1 2024","FQ1 2024","Currency=USD","Period=FQ","BEST_FPERIOD_OVERRIDE=FQ","FILING_STATUS=MR","SCALING_FORMAT=MLN","Sort=A","Dates=H","DateFormat=P","Fill=—","Direction=H","UseDPDF=Y")</f>
        <v>0</v>
      </c>
      <c r="W13" s="13">
        <f>_xll.BDH("ALNY US Equity","T12M_DVDS_PAID","FQ2 2024","FQ2 2024","Currency=USD","Period=FQ","BEST_FPERIOD_OVERRIDE=FQ","FILING_STATUS=MR","SCALING_FORMAT=MLN","Sort=A","Dates=H","DateFormat=P","Fill=—","Direction=H","UseDPDF=Y")</f>
        <v>0</v>
      </c>
      <c r="X13" s="13">
        <f>_xll.BDH("ALNY US Equity","T12M_DVDS_PAID","FQ3 2024","FQ3 2024","Currency=USD","Period=FQ","BEST_FPERIOD_OVERRIDE=FQ","FILING_STATUS=MR","SCALING_FORMAT=MLN","Sort=A","Dates=H","DateFormat=P","Fill=—","Direction=H","UseDPDF=Y")</f>
        <v>0</v>
      </c>
      <c r="Y13" s="13">
        <f>_xll.BDH("ALNY US Equity","T12M_DVDS_PAID","FQ4 2024","FQ4 2024","Currency=USD","Period=FQ","BEST_FPERIOD_OVERRIDE=FQ","FILING_STATUS=MR","SCALING_FORMAT=MLN","Sort=A","Dates=H","DateFormat=P","Fill=—","Direction=H","UseDPDF=Y")</f>
        <v>0</v>
      </c>
      <c r="Z13" s="13"/>
      <c r="AA13" s="13"/>
    </row>
    <row r="14" spans="1:27" x14ac:dyDescent="0.25">
      <c r="A14" s="10" t="s">
        <v>1549</v>
      </c>
      <c r="B14" s="10" t="s">
        <v>1550</v>
      </c>
      <c r="C14" s="13">
        <f>_xll.BDH("ALNY US Equity","T12M_NET_CAPITAL_STOCK","FQ2 2019","FQ2 2019","Currency=USD","Period=FQ","BEST_FPERIOD_OVERRIDE=FQ","FILING_STATUS=MR","SCALING_FORMAT=MLN","Sort=A","Dates=H","DateFormat=P","Fill=—","Direction=H","UseDPDF=Y")</f>
        <v>440.00799999999998</v>
      </c>
      <c r="D14" s="13">
        <f>_xll.BDH("ALNY US Equity","T12M_NET_CAPITAL_STOCK","FQ3 2019","FQ3 2019","Currency=USD","Period=FQ","BEST_FPERIOD_OVERRIDE=FQ","FILING_STATUS=MR","SCALING_FORMAT=MLN","Sort=A","Dates=H","DateFormat=P","Fill=—","Direction=H","UseDPDF=Y")</f>
        <v>436.32</v>
      </c>
      <c r="E14" s="13">
        <f>_xll.BDH("ALNY US Equity","T12M_NET_CAPITAL_STOCK","FQ4 2019","FQ4 2019","Currency=USD","Period=FQ","BEST_FPERIOD_OVERRIDE=FQ","FILING_STATUS=MR","SCALING_FORMAT=MLN","Sort=A","Dates=H","DateFormat=P","Fill=—","Direction=H","UseDPDF=Y")</f>
        <v>471.28399999999999</v>
      </c>
      <c r="F14" s="13">
        <f>_xll.BDH("ALNY US Equity","T12M_NET_CAPITAL_STOCK","FQ1 2020","FQ1 2020","Currency=USD","Period=FQ","BEST_FPERIOD_OVERRIDE=FQ","FILING_STATUS=MR","SCALING_FORMAT=MLN","Sort=A","Dates=H","DateFormat=P","Fill=—","Direction=H","UseDPDF=Y")</f>
        <v>134.22200000000001</v>
      </c>
      <c r="G14" s="13">
        <f>_xll.BDH("ALNY US Equity","T12M_NET_CAPITAL_STOCK","FQ2 2020","FQ2 2020","Currency=USD","Period=FQ","BEST_FPERIOD_OVERRIDE=FQ","FILING_STATUS=MR","SCALING_FORMAT=MLN","Sort=A","Dates=H","DateFormat=P","Fill=—","Direction=H","UseDPDF=Y")</f>
        <v>800.65300000000002</v>
      </c>
      <c r="H14" s="13">
        <f>_xll.BDH("ALNY US Equity","T12M_NET_CAPITAL_STOCK","FQ3 2020","FQ3 2020","Currency=USD","Period=FQ","BEST_FPERIOD_OVERRIDE=FQ","FILING_STATUS=MR","SCALING_FORMAT=MLN","Sort=A","Dates=H","DateFormat=P","Fill=—","Direction=H","UseDPDF=Y")</f>
        <v>821.29899999999998</v>
      </c>
      <c r="I14" s="13">
        <f>_xll.BDH("ALNY US Equity","T12M_NET_CAPITAL_STOCK","FQ4 2020","FQ4 2020","Currency=USD","Period=FQ","BEST_FPERIOD_OVERRIDE=FQ","FILING_STATUS=MR","SCALING_FORMAT=MLN","Sort=A","Dates=H","DateFormat=P","Fill=—","Direction=H","UseDPDF=Y")</f>
        <v>799.98199999999997</v>
      </c>
      <c r="J14" s="13">
        <f>_xll.BDH("ALNY US Equity","T12M_NET_CAPITAL_STOCK","FQ1 2021","FQ1 2021","Currency=USD","Period=FQ","BEST_FPERIOD_OVERRIDE=FQ","FILING_STATUS=MR","SCALING_FORMAT=MLN","Sort=A","Dates=H","DateFormat=P","Fill=—","Direction=H","UseDPDF=Y")</f>
        <v>793.09</v>
      </c>
      <c r="K14" s="13">
        <f>_xll.BDH("ALNY US Equity","T12M_NET_CAPITAL_STOCK","FQ2 2021","FQ2 2021","Currency=USD","Period=FQ","BEST_FPERIOD_OVERRIDE=FQ","FILING_STATUS=MR","SCALING_FORMAT=MLN","Sort=A","Dates=H","DateFormat=P","Fill=—","Direction=H","UseDPDF=Y")</f>
        <v>177.81</v>
      </c>
      <c r="L14" s="13">
        <f>_xll.BDH("ALNY US Equity","T12M_NET_CAPITAL_STOCK","FQ3 2021","FQ3 2021","Currency=USD","Period=FQ","BEST_FPERIOD_OVERRIDE=FQ","FILING_STATUS=MR","SCALING_FORMAT=MLN","Sort=A","Dates=H","DateFormat=P","Fill=—","Direction=H","UseDPDF=Y")</f>
        <v>720.25199999999995</v>
      </c>
      <c r="M14" s="13">
        <f>_xll.BDH("ALNY US Equity","T12M_NET_CAPITAL_STOCK","FQ4 2021","FQ4 2021","Currency=USD","Period=FQ","BEST_FPERIOD_OVERRIDE=FQ","FILING_STATUS=MR","SCALING_FORMAT=MLN","Sort=A","Dates=H","DateFormat=P","Fill=—","Direction=H","UseDPDF=Y")</f>
        <v>746.26800000000003</v>
      </c>
      <c r="N14" s="13">
        <f>_xll.BDH("ALNY US Equity","T12M_NET_CAPITAL_STOCK","FQ1 2022","FQ1 2022","Currency=USD","Period=FQ","BEST_FPERIOD_OVERRIDE=FQ","FILING_STATUS=MR","SCALING_FORMAT=MLN","Sort=A","Dates=H","DateFormat=P","Fill=—","Direction=H","UseDPDF=Y")</f>
        <v>726.41399999999999</v>
      </c>
      <c r="O14" s="13">
        <f>_xll.BDH("ALNY US Equity","T12M_NET_CAPITAL_STOCK","FQ2 2022","FQ2 2022","Currency=USD","Period=FQ","BEST_FPERIOD_OVERRIDE=FQ","FILING_STATUS=MR","SCALING_FORMAT=MLN","Sort=A","Dates=H","DateFormat=P","Fill=—","Direction=H","UseDPDF=Y")</f>
        <v>667.05600000000004</v>
      </c>
      <c r="P14" s="13">
        <f>_xll.BDH("ALNY US Equity","T12M_NET_CAPITAL_STOCK","FQ3 2022","FQ3 2022","Currency=USD","Period=FQ","BEST_FPERIOD_OVERRIDE=FQ","FILING_STATUS=MR","SCALING_FORMAT=MLN","Sort=A","Dates=H","DateFormat=P","Fill=—","Direction=H","UseDPDF=Y")</f>
        <v>247.68700000000001</v>
      </c>
      <c r="Q14" s="13">
        <f>_xll.BDH("ALNY US Equity","T12M_NET_CAPITAL_STOCK","FQ4 2022","FQ4 2022","Currency=USD","Period=FQ","BEST_FPERIOD_OVERRIDE=FQ","FILING_STATUS=MR","SCALING_FORMAT=MLN","Sort=A","Dates=H","DateFormat=P","Fill=—","Direction=H","UseDPDF=Y")</f>
        <v>259.36</v>
      </c>
      <c r="R14" s="13">
        <f>_xll.BDH("ALNY US Equity","T12M_NET_CAPITAL_STOCK","FQ1 2023","FQ1 2023","Currency=USD","Period=FQ","BEST_FPERIOD_OVERRIDE=FQ","FILING_STATUS=MR","SCALING_FORMAT=MLN","Sort=A","Dates=H","DateFormat=P","Fill=—","Direction=H","UseDPDF=Y")</f>
        <v>274.608</v>
      </c>
      <c r="S14" s="13">
        <f>_xll.BDH("ALNY US Equity","T12M_NET_CAPITAL_STOCK","FQ2 2023","FQ2 2023","Currency=USD","Period=FQ","BEST_FPERIOD_OVERRIDE=FQ","FILING_STATUS=MR","SCALING_FORMAT=MLN","Sort=A","Dates=H","DateFormat=P","Fill=—","Direction=H","UseDPDF=Y")</f>
        <v>301.49900000000002</v>
      </c>
      <c r="T14" s="13">
        <f>_xll.BDH("ALNY US Equity","T12M_NET_CAPITAL_STOCK","FQ3 2023","FQ3 2023","Currency=USD","Period=FQ","BEST_FPERIOD_OVERRIDE=FQ","FILING_STATUS=MR","SCALING_FORMAT=MLN","Sort=A","Dates=H","DateFormat=P","Fill=—","Direction=H","UseDPDF=Y")</f>
        <v>173.28399999999999</v>
      </c>
      <c r="U14" s="13">
        <f>_xll.BDH("ALNY US Equity","T12M_NET_CAPITAL_STOCK","FQ4 2023","FQ4 2023","Currency=USD","Period=FQ","BEST_FPERIOD_OVERRIDE=FQ","FILING_STATUS=MR","SCALING_FORMAT=MLN","Sort=A","Dates=H","DateFormat=P","Fill=—","Direction=H","UseDPDF=Y")</f>
        <v>147.464</v>
      </c>
      <c r="V14" s="13">
        <f>_xll.BDH("ALNY US Equity","T12M_NET_CAPITAL_STOCK","FQ1 2024","FQ1 2024","Currency=USD","Period=FQ","BEST_FPERIOD_OVERRIDE=FQ","FILING_STATUS=MR","SCALING_FORMAT=MLN","Sort=A","Dates=H","DateFormat=P","Fill=—","Direction=H","UseDPDF=Y")</f>
        <v>130.952</v>
      </c>
      <c r="W14" s="13">
        <f>_xll.BDH("ALNY US Equity","T12M_NET_CAPITAL_STOCK","FQ2 2024","FQ2 2024","Currency=USD","Period=FQ","BEST_FPERIOD_OVERRIDE=FQ","FILING_STATUS=MR","SCALING_FORMAT=MLN","Sort=A","Dates=H","DateFormat=P","Fill=—","Direction=H","UseDPDF=Y")</f>
        <v>214.33600000000001</v>
      </c>
      <c r="X14" s="13">
        <f>_xll.BDH("ALNY US Equity","T12M_NET_CAPITAL_STOCK","FQ3 2024","FQ3 2024","Currency=USD","Period=FQ","BEST_FPERIOD_OVERRIDE=FQ","FILING_STATUS=MR","SCALING_FORMAT=MLN","Sort=A","Dates=H","DateFormat=P","Fill=—","Direction=H","UseDPDF=Y")</f>
        <v>297.56700000000001</v>
      </c>
      <c r="Y14" s="13">
        <f>_xll.BDH("ALNY US Equity","T12M_NET_CAPITAL_STOCK","FQ4 2024","FQ4 2024","Currency=USD","Period=FQ","BEST_FPERIOD_OVERRIDE=FQ","FILING_STATUS=MR","SCALING_FORMAT=MLN","Sort=A","Dates=H","DateFormat=P","Fill=—","Direction=H","UseDPDF=Y")</f>
        <v>302.95100000000002</v>
      </c>
      <c r="Z14" s="13"/>
      <c r="AA14" s="13"/>
    </row>
    <row r="15" spans="1:27" x14ac:dyDescent="0.25">
      <c r="A15" s="10" t="s">
        <v>1551</v>
      </c>
      <c r="B15" s="10" t="s">
        <v>1552</v>
      </c>
      <c r="C15" s="13">
        <f>_xll.BDH("ALNY US Equity","T12M_CHG_ST_BORROWINGS","FQ2 2019","FQ2 2019","Currency=USD","Period=FQ","BEST_FPERIOD_OVERRIDE=FQ","FILING_STATUS=MR","SCALING_FORMAT=MLN","Sort=A","Dates=H","DateFormat=P","Fill=—","Direction=H","UseDPDF=Y")</f>
        <v>0</v>
      </c>
      <c r="D15" s="13" t="str">
        <f>_xll.BDH("ALNY US Equity","T12M_CHG_ST_BORROWINGS","FQ3 2019","FQ3 2019","Currency=USD","Period=FQ","BEST_FPERIOD_OVERRIDE=FQ","FILING_STATUS=MR","SCALING_FORMAT=MLN","Sort=A","Dates=H","DateFormat=P","Fill=—","Direction=H","UseDPDF=Y")</f>
        <v>—</v>
      </c>
      <c r="E15" s="13" t="str">
        <f>_xll.BDH("ALNY US Equity","T12M_CHG_ST_BORROWINGS","FQ4 2019","FQ4 2019","Currency=USD","Period=FQ","BEST_FPERIOD_OVERRIDE=FQ","FILING_STATUS=MR","SCALING_FORMAT=MLN","Sort=A","Dates=H","DateFormat=P","Fill=—","Direction=H","UseDPDF=Y")</f>
        <v>—</v>
      </c>
      <c r="F15" s="13" t="str">
        <f>_xll.BDH("ALNY US Equity","T12M_CHG_ST_BORROWINGS","FQ1 2020","FQ1 2020","Currency=USD","Period=FQ","BEST_FPERIOD_OVERRIDE=FQ","FILING_STATUS=MR","SCALING_FORMAT=MLN","Sort=A","Dates=H","DateFormat=P","Fill=—","Direction=H","UseDPDF=Y")</f>
        <v>—</v>
      </c>
      <c r="G15" s="13" t="str">
        <f>_xll.BDH("ALNY US Equity","T12M_CHG_ST_BORROWINGS","FQ2 2020","FQ2 2020","Currency=USD","Period=FQ","BEST_FPERIOD_OVERRIDE=FQ","FILING_STATUS=MR","SCALING_FORMAT=MLN","Sort=A","Dates=H","DateFormat=P","Fill=—","Direction=H","UseDPDF=Y")</f>
        <v>—</v>
      </c>
      <c r="H15" s="13" t="str">
        <f>_xll.BDH("ALNY US Equity","T12M_CHG_ST_BORROWINGS","FQ3 2020","FQ3 2020","Currency=USD","Period=FQ","BEST_FPERIOD_OVERRIDE=FQ","FILING_STATUS=MR","SCALING_FORMAT=MLN","Sort=A","Dates=H","DateFormat=P","Fill=—","Direction=H","UseDPDF=Y")</f>
        <v>—</v>
      </c>
      <c r="I15" s="13" t="str">
        <f>_xll.BDH("ALNY US Equity","T12M_CHG_ST_BORROWINGS","FQ4 2020","FQ4 2020","Currency=USD","Period=FQ","BEST_FPERIOD_OVERRIDE=FQ","FILING_STATUS=MR","SCALING_FORMAT=MLN","Sort=A","Dates=H","DateFormat=P","Fill=—","Direction=H","UseDPDF=Y")</f>
        <v>—</v>
      </c>
      <c r="J15" s="13" t="str">
        <f>_xll.BDH("ALNY US Equity","T12M_CHG_ST_BORROWINGS","FQ1 2021","FQ1 2021","Currency=USD","Period=FQ","BEST_FPERIOD_OVERRIDE=FQ","FILING_STATUS=MR","SCALING_FORMAT=MLN","Sort=A","Dates=H","DateFormat=P","Fill=—","Direction=H","UseDPDF=Y")</f>
        <v>—</v>
      </c>
      <c r="K15" s="13" t="str">
        <f>_xll.BDH("ALNY US Equity","T12M_CHG_ST_BORROWINGS","FQ2 2021","FQ2 2021","Currency=USD","Period=FQ","BEST_FPERIOD_OVERRIDE=FQ","FILING_STATUS=MR","SCALING_FORMAT=MLN","Sort=A","Dates=H","DateFormat=P","Fill=—","Direction=H","UseDPDF=Y")</f>
        <v>—</v>
      </c>
      <c r="L15" s="13" t="str">
        <f>_xll.BDH("ALNY US Equity","T12M_CHG_ST_BORROWINGS","FQ3 2021","FQ3 2021","Currency=USD","Period=FQ","BEST_FPERIOD_OVERRIDE=FQ","FILING_STATUS=MR","SCALING_FORMAT=MLN","Sort=A","Dates=H","DateFormat=P","Fill=—","Direction=H","UseDPDF=Y")</f>
        <v>—</v>
      </c>
      <c r="M15" s="13" t="str">
        <f>_xll.BDH("ALNY US Equity","T12M_CHG_ST_BORROWINGS","FQ4 2021","FQ4 2021","Currency=USD","Period=FQ","BEST_FPERIOD_OVERRIDE=FQ","FILING_STATUS=MR","SCALING_FORMAT=MLN","Sort=A","Dates=H","DateFormat=P","Fill=—","Direction=H","UseDPDF=Y")</f>
        <v>—</v>
      </c>
      <c r="N15" s="13" t="str">
        <f>_xll.BDH("ALNY US Equity","T12M_CHG_ST_BORROWINGS","FQ1 2022","FQ1 2022","Currency=USD","Period=FQ","BEST_FPERIOD_OVERRIDE=FQ","FILING_STATUS=MR","SCALING_FORMAT=MLN","Sort=A","Dates=H","DateFormat=P","Fill=—","Direction=H","UseDPDF=Y")</f>
        <v>—</v>
      </c>
      <c r="O15" s="13" t="str">
        <f>_xll.BDH("ALNY US Equity","T12M_CHG_ST_BORROWINGS","FQ2 2022","FQ2 2022","Currency=USD","Period=FQ","BEST_FPERIOD_OVERRIDE=FQ","FILING_STATUS=MR","SCALING_FORMAT=MLN","Sort=A","Dates=H","DateFormat=P","Fill=—","Direction=H","UseDPDF=Y")</f>
        <v>—</v>
      </c>
      <c r="P15" s="13" t="str">
        <f>_xll.BDH("ALNY US Equity","T12M_CHG_ST_BORROWINGS","FQ3 2022","FQ3 2022","Currency=USD","Period=FQ","BEST_FPERIOD_OVERRIDE=FQ","FILING_STATUS=MR","SCALING_FORMAT=MLN","Sort=A","Dates=H","DateFormat=P","Fill=—","Direction=H","UseDPDF=Y")</f>
        <v>—</v>
      </c>
      <c r="Q15" s="13" t="str">
        <f>_xll.BDH("ALNY US Equity","T12M_CHG_ST_BORROWINGS","FQ4 2022","FQ4 2022","Currency=USD","Period=FQ","BEST_FPERIOD_OVERRIDE=FQ","FILING_STATUS=MR","SCALING_FORMAT=MLN","Sort=A","Dates=H","DateFormat=P","Fill=—","Direction=H","UseDPDF=Y")</f>
        <v>—</v>
      </c>
      <c r="R15" s="13" t="str">
        <f>_xll.BDH("ALNY US Equity","T12M_CHG_ST_BORROWINGS","FQ1 2023","FQ1 2023","Currency=USD","Period=FQ","BEST_FPERIOD_OVERRIDE=FQ","FILING_STATUS=MR","SCALING_FORMAT=MLN","Sort=A","Dates=H","DateFormat=P","Fill=—","Direction=H","UseDPDF=Y")</f>
        <v>—</v>
      </c>
      <c r="S15" s="13" t="str">
        <f>_xll.BDH("ALNY US Equity","T12M_CHG_ST_BORROWINGS","FQ2 2023","FQ2 2023","Currency=USD","Period=FQ","BEST_FPERIOD_OVERRIDE=FQ","FILING_STATUS=MR","SCALING_FORMAT=MLN","Sort=A","Dates=H","DateFormat=P","Fill=—","Direction=H","UseDPDF=Y")</f>
        <v>—</v>
      </c>
      <c r="T15" s="13">
        <f>_xll.BDH("ALNY US Equity","T12M_CHG_ST_BORROWINGS","FQ3 2023","FQ3 2023","Currency=USD","Period=FQ","BEST_FPERIOD_OVERRIDE=FQ","FILING_STATUS=MR","SCALING_FORMAT=MLN","Sort=A","Dates=H","DateFormat=P","Fill=—","Direction=H","UseDPDF=Y")</f>
        <v>0</v>
      </c>
      <c r="U15" s="13">
        <f>_xll.BDH("ALNY US Equity","T12M_CHG_ST_BORROWINGS","FQ4 2023","FQ4 2023","Currency=USD","Period=FQ","BEST_FPERIOD_OVERRIDE=FQ","FILING_STATUS=MR","SCALING_FORMAT=MLN","Sort=A","Dates=H","DateFormat=P","Fill=—","Direction=H","UseDPDF=Y")</f>
        <v>0</v>
      </c>
      <c r="V15" s="13">
        <f>_xll.BDH("ALNY US Equity","T12M_CHG_ST_BORROWINGS","FQ1 2024","FQ1 2024","Currency=USD","Period=FQ","BEST_FPERIOD_OVERRIDE=FQ","FILING_STATUS=MR","SCALING_FORMAT=MLN","Sort=A","Dates=H","DateFormat=P","Fill=—","Direction=H","UseDPDF=Y")</f>
        <v>0</v>
      </c>
      <c r="W15" s="13">
        <f>_xll.BDH("ALNY US Equity","T12M_CHG_ST_BORROWINGS","FQ2 2024","FQ2 2024","Currency=USD","Period=FQ","BEST_FPERIOD_OVERRIDE=FQ","FILING_STATUS=MR","SCALING_FORMAT=MLN","Sort=A","Dates=H","DateFormat=P","Fill=—","Direction=H","UseDPDF=Y")</f>
        <v>0</v>
      </c>
      <c r="X15" s="13">
        <f>_xll.BDH("ALNY US Equity","T12M_CHG_ST_BORROWINGS","FQ3 2024","FQ3 2024","Currency=USD","Period=FQ","BEST_FPERIOD_OVERRIDE=FQ","FILING_STATUS=MR","SCALING_FORMAT=MLN","Sort=A","Dates=H","DateFormat=P","Fill=—","Direction=H","UseDPDF=Y")</f>
        <v>0</v>
      </c>
      <c r="Y15" s="13" t="str">
        <f>_xll.BDH("ALNY US Equity","T12M_CHG_ST_BORROWINGS","FQ4 2024","FQ4 2024","Currency=USD","Period=FQ","BEST_FPERIOD_OVERRIDE=FQ","FILING_STATUS=MR","SCALING_FORMAT=MLN","Sort=A","Dates=H","DateFormat=P","Fill=—","Direction=H","UseDPDF=Y")</f>
        <v>—</v>
      </c>
      <c r="Z15" s="13"/>
      <c r="AA15" s="13"/>
    </row>
    <row r="16" spans="1:27" x14ac:dyDescent="0.25">
      <c r="A16" s="10" t="s">
        <v>1553</v>
      </c>
      <c r="B16" s="10" t="s">
        <v>1554</v>
      </c>
      <c r="C16" s="13">
        <f>_xll.BDH("ALNY US Equity","T12M_CHG_LT_DEBT","FQ2 2019","FQ2 2019","Currency=USD","Period=FQ","BEST_FPERIOD_OVERRIDE=FQ","FILING_STATUS=MR","SCALING_FORMAT=MLN","Sort=A","Dates=H","DateFormat=P","Fill=—","Direction=H","UseDPDF=Y")</f>
        <v>0</v>
      </c>
      <c r="D16" s="13">
        <f>_xll.BDH("ALNY US Equity","T12M_CHG_LT_DEBT","FQ3 2019","FQ3 2019","Currency=USD","Period=FQ","BEST_FPERIOD_OVERRIDE=FQ","FILING_STATUS=MR","SCALING_FORMAT=MLN","Sort=A","Dates=H","DateFormat=P","Fill=—","Direction=H","UseDPDF=Y")</f>
        <v>-30</v>
      </c>
      <c r="E16" s="13">
        <f>_xll.BDH("ALNY US Equity","T12M_CHG_LT_DEBT","FQ4 2019","FQ4 2019","Currency=USD","Period=FQ","BEST_FPERIOD_OVERRIDE=FQ","FILING_STATUS=MR","SCALING_FORMAT=MLN","Sort=A","Dates=H","DateFormat=P","Fill=—","Direction=H","UseDPDF=Y")</f>
        <v>-30</v>
      </c>
      <c r="F16" s="13">
        <f>_xll.BDH("ALNY US Equity","T12M_CHG_LT_DEBT","FQ1 2020","FQ1 2020","Currency=USD","Period=FQ","BEST_FPERIOD_OVERRIDE=FQ","FILING_STATUS=MR","SCALING_FORMAT=MLN","Sort=A","Dates=H","DateFormat=P","Fill=—","Direction=H","UseDPDF=Y")</f>
        <v>-30</v>
      </c>
      <c r="G16" s="13">
        <f>_xll.BDH("ALNY US Equity","T12M_CHG_LT_DEBT","FQ2 2020","FQ2 2020","Currency=USD","Period=FQ","BEST_FPERIOD_OVERRIDE=FQ","FILING_STATUS=MR","SCALING_FORMAT=MLN","Sort=A","Dates=H","DateFormat=P","Fill=—","Direction=H","UseDPDF=Y")</f>
        <v>-38.128</v>
      </c>
      <c r="H16" s="13">
        <f>_xll.BDH("ALNY US Equity","T12M_CHG_LT_DEBT","FQ3 2020","FQ3 2020","Currency=USD","Period=FQ","BEST_FPERIOD_OVERRIDE=FQ","FILING_STATUS=MR","SCALING_FORMAT=MLN","Sort=A","Dates=H","DateFormat=P","Fill=—","Direction=H","UseDPDF=Y")</f>
        <v>-8.1280000000000001</v>
      </c>
      <c r="I16" s="13">
        <f>_xll.BDH("ALNY US Equity","T12M_CHG_LT_DEBT","FQ4 2020","FQ4 2020","Currency=USD","Period=FQ","BEST_FPERIOD_OVERRIDE=FQ","FILING_STATUS=MR","SCALING_FORMAT=MLN","Sort=A","Dates=H","DateFormat=P","Fill=—","Direction=H","UseDPDF=Y")</f>
        <v>186.59700000000001</v>
      </c>
      <c r="J16" s="13">
        <f>_xll.BDH("ALNY US Equity","T12M_CHG_LT_DEBT","FQ1 2021","FQ1 2021","Currency=USD","Period=FQ","BEST_FPERIOD_OVERRIDE=FQ","FILING_STATUS=MR","SCALING_FORMAT=MLN","Sort=A","Dates=H","DateFormat=P","Fill=—","Direction=H","UseDPDF=Y")</f>
        <v>186.59700000000001</v>
      </c>
      <c r="K16" s="13">
        <f>_xll.BDH("ALNY US Equity","T12M_CHG_LT_DEBT","FQ2 2021","FQ2 2021","Currency=USD","Period=FQ","BEST_FPERIOD_OVERRIDE=FQ","FILING_STATUS=MR","SCALING_FORMAT=MLN","Sort=A","Dates=H","DateFormat=P","Fill=—","Direction=H","UseDPDF=Y")</f>
        <v>438.47500000000002</v>
      </c>
      <c r="L16" s="13">
        <f>_xll.BDH("ALNY US Equity","T12M_CHG_LT_DEBT","FQ3 2021","FQ3 2021","Currency=USD","Period=FQ","BEST_FPERIOD_OVERRIDE=FQ","FILING_STATUS=MR","SCALING_FORMAT=MLN","Sort=A","Dates=H","DateFormat=P","Fill=—","Direction=H","UseDPDF=Y")</f>
        <v>432.22500000000002</v>
      </c>
      <c r="M16" s="13">
        <f>_xll.BDH("ALNY US Equity","T12M_CHG_LT_DEBT","FQ4 2021","FQ4 2021","Currency=USD","Period=FQ","BEST_FPERIOD_OVERRIDE=FQ","FILING_STATUS=MR","SCALING_FORMAT=MLN","Sort=A","Dates=H","DateFormat=P","Fill=—","Direction=H","UseDPDF=Y")</f>
        <v>481.25</v>
      </c>
      <c r="N16" s="13">
        <f>_xll.BDH("ALNY US Equity","T12M_CHG_LT_DEBT","FQ1 2022","FQ1 2022","Currency=USD","Period=FQ","BEST_FPERIOD_OVERRIDE=FQ","FILING_STATUS=MR","SCALING_FORMAT=MLN","Sort=A","Dates=H","DateFormat=P","Fill=—","Direction=H","UseDPDF=Y")</f>
        <v>481.25</v>
      </c>
      <c r="O16" s="13">
        <f>_xll.BDH("ALNY US Equity","T12M_CHG_LT_DEBT","FQ2 2022","FQ2 2022","Currency=USD","Period=FQ","BEST_FPERIOD_OVERRIDE=FQ","FILING_STATUS=MR","SCALING_FORMAT=MLN","Sort=A","Dates=H","DateFormat=P","Fill=—","Direction=H","UseDPDF=Y")</f>
        <v>237.5</v>
      </c>
      <c r="P16" s="13">
        <f>_xll.BDH("ALNY US Equity","T12M_CHG_LT_DEBT","FQ3 2022","FQ3 2022","Currency=USD","Period=FQ","BEST_FPERIOD_OVERRIDE=FQ","FILING_STATUS=MR","SCALING_FORMAT=MLN","Sort=A","Dates=H","DateFormat=P","Fill=—","Direction=H","UseDPDF=Y")</f>
        <v>379.92</v>
      </c>
      <c r="Q16" s="13">
        <f>_xll.BDH("ALNY US Equity","T12M_CHG_LT_DEBT","FQ4 2022","FQ4 2022","Currency=USD","Period=FQ","BEST_FPERIOD_OVERRIDE=FQ","FILING_STATUS=MR","SCALING_FORMAT=MLN","Sort=A","Dates=H","DateFormat=P","Fill=—","Direction=H","UseDPDF=Y")</f>
        <v>254.00399999999999</v>
      </c>
      <c r="R16" s="13">
        <f>_xll.BDH("ALNY US Equity","T12M_CHG_LT_DEBT","FQ1 2023","FQ1 2023","Currency=USD","Period=FQ","BEST_FPERIOD_OVERRIDE=FQ","FILING_STATUS=MR","SCALING_FORMAT=MLN","Sort=A","Dates=H","DateFormat=P","Fill=—","Direction=H","UseDPDF=Y")</f>
        <v>254.00399999999999</v>
      </c>
      <c r="S16" s="13">
        <f>_xll.BDH("ALNY US Equity","T12M_CHG_LT_DEBT","FQ2 2023","FQ2 2023","Currency=USD","Period=FQ","BEST_FPERIOD_OVERRIDE=FQ","FILING_STATUS=MR","SCALING_FORMAT=MLN","Sort=A","Dates=H","DateFormat=P","Fill=—","Direction=H","UseDPDF=Y")</f>
        <v>254.00399999999999</v>
      </c>
      <c r="T16" s="13">
        <f>_xll.BDH("ALNY US Equity","T12M_CHG_LT_DEBT","FQ3 2023","FQ3 2023","Currency=USD","Period=FQ","BEST_FPERIOD_OVERRIDE=FQ","FILING_STATUS=MR","SCALING_FORMAT=MLN","Sort=A","Dates=H","DateFormat=P","Fill=—","Direction=H","UseDPDF=Y")</f>
        <v>117.834</v>
      </c>
      <c r="U16" s="13">
        <f>_xll.BDH("ALNY US Equity","T12M_CHG_LT_DEBT","FQ4 2023","FQ4 2023","Currency=USD","Period=FQ","BEST_FPERIOD_OVERRIDE=FQ","FILING_STATUS=MR","SCALING_FORMAT=MLN","Sort=A","Dates=H","DateFormat=P","Fill=—","Direction=H","UseDPDF=Y")</f>
        <v>0</v>
      </c>
      <c r="V16" s="13">
        <f>_xll.BDH("ALNY US Equity","T12M_CHG_LT_DEBT","FQ1 2024","FQ1 2024","Currency=USD","Period=FQ","BEST_FPERIOD_OVERRIDE=FQ","FILING_STATUS=MR","SCALING_FORMAT=MLN","Sort=A","Dates=H","DateFormat=P","Fill=—","Direction=H","UseDPDF=Y")</f>
        <v>0</v>
      </c>
      <c r="W16" s="13">
        <f>_xll.BDH("ALNY US Equity","T12M_CHG_LT_DEBT","FQ2 2024","FQ2 2024","Currency=USD","Period=FQ","BEST_FPERIOD_OVERRIDE=FQ","FILING_STATUS=MR","SCALING_FORMAT=MLN","Sort=A","Dates=H","DateFormat=P","Fill=—","Direction=H","UseDPDF=Y")</f>
        <v>0</v>
      </c>
      <c r="X16" s="13">
        <f>_xll.BDH("ALNY US Equity","T12M_CHG_LT_DEBT","FQ3 2024","FQ3 2024","Currency=USD","Period=FQ","BEST_FPERIOD_OVERRIDE=FQ","FILING_STATUS=MR","SCALING_FORMAT=MLN","Sort=A","Dates=H","DateFormat=P","Fill=—","Direction=H","UseDPDF=Y")</f>
        <v>0</v>
      </c>
      <c r="Y16" s="13">
        <f>_xll.BDH("ALNY US Equity","T12M_CHG_LT_DEBT","FQ4 2024","FQ4 2024","Currency=USD","Period=FQ","BEST_FPERIOD_OVERRIDE=FQ","FILING_STATUS=MR","SCALING_FORMAT=MLN","Sort=A","Dates=H","DateFormat=P","Fill=—","Direction=H","UseDPDF=Y")</f>
        <v>0</v>
      </c>
      <c r="Z16" s="13"/>
      <c r="AA16" s="13"/>
    </row>
    <row r="17" spans="1:27" x14ac:dyDescent="0.25">
      <c r="A17" s="10" t="s">
        <v>1319</v>
      </c>
      <c r="B17" s="10" t="s">
        <v>1555</v>
      </c>
      <c r="C17" s="13">
        <f>_xll.BDH("ALNY US Equity","T12_OTHER_CFF","FQ2 2019","FQ2 2019","Currency=USD","Period=FQ","BEST_FPERIOD_OVERRIDE=FQ","FILING_STATUS=MR","SCALING_FORMAT=MLN","Sort=A","Dates=H","DateFormat=P","Fill=—","Direction=H","UseDPDF=Y")</f>
        <v>381.89699999999999</v>
      </c>
      <c r="D17" s="13">
        <f>_xll.BDH("ALNY US Equity","T12_OTHER_CFF","FQ3 2019","FQ3 2019","Currency=USD","Period=FQ","BEST_FPERIOD_OVERRIDE=FQ","FILING_STATUS=MR","SCALING_FORMAT=MLN","Sort=A","Dates=H","DateFormat=P","Fill=—","Direction=H","UseDPDF=Y")</f>
        <v>381.45100000000002</v>
      </c>
      <c r="E17" s="13">
        <f>_xll.BDH("ALNY US Equity","T12_OTHER_CFF","FQ4 2019","FQ4 2019","Currency=USD","Period=FQ","BEST_FPERIOD_OVERRIDE=FQ","FILING_STATUS=MR","SCALING_FORMAT=MLN","Sort=A","Dates=H","DateFormat=P","Fill=—","Direction=H","UseDPDF=Y")</f>
        <v>422.15899999999999</v>
      </c>
      <c r="F17" s="13">
        <f>_xll.BDH("ALNY US Equity","T12_OTHER_CFF","FQ1 2020","FQ1 2020","Currency=USD","Period=FQ","BEST_FPERIOD_OVERRIDE=FQ","FILING_STATUS=MR","SCALING_FORMAT=MLN","Sort=A","Dates=H","DateFormat=P","Fill=—","Direction=H","UseDPDF=Y")</f>
        <v>421.52800000000002</v>
      </c>
      <c r="G17" s="13">
        <f>_xll.BDH("ALNY US Equity","T12_OTHER_CFF","FQ2 2020","FQ2 2020","Currency=USD","Period=FQ","BEST_FPERIOD_OVERRIDE=FQ","FILING_STATUS=MR","SCALING_FORMAT=MLN","Sort=A","Dates=H","DateFormat=P","Fill=—","Direction=H","UseDPDF=Y")</f>
        <v>40.066000000000003</v>
      </c>
      <c r="H17" s="13">
        <f>_xll.BDH("ALNY US Equity","T12_OTHER_CFF","FQ3 2020","FQ3 2020","Currency=USD","Period=FQ","BEST_FPERIOD_OVERRIDE=FQ","FILING_STATUS=MR","SCALING_FORMAT=MLN","Sort=A","Dates=H","DateFormat=P","Fill=—","Direction=H","UseDPDF=Y")</f>
        <v>46.853999999999999</v>
      </c>
      <c r="I17" s="13">
        <f>_xll.BDH("ALNY US Equity","T12_OTHER_CFF","FQ4 2020","FQ4 2020","Currency=USD","Period=FQ","BEST_FPERIOD_OVERRIDE=FQ","FILING_STATUS=MR","SCALING_FORMAT=MLN","Sort=A","Dates=H","DateFormat=P","Fill=—","Direction=H","UseDPDF=Y")</f>
        <v>13.318</v>
      </c>
      <c r="J17" s="13">
        <f>_xll.BDH("ALNY US Equity","T12_OTHER_CFF","FQ1 2021","FQ1 2021","Currency=USD","Period=FQ","BEST_FPERIOD_OVERRIDE=FQ","FILING_STATUS=MR","SCALING_FORMAT=MLN","Sort=A","Dates=H","DateFormat=P","Fill=—","Direction=H","UseDPDF=Y")</f>
        <v>14.239000000000001</v>
      </c>
      <c r="K17" s="13">
        <f>_xll.BDH("ALNY US Equity","T12_OTHER_CFF","FQ2 2021","FQ2 2021","Currency=USD","Period=FQ","BEST_FPERIOD_OVERRIDE=FQ","FILING_STATUS=MR","SCALING_FORMAT=MLN","Sort=A","Dates=H","DateFormat=P","Fill=—","Direction=H","UseDPDF=Y")</f>
        <v>19.085000000000001</v>
      </c>
      <c r="L17" s="13">
        <f>_xll.BDH("ALNY US Equity","T12_OTHER_CFF","FQ3 2021","FQ3 2021","Currency=USD","Period=FQ","BEST_FPERIOD_OVERRIDE=FQ","FILING_STATUS=MR","SCALING_FORMAT=MLN","Sort=A","Dates=H","DateFormat=P","Fill=—","Direction=H","UseDPDF=Y")</f>
        <v>17.303999999999998</v>
      </c>
      <c r="M17" s="13">
        <f>_xll.BDH("ALNY US Equity","T12_OTHER_CFF","FQ4 2021","FQ4 2021","Currency=USD","Period=FQ","BEST_FPERIOD_OVERRIDE=FQ","FILING_STATUS=MR","SCALING_FORMAT=MLN","Sort=A","Dates=H","DateFormat=P","Fill=—","Direction=H","UseDPDF=Y")</f>
        <v>10.582000000000001</v>
      </c>
      <c r="N17" s="13">
        <f>_xll.BDH("ALNY US Equity","T12_OTHER_CFF","FQ1 2022","FQ1 2022","Currency=USD","Period=FQ","BEST_FPERIOD_OVERRIDE=FQ","FILING_STATUS=MR","SCALING_FORMAT=MLN","Sort=A","Dates=H","DateFormat=P","Fill=—","Direction=H","UseDPDF=Y")</f>
        <v>15.887</v>
      </c>
      <c r="O17" s="13">
        <f>_xll.BDH("ALNY US Equity","T12_OTHER_CFF","FQ2 2022","FQ2 2022","Currency=USD","Period=FQ","BEST_FPERIOD_OVERRIDE=FQ","FILING_STATUS=MR","SCALING_FORMAT=MLN","Sort=A","Dates=H","DateFormat=P","Fill=—","Direction=H","UseDPDF=Y")</f>
        <v>9.6050000000000004</v>
      </c>
      <c r="P17" s="13">
        <f>_xll.BDH("ALNY US Equity","T12_OTHER_CFF","FQ3 2022","FQ3 2022","Currency=USD","Period=FQ","BEST_FPERIOD_OVERRIDE=FQ","FILING_STATUS=MR","SCALING_FORMAT=MLN","Sort=A","Dates=H","DateFormat=P","Fill=—","Direction=H","UseDPDF=Y")</f>
        <v>14.901</v>
      </c>
      <c r="Q17" s="13">
        <f>_xll.BDH("ALNY US Equity","T12_OTHER_CFF","FQ4 2022","FQ4 2022","Currency=USD","Period=FQ","BEST_FPERIOD_OVERRIDE=FQ","FILING_STATUS=MR","SCALING_FORMAT=MLN","Sort=A","Dates=H","DateFormat=P","Fill=—","Direction=H","UseDPDF=Y")</f>
        <v>-95.040999999999997</v>
      </c>
      <c r="R17" s="13">
        <f>_xll.BDH("ALNY US Equity","T12_OTHER_CFF","FQ1 2023","FQ1 2023","Currency=USD","Period=FQ","BEST_FPERIOD_OVERRIDE=FQ","FILING_STATUS=MR","SCALING_FORMAT=MLN","Sort=A","Dates=H","DateFormat=P","Fill=—","Direction=H","UseDPDF=Y")</f>
        <v>-94.46</v>
      </c>
      <c r="S17" s="13">
        <f>_xll.BDH("ALNY US Equity","T12_OTHER_CFF","FQ2 2023","FQ2 2023","Currency=USD","Period=FQ","BEST_FPERIOD_OVERRIDE=FQ","FILING_STATUS=MR","SCALING_FORMAT=MLN","Sort=A","Dates=H","DateFormat=P","Fill=—","Direction=H","UseDPDF=Y")</f>
        <v>-89.588999999999999</v>
      </c>
      <c r="T17" s="13">
        <f>_xll.BDH("ALNY US Equity","T12_OTHER_CFF","FQ3 2023","FQ3 2023","Currency=USD","Period=FQ","BEST_FPERIOD_OVERRIDE=FQ","FILING_STATUS=MR","SCALING_FORMAT=MLN","Sort=A","Dates=H","DateFormat=P","Fill=—","Direction=H","UseDPDF=Y")</f>
        <v>-97.665000000000006</v>
      </c>
      <c r="U17" s="13">
        <f>_xll.BDH("ALNY US Equity","T12_OTHER_CFF","FQ4 2023","FQ4 2023","Currency=USD","Period=FQ","BEST_FPERIOD_OVERRIDE=FQ","FILING_STATUS=MR","SCALING_FORMAT=MLN","Sort=A","Dates=H","DateFormat=P","Fill=—","Direction=H","UseDPDF=Y")</f>
        <v>31.058</v>
      </c>
      <c r="V17" s="13">
        <f>_xll.BDH("ALNY US Equity","T12_OTHER_CFF","FQ1 2024","FQ1 2024","Currency=USD","Period=FQ","BEST_FPERIOD_OVERRIDE=FQ","FILING_STATUS=MR","SCALING_FORMAT=MLN","Sort=A","Dates=H","DateFormat=P","Fill=—","Direction=H","UseDPDF=Y")</f>
        <v>17.992999999999999</v>
      </c>
      <c r="W17" s="13">
        <f>_xll.BDH("ALNY US Equity","T12_OTHER_CFF","FQ2 2024","FQ2 2024","Currency=USD","Period=FQ","BEST_FPERIOD_OVERRIDE=FQ","FILING_STATUS=MR","SCALING_FORMAT=MLN","Sort=A","Dates=H","DateFormat=P","Fill=—","Direction=H","UseDPDF=Y")</f>
        <v>9.7210000000000001</v>
      </c>
      <c r="X17" s="13">
        <f>_xll.BDH("ALNY US Equity","T12_OTHER_CFF","FQ3 2024","FQ3 2024","Currency=USD","Period=FQ","BEST_FPERIOD_OVERRIDE=FQ","FILING_STATUS=MR","SCALING_FORMAT=MLN","Sort=A","Dates=H","DateFormat=P","Fill=—","Direction=H","UseDPDF=Y")</f>
        <v>17.751999999999999</v>
      </c>
      <c r="Y17" s="13">
        <f>_xll.BDH("ALNY US Equity","T12_OTHER_CFF","FQ4 2024","FQ4 2024","Currency=USD","Period=FQ","BEST_FPERIOD_OVERRIDE=FQ","FILING_STATUS=MR","SCALING_FORMAT=MLN","Sort=A","Dates=H","DateFormat=P","Fill=—","Direction=H","UseDPDF=Y")</f>
        <v>-24.030999999999999</v>
      </c>
      <c r="Z17" s="13"/>
      <c r="AA17" s="13"/>
    </row>
    <row r="18" spans="1:27" x14ac:dyDescent="0.25">
      <c r="A18" s="6" t="s">
        <v>1556</v>
      </c>
      <c r="B18" s="6" t="s">
        <v>1557</v>
      </c>
      <c r="C18" s="19">
        <f>_xll.BDH("ALNY US Equity","T12_CFF","FQ2 2019","FQ2 2019","Currency=USD","Period=FQ","BEST_FPERIOD_OVERRIDE=FQ","FILING_STATUS=MR","SCALING_FORMAT=MLN","Sort=A","Dates=H","DateFormat=P","Fill=—","Direction=H","UseDPDF=Y")</f>
        <v>821.90499999999997</v>
      </c>
      <c r="D18" s="19">
        <f>_xll.BDH("ALNY US Equity","T12_CFF","FQ3 2019","FQ3 2019","Currency=USD","Period=FQ","BEST_FPERIOD_OVERRIDE=FQ","FILING_STATUS=MR","SCALING_FORMAT=MLN","Sort=A","Dates=H","DateFormat=P","Fill=—","Direction=H","UseDPDF=Y")</f>
        <v>787.77099999999996</v>
      </c>
      <c r="E18" s="19">
        <f>_xll.BDH("ALNY US Equity","T12_CFF","FQ4 2019","FQ4 2019","Currency=USD","Period=FQ","BEST_FPERIOD_OVERRIDE=FQ","FILING_STATUS=MR","SCALING_FORMAT=MLN","Sort=A","Dates=H","DateFormat=P","Fill=—","Direction=H","UseDPDF=Y")</f>
        <v>863.44299999999998</v>
      </c>
      <c r="F18" s="19">
        <f>_xll.BDH("ALNY US Equity","T12_CFF","FQ1 2020","FQ1 2020","Currency=USD","Period=FQ","BEST_FPERIOD_OVERRIDE=FQ","FILING_STATUS=MR","SCALING_FORMAT=MLN","Sort=A","Dates=H","DateFormat=P","Fill=—","Direction=H","UseDPDF=Y")</f>
        <v>525.75</v>
      </c>
      <c r="G18" s="19">
        <f>_xll.BDH("ALNY US Equity","T12_CFF","FQ2 2020","FQ2 2020","Currency=USD","Period=FQ","BEST_FPERIOD_OVERRIDE=FQ","FILING_STATUS=MR","SCALING_FORMAT=MLN","Sort=A","Dates=H","DateFormat=P","Fill=—","Direction=H","UseDPDF=Y")</f>
        <v>802.59100000000001</v>
      </c>
      <c r="H18" s="19">
        <f>_xll.BDH("ALNY US Equity","T12_CFF","FQ3 2020","FQ3 2020","Currency=USD","Period=FQ","BEST_FPERIOD_OVERRIDE=FQ","FILING_STATUS=MR","SCALING_FORMAT=MLN","Sort=A","Dates=H","DateFormat=P","Fill=—","Direction=H","UseDPDF=Y")</f>
        <v>860.02499999999998</v>
      </c>
      <c r="I18" s="19">
        <f>_xll.BDH("ALNY US Equity","T12_CFF","FQ4 2020","FQ4 2020","Currency=USD","Period=FQ","BEST_FPERIOD_OVERRIDE=FQ","FILING_STATUS=MR","SCALING_FORMAT=MLN","Sort=A","Dates=H","DateFormat=P","Fill=—","Direction=H","UseDPDF=Y")</f>
        <v>999.89700000000005</v>
      </c>
      <c r="J18" s="19">
        <f>_xll.BDH("ALNY US Equity","T12_CFF","FQ1 2021","FQ1 2021","Currency=USD","Period=FQ","BEST_FPERIOD_OVERRIDE=FQ","FILING_STATUS=MR","SCALING_FORMAT=MLN","Sort=A","Dates=H","DateFormat=P","Fill=—","Direction=H","UseDPDF=Y")</f>
        <v>993.92600000000004</v>
      </c>
      <c r="K18" s="19">
        <f>_xll.BDH("ALNY US Equity","T12_CFF","FQ2 2021","FQ2 2021","Currency=USD","Period=FQ","BEST_FPERIOD_OVERRIDE=FQ","FILING_STATUS=MR","SCALING_FORMAT=MLN","Sort=A","Dates=H","DateFormat=P","Fill=—","Direction=H","UseDPDF=Y")</f>
        <v>635.37</v>
      </c>
      <c r="L18" s="19">
        <f>_xll.BDH("ALNY US Equity","T12_CFF","FQ3 2021","FQ3 2021","Currency=USD","Period=FQ","BEST_FPERIOD_OVERRIDE=FQ","FILING_STATUS=MR","SCALING_FORMAT=MLN","Sort=A","Dates=H","DateFormat=P","Fill=—","Direction=H","UseDPDF=Y")</f>
        <v>1169.7809999999999</v>
      </c>
      <c r="M18" s="19">
        <f>_xll.BDH("ALNY US Equity","T12_CFF","FQ4 2021","FQ4 2021","Currency=USD","Period=FQ","BEST_FPERIOD_OVERRIDE=FQ","FILING_STATUS=MR","SCALING_FORMAT=MLN","Sort=A","Dates=H","DateFormat=P","Fill=—","Direction=H","UseDPDF=Y")</f>
        <v>1238.0999999999999</v>
      </c>
      <c r="N18" s="19">
        <f>_xll.BDH("ALNY US Equity","T12_CFF","FQ1 2022","FQ1 2022","Currency=USD","Period=FQ","BEST_FPERIOD_OVERRIDE=FQ","FILING_STATUS=MR","SCALING_FORMAT=MLN","Sort=A","Dates=H","DateFormat=P","Fill=—","Direction=H","UseDPDF=Y")</f>
        <v>1223.5509999999999</v>
      </c>
      <c r="O18" s="19">
        <f>_xll.BDH("ALNY US Equity","T12_CFF","FQ2 2022","FQ2 2022","Currency=USD","Period=FQ","BEST_FPERIOD_OVERRIDE=FQ","FILING_STATUS=MR","SCALING_FORMAT=MLN","Sort=A","Dates=H","DateFormat=P","Fill=—","Direction=H","UseDPDF=Y")</f>
        <v>914.16099999999994</v>
      </c>
      <c r="P18" s="19">
        <f>_xll.BDH("ALNY US Equity","T12_CFF","FQ3 2022","FQ3 2022","Currency=USD","Period=FQ","BEST_FPERIOD_OVERRIDE=FQ","FILING_STATUS=MR","SCALING_FORMAT=MLN","Sort=A","Dates=H","DateFormat=P","Fill=—","Direction=H","UseDPDF=Y")</f>
        <v>642.50800000000004</v>
      </c>
      <c r="Q18" s="19">
        <f>_xll.BDH("ALNY US Equity","T12_CFF","FQ4 2022","FQ4 2022","Currency=USD","Period=FQ","BEST_FPERIOD_OVERRIDE=FQ","FILING_STATUS=MR","SCALING_FORMAT=MLN","Sort=A","Dates=H","DateFormat=P","Fill=—","Direction=H","UseDPDF=Y")</f>
        <v>418.32299999999998</v>
      </c>
      <c r="R18" s="19">
        <f>_xll.BDH("ALNY US Equity","T12_CFF","FQ1 2023","FQ1 2023","Currency=USD","Period=FQ","BEST_FPERIOD_OVERRIDE=FQ","FILING_STATUS=MR","SCALING_FORMAT=MLN","Sort=A","Dates=H","DateFormat=P","Fill=—","Direction=H","UseDPDF=Y")</f>
        <v>434.15199999999999</v>
      </c>
      <c r="S18" s="19">
        <f>_xll.BDH("ALNY US Equity","T12_CFF","FQ2 2023","FQ2 2023","Currency=USD","Period=FQ","BEST_FPERIOD_OVERRIDE=FQ","FILING_STATUS=MR","SCALING_FORMAT=MLN","Sort=A","Dates=H","DateFormat=P","Fill=—","Direction=H","UseDPDF=Y")</f>
        <v>465.91399999999999</v>
      </c>
      <c r="T18" s="19">
        <f>_xll.BDH("ALNY US Equity","T12_CFF","FQ3 2023","FQ3 2023","Currency=USD","Period=FQ","BEST_FPERIOD_OVERRIDE=FQ","FILING_STATUS=MR","SCALING_FORMAT=MLN","Sort=A","Dates=H","DateFormat=P","Fill=—","Direction=H","UseDPDF=Y")</f>
        <v>193.453</v>
      </c>
      <c r="U18" s="19">
        <f>_xll.BDH("ALNY US Equity","T12_CFF","FQ4 2023","FQ4 2023","Currency=USD","Period=FQ","BEST_FPERIOD_OVERRIDE=FQ","FILING_STATUS=MR","SCALING_FORMAT=MLN","Sort=A","Dates=H","DateFormat=P","Fill=—","Direction=H","UseDPDF=Y")</f>
        <v>178.52199999999999</v>
      </c>
      <c r="V18" s="19">
        <f>_xll.BDH("ALNY US Equity","T12_CFF","FQ1 2024","FQ1 2024","Currency=USD","Period=FQ","BEST_FPERIOD_OVERRIDE=FQ","FILING_STATUS=MR","SCALING_FORMAT=MLN","Sort=A","Dates=H","DateFormat=P","Fill=—","Direction=H","UseDPDF=Y")</f>
        <v>148.94499999999999</v>
      </c>
      <c r="W18" s="19">
        <f>_xll.BDH("ALNY US Equity","T12_CFF","FQ2 2024","FQ2 2024","Currency=USD","Period=FQ","BEST_FPERIOD_OVERRIDE=FQ","FILING_STATUS=MR","SCALING_FORMAT=MLN","Sort=A","Dates=H","DateFormat=P","Fill=—","Direction=H","UseDPDF=Y")</f>
        <v>224.05699999999999</v>
      </c>
      <c r="X18" s="19">
        <f>_xll.BDH("ALNY US Equity","T12_CFF","FQ3 2024","FQ3 2024","Currency=USD","Period=FQ","BEST_FPERIOD_OVERRIDE=FQ","FILING_STATUS=MR","SCALING_FORMAT=MLN","Sort=A","Dates=H","DateFormat=P","Fill=—","Direction=H","UseDPDF=Y")</f>
        <v>315.31900000000002</v>
      </c>
      <c r="Y18" s="19">
        <f>_xll.BDH("ALNY US Equity","T12_CFF","FQ4 2024","FQ4 2024","Currency=USD","Period=FQ","BEST_FPERIOD_OVERRIDE=FQ","FILING_STATUS=MR","SCALING_FORMAT=MLN","Sort=A","Dates=H","DateFormat=P","Fill=—","Direction=H","UseDPDF=Y")</f>
        <v>278.92</v>
      </c>
      <c r="Z18" s="19"/>
      <c r="AA18" s="19"/>
    </row>
    <row r="19" spans="1:27" x14ac:dyDescent="0.25">
      <c r="A19" s="11" t="s">
        <v>60</v>
      </c>
      <c r="B19" s="11" t="s">
        <v>61</v>
      </c>
      <c r="C19" s="25">
        <f>_xll.BDH("ALNY US Equity","HISTORICAL_MARKET_CAP","FQ2 2019","FQ2 2019","Currency=USD","Period=FQ","BEST_FPERIOD_OVERRIDE=FQ","FILING_STATUS=MR","SCALING_FORMAT=MLN","Sort=A","Dates=H","DateFormat=P","Fill=—","Direction=H","UseDPDF=Y")</f>
        <v>8062.4318000000003</v>
      </c>
      <c r="D19" s="25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E19" s="25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F19" s="25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G19" s="25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H19" s="25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I19" s="25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J19" s="25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K19" s="25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L19" s="25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M19" s="25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N19" s="25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O19" s="25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P19" s="25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Q19" s="25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R19" s="25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S19" s="25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T19" s="25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U19" s="25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V19" s="25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W19" s="25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X19" s="25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Y19" s="25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Z19" s="25"/>
      <c r="AA19" s="25"/>
    </row>
    <row r="20" spans="1:27" x14ac:dyDescent="0.25">
      <c r="A20" s="6" t="s">
        <v>1558</v>
      </c>
      <c r="B20" s="6" t="s">
        <v>1559</v>
      </c>
      <c r="C20" s="20">
        <f>_xll.BDH("ALNY US Equity","SHAREHOLDER_YIELD_CFF","FQ2 2019","FQ2 2019","Currency=USD","Period=FQ","BEST_FPERIOD_OVERRIDE=FQ","FILING_STATUS=MR","Sort=A","Dates=H","DateFormat=P","Fill=—","Direction=H","UseDPDF=Y")</f>
        <v>-10.1943</v>
      </c>
      <c r="D20" s="20">
        <f>_xll.BDH("ALNY US Equity","SHAREHOLDER_YIELD_CFF","FQ3 2019","FQ3 2019","Currency=USD","Period=FQ","BEST_FPERIOD_OVERRIDE=FQ","FILING_STATUS=MR","Sort=A","Dates=H","DateFormat=P","Fill=—","Direction=H","UseDPDF=Y")</f>
        <v>-8.7992000000000008</v>
      </c>
      <c r="E20" s="20">
        <f>_xll.BDH("ALNY US Equity","SHAREHOLDER_YIELD_CFF","FQ4 2019","FQ4 2019","Currency=USD","Period=FQ","BEST_FPERIOD_OVERRIDE=FQ","FILING_STATUS=MR","Sort=A","Dates=H","DateFormat=P","Fill=—","Direction=H","UseDPDF=Y")</f>
        <v>-6.6825999999999999</v>
      </c>
      <c r="F20" s="20">
        <f>_xll.BDH("ALNY US Equity","SHAREHOLDER_YIELD_CFF","FQ1 2020","FQ1 2020","Currency=USD","Period=FQ","BEST_FPERIOD_OVERRIDE=FQ","FILING_STATUS=MR","Sort=A","Dates=H","DateFormat=P","Fill=—","Direction=H","UseDPDF=Y")</f>
        <v>-4.2679999999999998</v>
      </c>
      <c r="G20" s="20">
        <f>_xll.BDH("ALNY US Equity","SHAREHOLDER_YIELD_CFF","FQ2 2020","FQ2 2020","Currency=USD","Period=FQ","BEST_FPERIOD_OVERRIDE=FQ","FILING_STATUS=MR","Sort=A","Dates=H","DateFormat=P","Fill=—","Direction=H","UseDPDF=Y")</f>
        <v>-4.6856999999999998</v>
      </c>
      <c r="H20" s="20">
        <f>_xll.BDH("ALNY US Equity","SHAREHOLDER_YIELD_CFF","FQ3 2020","FQ3 2020","Currency=USD","Period=FQ","BEST_FPERIOD_OVERRIDE=FQ","FILING_STATUS=MR","Sort=A","Dates=H","DateFormat=P","Fill=—","Direction=H","UseDPDF=Y")</f>
        <v>-5.0857999999999999</v>
      </c>
      <c r="I20" s="20">
        <f>_xll.BDH("ALNY US Equity","SHAREHOLDER_YIELD_CFF","FQ4 2020","FQ4 2020","Currency=USD","Period=FQ","BEST_FPERIOD_OVERRIDE=FQ","FILING_STATUS=MR","Sort=A","Dates=H","DateFormat=P","Fill=—","Direction=H","UseDPDF=Y")</f>
        <v>-6.6078000000000001</v>
      </c>
      <c r="J20" s="20">
        <f>_xll.BDH("ALNY US Equity","SHAREHOLDER_YIELD_CFF","FQ1 2021","FQ1 2021","Currency=USD","Period=FQ","BEST_FPERIOD_OVERRIDE=FQ","FILING_STATUS=MR","Sort=A","Dates=H","DateFormat=P","Fill=—","Direction=H","UseDPDF=Y")</f>
        <v>-6.0003000000000002</v>
      </c>
      <c r="K20" s="20">
        <f>_xll.BDH("ALNY US Equity","SHAREHOLDER_YIELD_CFF","FQ2 2021","FQ2 2021","Currency=USD","Period=FQ","BEST_FPERIOD_OVERRIDE=FQ","FILING_STATUS=MR","Sort=A","Dates=H","DateFormat=P","Fill=—","Direction=H","UseDPDF=Y")</f>
        <v>-3.1604000000000001</v>
      </c>
      <c r="L20" s="20">
        <f>_xll.BDH("ALNY US Equity","SHAREHOLDER_YIELD_CFF","FQ3 2021","FQ3 2021","Currency=USD","Period=FQ","BEST_FPERIOD_OVERRIDE=FQ","FILING_STATUS=MR","Sort=A","Dates=H","DateFormat=P","Fill=—","Direction=H","UseDPDF=Y")</f>
        <v>-5.1853999999999996</v>
      </c>
      <c r="M20" s="20">
        <f>_xll.BDH("ALNY US Equity","SHAREHOLDER_YIELD_CFF","FQ4 2021","FQ4 2021","Currency=USD","Period=FQ","BEST_FPERIOD_OVERRIDE=FQ","FILING_STATUS=MR","Sort=A","Dates=H","DateFormat=P","Fill=—","Direction=H","UseDPDF=Y")</f>
        <v>-6.0749000000000004</v>
      </c>
      <c r="N20" s="20">
        <f>_xll.BDH("ALNY US Equity","SHAREHOLDER_YIELD_CFF","FQ1 2022","FQ1 2022","Currency=USD","Period=FQ","BEST_FPERIOD_OVERRIDE=FQ","FILING_STATUS=MR","Sort=A","Dates=H","DateFormat=P","Fill=—","Direction=H","UseDPDF=Y")</f>
        <v>-6.2065999999999999</v>
      </c>
      <c r="O20" s="20">
        <f>_xll.BDH("ALNY US Equity","SHAREHOLDER_YIELD_CFF","FQ2 2022","FQ2 2022","Currency=USD","Period=FQ","BEST_FPERIOD_OVERRIDE=FQ","FILING_STATUS=MR","Sort=A","Dates=H","DateFormat=P","Fill=—","Direction=H","UseDPDF=Y")</f>
        <v>-5.1803999999999997</v>
      </c>
      <c r="P20" s="20">
        <f>_xll.BDH("ALNY US Equity","SHAREHOLDER_YIELD_CFF","FQ3 2022","FQ3 2022","Currency=USD","Period=FQ","BEST_FPERIOD_OVERRIDE=FQ","FILING_STATUS=MR","Sort=A","Dates=H","DateFormat=P","Fill=—","Direction=H","UseDPDF=Y")</f>
        <v>-2.6099000000000001</v>
      </c>
      <c r="Q20" s="20">
        <f>_xll.BDH("ALNY US Equity","SHAREHOLDER_YIELD_CFF","FQ4 2022","FQ4 2022","Currency=USD","Period=FQ","BEST_FPERIOD_OVERRIDE=FQ","FILING_STATUS=MR","Sort=A","Dates=H","DateFormat=P","Fill=—","Direction=H","UseDPDF=Y")</f>
        <v>-1.4204000000000001</v>
      </c>
      <c r="R20" s="20">
        <f>_xll.BDH("ALNY US Equity","SHAREHOLDER_YIELD_CFF","FQ1 2023","FQ1 2023","Currency=USD","Period=FQ","BEST_FPERIOD_OVERRIDE=FQ","FILING_STATUS=MR","Sort=A","Dates=H","DateFormat=P","Fill=—","Direction=H","UseDPDF=Y")</f>
        <v>-1.7444</v>
      </c>
      <c r="S20" s="20">
        <f>_xll.BDH("ALNY US Equity","SHAREHOLDER_YIELD_CFF","FQ2 2023","FQ2 2023","Currency=USD","Period=FQ","BEST_FPERIOD_OVERRIDE=FQ","FILING_STATUS=MR","Sort=A","Dates=H","DateFormat=P","Fill=—","Direction=H","UseDPDF=Y")</f>
        <v>-1.9743999999999999</v>
      </c>
      <c r="T20" s="20">
        <f>_xll.BDH("ALNY US Equity","SHAREHOLDER_YIELD_CFF","FQ3 2023","FQ3 2023","Currency=USD","Period=FQ","BEST_FPERIOD_OVERRIDE=FQ","FILING_STATUS=MR","Sort=A","Dates=H","DateFormat=P","Fill=—","Direction=H","UseDPDF=Y")</f>
        <v>-0.87070000000000003</v>
      </c>
      <c r="U20" s="20">
        <f>_xll.BDH("ALNY US Equity","SHAREHOLDER_YIELD_CFF","FQ4 2023","FQ4 2023","Currency=USD","Period=FQ","BEST_FPERIOD_OVERRIDE=FQ","FILING_STATUS=MR","Sort=A","Dates=H","DateFormat=P","Fill=—","Direction=H","UseDPDF=Y")</f>
        <v>-0.74139999999999995</v>
      </c>
      <c r="V20" s="20">
        <f>_xll.BDH("ALNY US Equity","SHAREHOLDER_YIELD_CFF","FQ1 2024","FQ1 2024","Currency=USD","Period=FQ","BEST_FPERIOD_OVERRIDE=FQ","FILING_STATUS=MR","Sort=A","Dates=H","DateFormat=P","Fill=—","Direction=H","UseDPDF=Y")</f>
        <v>-0.78810000000000002</v>
      </c>
      <c r="W20" s="20">
        <f>_xll.BDH("ALNY US Equity","SHAREHOLDER_YIELD_CFF","FQ2 2024","FQ2 2024","Currency=USD","Period=FQ","BEST_FPERIOD_OVERRIDE=FQ","FILING_STATUS=MR","Sort=A","Dates=H","DateFormat=P","Fill=—","Direction=H","UseDPDF=Y")</f>
        <v>-0.72019999999999995</v>
      </c>
      <c r="X20" s="20">
        <f>_xll.BDH("ALNY US Equity","SHAREHOLDER_YIELD_CFF","FQ3 2024","FQ3 2024","Currency=USD","Period=FQ","BEST_FPERIOD_OVERRIDE=FQ","FILING_STATUS=MR","Sort=A","Dates=H","DateFormat=P","Fill=—","Direction=H","UseDPDF=Y")</f>
        <v>-0.88980000000000004</v>
      </c>
      <c r="Y20" s="20">
        <f>_xll.BDH("ALNY US Equity","SHAREHOLDER_YIELD_CFF","FQ4 2024","FQ4 2024","Currency=USD","Period=FQ","BEST_FPERIOD_OVERRIDE=FQ","FILING_STATUS=MR","Sort=A","Dates=H","DateFormat=P","Fill=—","Direction=H","UseDPDF=Y")</f>
        <v>-0.91679999999999995</v>
      </c>
      <c r="Z20" s="20"/>
      <c r="AA20" s="20"/>
    </row>
    <row r="21" spans="1:27" x14ac:dyDescent="0.25">
      <c r="A21" s="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0" t="s">
        <v>1560</v>
      </c>
      <c r="B22" s="10" t="s">
        <v>1548</v>
      </c>
      <c r="C22" s="13">
        <f>_xll.BDH("ALNY US Equity","T12M_DVDS_PAID","FQ2 2019","FQ2 2019","Currency=USD","Period=FQ","BEST_FPERIOD_OVERRIDE=FQ","FILING_STATUS=MR","SCALING_FORMAT=MLN","Sort=A","Dates=H","DateFormat=P","Fill=—","Direction=H","UseDPDF=Y")</f>
        <v>0</v>
      </c>
      <c r="D22" s="13">
        <f>_xll.BDH("ALNY US Equity","T12M_DVDS_PAID","FQ3 2019","FQ3 2019","Currency=USD","Period=FQ","BEST_FPERIOD_OVERRIDE=FQ","FILING_STATUS=MR","SCALING_FORMAT=MLN","Sort=A","Dates=H","DateFormat=P","Fill=—","Direction=H","UseDPDF=Y")</f>
        <v>0</v>
      </c>
      <c r="E22" s="13">
        <f>_xll.BDH("ALNY US Equity","T12M_DVDS_PAID","FQ4 2019","FQ4 2019","Currency=USD","Period=FQ","BEST_FPERIOD_OVERRIDE=FQ","FILING_STATUS=MR","SCALING_FORMAT=MLN","Sort=A","Dates=H","DateFormat=P","Fill=—","Direction=H","UseDPDF=Y")</f>
        <v>0</v>
      </c>
      <c r="F22" s="13">
        <f>_xll.BDH("ALNY US Equity","T12M_DVDS_PAID","FQ1 2020","FQ1 2020","Currency=USD","Period=FQ","BEST_FPERIOD_OVERRIDE=FQ","FILING_STATUS=MR","SCALING_FORMAT=MLN","Sort=A","Dates=H","DateFormat=P","Fill=—","Direction=H","UseDPDF=Y")</f>
        <v>0</v>
      </c>
      <c r="G22" s="13">
        <f>_xll.BDH("ALNY US Equity","T12M_DVDS_PAID","FQ2 2020","FQ2 2020","Currency=USD","Period=FQ","BEST_FPERIOD_OVERRIDE=FQ","FILING_STATUS=MR","SCALING_FORMAT=MLN","Sort=A","Dates=H","DateFormat=P","Fill=—","Direction=H","UseDPDF=Y")</f>
        <v>0</v>
      </c>
      <c r="H22" s="13">
        <f>_xll.BDH("ALNY US Equity","T12M_DVDS_PAID","FQ3 2020","FQ3 2020","Currency=USD","Period=FQ","BEST_FPERIOD_OVERRIDE=FQ","FILING_STATUS=MR","SCALING_FORMAT=MLN","Sort=A","Dates=H","DateFormat=P","Fill=—","Direction=H","UseDPDF=Y")</f>
        <v>0</v>
      </c>
      <c r="I22" s="13">
        <f>_xll.BDH("ALNY US Equity","T12M_DVDS_PAID","FQ4 2020","FQ4 2020","Currency=USD","Period=FQ","BEST_FPERIOD_OVERRIDE=FQ","FILING_STATUS=MR","SCALING_FORMAT=MLN","Sort=A","Dates=H","DateFormat=P","Fill=—","Direction=H","UseDPDF=Y")</f>
        <v>0</v>
      </c>
      <c r="J22" s="13">
        <f>_xll.BDH("ALNY US Equity","T12M_DVDS_PAID","FQ1 2021","FQ1 2021","Currency=USD","Period=FQ","BEST_FPERIOD_OVERRIDE=FQ","FILING_STATUS=MR","SCALING_FORMAT=MLN","Sort=A","Dates=H","DateFormat=P","Fill=—","Direction=H","UseDPDF=Y")</f>
        <v>0</v>
      </c>
      <c r="K22" s="13">
        <f>_xll.BDH("ALNY US Equity","T12M_DVDS_PAID","FQ2 2021","FQ2 2021","Currency=USD","Period=FQ","BEST_FPERIOD_OVERRIDE=FQ","FILING_STATUS=MR","SCALING_FORMAT=MLN","Sort=A","Dates=H","DateFormat=P","Fill=—","Direction=H","UseDPDF=Y")</f>
        <v>0</v>
      </c>
      <c r="L22" s="13">
        <f>_xll.BDH("ALNY US Equity","T12M_DVDS_PAID","FQ3 2021","FQ3 2021","Currency=USD","Period=FQ","BEST_FPERIOD_OVERRIDE=FQ","FILING_STATUS=MR","SCALING_FORMAT=MLN","Sort=A","Dates=H","DateFormat=P","Fill=—","Direction=H","UseDPDF=Y")</f>
        <v>0</v>
      </c>
      <c r="M22" s="13">
        <f>_xll.BDH("ALNY US Equity","T12M_DVDS_PAID","FQ4 2021","FQ4 2021","Currency=USD","Period=FQ","BEST_FPERIOD_OVERRIDE=FQ","FILING_STATUS=MR","SCALING_FORMAT=MLN","Sort=A","Dates=H","DateFormat=P","Fill=—","Direction=H","UseDPDF=Y")</f>
        <v>0</v>
      </c>
      <c r="N22" s="13">
        <f>_xll.BDH("ALNY US Equity","T12M_DVDS_PAID","FQ1 2022","FQ1 2022","Currency=USD","Period=FQ","BEST_FPERIOD_OVERRIDE=FQ","FILING_STATUS=MR","SCALING_FORMAT=MLN","Sort=A","Dates=H","DateFormat=P","Fill=—","Direction=H","UseDPDF=Y")</f>
        <v>0</v>
      </c>
      <c r="O22" s="13">
        <f>_xll.BDH("ALNY US Equity","T12M_DVDS_PAID","FQ2 2022","FQ2 2022","Currency=USD","Period=FQ","BEST_FPERIOD_OVERRIDE=FQ","FILING_STATUS=MR","SCALING_FORMAT=MLN","Sort=A","Dates=H","DateFormat=P","Fill=—","Direction=H","UseDPDF=Y")</f>
        <v>0</v>
      </c>
      <c r="P22" s="13">
        <f>_xll.BDH("ALNY US Equity","T12M_DVDS_PAID","FQ3 2022","FQ3 2022","Currency=USD","Period=FQ","BEST_FPERIOD_OVERRIDE=FQ","FILING_STATUS=MR","SCALING_FORMAT=MLN","Sort=A","Dates=H","DateFormat=P","Fill=—","Direction=H","UseDPDF=Y")</f>
        <v>0</v>
      </c>
      <c r="Q22" s="13">
        <f>_xll.BDH("ALNY US Equity","T12M_DVDS_PAID","FQ4 2022","FQ4 2022","Currency=USD","Period=FQ","BEST_FPERIOD_OVERRIDE=FQ","FILING_STATUS=MR","SCALING_FORMAT=MLN","Sort=A","Dates=H","DateFormat=P","Fill=—","Direction=H","UseDPDF=Y")</f>
        <v>0</v>
      </c>
      <c r="R22" s="13">
        <f>_xll.BDH("ALNY US Equity","T12M_DVDS_PAID","FQ1 2023","FQ1 2023","Currency=USD","Period=FQ","BEST_FPERIOD_OVERRIDE=FQ","FILING_STATUS=MR","SCALING_FORMAT=MLN","Sort=A","Dates=H","DateFormat=P","Fill=—","Direction=H","UseDPDF=Y")</f>
        <v>0</v>
      </c>
      <c r="S22" s="13">
        <f>_xll.BDH("ALNY US Equity","T12M_DVDS_PAID","FQ2 2023","FQ2 2023","Currency=USD","Period=FQ","BEST_FPERIOD_OVERRIDE=FQ","FILING_STATUS=MR","SCALING_FORMAT=MLN","Sort=A","Dates=H","DateFormat=P","Fill=—","Direction=H","UseDPDF=Y")</f>
        <v>0</v>
      </c>
      <c r="T22" s="13">
        <f>_xll.BDH("ALNY US Equity","T12M_DVDS_PAID","FQ3 2023","FQ3 2023","Currency=USD","Period=FQ","BEST_FPERIOD_OVERRIDE=FQ","FILING_STATUS=MR","SCALING_FORMAT=MLN","Sort=A","Dates=H","DateFormat=P","Fill=—","Direction=H","UseDPDF=Y")</f>
        <v>0</v>
      </c>
      <c r="U22" s="13">
        <f>_xll.BDH("ALNY US Equity","T12M_DVDS_PAID","FQ4 2023","FQ4 2023","Currency=USD","Period=FQ","BEST_FPERIOD_OVERRIDE=FQ","FILING_STATUS=MR","SCALING_FORMAT=MLN","Sort=A","Dates=H","DateFormat=P","Fill=—","Direction=H","UseDPDF=Y")</f>
        <v>0</v>
      </c>
      <c r="V22" s="13">
        <f>_xll.BDH("ALNY US Equity","T12M_DVDS_PAID","FQ1 2024","FQ1 2024","Currency=USD","Period=FQ","BEST_FPERIOD_OVERRIDE=FQ","FILING_STATUS=MR","SCALING_FORMAT=MLN","Sort=A","Dates=H","DateFormat=P","Fill=—","Direction=H","UseDPDF=Y")</f>
        <v>0</v>
      </c>
      <c r="W22" s="13">
        <f>_xll.BDH("ALNY US Equity","T12M_DVDS_PAID","FQ2 2024","FQ2 2024","Currency=USD","Period=FQ","BEST_FPERIOD_OVERRIDE=FQ","FILING_STATUS=MR","SCALING_FORMAT=MLN","Sort=A","Dates=H","DateFormat=P","Fill=—","Direction=H","UseDPDF=Y")</f>
        <v>0</v>
      </c>
      <c r="X22" s="13">
        <f>_xll.BDH("ALNY US Equity","T12M_DVDS_PAID","FQ3 2024","FQ3 2024","Currency=USD","Period=FQ","BEST_FPERIOD_OVERRIDE=FQ","FILING_STATUS=MR","SCALING_FORMAT=MLN","Sort=A","Dates=H","DateFormat=P","Fill=—","Direction=H","UseDPDF=Y")</f>
        <v>0</v>
      </c>
      <c r="Y22" s="13">
        <f>_xll.BDH("ALNY US Equity","T12M_DVDS_PAID","FQ4 2024","FQ4 2024","Currency=USD","Period=FQ","BEST_FPERIOD_OVERRIDE=FQ","FILING_STATUS=MR","SCALING_FORMAT=MLN","Sort=A","Dates=H","DateFormat=P","Fill=—","Direction=H","UseDPDF=Y")</f>
        <v>0</v>
      </c>
      <c r="Z22" s="13"/>
      <c r="AA22" s="13"/>
    </row>
    <row r="23" spans="1:27" x14ac:dyDescent="0.25">
      <c r="A23" s="10" t="s">
        <v>1561</v>
      </c>
      <c r="B23" s="10" t="s">
        <v>1550</v>
      </c>
      <c r="C23" s="13">
        <f>_xll.BDH("ALNY US Equity","T12M_NET_CAPITAL_STOCK","FQ2 2019","FQ2 2019","Currency=USD","Period=FQ","BEST_FPERIOD_OVERRIDE=FQ","FILING_STATUS=MR","SCALING_FORMAT=MLN","Sort=A","Dates=H","DateFormat=P","Fill=—","Direction=H","UseDPDF=Y")</f>
        <v>440.00799999999998</v>
      </c>
      <c r="D23" s="13">
        <f>_xll.BDH("ALNY US Equity","T12M_NET_CAPITAL_STOCK","FQ3 2019","FQ3 2019","Currency=USD","Period=FQ","BEST_FPERIOD_OVERRIDE=FQ","FILING_STATUS=MR","SCALING_FORMAT=MLN","Sort=A","Dates=H","DateFormat=P","Fill=—","Direction=H","UseDPDF=Y")</f>
        <v>436.32</v>
      </c>
      <c r="E23" s="13">
        <f>_xll.BDH("ALNY US Equity","T12M_NET_CAPITAL_STOCK","FQ4 2019","FQ4 2019","Currency=USD","Period=FQ","BEST_FPERIOD_OVERRIDE=FQ","FILING_STATUS=MR","SCALING_FORMAT=MLN","Sort=A","Dates=H","DateFormat=P","Fill=—","Direction=H","UseDPDF=Y")</f>
        <v>471.28399999999999</v>
      </c>
      <c r="F23" s="13">
        <f>_xll.BDH("ALNY US Equity","T12M_NET_CAPITAL_STOCK","FQ1 2020","FQ1 2020","Currency=USD","Period=FQ","BEST_FPERIOD_OVERRIDE=FQ","FILING_STATUS=MR","SCALING_FORMAT=MLN","Sort=A","Dates=H","DateFormat=P","Fill=—","Direction=H","UseDPDF=Y")</f>
        <v>134.22200000000001</v>
      </c>
      <c r="G23" s="13">
        <f>_xll.BDH("ALNY US Equity","T12M_NET_CAPITAL_STOCK","FQ2 2020","FQ2 2020","Currency=USD","Period=FQ","BEST_FPERIOD_OVERRIDE=FQ","FILING_STATUS=MR","SCALING_FORMAT=MLN","Sort=A","Dates=H","DateFormat=P","Fill=—","Direction=H","UseDPDF=Y")</f>
        <v>800.65300000000002</v>
      </c>
      <c r="H23" s="13">
        <f>_xll.BDH("ALNY US Equity","T12M_NET_CAPITAL_STOCK","FQ3 2020","FQ3 2020","Currency=USD","Period=FQ","BEST_FPERIOD_OVERRIDE=FQ","FILING_STATUS=MR","SCALING_FORMAT=MLN","Sort=A","Dates=H","DateFormat=P","Fill=—","Direction=H","UseDPDF=Y")</f>
        <v>821.29899999999998</v>
      </c>
      <c r="I23" s="13">
        <f>_xll.BDH("ALNY US Equity","T12M_NET_CAPITAL_STOCK","FQ4 2020","FQ4 2020","Currency=USD","Period=FQ","BEST_FPERIOD_OVERRIDE=FQ","FILING_STATUS=MR","SCALING_FORMAT=MLN","Sort=A","Dates=H","DateFormat=P","Fill=—","Direction=H","UseDPDF=Y")</f>
        <v>799.98199999999997</v>
      </c>
      <c r="J23" s="13">
        <f>_xll.BDH("ALNY US Equity","T12M_NET_CAPITAL_STOCK","FQ1 2021","FQ1 2021","Currency=USD","Period=FQ","BEST_FPERIOD_OVERRIDE=FQ","FILING_STATUS=MR","SCALING_FORMAT=MLN","Sort=A","Dates=H","DateFormat=P","Fill=—","Direction=H","UseDPDF=Y")</f>
        <v>793.09</v>
      </c>
      <c r="K23" s="13">
        <f>_xll.BDH("ALNY US Equity","T12M_NET_CAPITAL_STOCK","FQ2 2021","FQ2 2021","Currency=USD","Period=FQ","BEST_FPERIOD_OVERRIDE=FQ","FILING_STATUS=MR","SCALING_FORMAT=MLN","Sort=A","Dates=H","DateFormat=P","Fill=—","Direction=H","UseDPDF=Y")</f>
        <v>177.81</v>
      </c>
      <c r="L23" s="13">
        <f>_xll.BDH("ALNY US Equity","T12M_NET_CAPITAL_STOCK","FQ3 2021","FQ3 2021","Currency=USD","Period=FQ","BEST_FPERIOD_OVERRIDE=FQ","FILING_STATUS=MR","SCALING_FORMAT=MLN","Sort=A","Dates=H","DateFormat=P","Fill=—","Direction=H","UseDPDF=Y")</f>
        <v>720.25199999999995</v>
      </c>
      <c r="M23" s="13">
        <f>_xll.BDH("ALNY US Equity","T12M_NET_CAPITAL_STOCK","FQ4 2021","FQ4 2021","Currency=USD","Period=FQ","BEST_FPERIOD_OVERRIDE=FQ","FILING_STATUS=MR","SCALING_FORMAT=MLN","Sort=A","Dates=H","DateFormat=P","Fill=—","Direction=H","UseDPDF=Y")</f>
        <v>746.26800000000003</v>
      </c>
      <c r="N23" s="13">
        <f>_xll.BDH("ALNY US Equity","T12M_NET_CAPITAL_STOCK","FQ1 2022","FQ1 2022","Currency=USD","Period=FQ","BEST_FPERIOD_OVERRIDE=FQ","FILING_STATUS=MR","SCALING_FORMAT=MLN","Sort=A","Dates=H","DateFormat=P","Fill=—","Direction=H","UseDPDF=Y")</f>
        <v>726.41399999999999</v>
      </c>
      <c r="O23" s="13">
        <f>_xll.BDH("ALNY US Equity","T12M_NET_CAPITAL_STOCK","FQ2 2022","FQ2 2022","Currency=USD","Period=FQ","BEST_FPERIOD_OVERRIDE=FQ","FILING_STATUS=MR","SCALING_FORMAT=MLN","Sort=A","Dates=H","DateFormat=P","Fill=—","Direction=H","UseDPDF=Y")</f>
        <v>667.05600000000004</v>
      </c>
      <c r="P23" s="13">
        <f>_xll.BDH("ALNY US Equity","T12M_NET_CAPITAL_STOCK","FQ3 2022","FQ3 2022","Currency=USD","Period=FQ","BEST_FPERIOD_OVERRIDE=FQ","FILING_STATUS=MR","SCALING_FORMAT=MLN","Sort=A","Dates=H","DateFormat=P","Fill=—","Direction=H","UseDPDF=Y")</f>
        <v>247.68700000000001</v>
      </c>
      <c r="Q23" s="13">
        <f>_xll.BDH("ALNY US Equity","T12M_NET_CAPITAL_STOCK","FQ4 2022","FQ4 2022","Currency=USD","Period=FQ","BEST_FPERIOD_OVERRIDE=FQ","FILING_STATUS=MR","SCALING_FORMAT=MLN","Sort=A","Dates=H","DateFormat=P","Fill=—","Direction=H","UseDPDF=Y")</f>
        <v>259.36</v>
      </c>
      <c r="R23" s="13">
        <f>_xll.BDH("ALNY US Equity","T12M_NET_CAPITAL_STOCK","FQ1 2023","FQ1 2023","Currency=USD","Period=FQ","BEST_FPERIOD_OVERRIDE=FQ","FILING_STATUS=MR","SCALING_FORMAT=MLN","Sort=A","Dates=H","DateFormat=P","Fill=—","Direction=H","UseDPDF=Y")</f>
        <v>274.608</v>
      </c>
      <c r="S23" s="13">
        <f>_xll.BDH("ALNY US Equity","T12M_NET_CAPITAL_STOCK","FQ2 2023","FQ2 2023","Currency=USD","Period=FQ","BEST_FPERIOD_OVERRIDE=FQ","FILING_STATUS=MR","SCALING_FORMAT=MLN","Sort=A","Dates=H","DateFormat=P","Fill=—","Direction=H","UseDPDF=Y")</f>
        <v>301.49900000000002</v>
      </c>
      <c r="T23" s="13">
        <f>_xll.BDH("ALNY US Equity","T12M_NET_CAPITAL_STOCK","FQ3 2023","FQ3 2023","Currency=USD","Period=FQ","BEST_FPERIOD_OVERRIDE=FQ","FILING_STATUS=MR","SCALING_FORMAT=MLN","Sort=A","Dates=H","DateFormat=P","Fill=—","Direction=H","UseDPDF=Y")</f>
        <v>173.28399999999999</v>
      </c>
      <c r="U23" s="13">
        <f>_xll.BDH("ALNY US Equity","T12M_NET_CAPITAL_STOCK","FQ4 2023","FQ4 2023","Currency=USD","Period=FQ","BEST_FPERIOD_OVERRIDE=FQ","FILING_STATUS=MR","SCALING_FORMAT=MLN","Sort=A","Dates=H","DateFormat=P","Fill=—","Direction=H","UseDPDF=Y")</f>
        <v>147.464</v>
      </c>
      <c r="V23" s="13">
        <f>_xll.BDH("ALNY US Equity","T12M_NET_CAPITAL_STOCK","FQ1 2024","FQ1 2024","Currency=USD","Period=FQ","BEST_FPERIOD_OVERRIDE=FQ","FILING_STATUS=MR","SCALING_FORMAT=MLN","Sort=A","Dates=H","DateFormat=P","Fill=—","Direction=H","UseDPDF=Y")</f>
        <v>130.952</v>
      </c>
      <c r="W23" s="13">
        <f>_xll.BDH("ALNY US Equity","T12M_NET_CAPITAL_STOCK","FQ2 2024","FQ2 2024","Currency=USD","Period=FQ","BEST_FPERIOD_OVERRIDE=FQ","FILING_STATUS=MR","SCALING_FORMAT=MLN","Sort=A","Dates=H","DateFormat=P","Fill=—","Direction=H","UseDPDF=Y")</f>
        <v>214.33600000000001</v>
      </c>
      <c r="X23" s="13">
        <f>_xll.BDH("ALNY US Equity","T12M_NET_CAPITAL_STOCK","FQ3 2024","FQ3 2024","Currency=USD","Period=FQ","BEST_FPERIOD_OVERRIDE=FQ","FILING_STATUS=MR","SCALING_FORMAT=MLN","Sort=A","Dates=H","DateFormat=P","Fill=—","Direction=H","UseDPDF=Y")</f>
        <v>297.56700000000001</v>
      </c>
      <c r="Y23" s="13">
        <f>_xll.BDH("ALNY US Equity","T12M_NET_CAPITAL_STOCK","FQ4 2024","FQ4 2024","Currency=USD","Period=FQ","BEST_FPERIOD_OVERRIDE=FQ","FILING_STATUS=MR","SCALING_FORMAT=MLN","Sort=A","Dates=H","DateFormat=P","Fill=—","Direction=H","UseDPDF=Y")</f>
        <v>302.95100000000002</v>
      </c>
      <c r="Z23" s="13"/>
      <c r="AA23" s="13"/>
    </row>
    <row r="24" spans="1:27" x14ac:dyDescent="0.25">
      <c r="A24" s="6" t="s">
        <v>1562</v>
      </c>
      <c r="B24" s="6" t="s">
        <v>1563</v>
      </c>
      <c r="C24" s="19">
        <f>_xll.BDH("ALNY US Equity","RETURNED_CAPITAL_EX_DEBT","FQ2 2019","FQ2 2019","Currency=USD","Period=FQ","BEST_FPERIOD_OVERRIDE=FQ","FILING_STATUS=MR","SCALING_FORMAT=MLN","Sort=A","Dates=H","DateFormat=P","Fill=—","Direction=H","UseDPDF=Y")</f>
        <v>-440.00799999999998</v>
      </c>
      <c r="D24" s="19">
        <f>_xll.BDH("ALNY US Equity","RETURNED_CAPITAL_EX_DEBT","FQ3 2019","FQ3 2019","Currency=USD","Period=FQ","BEST_FPERIOD_OVERRIDE=FQ","FILING_STATUS=MR","SCALING_FORMAT=MLN","Sort=A","Dates=H","DateFormat=P","Fill=—","Direction=H","UseDPDF=Y")</f>
        <v>-436.32</v>
      </c>
      <c r="E24" s="19">
        <f>_xll.BDH("ALNY US Equity","RETURNED_CAPITAL_EX_DEBT","FQ4 2019","FQ4 2019","Currency=USD","Period=FQ","BEST_FPERIOD_OVERRIDE=FQ","FILING_STATUS=MR","SCALING_FORMAT=MLN","Sort=A","Dates=H","DateFormat=P","Fill=—","Direction=H","UseDPDF=Y")</f>
        <v>-471.28399999999999</v>
      </c>
      <c r="F24" s="19">
        <f>_xll.BDH("ALNY US Equity","RETURNED_CAPITAL_EX_DEBT","FQ1 2020","FQ1 2020","Currency=USD","Period=FQ","BEST_FPERIOD_OVERRIDE=FQ","FILING_STATUS=MR","SCALING_FORMAT=MLN","Sort=A","Dates=H","DateFormat=P","Fill=—","Direction=H","UseDPDF=Y")</f>
        <v>-134.22200000000001</v>
      </c>
      <c r="G24" s="19">
        <f>_xll.BDH("ALNY US Equity","RETURNED_CAPITAL_EX_DEBT","FQ2 2020","FQ2 2020","Currency=USD","Period=FQ","BEST_FPERIOD_OVERRIDE=FQ","FILING_STATUS=MR","SCALING_FORMAT=MLN","Sort=A","Dates=H","DateFormat=P","Fill=—","Direction=H","UseDPDF=Y")</f>
        <v>-800.65300000000002</v>
      </c>
      <c r="H24" s="19">
        <f>_xll.BDH("ALNY US Equity","RETURNED_CAPITAL_EX_DEBT","FQ3 2020","FQ3 2020","Currency=USD","Period=FQ","BEST_FPERIOD_OVERRIDE=FQ","FILING_STATUS=MR","SCALING_FORMAT=MLN","Sort=A","Dates=H","DateFormat=P","Fill=—","Direction=H","UseDPDF=Y")</f>
        <v>-821.29899999999998</v>
      </c>
      <c r="I24" s="19">
        <f>_xll.BDH("ALNY US Equity","RETURNED_CAPITAL_EX_DEBT","FQ4 2020","FQ4 2020","Currency=USD","Period=FQ","BEST_FPERIOD_OVERRIDE=FQ","FILING_STATUS=MR","SCALING_FORMAT=MLN","Sort=A","Dates=H","DateFormat=P","Fill=—","Direction=H","UseDPDF=Y")</f>
        <v>-799.98199999999997</v>
      </c>
      <c r="J24" s="19">
        <f>_xll.BDH("ALNY US Equity","RETURNED_CAPITAL_EX_DEBT","FQ1 2021","FQ1 2021","Currency=USD","Period=FQ","BEST_FPERIOD_OVERRIDE=FQ","FILING_STATUS=MR","SCALING_FORMAT=MLN","Sort=A","Dates=H","DateFormat=P","Fill=—","Direction=H","UseDPDF=Y")</f>
        <v>-793.09</v>
      </c>
      <c r="K24" s="19">
        <f>_xll.BDH("ALNY US Equity","RETURNED_CAPITAL_EX_DEBT","FQ2 2021","FQ2 2021","Currency=USD","Period=FQ","BEST_FPERIOD_OVERRIDE=FQ","FILING_STATUS=MR","SCALING_FORMAT=MLN","Sort=A","Dates=H","DateFormat=P","Fill=—","Direction=H","UseDPDF=Y")</f>
        <v>-177.81</v>
      </c>
      <c r="L24" s="19">
        <f>_xll.BDH("ALNY US Equity","RETURNED_CAPITAL_EX_DEBT","FQ3 2021","FQ3 2021","Currency=USD","Period=FQ","BEST_FPERIOD_OVERRIDE=FQ","FILING_STATUS=MR","SCALING_FORMAT=MLN","Sort=A","Dates=H","DateFormat=P","Fill=—","Direction=H","UseDPDF=Y")</f>
        <v>-720.25199999999995</v>
      </c>
      <c r="M24" s="19">
        <f>_xll.BDH("ALNY US Equity","RETURNED_CAPITAL_EX_DEBT","FQ4 2021","FQ4 2021","Currency=USD","Period=FQ","BEST_FPERIOD_OVERRIDE=FQ","FILING_STATUS=MR","SCALING_FORMAT=MLN","Sort=A","Dates=H","DateFormat=P","Fill=—","Direction=H","UseDPDF=Y")</f>
        <v>-746.26800000000003</v>
      </c>
      <c r="N24" s="19">
        <f>_xll.BDH("ALNY US Equity","RETURNED_CAPITAL_EX_DEBT","FQ1 2022","FQ1 2022","Currency=USD","Period=FQ","BEST_FPERIOD_OVERRIDE=FQ","FILING_STATUS=MR","SCALING_FORMAT=MLN","Sort=A","Dates=H","DateFormat=P","Fill=—","Direction=H","UseDPDF=Y")</f>
        <v>-726.41399999999999</v>
      </c>
      <c r="O24" s="19">
        <f>_xll.BDH("ALNY US Equity","RETURNED_CAPITAL_EX_DEBT","FQ2 2022","FQ2 2022","Currency=USD","Period=FQ","BEST_FPERIOD_OVERRIDE=FQ","FILING_STATUS=MR","SCALING_FORMAT=MLN","Sort=A","Dates=H","DateFormat=P","Fill=—","Direction=H","UseDPDF=Y")</f>
        <v>-667.05600000000004</v>
      </c>
      <c r="P24" s="19">
        <f>_xll.BDH("ALNY US Equity","RETURNED_CAPITAL_EX_DEBT","FQ3 2022","FQ3 2022","Currency=USD","Period=FQ","BEST_FPERIOD_OVERRIDE=FQ","FILING_STATUS=MR","SCALING_FORMAT=MLN","Sort=A","Dates=H","DateFormat=P","Fill=—","Direction=H","UseDPDF=Y")</f>
        <v>-247.68700000000001</v>
      </c>
      <c r="Q24" s="19">
        <f>_xll.BDH("ALNY US Equity","RETURNED_CAPITAL_EX_DEBT","FQ4 2022","FQ4 2022","Currency=USD","Period=FQ","BEST_FPERIOD_OVERRIDE=FQ","FILING_STATUS=MR","SCALING_FORMAT=MLN","Sort=A","Dates=H","DateFormat=P","Fill=—","Direction=H","UseDPDF=Y")</f>
        <v>-259.36</v>
      </c>
      <c r="R24" s="19">
        <f>_xll.BDH("ALNY US Equity","RETURNED_CAPITAL_EX_DEBT","FQ1 2023","FQ1 2023","Currency=USD","Period=FQ","BEST_FPERIOD_OVERRIDE=FQ","FILING_STATUS=MR","SCALING_FORMAT=MLN","Sort=A","Dates=H","DateFormat=P","Fill=—","Direction=H","UseDPDF=Y")</f>
        <v>-274.608</v>
      </c>
      <c r="S24" s="19">
        <f>_xll.BDH("ALNY US Equity","RETURNED_CAPITAL_EX_DEBT","FQ2 2023","FQ2 2023","Currency=USD","Period=FQ","BEST_FPERIOD_OVERRIDE=FQ","FILING_STATUS=MR","SCALING_FORMAT=MLN","Sort=A","Dates=H","DateFormat=P","Fill=—","Direction=H","UseDPDF=Y")</f>
        <v>-301.49900000000002</v>
      </c>
      <c r="T24" s="19">
        <f>_xll.BDH("ALNY US Equity","RETURNED_CAPITAL_EX_DEBT","FQ3 2023","FQ3 2023","Currency=USD","Period=FQ","BEST_FPERIOD_OVERRIDE=FQ","FILING_STATUS=MR","SCALING_FORMAT=MLN","Sort=A","Dates=H","DateFormat=P","Fill=—","Direction=H","UseDPDF=Y")</f>
        <v>-173.28399999999999</v>
      </c>
      <c r="U24" s="19">
        <f>_xll.BDH("ALNY US Equity","RETURNED_CAPITAL_EX_DEBT","FQ4 2023","FQ4 2023","Currency=USD","Period=FQ","BEST_FPERIOD_OVERRIDE=FQ","FILING_STATUS=MR","SCALING_FORMAT=MLN","Sort=A","Dates=H","DateFormat=P","Fill=—","Direction=H","UseDPDF=Y")</f>
        <v>-147.464</v>
      </c>
      <c r="V24" s="19">
        <f>_xll.BDH("ALNY US Equity","RETURNED_CAPITAL_EX_DEBT","FQ1 2024","FQ1 2024","Currency=USD","Period=FQ","BEST_FPERIOD_OVERRIDE=FQ","FILING_STATUS=MR","SCALING_FORMAT=MLN","Sort=A","Dates=H","DateFormat=P","Fill=—","Direction=H","UseDPDF=Y")</f>
        <v>-130.952</v>
      </c>
      <c r="W24" s="19">
        <f>_xll.BDH("ALNY US Equity","RETURNED_CAPITAL_EX_DEBT","FQ2 2024","FQ2 2024","Currency=USD","Period=FQ","BEST_FPERIOD_OVERRIDE=FQ","FILING_STATUS=MR","SCALING_FORMAT=MLN","Sort=A","Dates=H","DateFormat=P","Fill=—","Direction=H","UseDPDF=Y")</f>
        <v>-214.33600000000001</v>
      </c>
      <c r="X24" s="19">
        <f>_xll.BDH("ALNY US Equity","RETURNED_CAPITAL_EX_DEBT","FQ3 2024","FQ3 2024","Currency=USD","Period=FQ","BEST_FPERIOD_OVERRIDE=FQ","FILING_STATUS=MR","SCALING_FORMAT=MLN","Sort=A","Dates=H","DateFormat=P","Fill=—","Direction=H","UseDPDF=Y")</f>
        <v>-297.56700000000001</v>
      </c>
      <c r="Y24" s="19">
        <f>_xll.BDH("ALNY US Equity","RETURNED_CAPITAL_EX_DEBT","FQ4 2024","FQ4 2024","Currency=USD","Period=FQ","BEST_FPERIOD_OVERRIDE=FQ","FILING_STATUS=MR","SCALING_FORMAT=MLN","Sort=A","Dates=H","DateFormat=P","Fill=—","Direction=H","UseDPDF=Y")</f>
        <v>-302.95100000000002</v>
      </c>
      <c r="Z24" s="19"/>
      <c r="AA24" s="19"/>
    </row>
    <row r="25" spans="1:27" x14ac:dyDescent="0.25">
      <c r="A25" s="11" t="s">
        <v>60</v>
      </c>
      <c r="B25" s="11" t="s">
        <v>61</v>
      </c>
      <c r="C25" s="25">
        <f>_xll.BDH("ALNY US Equity","HISTORICAL_MARKET_CAP","FQ2 2019","FQ2 2019","Currency=USD","Period=FQ","BEST_FPERIOD_OVERRIDE=FQ","FILING_STATUS=MR","SCALING_FORMAT=MLN","Sort=A","Dates=H","DateFormat=P","Fill=—","Direction=H","UseDPDF=Y")</f>
        <v>8062.4318000000003</v>
      </c>
      <c r="D25" s="25">
        <f>_xll.BDH("ALNY US Equity","HISTORICAL_MARKET_CAP","FQ3 2019","FQ3 2019","Currency=USD","Period=FQ","BEST_FPERIOD_OVERRIDE=FQ","FILING_STATUS=MR","SCALING_FORMAT=MLN","Sort=A","Dates=H","DateFormat=P","Fill=—","Direction=H","UseDPDF=Y")</f>
        <v>8952.7564999999995</v>
      </c>
      <c r="E25" s="25">
        <f>_xll.BDH("ALNY US Equity","HISTORICAL_MARKET_CAP","FQ4 2019","FQ4 2019","Currency=USD","Period=FQ","BEST_FPERIOD_OVERRIDE=FQ","FILING_STATUS=MR","SCALING_FORMAT=MLN","Sort=A","Dates=H","DateFormat=P","Fill=—","Direction=H","UseDPDF=Y")</f>
        <v>12920.691999999999</v>
      </c>
      <c r="F25" s="25">
        <f>_xll.BDH("ALNY US Equity","HISTORICAL_MARKET_CAP","FQ1 2020","FQ1 2020","Currency=USD","Period=FQ","BEST_FPERIOD_OVERRIDE=FQ","FILING_STATUS=MR","SCALING_FORMAT=MLN","Sort=A","Dates=H","DateFormat=P","Fill=—","Direction=H","UseDPDF=Y")</f>
        <v>12318.336799999999</v>
      </c>
      <c r="G25" s="25">
        <f>_xll.BDH("ALNY US Equity","HISTORICAL_MARKET_CAP","FQ2 2020","FQ2 2020","Currency=USD","Period=FQ","BEST_FPERIOD_OVERRIDE=FQ","FILING_STATUS=MR","SCALING_FORMAT=MLN","Sort=A","Dates=H","DateFormat=P","Fill=—","Direction=H","UseDPDF=Y")</f>
        <v>17128.477200000001</v>
      </c>
      <c r="H25" s="25">
        <f>_xll.BDH("ALNY US Equity","HISTORICAL_MARKET_CAP","FQ3 2020","FQ3 2020","Currency=USD","Period=FQ","BEST_FPERIOD_OVERRIDE=FQ","FILING_STATUS=MR","SCALING_FORMAT=MLN","Sort=A","Dates=H","DateFormat=P","Fill=—","Direction=H","UseDPDF=Y")</f>
        <v>16910.4208</v>
      </c>
      <c r="I25" s="25">
        <f>_xll.BDH("ALNY US Equity","HISTORICAL_MARKET_CAP","FQ4 2020","FQ4 2020","Currency=USD","Period=FQ","BEST_FPERIOD_OVERRIDE=FQ","FILING_STATUS=MR","SCALING_FORMAT=MLN","Sort=A","Dates=H","DateFormat=P","Fill=—","Direction=H","UseDPDF=Y")</f>
        <v>15132.0172</v>
      </c>
      <c r="J25" s="25">
        <f>_xll.BDH("ALNY US Equity","HISTORICAL_MARKET_CAP","FQ1 2021","FQ1 2021","Currency=USD","Period=FQ","BEST_FPERIOD_OVERRIDE=FQ","FILING_STATUS=MR","SCALING_FORMAT=MLN","Sort=A","Dates=H","DateFormat=P","Fill=—","Direction=H","UseDPDF=Y")</f>
        <v>16564.552</v>
      </c>
      <c r="K25" s="25">
        <f>_xll.BDH("ALNY US Equity","HISTORICAL_MARKET_CAP","FQ2 2021","FQ2 2021","Currency=USD","Period=FQ","BEST_FPERIOD_OVERRIDE=FQ","FILING_STATUS=MR","SCALING_FORMAT=MLN","Sort=A","Dates=H","DateFormat=P","Fill=—","Direction=H","UseDPDF=Y")</f>
        <v>20104.393899999999</v>
      </c>
      <c r="L25" s="25">
        <f>_xll.BDH("ALNY US Equity","HISTORICAL_MARKET_CAP","FQ3 2021","FQ3 2021","Currency=USD","Period=FQ","BEST_FPERIOD_OVERRIDE=FQ","FILING_STATUS=MR","SCALING_FORMAT=MLN","Sort=A","Dates=H","DateFormat=P","Fill=—","Direction=H","UseDPDF=Y")</f>
        <v>22559.018800000002</v>
      </c>
      <c r="M25" s="25">
        <f>_xll.BDH("ALNY US Equity","HISTORICAL_MARKET_CAP","FQ4 2021","FQ4 2021","Currency=USD","Period=FQ","BEST_FPERIOD_OVERRIDE=FQ","FILING_STATUS=MR","SCALING_FORMAT=MLN","Sort=A","Dates=H","DateFormat=P","Fill=—","Direction=H","UseDPDF=Y")</f>
        <v>20380.463599999999</v>
      </c>
      <c r="N25" s="25">
        <f>_xll.BDH("ALNY US Equity","HISTORICAL_MARKET_CAP","FQ1 2022","FQ1 2022","Currency=USD","Period=FQ","BEST_FPERIOD_OVERRIDE=FQ","FILING_STATUS=MR","SCALING_FORMAT=MLN","Sort=A","Dates=H","DateFormat=P","Fill=—","Direction=H","UseDPDF=Y")</f>
        <v>19713.838400000001</v>
      </c>
      <c r="O25" s="25">
        <f>_xll.BDH("ALNY US Equity","HISTORICAL_MARKET_CAP","FQ2 2022","FQ2 2022","Currency=USD","Period=FQ","BEST_FPERIOD_OVERRIDE=FQ","FILING_STATUS=MR","SCALING_FORMAT=MLN","Sort=A","Dates=H","DateFormat=P","Fill=—","Direction=H","UseDPDF=Y")</f>
        <v>17646.683199999999</v>
      </c>
      <c r="P25" s="25">
        <f>_xll.BDH("ALNY US Equity","HISTORICAL_MARKET_CAP","FQ3 2022","FQ3 2022","Currency=USD","Period=FQ","BEST_FPERIOD_OVERRIDE=FQ","FILING_STATUS=MR","SCALING_FORMAT=MLN","Sort=A","Dates=H","DateFormat=P","Fill=—","Direction=H","UseDPDF=Y")</f>
        <v>24617.8786</v>
      </c>
      <c r="Q25" s="25">
        <f>_xll.BDH("ALNY US Equity","HISTORICAL_MARKET_CAP","FQ4 2022","FQ4 2022","Currency=USD","Period=FQ","BEST_FPERIOD_OVERRIDE=FQ","FILING_STATUS=MR","SCALING_FORMAT=MLN","Sort=A","Dates=H","DateFormat=P","Fill=—","Direction=H","UseDPDF=Y")</f>
        <v>29450.776300000001</v>
      </c>
      <c r="R25" s="25">
        <f>_xll.BDH("ALNY US Equity","HISTORICAL_MARKET_CAP","FQ1 2023","FQ1 2023","Currency=USD","Period=FQ","BEST_FPERIOD_OVERRIDE=FQ","FILING_STATUS=MR","SCALING_FORMAT=MLN","Sort=A","Dates=H","DateFormat=P","Fill=—","Direction=H","UseDPDF=Y")</f>
        <v>24887.9571</v>
      </c>
      <c r="S25" s="25">
        <f>_xll.BDH("ALNY US Equity","HISTORICAL_MARKET_CAP","FQ2 2023","FQ2 2023","Currency=USD","Period=FQ","BEST_FPERIOD_OVERRIDE=FQ","FILING_STATUS=MR","SCALING_FORMAT=MLN","Sort=A","Dates=H","DateFormat=P","Fill=—","Direction=H","UseDPDF=Y")</f>
        <v>23598.335500000001</v>
      </c>
      <c r="T25" s="25">
        <f>_xll.BDH("ALNY US Equity","HISTORICAL_MARKET_CAP","FQ3 2023","FQ3 2023","Currency=USD","Period=FQ","BEST_FPERIOD_OVERRIDE=FQ","FILING_STATUS=MR","SCALING_FORMAT=MLN","Sort=A","Dates=H","DateFormat=P","Fill=—","Direction=H","UseDPDF=Y")</f>
        <v>22217.903399999999</v>
      </c>
      <c r="U25" s="25">
        <f>_xll.BDH("ALNY US Equity","HISTORICAL_MARKET_CAP","FQ4 2023","FQ4 2023","Currency=USD","Period=FQ","BEST_FPERIOD_OVERRIDE=FQ","FILING_STATUS=MR","SCALING_FORMAT=MLN","Sort=A","Dates=H","DateFormat=P","Fill=—","Direction=H","UseDPDF=Y")</f>
        <v>24078.229500000001</v>
      </c>
      <c r="V25" s="25">
        <f>_xll.BDH("ALNY US Equity","HISTORICAL_MARKET_CAP","FQ1 2024","FQ1 2024","Currency=USD","Period=FQ","BEST_FPERIOD_OVERRIDE=FQ","FILING_STATUS=MR","SCALING_FORMAT=MLN","Sort=A","Dates=H","DateFormat=P","Fill=—","Direction=H","UseDPDF=Y")</f>
        <v>18899.895400000001</v>
      </c>
      <c r="W25" s="25">
        <f>_xll.BDH("ALNY US Equity","HISTORICAL_MARKET_CAP","FQ2 2024","FQ2 2024","Currency=USD","Period=FQ","BEST_FPERIOD_OVERRIDE=FQ","FILING_STATUS=MR","SCALING_FORMAT=MLN","Sort=A","Dates=H","DateFormat=P","Fill=—","Direction=H","UseDPDF=Y")</f>
        <v>31109.102999999999</v>
      </c>
      <c r="X25" s="25">
        <f>_xll.BDH("ALNY US Equity","HISTORICAL_MARKET_CAP","FQ3 2024","FQ3 2024","Currency=USD","Period=FQ","BEST_FPERIOD_OVERRIDE=FQ","FILING_STATUS=MR","SCALING_FORMAT=MLN","Sort=A","Dates=H","DateFormat=P","Fill=—","Direction=H","UseDPDF=Y")</f>
        <v>35435.140200000002</v>
      </c>
      <c r="Y25" s="25">
        <f>_xll.BDH("ALNY US Equity","HISTORICAL_MARKET_CAP","FQ4 2024","FQ4 2024","Currency=USD","Period=FQ","BEST_FPERIOD_OVERRIDE=FQ","FILING_STATUS=MR","SCALING_FORMAT=MLN","Sort=A","Dates=H","DateFormat=P","Fill=—","Direction=H","UseDPDF=Y")</f>
        <v>30424.1711</v>
      </c>
      <c r="Z25" s="25"/>
      <c r="AA25" s="25"/>
    </row>
    <row r="26" spans="1:27" x14ac:dyDescent="0.25">
      <c r="A26" s="6" t="s">
        <v>1564</v>
      </c>
      <c r="B26" s="6" t="s">
        <v>1565</v>
      </c>
      <c r="C26" s="20">
        <f>_xll.BDH("ALNY US Equity","SHAREHOLDER_YIELD_EX_DEBT","FQ2 2019","FQ2 2019","Currency=USD","Period=FQ","BEST_FPERIOD_OVERRIDE=FQ","FILING_STATUS=MR","Sort=A","Dates=H","DateFormat=P","Fill=—","Direction=H","UseDPDF=Y")</f>
        <v>-5.4574999999999996</v>
      </c>
      <c r="D26" s="20">
        <f>_xll.BDH("ALNY US Equity","SHAREHOLDER_YIELD_EX_DEBT","FQ3 2019","FQ3 2019","Currency=USD","Period=FQ","BEST_FPERIOD_OVERRIDE=FQ","FILING_STATUS=MR","Sort=A","Dates=H","DateFormat=P","Fill=—","Direction=H","UseDPDF=Y")</f>
        <v>-4.8735999999999997</v>
      </c>
      <c r="E26" s="20">
        <f>_xll.BDH("ALNY US Equity","SHAREHOLDER_YIELD_EX_DEBT","FQ4 2019","FQ4 2019","Currency=USD","Period=FQ","BEST_FPERIOD_OVERRIDE=FQ","FILING_STATUS=MR","Sort=A","Dates=H","DateFormat=P","Fill=—","Direction=H","UseDPDF=Y")</f>
        <v>-3.6475</v>
      </c>
      <c r="F26" s="20">
        <f>_xll.BDH("ALNY US Equity","SHAREHOLDER_YIELD_EX_DEBT","FQ1 2020","FQ1 2020","Currency=USD","Period=FQ","BEST_FPERIOD_OVERRIDE=FQ","FILING_STATUS=MR","Sort=A","Dates=H","DateFormat=P","Fill=—","Direction=H","UseDPDF=Y")</f>
        <v>-1.0895999999999999</v>
      </c>
      <c r="G26" s="20">
        <f>_xll.BDH("ALNY US Equity","SHAREHOLDER_YIELD_EX_DEBT","FQ2 2020","FQ2 2020","Currency=USD","Period=FQ","BEST_FPERIOD_OVERRIDE=FQ","FILING_STATUS=MR","Sort=A","Dates=H","DateFormat=P","Fill=—","Direction=H","UseDPDF=Y")</f>
        <v>-4.6744000000000003</v>
      </c>
      <c r="H26" s="20">
        <f>_xll.BDH("ALNY US Equity","SHAREHOLDER_YIELD_EX_DEBT","FQ3 2020","FQ3 2020","Currency=USD","Period=FQ","BEST_FPERIOD_OVERRIDE=FQ","FILING_STATUS=MR","Sort=A","Dates=H","DateFormat=P","Fill=—","Direction=H","UseDPDF=Y")</f>
        <v>-4.8567999999999998</v>
      </c>
      <c r="I26" s="20">
        <f>_xll.BDH("ALNY US Equity","SHAREHOLDER_YIELD_EX_DEBT","FQ4 2020","FQ4 2020","Currency=USD","Period=FQ","BEST_FPERIOD_OVERRIDE=FQ","FILING_STATUS=MR","Sort=A","Dates=H","DateFormat=P","Fill=—","Direction=H","UseDPDF=Y")</f>
        <v>-5.2866999999999997</v>
      </c>
      <c r="J26" s="20">
        <f>_xll.BDH("ALNY US Equity","SHAREHOLDER_YIELD_EX_DEBT","FQ1 2021","FQ1 2021","Currency=USD","Period=FQ","BEST_FPERIOD_OVERRIDE=FQ","FILING_STATUS=MR","Sort=A","Dates=H","DateFormat=P","Fill=—","Direction=H","UseDPDF=Y")</f>
        <v>-4.7878999999999996</v>
      </c>
      <c r="K26" s="20">
        <f>_xll.BDH("ALNY US Equity","SHAREHOLDER_YIELD_EX_DEBT","FQ2 2021","FQ2 2021","Currency=USD","Period=FQ","BEST_FPERIOD_OVERRIDE=FQ","FILING_STATUS=MR","Sort=A","Dates=H","DateFormat=P","Fill=—","Direction=H","UseDPDF=Y")</f>
        <v>-0.88439999999999996</v>
      </c>
      <c r="L26" s="20">
        <f>_xll.BDH("ALNY US Equity","SHAREHOLDER_YIELD_EX_DEBT","FQ3 2021","FQ3 2021","Currency=USD","Period=FQ","BEST_FPERIOD_OVERRIDE=FQ","FILING_STATUS=MR","Sort=A","Dates=H","DateFormat=P","Fill=—","Direction=H","UseDPDF=Y")</f>
        <v>-3.1926999999999999</v>
      </c>
      <c r="M26" s="20">
        <f>_xll.BDH("ALNY US Equity","SHAREHOLDER_YIELD_EX_DEBT","FQ4 2021","FQ4 2021","Currency=USD","Period=FQ","BEST_FPERIOD_OVERRIDE=FQ","FILING_STATUS=MR","Sort=A","Dates=H","DateFormat=P","Fill=—","Direction=H","UseDPDF=Y")</f>
        <v>-3.6617000000000002</v>
      </c>
      <c r="N26" s="20">
        <f>_xll.BDH("ALNY US Equity","SHAREHOLDER_YIELD_EX_DEBT","FQ1 2022","FQ1 2022","Currency=USD","Period=FQ","BEST_FPERIOD_OVERRIDE=FQ","FILING_STATUS=MR","Sort=A","Dates=H","DateFormat=P","Fill=—","Direction=H","UseDPDF=Y")</f>
        <v>-3.6848000000000001</v>
      </c>
      <c r="O26" s="20">
        <f>_xll.BDH("ALNY US Equity","SHAREHOLDER_YIELD_EX_DEBT","FQ2 2022","FQ2 2022","Currency=USD","Period=FQ","BEST_FPERIOD_OVERRIDE=FQ","FILING_STATUS=MR","Sort=A","Dates=H","DateFormat=P","Fill=—","Direction=H","UseDPDF=Y")</f>
        <v>-3.7801</v>
      </c>
      <c r="P26" s="20">
        <f>_xll.BDH("ALNY US Equity","SHAREHOLDER_YIELD_EX_DEBT","FQ3 2022","FQ3 2022","Currency=USD","Period=FQ","BEST_FPERIOD_OVERRIDE=FQ","FILING_STATUS=MR","Sort=A","Dates=H","DateFormat=P","Fill=—","Direction=H","UseDPDF=Y")</f>
        <v>-1.0061</v>
      </c>
      <c r="Q26" s="20">
        <f>_xll.BDH("ALNY US Equity","SHAREHOLDER_YIELD_EX_DEBT","FQ4 2022","FQ4 2022","Currency=USD","Period=FQ","BEST_FPERIOD_OVERRIDE=FQ","FILING_STATUS=MR","Sort=A","Dates=H","DateFormat=P","Fill=—","Direction=H","UseDPDF=Y")</f>
        <v>-0.88070000000000004</v>
      </c>
      <c r="R26" s="20">
        <f>_xll.BDH("ALNY US Equity","SHAREHOLDER_YIELD_EX_DEBT","FQ1 2023","FQ1 2023","Currency=USD","Period=FQ","BEST_FPERIOD_OVERRIDE=FQ","FILING_STATUS=MR","Sort=A","Dates=H","DateFormat=P","Fill=—","Direction=H","UseDPDF=Y")</f>
        <v>-1.1033999999999999</v>
      </c>
      <c r="S26" s="20">
        <f>_xll.BDH("ALNY US Equity","SHAREHOLDER_YIELD_EX_DEBT","FQ2 2023","FQ2 2023","Currency=USD","Period=FQ","BEST_FPERIOD_OVERRIDE=FQ","FILING_STATUS=MR","Sort=A","Dates=H","DateFormat=P","Fill=—","Direction=H","UseDPDF=Y")</f>
        <v>-1.2776000000000001</v>
      </c>
      <c r="T26" s="20">
        <f>_xll.BDH("ALNY US Equity","SHAREHOLDER_YIELD_EX_DEBT","FQ3 2023","FQ3 2023","Currency=USD","Period=FQ","BEST_FPERIOD_OVERRIDE=FQ","FILING_STATUS=MR","Sort=A","Dates=H","DateFormat=P","Fill=—","Direction=H","UseDPDF=Y")</f>
        <v>-0.77990000000000004</v>
      </c>
      <c r="U26" s="20">
        <f>_xll.BDH("ALNY US Equity","SHAREHOLDER_YIELD_EX_DEBT","FQ4 2023","FQ4 2023","Currency=USD","Period=FQ","BEST_FPERIOD_OVERRIDE=FQ","FILING_STATUS=MR","Sort=A","Dates=H","DateFormat=P","Fill=—","Direction=H","UseDPDF=Y")</f>
        <v>-0.61240000000000006</v>
      </c>
      <c r="V26" s="20">
        <f>_xll.BDH("ALNY US Equity","SHAREHOLDER_YIELD_EX_DEBT","FQ1 2024","FQ1 2024","Currency=USD","Period=FQ","BEST_FPERIOD_OVERRIDE=FQ","FILING_STATUS=MR","Sort=A","Dates=H","DateFormat=P","Fill=—","Direction=H","UseDPDF=Y")</f>
        <v>-0.69289999999999996</v>
      </c>
      <c r="W26" s="20">
        <f>_xll.BDH("ALNY US Equity","SHAREHOLDER_YIELD_EX_DEBT","FQ2 2024","FQ2 2024","Currency=USD","Period=FQ","BEST_FPERIOD_OVERRIDE=FQ","FILING_STATUS=MR","Sort=A","Dates=H","DateFormat=P","Fill=—","Direction=H","UseDPDF=Y")</f>
        <v>-0.68899999999999995</v>
      </c>
      <c r="X26" s="20">
        <f>_xll.BDH("ALNY US Equity","SHAREHOLDER_YIELD_EX_DEBT","FQ3 2024","FQ3 2024","Currency=USD","Period=FQ","BEST_FPERIOD_OVERRIDE=FQ","FILING_STATUS=MR","Sort=A","Dates=H","DateFormat=P","Fill=—","Direction=H","UseDPDF=Y")</f>
        <v>-0.83979999999999999</v>
      </c>
      <c r="Y26" s="20">
        <f>_xll.BDH("ALNY US Equity","SHAREHOLDER_YIELD_EX_DEBT","FQ4 2024","FQ4 2024","Currency=USD","Period=FQ","BEST_FPERIOD_OVERRIDE=FQ","FILING_STATUS=MR","Sort=A","Dates=H","DateFormat=P","Fill=—","Direction=H","UseDPDF=Y")</f>
        <v>-0.99580000000000002</v>
      </c>
      <c r="Z26" s="20"/>
      <c r="AA26" s="20"/>
    </row>
    <row r="27" spans="1:27" x14ac:dyDescent="0.25">
      <c r="A27" s="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5">
      <c r="A28" s="6" t="s">
        <v>1566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5">
      <c r="A29" s="10" t="s">
        <v>1540</v>
      </c>
      <c r="B29" s="10" t="s">
        <v>1541</v>
      </c>
      <c r="C29" s="13">
        <f>_xll.BDH("ALNY US Equity","TRAIL_12M_CASH_FROM_OPER","FQ2 2019","FQ2 2019","Currency=USD","Period=FQ","BEST_FPERIOD_OVERRIDE=FQ","FILING_STATUS=MR","SCALING_FORMAT=MLN","Sort=A","Dates=H","DateFormat=P","Fill=—","Direction=H","UseDPDF=Y")</f>
        <v>-204.08</v>
      </c>
      <c r="D29" s="13">
        <f>_xll.BDH("ALNY US Equity","TRAIL_12M_CASH_FROM_OPER","FQ3 2019","FQ3 2019","Currency=USD","Period=FQ","BEST_FPERIOD_OVERRIDE=FQ","FILING_STATUS=MR","SCALING_FORMAT=MLN","Sort=A","Dates=H","DateFormat=P","Fill=—","Direction=H","UseDPDF=Y")</f>
        <v>-232.904</v>
      </c>
      <c r="E29" s="13">
        <f>_xll.BDH("ALNY US Equity","TRAIL_12M_CASH_FROM_OPER","FQ4 2019","FQ4 2019","Currency=USD","Period=FQ","BEST_FPERIOD_OVERRIDE=FQ","FILING_STATUS=MR","SCALING_FORMAT=MLN","Sort=A","Dates=H","DateFormat=P","Fill=—","Direction=H","UseDPDF=Y")</f>
        <v>-278.42700000000002</v>
      </c>
      <c r="F29" s="13">
        <f>_xll.BDH("ALNY US Equity","TRAIL_12M_CASH_FROM_OPER","FQ1 2020","FQ1 2020","Currency=USD","Period=FQ","BEST_FPERIOD_OVERRIDE=FQ","FILING_STATUS=MR","SCALING_FORMAT=MLN","Sort=A","Dates=H","DateFormat=P","Fill=—","Direction=H","UseDPDF=Y")</f>
        <v>-336.07799999999997</v>
      </c>
      <c r="G29" s="13">
        <f>_xll.BDH("ALNY US Equity","TRAIL_12M_CASH_FROM_OPER","FQ2 2020","FQ2 2020","Currency=USD","Period=FQ","BEST_FPERIOD_OVERRIDE=FQ","FILING_STATUS=MR","SCALING_FORMAT=MLN","Sort=A","Dates=H","DateFormat=P","Fill=—","Direction=H","UseDPDF=Y")</f>
        <v>-760.10299999999995</v>
      </c>
      <c r="H29" s="13">
        <f>_xll.BDH("ALNY US Equity","TRAIL_12M_CASH_FROM_OPER","FQ3 2020","FQ3 2020","Currency=USD","Period=FQ","BEST_FPERIOD_OVERRIDE=FQ","FILING_STATUS=MR","SCALING_FORMAT=MLN","Sort=A","Dates=H","DateFormat=P","Fill=—","Direction=H","UseDPDF=Y")</f>
        <v>-687.79700000000003</v>
      </c>
      <c r="I29" s="13">
        <f>_xll.BDH("ALNY US Equity","TRAIL_12M_CASH_FROM_OPER","FQ4 2020","FQ4 2020","Currency=USD","Period=FQ","BEST_FPERIOD_OVERRIDE=FQ","FILING_STATUS=MR","SCALING_FORMAT=MLN","Sort=A","Dates=H","DateFormat=P","Fill=—","Direction=H","UseDPDF=Y")</f>
        <v>-614.96100000000001</v>
      </c>
      <c r="J29" s="13">
        <f>_xll.BDH("ALNY US Equity","TRAIL_12M_CASH_FROM_OPER","FQ1 2021","FQ1 2021","Currency=USD","Period=FQ","BEST_FPERIOD_OVERRIDE=FQ","FILING_STATUS=MR","SCALING_FORMAT=MLN","Sort=A","Dates=H","DateFormat=P","Fill=—","Direction=H","UseDPDF=Y")</f>
        <v>-604.46</v>
      </c>
      <c r="K29" s="13">
        <f>_xll.BDH("ALNY US Equity","TRAIL_12M_CASH_FROM_OPER","FQ2 2021","FQ2 2021","Currency=USD","Period=FQ","BEST_FPERIOD_OVERRIDE=FQ","FILING_STATUS=MR","SCALING_FORMAT=MLN","Sort=A","Dates=H","DateFormat=P","Fill=—","Direction=H","UseDPDF=Y")</f>
        <v>-590.98599999999999</v>
      </c>
      <c r="L29" s="13">
        <f>_xll.BDH("ALNY US Equity","TRAIL_12M_CASH_FROM_OPER","FQ3 2021","FQ3 2021","Currency=USD","Period=FQ","BEST_FPERIOD_OVERRIDE=FQ","FILING_STATUS=MR","SCALING_FORMAT=MLN","Sort=A","Dates=H","DateFormat=P","Fill=—","Direction=H","UseDPDF=Y")</f>
        <v>-614.69600000000003</v>
      </c>
      <c r="M29" s="13">
        <f>_xll.BDH("ALNY US Equity","TRAIL_12M_CASH_FROM_OPER","FQ4 2021","FQ4 2021","Currency=USD","Period=FQ","BEST_FPERIOD_OVERRIDE=FQ","FILING_STATUS=MR","SCALING_FORMAT=MLN","Sort=A","Dates=H","DateFormat=P","Fill=—","Direction=H","UseDPDF=Y")</f>
        <v>-641.69299999999998</v>
      </c>
      <c r="N29" s="13">
        <f>_xll.BDH("ALNY US Equity","TRAIL_12M_CASH_FROM_OPER","FQ1 2022","FQ1 2022","Currency=USD","Period=FQ","BEST_FPERIOD_OVERRIDE=FQ","FILING_STATUS=MR","SCALING_FORMAT=MLN","Sort=A","Dates=H","DateFormat=P","Fill=—","Direction=H","UseDPDF=Y")</f>
        <v>-577.226</v>
      </c>
      <c r="O29" s="13">
        <f>_xll.BDH("ALNY US Equity","TRAIL_12M_CASH_FROM_OPER","FQ2 2022","FQ2 2022","Currency=USD","Period=FQ","BEST_FPERIOD_OVERRIDE=FQ","FILING_STATUS=MR","SCALING_FORMAT=MLN","Sort=A","Dates=H","DateFormat=P","Fill=—","Direction=H","UseDPDF=Y")</f>
        <v>-578.18899999999996</v>
      </c>
      <c r="P29" s="13">
        <f>_xll.BDH("ALNY US Equity","TRAIL_12M_CASH_FROM_OPER","FQ3 2022","FQ3 2022","Currency=USD","Period=FQ","BEST_FPERIOD_OVERRIDE=FQ","FILING_STATUS=MR","SCALING_FORMAT=MLN","Sort=A","Dates=H","DateFormat=P","Fill=—","Direction=H","UseDPDF=Y")</f>
        <v>-559.43700000000001</v>
      </c>
      <c r="Q29" s="13">
        <f>_xll.BDH("ALNY US Equity","TRAIL_12M_CASH_FROM_OPER","FQ4 2022","FQ4 2022","Currency=USD","Period=FQ","BEST_FPERIOD_OVERRIDE=FQ","FILING_STATUS=MR","SCALING_FORMAT=MLN","Sort=A","Dates=H","DateFormat=P","Fill=—","Direction=H","UseDPDF=Y")</f>
        <v>-541.274</v>
      </c>
      <c r="R29" s="13">
        <f>_xll.BDH("ALNY US Equity","TRAIL_12M_CASH_FROM_OPER","FQ1 2023","FQ1 2023","Currency=USD","Period=FQ","BEST_FPERIOD_OVERRIDE=FQ","FILING_STATUS=MR","SCALING_FORMAT=MLN","Sort=A","Dates=H","DateFormat=P","Fill=—","Direction=H","UseDPDF=Y")</f>
        <v>-536.55600000000004</v>
      </c>
      <c r="S29" s="13">
        <f>_xll.BDH("ALNY US Equity","TRAIL_12M_CASH_FROM_OPER","FQ2 2023","FQ2 2023","Currency=USD","Period=FQ","BEST_FPERIOD_OVERRIDE=FQ","FILING_STATUS=MR","SCALING_FORMAT=MLN","Sort=A","Dates=H","DateFormat=P","Fill=—","Direction=H","UseDPDF=Y")</f>
        <v>-472.72300000000001</v>
      </c>
      <c r="T29" s="13">
        <f>_xll.BDH("ALNY US Equity","TRAIL_12M_CASH_FROM_OPER","FQ3 2023","FQ3 2023","Currency=USD","Period=FQ","BEST_FPERIOD_OVERRIDE=FQ","FILING_STATUS=MR","SCALING_FORMAT=MLN","Sort=A","Dates=H","DateFormat=P","Fill=—","Direction=H","UseDPDF=Y")</f>
        <v>1.9730000000000001</v>
      </c>
      <c r="U29" s="13">
        <f>_xll.BDH("ALNY US Equity","TRAIL_12M_CASH_FROM_OPER","FQ4 2023","FQ4 2023","Currency=USD","Period=FQ","BEST_FPERIOD_OVERRIDE=FQ","FILING_STATUS=MR","SCALING_FORMAT=MLN","Sort=A","Dates=H","DateFormat=P","Fill=—","Direction=H","UseDPDF=Y")</f>
        <v>104.15600000000001</v>
      </c>
      <c r="V29" s="13">
        <f>_xll.BDH("ALNY US Equity","TRAIL_12M_CASH_FROM_OPER","FQ1 2024","FQ1 2024","Currency=USD","Period=FQ","BEST_FPERIOD_OVERRIDE=FQ","FILING_STATUS=MR","SCALING_FORMAT=MLN","Sort=A","Dates=H","DateFormat=P","Fill=—","Direction=H","UseDPDF=Y")</f>
        <v>189.11600000000001</v>
      </c>
      <c r="W29" s="13">
        <f>_xll.BDH("ALNY US Equity","TRAIL_12M_CASH_FROM_OPER","FQ2 2024","FQ2 2024","Currency=USD","Period=FQ","BEST_FPERIOD_OVERRIDE=FQ","FILING_STATUS=MR","SCALING_FORMAT=MLN","Sort=A","Dates=H","DateFormat=P","Fill=—","Direction=H","UseDPDF=Y")</f>
        <v>372.26</v>
      </c>
      <c r="X29" s="13">
        <f>_xll.BDH("ALNY US Equity","TRAIL_12M_CASH_FROM_OPER","FQ3 2024","FQ3 2024","Currency=USD","Period=FQ","BEST_FPERIOD_OVERRIDE=FQ","FILING_STATUS=MR","SCALING_FORMAT=MLN","Sort=A","Dates=H","DateFormat=P","Fill=—","Direction=H","UseDPDF=Y")</f>
        <v>56.555</v>
      </c>
      <c r="Y29" s="13">
        <f>_xll.BDH("ALNY US Equity","TRAIL_12M_CASH_FROM_OPER","FQ4 2024","FQ4 2024","Currency=USD","Period=FQ","BEST_FPERIOD_OVERRIDE=FQ","FILING_STATUS=MR","SCALING_FORMAT=MLN","Sort=A","Dates=H","DateFormat=P","Fill=—","Direction=H","UseDPDF=Y")</f>
        <v>-8.3119999999999994</v>
      </c>
      <c r="Z29" s="13">
        <v>8884.6372510000001</v>
      </c>
      <c r="AA29" s="13">
        <v>8806.3871880000006</v>
      </c>
    </row>
    <row r="30" spans="1:27" x14ac:dyDescent="0.25">
      <c r="A30" s="10" t="s">
        <v>1542</v>
      </c>
      <c r="B30" s="10" t="s">
        <v>1543</v>
      </c>
      <c r="C30" s="13">
        <f>_xll.BDH("ALNY US Equity","TRAIL_12M_CAP_EXPEND","FQ2 2019","FQ2 2019","Currency=USD","Period=FQ","BEST_FPERIOD_OVERRIDE=FQ","FILING_STATUS=MR","SCALING_FORMAT=MLN","Sort=A","Dates=H","DateFormat=P","Fill=—","Direction=H","UseDPDF=Y")</f>
        <v>-148.215</v>
      </c>
      <c r="D30" s="13">
        <f>_xll.BDH("ALNY US Equity","TRAIL_12M_CAP_EXPEND","FQ3 2019","FQ3 2019","Currency=USD","Period=FQ","BEST_FPERIOD_OVERRIDE=FQ","FILING_STATUS=MR","SCALING_FORMAT=MLN","Sort=A","Dates=H","DateFormat=P","Fill=—","Direction=H","UseDPDF=Y")</f>
        <v>-138.864</v>
      </c>
      <c r="E30" s="13">
        <f>_xll.BDH("ALNY US Equity","TRAIL_12M_CAP_EXPEND","FQ4 2019","FQ4 2019","Currency=USD","Period=FQ","BEST_FPERIOD_OVERRIDE=FQ","FILING_STATUS=MR","SCALING_FORMAT=MLN","Sort=A","Dates=H","DateFormat=P","Fill=—","Direction=H","UseDPDF=Y")</f>
        <v>-140.15600000000001</v>
      </c>
      <c r="F30" s="13">
        <f>_xll.BDH("ALNY US Equity","TRAIL_12M_CAP_EXPEND","FQ1 2020","FQ1 2020","Currency=USD","Period=FQ","BEST_FPERIOD_OVERRIDE=FQ","FILING_STATUS=MR","SCALING_FORMAT=MLN","Sort=A","Dates=H","DateFormat=P","Fill=—","Direction=H","UseDPDF=Y")</f>
        <v>-115.724</v>
      </c>
      <c r="G30" s="13">
        <f>_xll.BDH("ALNY US Equity","TRAIL_12M_CAP_EXPEND","FQ2 2020","FQ2 2020","Currency=USD","Period=FQ","BEST_FPERIOD_OVERRIDE=FQ","FILING_STATUS=MR","SCALING_FORMAT=MLN","Sort=A","Dates=H","DateFormat=P","Fill=—","Direction=H","UseDPDF=Y")</f>
        <v>-111.13800000000001</v>
      </c>
      <c r="H30" s="13">
        <f>_xll.BDH("ALNY US Equity","TRAIL_12M_CAP_EXPEND","FQ3 2020","FQ3 2020","Currency=USD","Period=FQ","BEST_FPERIOD_OVERRIDE=FQ","FILING_STATUS=MR","SCALING_FORMAT=MLN","Sort=A","Dates=H","DateFormat=P","Fill=—","Direction=H","UseDPDF=Y")</f>
        <v>-87.498000000000005</v>
      </c>
      <c r="I30" s="13">
        <f>_xll.BDH("ALNY US Equity","TRAIL_12M_CAP_EXPEND","FQ4 2020","FQ4 2020","Currency=USD","Period=FQ","BEST_FPERIOD_OVERRIDE=FQ","FILING_STATUS=MR","SCALING_FORMAT=MLN","Sort=A","Dates=H","DateFormat=P","Fill=—","Direction=H","UseDPDF=Y")</f>
        <v>-70.361000000000004</v>
      </c>
      <c r="J30" s="13">
        <f>_xll.BDH("ALNY US Equity","TRAIL_12M_CAP_EXPEND","FQ1 2021","FQ1 2021","Currency=USD","Period=FQ","BEST_FPERIOD_OVERRIDE=FQ","FILING_STATUS=MR","SCALING_FORMAT=MLN","Sort=A","Dates=H","DateFormat=P","Fill=—","Direction=H","UseDPDF=Y")</f>
        <v>-67.921999999999997</v>
      </c>
      <c r="K30" s="13">
        <f>_xll.BDH("ALNY US Equity","TRAIL_12M_CAP_EXPEND","FQ2 2021","FQ2 2021","Currency=USD","Period=FQ","BEST_FPERIOD_OVERRIDE=FQ","FILING_STATUS=MR","SCALING_FORMAT=MLN","Sort=A","Dates=H","DateFormat=P","Fill=—","Direction=H","UseDPDF=Y")</f>
        <v>-62.51</v>
      </c>
      <c r="L30" s="13">
        <f>_xll.BDH("ALNY US Equity","TRAIL_12M_CAP_EXPEND","FQ3 2021","FQ3 2021","Currency=USD","Period=FQ","BEST_FPERIOD_OVERRIDE=FQ","FILING_STATUS=MR","SCALING_FORMAT=MLN","Sort=A","Dates=H","DateFormat=P","Fill=—","Direction=H","UseDPDF=Y")</f>
        <v>-76.153999999999996</v>
      </c>
      <c r="M30" s="13">
        <f>_xll.BDH("ALNY US Equity","TRAIL_12M_CAP_EXPEND","FQ4 2021","FQ4 2021","Currency=USD","Period=FQ","BEST_FPERIOD_OVERRIDE=FQ","FILING_STATUS=MR","SCALING_FORMAT=MLN","Sort=A","Dates=H","DateFormat=P","Fill=—","Direction=H","UseDPDF=Y")</f>
        <v>-76.372</v>
      </c>
      <c r="N30" s="13">
        <f>_xll.BDH("ALNY US Equity","TRAIL_12M_CAP_EXPEND","FQ1 2022","FQ1 2022","Currency=USD","Period=FQ","BEST_FPERIOD_OVERRIDE=FQ","FILING_STATUS=MR","SCALING_FORMAT=MLN","Sort=A","Dates=H","DateFormat=P","Fill=—","Direction=H","UseDPDF=Y")</f>
        <v>-77.052999999999997</v>
      </c>
      <c r="O30" s="13">
        <f>_xll.BDH("ALNY US Equity","TRAIL_12M_CAP_EXPEND","FQ2 2022","FQ2 2022","Currency=USD","Period=FQ","BEST_FPERIOD_OVERRIDE=FQ","FILING_STATUS=MR","SCALING_FORMAT=MLN","Sort=A","Dates=H","DateFormat=P","Fill=—","Direction=H","UseDPDF=Y")</f>
        <v>-81.861999999999995</v>
      </c>
      <c r="P30" s="13">
        <f>_xll.BDH("ALNY US Equity","TRAIL_12M_CAP_EXPEND","FQ3 2022","FQ3 2022","Currency=USD","Period=FQ","BEST_FPERIOD_OVERRIDE=FQ","FILING_STATUS=MR","SCALING_FORMAT=MLN","Sort=A","Dates=H","DateFormat=P","Fill=—","Direction=H","UseDPDF=Y")</f>
        <v>-72.31</v>
      </c>
      <c r="Q30" s="13">
        <f>_xll.BDH("ALNY US Equity","TRAIL_12M_CAP_EXPEND","FQ4 2022","FQ4 2022","Currency=USD","Period=FQ","BEST_FPERIOD_OVERRIDE=FQ","FILING_STATUS=MR","SCALING_FORMAT=MLN","Sort=A","Dates=H","DateFormat=P","Fill=—","Direction=H","UseDPDF=Y")</f>
        <v>-72.058999999999997</v>
      </c>
      <c r="R30" s="13">
        <f>_xll.BDH("ALNY US Equity","TRAIL_12M_CAP_EXPEND","FQ1 2023","FQ1 2023","Currency=USD","Period=FQ","BEST_FPERIOD_OVERRIDE=FQ","FILING_STATUS=MR","SCALING_FORMAT=MLN","Sort=A","Dates=H","DateFormat=P","Fill=—","Direction=H","UseDPDF=Y")</f>
        <v>-68.090999999999994</v>
      </c>
      <c r="S30" s="13">
        <f>_xll.BDH("ALNY US Equity","TRAIL_12M_CAP_EXPEND","FQ2 2023","FQ2 2023","Currency=USD","Period=FQ","BEST_FPERIOD_OVERRIDE=FQ","FILING_STATUS=MR","SCALING_FORMAT=MLN","Sort=A","Dates=H","DateFormat=P","Fill=—","Direction=H","UseDPDF=Y")</f>
        <v>-67.954999999999998</v>
      </c>
      <c r="T30" s="13">
        <f>_xll.BDH("ALNY US Equity","TRAIL_12M_CAP_EXPEND","FQ3 2023","FQ3 2023","Currency=USD","Period=FQ","BEST_FPERIOD_OVERRIDE=FQ","FILING_STATUS=MR","SCALING_FORMAT=MLN","Sort=A","Dates=H","DateFormat=P","Fill=—","Direction=H","UseDPDF=Y")</f>
        <v>-68.537000000000006</v>
      </c>
      <c r="U30" s="13">
        <f>_xll.BDH("ALNY US Equity","TRAIL_12M_CAP_EXPEND","FQ4 2023","FQ4 2023","Currency=USD","Period=FQ","BEST_FPERIOD_OVERRIDE=FQ","FILING_STATUS=MR","SCALING_FORMAT=MLN","Sort=A","Dates=H","DateFormat=P","Fill=—","Direction=H","UseDPDF=Y")</f>
        <v>-62.210999999999999</v>
      </c>
      <c r="V30" s="13">
        <f>_xll.BDH("ALNY US Equity","TRAIL_12M_CAP_EXPEND","FQ1 2024","FQ1 2024","Currency=USD","Period=FQ","BEST_FPERIOD_OVERRIDE=FQ","FILING_STATUS=MR","SCALING_FORMAT=MLN","Sort=A","Dates=H","DateFormat=P","Fill=—","Direction=H","UseDPDF=Y")</f>
        <v>-61.292999999999999</v>
      </c>
      <c r="W30" s="13">
        <f>_xll.BDH("ALNY US Equity","TRAIL_12M_CAP_EXPEND","FQ2 2024","FQ2 2024","Currency=USD","Period=FQ","BEST_FPERIOD_OVERRIDE=FQ","FILING_STATUS=MR","SCALING_FORMAT=MLN","Sort=A","Dates=H","DateFormat=P","Fill=—","Direction=H","UseDPDF=Y")</f>
        <v>-53.392000000000003</v>
      </c>
      <c r="X30" s="13">
        <f>_xll.BDH("ALNY US Equity","TRAIL_12M_CAP_EXPEND","FQ3 2024","FQ3 2024","Currency=USD","Period=FQ","BEST_FPERIOD_OVERRIDE=FQ","FILING_STATUS=MR","SCALING_FORMAT=MLN","Sort=A","Dates=H","DateFormat=P","Fill=—","Direction=H","UseDPDF=Y")</f>
        <v>-40.491999999999997</v>
      </c>
      <c r="Y30" s="13">
        <f>_xll.BDH("ALNY US Equity","TRAIL_12M_CAP_EXPEND","FQ4 2024","FQ4 2024","Currency=USD","Period=FQ","BEST_FPERIOD_OVERRIDE=FQ","FILING_STATUS=MR","SCALING_FORMAT=MLN","Sort=A","Dates=H","DateFormat=P","Fill=—","Direction=H","UseDPDF=Y")</f>
        <v>-34.277000000000001</v>
      </c>
      <c r="Z30" s="13"/>
      <c r="AA30" s="13"/>
    </row>
    <row r="31" spans="1:27" x14ac:dyDescent="0.25">
      <c r="A31" s="11" t="s">
        <v>1567</v>
      </c>
      <c r="B31" s="11" t="s">
        <v>69</v>
      </c>
      <c r="C31" s="25">
        <f>_xll.BDH("ALNY US Equity","ENTERPRISE_VALUE","FQ2 2019","FQ2 2019","Currency=USD","Period=FQ","BEST_FPERIOD_OVERRIDE=FQ","FILING_STATUS=MR","SCALING_FORMAT=MLN","Sort=A","Dates=H","DateFormat=P","Fill=—","Direction=H","UseDPDF=Y")</f>
        <v>6472.1588000000002</v>
      </c>
      <c r="D31" s="25">
        <f>_xll.BDH("ALNY US Equity","ENTERPRISE_VALUE","FQ3 2019","FQ3 2019","Currency=USD","Period=FQ","BEST_FPERIOD_OVERRIDE=FQ","FILING_STATUS=MR","SCALING_FORMAT=MLN","Sort=A","Dates=H","DateFormat=P","Fill=—","Direction=H","UseDPDF=Y")</f>
        <v>7536.3194999999996</v>
      </c>
      <c r="E31" s="25">
        <f>_xll.BDH("ALNY US Equity","ENTERPRISE_VALUE","FQ4 2019","FQ4 2019","Currency=USD","Period=FQ","BEST_FPERIOD_OVERRIDE=FQ","FILING_STATUS=MR","SCALING_FORMAT=MLN","Sort=A","Dates=H","DateFormat=P","Fill=—","Direction=H","UseDPDF=Y")</f>
        <v>11688.352999999999</v>
      </c>
      <c r="F31" s="25">
        <f>_xll.BDH("ALNY US Equity","ENTERPRISE_VALUE","FQ1 2020","FQ1 2020","Currency=USD","Period=FQ","BEST_FPERIOD_OVERRIDE=FQ","FILING_STATUS=MR","SCALING_FORMAT=MLN","Sort=A","Dates=H","DateFormat=P","Fill=—","Direction=H","UseDPDF=Y")</f>
        <v>11280.9588</v>
      </c>
      <c r="G31" s="25">
        <f>_xll.BDH("ALNY US Equity","ENTERPRISE_VALUE","FQ2 2020","FQ2 2020","Currency=USD","Period=FQ","BEST_FPERIOD_OVERRIDE=FQ","FILING_STATUS=MR","SCALING_FORMAT=MLN","Sort=A","Dates=H","DateFormat=P","Fill=—","Direction=H","UseDPDF=Y")</f>
        <v>15517.9782</v>
      </c>
      <c r="H31" s="25">
        <f>_xll.BDH("ALNY US Equity","ENTERPRISE_VALUE","FQ3 2020","FQ3 2020","Currency=USD","Period=FQ","BEST_FPERIOD_OVERRIDE=FQ","FILING_STATUS=MR","SCALING_FORMAT=MLN","Sort=A","Dates=H","DateFormat=P","Fill=—","Direction=H","UseDPDF=Y")</f>
        <v>15405.998799999999</v>
      </c>
      <c r="I31" s="25">
        <f>_xll.BDH("ALNY US Equity","ENTERPRISE_VALUE","FQ4 2020","FQ4 2020","Currency=USD","Period=FQ","BEST_FPERIOD_OVERRIDE=FQ","FILING_STATUS=MR","SCALING_FORMAT=MLN","Sort=A","Dates=H","DateFormat=P","Fill=—","Direction=H","UseDPDF=Y")</f>
        <v>13778.8112</v>
      </c>
      <c r="J31" s="25">
        <f>_xll.BDH("ALNY US Equity","ENTERPRISE_VALUE","FQ1 2021","FQ1 2021","Currency=USD","Period=FQ","BEST_FPERIOD_OVERRIDE=FQ","FILING_STATUS=MR","SCALING_FORMAT=MLN","Sort=A","Dates=H","DateFormat=P","Fill=—","Direction=H","UseDPDF=Y")</f>
        <v>15373.537</v>
      </c>
      <c r="K31" s="25">
        <f>_xll.BDH("ALNY US Equity","ENTERPRISE_VALUE","FQ2 2021","FQ2 2021","Currency=USD","Period=FQ","BEST_FPERIOD_OVERRIDE=FQ","FILING_STATUS=MR","SCALING_FORMAT=MLN","Sort=A","Dates=H","DateFormat=P","Fill=—","Direction=H","UseDPDF=Y")</f>
        <v>18965.383900000001</v>
      </c>
      <c r="L31" s="25">
        <f>_xll.BDH("ALNY US Equity","ENTERPRISE_VALUE","FQ3 2021","FQ3 2021","Currency=USD","Period=FQ","BEST_FPERIOD_OVERRIDE=FQ","FILING_STATUS=MR","SCALING_FORMAT=MLN","Sort=A","Dates=H","DateFormat=P","Fill=—","Direction=H","UseDPDF=Y")</f>
        <v>20991.594799999999</v>
      </c>
      <c r="M31" s="25">
        <f>_xll.BDH("ALNY US Equity","ENTERPRISE_VALUE","FQ4 2021","FQ4 2021","Currency=USD","Period=FQ","BEST_FPERIOD_OVERRIDE=FQ","FILING_STATUS=MR","SCALING_FORMAT=MLN","Sort=A","Dates=H","DateFormat=P","Fill=—","Direction=H","UseDPDF=Y")</f>
        <v>18942.491600000001</v>
      </c>
      <c r="N31" s="25">
        <f>_xll.BDH("ALNY US Equity","ENTERPRISE_VALUE","FQ1 2022","FQ1 2022","Currency=USD","Period=FQ","BEST_FPERIOD_OVERRIDE=FQ","FILING_STATUS=MR","SCALING_FORMAT=MLN","Sort=A","Dates=H","DateFormat=P","Fill=—","Direction=H","UseDPDF=Y")</f>
        <v>18469.663400000001</v>
      </c>
      <c r="O31" s="25">
        <f>_xll.BDH("ALNY US Equity","ENTERPRISE_VALUE","FQ2 2022","FQ2 2022","Currency=USD","Period=FQ","BEST_FPERIOD_OVERRIDE=FQ","FILING_STATUS=MR","SCALING_FORMAT=MLN","Sort=A","Dates=H","DateFormat=P","Fill=—","Direction=H","UseDPDF=Y")</f>
        <v>16527.0452</v>
      </c>
      <c r="P31" s="25">
        <f>_xll.BDH("ALNY US Equity","ENTERPRISE_VALUE","FQ3 2022","FQ3 2022","Currency=USD","Period=FQ","BEST_FPERIOD_OVERRIDE=FQ","FILING_STATUS=MR","SCALING_FORMAT=MLN","Sort=A","Dates=H","DateFormat=P","Fill=—","Direction=H","UseDPDF=Y")</f>
        <v>23892.3266</v>
      </c>
      <c r="Q31" s="25">
        <f>_xll.BDH("ALNY US Equity","ENTERPRISE_VALUE","FQ4 2022","FQ4 2022","Currency=USD","Period=FQ","BEST_FPERIOD_OVERRIDE=FQ","FILING_STATUS=MR","SCALING_FORMAT=MLN","Sort=A","Dates=H","DateFormat=P","Fill=—","Direction=H","UseDPDF=Y")</f>
        <v>28578.618299999998</v>
      </c>
      <c r="R31" s="25">
        <f>_xll.BDH("ALNY US Equity","ENTERPRISE_VALUE","FQ1 2023","FQ1 2023","Currency=USD","Period=FQ","BEST_FPERIOD_OVERRIDE=FQ","FILING_STATUS=MR","SCALING_FORMAT=MLN","Sort=A","Dates=H","DateFormat=P","Fill=—","Direction=H","UseDPDF=Y")</f>
        <v>24137.623100000001</v>
      </c>
      <c r="S31" s="25">
        <f>_xll.BDH("ALNY US Equity","ENTERPRISE_VALUE","FQ2 2023","FQ2 2023","Currency=USD","Period=FQ","BEST_FPERIOD_OVERRIDE=FQ","FILING_STATUS=MR","SCALING_FORMAT=MLN","Sort=A","Dates=H","DateFormat=P","Fill=—","Direction=H","UseDPDF=Y")</f>
        <v>22855.161499999998</v>
      </c>
      <c r="T31" s="25">
        <f>_xll.BDH("ALNY US Equity","ENTERPRISE_VALUE","FQ3 2023","FQ3 2023","Currency=USD","Period=FQ","BEST_FPERIOD_OVERRIDE=FQ","FILING_STATUS=MR","SCALING_FORMAT=MLN","Sort=A","Dates=H","DateFormat=P","Fill=—","Direction=H","UseDPDF=Y")</f>
        <v>21120.661400000001</v>
      </c>
      <c r="U31" s="25">
        <f>_xll.BDH("ALNY US Equity","ENTERPRISE_VALUE","FQ4 2023","FQ4 2023","Currency=USD","Period=FQ","BEST_FPERIOD_OVERRIDE=FQ","FILING_STATUS=MR","SCALING_FORMAT=MLN","Sort=A","Dates=H","DateFormat=P","Fill=—","Direction=H","UseDPDF=Y")</f>
        <v>22944.234499999999</v>
      </c>
      <c r="V31" s="25">
        <f>_xll.BDH("ALNY US Equity","ENTERPRISE_VALUE","FQ1 2024","FQ1 2024","Currency=USD","Period=FQ","BEST_FPERIOD_OVERRIDE=FQ","FILING_STATUS=MR","SCALING_FORMAT=MLN","Sort=A","Dates=H","DateFormat=P","Fill=—","Direction=H","UseDPDF=Y")</f>
        <v>17829.846399999999</v>
      </c>
      <c r="W31" s="25">
        <f>_xll.BDH("ALNY US Equity","ENTERPRISE_VALUE","FQ2 2024","FQ2 2024","Currency=USD","Period=FQ","BEST_FPERIOD_OVERRIDE=FQ","FILING_STATUS=MR","SCALING_FORMAT=MLN","Sort=A","Dates=H","DateFormat=P","Fill=—","Direction=H","UseDPDF=Y")</f>
        <v>31130.73</v>
      </c>
      <c r="X31" s="25">
        <f>_xll.BDH("ALNY US Equity","ENTERPRISE_VALUE","FQ3 2024","FQ3 2024","Currency=USD","Period=FQ","BEST_FPERIOD_OVERRIDE=FQ","FILING_STATUS=MR","SCALING_FORMAT=MLN","Sort=A","Dates=H","DateFormat=P","Fill=—","Direction=H","UseDPDF=Y")</f>
        <v>33956.733200000002</v>
      </c>
      <c r="Y31" s="25">
        <f>_xll.BDH("ALNY US Equity","ENTERPRISE_VALUE","FQ4 2024","FQ4 2024","Currency=USD","Period=FQ","BEST_FPERIOD_OVERRIDE=FQ","FILING_STATUS=MR","SCALING_FORMAT=MLN","Sort=A","Dates=H","DateFormat=P","Fill=—","Direction=H","UseDPDF=Y")</f>
        <v>29025.715100000001</v>
      </c>
      <c r="Z31" s="25"/>
      <c r="AA31" s="25"/>
    </row>
    <row r="32" spans="1:27" x14ac:dyDescent="0.25">
      <c r="A32" s="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5">
      <c r="A33" s="10" t="s">
        <v>1560</v>
      </c>
      <c r="B33" s="10" t="s">
        <v>1548</v>
      </c>
      <c r="C33" s="13">
        <f>_xll.BDH("ALNY US Equity","T12M_DVDS_PAID","FQ2 2019","FQ2 2019","Currency=USD","Period=FQ","BEST_FPERIOD_OVERRIDE=FQ","FILING_STATUS=MR","SCALING_FORMAT=MLN","Sort=A","Dates=H","DateFormat=P","Fill=—","Direction=H","UseDPDF=Y")</f>
        <v>0</v>
      </c>
      <c r="D33" s="13">
        <f>_xll.BDH("ALNY US Equity","T12M_DVDS_PAID","FQ3 2019","FQ3 2019","Currency=USD","Period=FQ","BEST_FPERIOD_OVERRIDE=FQ","FILING_STATUS=MR","SCALING_FORMAT=MLN","Sort=A","Dates=H","DateFormat=P","Fill=—","Direction=H","UseDPDF=Y")</f>
        <v>0</v>
      </c>
      <c r="E33" s="13">
        <f>_xll.BDH("ALNY US Equity","T12M_DVDS_PAID","FQ4 2019","FQ4 2019","Currency=USD","Period=FQ","BEST_FPERIOD_OVERRIDE=FQ","FILING_STATUS=MR","SCALING_FORMAT=MLN","Sort=A","Dates=H","DateFormat=P","Fill=—","Direction=H","UseDPDF=Y")</f>
        <v>0</v>
      </c>
      <c r="F33" s="13">
        <f>_xll.BDH("ALNY US Equity","T12M_DVDS_PAID","FQ1 2020","FQ1 2020","Currency=USD","Period=FQ","BEST_FPERIOD_OVERRIDE=FQ","FILING_STATUS=MR","SCALING_FORMAT=MLN","Sort=A","Dates=H","DateFormat=P","Fill=—","Direction=H","UseDPDF=Y")</f>
        <v>0</v>
      </c>
      <c r="G33" s="13">
        <f>_xll.BDH("ALNY US Equity","T12M_DVDS_PAID","FQ2 2020","FQ2 2020","Currency=USD","Period=FQ","BEST_FPERIOD_OVERRIDE=FQ","FILING_STATUS=MR","SCALING_FORMAT=MLN","Sort=A","Dates=H","DateFormat=P","Fill=—","Direction=H","UseDPDF=Y")</f>
        <v>0</v>
      </c>
      <c r="H33" s="13">
        <f>_xll.BDH("ALNY US Equity","T12M_DVDS_PAID","FQ3 2020","FQ3 2020","Currency=USD","Period=FQ","BEST_FPERIOD_OVERRIDE=FQ","FILING_STATUS=MR","SCALING_FORMAT=MLN","Sort=A","Dates=H","DateFormat=P","Fill=—","Direction=H","UseDPDF=Y")</f>
        <v>0</v>
      </c>
      <c r="I33" s="13">
        <f>_xll.BDH("ALNY US Equity","T12M_DVDS_PAID","FQ4 2020","FQ4 2020","Currency=USD","Period=FQ","BEST_FPERIOD_OVERRIDE=FQ","FILING_STATUS=MR","SCALING_FORMAT=MLN","Sort=A","Dates=H","DateFormat=P","Fill=—","Direction=H","UseDPDF=Y")</f>
        <v>0</v>
      </c>
      <c r="J33" s="13">
        <f>_xll.BDH("ALNY US Equity","T12M_DVDS_PAID","FQ1 2021","FQ1 2021","Currency=USD","Period=FQ","BEST_FPERIOD_OVERRIDE=FQ","FILING_STATUS=MR","SCALING_FORMAT=MLN","Sort=A","Dates=H","DateFormat=P","Fill=—","Direction=H","UseDPDF=Y")</f>
        <v>0</v>
      </c>
      <c r="K33" s="13">
        <f>_xll.BDH("ALNY US Equity","T12M_DVDS_PAID","FQ2 2021","FQ2 2021","Currency=USD","Period=FQ","BEST_FPERIOD_OVERRIDE=FQ","FILING_STATUS=MR","SCALING_FORMAT=MLN","Sort=A","Dates=H","DateFormat=P","Fill=—","Direction=H","UseDPDF=Y")</f>
        <v>0</v>
      </c>
      <c r="L33" s="13">
        <f>_xll.BDH("ALNY US Equity","T12M_DVDS_PAID","FQ3 2021","FQ3 2021","Currency=USD","Period=FQ","BEST_FPERIOD_OVERRIDE=FQ","FILING_STATUS=MR","SCALING_FORMAT=MLN","Sort=A","Dates=H","DateFormat=P","Fill=—","Direction=H","UseDPDF=Y")</f>
        <v>0</v>
      </c>
      <c r="M33" s="13">
        <f>_xll.BDH("ALNY US Equity","T12M_DVDS_PAID","FQ4 2021","FQ4 2021","Currency=USD","Period=FQ","BEST_FPERIOD_OVERRIDE=FQ","FILING_STATUS=MR","SCALING_FORMAT=MLN","Sort=A","Dates=H","DateFormat=P","Fill=—","Direction=H","UseDPDF=Y")</f>
        <v>0</v>
      </c>
      <c r="N33" s="13">
        <f>_xll.BDH("ALNY US Equity","T12M_DVDS_PAID","FQ1 2022","FQ1 2022","Currency=USD","Period=FQ","BEST_FPERIOD_OVERRIDE=FQ","FILING_STATUS=MR","SCALING_FORMAT=MLN","Sort=A","Dates=H","DateFormat=P","Fill=—","Direction=H","UseDPDF=Y")</f>
        <v>0</v>
      </c>
      <c r="O33" s="13">
        <f>_xll.BDH("ALNY US Equity","T12M_DVDS_PAID","FQ2 2022","FQ2 2022","Currency=USD","Period=FQ","BEST_FPERIOD_OVERRIDE=FQ","FILING_STATUS=MR","SCALING_FORMAT=MLN","Sort=A","Dates=H","DateFormat=P","Fill=—","Direction=H","UseDPDF=Y")</f>
        <v>0</v>
      </c>
      <c r="P33" s="13">
        <f>_xll.BDH("ALNY US Equity","T12M_DVDS_PAID","FQ3 2022","FQ3 2022","Currency=USD","Period=FQ","BEST_FPERIOD_OVERRIDE=FQ","FILING_STATUS=MR","SCALING_FORMAT=MLN","Sort=A","Dates=H","DateFormat=P","Fill=—","Direction=H","UseDPDF=Y")</f>
        <v>0</v>
      </c>
      <c r="Q33" s="13">
        <f>_xll.BDH("ALNY US Equity","T12M_DVDS_PAID","FQ4 2022","FQ4 2022","Currency=USD","Period=FQ","BEST_FPERIOD_OVERRIDE=FQ","FILING_STATUS=MR","SCALING_FORMAT=MLN","Sort=A","Dates=H","DateFormat=P","Fill=—","Direction=H","UseDPDF=Y")</f>
        <v>0</v>
      </c>
      <c r="R33" s="13">
        <f>_xll.BDH("ALNY US Equity","T12M_DVDS_PAID","FQ1 2023","FQ1 2023","Currency=USD","Period=FQ","BEST_FPERIOD_OVERRIDE=FQ","FILING_STATUS=MR","SCALING_FORMAT=MLN","Sort=A","Dates=H","DateFormat=P","Fill=—","Direction=H","UseDPDF=Y")</f>
        <v>0</v>
      </c>
      <c r="S33" s="13">
        <f>_xll.BDH("ALNY US Equity","T12M_DVDS_PAID","FQ2 2023","FQ2 2023","Currency=USD","Period=FQ","BEST_FPERIOD_OVERRIDE=FQ","FILING_STATUS=MR","SCALING_FORMAT=MLN","Sort=A","Dates=H","DateFormat=P","Fill=—","Direction=H","UseDPDF=Y")</f>
        <v>0</v>
      </c>
      <c r="T33" s="13">
        <f>_xll.BDH("ALNY US Equity","T12M_DVDS_PAID","FQ3 2023","FQ3 2023","Currency=USD","Period=FQ","BEST_FPERIOD_OVERRIDE=FQ","FILING_STATUS=MR","SCALING_FORMAT=MLN","Sort=A","Dates=H","DateFormat=P","Fill=—","Direction=H","UseDPDF=Y")</f>
        <v>0</v>
      </c>
      <c r="U33" s="13">
        <f>_xll.BDH("ALNY US Equity","T12M_DVDS_PAID","FQ4 2023","FQ4 2023","Currency=USD","Period=FQ","BEST_FPERIOD_OVERRIDE=FQ","FILING_STATUS=MR","SCALING_FORMAT=MLN","Sort=A","Dates=H","DateFormat=P","Fill=—","Direction=H","UseDPDF=Y")</f>
        <v>0</v>
      </c>
      <c r="V33" s="13">
        <f>_xll.BDH("ALNY US Equity","T12M_DVDS_PAID","FQ1 2024","FQ1 2024","Currency=USD","Period=FQ","BEST_FPERIOD_OVERRIDE=FQ","FILING_STATUS=MR","SCALING_FORMAT=MLN","Sort=A","Dates=H","DateFormat=P","Fill=—","Direction=H","UseDPDF=Y")</f>
        <v>0</v>
      </c>
      <c r="W33" s="13">
        <f>_xll.BDH("ALNY US Equity","T12M_DVDS_PAID","FQ2 2024","FQ2 2024","Currency=USD","Period=FQ","BEST_FPERIOD_OVERRIDE=FQ","FILING_STATUS=MR","SCALING_FORMAT=MLN","Sort=A","Dates=H","DateFormat=P","Fill=—","Direction=H","UseDPDF=Y")</f>
        <v>0</v>
      </c>
      <c r="X33" s="13">
        <f>_xll.BDH("ALNY US Equity","T12M_DVDS_PAID","FQ3 2024","FQ3 2024","Currency=USD","Period=FQ","BEST_FPERIOD_OVERRIDE=FQ","FILING_STATUS=MR","SCALING_FORMAT=MLN","Sort=A","Dates=H","DateFormat=P","Fill=—","Direction=H","UseDPDF=Y")</f>
        <v>0</v>
      </c>
      <c r="Y33" s="13">
        <f>_xll.BDH("ALNY US Equity","T12M_DVDS_PAID","FQ4 2024","FQ4 2024","Currency=USD","Period=FQ","BEST_FPERIOD_OVERRIDE=FQ","FILING_STATUS=MR","SCALING_FORMAT=MLN","Sort=A","Dates=H","DateFormat=P","Fill=—","Direction=H","UseDPDF=Y")</f>
        <v>0</v>
      </c>
      <c r="Z33" s="13"/>
      <c r="AA33" s="13"/>
    </row>
    <row r="34" spans="1:27" x14ac:dyDescent="0.25">
      <c r="A34" s="10" t="s">
        <v>1561</v>
      </c>
      <c r="B34" s="10" t="s">
        <v>1550</v>
      </c>
      <c r="C34" s="13">
        <f>_xll.BDH("ALNY US Equity","T12M_NET_CAPITAL_STOCK","FQ2 2019","FQ2 2019","Currency=USD","Period=FQ","BEST_FPERIOD_OVERRIDE=FQ","FILING_STATUS=MR","SCALING_FORMAT=MLN","Sort=A","Dates=H","DateFormat=P","Fill=—","Direction=H","UseDPDF=Y")</f>
        <v>440.00799999999998</v>
      </c>
      <c r="D34" s="13">
        <f>_xll.BDH("ALNY US Equity","T12M_NET_CAPITAL_STOCK","FQ3 2019","FQ3 2019","Currency=USD","Period=FQ","BEST_FPERIOD_OVERRIDE=FQ","FILING_STATUS=MR","SCALING_FORMAT=MLN","Sort=A","Dates=H","DateFormat=P","Fill=—","Direction=H","UseDPDF=Y")</f>
        <v>436.32</v>
      </c>
      <c r="E34" s="13">
        <f>_xll.BDH("ALNY US Equity","T12M_NET_CAPITAL_STOCK","FQ4 2019","FQ4 2019","Currency=USD","Period=FQ","BEST_FPERIOD_OVERRIDE=FQ","FILING_STATUS=MR","SCALING_FORMAT=MLN","Sort=A","Dates=H","DateFormat=P","Fill=—","Direction=H","UseDPDF=Y")</f>
        <v>471.28399999999999</v>
      </c>
      <c r="F34" s="13">
        <f>_xll.BDH("ALNY US Equity","T12M_NET_CAPITAL_STOCK","FQ1 2020","FQ1 2020","Currency=USD","Period=FQ","BEST_FPERIOD_OVERRIDE=FQ","FILING_STATUS=MR","SCALING_FORMAT=MLN","Sort=A","Dates=H","DateFormat=P","Fill=—","Direction=H","UseDPDF=Y")</f>
        <v>134.22200000000001</v>
      </c>
      <c r="G34" s="13">
        <f>_xll.BDH("ALNY US Equity","T12M_NET_CAPITAL_STOCK","FQ2 2020","FQ2 2020","Currency=USD","Period=FQ","BEST_FPERIOD_OVERRIDE=FQ","FILING_STATUS=MR","SCALING_FORMAT=MLN","Sort=A","Dates=H","DateFormat=P","Fill=—","Direction=H","UseDPDF=Y")</f>
        <v>800.65300000000002</v>
      </c>
      <c r="H34" s="13">
        <f>_xll.BDH("ALNY US Equity","T12M_NET_CAPITAL_STOCK","FQ3 2020","FQ3 2020","Currency=USD","Period=FQ","BEST_FPERIOD_OVERRIDE=FQ","FILING_STATUS=MR","SCALING_FORMAT=MLN","Sort=A","Dates=H","DateFormat=P","Fill=—","Direction=H","UseDPDF=Y")</f>
        <v>821.29899999999998</v>
      </c>
      <c r="I34" s="13">
        <f>_xll.BDH("ALNY US Equity","T12M_NET_CAPITAL_STOCK","FQ4 2020","FQ4 2020","Currency=USD","Period=FQ","BEST_FPERIOD_OVERRIDE=FQ","FILING_STATUS=MR","SCALING_FORMAT=MLN","Sort=A","Dates=H","DateFormat=P","Fill=—","Direction=H","UseDPDF=Y")</f>
        <v>799.98199999999997</v>
      </c>
      <c r="J34" s="13">
        <f>_xll.BDH("ALNY US Equity","T12M_NET_CAPITAL_STOCK","FQ1 2021","FQ1 2021","Currency=USD","Period=FQ","BEST_FPERIOD_OVERRIDE=FQ","FILING_STATUS=MR","SCALING_FORMAT=MLN","Sort=A","Dates=H","DateFormat=P","Fill=—","Direction=H","UseDPDF=Y")</f>
        <v>793.09</v>
      </c>
      <c r="K34" s="13">
        <f>_xll.BDH("ALNY US Equity","T12M_NET_CAPITAL_STOCK","FQ2 2021","FQ2 2021","Currency=USD","Period=FQ","BEST_FPERIOD_OVERRIDE=FQ","FILING_STATUS=MR","SCALING_FORMAT=MLN","Sort=A","Dates=H","DateFormat=P","Fill=—","Direction=H","UseDPDF=Y")</f>
        <v>177.81</v>
      </c>
      <c r="L34" s="13">
        <f>_xll.BDH("ALNY US Equity","T12M_NET_CAPITAL_STOCK","FQ3 2021","FQ3 2021","Currency=USD","Period=FQ","BEST_FPERIOD_OVERRIDE=FQ","FILING_STATUS=MR","SCALING_FORMAT=MLN","Sort=A","Dates=H","DateFormat=P","Fill=—","Direction=H","UseDPDF=Y")</f>
        <v>720.25199999999995</v>
      </c>
      <c r="M34" s="13">
        <f>_xll.BDH("ALNY US Equity","T12M_NET_CAPITAL_STOCK","FQ4 2021","FQ4 2021","Currency=USD","Period=FQ","BEST_FPERIOD_OVERRIDE=FQ","FILING_STATUS=MR","SCALING_FORMAT=MLN","Sort=A","Dates=H","DateFormat=P","Fill=—","Direction=H","UseDPDF=Y")</f>
        <v>746.26800000000003</v>
      </c>
      <c r="N34" s="13">
        <f>_xll.BDH("ALNY US Equity","T12M_NET_CAPITAL_STOCK","FQ1 2022","FQ1 2022","Currency=USD","Period=FQ","BEST_FPERIOD_OVERRIDE=FQ","FILING_STATUS=MR","SCALING_FORMAT=MLN","Sort=A","Dates=H","DateFormat=P","Fill=—","Direction=H","UseDPDF=Y")</f>
        <v>726.41399999999999</v>
      </c>
      <c r="O34" s="13">
        <f>_xll.BDH("ALNY US Equity","T12M_NET_CAPITAL_STOCK","FQ2 2022","FQ2 2022","Currency=USD","Period=FQ","BEST_FPERIOD_OVERRIDE=FQ","FILING_STATUS=MR","SCALING_FORMAT=MLN","Sort=A","Dates=H","DateFormat=P","Fill=—","Direction=H","UseDPDF=Y")</f>
        <v>667.05600000000004</v>
      </c>
      <c r="P34" s="13">
        <f>_xll.BDH("ALNY US Equity","T12M_NET_CAPITAL_STOCK","FQ3 2022","FQ3 2022","Currency=USD","Period=FQ","BEST_FPERIOD_OVERRIDE=FQ","FILING_STATUS=MR","SCALING_FORMAT=MLN","Sort=A","Dates=H","DateFormat=P","Fill=—","Direction=H","UseDPDF=Y")</f>
        <v>247.68700000000001</v>
      </c>
      <c r="Q34" s="13">
        <f>_xll.BDH("ALNY US Equity","T12M_NET_CAPITAL_STOCK","FQ4 2022","FQ4 2022","Currency=USD","Period=FQ","BEST_FPERIOD_OVERRIDE=FQ","FILING_STATUS=MR","SCALING_FORMAT=MLN","Sort=A","Dates=H","DateFormat=P","Fill=—","Direction=H","UseDPDF=Y")</f>
        <v>259.36</v>
      </c>
      <c r="R34" s="13">
        <f>_xll.BDH("ALNY US Equity","T12M_NET_CAPITAL_STOCK","FQ1 2023","FQ1 2023","Currency=USD","Period=FQ","BEST_FPERIOD_OVERRIDE=FQ","FILING_STATUS=MR","SCALING_FORMAT=MLN","Sort=A","Dates=H","DateFormat=P","Fill=—","Direction=H","UseDPDF=Y")</f>
        <v>274.608</v>
      </c>
      <c r="S34" s="13">
        <f>_xll.BDH("ALNY US Equity","T12M_NET_CAPITAL_STOCK","FQ2 2023","FQ2 2023","Currency=USD","Period=FQ","BEST_FPERIOD_OVERRIDE=FQ","FILING_STATUS=MR","SCALING_FORMAT=MLN","Sort=A","Dates=H","DateFormat=P","Fill=—","Direction=H","UseDPDF=Y")</f>
        <v>301.49900000000002</v>
      </c>
      <c r="T34" s="13">
        <f>_xll.BDH("ALNY US Equity","T12M_NET_CAPITAL_STOCK","FQ3 2023","FQ3 2023","Currency=USD","Period=FQ","BEST_FPERIOD_OVERRIDE=FQ","FILING_STATUS=MR","SCALING_FORMAT=MLN","Sort=A","Dates=H","DateFormat=P","Fill=—","Direction=H","UseDPDF=Y")</f>
        <v>173.28399999999999</v>
      </c>
      <c r="U34" s="13">
        <f>_xll.BDH("ALNY US Equity","T12M_NET_CAPITAL_STOCK","FQ4 2023","FQ4 2023","Currency=USD","Period=FQ","BEST_FPERIOD_OVERRIDE=FQ","FILING_STATUS=MR","SCALING_FORMAT=MLN","Sort=A","Dates=H","DateFormat=P","Fill=—","Direction=H","UseDPDF=Y")</f>
        <v>147.464</v>
      </c>
      <c r="V34" s="13">
        <f>_xll.BDH("ALNY US Equity","T12M_NET_CAPITAL_STOCK","FQ1 2024","FQ1 2024","Currency=USD","Period=FQ","BEST_FPERIOD_OVERRIDE=FQ","FILING_STATUS=MR","SCALING_FORMAT=MLN","Sort=A","Dates=H","DateFormat=P","Fill=—","Direction=H","UseDPDF=Y")</f>
        <v>130.952</v>
      </c>
      <c r="W34" s="13">
        <f>_xll.BDH("ALNY US Equity","T12M_NET_CAPITAL_STOCK","FQ2 2024","FQ2 2024","Currency=USD","Period=FQ","BEST_FPERIOD_OVERRIDE=FQ","FILING_STATUS=MR","SCALING_FORMAT=MLN","Sort=A","Dates=H","DateFormat=P","Fill=—","Direction=H","UseDPDF=Y")</f>
        <v>214.33600000000001</v>
      </c>
      <c r="X34" s="13">
        <f>_xll.BDH("ALNY US Equity","T12M_NET_CAPITAL_STOCK","FQ3 2024","FQ3 2024","Currency=USD","Period=FQ","BEST_FPERIOD_OVERRIDE=FQ","FILING_STATUS=MR","SCALING_FORMAT=MLN","Sort=A","Dates=H","DateFormat=P","Fill=—","Direction=H","UseDPDF=Y")</f>
        <v>297.56700000000001</v>
      </c>
      <c r="Y34" s="13">
        <f>_xll.BDH("ALNY US Equity","T12M_NET_CAPITAL_STOCK","FQ4 2024","FQ4 2024","Currency=USD","Period=FQ","BEST_FPERIOD_OVERRIDE=FQ","FILING_STATUS=MR","SCALING_FORMAT=MLN","Sort=A","Dates=H","DateFormat=P","Fill=—","Direction=H","UseDPDF=Y")</f>
        <v>302.95100000000002</v>
      </c>
      <c r="Z34" s="13"/>
      <c r="AA34" s="13"/>
    </row>
    <row r="35" spans="1:27" x14ac:dyDescent="0.25">
      <c r="A35" s="10" t="s">
        <v>1568</v>
      </c>
      <c r="B35" s="10" t="s">
        <v>1552</v>
      </c>
      <c r="C35" s="13">
        <f>_xll.BDH("ALNY US Equity","T12M_CHG_ST_BORROWINGS","FQ2 2019","FQ2 2019","Currency=USD","Period=FQ","BEST_FPERIOD_OVERRIDE=FQ","FILING_STATUS=MR","SCALING_FORMAT=MLN","Sort=A","Dates=H","DateFormat=P","Fill=—","Direction=H","UseDPDF=Y")</f>
        <v>0</v>
      </c>
      <c r="D35" s="13" t="str">
        <f>_xll.BDH("ALNY US Equity","T12M_CHG_ST_BORROWINGS","FQ3 2019","FQ3 2019","Currency=USD","Period=FQ","BEST_FPERIOD_OVERRIDE=FQ","FILING_STATUS=MR","SCALING_FORMAT=MLN","Sort=A","Dates=H","DateFormat=P","Fill=—","Direction=H","UseDPDF=Y")</f>
        <v>—</v>
      </c>
      <c r="E35" s="13" t="str">
        <f>_xll.BDH("ALNY US Equity","T12M_CHG_ST_BORROWINGS","FQ4 2019","FQ4 2019","Currency=USD","Period=FQ","BEST_FPERIOD_OVERRIDE=FQ","FILING_STATUS=MR","SCALING_FORMAT=MLN","Sort=A","Dates=H","DateFormat=P","Fill=—","Direction=H","UseDPDF=Y")</f>
        <v>—</v>
      </c>
      <c r="F35" s="13" t="str">
        <f>_xll.BDH("ALNY US Equity","T12M_CHG_ST_BORROWINGS","FQ1 2020","FQ1 2020","Currency=USD","Period=FQ","BEST_FPERIOD_OVERRIDE=FQ","FILING_STATUS=MR","SCALING_FORMAT=MLN","Sort=A","Dates=H","DateFormat=P","Fill=—","Direction=H","UseDPDF=Y")</f>
        <v>—</v>
      </c>
      <c r="G35" s="13" t="str">
        <f>_xll.BDH("ALNY US Equity","T12M_CHG_ST_BORROWINGS","FQ2 2020","FQ2 2020","Currency=USD","Period=FQ","BEST_FPERIOD_OVERRIDE=FQ","FILING_STATUS=MR","SCALING_FORMAT=MLN","Sort=A","Dates=H","DateFormat=P","Fill=—","Direction=H","UseDPDF=Y")</f>
        <v>—</v>
      </c>
      <c r="H35" s="13" t="str">
        <f>_xll.BDH("ALNY US Equity","T12M_CHG_ST_BORROWINGS","FQ3 2020","FQ3 2020","Currency=USD","Period=FQ","BEST_FPERIOD_OVERRIDE=FQ","FILING_STATUS=MR","SCALING_FORMAT=MLN","Sort=A","Dates=H","DateFormat=P","Fill=—","Direction=H","UseDPDF=Y")</f>
        <v>—</v>
      </c>
      <c r="I35" s="13" t="str">
        <f>_xll.BDH("ALNY US Equity","T12M_CHG_ST_BORROWINGS","FQ4 2020","FQ4 2020","Currency=USD","Period=FQ","BEST_FPERIOD_OVERRIDE=FQ","FILING_STATUS=MR","SCALING_FORMAT=MLN","Sort=A","Dates=H","DateFormat=P","Fill=—","Direction=H","UseDPDF=Y")</f>
        <v>—</v>
      </c>
      <c r="J35" s="13" t="str">
        <f>_xll.BDH("ALNY US Equity","T12M_CHG_ST_BORROWINGS","FQ1 2021","FQ1 2021","Currency=USD","Period=FQ","BEST_FPERIOD_OVERRIDE=FQ","FILING_STATUS=MR","SCALING_FORMAT=MLN","Sort=A","Dates=H","DateFormat=P","Fill=—","Direction=H","UseDPDF=Y")</f>
        <v>—</v>
      </c>
      <c r="K35" s="13" t="str">
        <f>_xll.BDH("ALNY US Equity","T12M_CHG_ST_BORROWINGS","FQ2 2021","FQ2 2021","Currency=USD","Period=FQ","BEST_FPERIOD_OVERRIDE=FQ","FILING_STATUS=MR","SCALING_FORMAT=MLN","Sort=A","Dates=H","DateFormat=P","Fill=—","Direction=H","UseDPDF=Y")</f>
        <v>—</v>
      </c>
      <c r="L35" s="13" t="str">
        <f>_xll.BDH("ALNY US Equity","T12M_CHG_ST_BORROWINGS","FQ3 2021","FQ3 2021","Currency=USD","Period=FQ","BEST_FPERIOD_OVERRIDE=FQ","FILING_STATUS=MR","SCALING_FORMAT=MLN","Sort=A","Dates=H","DateFormat=P","Fill=—","Direction=H","UseDPDF=Y")</f>
        <v>—</v>
      </c>
      <c r="M35" s="13" t="str">
        <f>_xll.BDH("ALNY US Equity","T12M_CHG_ST_BORROWINGS","FQ4 2021","FQ4 2021","Currency=USD","Period=FQ","BEST_FPERIOD_OVERRIDE=FQ","FILING_STATUS=MR","SCALING_FORMAT=MLN","Sort=A","Dates=H","DateFormat=P","Fill=—","Direction=H","UseDPDF=Y")</f>
        <v>—</v>
      </c>
      <c r="N35" s="13" t="str">
        <f>_xll.BDH("ALNY US Equity","T12M_CHG_ST_BORROWINGS","FQ1 2022","FQ1 2022","Currency=USD","Period=FQ","BEST_FPERIOD_OVERRIDE=FQ","FILING_STATUS=MR","SCALING_FORMAT=MLN","Sort=A","Dates=H","DateFormat=P","Fill=—","Direction=H","UseDPDF=Y")</f>
        <v>—</v>
      </c>
      <c r="O35" s="13" t="str">
        <f>_xll.BDH("ALNY US Equity","T12M_CHG_ST_BORROWINGS","FQ2 2022","FQ2 2022","Currency=USD","Period=FQ","BEST_FPERIOD_OVERRIDE=FQ","FILING_STATUS=MR","SCALING_FORMAT=MLN","Sort=A","Dates=H","DateFormat=P","Fill=—","Direction=H","UseDPDF=Y")</f>
        <v>—</v>
      </c>
      <c r="P35" s="13" t="str">
        <f>_xll.BDH("ALNY US Equity","T12M_CHG_ST_BORROWINGS","FQ3 2022","FQ3 2022","Currency=USD","Period=FQ","BEST_FPERIOD_OVERRIDE=FQ","FILING_STATUS=MR","SCALING_FORMAT=MLN","Sort=A","Dates=H","DateFormat=P","Fill=—","Direction=H","UseDPDF=Y")</f>
        <v>—</v>
      </c>
      <c r="Q35" s="13" t="str">
        <f>_xll.BDH("ALNY US Equity","T12M_CHG_ST_BORROWINGS","FQ4 2022","FQ4 2022","Currency=USD","Period=FQ","BEST_FPERIOD_OVERRIDE=FQ","FILING_STATUS=MR","SCALING_FORMAT=MLN","Sort=A","Dates=H","DateFormat=P","Fill=—","Direction=H","UseDPDF=Y")</f>
        <v>—</v>
      </c>
      <c r="R35" s="13" t="str">
        <f>_xll.BDH("ALNY US Equity","T12M_CHG_ST_BORROWINGS","FQ1 2023","FQ1 2023","Currency=USD","Period=FQ","BEST_FPERIOD_OVERRIDE=FQ","FILING_STATUS=MR","SCALING_FORMAT=MLN","Sort=A","Dates=H","DateFormat=P","Fill=—","Direction=H","UseDPDF=Y")</f>
        <v>—</v>
      </c>
      <c r="S35" s="13" t="str">
        <f>_xll.BDH("ALNY US Equity","T12M_CHG_ST_BORROWINGS","FQ2 2023","FQ2 2023","Currency=USD","Period=FQ","BEST_FPERIOD_OVERRIDE=FQ","FILING_STATUS=MR","SCALING_FORMAT=MLN","Sort=A","Dates=H","DateFormat=P","Fill=—","Direction=H","UseDPDF=Y")</f>
        <v>—</v>
      </c>
      <c r="T35" s="13">
        <f>_xll.BDH("ALNY US Equity","T12M_CHG_ST_BORROWINGS","FQ3 2023","FQ3 2023","Currency=USD","Period=FQ","BEST_FPERIOD_OVERRIDE=FQ","FILING_STATUS=MR","SCALING_FORMAT=MLN","Sort=A","Dates=H","DateFormat=P","Fill=—","Direction=H","UseDPDF=Y")</f>
        <v>0</v>
      </c>
      <c r="U35" s="13">
        <f>_xll.BDH("ALNY US Equity","T12M_CHG_ST_BORROWINGS","FQ4 2023","FQ4 2023","Currency=USD","Period=FQ","BEST_FPERIOD_OVERRIDE=FQ","FILING_STATUS=MR","SCALING_FORMAT=MLN","Sort=A","Dates=H","DateFormat=P","Fill=—","Direction=H","UseDPDF=Y")</f>
        <v>0</v>
      </c>
      <c r="V35" s="13">
        <f>_xll.BDH("ALNY US Equity","T12M_CHG_ST_BORROWINGS","FQ1 2024","FQ1 2024","Currency=USD","Period=FQ","BEST_FPERIOD_OVERRIDE=FQ","FILING_STATUS=MR","SCALING_FORMAT=MLN","Sort=A","Dates=H","DateFormat=P","Fill=—","Direction=H","UseDPDF=Y")</f>
        <v>0</v>
      </c>
      <c r="W35" s="13">
        <f>_xll.BDH("ALNY US Equity","T12M_CHG_ST_BORROWINGS","FQ2 2024","FQ2 2024","Currency=USD","Period=FQ","BEST_FPERIOD_OVERRIDE=FQ","FILING_STATUS=MR","SCALING_FORMAT=MLN","Sort=A","Dates=H","DateFormat=P","Fill=—","Direction=H","UseDPDF=Y")</f>
        <v>0</v>
      </c>
      <c r="X35" s="13">
        <f>_xll.BDH("ALNY US Equity","T12M_CHG_ST_BORROWINGS","FQ3 2024","FQ3 2024","Currency=USD","Period=FQ","BEST_FPERIOD_OVERRIDE=FQ","FILING_STATUS=MR","SCALING_FORMAT=MLN","Sort=A","Dates=H","DateFormat=P","Fill=—","Direction=H","UseDPDF=Y")</f>
        <v>0</v>
      </c>
      <c r="Y35" s="13" t="str">
        <f>_xll.BDH("ALNY US Equity","T12M_CHG_ST_BORROWINGS","FQ4 2024","FQ4 2024","Currency=USD","Period=FQ","BEST_FPERIOD_OVERRIDE=FQ","FILING_STATUS=MR","SCALING_FORMAT=MLN","Sort=A","Dates=H","DateFormat=P","Fill=—","Direction=H","UseDPDF=Y")</f>
        <v>—</v>
      </c>
      <c r="Z35" s="13"/>
      <c r="AA35" s="13"/>
    </row>
    <row r="36" spans="1:27" x14ac:dyDescent="0.25">
      <c r="A36" s="10" t="s">
        <v>1569</v>
      </c>
      <c r="B36" s="10" t="s">
        <v>1554</v>
      </c>
      <c r="C36" s="13">
        <f>_xll.BDH("ALNY US Equity","T12M_CHG_LT_DEBT","FQ2 2019","FQ2 2019","Currency=USD","Period=FQ","BEST_FPERIOD_OVERRIDE=FQ","FILING_STATUS=MR","SCALING_FORMAT=MLN","Sort=A","Dates=H","DateFormat=P","Fill=—","Direction=H","UseDPDF=Y")</f>
        <v>0</v>
      </c>
      <c r="D36" s="13">
        <f>_xll.BDH("ALNY US Equity","T12M_CHG_LT_DEBT","FQ3 2019","FQ3 2019","Currency=USD","Period=FQ","BEST_FPERIOD_OVERRIDE=FQ","FILING_STATUS=MR","SCALING_FORMAT=MLN","Sort=A","Dates=H","DateFormat=P","Fill=—","Direction=H","UseDPDF=Y")</f>
        <v>-30</v>
      </c>
      <c r="E36" s="13">
        <f>_xll.BDH("ALNY US Equity","T12M_CHG_LT_DEBT","FQ4 2019","FQ4 2019","Currency=USD","Period=FQ","BEST_FPERIOD_OVERRIDE=FQ","FILING_STATUS=MR","SCALING_FORMAT=MLN","Sort=A","Dates=H","DateFormat=P","Fill=—","Direction=H","UseDPDF=Y")</f>
        <v>-30</v>
      </c>
      <c r="F36" s="13">
        <f>_xll.BDH("ALNY US Equity","T12M_CHG_LT_DEBT","FQ1 2020","FQ1 2020","Currency=USD","Period=FQ","BEST_FPERIOD_OVERRIDE=FQ","FILING_STATUS=MR","SCALING_FORMAT=MLN","Sort=A","Dates=H","DateFormat=P","Fill=—","Direction=H","UseDPDF=Y")</f>
        <v>-30</v>
      </c>
      <c r="G36" s="13">
        <f>_xll.BDH("ALNY US Equity","T12M_CHG_LT_DEBT","FQ2 2020","FQ2 2020","Currency=USD","Period=FQ","BEST_FPERIOD_OVERRIDE=FQ","FILING_STATUS=MR","SCALING_FORMAT=MLN","Sort=A","Dates=H","DateFormat=P","Fill=—","Direction=H","UseDPDF=Y")</f>
        <v>-38.128</v>
      </c>
      <c r="H36" s="13">
        <f>_xll.BDH("ALNY US Equity","T12M_CHG_LT_DEBT","FQ3 2020","FQ3 2020","Currency=USD","Period=FQ","BEST_FPERIOD_OVERRIDE=FQ","FILING_STATUS=MR","SCALING_FORMAT=MLN","Sort=A","Dates=H","DateFormat=P","Fill=—","Direction=H","UseDPDF=Y")</f>
        <v>-8.1280000000000001</v>
      </c>
      <c r="I36" s="13">
        <f>_xll.BDH("ALNY US Equity","T12M_CHG_LT_DEBT","FQ4 2020","FQ4 2020","Currency=USD","Period=FQ","BEST_FPERIOD_OVERRIDE=FQ","FILING_STATUS=MR","SCALING_FORMAT=MLN","Sort=A","Dates=H","DateFormat=P","Fill=—","Direction=H","UseDPDF=Y")</f>
        <v>186.59700000000001</v>
      </c>
      <c r="J36" s="13">
        <f>_xll.BDH("ALNY US Equity","T12M_CHG_LT_DEBT","FQ1 2021","FQ1 2021","Currency=USD","Period=FQ","BEST_FPERIOD_OVERRIDE=FQ","FILING_STATUS=MR","SCALING_FORMAT=MLN","Sort=A","Dates=H","DateFormat=P","Fill=—","Direction=H","UseDPDF=Y")</f>
        <v>186.59700000000001</v>
      </c>
      <c r="K36" s="13">
        <f>_xll.BDH("ALNY US Equity","T12M_CHG_LT_DEBT","FQ2 2021","FQ2 2021","Currency=USD","Period=FQ","BEST_FPERIOD_OVERRIDE=FQ","FILING_STATUS=MR","SCALING_FORMAT=MLN","Sort=A","Dates=H","DateFormat=P","Fill=—","Direction=H","UseDPDF=Y")</f>
        <v>438.47500000000002</v>
      </c>
      <c r="L36" s="13">
        <f>_xll.BDH("ALNY US Equity","T12M_CHG_LT_DEBT","FQ3 2021","FQ3 2021","Currency=USD","Period=FQ","BEST_FPERIOD_OVERRIDE=FQ","FILING_STATUS=MR","SCALING_FORMAT=MLN","Sort=A","Dates=H","DateFormat=P","Fill=—","Direction=H","UseDPDF=Y")</f>
        <v>432.22500000000002</v>
      </c>
      <c r="M36" s="13">
        <f>_xll.BDH("ALNY US Equity","T12M_CHG_LT_DEBT","FQ4 2021","FQ4 2021","Currency=USD","Period=FQ","BEST_FPERIOD_OVERRIDE=FQ","FILING_STATUS=MR","SCALING_FORMAT=MLN","Sort=A","Dates=H","DateFormat=P","Fill=—","Direction=H","UseDPDF=Y")</f>
        <v>481.25</v>
      </c>
      <c r="N36" s="13">
        <f>_xll.BDH("ALNY US Equity","T12M_CHG_LT_DEBT","FQ1 2022","FQ1 2022","Currency=USD","Period=FQ","BEST_FPERIOD_OVERRIDE=FQ","FILING_STATUS=MR","SCALING_FORMAT=MLN","Sort=A","Dates=H","DateFormat=P","Fill=—","Direction=H","UseDPDF=Y")</f>
        <v>481.25</v>
      </c>
      <c r="O36" s="13">
        <f>_xll.BDH("ALNY US Equity","T12M_CHG_LT_DEBT","FQ2 2022","FQ2 2022","Currency=USD","Period=FQ","BEST_FPERIOD_OVERRIDE=FQ","FILING_STATUS=MR","SCALING_FORMAT=MLN","Sort=A","Dates=H","DateFormat=P","Fill=—","Direction=H","UseDPDF=Y")</f>
        <v>237.5</v>
      </c>
      <c r="P36" s="13">
        <f>_xll.BDH("ALNY US Equity","T12M_CHG_LT_DEBT","FQ3 2022","FQ3 2022","Currency=USD","Period=FQ","BEST_FPERIOD_OVERRIDE=FQ","FILING_STATUS=MR","SCALING_FORMAT=MLN","Sort=A","Dates=H","DateFormat=P","Fill=—","Direction=H","UseDPDF=Y")</f>
        <v>379.92</v>
      </c>
      <c r="Q36" s="13">
        <f>_xll.BDH("ALNY US Equity","T12M_CHG_LT_DEBT","FQ4 2022","FQ4 2022","Currency=USD","Period=FQ","BEST_FPERIOD_OVERRIDE=FQ","FILING_STATUS=MR","SCALING_FORMAT=MLN","Sort=A","Dates=H","DateFormat=P","Fill=—","Direction=H","UseDPDF=Y")</f>
        <v>254.00399999999999</v>
      </c>
      <c r="R36" s="13">
        <f>_xll.BDH("ALNY US Equity","T12M_CHG_LT_DEBT","FQ1 2023","FQ1 2023","Currency=USD","Period=FQ","BEST_FPERIOD_OVERRIDE=FQ","FILING_STATUS=MR","SCALING_FORMAT=MLN","Sort=A","Dates=H","DateFormat=P","Fill=—","Direction=H","UseDPDF=Y")</f>
        <v>254.00399999999999</v>
      </c>
      <c r="S36" s="13">
        <f>_xll.BDH("ALNY US Equity","T12M_CHG_LT_DEBT","FQ2 2023","FQ2 2023","Currency=USD","Period=FQ","BEST_FPERIOD_OVERRIDE=FQ","FILING_STATUS=MR","SCALING_FORMAT=MLN","Sort=A","Dates=H","DateFormat=P","Fill=—","Direction=H","UseDPDF=Y")</f>
        <v>254.00399999999999</v>
      </c>
      <c r="T36" s="13">
        <f>_xll.BDH("ALNY US Equity","T12M_CHG_LT_DEBT","FQ3 2023","FQ3 2023","Currency=USD","Period=FQ","BEST_FPERIOD_OVERRIDE=FQ","FILING_STATUS=MR","SCALING_FORMAT=MLN","Sort=A","Dates=H","DateFormat=P","Fill=—","Direction=H","UseDPDF=Y")</f>
        <v>117.834</v>
      </c>
      <c r="U36" s="13">
        <f>_xll.BDH("ALNY US Equity","T12M_CHG_LT_DEBT","FQ4 2023","FQ4 2023","Currency=USD","Period=FQ","BEST_FPERIOD_OVERRIDE=FQ","FILING_STATUS=MR","SCALING_FORMAT=MLN","Sort=A","Dates=H","DateFormat=P","Fill=—","Direction=H","UseDPDF=Y")</f>
        <v>0</v>
      </c>
      <c r="V36" s="13">
        <f>_xll.BDH("ALNY US Equity","T12M_CHG_LT_DEBT","FQ1 2024","FQ1 2024","Currency=USD","Period=FQ","BEST_FPERIOD_OVERRIDE=FQ","FILING_STATUS=MR","SCALING_FORMAT=MLN","Sort=A","Dates=H","DateFormat=P","Fill=—","Direction=H","UseDPDF=Y")</f>
        <v>0</v>
      </c>
      <c r="W36" s="13">
        <f>_xll.BDH("ALNY US Equity","T12M_CHG_LT_DEBT","FQ2 2024","FQ2 2024","Currency=USD","Period=FQ","BEST_FPERIOD_OVERRIDE=FQ","FILING_STATUS=MR","SCALING_FORMAT=MLN","Sort=A","Dates=H","DateFormat=P","Fill=—","Direction=H","UseDPDF=Y")</f>
        <v>0</v>
      </c>
      <c r="X36" s="13">
        <f>_xll.BDH("ALNY US Equity","T12M_CHG_LT_DEBT","FQ3 2024","FQ3 2024","Currency=USD","Period=FQ","BEST_FPERIOD_OVERRIDE=FQ","FILING_STATUS=MR","SCALING_FORMAT=MLN","Sort=A","Dates=H","DateFormat=P","Fill=—","Direction=H","UseDPDF=Y")</f>
        <v>0</v>
      </c>
      <c r="Y36" s="13">
        <f>_xll.BDH("ALNY US Equity","T12M_CHG_LT_DEBT","FQ4 2024","FQ4 2024","Currency=USD","Period=FQ","BEST_FPERIOD_OVERRIDE=FQ","FILING_STATUS=MR","SCALING_FORMAT=MLN","Sort=A","Dates=H","DateFormat=P","Fill=—","Direction=H","UseDPDF=Y")</f>
        <v>0</v>
      </c>
      <c r="Z36" s="13"/>
      <c r="AA36" s="13"/>
    </row>
    <row r="37" spans="1:27" x14ac:dyDescent="0.25">
      <c r="A37" s="10" t="s">
        <v>1570</v>
      </c>
      <c r="B37" s="10" t="s">
        <v>1555</v>
      </c>
      <c r="C37" s="13">
        <f>_xll.BDH("ALNY US Equity","T12_OTHER_CFF","FQ2 2019","FQ2 2019","Currency=USD","Period=FQ","BEST_FPERIOD_OVERRIDE=FQ","FILING_STATUS=MR","SCALING_FORMAT=MLN","Sort=A","Dates=H","DateFormat=P","Fill=—","Direction=H","UseDPDF=Y")</f>
        <v>381.89699999999999</v>
      </c>
      <c r="D37" s="13">
        <f>_xll.BDH("ALNY US Equity","T12_OTHER_CFF","FQ3 2019","FQ3 2019","Currency=USD","Period=FQ","BEST_FPERIOD_OVERRIDE=FQ","FILING_STATUS=MR","SCALING_FORMAT=MLN","Sort=A","Dates=H","DateFormat=P","Fill=—","Direction=H","UseDPDF=Y")</f>
        <v>381.45100000000002</v>
      </c>
      <c r="E37" s="13">
        <f>_xll.BDH("ALNY US Equity","T12_OTHER_CFF","FQ4 2019","FQ4 2019","Currency=USD","Period=FQ","BEST_FPERIOD_OVERRIDE=FQ","FILING_STATUS=MR","SCALING_FORMAT=MLN","Sort=A","Dates=H","DateFormat=P","Fill=—","Direction=H","UseDPDF=Y")</f>
        <v>422.15899999999999</v>
      </c>
      <c r="F37" s="13">
        <f>_xll.BDH("ALNY US Equity","T12_OTHER_CFF","FQ1 2020","FQ1 2020","Currency=USD","Period=FQ","BEST_FPERIOD_OVERRIDE=FQ","FILING_STATUS=MR","SCALING_FORMAT=MLN","Sort=A","Dates=H","DateFormat=P","Fill=—","Direction=H","UseDPDF=Y")</f>
        <v>421.52800000000002</v>
      </c>
      <c r="G37" s="13">
        <f>_xll.BDH("ALNY US Equity","T12_OTHER_CFF","FQ2 2020","FQ2 2020","Currency=USD","Period=FQ","BEST_FPERIOD_OVERRIDE=FQ","FILING_STATUS=MR","SCALING_FORMAT=MLN","Sort=A","Dates=H","DateFormat=P","Fill=—","Direction=H","UseDPDF=Y")</f>
        <v>40.066000000000003</v>
      </c>
      <c r="H37" s="13">
        <f>_xll.BDH("ALNY US Equity","T12_OTHER_CFF","FQ3 2020","FQ3 2020","Currency=USD","Period=FQ","BEST_FPERIOD_OVERRIDE=FQ","FILING_STATUS=MR","SCALING_FORMAT=MLN","Sort=A","Dates=H","DateFormat=P","Fill=—","Direction=H","UseDPDF=Y")</f>
        <v>46.853999999999999</v>
      </c>
      <c r="I37" s="13">
        <f>_xll.BDH("ALNY US Equity","T12_OTHER_CFF","FQ4 2020","FQ4 2020","Currency=USD","Period=FQ","BEST_FPERIOD_OVERRIDE=FQ","FILING_STATUS=MR","SCALING_FORMAT=MLN","Sort=A","Dates=H","DateFormat=P","Fill=—","Direction=H","UseDPDF=Y")</f>
        <v>13.318</v>
      </c>
      <c r="J37" s="13">
        <f>_xll.BDH("ALNY US Equity","T12_OTHER_CFF","FQ1 2021","FQ1 2021","Currency=USD","Period=FQ","BEST_FPERIOD_OVERRIDE=FQ","FILING_STATUS=MR","SCALING_FORMAT=MLN","Sort=A","Dates=H","DateFormat=P","Fill=—","Direction=H","UseDPDF=Y")</f>
        <v>14.239000000000001</v>
      </c>
      <c r="K37" s="13">
        <f>_xll.BDH("ALNY US Equity","T12_OTHER_CFF","FQ2 2021","FQ2 2021","Currency=USD","Period=FQ","BEST_FPERIOD_OVERRIDE=FQ","FILING_STATUS=MR","SCALING_FORMAT=MLN","Sort=A","Dates=H","DateFormat=P","Fill=—","Direction=H","UseDPDF=Y")</f>
        <v>19.085000000000001</v>
      </c>
      <c r="L37" s="13">
        <f>_xll.BDH("ALNY US Equity","T12_OTHER_CFF","FQ3 2021","FQ3 2021","Currency=USD","Period=FQ","BEST_FPERIOD_OVERRIDE=FQ","FILING_STATUS=MR","SCALING_FORMAT=MLN","Sort=A","Dates=H","DateFormat=P","Fill=—","Direction=H","UseDPDF=Y")</f>
        <v>17.303999999999998</v>
      </c>
      <c r="M37" s="13">
        <f>_xll.BDH("ALNY US Equity","T12_OTHER_CFF","FQ4 2021","FQ4 2021","Currency=USD","Period=FQ","BEST_FPERIOD_OVERRIDE=FQ","FILING_STATUS=MR","SCALING_FORMAT=MLN","Sort=A","Dates=H","DateFormat=P","Fill=—","Direction=H","UseDPDF=Y")</f>
        <v>10.582000000000001</v>
      </c>
      <c r="N37" s="13">
        <f>_xll.BDH("ALNY US Equity","T12_OTHER_CFF","FQ1 2022","FQ1 2022","Currency=USD","Period=FQ","BEST_FPERIOD_OVERRIDE=FQ","FILING_STATUS=MR","SCALING_FORMAT=MLN","Sort=A","Dates=H","DateFormat=P","Fill=—","Direction=H","UseDPDF=Y")</f>
        <v>15.887</v>
      </c>
      <c r="O37" s="13">
        <f>_xll.BDH("ALNY US Equity","T12_OTHER_CFF","FQ2 2022","FQ2 2022","Currency=USD","Period=FQ","BEST_FPERIOD_OVERRIDE=FQ","FILING_STATUS=MR","SCALING_FORMAT=MLN","Sort=A","Dates=H","DateFormat=P","Fill=—","Direction=H","UseDPDF=Y")</f>
        <v>9.6050000000000004</v>
      </c>
      <c r="P37" s="13">
        <f>_xll.BDH("ALNY US Equity","T12_OTHER_CFF","FQ3 2022","FQ3 2022","Currency=USD","Period=FQ","BEST_FPERIOD_OVERRIDE=FQ","FILING_STATUS=MR","SCALING_FORMAT=MLN","Sort=A","Dates=H","DateFormat=P","Fill=—","Direction=H","UseDPDF=Y")</f>
        <v>14.901</v>
      </c>
      <c r="Q37" s="13">
        <f>_xll.BDH("ALNY US Equity","T12_OTHER_CFF","FQ4 2022","FQ4 2022","Currency=USD","Period=FQ","BEST_FPERIOD_OVERRIDE=FQ","FILING_STATUS=MR","SCALING_FORMAT=MLN","Sort=A","Dates=H","DateFormat=P","Fill=—","Direction=H","UseDPDF=Y")</f>
        <v>-95.040999999999997</v>
      </c>
      <c r="R37" s="13">
        <f>_xll.BDH("ALNY US Equity","T12_OTHER_CFF","FQ1 2023","FQ1 2023","Currency=USD","Period=FQ","BEST_FPERIOD_OVERRIDE=FQ","FILING_STATUS=MR","SCALING_FORMAT=MLN","Sort=A","Dates=H","DateFormat=P","Fill=—","Direction=H","UseDPDF=Y")</f>
        <v>-94.46</v>
      </c>
      <c r="S37" s="13">
        <f>_xll.BDH("ALNY US Equity","T12_OTHER_CFF","FQ2 2023","FQ2 2023","Currency=USD","Period=FQ","BEST_FPERIOD_OVERRIDE=FQ","FILING_STATUS=MR","SCALING_FORMAT=MLN","Sort=A","Dates=H","DateFormat=P","Fill=—","Direction=H","UseDPDF=Y")</f>
        <v>-89.588999999999999</v>
      </c>
      <c r="T37" s="13">
        <f>_xll.BDH("ALNY US Equity","T12_OTHER_CFF","FQ3 2023","FQ3 2023","Currency=USD","Period=FQ","BEST_FPERIOD_OVERRIDE=FQ","FILING_STATUS=MR","SCALING_FORMAT=MLN","Sort=A","Dates=H","DateFormat=P","Fill=—","Direction=H","UseDPDF=Y")</f>
        <v>-97.665000000000006</v>
      </c>
      <c r="U37" s="13">
        <f>_xll.BDH("ALNY US Equity","T12_OTHER_CFF","FQ4 2023","FQ4 2023","Currency=USD","Period=FQ","BEST_FPERIOD_OVERRIDE=FQ","FILING_STATUS=MR","SCALING_FORMAT=MLN","Sort=A","Dates=H","DateFormat=P","Fill=—","Direction=H","UseDPDF=Y")</f>
        <v>31.058</v>
      </c>
      <c r="V37" s="13">
        <f>_xll.BDH("ALNY US Equity","T12_OTHER_CFF","FQ1 2024","FQ1 2024","Currency=USD","Period=FQ","BEST_FPERIOD_OVERRIDE=FQ","FILING_STATUS=MR","SCALING_FORMAT=MLN","Sort=A","Dates=H","DateFormat=P","Fill=—","Direction=H","UseDPDF=Y")</f>
        <v>17.992999999999999</v>
      </c>
      <c r="W37" s="13">
        <f>_xll.BDH("ALNY US Equity","T12_OTHER_CFF","FQ2 2024","FQ2 2024","Currency=USD","Period=FQ","BEST_FPERIOD_OVERRIDE=FQ","FILING_STATUS=MR","SCALING_FORMAT=MLN","Sort=A","Dates=H","DateFormat=P","Fill=—","Direction=H","UseDPDF=Y")</f>
        <v>9.7210000000000001</v>
      </c>
      <c r="X37" s="13">
        <f>_xll.BDH("ALNY US Equity","T12_OTHER_CFF","FQ3 2024","FQ3 2024","Currency=USD","Period=FQ","BEST_FPERIOD_OVERRIDE=FQ","FILING_STATUS=MR","SCALING_FORMAT=MLN","Sort=A","Dates=H","DateFormat=P","Fill=—","Direction=H","UseDPDF=Y")</f>
        <v>17.751999999999999</v>
      </c>
      <c r="Y37" s="13">
        <f>_xll.BDH("ALNY US Equity","T12_OTHER_CFF","FQ4 2024","FQ4 2024","Currency=USD","Period=FQ","BEST_FPERIOD_OVERRIDE=FQ","FILING_STATUS=MR","SCALING_FORMAT=MLN","Sort=A","Dates=H","DateFormat=P","Fill=—","Direction=H","UseDPDF=Y")</f>
        <v>-24.030999999999999</v>
      </c>
      <c r="Z37" s="13"/>
      <c r="AA37" s="13"/>
    </row>
    <row r="38" spans="1:27" x14ac:dyDescent="0.25">
      <c r="A38" s="6" t="s">
        <v>1556</v>
      </c>
      <c r="B38" s="6" t="s">
        <v>1557</v>
      </c>
      <c r="C38" s="19">
        <f>_xll.BDH("ALNY US Equity","T12_CFF","FQ2 2019","FQ2 2019","Currency=USD","Period=FQ","BEST_FPERIOD_OVERRIDE=FQ","FILING_STATUS=MR","SCALING_FORMAT=MLN","Sort=A","Dates=H","DateFormat=P","Fill=—","Direction=H","UseDPDF=Y")</f>
        <v>821.90499999999997</v>
      </c>
      <c r="D38" s="19">
        <f>_xll.BDH("ALNY US Equity","T12_CFF","FQ3 2019","FQ3 2019","Currency=USD","Period=FQ","BEST_FPERIOD_OVERRIDE=FQ","FILING_STATUS=MR","SCALING_FORMAT=MLN","Sort=A","Dates=H","DateFormat=P","Fill=—","Direction=H","UseDPDF=Y")</f>
        <v>787.77099999999996</v>
      </c>
      <c r="E38" s="19">
        <f>_xll.BDH("ALNY US Equity","T12_CFF","FQ4 2019","FQ4 2019","Currency=USD","Period=FQ","BEST_FPERIOD_OVERRIDE=FQ","FILING_STATUS=MR","SCALING_FORMAT=MLN","Sort=A","Dates=H","DateFormat=P","Fill=—","Direction=H","UseDPDF=Y")</f>
        <v>863.44299999999998</v>
      </c>
      <c r="F38" s="19">
        <f>_xll.BDH("ALNY US Equity","T12_CFF","FQ1 2020","FQ1 2020","Currency=USD","Period=FQ","BEST_FPERIOD_OVERRIDE=FQ","FILING_STATUS=MR","SCALING_FORMAT=MLN","Sort=A","Dates=H","DateFormat=P","Fill=—","Direction=H","UseDPDF=Y")</f>
        <v>525.75</v>
      </c>
      <c r="G38" s="19">
        <f>_xll.BDH("ALNY US Equity","T12_CFF","FQ2 2020","FQ2 2020","Currency=USD","Period=FQ","BEST_FPERIOD_OVERRIDE=FQ","FILING_STATUS=MR","SCALING_FORMAT=MLN","Sort=A","Dates=H","DateFormat=P","Fill=—","Direction=H","UseDPDF=Y")</f>
        <v>802.59100000000001</v>
      </c>
      <c r="H38" s="19">
        <f>_xll.BDH("ALNY US Equity","T12_CFF","FQ3 2020","FQ3 2020","Currency=USD","Period=FQ","BEST_FPERIOD_OVERRIDE=FQ","FILING_STATUS=MR","SCALING_FORMAT=MLN","Sort=A","Dates=H","DateFormat=P","Fill=—","Direction=H","UseDPDF=Y")</f>
        <v>860.02499999999998</v>
      </c>
      <c r="I38" s="19">
        <f>_xll.BDH("ALNY US Equity","T12_CFF","FQ4 2020","FQ4 2020","Currency=USD","Period=FQ","BEST_FPERIOD_OVERRIDE=FQ","FILING_STATUS=MR","SCALING_FORMAT=MLN","Sort=A","Dates=H","DateFormat=P","Fill=—","Direction=H","UseDPDF=Y")</f>
        <v>999.89700000000005</v>
      </c>
      <c r="J38" s="19">
        <f>_xll.BDH("ALNY US Equity","T12_CFF","FQ1 2021","FQ1 2021","Currency=USD","Period=FQ","BEST_FPERIOD_OVERRIDE=FQ","FILING_STATUS=MR","SCALING_FORMAT=MLN","Sort=A","Dates=H","DateFormat=P","Fill=—","Direction=H","UseDPDF=Y")</f>
        <v>993.92600000000004</v>
      </c>
      <c r="K38" s="19">
        <f>_xll.BDH("ALNY US Equity","T12_CFF","FQ2 2021","FQ2 2021","Currency=USD","Period=FQ","BEST_FPERIOD_OVERRIDE=FQ","FILING_STATUS=MR","SCALING_FORMAT=MLN","Sort=A","Dates=H","DateFormat=P","Fill=—","Direction=H","UseDPDF=Y")</f>
        <v>635.37</v>
      </c>
      <c r="L38" s="19">
        <f>_xll.BDH("ALNY US Equity","T12_CFF","FQ3 2021","FQ3 2021","Currency=USD","Period=FQ","BEST_FPERIOD_OVERRIDE=FQ","FILING_STATUS=MR","SCALING_FORMAT=MLN","Sort=A","Dates=H","DateFormat=P","Fill=—","Direction=H","UseDPDF=Y")</f>
        <v>1169.7809999999999</v>
      </c>
      <c r="M38" s="19">
        <f>_xll.BDH("ALNY US Equity","T12_CFF","FQ4 2021","FQ4 2021","Currency=USD","Period=FQ","BEST_FPERIOD_OVERRIDE=FQ","FILING_STATUS=MR","SCALING_FORMAT=MLN","Sort=A","Dates=H","DateFormat=P","Fill=—","Direction=H","UseDPDF=Y")</f>
        <v>1238.0999999999999</v>
      </c>
      <c r="N38" s="19">
        <f>_xll.BDH("ALNY US Equity","T12_CFF","FQ1 2022","FQ1 2022","Currency=USD","Period=FQ","BEST_FPERIOD_OVERRIDE=FQ","FILING_STATUS=MR","SCALING_FORMAT=MLN","Sort=A","Dates=H","DateFormat=P","Fill=—","Direction=H","UseDPDF=Y")</f>
        <v>1223.5509999999999</v>
      </c>
      <c r="O38" s="19">
        <f>_xll.BDH("ALNY US Equity","T12_CFF","FQ2 2022","FQ2 2022","Currency=USD","Period=FQ","BEST_FPERIOD_OVERRIDE=FQ","FILING_STATUS=MR","SCALING_FORMAT=MLN","Sort=A","Dates=H","DateFormat=P","Fill=—","Direction=H","UseDPDF=Y")</f>
        <v>914.16099999999994</v>
      </c>
      <c r="P38" s="19">
        <f>_xll.BDH("ALNY US Equity","T12_CFF","FQ3 2022","FQ3 2022","Currency=USD","Period=FQ","BEST_FPERIOD_OVERRIDE=FQ","FILING_STATUS=MR","SCALING_FORMAT=MLN","Sort=A","Dates=H","DateFormat=P","Fill=—","Direction=H","UseDPDF=Y")</f>
        <v>642.50800000000004</v>
      </c>
      <c r="Q38" s="19">
        <f>_xll.BDH("ALNY US Equity","T12_CFF","FQ4 2022","FQ4 2022","Currency=USD","Period=FQ","BEST_FPERIOD_OVERRIDE=FQ","FILING_STATUS=MR","SCALING_FORMAT=MLN","Sort=A","Dates=H","DateFormat=P","Fill=—","Direction=H","UseDPDF=Y")</f>
        <v>418.32299999999998</v>
      </c>
      <c r="R38" s="19">
        <f>_xll.BDH("ALNY US Equity","T12_CFF","FQ1 2023","FQ1 2023","Currency=USD","Period=FQ","BEST_FPERIOD_OVERRIDE=FQ","FILING_STATUS=MR","SCALING_FORMAT=MLN","Sort=A","Dates=H","DateFormat=P","Fill=—","Direction=H","UseDPDF=Y")</f>
        <v>434.15199999999999</v>
      </c>
      <c r="S38" s="19">
        <f>_xll.BDH("ALNY US Equity","T12_CFF","FQ2 2023","FQ2 2023","Currency=USD","Period=FQ","BEST_FPERIOD_OVERRIDE=FQ","FILING_STATUS=MR","SCALING_FORMAT=MLN","Sort=A","Dates=H","DateFormat=P","Fill=—","Direction=H","UseDPDF=Y")</f>
        <v>465.91399999999999</v>
      </c>
      <c r="T38" s="19">
        <f>_xll.BDH("ALNY US Equity","T12_CFF","FQ3 2023","FQ3 2023","Currency=USD","Period=FQ","BEST_FPERIOD_OVERRIDE=FQ","FILING_STATUS=MR","SCALING_FORMAT=MLN","Sort=A","Dates=H","DateFormat=P","Fill=—","Direction=H","UseDPDF=Y")</f>
        <v>193.453</v>
      </c>
      <c r="U38" s="19">
        <f>_xll.BDH("ALNY US Equity","T12_CFF","FQ4 2023","FQ4 2023","Currency=USD","Period=FQ","BEST_FPERIOD_OVERRIDE=FQ","FILING_STATUS=MR","SCALING_FORMAT=MLN","Sort=A","Dates=H","DateFormat=P","Fill=—","Direction=H","UseDPDF=Y")</f>
        <v>178.52199999999999</v>
      </c>
      <c r="V38" s="19">
        <f>_xll.BDH("ALNY US Equity","T12_CFF","FQ1 2024","FQ1 2024","Currency=USD","Period=FQ","BEST_FPERIOD_OVERRIDE=FQ","FILING_STATUS=MR","SCALING_FORMAT=MLN","Sort=A","Dates=H","DateFormat=P","Fill=—","Direction=H","UseDPDF=Y")</f>
        <v>148.94499999999999</v>
      </c>
      <c r="W38" s="19">
        <f>_xll.BDH("ALNY US Equity","T12_CFF","FQ2 2024","FQ2 2024","Currency=USD","Period=FQ","BEST_FPERIOD_OVERRIDE=FQ","FILING_STATUS=MR","SCALING_FORMAT=MLN","Sort=A","Dates=H","DateFormat=P","Fill=—","Direction=H","UseDPDF=Y")</f>
        <v>224.05699999999999</v>
      </c>
      <c r="X38" s="19">
        <f>_xll.BDH("ALNY US Equity","T12_CFF","FQ3 2024","FQ3 2024","Currency=USD","Period=FQ","BEST_FPERIOD_OVERRIDE=FQ","FILING_STATUS=MR","SCALING_FORMAT=MLN","Sort=A","Dates=H","DateFormat=P","Fill=—","Direction=H","UseDPDF=Y")</f>
        <v>315.31900000000002</v>
      </c>
      <c r="Y38" s="19">
        <f>_xll.BDH("ALNY US Equity","T12_CFF","FQ4 2024","FQ4 2024","Currency=USD","Period=FQ","BEST_FPERIOD_OVERRIDE=FQ","FILING_STATUS=MR","SCALING_FORMAT=MLN","Sort=A","Dates=H","DateFormat=P","Fill=—","Direction=H","UseDPDF=Y")</f>
        <v>278.92</v>
      </c>
      <c r="Z38" s="19"/>
      <c r="AA38" s="19"/>
    </row>
    <row r="39" spans="1:27" x14ac:dyDescent="0.25">
      <c r="A39" s="11" t="s">
        <v>1567</v>
      </c>
      <c r="B39" s="11" t="s">
        <v>69</v>
      </c>
      <c r="C39" s="25">
        <f>_xll.BDH("ALNY US Equity","ENTERPRISE_VALUE","FQ2 2019","FQ2 2019","Currency=USD","Period=FQ","BEST_FPERIOD_OVERRIDE=FQ","FILING_STATUS=MR","SCALING_FORMAT=MLN","Sort=A","Dates=H","DateFormat=P","Fill=—","Direction=H","UseDPDF=Y")</f>
        <v>6472.1588000000002</v>
      </c>
      <c r="D39" s="25">
        <f>_xll.BDH("ALNY US Equity","ENTERPRISE_VALUE","FQ3 2019","FQ3 2019","Currency=USD","Period=FQ","BEST_FPERIOD_OVERRIDE=FQ","FILING_STATUS=MR","SCALING_FORMAT=MLN","Sort=A","Dates=H","DateFormat=P","Fill=—","Direction=H","UseDPDF=Y")</f>
        <v>7536.3194999999996</v>
      </c>
      <c r="E39" s="25">
        <f>_xll.BDH("ALNY US Equity","ENTERPRISE_VALUE","FQ4 2019","FQ4 2019","Currency=USD","Period=FQ","BEST_FPERIOD_OVERRIDE=FQ","FILING_STATUS=MR","SCALING_FORMAT=MLN","Sort=A","Dates=H","DateFormat=P","Fill=—","Direction=H","UseDPDF=Y")</f>
        <v>11688.352999999999</v>
      </c>
      <c r="F39" s="25">
        <f>_xll.BDH("ALNY US Equity","ENTERPRISE_VALUE","FQ1 2020","FQ1 2020","Currency=USD","Period=FQ","BEST_FPERIOD_OVERRIDE=FQ","FILING_STATUS=MR","SCALING_FORMAT=MLN","Sort=A","Dates=H","DateFormat=P","Fill=—","Direction=H","UseDPDF=Y")</f>
        <v>11280.9588</v>
      </c>
      <c r="G39" s="25">
        <f>_xll.BDH("ALNY US Equity","ENTERPRISE_VALUE","FQ2 2020","FQ2 2020","Currency=USD","Period=FQ","BEST_FPERIOD_OVERRIDE=FQ","FILING_STATUS=MR","SCALING_FORMAT=MLN","Sort=A","Dates=H","DateFormat=P","Fill=—","Direction=H","UseDPDF=Y")</f>
        <v>15517.9782</v>
      </c>
      <c r="H39" s="25">
        <f>_xll.BDH("ALNY US Equity","ENTERPRISE_VALUE","FQ3 2020","FQ3 2020","Currency=USD","Period=FQ","BEST_FPERIOD_OVERRIDE=FQ","FILING_STATUS=MR","SCALING_FORMAT=MLN","Sort=A","Dates=H","DateFormat=P","Fill=—","Direction=H","UseDPDF=Y")</f>
        <v>15405.998799999999</v>
      </c>
      <c r="I39" s="25">
        <f>_xll.BDH("ALNY US Equity","ENTERPRISE_VALUE","FQ4 2020","FQ4 2020","Currency=USD","Period=FQ","BEST_FPERIOD_OVERRIDE=FQ","FILING_STATUS=MR","SCALING_FORMAT=MLN","Sort=A","Dates=H","DateFormat=P","Fill=—","Direction=H","UseDPDF=Y")</f>
        <v>13778.8112</v>
      </c>
      <c r="J39" s="25">
        <f>_xll.BDH("ALNY US Equity","ENTERPRISE_VALUE","FQ1 2021","FQ1 2021","Currency=USD","Period=FQ","BEST_FPERIOD_OVERRIDE=FQ","FILING_STATUS=MR","SCALING_FORMAT=MLN","Sort=A","Dates=H","DateFormat=P","Fill=—","Direction=H","UseDPDF=Y")</f>
        <v>15373.537</v>
      </c>
      <c r="K39" s="25">
        <f>_xll.BDH("ALNY US Equity","ENTERPRISE_VALUE","FQ2 2021","FQ2 2021","Currency=USD","Period=FQ","BEST_FPERIOD_OVERRIDE=FQ","FILING_STATUS=MR","SCALING_FORMAT=MLN","Sort=A","Dates=H","DateFormat=P","Fill=—","Direction=H","UseDPDF=Y")</f>
        <v>18965.383900000001</v>
      </c>
      <c r="L39" s="25">
        <f>_xll.BDH("ALNY US Equity","ENTERPRISE_VALUE","FQ3 2021","FQ3 2021","Currency=USD","Period=FQ","BEST_FPERIOD_OVERRIDE=FQ","FILING_STATUS=MR","SCALING_FORMAT=MLN","Sort=A","Dates=H","DateFormat=P","Fill=—","Direction=H","UseDPDF=Y")</f>
        <v>20991.594799999999</v>
      </c>
      <c r="M39" s="25">
        <f>_xll.BDH("ALNY US Equity","ENTERPRISE_VALUE","FQ4 2021","FQ4 2021","Currency=USD","Period=FQ","BEST_FPERIOD_OVERRIDE=FQ","FILING_STATUS=MR","SCALING_FORMAT=MLN","Sort=A","Dates=H","DateFormat=P","Fill=—","Direction=H","UseDPDF=Y")</f>
        <v>18942.491600000001</v>
      </c>
      <c r="N39" s="25">
        <f>_xll.BDH("ALNY US Equity","ENTERPRISE_VALUE","FQ1 2022","FQ1 2022","Currency=USD","Period=FQ","BEST_FPERIOD_OVERRIDE=FQ","FILING_STATUS=MR","SCALING_FORMAT=MLN","Sort=A","Dates=H","DateFormat=P","Fill=—","Direction=H","UseDPDF=Y")</f>
        <v>18469.663400000001</v>
      </c>
      <c r="O39" s="25">
        <f>_xll.BDH("ALNY US Equity","ENTERPRISE_VALUE","FQ2 2022","FQ2 2022","Currency=USD","Period=FQ","BEST_FPERIOD_OVERRIDE=FQ","FILING_STATUS=MR","SCALING_FORMAT=MLN","Sort=A","Dates=H","DateFormat=P","Fill=—","Direction=H","UseDPDF=Y")</f>
        <v>16527.0452</v>
      </c>
      <c r="P39" s="25">
        <f>_xll.BDH("ALNY US Equity","ENTERPRISE_VALUE","FQ3 2022","FQ3 2022","Currency=USD","Period=FQ","BEST_FPERIOD_OVERRIDE=FQ","FILING_STATUS=MR","SCALING_FORMAT=MLN","Sort=A","Dates=H","DateFormat=P","Fill=—","Direction=H","UseDPDF=Y")</f>
        <v>23892.3266</v>
      </c>
      <c r="Q39" s="25">
        <f>_xll.BDH("ALNY US Equity","ENTERPRISE_VALUE","FQ4 2022","FQ4 2022","Currency=USD","Period=FQ","BEST_FPERIOD_OVERRIDE=FQ","FILING_STATUS=MR","SCALING_FORMAT=MLN","Sort=A","Dates=H","DateFormat=P","Fill=—","Direction=H","UseDPDF=Y")</f>
        <v>28578.618299999998</v>
      </c>
      <c r="R39" s="25">
        <f>_xll.BDH("ALNY US Equity","ENTERPRISE_VALUE","FQ1 2023","FQ1 2023","Currency=USD","Period=FQ","BEST_FPERIOD_OVERRIDE=FQ","FILING_STATUS=MR","SCALING_FORMAT=MLN","Sort=A","Dates=H","DateFormat=P","Fill=—","Direction=H","UseDPDF=Y")</f>
        <v>24137.623100000001</v>
      </c>
      <c r="S39" s="25">
        <f>_xll.BDH("ALNY US Equity","ENTERPRISE_VALUE","FQ2 2023","FQ2 2023","Currency=USD","Period=FQ","BEST_FPERIOD_OVERRIDE=FQ","FILING_STATUS=MR","SCALING_FORMAT=MLN","Sort=A","Dates=H","DateFormat=P","Fill=—","Direction=H","UseDPDF=Y")</f>
        <v>22855.161499999998</v>
      </c>
      <c r="T39" s="25">
        <f>_xll.BDH("ALNY US Equity","ENTERPRISE_VALUE","FQ3 2023","FQ3 2023","Currency=USD","Period=FQ","BEST_FPERIOD_OVERRIDE=FQ","FILING_STATUS=MR","SCALING_FORMAT=MLN","Sort=A","Dates=H","DateFormat=P","Fill=—","Direction=H","UseDPDF=Y")</f>
        <v>21120.661400000001</v>
      </c>
      <c r="U39" s="25">
        <f>_xll.BDH("ALNY US Equity","ENTERPRISE_VALUE","FQ4 2023","FQ4 2023","Currency=USD","Period=FQ","BEST_FPERIOD_OVERRIDE=FQ","FILING_STATUS=MR","SCALING_FORMAT=MLN","Sort=A","Dates=H","DateFormat=P","Fill=—","Direction=H","UseDPDF=Y")</f>
        <v>22944.234499999999</v>
      </c>
      <c r="V39" s="25">
        <f>_xll.BDH("ALNY US Equity","ENTERPRISE_VALUE","FQ1 2024","FQ1 2024","Currency=USD","Period=FQ","BEST_FPERIOD_OVERRIDE=FQ","FILING_STATUS=MR","SCALING_FORMAT=MLN","Sort=A","Dates=H","DateFormat=P","Fill=—","Direction=H","UseDPDF=Y")</f>
        <v>17829.846399999999</v>
      </c>
      <c r="W39" s="25">
        <f>_xll.BDH("ALNY US Equity","ENTERPRISE_VALUE","FQ2 2024","FQ2 2024","Currency=USD","Period=FQ","BEST_FPERIOD_OVERRIDE=FQ","FILING_STATUS=MR","SCALING_FORMAT=MLN","Sort=A","Dates=H","DateFormat=P","Fill=—","Direction=H","UseDPDF=Y")</f>
        <v>31130.73</v>
      </c>
      <c r="X39" s="25">
        <f>_xll.BDH("ALNY US Equity","ENTERPRISE_VALUE","FQ3 2024","FQ3 2024","Currency=USD","Period=FQ","BEST_FPERIOD_OVERRIDE=FQ","FILING_STATUS=MR","SCALING_FORMAT=MLN","Sort=A","Dates=H","DateFormat=P","Fill=—","Direction=H","UseDPDF=Y")</f>
        <v>33956.733200000002</v>
      </c>
      <c r="Y39" s="25">
        <f>_xll.BDH("ALNY US Equity","ENTERPRISE_VALUE","FQ4 2024","FQ4 2024","Currency=USD","Period=FQ","BEST_FPERIOD_OVERRIDE=FQ","FILING_STATUS=MR","SCALING_FORMAT=MLN","Sort=A","Dates=H","DateFormat=P","Fill=—","Direction=H","UseDPDF=Y")</f>
        <v>29025.715100000001</v>
      </c>
      <c r="Z39" s="25"/>
      <c r="AA39" s="25"/>
    </row>
    <row r="40" spans="1:27" x14ac:dyDescent="0.25">
      <c r="A40" s="6" t="s">
        <v>1571</v>
      </c>
      <c r="B40" s="6" t="s">
        <v>1572</v>
      </c>
      <c r="C40" s="20">
        <f>_xll.BDH("ALNY US Equity","CAPITAL_YIELD","FQ2 2019","FQ2 2019","Currency=USD","Period=FQ","BEST_FPERIOD_OVERRIDE=FQ","FILING_STATUS=MR","Sort=A","Dates=H","DateFormat=P","Fill=—","Direction=H","UseDPDF=Y")</f>
        <v>-12.6991</v>
      </c>
      <c r="D40" s="20">
        <f>_xll.BDH("ALNY US Equity","CAPITAL_YIELD","FQ3 2019","FQ3 2019","Currency=USD","Period=FQ","BEST_FPERIOD_OVERRIDE=FQ","FILING_STATUS=MR","Sort=A","Dates=H","DateFormat=P","Fill=—","Direction=H","UseDPDF=Y")</f>
        <v>-10.452999999999999</v>
      </c>
      <c r="E40" s="20">
        <f>_xll.BDH("ALNY US Equity","CAPITAL_YIELD","FQ4 2019","FQ4 2019","Currency=USD","Period=FQ","BEST_FPERIOD_OVERRIDE=FQ","FILING_STATUS=MR","Sort=A","Dates=H","DateFormat=P","Fill=—","Direction=H","UseDPDF=Y")</f>
        <v>-7.3872</v>
      </c>
      <c r="F40" s="20">
        <f>_xll.BDH("ALNY US Equity","CAPITAL_YIELD","FQ1 2020","FQ1 2020","Currency=USD","Period=FQ","BEST_FPERIOD_OVERRIDE=FQ","FILING_STATUS=MR","Sort=A","Dates=H","DateFormat=P","Fill=—","Direction=H","UseDPDF=Y")</f>
        <v>-4.6604999999999999</v>
      </c>
      <c r="G40" s="20">
        <f>_xll.BDH("ALNY US Equity","CAPITAL_YIELD","FQ2 2020","FQ2 2020","Currency=USD","Period=FQ","BEST_FPERIOD_OVERRIDE=FQ","FILING_STATUS=MR","Sort=A","Dates=H","DateFormat=P","Fill=—","Direction=H","UseDPDF=Y")</f>
        <v>-5.1719999999999997</v>
      </c>
      <c r="H40" s="20">
        <f>_xll.BDH("ALNY US Equity","CAPITAL_YIELD","FQ3 2020","FQ3 2020","Currency=USD","Period=FQ","BEST_FPERIOD_OVERRIDE=FQ","FILING_STATUS=MR","Sort=A","Dates=H","DateFormat=P","Fill=—","Direction=H","UseDPDF=Y")</f>
        <v>-5.5823999999999998</v>
      </c>
      <c r="I40" s="20">
        <f>_xll.BDH("ALNY US Equity","CAPITAL_YIELD","FQ4 2020","FQ4 2020","Currency=USD","Period=FQ","BEST_FPERIOD_OVERRIDE=FQ","FILING_STATUS=MR","Sort=A","Dates=H","DateFormat=P","Fill=—","Direction=H","UseDPDF=Y")</f>
        <v>-7.2568000000000001</v>
      </c>
      <c r="J40" s="20">
        <f>_xll.BDH("ALNY US Equity","CAPITAL_YIELD","FQ1 2021","FQ1 2021","Currency=USD","Period=FQ","BEST_FPERIOD_OVERRIDE=FQ","FILING_STATUS=MR","Sort=A","Dates=H","DateFormat=P","Fill=—","Direction=H","UseDPDF=Y")</f>
        <v>-6.4652000000000003</v>
      </c>
      <c r="K40" s="20">
        <f>_xll.BDH("ALNY US Equity","CAPITAL_YIELD","FQ2 2021","FQ2 2021","Currency=USD","Period=FQ","BEST_FPERIOD_OVERRIDE=FQ","FILING_STATUS=MR","Sort=A","Dates=H","DateFormat=P","Fill=—","Direction=H","UseDPDF=Y")</f>
        <v>-3.3502000000000001</v>
      </c>
      <c r="L40" s="20">
        <f>_xll.BDH("ALNY US Equity","CAPITAL_YIELD","FQ3 2021","FQ3 2021","Currency=USD","Period=FQ","BEST_FPERIOD_OVERRIDE=FQ","FILING_STATUS=MR","Sort=A","Dates=H","DateFormat=P","Fill=—","Direction=H","UseDPDF=Y")</f>
        <v>-5.5726000000000004</v>
      </c>
      <c r="M40" s="20">
        <f>_xll.BDH("ALNY US Equity","CAPITAL_YIELD","FQ4 2021","FQ4 2021","Currency=USD","Period=FQ","BEST_FPERIOD_OVERRIDE=FQ","FILING_STATUS=MR","Sort=A","Dates=H","DateFormat=P","Fill=—","Direction=H","UseDPDF=Y")</f>
        <v>-6.5361000000000002</v>
      </c>
      <c r="N40" s="20">
        <f>_xll.BDH("ALNY US Equity","CAPITAL_YIELD","FQ1 2022","FQ1 2022","Currency=USD","Period=FQ","BEST_FPERIOD_OVERRIDE=FQ","FILING_STATUS=MR","Sort=A","Dates=H","DateFormat=P","Fill=—","Direction=H","UseDPDF=Y")</f>
        <v>-6.6246999999999998</v>
      </c>
      <c r="O40" s="20">
        <f>_xll.BDH("ALNY US Equity","CAPITAL_YIELD","FQ2 2022","FQ2 2022","Currency=USD","Period=FQ","BEST_FPERIOD_OVERRIDE=FQ","FILING_STATUS=MR","Sort=A","Dates=H","DateFormat=P","Fill=—","Direction=H","UseDPDF=Y")</f>
        <v>-5.5312999999999999</v>
      </c>
      <c r="P40" s="20">
        <f>_xll.BDH("ALNY US Equity","CAPITAL_YIELD","FQ3 2022","FQ3 2022","Currency=USD","Period=FQ","BEST_FPERIOD_OVERRIDE=FQ","FILING_STATUS=MR","Sort=A","Dates=H","DateFormat=P","Fill=—","Direction=H","UseDPDF=Y")</f>
        <v>-2.6892</v>
      </c>
      <c r="Q40" s="20">
        <f>_xll.BDH("ALNY US Equity","CAPITAL_YIELD","FQ4 2022","FQ4 2022","Currency=USD","Period=FQ","BEST_FPERIOD_OVERRIDE=FQ","FILING_STATUS=MR","Sort=A","Dates=H","DateFormat=P","Fill=—","Direction=H","UseDPDF=Y")</f>
        <v>-1.4638</v>
      </c>
      <c r="R40" s="20">
        <f>_xll.BDH("ALNY US Equity","CAPITAL_YIELD","FQ1 2023","FQ1 2023","Currency=USD","Period=FQ","BEST_FPERIOD_OVERRIDE=FQ","FILING_STATUS=MR","Sort=A","Dates=H","DateFormat=P","Fill=—","Direction=H","UseDPDF=Y")</f>
        <v>-1.7987</v>
      </c>
      <c r="S40" s="20">
        <f>_xll.BDH("ALNY US Equity","CAPITAL_YIELD","FQ2 2023","FQ2 2023","Currency=USD","Period=FQ","BEST_FPERIOD_OVERRIDE=FQ","FILING_STATUS=MR","Sort=A","Dates=H","DateFormat=P","Fill=—","Direction=H","UseDPDF=Y")</f>
        <v>-2.0386000000000002</v>
      </c>
      <c r="T40" s="20">
        <f>_xll.BDH("ALNY US Equity","CAPITAL_YIELD","FQ3 2023","FQ3 2023","Currency=USD","Period=FQ","BEST_FPERIOD_OVERRIDE=FQ","FILING_STATUS=MR","Sort=A","Dates=H","DateFormat=P","Fill=—","Direction=H","UseDPDF=Y")</f>
        <v>-0.91590000000000005</v>
      </c>
      <c r="U40" s="20">
        <f>_xll.BDH("ALNY US Equity","CAPITAL_YIELD","FQ4 2023","FQ4 2023","Currency=USD","Period=FQ","BEST_FPERIOD_OVERRIDE=FQ","FILING_STATUS=MR","Sort=A","Dates=H","DateFormat=P","Fill=—","Direction=H","UseDPDF=Y")</f>
        <v>-0.77810000000000001</v>
      </c>
      <c r="V40" s="20">
        <f>_xll.BDH("ALNY US Equity","CAPITAL_YIELD","FQ1 2024","FQ1 2024","Currency=USD","Period=FQ","BEST_FPERIOD_OVERRIDE=FQ","FILING_STATUS=MR","Sort=A","Dates=H","DateFormat=P","Fill=—","Direction=H","UseDPDF=Y")</f>
        <v>-0.83540000000000003</v>
      </c>
      <c r="W40" s="20">
        <f>_xll.BDH("ALNY US Equity","CAPITAL_YIELD","FQ2 2024","FQ2 2024","Currency=USD","Period=FQ","BEST_FPERIOD_OVERRIDE=FQ","FILING_STATUS=MR","Sort=A","Dates=H","DateFormat=P","Fill=—","Direction=H","UseDPDF=Y")</f>
        <v>-0.71970000000000001</v>
      </c>
      <c r="X40" s="20">
        <f>_xll.BDH("ALNY US Equity","CAPITAL_YIELD","FQ3 2024","FQ3 2024","Currency=USD","Period=FQ","BEST_FPERIOD_OVERRIDE=FQ","FILING_STATUS=MR","Sort=A","Dates=H","DateFormat=P","Fill=—","Direction=H","UseDPDF=Y")</f>
        <v>-0.92859999999999998</v>
      </c>
      <c r="Y40" s="20">
        <f>_xll.BDH("ALNY US Equity","CAPITAL_YIELD","FQ4 2024","FQ4 2024","Currency=USD","Period=FQ","BEST_FPERIOD_OVERRIDE=FQ","FILING_STATUS=MR","Sort=A","Dates=H","DateFormat=P","Fill=—","Direction=H","UseDPDF=Y")</f>
        <v>-0.96089999999999998</v>
      </c>
      <c r="Z40" s="20"/>
      <c r="AA40" s="20"/>
    </row>
    <row r="41" spans="1:27" x14ac:dyDescent="0.25">
      <c r="A41" s="7" t="s">
        <v>90</v>
      </c>
      <c r="B41" s="7"/>
      <c r="C41" s="7" t="s">
        <v>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2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1573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1574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1575</v>
      </c>
      <c r="B7" s="10" t="s">
        <v>1576</v>
      </c>
      <c r="C7" s="14">
        <f>_xll.BDH("ALNY US Equity","TAX_EFFICIENCY","FQ4 2018","FQ4 2018","Currency=USD","Period=FQ","BEST_FPERIOD_OVERRIDE=FQ","FILING_STATUS=MR","FA_ADJUSTED=GAAP","Sort=A","Dates=H","DateFormat=P","Fill=—","Direction=H","UseDPDF=Y")</f>
        <v>100.1082</v>
      </c>
      <c r="D7" s="14">
        <f>_xll.BDH("ALNY US Equity","TAX_EFFICIENCY","FQ1 2019","FQ1 2019","Currency=USD","Period=FQ","BEST_FPERIOD_OVERRIDE=FQ","FILING_STATUS=MR","FA_ADJUSTED=GAAP","Sort=A","Dates=H","DateFormat=P","Fill=—","Direction=H","UseDPDF=Y")</f>
        <v>100.1973</v>
      </c>
      <c r="E7" s="14">
        <f>_xll.BDH("ALNY US Equity","TAX_EFFICIENCY","FQ2 2019","FQ2 2019","Currency=USD","Period=FQ","BEST_FPERIOD_OVERRIDE=FQ","FILING_STATUS=MR","FA_ADJUSTED=GAAP","Sort=A","Dates=H","DateFormat=P","Fill=—","Direction=H","UseDPDF=Y")</f>
        <v>100.2876</v>
      </c>
      <c r="F7" s="14">
        <f>_xll.BDH("ALNY US Equity","TAX_EFFICIENCY","FQ3 2019","FQ3 2019","Currency=USD","Period=FQ","BEST_FPERIOD_OVERRIDE=FQ","FILING_STATUS=MR","FA_ADJUSTED=GAAP","Sort=A","Dates=H","DateFormat=P","Fill=—","Direction=H","UseDPDF=Y")</f>
        <v>100.1979</v>
      </c>
      <c r="G7" s="14">
        <f>_xll.BDH("ALNY US Equity","TAX_EFFICIENCY","FQ4 2019","FQ4 2019","Currency=USD","Period=FQ","BEST_FPERIOD_OVERRIDE=FQ","FILING_STATUS=MR","FA_ADJUSTED=GAAP","Sort=A","Dates=H","DateFormat=P","Fill=—","Direction=H","UseDPDF=Y")</f>
        <v>100.0975</v>
      </c>
      <c r="H7" s="14">
        <f>_xll.BDH("ALNY US Equity","TAX_EFFICIENCY","FQ1 2020","FQ1 2020","Currency=USD","Period=FQ","BEST_FPERIOD_OVERRIDE=FQ","FILING_STATUS=MR","FA_ADJUSTED=GAAP","Sort=A","Dates=H","DateFormat=P","Fill=—","Direction=H","UseDPDF=Y")</f>
        <v>100.0839</v>
      </c>
      <c r="I7" s="14">
        <f>_xll.BDH("ALNY US Equity","TAX_EFFICIENCY","FQ2 2020","FQ2 2020","Currency=USD","Period=FQ","BEST_FPERIOD_OVERRIDE=FQ","FILING_STATUS=MR","FA_ADJUSTED=GAAP","Sort=A","Dates=H","DateFormat=P","Fill=—","Direction=H","UseDPDF=Y")</f>
        <v>100.13120000000001</v>
      </c>
      <c r="J7" s="14">
        <f>_xll.BDH("ALNY US Equity","TAX_EFFICIENCY","FQ3 2020","FQ3 2020","Currency=USD","Period=FQ","BEST_FPERIOD_OVERRIDE=FQ","FILING_STATUS=MR","FA_ADJUSTED=GAAP","Sort=A","Dates=H","DateFormat=P","Fill=—","Direction=H","UseDPDF=Y")</f>
        <v>100.2636</v>
      </c>
      <c r="K7" s="14">
        <f>_xll.BDH("ALNY US Equity","TAX_EFFICIENCY","FQ4 2020","FQ4 2020","Currency=USD","Period=FQ","BEST_FPERIOD_OVERRIDE=FQ","FILING_STATUS=MR","FA_ADJUSTED=GAAP","Sort=A","Dates=H","DateFormat=P","Fill=—","Direction=H","UseDPDF=Y")</f>
        <v>100.3133</v>
      </c>
      <c r="L7" s="14">
        <f>_xll.BDH("ALNY US Equity","TAX_EFFICIENCY","FQ1 2021","FQ1 2021","Currency=USD","Period=FQ","BEST_FPERIOD_OVERRIDE=FQ","FILING_STATUS=MR","FA_ADJUSTED=GAAP","Sort=A","Dates=H","DateFormat=P","Fill=—","Direction=H","UseDPDF=Y")</f>
        <v>100.3575</v>
      </c>
      <c r="M7" s="14">
        <f>_xll.BDH("ALNY US Equity","TAX_EFFICIENCY","FQ2 2021","FQ2 2021","Currency=USD","Period=FQ","BEST_FPERIOD_OVERRIDE=FQ","FILING_STATUS=MR","FA_ADJUSTED=GAAP","Sort=A","Dates=H","DateFormat=P","Fill=—","Direction=H","UseDPDF=Y")</f>
        <v>100.34220000000001</v>
      </c>
      <c r="N7" s="14">
        <f>_xll.BDH("ALNY US Equity","TAX_EFFICIENCY","FQ3 2021","FQ3 2021","Currency=USD","Period=FQ","BEST_FPERIOD_OVERRIDE=FQ","FILING_STATUS=MR","FA_ADJUSTED=GAAP","Sort=A","Dates=H","DateFormat=P","Fill=—","Direction=H","UseDPDF=Y")</f>
        <v>100.2948</v>
      </c>
      <c r="O7" s="14">
        <f>_xll.BDH("ALNY US Equity","TAX_EFFICIENCY","FQ4 2021","FQ4 2021","Currency=USD","Period=FQ","BEST_FPERIOD_OVERRIDE=FQ","FILING_STATUS=MR","FA_ADJUSTED=GAAP","Sort=A","Dates=H","DateFormat=P","Fill=—","Direction=H","UseDPDF=Y")</f>
        <v>100.07980000000001</v>
      </c>
      <c r="P7" s="14">
        <f>_xll.BDH("ALNY US Equity","TAX_EFFICIENCY","FQ1 2022","FQ1 2022","Currency=USD","Period=FQ","BEST_FPERIOD_OVERRIDE=FQ","FILING_STATUS=MR","FA_ADJUSTED=GAAP","Sort=A","Dates=H","DateFormat=P","Fill=—","Direction=H","UseDPDF=Y")</f>
        <v>100.0727</v>
      </c>
      <c r="Q7" s="14">
        <f>_xll.BDH("ALNY US Equity","TAX_EFFICIENCY","FQ2 2022","FQ2 2022","Currency=USD","Period=FQ","BEST_FPERIOD_OVERRIDE=FQ","FILING_STATUS=MR","FA_ADJUSTED=GAAP","Sort=A","Dates=H","DateFormat=P","Fill=—","Direction=H","UseDPDF=Y")</f>
        <v>100.2197</v>
      </c>
      <c r="R7" s="14">
        <f>_xll.BDH("ALNY US Equity","TAX_EFFICIENCY","FQ3 2022","FQ3 2022","Currency=USD","Period=FQ","BEST_FPERIOD_OVERRIDE=FQ","FILING_STATUS=MR","FA_ADJUSTED=GAAP","Sort=A","Dates=H","DateFormat=P","Fill=—","Direction=H","UseDPDF=Y")</f>
        <v>100.1567</v>
      </c>
      <c r="S7" s="14">
        <f>_xll.BDH("ALNY US Equity","TAX_EFFICIENCY","FQ4 2022","FQ4 2022","Currency=USD","Period=FQ","BEST_FPERIOD_OVERRIDE=FQ","FILING_STATUS=MR","FA_ADJUSTED=GAAP","Sort=A","Dates=H","DateFormat=P","Fill=—","Direction=H","UseDPDF=Y")</f>
        <v>100.3694</v>
      </c>
      <c r="T7" s="14">
        <f>_xll.BDH("ALNY US Equity","TAX_EFFICIENCY","FQ1 2023","FQ1 2023","Currency=USD","Period=FQ","BEST_FPERIOD_OVERRIDE=FQ","FILING_STATUS=MR","FA_ADJUSTED=GAAP","Sort=A","Dates=H","DateFormat=P","Fill=—","Direction=H","UseDPDF=Y")</f>
        <v>100.4639</v>
      </c>
      <c r="U7" s="14">
        <f>_xll.BDH("ALNY US Equity","TAX_EFFICIENCY","FQ2 2023","FQ2 2023","Currency=USD","Period=FQ","BEST_FPERIOD_OVERRIDE=FQ","FILING_STATUS=MR","FA_ADJUSTED=GAAP","Sort=A","Dates=H","DateFormat=P","Fill=—","Direction=H","UseDPDF=Y")</f>
        <v>100.37779999999999</v>
      </c>
      <c r="V7" s="14">
        <f>_xll.BDH("ALNY US Equity","TAX_EFFICIENCY","FQ3 2023","FQ3 2023","Currency=USD","Period=FQ","BEST_FPERIOD_OVERRIDE=FQ","FILING_STATUS=MR","FA_ADJUSTED=GAAP","Sort=A","Dates=H","DateFormat=P","Fill=—","Direction=H","UseDPDF=Y")</f>
        <v>101.3948</v>
      </c>
      <c r="W7" s="14">
        <f>_xll.BDH("ALNY US Equity","TAX_EFFICIENCY","FQ4 2023","FQ4 2023","Currency=USD","Period=FQ","BEST_FPERIOD_OVERRIDE=FQ","FILING_STATUS=MR","FA_ADJUSTED=GAAP","Sort=A","Dates=H","DateFormat=P","Fill=—","Direction=H","UseDPDF=Y")</f>
        <v>101.5513</v>
      </c>
      <c r="X7" s="14">
        <f>_xll.BDH("ALNY US Equity","TAX_EFFICIENCY","FQ1 2024","FQ1 2024","Currency=USD","Period=FQ","BEST_FPERIOD_OVERRIDE=FQ","FILING_STATUS=MR","FA_ADJUSTED=GAAP","Sort=A","Dates=H","DateFormat=P","Fill=—","Direction=H","UseDPDF=Y")</f>
        <v>102.25839999999999</v>
      </c>
      <c r="Y7" s="14">
        <f>_xll.BDH("ALNY US Equity","TAX_EFFICIENCY","FQ2 2024","FQ2 2024","Currency=USD","Period=FQ","BEST_FPERIOD_OVERRIDE=FQ","FILING_STATUS=MR","FA_ADJUSTED=GAAP","Sort=A","Dates=H","DateFormat=P","Fill=—","Direction=H","UseDPDF=Y")</f>
        <v>118.2188</v>
      </c>
      <c r="Z7" s="14">
        <f>_xll.BDH("ALNY US Equity","TAX_EFFICIENCY","FQ3 2024","FQ3 2024","Currency=USD","Period=FQ","BEST_FPERIOD_OVERRIDE=FQ","FILING_STATUS=MR","FA_ADJUSTED=GAAP","Sort=A","Dates=H","DateFormat=P","Fill=—","Direction=H","UseDPDF=Y")</f>
        <v>103.4755</v>
      </c>
      <c r="AA7" s="14">
        <f>_xll.BDH("ALNY US Equity","TAX_EFFICIENCY","FQ4 2024","FQ4 2024","Currency=USD","Period=FQ","BEST_FPERIOD_OVERRIDE=FQ","FILING_STATUS=MR","FA_ADJUSTED=GAAP","Sort=A","Dates=H","DateFormat=P","Fill=—","Direction=H","UseDPDF=Y")</f>
        <v>73.708399999999997</v>
      </c>
    </row>
    <row r="8" spans="1:27" x14ac:dyDescent="0.25">
      <c r="A8" s="6" t="s">
        <v>1577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6" t="s">
        <v>1578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0" t="s">
        <v>1579</v>
      </c>
      <c r="B10" s="10" t="s">
        <v>1580</v>
      </c>
      <c r="C10" s="14" t="str">
        <f>_xll.BDH("ALNY US Equity","INT_BURDEN","FQ4 2018","FQ4 2018","Currency=USD","Period=FQ","BEST_FPERIOD_OVERRIDE=FQ","FILING_STATUS=MR","FA_ADJUSTED=GAAP","Sort=A","Dates=H","DateFormat=P","Fill=—","Direction=H","UseDPDF=Y")</f>
        <v>—</v>
      </c>
      <c r="D10" s="14" t="str">
        <f>_xll.BDH("ALNY US Equity","INT_BURDEN","FQ1 2019","FQ1 2019","Currency=USD","Period=FQ","BEST_FPERIOD_OVERRIDE=FQ","FILING_STATUS=MR","FA_ADJUSTED=GAAP","Sort=A","Dates=H","DateFormat=P","Fill=—","Direction=H","UseDPDF=Y")</f>
        <v>—</v>
      </c>
      <c r="E10" s="14" t="str">
        <f>_xll.BDH("ALNY US Equity","INT_BURDEN","FQ2 2019","FQ2 2019","Currency=USD","Period=FQ","BEST_FPERIOD_OVERRIDE=FQ","FILING_STATUS=MR","FA_ADJUSTED=GAAP","Sort=A","Dates=H","DateFormat=P","Fill=—","Direction=H","UseDPDF=Y")</f>
        <v>—</v>
      </c>
      <c r="F10" s="14" t="str">
        <f>_xll.BDH("ALNY US Equity","INT_BURDEN","FQ3 2019","FQ3 2019","Currency=USD","Period=FQ","BEST_FPERIOD_OVERRIDE=FQ","FILING_STATUS=MR","FA_ADJUSTED=GAAP","Sort=A","Dates=H","DateFormat=P","Fill=—","Direction=H","UseDPDF=Y")</f>
        <v>—</v>
      </c>
      <c r="G10" s="14" t="str">
        <f>_xll.BDH("ALNY US Equity","INT_BURDEN","FQ4 2019","FQ4 2019","Currency=USD","Period=FQ","BEST_FPERIOD_OVERRIDE=FQ","FILING_STATUS=MR","FA_ADJUSTED=GAAP","Sort=A","Dates=H","DateFormat=P","Fill=—","Direction=H","UseDPDF=Y")</f>
        <v>—</v>
      </c>
      <c r="H10" s="14" t="str">
        <f>_xll.BDH("ALNY US Equity","INT_BURDEN","FQ1 2020","FQ1 2020","Currency=USD","Period=FQ","BEST_FPERIOD_OVERRIDE=FQ","FILING_STATUS=MR","FA_ADJUSTED=GAAP","Sort=A","Dates=H","DateFormat=P","Fill=—","Direction=H","UseDPDF=Y")</f>
        <v>—</v>
      </c>
      <c r="I10" s="14" t="str">
        <f>_xll.BDH("ALNY US Equity","INT_BURDEN","FQ2 2020","FQ2 2020","Currency=USD","Period=FQ","BEST_FPERIOD_OVERRIDE=FQ","FILING_STATUS=MR","FA_ADJUSTED=GAAP","Sort=A","Dates=H","DateFormat=P","Fill=—","Direction=H","UseDPDF=Y")</f>
        <v>—</v>
      </c>
      <c r="J10" s="14" t="str">
        <f>_xll.BDH("ALNY US Equity","INT_BURDEN","FQ3 2020","FQ3 2020","Currency=USD","Period=FQ","BEST_FPERIOD_OVERRIDE=FQ","FILING_STATUS=MR","FA_ADJUSTED=GAAP","Sort=A","Dates=H","DateFormat=P","Fill=—","Direction=H","UseDPDF=Y")</f>
        <v>—</v>
      </c>
      <c r="K10" s="14" t="str">
        <f>_xll.BDH("ALNY US Equity","INT_BURDEN","FQ4 2020","FQ4 2020","Currency=USD","Period=FQ","BEST_FPERIOD_OVERRIDE=FQ","FILING_STATUS=MR","FA_ADJUSTED=GAAP","Sort=A","Dates=H","DateFormat=P","Fill=—","Direction=H","UseDPDF=Y")</f>
        <v>—</v>
      </c>
      <c r="L10" s="14">
        <f>_xll.BDH("ALNY US Equity","INT_BURDEN","FQ1 2021","FQ1 2021","Currency=USD","Period=FQ","BEST_FPERIOD_OVERRIDE=FQ","FILING_STATUS=MR","FA_ADJUSTED=GAAP","Sort=A","Dates=H","DateFormat=P","Fill=—","Direction=H","UseDPDF=Y")</f>
        <v>115.47320000000001</v>
      </c>
      <c r="M10" s="14">
        <f>_xll.BDH("ALNY US Equity","INT_BURDEN","FQ2 2021","FQ2 2021","Currency=USD","Period=FQ","BEST_FPERIOD_OVERRIDE=FQ","FILING_STATUS=MR","FA_ADJUSTED=GAAP","Sort=A","Dates=H","DateFormat=P","Fill=—","Direction=H","UseDPDF=Y")</f>
        <v>116.19759999999999</v>
      </c>
      <c r="N10" s="14">
        <f>_xll.BDH("ALNY US Equity","INT_BURDEN","FQ3 2021","FQ3 2021","Currency=USD","Period=FQ","BEST_FPERIOD_OVERRIDE=FQ","FILING_STATUS=MR","FA_ADJUSTED=GAAP","Sort=A","Dates=H","DateFormat=P","Fill=—","Direction=H","UseDPDF=Y")</f>
        <v>119.22629999999999</v>
      </c>
      <c r="O10" s="14">
        <f>_xll.BDH("ALNY US Equity","INT_BURDEN","FQ4 2021","FQ4 2021","Currency=USD","Period=FQ","BEST_FPERIOD_OVERRIDE=FQ","FILING_STATUS=MR","FA_ADJUSTED=GAAP","Sort=A","Dates=H","DateFormat=P","Fill=—","Direction=H","UseDPDF=Y")</f>
        <v>120.1687</v>
      </c>
      <c r="P10" s="14">
        <f>_xll.BDH("ALNY US Equity","INT_BURDEN","FQ1 2022","FQ1 2022","Currency=USD","Period=FQ","BEST_FPERIOD_OVERRIDE=FQ","FILING_STATUS=MR","FA_ADJUSTED=GAAP","Sort=A","Dates=H","DateFormat=P","Fill=—","Direction=H","UseDPDF=Y")</f>
        <v>120.6758</v>
      </c>
      <c r="Q10" s="14">
        <f>_xll.BDH("ALNY US Equity","INT_BURDEN","FQ2 2022","FQ2 2022","Currency=USD","Period=FQ","BEST_FPERIOD_OVERRIDE=FQ","FILING_STATUS=MR","FA_ADJUSTED=GAAP","Sort=A","Dates=H","DateFormat=P","Fill=—","Direction=H","UseDPDF=Y")</f>
        <v>119.8481</v>
      </c>
      <c r="R10" s="14">
        <f>_xll.BDH("ALNY US Equity","INT_BURDEN","FQ3 2022","FQ3 2022","Currency=USD","Period=FQ","BEST_FPERIOD_OVERRIDE=FQ","FILING_STATUS=MR","FA_ADJUSTED=GAAP","Sort=A","Dates=H","DateFormat=P","Fill=—","Direction=H","UseDPDF=Y")</f>
        <v>116.0085</v>
      </c>
      <c r="S10" s="14">
        <f>_xll.BDH("ALNY US Equity","INT_BURDEN","FQ4 2022","FQ4 2022","Currency=USD","Period=FQ","BEST_FPERIOD_OVERRIDE=FQ","FILING_STATUS=MR","FA_ADJUSTED=GAAP","Sort=A","Dates=H","DateFormat=P","Fill=—","Direction=H","UseDPDF=Y")</f>
        <v>116.0622</v>
      </c>
      <c r="T10" s="14">
        <f>_xll.BDH("ALNY US Equity","INT_BURDEN","FQ1 2023","FQ1 2023","Currency=USD","Period=FQ","BEST_FPERIOD_OVERRIDE=FQ","FILING_STATUS=MR","FA_ADJUSTED=GAAP","Sort=A","Dates=H","DateFormat=P","Fill=—","Direction=H","UseDPDF=Y")</f>
        <v>115.539</v>
      </c>
      <c r="U10" s="14">
        <f>_xll.BDH("ALNY US Equity","INT_BURDEN","FQ2 2023","FQ2 2023","Currency=USD","Period=FQ","BEST_FPERIOD_OVERRIDE=FQ","FILING_STATUS=MR","FA_ADJUSTED=GAAP","Sort=A","Dates=H","DateFormat=P","Fill=—","Direction=H","UseDPDF=Y")</f>
        <v>113.98390000000001</v>
      </c>
      <c r="V10" s="14">
        <f>_xll.BDH("ALNY US Equity","INT_BURDEN","FQ3 2023","FQ3 2023","Currency=USD","Period=FQ","BEST_FPERIOD_OVERRIDE=FQ","FILING_STATUS=MR","FA_ADJUSTED=GAAP","Sort=A","Dates=H","DateFormat=P","Fill=—","Direction=H","UseDPDF=Y")</f>
        <v>131.27379999999999</v>
      </c>
      <c r="W10" s="14">
        <f>_xll.BDH("ALNY US Equity","INT_BURDEN","FQ4 2023","FQ4 2023","Currency=USD","Period=FQ","BEST_FPERIOD_OVERRIDE=FQ","FILING_STATUS=MR","FA_ADJUSTED=GAAP","Sort=A","Dates=H","DateFormat=P","Fill=—","Direction=H","UseDPDF=Y")</f>
        <v>138.81610000000001</v>
      </c>
      <c r="X10" s="14">
        <f>_xll.BDH("ALNY US Equity","INT_BURDEN","FQ1 2024","FQ1 2024","Currency=USD","Period=FQ","BEST_FPERIOD_OVERRIDE=FQ","FILING_STATUS=MR","FA_ADJUSTED=GAAP","Sort=A","Dates=H","DateFormat=P","Fill=—","Direction=H","UseDPDF=Y")</f>
        <v>164.65729999999999</v>
      </c>
      <c r="Y10" s="14">
        <f>_xll.BDH("ALNY US Equity","INT_BURDEN","FQ2 2024","FQ2 2024","Currency=USD","Period=FQ","BEST_FPERIOD_OVERRIDE=FQ","FILING_STATUS=MR","FA_ADJUSTED=GAAP","Sort=A","Dates=H","DateFormat=P","Fill=—","Direction=H","UseDPDF=Y")</f>
        <v>-89.365899999999996</v>
      </c>
      <c r="Z10" s="14">
        <f>_xll.BDH("ALNY US Equity","INT_BURDEN","FQ3 2024","FQ3 2024","Currency=USD","Period=FQ","BEST_FPERIOD_OVERRIDE=FQ","FILING_STATUS=MR","FA_ADJUSTED=GAAP","Sort=A","Dates=H","DateFormat=P","Fill=—","Direction=H","UseDPDF=Y")</f>
        <v>171.8245</v>
      </c>
      <c r="AA10" s="14">
        <f>_xll.BDH("ALNY US Equity","INT_BURDEN","FQ4 2024","FQ4 2024","Currency=USD","Period=FQ","BEST_FPERIOD_OVERRIDE=FQ","FILING_STATUS=MR","FA_ADJUSTED=GAAP","Sort=A","Dates=H","DateFormat=P","Fill=—","Direction=H","UseDPDF=Y")</f>
        <v>160.23259999999999</v>
      </c>
    </row>
    <row r="11" spans="1:27" x14ac:dyDescent="0.25">
      <c r="A11" s="6" t="s">
        <v>381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0" t="s">
        <v>1581</v>
      </c>
      <c r="B12" s="10" t="s">
        <v>1582</v>
      </c>
      <c r="C12" s="14" t="str">
        <f>_xll.BDH("ALNY US Equity","T12_EBIT_TO_REVENUE","FQ4 2018","FQ4 2018","Currency=USD","Period=FQ","BEST_FPERIOD_OVERRIDE=FQ","FILING_STATUS=MR","FA_ADJUSTED=GAAP","Sort=A","Dates=H","DateFormat=P","Fill=—","Direction=H","UseDPDF=Y")</f>
        <v>—</v>
      </c>
      <c r="D12" s="14" t="str">
        <f>_xll.BDH("ALNY US Equity","T12_EBIT_TO_REVENUE","FQ1 2019","FQ1 2019","Currency=USD","Period=FQ","BEST_FPERIOD_OVERRIDE=FQ","FILING_STATUS=MR","FA_ADJUSTED=GAAP","Sort=A","Dates=H","DateFormat=P","Fill=—","Direction=H","UseDPDF=Y")</f>
        <v>—</v>
      </c>
      <c r="E12" s="14" t="str">
        <f>_xll.BDH("ALNY US Equity","T12_EBIT_TO_REVENUE","FQ2 2019","FQ2 2019","Currency=USD","Period=FQ","BEST_FPERIOD_OVERRIDE=FQ","FILING_STATUS=MR","FA_ADJUSTED=GAAP","Sort=A","Dates=H","DateFormat=P","Fill=—","Direction=H","UseDPDF=Y")</f>
        <v>—</v>
      </c>
      <c r="F12" s="14" t="str">
        <f>_xll.BDH("ALNY US Equity","T12_EBIT_TO_REVENUE","FQ3 2019","FQ3 2019","Currency=USD","Period=FQ","BEST_FPERIOD_OVERRIDE=FQ","FILING_STATUS=MR","FA_ADJUSTED=GAAP","Sort=A","Dates=H","DateFormat=P","Fill=—","Direction=H","UseDPDF=Y")</f>
        <v>—</v>
      </c>
      <c r="G12" s="14" t="str">
        <f>_xll.BDH("ALNY US Equity","T12_EBIT_TO_REVENUE","FQ4 2019","FQ4 2019","Currency=USD","Period=FQ","BEST_FPERIOD_OVERRIDE=FQ","FILING_STATUS=MR","FA_ADJUSTED=GAAP","Sort=A","Dates=H","DateFormat=P","Fill=—","Direction=H","UseDPDF=Y")</f>
        <v>—</v>
      </c>
      <c r="H12" s="14" t="str">
        <f>_xll.BDH("ALNY US Equity","T12_EBIT_TO_REVENUE","FQ1 2020","FQ1 2020","Currency=USD","Period=FQ","BEST_FPERIOD_OVERRIDE=FQ","FILING_STATUS=MR","FA_ADJUSTED=GAAP","Sort=A","Dates=H","DateFormat=P","Fill=—","Direction=H","UseDPDF=Y")</f>
        <v>—</v>
      </c>
      <c r="I12" s="14" t="str">
        <f>_xll.BDH("ALNY US Equity","T12_EBIT_TO_REVENUE","FQ2 2020","FQ2 2020","Currency=USD","Period=FQ","BEST_FPERIOD_OVERRIDE=FQ","FILING_STATUS=MR","FA_ADJUSTED=GAAP","Sort=A","Dates=H","DateFormat=P","Fill=—","Direction=H","UseDPDF=Y")</f>
        <v>—</v>
      </c>
      <c r="J12" s="14" t="str">
        <f>_xll.BDH("ALNY US Equity","T12_EBIT_TO_REVENUE","FQ3 2020","FQ3 2020","Currency=USD","Period=FQ","BEST_FPERIOD_OVERRIDE=FQ","FILING_STATUS=MR","FA_ADJUSTED=GAAP","Sort=A","Dates=H","DateFormat=P","Fill=—","Direction=H","UseDPDF=Y")</f>
        <v>—</v>
      </c>
      <c r="K12" s="14" t="str">
        <f>_xll.BDH("ALNY US Equity","T12_EBIT_TO_REVENUE","FQ4 2020","FQ4 2020","Currency=USD","Period=FQ","BEST_FPERIOD_OVERRIDE=FQ","FILING_STATUS=MR","FA_ADJUSTED=GAAP","Sort=A","Dates=H","DateFormat=P","Fill=—","Direction=H","UseDPDF=Y")</f>
        <v>—</v>
      </c>
      <c r="L12" s="14">
        <f>_xll.BDH("ALNY US Equity","T12_EBIT_TO_REVENUE","FQ1 2021","FQ1 2021","Currency=USD","Period=FQ","BEST_FPERIOD_OVERRIDE=FQ","FILING_STATUS=MR","FA_ADJUSTED=GAAP","Sort=A","Dates=H","DateFormat=P","Fill=—","Direction=H","UseDPDF=Y")</f>
        <v>-132.45070000000001</v>
      </c>
      <c r="M12" s="14">
        <f>_xll.BDH("ALNY US Equity","T12_EBIT_TO_REVENUE","FQ2 2021","FQ2 2021","Currency=USD","Period=FQ","BEST_FPERIOD_OVERRIDE=FQ","FILING_STATUS=MR","FA_ADJUSTED=GAAP","Sort=A","Dates=H","DateFormat=P","Fill=—","Direction=H","UseDPDF=Y")</f>
        <v>-110.6095</v>
      </c>
      <c r="N12" s="14">
        <f>_xll.BDH("ALNY US Equity","T12_EBIT_TO_REVENUE","FQ3 2021","FQ3 2021","Currency=USD","Period=FQ","BEST_FPERIOD_OVERRIDE=FQ","FILING_STATUS=MR","FA_ADJUSTED=GAAP","Sort=A","Dates=H","DateFormat=P","Fill=—","Direction=H","UseDPDF=Y")</f>
        <v>-93.514700000000005</v>
      </c>
      <c r="O12" s="14">
        <f>_xll.BDH("ALNY US Equity","T12_EBIT_TO_REVENUE","FQ4 2021","FQ4 2021","Currency=USD","Period=FQ","BEST_FPERIOD_OVERRIDE=FQ","FILING_STATUS=MR","FA_ADJUSTED=GAAP","Sort=A","Dates=H","DateFormat=P","Fill=—","Direction=H","UseDPDF=Y")</f>
        <v>-83.990799999999993</v>
      </c>
      <c r="P12" s="14">
        <f>_xll.BDH("ALNY US Equity","T12_EBIT_TO_REVENUE","FQ1 2022","FQ1 2022","Currency=USD","Period=FQ","BEST_FPERIOD_OVERRIDE=FQ","FILING_STATUS=MR","FA_ADJUSTED=GAAP","Sort=A","Dates=H","DateFormat=P","Fill=—","Direction=H","UseDPDF=Y")</f>
        <v>-84.019800000000004</v>
      </c>
      <c r="Q12" s="14">
        <f>_xll.BDH("ALNY US Equity","T12_EBIT_TO_REVENUE","FQ2 2022","FQ2 2022","Currency=USD","Period=FQ","BEST_FPERIOD_OVERRIDE=FQ","FILING_STATUS=MR","FA_ADJUSTED=GAAP","Sort=A","Dates=H","DateFormat=P","Fill=—","Direction=H","UseDPDF=Y")</f>
        <v>-92.339299999999994</v>
      </c>
      <c r="R12" s="14">
        <f>_xll.BDH("ALNY US Equity","T12_EBIT_TO_REVENUE","FQ3 2022","FQ3 2022","Currency=USD","Period=FQ","BEST_FPERIOD_OVERRIDE=FQ","FILING_STATUS=MR","FA_ADJUSTED=GAAP","Sort=A","Dates=H","DateFormat=P","Fill=—","Direction=H","UseDPDF=Y")</f>
        <v>-105.87820000000001</v>
      </c>
      <c r="S12" s="14">
        <f>_xll.BDH("ALNY US Equity","T12_EBIT_TO_REVENUE","FQ4 2022","FQ4 2022","Currency=USD","Period=FQ","BEST_FPERIOD_OVERRIDE=FQ","FILING_STATUS=MR","FA_ADJUSTED=GAAP","Sort=A","Dates=H","DateFormat=P","Fill=—","Direction=H","UseDPDF=Y")</f>
        <v>-93.600200000000001</v>
      </c>
      <c r="T12" s="14">
        <f>_xll.BDH("ALNY US Equity","T12_EBIT_TO_REVENUE","FQ1 2023","FQ1 2023","Currency=USD","Period=FQ","BEST_FPERIOD_OVERRIDE=FQ","FILING_STATUS=MR","FA_ADJUSTED=GAAP","Sort=A","Dates=H","DateFormat=P","Fill=—","Direction=H","UseDPDF=Y")</f>
        <v>-80.234300000000005</v>
      </c>
      <c r="U12" s="14">
        <f>_xll.BDH("ALNY US Equity","T12_EBIT_TO_REVENUE","FQ2 2023","FQ2 2023","Currency=USD","Period=FQ","BEST_FPERIOD_OVERRIDE=FQ","FILING_STATUS=MR","FA_ADJUSTED=GAAP","Sort=A","Dates=H","DateFormat=P","Fill=—","Direction=H","UseDPDF=Y")</f>
        <v>-75.122</v>
      </c>
      <c r="V12" s="14">
        <f>_xll.BDH("ALNY US Equity","T12_EBIT_TO_REVENUE","FQ3 2023","FQ3 2023","Currency=USD","Period=FQ","BEST_FPERIOD_OVERRIDE=FQ","FILING_STATUS=MR","FA_ADJUSTED=GAAP","Sort=A","Dates=H","DateFormat=P","Fill=—","Direction=H","UseDPDF=Y")</f>
        <v>-22.224</v>
      </c>
      <c r="W12" s="14">
        <f>_xll.BDH("ALNY US Equity","T12_EBIT_TO_REVENUE","FQ4 2023","FQ4 2023","Currency=USD","Period=FQ","BEST_FPERIOD_OVERRIDE=FQ","FILING_STATUS=MR","FA_ADJUSTED=GAAP","Sort=A","Dates=H","DateFormat=P","Fill=—","Direction=H","UseDPDF=Y")</f>
        <v>-17.081299999999999</v>
      </c>
      <c r="X12" s="14">
        <f>_xll.BDH("ALNY US Equity","T12_EBIT_TO_REVENUE","FQ1 2024","FQ1 2024","Currency=USD","Period=FQ","BEST_FPERIOD_OVERRIDE=FQ","FILING_STATUS=MR","FA_ADJUSTED=GAAP","Sort=A","Dates=H","DateFormat=P","Fill=—","Direction=H","UseDPDF=Y")</f>
        <v>-9.8446999999999996</v>
      </c>
      <c r="Y12" s="14">
        <f>_xll.BDH("ALNY US Equity","T12_EBIT_TO_REVENUE","FQ2 2024","FQ2 2024","Currency=USD","Period=FQ","BEST_FPERIOD_OVERRIDE=FQ","FILING_STATUS=MR","FA_ADJUSTED=GAAP","Sort=A","Dates=H","DateFormat=P","Fill=—","Direction=H","UseDPDF=Y")</f>
        <v>2.9449999999999998</v>
      </c>
      <c r="Z12" s="14">
        <f>_xll.BDH("ALNY US Equity","T12_EBIT_TO_REVENUE","FQ3 2024","FQ3 2024","Currency=USD","Period=FQ","BEST_FPERIOD_OVERRIDE=FQ","FILING_STATUS=MR","FA_ADJUSTED=GAAP","Sort=A","Dates=H","DateFormat=P","Fill=—","Direction=H","UseDPDF=Y")</f>
        <v>-8.9210999999999991</v>
      </c>
      <c r="AA12" s="14">
        <f>_xll.BDH("ALNY US Equity","T12_EBIT_TO_REVENUE","FQ4 2024","FQ4 2024","Currency=USD","Period=FQ","BEST_FPERIOD_OVERRIDE=FQ","FILING_STATUS=MR","FA_ADJUSTED=GAAP","Sort=A","Dates=H","DateFormat=P","Fill=—","Direction=H","UseDPDF=Y")</f>
        <v>-10.4756</v>
      </c>
    </row>
    <row r="13" spans="1:27" x14ac:dyDescent="0.25">
      <c r="A13" s="6" t="s">
        <v>1583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0" t="s">
        <v>1584</v>
      </c>
      <c r="B14" s="10" t="s">
        <v>1585</v>
      </c>
      <c r="C14" s="14">
        <f>_xll.BDH("ALNY US Equity","ASSET_TURNOVER","FQ4 2018","FQ4 2018","Currency=USD","Period=FQ","BEST_FPERIOD_OVERRIDE=FQ","FILING_STATUS=MR","FA_ADJUSTED=GAAP","Sort=A","Dates=H","DateFormat=P","Fill=—","Direction=H","UseDPDF=Y")</f>
        <v>4.2000000000000003E-2</v>
      </c>
      <c r="D14" s="14">
        <f>_xll.BDH("ALNY US Equity","ASSET_TURNOVER","FQ1 2019","FQ1 2019","Currency=USD","Period=FQ","BEST_FPERIOD_OVERRIDE=FQ","FILING_STATUS=MR","FA_ADJUSTED=GAAP","Sort=A","Dates=H","DateFormat=P","Fill=—","Direction=H","UseDPDF=Y")</f>
        <v>4.3799999999999999E-2</v>
      </c>
      <c r="E14" s="14">
        <f>_xll.BDH("ALNY US Equity","ASSET_TURNOVER","FQ2 2019","FQ2 2019","Currency=USD","Period=FQ","BEST_FPERIOD_OVERRIDE=FQ","FILING_STATUS=MR","FA_ADJUSTED=GAAP","Sort=A","Dates=H","DateFormat=P","Fill=—","Direction=H","UseDPDF=Y")</f>
        <v>4.4900000000000002E-2</v>
      </c>
      <c r="F14" s="14">
        <f>_xll.BDH("ALNY US Equity","ASSET_TURNOVER","FQ3 2019","FQ3 2019","Currency=USD","Period=FQ","BEST_FPERIOD_OVERRIDE=FQ","FILING_STATUS=MR","FA_ADJUSTED=GAAP","Sort=A","Dates=H","DateFormat=P","Fill=—","Direction=H","UseDPDF=Y")</f>
        <v>8.0199999999999994E-2</v>
      </c>
      <c r="G14" s="14">
        <f>_xll.BDH("ALNY US Equity","ASSET_TURNOVER","FQ4 2019","FQ4 2019","Currency=USD","Period=FQ","BEST_FPERIOD_OVERRIDE=FQ","FILING_STATUS=MR","FA_ADJUSTED=GAAP","Sort=A","Dates=H","DateFormat=P","Fill=—","Direction=H","UseDPDF=Y")</f>
        <v>0.11070000000000001</v>
      </c>
      <c r="H14" s="14">
        <f>_xll.BDH("ALNY US Equity","ASSET_TURNOVER","FQ1 2020","FQ1 2020","Currency=USD","Period=FQ","BEST_FPERIOD_OVERRIDE=FQ","FILING_STATUS=MR","FA_ADJUSTED=GAAP","Sort=A","Dates=H","DateFormat=P","Fill=—","Direction=H","UseDPDF=Y")</f>
        <v>0.13320000000000001</v>
      </c>
      <c r="I14" s="14">
        <f>_xll.BDH("ALNY US Equity","ASSET_TURNOVER","FQ2 2020","FQ2 2020","Currency=USD","Period=FQ","BEST_FPERIOD_OVERRIDE=FQ","FILING_STATUS=MR","FA_ADJUSTED=GAAP","Sort=A","Dates=H","DateFormat=P","Fill=—","Direction=H","UseDPDF=Y")</f>
        <v>0.1133</v>
      </c>
      <c r="J14" s="14">
        <f>_xll.BDH("ALNY US Equity","ASSET_TURNOVER","FQ3 2020","FQ3 2020","Currency=USD","Period=FQ","BEST_FPERIOD_OVERRIDE=FQ","FILING_STATUS=MR","FA_ADJUSTED=GAAP","Sort=A","Dates=H","DateFormat=P","Fill=—","Direction=H","UseDPDF=Y")</f>
        <v>0.1371</v>
      </c>
      <c r="K14" s="14">
        <f>_xll.BDH("ALNY US Equity","ASSET_TURNOVER","FQ4 2020","FQ4 2020","Currency=USD","Period=FQ","BEST_FPERIOD_OVERRIDE=FQ","FILING_STATUS=MR","FA_ADJUSTED=GAAP","Sort=A","Dates=H","DateFormat=P","Fill=—","Direction=H","UseDPDF=Y")</f>
        <v>0.1699</v>
      </c>
      <c r="L14" s="14">
        <f>_xll.BDH("ALNY US Equity","ASSET_TURNOVER","FQ1 2021","FQ1 2021","Currency=USD","Period=FQ","BEST_FPERIOD_OVERRIDE=FQ","FILING_STATUS=MR","FA_ADJUSTED=GAAP","Sort=A","Dates=H","DateFormat=P","Fill=—","Direction=H","UseDPDF=Y")</f>
        <v>0.20630000000000001</v>
      </c>
      <c r="M14" s="14">
        <f>_xll.BDH("ALNY US Equity","ASSET_TURNOVER","FQ2 2021","FQ2 2021","Currency=USD","Period=FQ","BEST_FPERIOD_OVERRIDE=FQ","FILING_STATUS=MR","FA_ADJUSTED=GAAP","Sort=A","Dates=H","DateFormat=P","Fill=—","Direction=H","UseDPDF=Y")</f>
        <v>0.19980000000000001</v>
      </c>
      <c r="N14" s="14">
        <f>_xll.BDH("ALNY US Equity","ASSET_TURNOVER","FQ3 2021","FQ3 2021","Currency=USD","Period=FQ","BEST_FPERIOD_OVERRIDE=FQ","FILING_STATUS=MR","FA_ADJUSTED=GAAP","Sort=A","Dates=H","DateFormat=P","Fill=—","Direction=H","UseDPDF=Y")</f>
        <v>0.221</v>
      </c>
      <c r="O14" s="14">
        <f>_xll.BDH("ALNY US Equity","ASSET_TURNOVER","FQ4 2021","FQ4 2021","Currency=USD","Period=FQ","BEST_FPERIOD_OVERRIDE=FQ","FILING_STATUS=MR","FA_ADJUSTED=GAAP","Sort=A","Dates=H","DateFormat=P","Fill=—","Direction=H","UseDPDF=Y")</f>
        <v>0.23949999999999999</v>
      </c>
      <c r="P14" s="14">
        <f>_xll.BDH("ALNY US Equity","ASSET_TURNOVER","FQ1 2022","FQ1 2022","Currency=USD","Period=FQ","BEST_FPERIOD_OVERRIDE=FQ","FILING_STATUS=MR","FA_ADJUSTED=GAAP","Sort=A","Dates=H","DateFormat=P","Fill=—","Direction=H","UseDPDF=Y")</f>
        <v>0.2631</v>
      </c>
      <c r="Q14" s="14">
        <f>_xll.BDH("ALNY US Equity","ASSET_TURNOVER","FQ2 2022","FQ2 2022","Currency=USD","Period=FQ","BEST_FPERIOD_OVERRIDE=FQ","FILING_STATUS=MR","FA_ADJUSTED=GAAP","Sort=A","Dates=H","DateFormat=P","Fill=—","Direction=H","UseDPDF=Y")</f>
        <v>0.2586</v>
      </c>
      <c r="R14" s="14">
        <f>_xll.BDH("ALNY US Equity","ASSET_TURNOVER","FQ3 2022","FQ3 2022","Currency=USD","Period=FQ","BEST_FPERIOD_OVERRIDE=FQ","FILING_STATUS=MR","FA_ADJUSTED=GAAP","Sort=A","Dates=H","DateFormat=P","Fill=—","Direction=H","UseDPDF=Y")</f>
        <v>0.27429999999999999</v>
      </c>
      <c r="S14" s="14">
        <f>_xll.BDH("ALNY US Equity","ASSET_TURNOVER","FQ4 2022","FQ4 2022","Currency=USD","Period=FQ","BEST_FPERIOD_OVERRIDE=FQ","FILING_STATUS=MR","FA_ADJUSTED=GAAP","Sort=A","Dates=H","DateFormat=P","Fill=—","Direction=H","UseDPDF=Y")</f>
        <v>0.28860000000000002</v>
      </c>
      <c r="T14" s="14">
        <f>_xll.BDH("ALNY US Equity","ASSET_TURNOVER","FQ1 2023","FQ1 2023","Currency=USD","Period=FQ","BEST_FPERIOD_OVERRIDE=FQ","FILING_STATUS=MR","FA_ADJUSTED=GAAP","Sort=A","Dates=H","DateFormat=P","Fill=—","Direction=H","UseDPDF=Y")</f>
        <v>0.33510000000000001</v>
      </c>
      <c r="U14" s="14">
        <f>_xll.BDH("ALNY US Equity","ASSET_TURNOVER","FQ2 2023","FQ2 2023","Currency=USD","Period=FQ","BEST_FPERIOD_OVERRIDE=FQ","FILING_STATUS=MR","FA_ADJUSTED=GAAP","Sort=A","Dates=H","DateFormat=P","Fill=—","Direction=H","UseDPDF=Y")</f>
        <v>0.36759999999999998</v>
      </c>
      <c r="V14" s="14">
        <f>_xll.BDH("ALNY US Equity","ASSET_TURNOVER","FQ3 2023","FQ3 2023","Currency=USD","Period=FQ","BEST_FPERIOD_OVERRIDE=FQ","FILING_STATUS=MR","FA_ADJUSTED=GAAP","Sort=A","Dates=H","DateFormat=P","Fill=—","Direction=H","UseDPDF=Y")</f>
        <v>0.46750000000000003</v>
      </c>
      <c r="W14" s="14">
        <f>_xll.BDH("ALNY US Equity","ASSET_TURNOVER","FQ4 2023","FQ4 2023","Currency=USD","Period=FQ","BEST_FPERIOD_OVERRIDE=FQ","FILING_STATUS=MR","FA_ADJUSTED=GAAP","Sort=A","Dates=H","DateFormat=P","Fill=—","Direction=H","UseDPDF=Y")</f>
        <v>0.49569999999999997</v>
      </c>
      <c r="X14" s="14">
        <f>_xll.BDH("ALNY US Equity","ASSET_TURNOVER","FQ1 2024","FQ1 2024","Currency=USD","Period=FQ","BEST_FPERIOD_OVERRIDE=FQ","FILING_STATUS=MR","FA_ADJUSTED=GAAP","Sort=A","Dates=H","DateFormat=P","Fill=—","Direction=H","UseDPDF=Y")</f>
        <v>0.55520000000000003</v>
      </c>
      <c r="Y14" s="14">
        <f>_xll.BDH("ALNY US Equity","ASSET_TURNOVER","FQ2 2024","FQ2 2024","Currency=USD","Period=FQ","BEST_FPERIOD_OVERRIDE=FQ","FILING_STATUS=MR","FA_ADJUSTED=GAAP","Sort=A","Dates=H","DateFormat=P","Fill=—","Direction=H","UseDPDF=Y")</f>
        <v>0.63260000000000005</v>
      </c>
      <c r="Z14" s="14">
        <f>_xll.BDH("ALNY US Equity","ASSET_TURNOVER","FQ3 2024","FQ3 2024","Currency=USD","Period=FQ","BEST_FPERIOD_OVERRIDE=FQ","FILING_STATUS=MR","FA_ADJUSTED=GAAP","Sort=A","Dates=H","DateFormat=P","Fill=—","Direction=H","UseDPDF=Y")</f>
        <v>0.52080000000000004</v>
      </c>
      <c r="AA14" s="14">
        <f>_xll.BDH("ALNY US Equity","ASSET_TURNOVER","FQ4 2024","FQ4 2024","Currency=USD","Period=FQ","BEST_FPERIOD_OVERRIDE=FQ","FILING_STATUS=MR","FA_ADJUSTED=GAAP","Sort=A","Dates=H","DateFormat=P","Fill=—","Direction=H","UseDPDF=Y")</f>
        <v>0.55720000000000003</v>
      </c>
    </row>
    <row r="15" spans="1:27" x14ac:dyDescent="0.25">
      <c r="A15" s="6" t="s">
        <v>1586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0" t="s">
        <v>1587</v>
      </c>
      <c r="B16" s="10" t="s">
        <v>1588</v>
      </c>
      <c r="C16" s="14">
        <f>_xll.BDH("ALNY US Equity","FNCL_LVRG","FQ4 2018","FQ4 2018","Currency=USD","Period=FQ","BEST_FPERIOD_OVERRIDE=FQ","FILING_STATUS=MR","Sort=A","Dates=H","DateFormat=P","Fill=—","Direction=H","UseDPDF=Y")</f>
        <v>1.1692</v>
      </c>
      <c r="D16" s="14">
        <f>_xll.BDH("ALNY US Equity","FNCL_LVRG","FQ1 2019","FQ1 2019","Currency=USD","Period=FQ","BEST_FPERIOD_OVERRIDE=FQ","FILING_STATUS=MR","Sort=A","Dates=H","DateFormat=P","Fill=—","Direction=H","UseDPDF=Y")</f>
        <v>1.2597</v>
      </c>
      <c r="E16" s="14">
        <f>_xll.BDH("ALNY US Equity","FNCL_LVRG","FQ2 2019","FQ2 2019","Currency=USD","Period=FQ","BEST_FPERIOD_OVERRIDE=FQ","FILING_STATUS=MR","Sort=A","Dates=H","DateFormat=P","Fill=—","Direction=H","UseDPDF=Y")</f>
        <v>1.4316</v>
      </c>
      <c r="F16" s="14">
        <f>_xll.BDH("ALNY US Equity","FNCL_LVRG","FQ3 2019","FQ3 2019","Currency=USD","Period=FQ","BEST_FPERIOD_OVERRIDE=FQ","FILING_STATUS=MR","Sort=A","Dates=H","DateFormat=P","Fill=—","Direction=H","UseDPDF=Y")</f>
        <v>1.5629</v>
      </c>
      <c r="G16" s="14">
        <f>_xll.BDH("ALNY US Equity","FNCL_LVRG","FQ4 2019","FQ4 2019","Currency=USD","Period=FQ","BEST_FPERIOD_OVERRIDE=FQ","FILING_STATUS=MR","Sort=A","Dates=H","DateFormat=P","Fill=—","Direction=H","UseDPDF=Y")</f>
        <v>1.6209</v>
      </c>
      <c r="H16" s="14">
        <f>_xll.BDH("ALNY US Equity","FNCL_LVRG","FQ1 2020","FQ1 2020","Currency=USD","Period=FQ","BEST_FPERIOD_OVERRIDE=FQ","FILING_STATUS=MR","Sort=A","Dates=H","DateFormat=P","Fill=—","Direction=H","UseDPDF=Y")</f>
        <v>1.6765000000000001</v>
      </c>
      <c r="I16" s="14">
        <f>_xll.BDH("ALNY US Equity","FNCL_LVRG","FQ2 2020","FQ2 2020","Currency=USD","Period=FQ","BEST_FPERIOD_OVERRIDE=FQ","FILING_STATUS=MR","Sort=A","Dates=H","DateFormat=P","Fill=—","Direction=H","UseDPDF=Y")</f>
        <v>2.0564</v>
      </c>
      <c r="J16" s="14">
        <f>_xll.BDH("ALNY US Equity","FNCL_LVRG","FQ3 2020","FQ3 2020","Currency=USD","Period=FQ","BEST_FPERIOD_OVERRIDE=FQ","FILING_STATUS=MR","Sort=A","Dates=H","DateFormat=P","Fill=—","Direction=H","UseDPDF=Y")</f>
        <v>2.5554000000000001</v>
      </c>
      <c r="K16" s="14">
        <f>_xll.BDH("ALNY US Equity","FNCL_LVRG","FQ4 2020","FQ4 2020","Currency=USD","Period=FQ","BEST_FPERIOD_OVERRIDE=FQ","FILING_STATUS=MR","Sort=A","Dates=H","DateFormat=P","Fill=—","Direction=H","UseDPDF=Y")</f>
        <v>3.0091999999999999</v>
      </c>
      <c r="L16" s="14">
        <f>_xll.BDH("ALNY US Equity","FNCL_LVRG","FQ1 2021","FQ1 2021","Currency=USD","Period=FQ","BEST_FPERIOD_OVERRIDE=FQ","FILING_STATUS=MR","Sort=A","Dates=H","DateFormat=P","Fill=—","Direction=H","UseDPDF=Y")</f>
        <v>3.4298999999999999</v>
      </c>
      <c r="M16" s="14">
        <f>_xll.BDH("ALNY US Equity","FNCL_LVRG","FQ2 2021","FQ2 2021","Currency=USD","Period=FQ","BEST_FPERIOD_OVERRIDE=FQ","FILING_STATUS=MR","Sort=A","Dates=H","DateFormat=P","Fill=—","Direction=H","UseDPDF=Y")</f>
        <v>3.8012999999999999</v>
      </c>
      <c r="N16" s="14">
        <f>_xll.BDH("ALNY US Equity","FNCL_LVRG","FQ3 2021","FQ3 2021","Currency=USD","Period=FQ","BEST_FPERIOD_OVERRIDE=FQ","FILING_STATUS=MR","Sort=A","Dates=H","DateFormat=P","Fill=—","Direction=H","UseDPDF=Y")</f>
        <v>4.3384999999999998</v>
      </c>
      <c r="O16" s="14">
        <f>_xll.BDH("ALNY US Equity","FNCL_LVRG","FQ4 2021","FQ4 2021","Currency=USD","Period=FQ","BEST_FPERIOD_OVERRIDE=FQ","FILING_STATUS=MR","Sort=A","Dates=H","DateFormat=P","Fill=—","Direction=H","UseDPDF=Y")</f>
        <v>5.2939999999999996</v>
      </c>
      <c r="P16" s="14">
        <f>_xll.BDH("ALNY US Equity","FNCL_LVRG","FQ1 2022","FQ1 2022","Currency=USD","Period=FQ","BEST_FPERIOD_OVERRIDE=FQ","FILING_STATUS=MR","Sort=A","Dates=H","DateFormat=P","Fill=—","Direction=H","UseDPDF=Y")</f>
        <v>7.1528999999999998</v>
      </c>
      <c r="Q16" s="14">
        <f>_xll.BDH("ALNY US Equity","FNCL_LVRG","FQ2 2022","FQ2 2022","Currency=USD","Period=FQ","BEST_FPERIOD_OVERRIDE=FQ","FILING_STATUS=MR","Sort=A","Dates=H","DateFormat=P","Fill=—","Direction=H","UseDPDF=Y")</f>
        <v>11.718500000000001</v>
      </c>
      <c r="R16" s="14">
        <f>_xll.BDH("ALNY US Equity","FNCL_LVRG","FQ3 2022","FQ3 2022","Currency=USD","Period=FQ","BEST_FPERIOD_OVERRIDE=FQ","FILING_STATUS=MR","Sort=A","Dates=H","DateFormat=P","Fill=—","Direction=H","UseDPDF=Y")</f>
        <v>63.335299999999997</v>
      </c>
      <c r="S16" s="14" t="str">
        <f>_xll.BDH("ALNY US Equity","FNCL_LVRG","FQ4 2022","FQ4 2022","Currency=USD","Period=FQ","BEST_FPERIOD_OVERRIDE=FQ","FILING_STATUS=MR","Sort=A","Dates=H","DateFormat=P","Fill=—","Direction=H","UseDPDF=Y")</f>
        <v>—</v>
      </c>
      <c r="T16" s="14" t="str">
        <f>_xll.BDH("ALNY US Equity","FNCL_LVRG","FQ1 2023","FQ1 2023","Currency=USD","Period=FQ","BEST_FPERIOD_OVERRIDE=FQ","FILING_STATUS=MR","Sort=A","Dates=H","DateFormat=P","Fill=—","Direction=H","UseDPDF=Y")</f>
        <v>—</v>
      </c>
      <c r="U16" s="14" t="str">
        <f>_xll.BDH("ALNY US Equity","FNCL_LVRG","FQ2 2023","FQ2 2023","Currency=USD","Period=FQ","BEST_FPERIOD_OVERRIDE=FQ","FILING_STATUS=MR","Sort=A","Dates=H","DateFormat=P","Fill=—","Direction=H","UseDPDF=Y")</f>
        <v>—</v>
      </c>
      <c r="V16" s="14" t="str">
        <f>_xll.BDH("ALNY US Equity","FNCL_LVRG","FQ3 2023","FQ3 2023","Currency=USD","Period=FQ","BEST_FPERIOD_OVERRIDE=FQ","FILING_STATUS=MR","Sort=A","Dates=H","DateFormat=P","Fill=—","Direction=H","UseDPDF=Y")</f>
        <v>—</v>
      </c>
      <c r="W16" s="14" t="str">
        <f>_xll.BDH("ALNY US Equity","FNCL_LVRG","FQ4 2023","FQ4 2023","Currency=USD","Period=FQ","BEST_FPERIOD_OVERRIDE=FQ","FILING_STATUS=MR","Sort=A","Dates=H","DateFormat=P","Fill=—","Direction=H","UseDPDF=Y")</f>
        <v>—</v>
      </c>
      <c r="X16" s="14" t="str">
        <f>_xll.BDH("ALNY US Equity","FNCL_LVRG","FQ1 2024","FQ1 2024","Currency=USD","Period=FQ","BEST_FPERIOD_OVERRIDE=FQ","FILING_STATUS=MR","Sort=A","Dates=H","DateFormat=P","Fill=—","Direction=H","UseDPDF=Y")</f>
        <v>—</v>
      </c>
      <c r="Y16" s="14" t="str">
        <f>_xll.BDH("ALNY US Equity","FNCL_LVRG","FQ2 2024","FQ2 2024","Currency=USD","Period=FQ","BEST_FPERIOD_OVERRIDE=FQ","FILING_STATUS=MR","Sort=A","Dates=H","DateFormat=P","Fill=—","Direction=H","UseDPDF=Y")</f>
        <v>—</v>
      </c>
      <c r="Z16" s="14">
        <f>_xll.BDH("ALNY US Equity","FNCL_LVRG","FQ3 2024","FQ3 2024","Currency=USD","Period=FQ","BEST_FPERIOD_OVERRIDE=FQ","FILING_STATUS=MR","Sort=A","Dates=H","DateFormat=P","Fill=—","Direction=H","UseDPDF=Y")</f>
        <v>280.48869999999999</v>
      </c>
      <c r="AA16" s="14">
        <f>_xll.BDH("ALNY US Equity","FNCL_LVRG","FQ4 2024","FQ4 2024","Currency=USD","Period=FQ","BEST_FPERIOD_OVERRIDE=FQ","FILING_STATUS=MR","Sort=A","Dates=H","DateFormat=P","Fill=—","Direction=H","UseDPDF=Y")</f>
        <v>84.924099999999996</v>
      </c>
    </row>
    <row r="17" spans="1:27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0" t="s">
        <v>1589</v>
      </c>
      <c r="B18" s="10" t="s">
        <v>1590</v>
      </c>
      <c r="C18" s="14">
        <f>_xll.BDH("ALNY US Equity","NORMALIZED_ROE","FQ4 2018","FQ4 2018","Currency=USD","Period=FQ","BEST_FPERIOD_OVERRIDE=FQ","FILING_STATUS=MR","FA_ADJUSTED=GAAP","Sort=A","Dates=H","DateFormat=P","Fill=—","Direction=H","UseDPDF=Y")</f>
        <v>-50.975200000000001</v>
      </c>
      <c r="D18" s="14">
        <f>_xll.BDH("ALNY US Equity","NORMALIZED_ROE","FQ1 2019","FQ1 2019","Currency=USD","Period=FQ","BEST_FPERIOD_OVERRIDE=FQ","FILING_STATUS=MR","FA_ADJUSTED=GAAP","Sort=A","Dates=H","DateFormat=P","Fill=—","Direction=H","UseDPDF=Y")</f>
        <v>-49.837299999999999</v>
      </c>
      <c r="E18" s="14">
        <f>_xll.BDH("ALNY US Equity","NORMALIZED_ROE","FQ2 2019","FQ2 2019","Currency=USD","Period=FQ","BEST_FPERIOD_OVERRIDE=FQ","FILING_STATUS=MR","FA_ADJUSTED=GAAP","Sort=A","Dates=H","DateFormat=P","Fill=—","Direction=H","UseDPDF=Y")</f>
        <v>-51.364199999999997</v>
      </c>
      <c r="F18" s="14">
        <f>_xll.BDH("ALNY US Equity","NORMALIZED_ROE","FQ3 2019","FQ3 2019","Currency=USD","Period=FQ","BEST_FPERIOD_OVERRIDE=FQ","FILING_STATUS=MR","FA_ADJUSTED=GAAP","Sort=A","Dates=H","DateFormat=P","Fill=—","Direction=H","UseDPDF=Y")</f>
        <v>-53.8566</v>
      </c>
      <c r="G18" s="14">
        <f>_xll.BDH("ALNY US Equity","NORMALIZED_ROE","FQ4 2019","FQ4 2019","Currency=USD","Period=FQ","BEST_FPERIOD_OVERRIDE=FQ","FILING_STATUS=MR","FA_ADJUSTED=GAAP","Sort=A","Dates=H","DateFormat=P","Fill=—","Direction=H","UseDPDF=Y")</f>
        <v>-66.174300000000002</v>
      </c>
      <c r="H18" s="14">
        <f>_xll.BDH("ALNY US Equity","NORMALIZED_ROE","FQ1 2020","FQ1 2020","Currency=USD","Period=FQ","BEST_FPERIOD_OVERRIDE=FQ","FILING_STATUS=MR","FA_ADJUSTED=GAAP","Sort=A","Dates=H","DateFormat=P","Fill=—","Direction=H","UseDPDF=Y")</f>
        <v>-64.295000000000002</v>
      </c>
      <c r="I18" s="14">
        <f>_xll.BDH("ALNY US Equity","NORMALIZED_ROE","FQ2 2020","FQ2 2020","Currency=USD","Period=FQ","BEST_FPERIOD_OVERRIDE=FQ","FILING_STATUS=MR","FA_ADJUSTED=GAAP","Sort=A","Dates=H","DateFormat=P","Fill=—","Direction=H","UseDPDF=Y")</f>
        <v>-58.753599999999999</v>
      </c>
      <c r="J18" s="14">
        <f>_xll.BDH("ALNY US Equity","NORMALIZED_ROE","FQ3 2020","FQ3 2020","Currency=USD","Period=FQ","BEST_FPERIOD_OVERRIDE=FQ","FILING_STATUS=MR","FA_ADJUSTED=GAAP","Sort=A","Dates=H","DateFormat=P","Fill=—","Direction=H","UseDPDF=Y")</f>
        <v>-66.597499999999997</v>
      </c>
      <c r="K18" s="14">
        <f>_xll.BDH("ALNY US Equity","NORMALIZED_ROE","FQ4 2020","FQ4 2020","Currency=USD","Period=FQ","BEST_FPERIOD_OVERRIDE=FQ","FILING_STATUS=MR","FA_ADJUSTED=GAAP","Sort=A","Dates=H","DateFormat=P","Fill=—","Direction=H","UseDPDF=Y")</f>
        <v>-71.123199999999997</v>
      </c>
      <c r="L18" s="14">
        <f>_xll.BDH("ALNY US Equity","NORMALIZED_ROE","FQ1 2021","FQ1 2021","Currency=USD","Period=FQ","BEST_FPERIOD_OVERRIDE=FQ","FILING_STATUS=MR","FA_ADJUSTED=GAAP","Sort=A","Dates=H","DateFormat=P","Fill=—","Direction=H","UseDPDF=Y")</f>
        <v>-80.318399999999997</v>
      </c>
      <c r="M18" s="14">
        <f>_xll.BDH("ALNY US Equity","NORMALIZED_ROE","FQ2 2021","FQ2 2021","Currency=USD","Period=FQ","BEST_FPERIOD_OVERRIDE=FQ","FILING_STATUS=MR","FA_ADJUSTED=GAAP","Sort=A","Dates=H","DateFormat=P","Fill=—","Direction=H","UseDPDF=Y")</f>
        <v>-77.585300000000004</v>
      </c>
      <c r="N18" s="14">
        <f>_xll.BDH("ALNY US Equity","NORMALIZED_ROE","FQ3 2021","FQ3 2021","Currency=USD","Period=FQ","BEST_FPERIOD_OVERRIDE=FQ","FILING_STATUS=MR","FA_ADJUSTED=GAAP","Sort=A","Dates=H","DateFormat=P","Fill=—","Direction=H","UseDPDF=Y")</f>
        <v>-87.916200000000003</v>
      </c>
      <c r="O18" s="14">
        <f>_xll.BDH("ALNY US Equity","NORMALIZED_ROE","FQ4 2021","FQ4 2021","Currency=USD","Period=FQ","BEST_FPERIOD_OVERRIDE=FQ","FILING_STATUS=MR","FA_ADJUSTED=GAAP","Sort=A","Dates=H","DateFormat=P","Fill=—","Direction=H","UseDPDF=Y")</f>
        <v>-112.0034</v>
      </c>
      <c r="P18" s="14">
        <f>_xll.BDH("ALNY US Equity","NORMALIZED_ROE","FQ1 2022","FQ1 2022","Currency=USD","Period=FQ","BEST_FPERIOD_OVERRIDE=FQ","FILING_STATUS=MR","FA_ADJUSTED=GAAP","Sort=A","Dates=H","DateFormat=P","Fill=—","Direction=H","UseDPDF=Y")</f>
        <v>-129.63999999999999</v>
      </c>
      <c r="Q18" s="14">
        <f>_xll.BDH("ALNY US Equity","NORMALIZED_ROE","FQ2 2022","FQ2 2022","Currency=USD","Period=FQ","BEST_FPERIOD_OVERRIDE=FQ","FILING_STATUS=MR","FA_ADJUSTED=GAAP","Sort=A","Dates=H","DateFormat=P","Fill=—","Direction=H","UseDPDF=Y")</f>
        <v>-184.87860000000001</v>
      </c>
      <c r="R18" s="14" t="str">
        <f>_xll.BDH("ALNY US Equity","NORMALIZED_ROE","FQ3 2022","FQ3 2022","Currency=USD","Period=FQ","BEST_FPERIOD_OVERRIDE=FQ","FILING_STATUS=MR","FA_ADJUSTED=GAAP","Sort=A","Dates=H","DateFormat=P","Fill=—","Direction=H","UseDPDF=Y")</f>
        <v>—</v>
      </c>
      <c r="S18" s="14" t="str">
        <f>_xll.BDH("ALNY US Equity","NORMALIZED_ROE","FQ4 2022","FQ4 2022","Currency=USD","Period=FQ","BEST_FPERIOD_OVERRIDE=FQ","FILING_STATUS=MR","FA_ADJUSTED=GAAP","Sort=A","Dates=H","DateFormat=P","Fill=—","Direction=H","UseDPDF=Y")</f>
        <v>—</v>
      </c>
      <c r="T18" s="14" t="str">
        <f>_xll.BDH("ALNY US Equity","NORMALIZED_ROE","FQ1 2023","FQ1 2023","Currency=USD","Period=FQ","BEST_FPERIOD_OVERRIDE=FQ","FILING_STATUS=MR","FA_ADJUSTED=GAAP","Sort=A","Dates=H","DateFormat=P","Fill=—","Direction=H","UseDPDF=Y")</f>
        <v>—</v>
      </c>
      <c r="U18" s="14" t="str">
        <f>_xll.BDH("ALNY US Equity","NORMALIZED_ROE","FQ2 2023","FQ2 2023","Currency=USD","Period=FQ","BEST_FPERIOD_OVERRIDE=FQ","FILING_STATUS=MR","FA_ADJUSTED=GAAP","Sort=A","Dates=H","DateFormat=P","Fill=—","Direction=H","UseDPDF=Y")</f>
        <v>—</v>
      </c>
      <c r="V18" s="14" t="str">
        <f>_xll.BDH("ALNY US Equity","NORMALIZED_ROE","FQ3 2023","FQ3 2023","Currency=USD","Period=FQ","BEST_FPERIOD_OVERRIDE=FQ","FILING_STATUS=MR","FA_ADJUSTED=GAAP","Sort=A","Dates=H","DateFormat=P","Fill=—","Direction=H","UseDPDF=Y")</f>
        <v>—</v>
      </c>
      <c r="W18" s="14" t="str">
        <f>_xll.BDH("ALNY US Equity","NORMALIZED_ROE","FQ4 2023","FQ4 2023","Currency=USD","Period=FQ","BEST_FPERIOD_OVERRIDE=FQ","FILING_STATUS=MR","FA_ADJUSTED=GAAP","Sort=A","Dates=H","DateFormat=P","Fill=—","Direction=H","UseDPDF=Y")</f>
        <v>—</v>
      </c>
      <c r="X18" s="14" t="str">
        <f>_xll.BDH("ALNY US Equity","NORMALIZED_ROE","FQ1 2024","FQ1 2024","Currency=USD","Period=FQ","BEST_FPERIOD_OVERRIDE=FQ","FILING_STATUS=MR","FA_ADJUSTED=GAAP","Sort=A","Dates=H","DateFormat=P","Fill=—","Direction=H","UseDPDF=Y")</f>
        <v>—</v>
      </c>
      <c r="Y18" s="14" t="str">
        <f>_xll.BDH("ALNY US Equity","NORMALIZED_ROE","FQ2 2024","FQ2 2024","Currency=USD","Period=FQ","BEST_FPERIOD_OVERRIDE=FQ","FILING_STATUS=MR","FA_ADJUSTED=GAAP","Sort=A","Dates=H","DateFormat=P","Fill=—","Direction=H","UseDPDF=Y")</f>
        <v>—</v>
      </c>
      <c r="Z18" s="14" t="str">
        <f>_xll.BDH("ALNY US Equity","NORMALIZED_ROE","FQ3 2024","FQ3 2024","Currency=USD","Period=FQ","BEST_FPERIOD_OVERRIDE=FQ","FILING_STATUS=MR","FA_ADJUSTED=GAAP","Sort=A","Dates=H","DateFormat=P","Fill=—","Direction=H","UseDPDF=Y")</f>
        <v>—</v>
      </c>
      <c r="AA18" s="14" t="str">
        <f>_xll.BDH("ALNY US Equity","NORMALIZED_ROE","FQ4 2024","FQ4 2024","Currency=USD","Period=FQ","BEST_FPERIOD_OVERRIDE=FQ","FILING_STATUS=MR","FA_ADJUSTED=GAAP","Sort=A","Dates=H","DateFormat=P","Fill=—","Direction=H","UseDPDF=Y")</f>
        <v>—</v>
      </c>
    </row>
    <row r="19" spans="1:27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5">
      <c r="A20" s="10" t="s">
        <v>1591</v>
      </c>
      <c r="B20" s="10" t="s">
        <v>1592</v>
      </c>
      <c r="C20" s="14">
        <f>_xll.BDH("ALNY US Equity","5_YEAR_AVERAGE_ADJUSTED_ROE","FQ4 2018","FQ4 2018","Currency=USD","Period=FQ","BEST_FPERIOD_OVERRIDE=FQ","FILING_STATUS=MR","FA_ADJUSTED=GAAP","Sort=A","Dates=H","DateFormat=P","Fill=—","Direction=H","UseDPDF=Y")</f>
        <v>-45.436300000000003</v>
      </c>
      <c r="D20" s="14">
        <f>_xll.BDH("ALNY US Equity","5_YEAR_AVERAGE_ADJUSTED_ROE","FQ1 2019","FQ1 2019","Currency=USD","Period=FQ","BEST_FPERIOD_OVERRIDE=FQ","FILING_STATUS=MR","FA_ADJUSTED=GAAP","Sort=A","Dates=H","DateFormat=P","Fill=—","Direction=H","UseDPDF=Y")</f>
        <v>-48.123699999999999</v>
      </c>
      <c r="E20" s="14">
        <f>_xll.BDH("ALNY US Equity","5_YEAR_AVERAGE_ADJUSTED_ROE","FQ2 2019","FQ2 2019","Currency=USD","Period=FQ","BEST_FPERIOD_OVERRIDE=FQ","FILING_STATUS=MR","FA_ADJUSTED=GAAP","Sort=A","Dates=H","DateFormat=P","Fill=—","Direction=H","UseDPDF=Y")</f>
        <v>-50.2834</v>
      </c>
      <c r="F20" s="14">
        <f>_xll.BDH("ALNY US Equity","5_YEAR_AVERAGE_ADJUSTED_ROE","FQ3 2019","FQ3 2019","Currency=USD","Period=FQ","BEST_FPERIOD_OVERRIDE=FQ","FILING_STATUS=MR","FA_ADJUSTED=GAAP","Sort=A","Dates=H","DateFormat=P","Fill=—","Direction=H","UseDPDF=Y")</f>
        <v>-52.446100000000001</v>
      </c>
      <c r="G20" s="14">
        <f>_xll.BDH("ALNY US Equity","5_YEAR_AVERAGE_ADJUSTED_ROE","FQ4 2019","FQ4 2019","Currency=USD","Period=FQ","BEST_FPERIOD_OVERRIDE=FQ","FILING_STATUS=MR","FA_ADJUSTED=GAAP","Sort=A","Dates=H","DateFormat=P","Fill=—","Direction=H","UseDPDF=Y")</f>
        <v>-54.441499999999998</v>
      </c>
      <c r="H20" s="14">
        <f>_xll.BDH("ALNY US Equity","5_YEAR_AVERAGE_ADJUSTED_ROE","FQ1 2020","FQ1 2020","Currency=USD","Period=FQ","BEST_FPERIOD_OVERRIDE=FQ","FILING_STATUS=MR","FA_ADJUSTED=GAAP","Sort=A","Dates=H","DateFormat=P","Fill=—","Direction=H","UseDPDF=Y")</f>
        <v>-57.105499999999999</v>
      </c>
      <c r="I20" s="14">
        <f>_xll.BDH("ALNY US Equity","5_YEAR_AVERAGE_ADJUSTED_ROE","FQ2 2020","FQ2 2020","Currency=USD","Period=FQ","BEST_FPERIOD_OVERRIDE=FQ","FILING_STATUS=MR","FA_ADJUSTED=GAAP","Sort=A","Dates=H","DateFormat=P","Fill=—","Direction=H","UseDPDF=Y")</f>
        <v>-58.8887</v>
      </c>
      <c r="J20" s="14">
        <f>_xll.BDH("ALNY US Equity","5_YEAR_AVERAGE_ADJUSTED_ROE","FQ3 2020","FQ3 2020","Currency=USD","Period=FQ","BEST_FPERIOD_OVERRIDE=FQ","FILING_STATUS=MR","FA_ADJUSTED=GAAP","Sort=A","Dates=H","DateFormat=P","Fill=—","Direction=H","UseDPDF=Y")</f>
        <v>-61.935400000000001</v>
      </c>
      <c r="K20" s="14">
        <f>_xll.BDH("ALNY US Equity","5_YEAR_AVERAGE_ADJUSTED_ROE","FQ4 2020","FQ4 2020","Currency=USD","Period=FQ","BEST_FPERIOD_OVERRIDE=FQ","FILING_STATUS=MR","FA_ADJUSTED=GAAP","Sort=A","Dates=H","DateFormat=P","Fill=—","Direction=H","UseDPDF=Y")</f>
        <v>-65.3887</v>
      </c>
      <c r="L20" s="14">
        <f>_xll.BDH("ALNY US Equity","5_YEAR_AVERAGE_ADJUSTED_ROE","FQ1 2021","FQ1 2021","Currency=USD","Period=FQ","BEST_FPERIOD_OVERRIDE=FQ","FILING_STATUS=MR","FA_ADJUSTED=GAAP","Sort=A","Dates=H","DateFormat=P","Fill=—","Direction=H","UseDPDF=Y")</f>
        <v>-68.217600000000004</v>
      </c>
      <c r="M20" s="14">
        <f>_xll.BDH("ALNY US Equity","5_YEAR_AVERAGE_ADJUSTED_ROE","FQ2 2021","FQ2 2021","Currency=USD","Period=FQ","BEST_FPERIOD_OVERRIDE=FQ","FILING_STATUS=MR","FA_ADJUSTED=GAAP","Sort=A","Dates=H","DateFormat=P","Fill=—","Direction=H","UseDPDF=Y")</f>
        <v>-70.875600000000006</v>
      </c>
      <c r="N20" s="14">
        <f>_xll.BDH("ALNY US Equity","5_YEAR_AVERAGE_ADJUSTED_ROE","FQ3 2021","FQ3 2021","Currency=USD","Period=FQ","BEST_FPERIOD_OVERRIDE=FQ","FILING_STATUS=MR","FA_ADJUSTED=GAAP","Sort=A","Dates=H","DateFormat=P","Fill=—","Direction=H","UseDPDF=Y")</f>
        <v>-76.708100000000002</v>
      </c>
      <c r="O20" s="14">
        <f>_xll.BDH("ALNY US Equity","5_YEAR_AVERAGE_ADJUSTED_ROE","FQ4 2021","FQ4 2021","Currency=USD","Period=FQ","BEST_FPERIOD_OVERRIDE=FQ","FILING_STATUS=MR","FA_ADJUSTED=GAAP","Sort=A","Dates=H","DateFormat=P","Fill=—","Direction=H","UseDPDF=Y")</f>
        <v>-85.789299999999997</v>
      </c>
      <c r="P20" s="14">
        <f>_xll.BDH("ALNY US Equity","5_YEAR_AVERAGE_ADJUSTED_ROE","FQ1 2022","FQ1 2022","Currency=USD","Period=FQ","BEST_FPERIOD_OVERRIDE=FQ","FILING_STATUS=MR","FA_ADJUSTED=GAAP","Sort=A","Dates=H","DateFormat=P","Fill=—","Direction=H","UseDPDF=Y")</f>
        <v>-97.492699999999999</v>
      </c>
      <c r="Q20" s="14">
        <f>_xll.BDH("ALNY US Equity","5_YEAR_AVERAGE_ADJUSTED_ROE","FQ2 2022","FQ2 2022","Currency=USD","Period=FQ","BEST_FPERIOD_OVERRIDE=FQ","FILING_STATUS=MR","FA_ADJUSTED=GAAP","Sort=A","Dates=H","DateFormat=P","Fill=—","Direction=H","UseDPDF=Y")</f>
        <v>-118.40470000000001</v>
      </c>
      <c r="R20" s="14" t="str">
        <f>_xll.BDH("ALNY US Equity","5_YEAR_AVERAGE_ADJUSTED_ROE","FQ3 2022","FQ3 2022","Currency=USD","Period=FQ","BEST_FPERIOD_OVERRIDE=FQ","FILING_STATUS=MR","FA_ADJUSTED=GAAP","Sort=A","Dates=H","DateFormat=P","Fill=—","Direction=H","UseDPDF=Y")</f>
        <v>—</v>
      </c>
      <c r="S20" s="14" t="str">
        <f>_xll.BDH("ALNY US Equity","5_YEAR_AVERAGE_ADJUSTED_ROE","FQ4 2022","FQ4 2022","Currency=USD","Period=FQ","BEST_FPERIOD_OVERRIDE=FQ","FILING_STATUS=MR","FA_ADJUSTED=GAAP","Sort=A","Dates=H","DateFormat=P","Fill=—","Direction=H","UseDPDF=Y")</f>
        <v>—</v>
      </c>
      <c r="T20" s="14" t="str">
        <f>_xll.BDH("ALNY US Equity","5_YEAR_AVERAGE_ADJUSTED_ROE","FQ1 2023","FQ1 2023","Currency=USD","Period=FQ","BEST_FPERIOD_OVERRIDE=FQ","FILING_STATUS=MR","FA_ADJUSTED=GAAP","Sort=A","Dates=H","DateFormat=P","Fill=—","Direction=H","UseDPDF=Y")</f>
        <v>—</v>
      </c>
      <c r="U20" s="14" t="str">
        <f>_xll.BDH("ALNY US Equity","5_YEAR_AVERAGE_ADJUSTED_ROE","FQ2 2023","FQ2 2023","Currency=USD","Period=FQ","BEST_FPERIOD_OVERRIDE=FQ","FILING_STATUS=MR","FA_ADJUSTED=GAAP","Sort=A","Dates=H","DateFormat=P","Fill=—","Direction=H","UseDPDF=Y")</f>
        <v>—</v>
      </c>
      <c r="V20" s="14" t="str">
        <f>_xll.BDH("ALNY US Equity","5_YEAR_AVERAGE_ADJUSTED_ROE","FQ3 2023","FQ3 2023","Currency=USD","Period=FQ","BEST_FPERIOD_OVERRIDE=FQ","FILING_STATUS=MR","FA_ADJUSTED=GAAP","Sort=A","Dates=H","DateFormat=P","Fill=—","Direction=H","UseDPDF=Y")</f>
        <v>—</v>
      </c>
      <c r="W20" s="14" t="str">
        <f>_xll.BDH("ALNY US Equity","5_YEAR_AVERAGE_ADJUSTED_ROE","FQ4 2023","FQ4 2023","Currency=USD","Period=FQ","BEST_FPERIOD_OVERRIDE=FQ","FILING_STATUS=MR","FA_ADJUSTED=GAAP","Sort=A","Dates=H","DateFormat=P","Fill=—","Direction=H","UseDPDF=Y")</f>
        <v>—</v>
      </c>
      <c r="X20" s="14" t="str">
        <f>_xll.BDH("ALNY US Equity","5_YEAR_AVERAGE_ADJUSTED_ROE","FQ1 2024","FQ1 2024","Currency=USD","Period=FQ","BEST_FPERIOD_OVERRIDE=FQ","FILING_STATUS=MR","FA_ADJUSTED=GAAP","Sort=A","Dates=H","DateFormat=P","Fill=—","Direction=H","UseDPDF=Y")</f>
        <v>—</v>
      </c>
      <c r="Y20" s="14" t="str">
        <f>_xll.BDH("ALNY US Equity","5_YEAR_AVERAGE_ADJUSTED_ROE","FQ2 2024","FQ2 2024","Currency=USD","Period=FQ","BEST_FPERIOD_OVERRIDE=FQ","FILING_STATUS=MR","FA_ADJUSTED=GAAP","Sort=A","Dates=H","DateFormat=P","Fill=—","Direction=H","UseDPDF=Y")</f>
        <v>—</v>
      </c>
      <c r="Z20" s="14" t="str">
        <f>_xll.BDH("ALNY US Equity","5_YEAR_AVERAGE_ADJUSTED_ROE","FQ3 2024","FQ3 2024","Currency=USD","Period=FQ","BEST_FPERIOD_OVERRIDE=FQ","FILING_STATUS=MR","FA_ADJUSTED=GAAP","Sort=A","Dates=H","DateFormat=P","Fill=—","Direction=H","UseDPDF=Y")</f>
        <v>—</v>
      </c>
      <c r="AA20" s="14" t="str">
        <f>_xll.BDH("ALNY US Equity","5_YEAR_AVERAGE_ADJUSTED_ROE","FQ4 2024","FQ4 2024","Currency=USD","Period=FQ","BEST_FPERIOD_OVERRIDE=FQ","FILING_STATUS=MR","FA_ADJUSTED=GAAP","Sort=A","Dates=H","DateFormat=P","Fill=—","Direction=H","UseDPDF=Y")</f>
        <v>—</v>
      </c>
    </row>
    <row r="21" spans="1:27" x14ac:dyDescent="0.25">
      <c r="A21" s="10" t="s">
        <v>1593</v>
      </c>
      <c r="B21" s="10" t="s">
        <v>1365</v>
      </c>
      <c r="C21" s="14" t="str">
        <f>_xll.BDH("ALNY US Equity","DVD_PAYOUT_RATIO","FQ4 2018","FQ4 2018","Currency=USD","Period=FQ","BEST_FPERIOD_OVERRIDE=FQ","FILING_STATUS=MR","FA_ADJUSTED=GAAP","Sort=A","Dates=H","DateFormat=P","Fill=—","Direction=H","UseDPDF=Y")</f>
        <v>—</v>
      </c>
      <c r="D21" s="14" t="str">
        <f>_xll.BDH("ALNY US Equity","DVD_PAYOUT_RATIO","FQ1 2019","FQ1 2019","Currency=USD","Period=FQ","BEST_FPERIOD_OVERRIDE=FQ","FILING_STATUS=MR","FA_ADJUSTED=GAAP","Sort=A","Dates=H","DateFormat=P","Fill=—","Direction=H","UseDPDF=Y")</f>
        <v>—</v>
      </c>
      <c r="E21" s="14" t="str">
        <f>_xll.BDH("ALNY US Equity","DVD_PAYOUT_RATIO","FQ2 2019","FQ2 2019","Currency=USD","Period=FQ","BEST_FPERIOD_OVERRIDE=FQ","FILING_STATUS=MR","FA_ADJUSTED=GAAP","Sort=A","Dates=H","DateFormat=P","Fill=—","Direction=H","UseDPDF=Y")</f>
        <v>—</v>
      </c>
      <c r="F21" s="14" t="str">
        <f>_xll.BDH("ALNY US Equity","DVD_PAYOUT_RATIO","FQ3 2019","FQ3 2019","Currency=USD","Period=FQ","BEST_FPERIOD_OVERRIDE=FQ","FILING_STATUS=MR","FA_ADJUSTED=GAAP","Sort=A","Dates=H","DateFormat=P","Fill=—","Direction=H","UseDPDF=Y")</f>
        <v>—</v>
      </c>
      <c r="G21" s="14" t="str">
        <f>_xll.BDH("ALNY US Equity","DVD_PAYOUT_RATIO","FQ4 2019","FQ4 2019","Currency=USD","Period=FQ","BEST_FPERIOD_OVERRIDE=FQ","FILING_STATUS=MR","FA_ADJUSTED=GAAP","Sort=A","Dates=H","DateFormat=P","Fill=—","Direction=H","UseDPDF=Y")</f>
        <v>—</v>
      </c>
      <c r="H21" s="14" t="str">
        <f>_xll.BDH("ALNY US Equity","DVD_PAYOUT_RATIO","FQ1 2020","FQ1 2020","Currency=USD","Period=FQ","BEST_FPERIOD_OVERRIDE=FQ","FILING_STATUS=MR","FA_ADJUSTED=GAAP","Sort=A","Dates=H","DateFormat=P","Fill=—","Direction=H","UseDPDF=Y")</f>
        <v>—</v>
      </c>
      <c r="I21" s="14" t="str">
        <f>_xll.BDH("ALNY US Equity","DVD_PAYOUT_RATIO","FQ2 2020","FQ2 2020","Currency=USD","Period=FQ","BEST_FPERIOD_OVERRIDE=FQ","FILING_STATUS=MR","FA_ADJUSTED=GAAP","Sort=A","Dates=H","DateFormat=P","Fill=—","Direction=H","UseDPDF=Y")</f>
        <v>—</v>
      </c>
      <c r="J21" s="14" t="str">
        <f>_xll.BDH("ALNY US Equity","DVD_PAYOUT_RATIO","FQ3 2020","FQ3 2020","Currency=USD","Period=FQ","BEST_FPERIOD_OVERRIDE=FQ","FILING_STATUS=MR","FA_ADJUSTED=GAAP","Sort=A","Dates=H","DateFormat=P","Fill=—","Direction=H","UseDPDF=Y")</f>
        <v>—</v>
      </c>
      <c r="K21" s="14" t="str">
        <f>_xll.BDH("ALNY US Equity","DVD_PAYOUT_RATIO","FQ4 2020","FQ4 2020","Currency=USD","Period=FQ","BEST_FPERIOD_OVERRIDE=FQ","FILING_STATUS=MR","FA_ADJUSTED=GAAP","Sort=A","Dates=H","DateFormat=P","Fill=—","Direction=H","UseDPDF=Y")</f>
        <v>—</v>
      </c>
      <c r="L21" s="14" t="str">
        <f>_xll.BDH("ALNY US Equity","DVD_PAYOUT_RATIO","FQ1 2021","FQ1 2021","Currency=USD","Period=FQ","BEST_FPERIOD_OVERRIDE=FQ","FILING_STATUS=MR","FA_ADJUSTED=GAAP","Sort=A","Dates=H","DateFormat=P","Fill=—","Direction=H","UseDPDF=Y")</f>
        <v>—</v>
      </c>
      <c r="M21" s="14" t="str">
        <f>_xll.BDH("ALNY US Equity","DVD_PAYOUT_RATIO","FQ2 2021","FQ2 2021","Currency=USD","Period=FQ","BEST_FPERIOD_OVERRIDE=FQ","FILING_STATUS=MR","FA_ADJUSTED=GAAP","Sort=A","Dates=H","DateFormat=P","Fill=—","Direction=H","UseDPDF=Y")</f>
        <v>—</v>
      </c>
      <c r="N21" s="14" t="str">
        <f>_xll.BDH("ALNY US Equity","DVD_PAYOUT_RATIO","FQ3 2021","FQ3 2021","Currency=USD","Period=FQ","BEST_FPERIOD_OVERRIDE=FQ","FILING_STATUS=MR","FA_ADJUSTED=GAAP","Sort=A","Dates=H","DateFormat=P","Fill=—","Direction=H","UseDPDF=Y")</f>
        <v>—</v>
      </c>
      <c r="O21" s="14" t="str">
        <f>_xll.BDH("ALNY US Equity","DVD_PAYOUT_RATIO","FQ4 2021","FQ4 2021","Currency=USD","Period=FQ","BEST_FPERIOD_OVERRIDE=FQ","FILING_STATUS=MR","FA_ADJUSTED=GAAP","Sort=A","Dates=H","DateFormat=P","Fill=—","Direction=H","UseDPDF=Y")</f>
        <v>—</v>
      </c>
      <c r="P21" s="14" t="str">
        <f>_xll.BDH("ALNY US Equity","DVD_PAYOUT_RATIO","FQ1 2022","FQ1 2022","Currency=USD","Period=FQ","BEST_FPERIOD_OVERRIDE=FQ","FILING_STATUS=MR","FA_ADJUSTED=GAAP","Sort=A","Dates=H","DateFormat=P","Fill=—","Direction=H","UseDPDF=Y")</f>
        <v>—</v>
      </c>
      <c r="Q21" s="14" t="str">
        <f>_xll.BDH("ALNY US Equity","DVD_PAYOUT_RATIO","FQ2 2022","FQ2 2022","Currency=USD","Period=FQ","BEST_FPERIOD_OVERRIDE=FQ","FILING_STATUS=MR","FA_ADJUSTED=GAAP","Sort=A","Dates=H","DateFormat=P","Fill=—","Direction=H","UseDPDF=Y")</f>
        <v>—</v>
      </c>
      <c r="R21" s="14" t="str">
        <f>_xll.BDH("ALNY US Equity","DVD_PAYOUT_RATIO","FQ3 2022","FQ3 2022","Currency=USD","Period=FQ","BEST_FPERIOD_OVERRIDE=FQ","FILING_STATUS=MR","FA_ADJUSTED=GAAP","Sort=A","Dates=H","DateFormat=P","Fill=—","Direction=H","UseDPDF=Y")</f>
        <v>—</v>
      </c>
      <c r="S21" s="14" t="str">
        <f>_xll.BDH("ALNY US Equity","DVD_PAYOUT_RATIO","FQ4 2022","FQ4 2022","Currency=USD","Period=FQ","BEST_FPERIOD_OVERRIDE=FQ","FILING_STATUS=MR","FA_ADJUSTED=GAAP","Sort=A","Dates=H","DateFormat=P","Fill=—","Direction=H","UseDPDF=Y")</f>
        <v>—</v>
      </c>
      <c r="T21" s="14" t="str">
        <f>_xll.BDH("ALNY US Equity","DVD_PAYOUT_RATIO","FQ1 2023","FQ1 2023","Currency=USD","Period=FQ","BEST_FPERIOD_OVERRIDE=FQ","FILING_STATUS=MR","FA_ADJUSTED=GAAP","Sort=A","Dates=H","DateFormat=P","Fill=—","Direction=H","UseDPDF=Y")</f>
        <v>—</v>
      </c>
      <c r="U21" s="14" t="str">
        <f>_xll.BDH("ALNY US Equity","DVD_PAYOUT_RATIO","FQ2 2023","FQ2 2023","Currency=USD","Period=FQ","BEST_FPERIOD_OVERRIDE=FQ","FILING_STATUS=MR","FA_ADJUSTED=GAAP","Sort=A","Dates=H","DateFormat=P","Fill=—","Direction=H","UseDPDF=Y")</f>
        <v>—</v>
      </c>
      <c r="V21" s="14">
        <f>_xll.BDH("ALNY US Equity","DVD_PAYOUT_RATIO","FQ3 2023","FQ3 2023","Currency=USD","Period=FQ","BEST_FPERIOD_OVERRIDE=FQ","FILING_STATUS=MR","FA_ADJUSTED=GAAP","Sort=A","Dates=H","DateFormat=P","Fill=—","Direction=H","UseDPDF=Y")</f>
        <v>0</v>
      </c>
      <c r="W21" s="14" t="str">
        <f>_xll.BDH("ALNY US Equity","DVD_PAYOUT_RATIO","FQ4 2023","FQ4 2023","Currency=USD","Period=FQ","BEST_FPERIOD_OVERRIDE=FQ","FILING_STATUS=MR","FA_ADJUSTED=GAAP","Sort=A","Dates=H","DateFormat=P","Fill=—","Direction=H","UseDPDF=Y")</f>
        <v>—</v>
      </c>
      <c r="X21" s="14" t="str">
        <f>_xll.BDH("ALNY US Equity","DVD_PAYOUT_RATIO","FQ1 2024","FQ1 2024","Currency=USD","Period=FQ","BEST_FPERIOD_OVERRIDE=FQ","FILING_STATUS=MR","FA_ADJUSTED=GAAP","Sort=A","Dates=H","DateFormat=P","Fill=—","Direction=H","UseDPDF=Y")</f>
        <v>—</v>
      </c>
      <c r="Y21" s="14" t="str">
        <f>_xll.BDH("ALNY US Equity","DVD_PAYOUT_RATIO","FQ2 2024","FQ2 2024","Currency=USD","Period=FQ","BEST_FPERIOD_OVERRIDE=FQ","FILING_STATUS=MR","FA_ADJUSTED=GAAP","Sort=A","Dates=H","DateFormat=P","Fill=—","Direction=H","UseDPDF=Y")</f>
        <v>—</v>
      </c>
      <c r="Z21" s="14" t="str">
        <f>_xll.BDH("ALNY US Equity","DVD_PAYOUT_RATIO","FQ3 2024","FQ3 2024","Currency=USD","Period=FQ","BEST_FPERIOD_OVERRIDE=FQ","FILING_STATUS=MR","FA_ADJUSTED=GAAP","Sort=A","Dates=H","DateFormat=P","Fill=—","Direction=H","UseDPDF=Y")</f>
        <v>—</v>
      </c>
      <c r="AA21" s="14" t="str">
        <f>_xll.BDH("ALNY US Equity","DVD_PAYOUT_RATIO","FQ4 2024","FQ4 2024","Currency=USD","Period=FQ","BEST_FPERIOD_OVERRIDE=FQ","FILING_STATUS=MR","FA_ADJUSTED=GAAP","Sort=A","Dates=H","DateFormat=P","Fill=—","Direction=H","UseDPDF=Y")</f>
        <v>—</v>
      </c>
    </row>
    <row r="22" spans="1:27" x14ac:dyDescent="0.25">
      <c r="A22" s="7" t="s">
        <v>90</v>
      </c>
      <c r="B22" s="7"/>
      <c r="C22" s="7" t="s">
        <v>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Z7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</cols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0.25" x14ac:dyDescent="0.25">
      <c r="A2" s="8" t="s">
        <v>1594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3" t="s">
        <v>92</v>
      </c>
      <c r="B4" s="3"/>
      <c r="C4" s="30" t="s">
        <v>93</v>
      </c>
      <c r="D4" s="30"/>
      <c r="E4" s="30" t="s">
        <v>94</v>
      </c>
      <c r="F4" s="30"/>
      <c r="G4" s="30" t="s">
        <v>9</v>
      </c>
      <c r="H4" s="30"/>
      <c r="I4" s="30" t="s">
        <v>10</v>
      </c>
      <c r="J4" s="30"/>
      <c r="K4" s="30" t="s">
        <v>11</v>
      </c>
      <c r="L4" s="30"/>
      <c r="M4" s="30" t="s">
        <v>12</v>
      </c>
      <c r="N4" s="30"/>
      <c r="O4" s="30" t="s">
        <v>13</v>
      </c>
      <c r="P4" s="30"/>
      <c r="Q4" s="30" t="s">
        <v>14</v>
      </c>
      <c r="R4" s="30"/>
      <c r="S4" s="30" t="s">
        <v>15</v>
      </c>
      <c r="T4" s="30"/>
      <c r="U4" s="30" t="s">
        <v>16</v>
      </c>
      <c r="V4" s="30"/>
      <c r="W4" s="30" t="s">
        <v>17</v>
      </c>
      <c r="X4" s="30"/>
      <c r="Y4" s="30" t="s">
        <v>18</v>
      </c>
      <c r="Z4" s="30"/>
      <c r="AA4" s="30" t="s">
        <v>19</v>
      </c>
      <c r="AB4" s="30"/>
      <c r="AC4" s="30" t="s">
        <v>20</v>
      </c>
      <c r="AD4" s="30"/>
      <c r="AE4" s="30" t="s">
        <v>21</v>
      </c>
      <c r="AF4" s="30"/>
      <c r="AG4" s="30" t="s">
        <v>22</v>
      </c>
      <c r="AH4" s="30"/>
      <c r="AI4" s="30" t="s">
        <v>23</v>
      </c>
      <c r="AJ4" s="30"/>
      <c r="AK4" s="30" t="s">
        <v>24</v>
      </c>
      <c r="AL4" s="30"/>
      <c r="AM4" s="30" t="s">
        <v>25</v>
      </c>
      <c r="AN4" s="30"/>
      <c r="AO4" s="30" t="s">
        <v>26</v>
      </c>
      <c r="AP4" s="30"/>
      <c r="AQ4" s="30" t="s">
        <v>27</v>
      </c>
      <c r="AR4" s="30"/>
      <c r="AS4" s="30" t="s">
        <v>28</v>
      </c>
      <c r="AT4" s="30"/>
      <c r="AU4" s="30" t="s">
        <v>29</v>
      </c>
      <c r="AV4" s="30"/>
      <c r="AW4" s="30" t="s">
        <v>30</v>
      </c>
      <c r="AX4" s="30"/>
      <c r="AY4" s="30" t="s">
        <v>31</v>
      </c>
      <c r="AZ4" s="30"/>
    </row>
    <row r="5" spans="1:52" x14ac:dyDescent="0.25">
      <c r="A5" s="9" t="s">
        <v>34</v>
      </c>
      <c r="B5" s="9"/>
      <c r="C5" s="31" t="s">
        <v>95</v>
      </c>
      <c r="D5" s="31"/>
      <c r="E5" s="31" t="s">
        <v>96</v>
      </c>
      <c r="F5" s="31"/>
      <c r="G5" s="31" t="s">
        <v>35</v>
      </c>
      <c r="H5" s="31"/>
      <c r="I5" s="31" t="s">
        <v>36</v>
      </c>
      <c r="J5" s="31"/>
      <c r="K5" s="31" t="s">
        <v>37</v>
      </c>
      <c r="L5" s="31"/>
      <c r="M5" s="31" t="s">
        <v>38</v>
      </c>
      <c r="N5" s="31"/>
      <c r="O5" s="31" t="s">
        <v>39</v>
      </c>
      <c r="P5" s="31"/>
      <c r="Q5" s="31" t="s">
        <v>40</v>
      </c>
      <c r="R5" s="31"/>
      <c r="S5" s="31" t="s">
        <v>41</v>
      </c>
      <c r="T5" s="31"/>
      <c r="U5" s="31" t="s">
        <v>42</v>
      </c>
      <c r="V5" s="31"/>
      <c r="W5" s="31" t="s">
        <v>43</v>
      </c>
      <c r="X5" s="31"/>
      <c r="Y5" s="31" t="s">
        <v>44</v>
      </c>
      <c r="Z5" s="31"/>
      <c r="AA5" s="31" t="s">
        <v>45</v>
      </c>
      <c r="AB5" s="31"/>
      <c r="AC5" s="31" t="s">
        <v>46</v>
      </c>
      <c r="AD5" s="31"/>
      <c r="AE5" s="31" t="s">
        <v>47</v>
      </c>
      <c r="AF5" s="31"/>
      <c r="AG5" s="31" t="s">
        <v>48</v>
      </c>
      <c r="AH5" s="31"/>
      <c r="AI5" s="31" t="s">
        <v>49</v>
      </c>
      <c r="AJ5" s="31"/>
      <c r="AK5" s="31" t="s">
        <v>50</v>
      </c>
      <c r="AL5" s="31"/>
      <c r="AM5" s="31" t="s">
        <v>51</v>
      </c>
      <c r="AN5" s="31"/>
      <c r="AO5" s="31" t="s">
        <v>52</v>
      </c>
      <c r="AP5" s="31"/>
      <c r="AQ5" s="31" t="s">
        <v>53</v>
      </c>
      <c r="AR5" s="31"/>
      <c r="AS5" s="31" t="s">
        <v>54</v>
      </c>
      <c r="AT5" s="31"/>
      <c r="AU5" s="31" t="s">
        <v>55</v>
      </c>
      <c r="AV5" s="31"/>
      <c r="AW5" s="31" t="s">
        <v>56</v>
      </c>
      <c r="AX5" s="31"/>
      <c r="AY5" s="31" t="s">
        <v>57</v>
      </c>
      <c r="AZ5" s="31"/>
    </row>
    <row r="6" spans="1:52" x14ac:dyDescent="0.25">
      <c r="A6" s="6" t="s">
        <v>0</v>
      </c>
      <c r="B6" s="6"/>
      <c r="C6" s="36">
        <v>21.033000000000001</v>
      </c>
      <c r="D6" s="37">
        <v>1</v>
      </c>
      <c r="E6" s="36">
        <v>33.293999999999997</v>
      </c>
      <c r="F6" s="37">
        <v>1</v>
      </c>
      <c r="G6" s="36">
        <v>44.713999999999999</v>
      </c>
      <c r="H6" s="37">
        <v>1</v>
      </c>
      <c r="I6" s="36">
        <v>70.061000000000007</v>
      </c>
      <c r="J6" s="37">
        <v>1</v>
      </c>
      <c r="K6" s="36">
        <v>71.680999999999997</v>
      </c>
      <c r="L6" s="37">
        <v>1</v>
      </c>
      <c r="M6" s="36">
        <v>99.475999999999999</v>
      </c>
      <c r="N6" s="37">
        <v>1</v>
      </c>
      <c r="O6" s="36">
        <v>103.962</v>
      </c>
      <c r="P6" s="37">
        <v>1</v>
      </c>
      <c r="Q6" s="36">
        <v>125.85299999999999</v>
      </c>
      <c r="R6" s="37">
        <v>1</v>
      </c>
      <c r="S6" s="36">
        <v>163.56200000000001</v>
      </c>
      <c r="T6" s="37">
        <v>1</v>
      </c>
      <c r="U6" s="36">
        <v>177.566</v>
      </c>
      <c r="V6" s="37">
        <v>1</v>
      </c>
      <c r="W6" s="36">
        <v>220.553</v>
      </c>
      <c r="X6" s="37">
        <v>1</v>
      </c>
      <c r="Y6" s="36">
        <v>187.63300000000001</v>
      </c>
      <c r="Z6" s="37">
        <v>1</v>
      </c>
      <c r="AA6" s="36">
        <v>258.53500000000003</v>
      </c>
      <c r="AB6" s="37">
        <v>1</v>
      </c>
      <c r="AC6" s="36">
        <v>213.25899999999999</v>
      </c>
      <c r="AD6" s="37">
        <v>1</v>
      </c>
      <c r="AE6" s="36">
        <v>224.81800000000001</v>
      </c>
      <c r="AF6" s="37">
        <v>1</v>
      </c>
      <c r="AG6" s="36">
        <v>264.30599999999998</v>
      </c>
      <c r="AH6" s="37">
        <v>1</v>
      </c>
      <c r="AI6" s="36">
        <v>335.03500000000003</v>
      </c>
      <c r="AJ6" s="37">
        <v>1</v>
      </c>
      <c r="AK6" s="36">
        <v>319.29000000000002</v>
      </c>
      <c r="AL6" s="37">
        <v>1</v>
      </c>
      <c r="AM6" s="36">
        <v>318.75400000000002</v>
      </c>
      <c r="AN6" s="37">
        <v>1</v>
      </c>
      <c r="AO6" s="36">
        <v>750.53</v>
      </c>
      <c r="AP6" s="37">
        <v>1</v>
      </c>
      <c r="AQ6" s="36">
        <v>439.71800000000002</v>
      </c>
      <c r="AR6" s="37">
        <v>1</v>
      </c>
      <c r="AS6" s="36">
        <v>494.33300000000003</v>
      </c>
      <c r="AT6" s="37">
        <v>1</v>
      </c>
      <c r="AU6" s="36">
        <v>659.82500000000005</v>
      </c>
      <c r="AV6" s="37">
        <v>1</v>
      </c>
      <c r="AW6" s="36">
        <v>500.91899999999998</v>
      </c>
      <c r="AX6" s="37">
        <v>1</v>
      </c>
      <c r="AY6" s="36">
        <v>593.16600000000005</v>
      </c>
      <c r="AZ6" s="37">
        <v>1</v>
      </c>
    </row>
    <row r="7" spans="1:52" x14ac:dyDescent="0.25">
      <c r="A7" s="10" t="s">
        <v>1595</v>
      </c>
      <c r="B7" s="10"/>
      <c r="C7" s="32">
        <v>12.074999999999999</v>
      </c>
      <c r="D7" s="33">
        <v>0.57409784624161997</v>
      </c>
      <c r="E7" s="32">
        <v>26.291</v>
      </c>
      <c r="F7" s="33">
        <v>0.78966180092509197</v>
      </c>
      <c r="G7" s="32">
        <v>38.231000000000002</v>
      </c>
      <c r="H7" s="33">
        <v>0.85501185311088201</v>
      </c>
      <c r="I7" s="32">
        <v>46.066000000000003</v>
      </c>
      <c r="J7" s="33">
        <v>0.657512738898959</v>
      </c>
      <c r="K7" s="32">
        <v>55.948999999999998</v>
      </c>
      <c r="L7" s="33">
        <v>0.78052761540715099</v>
      </c>
      <c r="M7" s="32">
        <v>71.938000000000002</v>
      </c>
      <c r="N7" s="33">
        <v>0.72316940769632898</v>
      </c>
      <c r="O7" s="32">
        <v>77.533000000000001</v>
      </c>
      <c r="P7" s="33">
        <v>0.74578211269502304</v>
      </c>
      <c r="Q7" s="32">
        <v>99.206000000000003</v>
      </c>
      <c r="R7" s="33">
        <v>0.78826885334477503</v>
      </c>
      <c r="S7" s="32">
        <v>112.843</v>
      </c>
      <c r="T7" s="33">
        <v>0.68990963671268402</v>
      </c>
      <c r="U7" s="32">
        <v>135.76900000000001</v>
      </c>
      <c r="V7" s="33">
        <v>0.76461146841174599</v>
      </c>
      <c r="W7" s="32">
        <v>160.81100000000001</v>
      </c>
      <c r="X7" s="33">
        <v>0.72912633244616898</v>
      </c>
      <c r="Y7" s="32">
        <v>167.04400000000001</v>
      </c>
      <c r="Z7" s="33">
        <v>0.89026983526351999</v>
      </c>
      <c r="AA7" s="32">
        <v>198.51400000000001</v>
      </c>
      <c r="AB7" s="33">
        <v>0.76784187827566897</v>
      </c>
      <c r="AC7" s="32">
        <v>186.87200000000001</v>
      </c>
      <c r="AD7" s="33">
        <v>0.87626782457012398</v>
      </c>
      <c r="AE7" s="32">
        <v>213.51499999999999</v>
      </c>
      <c r="AF7" s="33">
        <v>0.94972377656593299</v>
      </c>
      <c r="AG7" s="32">
        <v>232.267</v>
      </c>
      <c r="AH7" s="33">
        <v>0.87878065575507203</v>
      </c>
      <c r="AI7" s="32">
        <v>261.67500000000001</v>
      </c>
      <c r="AJ7" s="33">
        <v>0.78103780202068496</v>
      </c>
      <c r="AK7" s="32">
        <v>276.32799999999997</v>
      </c>
      <c r="AL7" s="33">
        <v>0.86544520655203705</v>
      </c>
      <c r="AM7" s="32">
        <v>305.70499999999998</v>
      </c>
      <c r="AN7" s="33">
        <v>0.95906247451012405</v>
      </c>
      <c r="AO7" s="32">
        <v>313.15300000000002</v>
      </c>
      <c r="AP7" s="33">
        <v>0.417242481979401</v>
      </c>
      <c r="AQ7" s="32">
        <v>346.28800000000001</v>
      </c>
      <c r="AR7" s="33">
        <v>0.78752291241204597</v>
      </c>
      <c r="AS7" s="32">
        <v>365.16300000000001</v>
      </c>
      <c r="AT7" s="33">
        <v>0.73869840775347795</v>
      </c>
      <c r="AU7" s="32">
        <v>410.08800000000002</v>
      </c>
      <c r="AV7" s="33">
        <v>0.62151024892964002</v>
      </c>
      <c r="AW7" s="32">
        <v>420.14600000000002</v>
      </c>
      <c r="AX7" s="33">
        <v>0.83875037680742803</v>
      </c>
      <c r="AY7" s="32">
        <v>450.83100000000002</v>
      </c>
      <c r="AZ7" s="33">
        <v>0.760041876978789</v>
      </c>
    </row>
    <row r="8" spans="1:52" x14ac:dyDescent="0.25">
      <c r="A8" s="10" t="s">
        <v>1596</v>
      </c>
      <c r="B8" s="10"/>
      <c r="C8" s="32" t="s">
        <v>141</v>
      </c>
      <c r="D8" s="33"/>
      <c r="E8" s="32" t="s">
        <v>141</v>
      </c>
      <c r="F8" s="33"/>
      <c r="G8" s="32" t="s">
        <v>141</v>
      </c>
      <c r="H8" s="33"/>
      <c r="I8" s="32" t="s">
        <v>141</v>
      </c>
      <c r="J8" s="33"/>
      <c r="K8" s="32" t="s">
        <v>141</v>
      </c>
      <c r="L8" s="33"/>
      <c r="M8" s="32" t="s">
        <v>141</v>
      </c>
      <c r="N8" s="33"/>
      <c r="O8" s="32" t="s">
        <v>141</v>
      </c>
      <c r="P8" s="33"/>
      <c r="Q8" s="32" t="s">
        <v>141</v>
      </c>
      <c r="R8" s="33"/>
      <c r="S8" s="32" t="s">
        <v>141</v>
      </c>
      <c r="T8" s="33"/>
      <c r="U8" s="32" t="s">
        <v>141</v>
      </c>
      <c r="V8" s="33"/>
      <c r="W8" s="32" t="s">
        <v>141</v>
      </c>
      <c r="X8" s="33"/>
      <c r="Y8" s="32" t="s">
        <v>141</v>
      </c>
      <c r="Z8" s="33"/>
      <c r="AA8" s="32" t="s">
        <v>141</v>
      </c>
      <c r="AB8" s="33"/>
      <c r="AC8" s="32" t="s">
        <v>141</v>
      </c>
      <c r="AD8" s="33"/>
      <c r="AE8" s="32" t="s">
        <v>141</v>
      </c>
      <c r="AF8" s="33"/>
      <c r="AG8" s="32">
        <v>25.228999999999999</v>
      </c>
      <c r="AH8" s="33">
        <v>9.5453754360476095E-2</v>
      </c>
      <c r="AI8" s="32">
        <v>68.566000000000003</v>
      </c>
      <c r="AJ8" s="33">
        <v>0.20465324518333899</v>
      </c>
      <c r="AK8" s="32">
        <v>101.768</v>
      </c>
      <c r="AL8" s="33">
        <v>0.31873218703999501</v>
      </c>
      <c r="AM8" s="32">
        <v>132.136</v>
      </c>
      <c r="AN8" s="33">
        <v>0.41453911166605001</v>
      </c>
      <c r="AO8" s="32">
        <v>148.68</v>
      </c>
      <c r="AP8" s="33">
        <v>0.19810000932674199</v>
      </c>
      <c r="AQ8" s="32">
        <v>175.25399999999999</v>
      </c>
      <c r="AR8" s="33">
        <v>0.39855998617295602</v>
      </c>
      <c r="AS8" s="32">
        <v>195.24100000000001</v>
      </c>
      <c r="AT8" s="33">
        <v>0.39495845917630401</v>
      </c>
      <c r="AU8" s="32">
        <v>230.10900000000001</v>
      </c>
      <c r="AV8" s="33">
        <v>0.34874246959421101</v>
      </c>
      <c r="AW8" s="32">
        <v>258.58999999999997</v>
      </c>
      <c r="AX8" s="33">
        <v>0.51623116711484296</v>
      </c>
      <c r="AY8" s="32">
        <v>286.51</v>
      </c>
      <c r="AZ8" s="33">
        <v>0.48301824447119401</v>
      </c>
    </row>
    <row r="9" spans="1:52" x14ac:dyDescent="0.25">
      <c r="A9" s="10" t="s">
        <v>1597</v>
      </c>
      <c r="B9" s="10"/>
      <c r="C9" s="32" t="s">
        <v>141</v>
      </c>
      <c r="D9" s="33"/>
      <c r="E9" s="32" t="s">
        <v>141</v>
      </c>
      <c r="F9" s="33"/>
      <c r="G9" s="32" t="s">
        <v>141</v>
      </c>
      <c r="H9" s="33"/>
      <c r="I9" s="32" t="s">
        <v>141</v>
      </c>
      <c r="J9" s="33"/>
      <c r="K9" s="32" t="s">
        <v>141</v>
      </c>
      <c r="L9" s="33"/>
      <c r="M9" s="32" t="s">
        <v>141</v>
      </c>
      <c r="N9" s="33"/>
      <c r="O9" s="32" t="s">
        <v>141</v>
      </c>
      <c r="P9" s="33"/>
      <c r="Q9" s="32" t="s">
        <v>141</v>
      </c>
      <c r="R9" s="33"/>
      <c r="S9" s="32" t="s">
        <v>141</v>
      </c>
      <c r="T9" s="33"/>
      <c r="U9" s="32" t="s">
        <v>141</v>
      </c>
      <c r="V9" s="33"/>
      <c r="W9" s="32" t="s">
        <v>141</v>
      </c>
      <c r="X9" s="33"/>
      <c r="Y9" s="32" t="s">
        <v>141</v>
      </c>
      <c r="Z9" s="33"/>
      <c r="AA9" s="32" t="s">
        <v>141</v>
      </c>
      <c r="AB9" s="33"/>
      <c r="AC9" s="32" t="s">
        <v>141</v>
      </c>
      <c r="AD9" s="33"/>
      <c r="AE9" s="32" t="s">
        <v>141</v>
      </c>
      <c r="AF9" s="33"/>
      <c r="AG9" s="32">
        <v>25.06</v>
      </c>
      <c r="AH9" s="33">
        <v>9.4814343980083704E-2</v>
      </c>
      <c r="AI9" s="32">
        <v>57.460999999999999</v>
      </c>
      <c r="AJ9" s="33">
        <v>0.17150745444505799</v>
      </c>
      <c r="AK9" s="32">
        <v>79.013000000000005</v>
      </c>
      <c r="AL9" s="33">
        <v>0.24746468727489099</v>
      </c>
      <c r="AM9" s="32">
        <v>96.468999999999994</v>
      </c>
      <c r="AN9" s="33">
        <v>0.30264404525119698</v>
      </c>
      <c r="AO9" s="32">
        <v>113.508</v>
      </c>
      <c r="AP9" s="33">
        <v>0.15123712576446</v>
      </c>
      <c r="AQ9" s="32">
        <v>122.179</v>
      </c>
      <c r="AR9" s="33">
        <v>0.27785762693362598</v>
      </c>
      <c r="AS9" s="32">
        <v>130.238</v>
      </c>
      <c r="AT9" s="33">
        <v>0.26346207920571801</v>
      </c>
      <c r="AU9" s="32">
        <v>148.46299999999999</v>
      </c>
      <c r="AV9" s="33">
        <v>0.225003599439245</v>
      </c>
      <c r="AW9" s="32">
        <v>168.65799999999999</v>
      </c>
      <c r="AX9" s="33">
        <v>0.33669715063712902</v>
      </c>
      <c r="AY9" s="32">
        <v>183.25399999999999</v>
      </c>
      <c r="AZ9" s="33">
        <v>0.30894218481841501</v>
      </c>
    </row>
    <row r="10" spans="1:52" x14ac:dyDescent="0.25">
      <c r="A10" s="10" t="s">
        <v>1598</v>
      </c>
      <c r="B10" s="10"/>
      <c r="C10" s="32" t="s">
        <v>141</v>
      </c>
      <c r="D10" s="33"/>
      <c r="E10" s="32" t="s">
        <v>141</v>
      </c>
      <c r="F10" s="33"/>
      <c r="G10" s="32" t="s">
        <v>141</v>
      </c>
      <c r="H10" s="33"/>
      <c r="I10" s="32" t="s">
        <v>141</v>
      </c>
      <c r="J10" s="33"/>
      <c r="K10" s="32" t="s">
        <v>141</v>
      </c>
      <c r="L10" s="33"/>
      <c r="M10" s="32" t="s">
        <v>141</v>
      </c>
      <c r="N10" s="33"/>
      <c r="O10" s="32" t="s">
        <v>141</v>
      </c>
      <c r="P10" s="33"/>
      <c r="Q10" s="32" t="s">
        <v>141</v>
      </c>
      <c r="R10" s="33"/>
      <c r="S10" s="32" t="s">
        <v>141</v>
      </c>
      <c r="T10" s="33"/>
      <c r="U10" s="32" t="s">
        <v>141</v>
      </c>
      <c r="V10" s="33"/>
      <c r="W10" s="32" t="s">
        <v>141</v>
      </c>
      <c r="X10" s="33"/>
      <c r="Y10" s="32" t="s">
        <v>141</v>
      </c>
      <c r="Z10" s="33"/>
      <c r="AA10" s="32" t="s">
        <v>141</v>
      </c>
      <c r="AB10" s="33"/>
      <c r="AC10" s="32" t="s">
        <v>141</v>
      </c>
      <c r="AD10" s="33"/>
      <c r="AE10" s="32" t="s">
        <v>141</v>
      </c>
      <c r="AF10" s="33"/>
      <c r="AG10" s="32">
        <v>0.16900000000000001</v>
      </c>
      <c r="AH10" s="33">
        <v>6.3941038039242403E-4</v>
      </c>
      <c r="AI10" s="32">
        <v>4.0449999999999999</v>
      </c>
      <c r="AJ10" s="33">
        <v>1.20733654692793E-2</v>
      </c>
      <c r="AK10" s="32">
        <v>6.7679999999999998</v>
      </c>
      <c r="AL10" s="33">
        <v>2.1197030912336701E-2</v>
      </c>
      <c r="AM10" s="32">
        <v>14.404999999999999</v>
      </c>
      <c r="AN10" s="33">
        <v>4.5191589752599202E-2</v>
      </c>
      <c r="AO10" s="32">
        <v>19.417000000000002</v>
      </c>
      <c r="AP10" s="33">
        <v>2.5871051123872502E-2</v>
      </c>
      <c r="AQ10" s="32">
        <v>30.308</v>
      </c>
      <c r="AR10" s="33">
        <v>6.8925993477637906E-2</v>
      </c>
      <c r="AS10" s="32">
        <v>43.732999999999997</v>
      </c>
      <c r="AT10" s="33">
        <v>8.8468704294473594E-2</v>
      </c>
      <c r="AU10" s="32">
        <v>56.76</v>
      </c>
      <c r="AV10" s="33">
        <v>8.6022809078164703E-2</v>
      </c>
      <c r="AW10" s="32">
        <v>65.14</v>
      </c>
      <c r="AX10" s="33">
        <v>0.130040984670176</v>
      </c>
      <c r="AY10" s="32">
        <v>69.808000000000007</v>
      </c>
      <c r="AZ10" s="33">
        <v>0.117687122997609</v>
      </c>
    </row>
    <row r="11" spans="1:52" x14ac:dyDescent="0.25">
      <c r="A11" s="10" t="s">
        <v>1599</v>
      </c>
      <c r="B11" s="10"/>
      <c r="C11" s="32" t="s">
        <v>141</v>
      </c>
      <c r="D11" s="33"/>
      <c r="E11" s="32" t="s">
        <v>141</v>
      </c>
      <c r="F11" s="33"/>
      <c r="G11" s="32" t="s">
        <v>141</v>
      </c>
      <c r="H11" s="33"/>
      <c r="I11" s="32" t="s">
        <v>141</v>
      </c>
      <c r="J11" s="33"/>
      <c r="K11" s="32" t="s">
        <v>141</v>
      </c>
      <c r="L11" s="33"/>
      <c r="M11" s="32" t="s">
        <v>141</v>
      </c>
      <c r="N11" s="33"/>
      <c r="O11" s="32" t="s">
        <v>141</v>
      </c>
      <c r="P11" s="33"/>
      <c r="Q11" s="32" t="s">
        <v>141</v>
      </c>
      <c r="R11" s="33"/>
      <c r="S11" s="32" t="s">
        <v>141</v>
      </c>
      <c r="T11" s="33"/>
      <c r="U11" s="32" t="s">
        <v>141</v>
      </c>
      <c r="V11" s="33"/>
      <c r="W11" s="32" t="s">
        <v>141</v>
      </c>
      <c r="X11" s="33"/>
      <c r="Y11" s="32" t="s">
        <v>141</v>
      </c>
      <c r="Z11" s="33"/>
      <c r="AA11" s="32" t="s">
        <v>141</v>
      </c>
      <c r="AB11" s="33"/>
      <c r="AC11" s="32" t="s">
        <v>141</v>
      </c>
      <c r="AD11" s="33"/>
      <c r="AE11" s="32" t="s">
        <v>141</v>
      </c>
      <c r="AF11" s="33"/>
      <c r="AG11" s="32" t="s">
        <v>141</v>
      </c>
      <c r="AH11" s="33"/>
      <c r="AI11" s="32">
        <v>7.06</v>
      </c>
      <c r="AJ11" s="33">
        <v>2.1072425269001799E-2</v>
      </c>
      <c r="AK11" s="32">
        <v>15.987</v>
      </c>
      <c r="AL11" s="33">
        <v>5.00704688527671E-2</v>
      </c>
      <c r="AM11" s="32">
        <v>21.262</v>
      </c>
      <c r="AN11" s="33">
        <v>6.6703476662253694E-2</v>
      </c>
      <c r="AO11" s="32">
        <v>15.755000000000001</v>
      </c>
      <c r="AP11" s="33">
        <v>2.0991832438410199E-2</v>
      </c>
      <c r="AQ11" s="32">
        <v>22.766999999999999</v>
      </c>
      <c r="AR11" s="33">
        <v>5.17763657616927E-2</v>
      </c>
      <c r="AS11" s="32">
        <v>21.27</v>
      </c>
      <c r="AT11" s="33">
        <v>4.3027675676113097E-2</v>
      </c>
      <c r="AU11" s="32">
        <v>24.885999999999999</v>
      </c>
      <c r="AV11" s="33">
        <v>3.77160610768007E-2</v>
      </c>
      <c r="AW11" s="32">
        <v>24.792000000000002</v>
      </c>
      <c r="AX11" s="33">
        <v>4.9493031807537703E-2</v>
      </c>
      <c r="AY11" s="32">
        <v>33.448</v>
      </c>
      <c r="AZ11" s="33">
        <v>5.63889366551691E-2</v>
      </c>
    </row>
    <row r="12" spans="1:52" x14ac:dyDescent="0.25">
      <c r="A12" s="10" t="s">
        <v>1600</v>
      </c>
      <c r="B12" s="10"/>
      <c r="C12" s="32" t="s">
        <v>141</v>
      </c>
      <c r="D12" s="33"/>
      <c r="E12" s="32">
        <v>0</v>
      </c>
      <c r="F12" s="33"/>
      <c r="G12" s="32">
        <v>0</v>
      </c>
      <c r="H12" s="33"/>
      <c r="I12" s="32">
        <v>0</v>
      </c>
      <c r="J12" s="33"/>
      <c r="K12" s="32">
        <v>0.15</v>
      </c>
      <c r="L12" s="33">
        <v>2.0926047348669798E-3</v>
      </c>
      <c r="M12" s="32">
        <v>5.274</v>
      </c>
      <c r="N12" s="33">
        <v>5.30178133419116E-2</v>
      </c>
      <c r="O12" s="32">
        <v>10.997999999999999</v>
      </c>
      <c r="P12" s="33">
        <v>0.105788653546488</v>
      </c>
      <c r="Q12" s="32">
        <v>16.690000000000001</v>
      </c>
      <c r="R12" s="33">
        <v>0.13261503500115199</v>
      </c>
      <c r="S12" s="32">
        <v>21.835000000000001</v>
      </c>
      <c r="T12" s="33">
        <v>0.133496777980215</v>
      </c>
      <c r="U12" s="32">
        <v>24.672999999999998</v>
      </c>
      <c r="V12" s="33">
        <v>0.138951150558102</v>
      </c>
      <c r="W12" s="32">
        <v>30.63</v>
      </c>
      <c r="X12" s="33">
        <v>0.138878183475174</v>
      </c>
      <c r="Y12" s="32">
        <v>31.832999999999998</v>
      </c>
      <c r="Z12" s="33">
        <v>0.169655657586885</v>
      </c>
      <c r="AA12" s="32">
        <v>40.679000000000002</v>
      </c>
      <c r="AB12" s="33">
        <v>0.15734426673371099</v>
      </c>
      <c r="AC12" s="32">
        <v>35.277000000000001</v>
      </c>
      <c r="AD12" s="33">
        <v>0.16541857553491299</v>
      </c>
      <c r="AE12" s="32">
        <v>45.15</v>
      </c>
      <c r="AF12" s="33">
        <v>0.200829115106442</v>
      </c>
      <c r="AG12" s="32">
        <v>45.658999999999999</v>
      </c>
      <c r="AH12" s="33">
        <v>0.17275052401383201</v>
      </c>
      <c r="AI12" s="32">
        <v>47.058</v>
      </c>
      <c r="AJ12" s="33">
        <v>0.140456967182533</v>
      </c>
      <c r="AK12" s="32">
        <v>47.905999999999999</v>
      </c>
      <c r="AL12" s="33">
        <v>0.15003914936264801</v>
      </c>
      <c r="AM12" s="32">
        <v>57.899000000000001</v>
      </c>
      <c r="AN12" s="33">
        <v>0.181641642144099</v>
      </c>
      <c r="AO12" s="32">
        <v>54.148000000000003</v>
      </c>
      <c r="AP12" s="33">
        <v>7.2146349912728294E-2</v>
      </c>
      <c r="AQ12" s="32">
        <v>59.298000000000002</v>
      </c>
      <c r="AR12" s="33">
        <v>0.13485461136455601</v>
      </c>
      <c r="AS12" s="32">
        <v>58.055999999999997</v>
      </c>
      <c r="AT12" s="33">
        <v>0.117443100096494</v>
      </c>
      <c r="AU12" s="32">
        <v>62.127000000000002</v>
      </c>
      <c r="AV12" s="33">
        <v>9.4156783995756402E-2</v>
      </c>
      <c r="AW12" s="32">
        <v>71.043000000000006</v>
      </c>
      <c r="AX12" s="33">
        <v>0.14182532505255299</v>
      </c>
      <c r="AY12" s="32">
        <v>64.644999999999996</v>
      </c>
      <c r="AZ12" s="33">
        <v>0.108982982841228</v>
      </c>
    </row>
    <row r="13" spans="1:52" x14ac:dyDescent="0.25">
      <c r="A13" s="10" t="s">
        <v>1597</v>
      </c>
      <c r="B13" s="10"/>
      <c r="C13" s="32" t="s">
        <v>141</v>
      </c>
      <c r="D13" s="33"/>
      <c r="E13" s="32" t="s">
        <v>141</v>
      </c>
      <c r="F13" s="33"/>
      <c r="G13" s="32" t="s">
        <v>141</v>
      </c>
      <c r="H13" s="33"/>
      <c r="I13" s="32" t="s">
        <v>141</v>
      </c>
      <c r="J13" s="33"/>
      <c r="K13" s="32" t="s">
        <v>141</v>
      </c>
      <c r="L13" s="33"/>
      <c r="M13" s="32">
        <v>5.274</v>
      </c>
      <c r="N13" s="33">
        <v>5.30178133419116E-2</v>
      </c>
      <c r="O13" s="32">
        <v>8.6609999999999996</v>
      </c>
      <c r="P13" s="33">
        <v>8.3309286085300402E-2</v>
      </c>
      <c r="Q13" s="32">
        <v>12.108000000000001</v>
      </c>
      <c r="R13" s="33">
        <v>9.6207480155419398E-2</v>
      </c>
      <c r="S13" s="32">
        <v>16.754000000000001</v>
      </c>
      <c r="T13" s="33">
        <v>0.102432105256722</v>
      </c>
      <c r="U13" s="32">
        <v>17.762</v>
      </c>
      <c r="V13" s="33">
        <v>0.10003041122737499</v>
      </c>
      <c r="W13" s="32">
        <v>22.367999999999999</v>
      </c>
      <c r="X13" s="33">
        <v>0.10141779980322201</v>
      </c>
      <c r="Y13" s="32">
        <v>22.372</v>
      </c>
      <c r="Z13" s="33">
        <v>0.11923275756396801</v>
      </c>
      <c r="AA13" s="32">
        <v>30.245000000000001</v>
      </c>
      <c r="AB13" s="33">
        <v>0.11698609472605299</v>
      </c>
      <c r="AC13" s="32">
        <v>23.675000000000001</v>
      </c>
      <c r="AD13" s="33">
        <v>0.11101524437421199</v>
      </c>
      <c r="AE13" s="32">
        <v>29.661000000000001</v>
      </c>
      <c r="AF13" s="33">
        <v>0.13193338611677</v>
      </c>
      <c r="AG13" s="32">
        <v>31.169</v>
      </c>
      <c r="AH13" s="33">
        <v>0.117927705008588</v>
      </c>
      <c r="AI13" s="32">
        <v>31.154</v>
      </c>
      <c r="AJ13" s="33">
        <v>9.2987299834345699E-2</v>
      </c>
      <c r="AK13" s="32">
        <v>30.291</v>
      </c>
      <c r="AL13" s="33">
        <v>9.4869867518556805E-2</v>
      </c>
      <c r="AM13" s="32">
        <v>35.195999999999998</v>
      </c>
      <c r="AN13" s="33">
        <v>0.110417437898819</v>
      </c>
      <c r="AO13" s="32">
        <v>37.009</v>
      </c>
      <c r="AP13" s="33">
        <v>4.9310487255672698E-2</v>
      </c>
      <c r="AQ13" s="32">
        <v>39.457999999999998</v>
      </c>
      <c r="AR13" s="33">
        <v>8.9734784566472103E-2</v>
      </c>
      <c r="AS13" s="32">
        <v>38.731000000000002</v>
      </c>
      <c r="AT13" s="33">
        <v>7.8350019116668307E-2</v>
      </c>
      <c r="AU13" s="32">
        <v>41.225000000000001</v>
      </c>
      <c r="AV13" s="33">
        <v>6.2478687530784699E-2</v>
      </c>
      <c r="AW13" s="32">
        <v>40.372</v>
      </c>
      <c r="AX13" s="33">
        <v>8.05958648004967E-2</v>
      </c>
      <c r="AY13" s="32">
        <v>45.045000000000002</v>
      </c>
      <c r="AZ13" s="33">
        <v>7.5939956099978806E-2</v>
      </c>
    </row>
    <row r="14" spans="1:52" x14ac:dyDescent="0.25">
      <c r="A14" s="10" t="s">
        <v>1598</v>
      </c>
      <c r="B14" s="10"/>
      <c r="C14" s="32" t="s">
        <v>141</v>
      </c>
      <c r="D14" s="33"/>
      <c r="E14" s="32" t="s">
        <v>141</v>
      </c>
      <c r="F14" s="33"/>
      <c r="G14" s="32" t="s">
        <v>141</v>
      </c>
      <c r="H14" s="33"/>
      <c r="I14" s="32" t="s">
        <v>141</v>
      </c>
      <c r="J14" s="33"/>
      <c r="K14" s="32" t="s">
        <v>141</v>
      </c>
      <c r="L14" s="33"/>
      <c r="M14" s="32">
        <v>0</v>
      </c>
      <c r="N14" s="33"/>
      <c r="O14" s="32">
        <v>2.3370000000000002</v>
      </c>
      <c r="P14" s="33">
        <v>2.2479367461187699E-2</v>
      </c>
      <c r="Q14" s="32">
        <v>4.5819999999999999</v>
      </c>
      <c r="R14" s="33">
        <v>3.6407554845732701E-2</v>
      </c>
      <c r="S14" s="32">
        <v>5.0810000000000004</v>
      </c>
      <c r="T14" s="33">
        <v>3.1064672723493201E-2</v>
      </c>
      <c r="U14" s="32">
        <v>6.8730000000000002</v>
      </c>
      <c r="V14" s="33">
        <v>3.8706734397350798E-2</v>
      </c>
      <c r="W14" s="32">
        <v>8.02</v>
      </c>
      <c r="X14" s="33">
        <v>3.63631417391738E-2</v>
      </c>
      <c r="Y14" s="32">
        <v>7.5679999999999996</v>
      </c>
      <c r="Z14" s="33">
        <v>4.0334056376010598E-2</v>
      </c>
      <c r="AA14" s="32">
        <v>8.4339999999999993</v>
      </c>
      <c r="AB14" s="33">
        <v>3.2622275513953601E-2</v>
      </c>
      <c r="AC14" s="32">
        <v>9.6880000000000006</v>
      </c>
      <c r="AD14" s="33">
        <v>4.5428328933362697E-2</v>
      </c>
      <c r="AE14" s="32">
        <v>13.894</v>
      </c>
      <c r="AF14" s="33">
        <v>6.1801101335302297E-2</v>
      </c>
      <c r="AG14" s="32">
        <v>12.477</v>
      </c>
      <c r="AH14" s="33">
        <v>4.7206646841161402E-2</v>
      </c>
      <c r="AI14" s="32">
        <v>12.611000000000001</v>
      </c>
      <c r="AJ14" s="33">
        <v>3.7640843493963301E-2</v>
      </c>
      <c r="AK14" s="32">
        <v>14.471</v>
      </c>
      <c r="AL14" s="33">
        <v>4.5322434150772001E-2</v>
      </c>
      <c r="AM14" s="32">
        <v>14.051</v>
      </c>
      <c r="AN14" s="33">
        <v>4.4081015453923698E-2</v>
      </c>
      <c r="AO14" s="32">
        <v>12.43</v>
      </c>
      <c r="AP14" s="33">
        <v>1.6561629781620998E-2</v>
      </c>
      <c r="AQ14" s="32">
        <v>16.545999999999999</v>
      </c>
      <c r="AR14" s="33">
        <v>3.7628662006103902E-2</v>
      </c>
      <c r="AS14" s="32">
        <v>15.315</v>
      </c>
      <c r="AT14" s="33">
        <v>3.0981140243520101E-2</v>
      </c>
      <c r="AU14" s="32">
        <v>16.314</v>
      </c>
      <c r="AV14" s="33">
        <v>2.4724737619823401E-2</v>
      </c>
      <c r="AW14" s="32">
        <v>16.280999999999999</v>
      </c>
      <c r="AX14" s="33">
        <v>3.2502260844567699E-2</v>
      </c>
      <c r="AY14" s="32">
        <v>17.995999999999999</v>
      </c>
      <c r="AZ14" s="33">
        <v>3.0338893328343199E-2</v>
      </c>
    </row>
    <row r="15" spans="1:52" x14ac:dyDescent="0.25">
      <c r="A15" s="10" t="s">
        <v>1601</v>
      </c>
      <c r="B15" s="10"/>
      <c r="C15" s="32" t="s">
        <v>141</v>
      </c>
      <c r="D15" s="33"/>
      <c r="E15" s="32" t="s">
        <v>141</v>
      </c>
      <c r="F15" s="33"/>
      <c r="G15" s="32" t="s">
        <v>141</v>
      </c>
      <c r="H15" s="33"/>
      <c r="I15" s="32" t="s">
        <v>141</v>
      </c>
      <c r="J15" s="33"/>
      <c r="K15" s="32" t="s">
        <v>141</v>
      </c>
      <c r="L15" s="33"/>
      <c r="M15" s="32">
        <v>0</v>
      </c>
      <c r="N15" s="33"/>
      <c r="O15" s="32">
        <v>0</v>
      </c>
      <c r="P15" s="33"/>
      <c r="Q15" s="32">
        <v>0</v>
      </c>
      <c r="R15" s="33"/>
      <c r="S15" s="32" t="s">
        <v>141</v>
      </c>
      <c r="T15" s="33"/>
      <c r="U15" s="32">
        <v>3.7999999999999999E-2</v>
      </c>
      <c r="V15" s="33">
        <v>2.1400493337688501E-4</v>
      </c>
      <c r="W15" s="32">
        <v>0.24199999999999999</v>
      </c>
      <c r="X15" s="33">
        <v>1.09724193277806E-3</v>
      </c>
      <c r="Y15" s="32">
        <v>1.893</v>
      </c>
      <c r="Z15" s="33">
        <v>1.0088843646906501E-2</v>
      </c>
      <c r="AA15" s="32">
        <v>2</v>
      </c>
      <c r="AB15" s="33">
        <v>7.7358964937049102E-3</v>
      </c>
      <c r="AC15" s="32">
        <v>1.9139999999999999</v>
      </c>
      <c r="AD15" s="33">
        <v>8.9750022273385899E-3</v>
      </c>
      <c r="AE15" s="32">
        <v>1.595</v>
      </c>
      <c r="AF15" s="33">
        <v>7.0946276543693097E-3</v>
      </c>
      <c r="AG15" s="32">
        <v>2.0129999999999999</v>
      </c>
      <c r="AH15" s="33">
        <v>7.6161721640825401E-3</v>
      </c>
      <c r="AI15" s="32">
        <v>3.2930000000000001</v>
      </c>
      <c r="AJ15" s="33">
        <v>9.8288238542241901E-3</v>
      </c>
      <c r="AK15" s="32">
        <v>3.1440000000000001</v>
      </c>
      <c r="AL15" s="33">
        <v>9.8468476933195499E-3</v>
      </c>
      <c r="AM15" s="32">
        <v>8.6519999999999992</v>
      </c>
      <c r="AN15" s="33">
        <v>2.7143188791356399E-2</v>
      </c>
      <c r="AO15" s="32">
        <v>4.7089999999999996</v>
      </c>
      <c r="AP15" s="33">
        <v>6.2742328754346903E-3</v>
      </c>
      <c r="AQ15" s="32">
        <v>3.294</v>
      </c>
      <c r="AR15" s="33">
        <v>7.4911647919803101E-3</v>
      </c>
      <c r="AS15" s="32">
        <v>4.01</v>
      </c>
      <c r="AT15" s="33">
        <v>8.1119407363052804E-3</v>
      </c>
      <c r="AU15" s="32">
        <v>4.5880000000000001</v>
      </c>
      <c r="AV15" s="33">
        <v>6.95335884514834E-3</v>
      </c>
      <c r="AW15" s="32">
        <v>14.39</v>
      </c>
      <c r="AX15" s="33">
        <v>2.8727199407488999E-2</v>
      </c>
      <c r="AY15" s="32">
        <v>1.6040000000000001</v>
      </c>
      <c r="AZ15" s="33">
        <v>2.7041334129063398E-3</v>
      </c>
    </row>
    <row r="16" spans="1:52" x14ac:dyDescent="0.25">
      <c r="A16" s="10" t="s">
        <v>1602</v>
      </c>
      <c r="B16" s="10"/>
      <c r="C16" s="32" t="s">
        <v>141</v>
      </c>
      <c r="D16" s="33"/>
      <c r="E16" s="32">
        <v>26.291</v>
      </c>
      <c r="F16" s="33">
        <v>0.78966180092509197</v>
      </c>
      <c r="G16" s="32">
        <v>38.231000000000002</v>
      </c>
      <c r="H16" s="33">
        <v>0.85501185311088201</v>
      </c>
      <c r="I16" s="32">
        <v>46.066000000000003</v>
      </c>
      <c r="J16" s="33">
        <v>0.657512738898959</v>
      </c>
      <c r="K16" s="32">
        <v>55.798999999999999</v>
      </c>
      <c r="L16" s="33">
        <v>0.77843501067228404</v>
      </c>
      <c r="M16" s="32">
        <v>66.664000000000001</v>
      </c>
      <c r="N16" s="33">
        <v>0.67015159435441696</v>
      </c>
      <c r="O16" s="32">
        <v>66.534999999999997</v>
      </c>
      <c r="P16" s="33">
        <v>0.639993459148535</v>
      </c>
      <c r="Q16" s="32">
        <v>82.516000000000005</v>
      </c>
      <c r="R16" s="33">
        <v>0.65565381834362302</v>
      </c>
      <c r="S16" s="32">
        <v>90.366</v>
      </c>
      <c r="T16" s="33">
        <v>0.55248774165148395</v>
      </c>
      <c r="U16" s="32">
        <v>101.95099999999999</v>
      </c>
      <c r="V16" s="33">
        <v>0.57415834112386399</v>
      </c>
      <c r="W16" s="32">
        <v>113.839</v>
      </c>
      <c r="X16" s="33">
        <v>0.51615258010546206</v>
      </c>
      <c r="Y16" s="32">
        <v>120.31699999999999</v>
      </c>
      <c r="Z16" s="33">
        <v>0.64123581672733498</v>
      </c>
      <c r="AA16" s="32">
        <v>138.63</v>
      </c>
      <c r="AB16" s="33">
        <v>0.53621366546115601</v>
      </c>
      <c r="AC16" s="32">
        <v>137.00899999999999</v>
      </c>
      <c r="AD16" s="33">
        <v>0.64245354240618202</v>
      </c>
      <c r="AE16" s="32">
        <v>153.428</v>
      </c>
      <c r="AF16" s="33">
        <v>0.68245425188374598</v>
      </c>
      <c r="AG16" s="32">
        <v>144.94999999999999</v>
      </c>
      <c r="AH16" s="33">
        <v>0.54841736472119396</v>
      </c>
      <c r="AI16" s="32">
        <v>122.221</v>
      </c>
      <c r="AJ16" s="33">
        <v>0.36480069246496599</v>
      </c>
      <c r="AK16" s="32">
        <v>102.49299999999999</v>
      </c>
      <c r="AL16" s="33">
        <v>0.32100285007360102</v>
      </c>
      <c r="AM16" s="32">
        <v>91.457999999999998</v>
      </c>
      <c r="AN16" s="33">
        <v>0.28692345821542597</v>
      </c>
      <c r="AO16" s="32">
        <v>81.588999999999999</v>
      </c>
      <c r="AP16" s="33">
        <v>0.10870851265106</v>
      </c>
      <c r="AQ16" s="32">
        <v>79.006</v>
      </c>
      <c r="AR16" s="33">
        <v>0.17967424576660501</v>
      </c>
      <c r="AS16" s="32">
        <v>69.216999999999999</v>
      </c>
      <c r="AT16" s="33">
        <v>0.14002099799123299</v>
      </c>
      <c r="AU16" s="32">
        <v>77.244</v>
      </c>
      <c r="AV16" s="33">
        <v>0.11706740423597201</v>
      </c>
      <c r="AW16" s="32">
        <v>50.292999999999999</v>
      </c>
      <c r="AX16" s="33">
        <v>0.10040146211263699</v>
      </c>
      <c r="AY16" s="32">
        <v>56.103000000000002</v>
      </c>
      <c r="AZ16" s="33">
        <v>9.4582292309404098E-2</v>
      </c>
    </row>
    <row r="17" spans="1:52" x14ac:dyDescent="0.25">
      <c r="A17" s="10" t="s">
        <v>1598</v>
      </c>
      <c r="B17" s="10"/>
      <c r="C17" s="32" t="s">
        <v>141</v>
      </c>
      <c r="D17" s="33"/>
      <c r="E17" s="32" t="s">
        <v>141</v>
      </c>
      <c r="F17" s="33"/>
      <c r="G17" s="32" t="s">
        <v>141</v>
      </c>
      <c r="H17" s="33"/>
      <c r="I17" s="32">
        <v>10.856999999999999</v>
      </c>
      <c r="J17" s="33">
        <v>0.15496495910706401</v>
      </c>
      <c r="K17" s="32">
        <v>15.669</v>
      </c>
      <c r="L17" s="33">
        <v>0.21859349060420499</v>
      </c>
      <c r="M17" s="32">
        <v>21.166</v>
      </c>
      <c r="N17" s="33">
        <v>0.21277494068921099</v>
      </c>
      <c r="O17" s="32">
        <v>23.02</v>
      </c>
      <c r="P17" s="33">
        <v>0.22142705988726599</v>
      </c>
      <c r="Q17" s="32">
        <v>30.478000000000002</v>
      </c>
      <c r="R17" s="33">
        <v>0.242171422214806</v>
      </c>
      <c r="S17" s="32">
        <v>33.091000000000001</v>
      </c>
      <c r="T17" s="33">
        <v>0.202314718577665</v>
      </c>
      <c r="U17" s="32">
        <v>40.652999999999999</v>
      </c>
      <c r="V17" s="33">
        <v>0.228945856751856</v>
      </c>
      <c r="W17" s="32">
        <v>44.904000000000003</v>
      </c>
      <c r="X17" s="33">
        <v>0.20359732127878599</v>
      </c>
      <c r="Y17" s="32">
        <v>51.018999999999998</v>
      </c>
      <c r="Z17" s="33">
        <v>0.27190845959932403</v>
      </c>
      <c r="AA17" s="32">
        <v>53.859000000000002</v>
      </c>
      <c r="AB17" s="33">
        <v>0.20832382462722601</v>
      </c>
      <c r="AC17" s="32">
        <v>53.180999999999997</v>
      </c>
      <c r="AD17" s="33">
        <v>0.24937282834487601</v>
      </c>
      <c r="AE17" s="32">
        <v>56.786999999999999</v>
      </c>
      <c r="AF17" s="33">
        <v>0.25259098470762997</v>
      </c>
      <c r="AG17" s="32">
        <v>57.216999999999999</v>
      </c>
      <c r="AH17" s="33">
        <v>0.21648014044327399</v>
      </c>
      <c r="AI17" s="32">
        <v>56.878</v>
      </c>
      <c r="AJ17" s="33">
        <v>0.169767337740833</v>
      </c>
      <c r="AK17" s="32">
        <v>59.677999999999997</v>
      </c>
      <c r="AL17" s="33">
        <v>0.18690845313038301</v>
      </c>
      <c r="AM17" s="32">
        <v>56.393000000000001</v>
      </c>
      <c r="AN17" s="33">
        <v>0.17691699555142801</v>
      </c>
      <c r="AO17" s="32">
        <v>50.371000000000002</v>
      </c>
      <c r="AP17" s="33">
        <v>6.7113906172971097E-2</v>
      </c>
      <c r="AQ17" s="32">
        <v>44.473999999999997</v>
      </c>
      <c r="AR17" s="33">
        <v>0.101142095615827</v>
      </c>
      <c r="AS17" s="32">
        <v>44.69</v>
      </c>
      <c r="AT17" s="33">
        <v>9.0404646260718993E-2</v>
      </c>
      <c r="AU17" s="32">
        <v>37.073999999999998</v>
      </c>
      <c r="AV17" s="33">
        <v>5.6187625506763199E-2</v>
      </c>
      <c r="AW17" s="32">
        <v>24.327000000000002</v>
      </c>
      <c r="AX17" s="33">
        <v>4.8564738011534797E-2</v>
      </c>
      <c r="AY17" s="32">
        <v>28.106000000000002</v>
      </c>
      <c r="AZ17" s="33">
        <v>4.7383025999467303E-2</v>
      </c>
    </row>
    <row r="18" spans="1:52" x14ac:dyDescent="0.25">
      <c r="A18" s="10" t="s">
        <v>1597</v>
      </c>
      <c r="B18" s="10"/>
      <c r="C18" s="32" t="s">
        <v>141</v>
      </c>
      <c r="D18" s="33"/>
      <c r="E18" s="32" t="s">
        <v>141</v>
      </c>
      <c r="F18" s="33"/>
      <c r="G18" s="32" t="s">
        <v>141</v>
      </c>
      <c r="H18" s="33"/>
      <c r="I18" s="32">
        <v>33.591000000000001</v>
      </c>
      <c r="J18" s="33">
        <v>0.479453618989167</v>
      </c>
      <c r="K18" s="32">
        <v>35.759</v>
      </c>
      <c r="L18" s="33">
        <v>0.49886301809405598</v>
      </c>
      <c r="M18" s="32">
        <v>37.195999999999998</v>
      </c>
      <c r="N18" s="33">
        <v>0.37391933732759702</v>
      </c>
      <c r="O18" s="32">
        <v>32.268000000000001</v>
      </c>
      <c r="P18" s="33">
        <v>0.31038263981070002</v>
      </c>
      <c r="Q18" s="32">
        <v>39.027000000000001</v>
      </c>
      <c r="R18" s="33">
        <v>0.31009987842959602</v>
      </c>
      <c r="S18" s="32">
        <v>43.082999999999998</v>
      </c>
      <c r="T18" s="33">
        <v>0.26340470280382999</v>
      </c>
      <c r="U18" s="32">
        <v>49.470999999999997</v>
      </c>
      <c r="V18" s="33">
        <v>0.278606264712839</v>
      </c>
      <c r="W18" s="32">
        <v>52.390999999999998</v>
      </c>
      <c r="X18" s="33">
        <v>0.23754381033130401</v>
      </c>
      <c r="Y18" s="32">
        <v>51.247</v>
      </c>
      <c r="Z18" s="33">
        <v>0.27312359766139199</v>
      </c>
      <c r="AA18" s="32">
        <v>60.100999999999999</v>
      </c>
      <c r="AB18" s="33">
        <v>0.232467557584079</v>
      </c>
      <c r="AC18" s="32">
        <v>62.307000000000002</v>
      </c>
      <c r="AD18" s="33">
        <v>0.29216586404325301</v>
      </c>
      <c r="AE18" s="32">
        <v>71.084999999999994</v>
      </c>
      <c r="AF18" s="33">
        <v>0.31618909517921201</v>
      </c>
      <c r="AG18" s="32">
        <v>67.195999999999998</v>
      </c>
      <c r="AH18" s="33">
        <v>0.25423562083342799</v>
      </c>
      <c r="AI18" s="32">
        <v>46.16</v>
      </c>
      <c r="AJ18" s="33">
        <v>0.13777665020072499</v>
      </c>
      <c r="AK18" s="32">
        <v>29.817</v>
      </c>
      <c r="AL18" s="33">
        <v>9.3385323686930394E-2</v>
      </c>
      <c r="AM18" s="32">
        <v>25.56</v>
      </c>
      <c r="AN18" s="33">
        <v>8.0187229023008399E-2</v>
      </c>
      <c r="AO18" s="32">
        <v>21.869</v>
      </c>
      <c r="AP18" s="33">
        <v>2.9138075759796399E-2</v>
      </c>
      <c r="AQ18" s="32">
        <v>20.492999999999999</v>
      </c>
      <c r="AR18" s="33">
        <v>4.6604869484533303E-2</v>
      </c>
      <c r="AS18" s="32">
        <v>16.539000000000001</v>
      </c>
      <c r="AT18" s="33">
        <v>3.3457203949564397E-2</v>
      </c>
      <c r="AU18" s="32">
        <v>22.111999999999998</v>
      </c>
      <c r="AV18" s="33">
        <v>3.3511916038343498E-2</v>
      </c>
      <c r="AW18" s="32">
        <v>16.207000000000001</v>
      </c>
      <c r="AX18" s="33">
        <v>3.23545323695048E-2</v>
      </c>
      <c r="AY18" s="32">
        <v>19.928999999999998</v>
      </c>
      <c r="AZ18" s="33">
        <v>3.3597677547263297E-2</v>
      </c>
    </row>
    <row r="19" spans="1:52" x14ac:dyDescent="0.25">
      <c r="A19" s="10" t="s">
        <v>1601</v>
      </c>
      <c r="B19" s="10"/>
      <c r="C19" s="32" t="s">
        <v>141</v>
      </c>
      <c r="D19" s="33"/>
      <c r="E19" s="32" t="s">
        <v>141</v>
      </c>
      <c r="F19" s="33"/>
      <c r="G19" s="32" t="s">
        <v>141</v>
      </c>
      <c r="H19" s="33"/>
      <c r="I19" s="32">
        <v>1.6180000000000001</v>
      </c>
      <c r="J19" s="33">
        <v>2.3094160802729E-2</v>
      </c>
      <c r="K19" s="32">
        <v>4.3710000000000004</v>
      </c>
      <c r="L19" s="33">
        <v>6.0978501974023797E-2</v>
      </c>
      <c r="M19" s="32">
        <v>8.3019999999999996</v>
      </c>
      <c r="N19" s="33">
        <v>8.3457316337609097E-2</v>
      </c>
      <c r="O19" s="32">
        <v>11.247</v>
      </c>
      <c r="P19" s="33">
        <v>0.108183759450568</v>
      </c>
      <c r="Q19" s="32">
        <v>13.010999999999999</v>
      </c>
      <c r="R19" s="33">
        <v>0.10338251769922099</v>
      </c>
      <c r="S19" s="32">
        <v>14.192</v>
      </c>
      <c r="T19" s="33">
        <v>8.6768320269989402E-2</v>
      </c>
      <c r="U19" s="32">
        <v>11.827</v>
      </c>
      <c r="V19" s="33">
        <v>6.6606219659169005E-2</v>
      </c>
      <c r="W19" s="32">
        <v>16.544</v>
      </c>
      <c r="X19" s="33">
        <v>7.5011448495373001E-2</v>
      </c>
      <c r="Y19" s="32">
        <v>18.050999999999998</v>
      </c>
      <c r="Z19" s="33">
        <v>9.6203759466618397E-2</v>
      </c>
      <c r="AA19" s="32">
        <v>24.67</v>
      </c>
      <c r="AB19" s="33">
        <v>9.5422283249850096E-2</v>
      </c>
      <c r="AC19" s="32">
        <v>21.521000000000001</v>
      </c>
      <c r="AD19" s="33">
        <v>0.100914850018053</v>
      </c>
      <c r="AE19" s="32">
        <v>25.556000000000001</v>
      </c>
      <c r="AF19" s="33">
        <v>0.11367417199690399</v>
      </c>
      <c r="AG19" s="32">
        <v>20.536999999999999</v>
      </c>
      <c r="AH19" s="33">
        <v>7.7701603444492395E-2</v>
      </c>
      <c r="AI19" s="32">
        <v>19.183</v>
      </c>
      <c r="AJ19" s="33">
        <v>5.7256704523408003E-2</v>
      </c>
      <c r="AK19" s="32">
        <v>12.997999999999999</v>
      </c>
      <c r="AL19" s="33">
        <v>4.0709073256287399E-2</v>
      </c>
      <c r="AM19" s="32">
        <v>9.5050000000000008</v>
      </c>
      <c r="AN19" s="33">
        <v>2.9819233640989599E-2</v>
      </c>
      <c r="AO19" s="32">
        <v>9.3490000000000002</v>
      </c>
      <c r="AP19" s="33">
        <v>1.24565307182924E-2</v>
      </c>
      <c r="AQ19" s="32">
        <v>14.039</v>
      </c>
      <c r="AR19" s="33">
        <v>3.19272806662452E-2</v>
      </c>
      <c r="AS19" s="32">
        <v>7.9880000000000004</v>
      </c>
      <c r="AT19" s="33">
        <v>1.61591477809493E-2</v>
      </c>
      <c r="AU19" s="32">
        <v>18.058</v>
      </c>
      <c r="AV19" s="33">
        <v>2.7367862690865E-2</v>
      </c>
      <c r="AW19" s="32">
        <v>9.7590000000000003</v>
      </c>
      <c r="AX19" s="33">
        <v>1.9482191731597299E-2</v>
      </c>
      <c r="AY19" s="32">
        <v>8.0679999999999996</v>
      </c>
      <c r="AZ19" s="33">
        <v>1.36015887626735E-2</v>
      </c>
    </row>
    <row r="20" spans="1:52" x14ac:dyDescent="0.25">
      <c r="A20" s="10" t="s">
        <v>1603</v>
      </c>
      <c r="B20" s="10"/>
      <c r="C20" s="32" t="s">
        <v>141</v>
      </c>
      <c r="D20" s="33"/>
      <c r="E20" s="32" t="s">
        <v>141</v>
      </c>
      <c r="F20" s="33"/>
      <c r="G20" s="32" t="s">
        <v>141</v>
      </c>
      <c r="H20" s="33"/>
      <c r="I20" s="32" t="s">
        <v>141</v>
      </c>
      <c r="J20" s="33"/>
      <c r="K20" s="32" t="s">
        <v>141</v>
      </c>
      <c r="L20" s="33"/>
      <c r="M20" s="32">
        <v>0</v>
      </c>
      <c r="N20" s="33"/>
      <c r="O20" s="32">
        <v>0</v>
      </c>
      <c r="P20" s="33"/>
      <c r="Q20" s="32">
        <v>0</v>
      </c>
      <c r="R20" s="33"/>
      <c r="S20" s="32" t="s">
        <v>141</v>
      </c>
      <c r="T20" s="33"/>
      <c r="U20" s="32">
        <v>9.1449999999999996</v>
      </c>
      <c r="V20" s="33">
        <v>5.1501976729779297E-2</v>
      </c>
      <c r="W20" s="32">
        <v>16.341999999999999</v>
      </c>
      <c r="X20" s="33">
        <v>7.4095568865533395E-2</v>
      </c>
      <c r="Y20" s="32">
        <v>14.894</v>
      </c>
      <c r="Z20" s="33">
        <v>7.9378360949299995E-2</v>
      </c>
      <c r="AA20" s="32">
        <v>19.204999999999998</v>
      </c>
      <c r="AB20" s="33">
        <v>7.4283946080801397E-2</v>
      </c>
      <c r="AC20" s="32">
        <v>14.586</v>
      </c>
      <c r="AD20" s="33">
        <v>6.8395706629028594E-2</v>
      </c>
      <c r="AE20" s="32">
        <v>14.936999999999999</v>
      </c>
      <c r="AF20" s="33">
        <v>6.6440409575745707E-2</v>
      </c>
      <c r="AG20" s="32">
        <v>16.428999999999998</v>
      </c>
      <c r="AH20" s="33">
        <v>6.2159012659568802E-2</v>
      </c>
      <c r="AI20" s="32">
        <v>23.83</v>
      </c>
      <c r="AJ20" s="33">
        <v>7.1126897189845897E-2</v>
      </c>
      <c r="AK20" s="32">
        <v>24.161000000000001</v>
      </c>
      <c r="AL20" s="33">
        <v>7.5671020075793197E-2</v>
      </c>
      <c r="AM20" s="32">
        <v>24.212</v>
      </c>
      <c r="AN20" s="33">
        <v>7.5958262484549205E-2</v>
      </c>
      <c r="AO20" s="32">
        <v>28.736000000000001</v>
      </c>
      <c r="AP20" s="33">
        <v>3.8287610088870501E-2</v>
      </c>
      <c r="AQ20" s="32">
        <v>32.729999999999997</v>
      </c>
      <c r="AR20" s="33">
        <v>7.4434069107928297E-2</v>
      </c>
      <c r="AS20" s="32">
        <v>42.649000000000001</v>
      </c>
      <c r="AT20" s="33">
        <v>8.62758504894474E-2</v>
      </c>
      <c r="AU20" s="32">
        <v>40.607999999999997</v>
      </c>
      <c r="AV20" s="33">
        <v>6.1543591103701799E-2</v>
      </c>
      <c r="AW20" s="32">
        <v>40.22</v>
      </c>
      <c r="AX20" s="33">
        <v>8.0292422527394602E-2</v>
      </c>
      <c r="AY20" s="32">
        <v>43.573</v>
      </c>
      <c r="AZ20" s="33">
        <v>7.3458357356962503E-2</v>
      </c>
    </row>
    <row r="21" spans="1:52" x14ac:dyDescent="0.25">
      <c r="A21" s="10" t="s">
        <v>1598</v>
      </c>
      <c r="B21" s="10"/>
      <c r="C21" s="32" t="s">
        <v>141</v>
      </c>
      <c r="D21" s="33"/>
      <c r="E21" s="32" t="s">
        <v>141</v>
      </c>
      <c r="F21" s="33"/>
      <c r="G21" s="32" t="s">
        <v>141</v>
      </c>
      <c r="H21" s="33"/>
      <c r="I21" s="32" t="s">
        <v>141</v>
      </c>
      <c r="J21" s="33"/>
      <c r="K21" s="32" t="s">
        <v>141</v>
      </c>
      <c r="L21" s="33"/>
      <c r="M21" s="32">
        <v>0</v>
      </c>
      <c r="N21" s="33"/>
      <c r="O21" s="32">
        <v>0</v>
      </c>
      <c r="P21" s="33"/>
      <c r="Q21" s="32">
        <v>0</v>
      </c>
      <c r="R21" s="33"/>
      <c r="S21" s="32" t="s">
        <v>141</v>
      </c>
      <c r="T21" s="33"/>
      <c r="U21" s="32">
        <v>7.7370000000000001</v>
      </c>
      <c r="V21" s="33">
        <v>4.3572530777288399E-2</v>
      </c>
      <c r="W21" s="32">
        <v>9.83</v>
      </c>
      <c r="X21" s="33">
        <v>4.45697859471419E-2</v>
      </c>
      <c r="Y21" s="32">
        <v>9.6579999999999995</v>
      </c>
      <c r="Z21" s="33">
        <v>5.1472821944967002E-2</v>
      </c>
      <c r="AA21" s="32">
        <v>11.724</v>
      </c>
      <c r="AB21" s="33">
        <v>4.5347825246098199E-2</v>
      </c>
      <c r="AC21" s="32">
        <v>8.1579999999999995</v>
      </c>
      <c r="AD21" s="33">
        <v>3.8253954112135898E-2</v>
      </c>
      <c r="AE21" s="32">
        <v>7.593</v>
      </c>
      <c r="AF21" s="33">
        <v>3.37739860687312E-2</v>
      </c>
      <c r="AG21" s="32">
        <v>9.3480000000000008</v>
      </c>
      <c r="AH21" s="33">
        <v>3.5368096070463803E-2</v>
      </c>
      <c r="AI21" s="32">
        <v>12.816000000000001</v>
      </c>
      <c r="AJ21" s="33">
        <v>3.82527198650887E-2</v>
      </c>
      <c r="AK21" s="32">
        <v>13.308999999999999</v>
      </c>
      <c r="AL21" s="33">
        <v>4.1683109398978999E-2</v>
      </c>
      <c r="AM21" s="32">
        <v>12.215999999999999</v>
      </c>
      <c r="AN21" s="33">
        <v>3.8324224950902597E-2</v>
      </c>
      <c r="AO21" s="32">
        <v>15.086</v>
      </c>
      <c r="AP21" s="33">
        <v>2.01004623399464E-2</v>
      </c>
      <c r="AQ21" s="32">
        <v>19.414000000000001</v>
      </c>
      <c r="AR21" s="33">
        <v>4.4151024065423698E-2</v>
      </c>
      <c r="AS21" s="32">
        <v>21.427</v>
      </c>
      <c r="AT21" s="33">
        <v>4.3345275350826301E-2</v>
      </c>
      <c r="AU21" s="32">
        <v>20.503</v>
      </c>
      <c r="AV21" s="33">
        <v>3.1073390671769001E-2</v>
      </c>
      <c r="AW21" s="32">
        <v>19.977</v>
      </c>
      <c r="AX21" s="33">
        <v>3.9880699274732999E-2</v>
      </c>
      <c r="AY21" s="32">
        <v>18.846</v>
      </c>
      <c r="AZ21" s="33">
        <v>3.1771881732938198E-2</v>
      </c>
    </row>
    <row r="22" spans="1:52" x14ac:dyDescent="0.25">
      <c r="A22" s="10" t="s">
        <v>1597</v>
      </c>
      <c r="B22" s="10"/>
      <c r="C22" s="32" t="s">
        <v>141</v>
      </c>
      <c r="D22" s="33"/>
      <c r="E22" s="32" t="s">
        <v>141</v>
      </c>
      <c r="F22" s="33"/>
      <c r="G22" s="32" t="s">
        <v>141</v>
      </c>
      <c r="H22" s="33"/>
      <c r="I22" s="32" t="s">
        <v>141</v>
      </c>
      <c r="J22" s="33"/>
      <c r="K22" s="32" t="s">
        <v>141</v>
      </c>
      <c r="L22" s="33"/>
      <c r="M22" s="32">
        <v>0</v>
      </c>
      <c r="N22" s="33"/>
      <c r="O22" s="32">
        <v>0</v>
      </c>
      <c r="P22" s="33"/>
      <c r="Q22" s="32">
        <v>0</v>
      </c>
      <c r="R22" s="33"/>
      <c r="S22" s="32" t="s">
        <v>141</v>
      </c>
      <c r="T22" s="33"/>
      <c r="U22" s="32">
        <v>1.4079999999999999</v>
      </c>
      <c r="V22" s="33">
        <v>7.9294459524909006E-3</v>
      </c>
      <c r="W22" s="32">
        <v>6.5119999999999996</v>
      </c>
      <c r="X22" s="33">
        <v>2.9525782918391499E-2</v>
      </c>
      <c r="Y22" s="32">
        <v>5.2359999999999998</v>
      </c>
      <c r="Z22" s="33">
        <v>2.7905539004332899E-2</v>
      </c>
      <c r="AA22" s="32">
        <v>5.72</v>
      </c>
      <c r="AB22" s="33">
        <v>2.2124663971996101E-2</v>
      </c>
      <c r="AC22" s="32">
        <v>5.4119999999999999</v>
      </c>
      <c r="AD22" s="33">
        <v>2.5377592504888399E-2</v>
      </c>
      <c r="AE22" s="32">
        <v>7.1210000000000004</v>
      </c>
      <c r="AF22" s="33">
        <v>3.1674510048127803E-2</v>
      </c>
      <c r="AG22" s="32">
        <v>6.383</v>
      </c>
      <c r="AH22" s="33">
        <v>2.4150038213283102E-2</v>
      </c>
      <c r="AI22" s="32">
        <v>8.782</v>
      </c>
      <c r="AJ22" s="33">
        <v>2.6212186786455101E-2</v>
      </c>
      <c r="AK22" s="32">
        <v>9.0570000000000004</v>
      </c>
      <c r="AL22" s="33">
        <v>2.83660622005074E-2</v>
      </c>
      <c r="AM22" s="32">
        <v>8.7940000000000005</v>
      </c>
      <c r="AN22" s="33">
        <v>2.7588673397039701E-2</v>
      </c>
      <c r="AO22" s="32">
        <v>9.7129999999999992</v>
      </c>
      <c r="AP22" s="33">
        <v>1.29415213249304E-2</v>
      </c>
      <c r="AQ22" s="32">
        <v>10.595000000000001</v>
      </c>
      <c r="AR22" s="33">
        <v>2.4094988151497101E-2</v>
      </c>
      <c r="AS22" s="32">
        <v>13.332000000000001</v>
      </c>
      <c r="AT22" s="33">
        <v>2.69696742883846E-2</v>
      </c>
      <c r="AU22" s="32">
        <v>15.744</v>
      </c>
      <c r="AV22" s="33">
        <v>2.3860872200962401E-2</v>
      </c>
      <c r="AW22" s="32">
        <v>14.933</v>
      </c>
      <c r="AX22" s="33">
        <v>2.9811207001531202E-2</v>
      </c>
      <c r="AY22" s="32">
        <v>18.757000000000001</v>
      </c>
      <c r="AZ22" s="33">
        <v>3.1621839417633503E-2</v>
      </c>
    </row>
    <row r="23" spans="1:52" x14ac:dyDescent="0.25">
      <c r="A23" s="10" t="s">
        <v>1601</v>
      </c>
      <c r="B23" s="10"/>
      <c r="C23" s="32" t="s">
        <v>141</v>
      </c>
      <c r="D23" s="33"/>
      <c r="E23" s="32" t="s">
        <v>141</v>
      </c>
      <c r="F23" s="33"/>
      <c r="G23" s="32" t="s">
        <v>141</v>
      </c>
      <c r="H23" s="33"/>
      <c r="I23" s="32" t="s">
        <v>141</v>
      </c>
      <c r="J23" s="33"/>
      <c r="K23" s="32" t="s">
        <v>141</v>
      </c>
      <c r="L23" s="33"/>
      <c r="M23" s="32" t="s">
        <v>141</v>
      </c>
      <c r="N23" s="33"/>
      <c r="O23" s="32" t="s">
        <v>141</v>
      </c>
      <c r="P23" s="33"/>
      <c r="Q23" s="32" t="s">
        <v>141</v>
      </c>
      <c r="R23" s="33"/>
      <c r="S23" s="32" t="s">
        <v>141</v>
      </c>
      <c r="T23" s="33"/>
      <c r="U23" s="32" t="s">
        <v>141</v>
      </c>
      <c r="V23" s="33"/>
      <c r="W23" s="32" t="s">
        <v>141</v>
      </c>
      <c r="X23" s="33"/>
      <c r="Y23" s="32" t="s">
        <v>141</v>
      </c>
      <c r="Z23" s="33"/>
      <c r="AA23" s="32">
        <v>1.7609999999999999</v>
      </c>
      <c r="AB23" s="33">
        <v>6.8114568627071796E-3</v>
      </c>
      <c r="AC23" s="32">
        <v>1.016</v>
      </c>
      <c r="AD23" s="33">
        <v>4.7641600120041797E-3</v>
      </c>
      <c r="AE23" s="32">
        <v>0.223</v>
      </c>
      <c r="AF23" s="33">
        <v>9.9191345888674401E-4</v>
      </c>
      <c r="AG23" s="32">
        <v>0.69799999999999995</v>
      </c>
      <c r="AH23" s="33">
        <v>2.6408783758219601E-3</v>
      </c>
      <c r="AI23" s="32">
        <v>2.2320000000000002</v>
      </c>
      <c r="AJ23" s="33">
        <v>6.6619905383019703E-3</v>
      </c>
      <c r="AK23" s="32">
        <v>1.7949999999999999</v>
      </c>
      <c r="AL23" s="33">
        <v>5.6218484763068096E-3</v>
      </c>
      <c r="AM23" s="32">
        <v>3.202</v>
      </c>
      <c r="AN23" s="33">
        <v>1.00453641366069E-2</v>
      </c>
      <c r="AO23" s="32">
        <v>3.9369999999999998</v>
      </c>
      <c r="AP23" s="33">
        <v>5.2456264239937097E-3</v>
      </c>
      <c r="AQ23" s="32">
        <v>2.7210000000000001</v>
      </c>
      <c r="AR23" s="33">
        <v>6.1880568910074197E-3</v>
      </c>
      <c r="AS23" s="32">
        <v>7.89</v>
      </c>
      <c r="AT23" s="33">
        <v>1.59609008502366E-2</v>
      </c>
      <c r="AU23" s="32">
        <v>4.3609999999999998</v>
      </c>
      <c r="AV23" s="33">
        <v>6.6093282309703299E-3</v>
      </c>
      <c r="AW23" s="32">
        <v>5.31</v>
      </c>
      <c r="AX23" s="33">
        <v>1.06005162511304E-2</v>
      </c>
      <c r="AY23" s="32">
        <v>5.97</v>
      </c>
      <c r="AZ23" s="33">
        <v>1.00646362063908E-2</v>
      </c>
    </row>
    <row r="24" spans="1:52" x14ac:dyDescent="0.25">
      <c r="A24" s="10" t="s">
        <v>1604</v>
      </c>
      <c r="B24" s="10"/>
      <c r="C24" s="32">
        <v>8.9580000000000002</v>
      </c>
      <c r="D24" s="33">
        <v>0.42590215375837998</v>
      </c>
      <c r="E24" s="32">
        <v>7.0030000000000001</v>
      </c>
      <c r="F24" s="33">
        <v>0.210338199074908</v>
      </c>
      <c r="G24" s="32">
        <v>6.4829999999999997</v>
      </c>
      <c r="H24" s="33">
        <v>0.14498814688911801</v>
      </c>
      <c r="I24" s="32">
        <v>23.995000000000001</v>
      </c>
      <c r="J24" s="33">
        <v>0.34248726110104</v>
      </c>
      <c r="K24" s="32">
        <v>15.731999999999999</v>
      </c>
      <c r="L24" s="33">
        <v>0.21947238459284901</v>
      </c>
      <c r="M24" s="32">
        <v>27.538</v>
      </c>
      <c r="N24" s="33">
        <v>0.27683059230367102</v>
      </c>
      <c r="O24" s="32">
        <v>26.428999999999998</v>
      </c>
      <c r="P24" s="33">
        <v>0.25421788730497702</v>
      </c>
      <c r="Q24" s="32">
        <v>26.646999999999998</v>
      </c>
      <c r="R24" s="33">
        <v>0.21173114665522499</v>
      </c>
      <c r="S24" s="32">
        <v>50.719000000000001</v>
      </c>
      <c r="T24" s="33">
        <v>0.31009036328731598</v>
      </c>
      <c r="U24" s="32">
        <v>41.796999999999997</v>
      </c>
      <c r="V24" s="33">
        <v>0.23538853158825501</v>
      </c>
      <c r="W24" s="32">
        <v>59.395000000000003</v>
      </c>
      <c r="X24" s="33">
        <v>0.26930034957583898</v>
      </c>
      <c r="Y24" s="32">
        <v>20.135999999999999</v>
      </c>
      <c r="Z24" s="33">
        <v>0.107315877271056</v>
      </c>
      <c r="AA24" s="32">
        <v>59.625</v>
      </c>
      <c r="AB24" s="33">
        <v>0.23062641421857799</v>
      </c>
      <c r="AC24" s="32">
        <v>25.945</v>
      </c>
      <c r="AD24" s="33">
        <v>0.1216595782593</v>
      </c>
      <c r="AE24" s="32">
        <v>9.0250000000000004</v>
      </c>
      <c r="AF24" s="33">
        <v>4.01435828092057E-2</v>
      </c>
      <c r="AG24" s="32">
        <v>29.297000000000001</v>
      </c>
      <c r="AH24" s="33">
        <v>0.11084500541039601</v>
      </c>
      <c r="AI24" s="32">
        <v>70.644999999999996</v>
      </c>
      <c r="AJ24" s="33">
        <v>0.21085856701538599</v>
      </c>
      <c r="AK24" s="32">
        <v>36.462000000000003</v>
      </c>
      <c r="AL24" s="33">
        <v>0.11419712487080701</v>
      </c>
      <c r="AM24" s="32">
        <v>5.8440000000000003</v>
      </c>
      <c r="AN24" s="33">
        <v>1.83338875747442E-2</v>
      </c>
      <c r="AO24" s="32">
        <v>427.47199999999998</v>
      </c>
      <c r="AP24" s="33">
        <v>0.56956017747458498</v>
      </c>
      <c r="AQ24" s="32">
        <v>76.406999999999996</v>
      </c>
      <c r="AR24" s="33">
        <v>0.173763639423449</v>
      </c>
      <c r="AS24" s="32">
        <v>118.548</v>
      </c>
      <c r="AT24" s="33">
        <v>0.239814052470703</v>
      </c>
      <c r="AU24" s="32">
        <v>227.33799999999999</v>
      </c>
      <c r="AV24" s="33">
        <v>0.34454287121585297</v>
      </c>
      <c r="AW24" s="32">
        <v>57.387</v>
      </c>
      <c r="AX24" s="33">
        <v>0.114563432411228</v>
      </c>
      <c r="AY24" s="32">
        <v>106.94799999999999</v>
      </c>
      <c r="AZ24" s="33">
        <v>0.180300286934855</v>
      </c>
    </row>
    <row r="25" spans="1:52" x14ac:dyDescent="0.25">
      <c r="A25" s="10" t="s">
        <v>1605</v>
      </c>
      <c r="B25" s="10"/>
      <c r="C25" s="32">
        <v>0.83199999999999996</v>
      </c>
      <c r="D25" s="33">
        <v>3.9556886796938098E-2</v>
      </c>
      <c r="E25" s="32">
        <v>1.7450000000000001</v>
      </c>
      <c r="F25" s="33">
        <v>5.24118459782544E-2</v>
      </c>
      <c r="G25" s="32">
        <v>0</v>
      </c>
      <c r="H25" s="33"/>
      <c r="I25" s="32">
        <v>0.52800000000000002</v>
      </c>
      <c r="J25" s="33">
        <v>7.5362898045988501E-3</v>
      </c>
      <c r="K25" s="32">
        <v>4.2000000000000003E-2</v>
      </c>
      <c r="L25" s="33">
        <v>5.8592932576275402E-4</v>
      </c>
      <c r="M25" s="32">
        <v>1.06</v>
      </c>
      <c r="N25" s="33">
        <v>1.06558365836986E-2</v>
      </c>
      <c r="O25" s="32">
        <v>3.8780000000000001</v>
      </c>
      <c r="P25" s="33">
        <v>3.7302091148688897E-2</v>
      </c>
      <c r="Q25" s="32">
        <v>1.091</v>
      </c>
      <c r="R25" s="33">
        <v>8.6688438098416407E-3</v>
      </c>
      <c r="S25" s="32">
        <v>16.178999999999998</v>
      </c>
      <c r="T25" s="33">
        <v>9.8916618774532006E-2</v>
      </c>
      <c r="U25" s="32">
        <v>8.1110000000000007</v>
      </c>
      <c r="V25" s="33">
        <v>4.5678789858418799E-2</v>
      </c>
      <c r="W25" s="32">
        <v>8.9079999999999995</v>
      </c>
      <c r="X25" s="33">
        <v>4.0389384864409003E-2</v>
      </c>
      <c r="Y25" s="32">
        <v>4.16</v>
      </c>
      <c r="Z25" s="33">
        <v>2.21709400798367E-2</v>
      </c>
      <c r="AA25" s="32">
        <v>27.940999999999999</v>
      </c>
      <c r="AB25" s="33">
        <v>0.10807434196530399</v>
      </c>
      <c r="AC25" s="32">
        <v>13.135999999999999</v>
      </c>
      <c r="AD25" s="33">
        <v>6.1596462517408399E-2</v>
      </c>
      <c r="AE25" s="32">
        <v>8.5329999999999995</v>
      </c>
      <c r="AF25" s="33">
        <v>3.7955145940271703E-2</v>
      </c>
      <c r="AG25" s="32">
        <v>5.8029999999999999</v>
      </c>
      <c r="AH25" s="33">
        <v>2.19556120557233E-2</v>
      </c>
      <c r="AI25" s="32">
        <v>15.686999999999999</v>
      </c>
      <c r="AJ25" s="33">
        <v>4.6821973823630403E-2</v>
      </c>
      <c r="AK25" s="32">
        <v>14.933</v>
      </c>
      <c r="AL25" s="33">
        <v>4.6769394594255997E-2</v>
      </c>
      <c r="AM25" s="32">
        <v>8.6270000000000007</v>
      </c>
      <c r="AN25" s="33">
        <v>2.70647584030318E-2</v>
      </c>
      <c r="AO25" s="32">
        <v>18.381</v>
      </c>
      <c r="AP25" s="33">
        <v>2.4490693243441299E-2</v>
      </c>
      <c r="AQ25" s="32">
        <v>44.786000000000001</v>
      </c>
      <c r="AR25" s="33">
        <v>0.101851641279183</v>
      </c>
      <c r="AS25" s="32">
        <v>14.516</v>
      </c>
      <c r="AT25" s="33">
        <v>2.9364820879852201E-2</v>
      </c>
      <c r="AU25" s="32">
        <v>2.3039999999999998</v>
      </c>
      <c r="AV25" s="33">
        <v>3.4918349562384002E-3</v>
      </c>
      <c r="AW25" s="32">
        <v>2.9359999999999999</v>
      </c>
      <c r="AX25" s="33">
        <v>5.8612270646551598E-3</v>
      </c>
      <c r="AY25" s="32">
        <v>60.003</v>
      </c>
      <c r="AZ25" s="33">
        <v>0.101157180283428</v>
      </c>
    </row>
    <row r="26" spans="1:52" x14ac:dyDescent="0.25">
      <c r="A26" s="10" t="s">
        <v>1606</v>
      </c>
      <c r="B26" s="10"/>
      <c r="C26" s="32" t="s">
        <v>141</v>
      </c>
      <c r="D26" s="33"/>
      <c r="E26" s="32">
        <v>0</v>
      </c>
      <c r="F26" s="33"/>
      <c r="G26" s="32">
        <v>0.7</v>
      </c>
      <c r="H26" s="33">
        <v>1.5655052108959198E-2</v>
      </c>
      <c r="I26" s="32">
        <v>15.260999999999999</v>
      </c>
      <c r="J26" s="33">
        <v>0.21782446724996801</v>
      </c>
      <c r="K26" s="32">
        <v>10.114000000000001</v>
      </c>
      <c r="L26" s="33">
        <v>0.14109736192296399</v>
      </c>
      <c r="M26" s="32">
        <v>19.503</v>
      </c>
      <c r="N26" s="33">
        <v>0.196057340464032</v>
      </c>
      <c r="O26" s="32">
        <v>15.413</v>
      </c>
      <c r="P26" s="33">
        <v>0.14825609357265199</v>
      </c>
      <c r="Q26" s="32">
        <v>14.874000000000001</v>
      </c>
      <c r="R26" s="33">
        <v>0.11818550213344101</v>
      </c>
      <c r="S26" s="32">
        <v>24.282</v>
      </c>
      <c r="T26" s="33">
        <v>0.14845746567050999</v>
      </c>
      <c r="U26" s="32">
        <v>30.343</v>
      </c>
      <c r="V26" s="33">
        <v>0.17088293930144299</v>
      </c>
      <c r="W26" s="32">
        <v>46.404000000000003</v>
      </c>
      <c r="X26" s="33">
        <v>0.21039840763897999</v>
      </c>
      <c r="Y26" s="32">
        <v>14.161</v>
      </c>
      <c r="Z26" s="33">
        <v>7.5471798670809498E-2</v>
      </c>
      <c r="AA26" s="32">
        <v>22.318000000000001</v>
      </c>
      <c r="AB26" s="33">
        <v>8.6324868973253102E-2</v>
      </c>
      <c r="AC26" s="32">
        <v>12.412000000000001</v>
      </c>
      <c r="AD26" s="33">
        <v>5.8201529595468399E-2</v>
      </c>
      <c r="AE26" s="32">
        <v>1.4E-2</v>
      </c>
      <c r="AF26" s="33">
        <v>6.2272593831454797E-5</v>
      </c>
      <c r="AG26" s="32">
        <v>21.978999999999999</v>
      </c>
      <c r="AH26" s="33">
        <v>8.3157400891390995E-2</v>
      </c>
      <c r="AI26" s="32">
        <v>53.439</v>
      </c>
      <c r="AJ26" s="33">
        <v>0.159502738519856</v>
      </c>
      <c r="AK26" s="32">
        <v>19.989999999999998</v>
      </c>
      <c r="AL26" s="33">
        <v>6.2607660747282995E-2</v>
      </c>
      <c r="AM26" s="32">
        <v>-2.8370000000000002</v>
      </c>
      <c r="AN26" s="33">
        <v>-8.9002804670686494E-3</v>
      </c>
      <c r="AO26" s="32">
        <v>80.254000000000005</v>
      </c>
      <c r="AP26" s="33">
        <v>0.106929769629462</v>
      </c>
      <c r="AQ26" s="32">
        <v>3.0609999999999999</v>
      </c>
      <c r="AR26" s="33">
        <v>6.96127972928104E-3</v>
      </c>
      <c r="AS26" s="32">
        <v>26.763999999999999</v>
      </c>
      <c r="AT26" s="33">
        <v>5.4141641363210598E-2</v>
      </c>
      <c r="AU26" s="32">
        <v>207.429</v>
      </c>
      <c r="AV26" s="33">
        <v>0.31436971924373902</v>
      </c>
      <c r="AW26" s="32">
        <v>37.948</v>
      </c>
      <c r="AX26" s="33">
        <v>7.5756759076816796E-2</v>
      </c>
      <c r="AY26" s="32">
        <v>30.657</v>
      </c>
      <c r="AZ26" s="33">
        <v>5.16836770819636E-2</v>
      </c>
    </row>
    <row r="27" spans="1:52" x14ac:dyDescent="0.25">
      <c r="A27" s="10" t="s">
        <v>1607</v>
      </c>
      <c r="B27" s="10"/>
      <c r="C27" s="32" t="s">
        <v>141</v>
      </c>
      <c r="D27" s="33"/>
      <c r="E27" s="32" t="s">
        <v>141</v>
      </c>
      <c r="F27" s="33"/>
      <c r="G27" s="32" t="s">
        <v>141</v>
      </c>
      <c r="H27" s="33"/>
      <c r="I27" s="32" t="s">
        <v>141</v>
      </c>
      <c r="J27" s="33"/>
      <c r="K27" s="32" t="s">
        <v>141</v>
      </c>
      <c r="L27" s="33"/>
      <c r="M27" s="32" t="s">
        <v>141</v>
      </c>
      <c r="N27" s="33"/>
      <c r="O27" s="32" t="s">
        <v>141</v>
      </c>
      <c r="P27" s="33"/>
      <c r="Q27" s="32" t="s">
        <v>141</v>
      </c>
      <c r="R27" s="33"/>
      <c r="S27" s="32" t="s">
        <v>141</v>
      </c>
      <c r="T27" s="33"/>
      <c r="U27" s="32" t="s">
        <v>141</v>
      </c>
      <c r="V27" s="33"/>
      <c r="W27" s="32" t="s">
        <v>141</v>
      </c>
      <c r="X27" s="33"/>
      <c r="Y27" s="32" t="s">
        <v>141</v>
      </c>
      <c r="Z27" s="33"/>
      <c r="AA27" s="32" t="s">
        <v>141</v>
      </c>
      <c r="AB27" s="33"/>
      <c r="AC27" s="32" t="s">
        <v>141</v>
      </c>
      <c r="AD27" s="33"/>
      <c r="AE27" s="32" t="s">
        <v>141</v>
      </c>
      <c r="AF27" s="33"/>
      <c r="AG27" s="32" t="s">
        <v>141</v>
      </c>
      <c r="AH27" s="33"/>
      <c r="AI27" s="32" t="s">
        <v>141</v>
      </c>
      <c r="AJ27" s="33"/>
      <c r="AK27" s="32" t="s">
        <v>141</v>
      </c>
      <c r="AL27" s="33"/>
      <c r="AM27" s="32" t="s">
        <v>141</v>
      </c>
      <c r="AN27" s="33"/>
      <c r="AO27" s="32" t="s">
        <v>141</v>
      </c>
      <c r="AP27" s="33"/>
      <c r="AQ27" s="32">
        <v>26.474</v>
      </c>
      <c r="AR27" s="33">
        <v>6.0206768883693598E-2</v>
      </c>
      <c r="AS27" s="32">
        <v>74.680000000000007</v>
      </c>
      <c r="AT27" s="33">
        <v>0.151072252914533</v>
      </c>
      <c r="AU27" s="32">
        <v>16.506</v>
      </c>
      <c r="AV27" s="33">
        <v>2.5015723866176599E-2</v>
      </c>
      <c r="AW27" s="32">
        <v>16.289000000000001</v>
      </c>
      <c r="AX27" s="33">
        <v>3.2518231490520397E-2</v>
      </c>
      <c r="AY27" s="32">
        <v>12.013999999999999</v>
      </c>
      <c r="AZ27" s="33">
        <v>2.02540266974169E-2</v>
      </c>
    </row>
    <row r="28" spans="1:52" x14ac:dyDescent="0.25">
      <c r="A28" s="10" t="s">
        <v>1608</v>
      </c>
      <c r="B28" s="10"/>
      <c r="C28" s="32">
        <v>0.03</v>
      </c>
      <c r="D28" s="33">
        <v>1.4263300527742101E-3</v>
      </c>
      <c r="E28" s="32">
        <v>0.21299999999999999</v>
      </c>
      <c r="F28" s="33">
        <v>6.39754910794738E-3</v>
      </c>
      <c r="G28" s="32">
        <v>0.309</v>
      </c>
      <c r="H28" s="33">
        <v>6.91058728809769E-3</v>
      </c>
      <c r="I28" s="32">
        <v>0.45500000000000002</v>
      </c>
      <c r="J28" s="33">
        <v>6.4943406460084797E-3</v>
      </c>
      <c r="K28" s="32">
        <v>6.0999999999999999E-2</v>
      </c>
      <c r="L28" s="33">
        <v>8.5099259217923898E-4</v>
      </c>
      <c r="M28" s="32">
        <v>0.45900000000000002</v>
      </c>
      <c r="N28" s="33">
        <v>4.61417829426193E-3</v>
      </c>
      <c r="O28" s="32">
        <v>0.69</v>
      </c>
      <c r="P28" s="33">
        <v>6.63704045709009E-3</v>
      </c>
      <c r="Q28" s="32">
        <v>2.17</v>
      </c>
      <c r="R28" s="33">
        <v>1.7242338283553E-2</v>
      </c>
      <c r="S28" s="32">
        <v>0.13600000000000001</v>
      </c>
      <c r="T28" s="33">
        <v>8.3148897665716998E-4</v>
      </c>
      <c r="U28" s="32">
        <v>0.52100000000000002</v>
      </c>
      <c r="V28" s="33">
        <v>2.9341202707725599E-3</v>
      </c>
      <c r="W28" s="32">
        <v>0.105</v>
      </c>
      <c r="X28" s="33">
        <v>4.7607604521362199E-4</v>
      </c>
      <c r="Y28" s="32">
        <v>0.58199999999999996</v>
      </c>
      <c r="Z28" s="33">
        <v>3.1017997900156199E-3</v>
      </c>
      <c r="AA28" s="32">
        <v>0.502</v>
      </c>
      <c r="AB28" s="33">
        <v>1.94171001991993E-3</v>
      </c>
      <c r="AC28" s="32">
        <v>0.13400000000000001</v>
      </c>
      <c r="AD28" s="33">
        <v>6.2834393859110302E-4</v>
      </c>
      <c r="AE28" s="32">
        <v>4.4999999999999998E-2</v>
      </c>
      <c r="AF28" s="33">
        <v>2.0016190874396199E-4</v>
      </c>
      <c r="AG28" s="32">
        <v>1.0740000000000001</v>
      </c>
      <c r="AH28" s="33">
        <v>4.0634718848607298E-3</v>
      </c>
      <c r="AI28" s="32">
        <v>0.90100000000000002</v>
      </c>
      <c r="AJ28" s="33">
        <v>2.6892712701657999E-3</v>
      </c>
      <c r="AK28" s="32">
        <v>1.5389999999999999</v>
      </c>
      <c r="AL28" s="33">
        <v>4.8200695292680597E-3</v>
      </c>
      <c r="AM28" s="32">
        <v>5.3999999999999999E-2</v>
      </c>
      <c r="AN28" s="33">
        <v>1.6940963878100401E-4</v>
      </c>
      <c r="AO28" s="32">
        <v>17.509</v>
      </c>
      <c r="AP28" s="33">
        <v>2.3328847614352499E-2</v>
      </c>
      <c r="AQ28" s="32">
        <v>2.0859999999999999</v>
      </c>
      <c r="AR28" s="33">
        <v>4.7439495312905098E-3</v>
      </c>
      <c r="AS28" s="32">
        <v>2.5880000000000001</v>
      </c>
      <c r="AT28" s="33">
        <v>5.2353373131067502E-3</v>
      </c>
      <c r="AU28" s="32">
        <v>1.099</v>
      </c>
      <c r="AV28" s="33">
        <v>1.66559314969878E-3</v>
      </c>
      <c r="AW28" s="32">
        <v>0.214</v>
      </c>
      <c r="AX28" s="33">
        <v>4.2721477923576498E-4</v>
      </c>
      <c r="AY28" s="32">
        <v>4.274</v>
      </c>
      <c r="AZ28" s="33">
        <v>7.2054028720459403E-3</v>
      </c>
    </row>
    <row r="29" spans="1:52" x14ac:dyDescent="0.25">
      <c r="A29" s="10" t="s">
        <v>1609</v>
      </c>
      <c r="B29" s="10"/>
      <c r="C29" s="32">
        <v>2.4660000000000002</v>
      </c>
      <c r="D29" s="33">
        <v>0.11724433033804001</v>
      </c>
      <c r="E29" s="32">
        <v>0.92800000000000005</v>
      </c>
      <c r="F29" s="33">
        <v>2.7872890010212099E-2</v>
      </c>
      <c r="G29" s="32">
        <v>1.091</v>
      </c>
      <c r="H29" s="33">
        <v>2.4399516929820599E-2</v>
      </c>
      <c r="I29" s="32">
        <v>5.8689999999999998</v>
      </c>
      <c r="J29" s="33">
        <v>8.3769857695436795E-2</v>
      </c>
      <c r="K29" s="32">
        <v>4.9210000000000003</v>
      </c>
      <c r="L29" s="33">
        <v>6.8651386001869402E-2</v>
      </c>
      <c r="M29" s="32">
        <v>6.516</v>
      </c>
      <c r="N29" s="33">
        <v>6.5503236961679201E-2</v>
      </c>
      <c r="O29" s="32">
        <v>6.4480000000000004</v>
      </c>
      <c r="P29" s="33">
        <v>6.2022662126546203E-2</v>
      </c>
      <c r="Q29" s="32">
        <v>8.5120000000000005</v>
      </c>
      <c r="R29" s="33">
        <v>6.7634462428388706E-2</v>
      </c>
      <c r="S29" s="32">
        <v>9.92</v>
      </c>
      <c r="T29" s="33">
        <v>6.0649784179699399E-2</v>
      </c>
      <c r="U29" s="32">
        <v>2.8220000000000001</v>
      </c>
      <c r="V29" s="33">
        <v>1.58926821576203E-2</v>
      </c>
      <c r="W29" s="32">
        <v>3.9780000000000002</v>
      </c>
      <c r="X29" s="33">
        <v>1.8036481027236099E-2</v>
      </c>
      <c r="Y29" s="32">
        <v>1.2330000000000001</v>
      </c>
      <c r="Z29" s="33">
        <v>6.5713387303939098E-3</v>
      </c>
      <c r="AA29" s="32">
        <v>8.8640000000000008</v>
      </c>
      <c r="AB29" s="33">
        <v>3.4285493260100199E-2</v>
      </c>
      <c r="AC29" s="32">
        <v>0.26300000000000001</v>
      </c>
      <c r="AD29" s="33">
        <v>1.23324220783179E-3</v>
      </c>
      <c r="AE29" s="32">
        <v>0.433</v>
      </c>
      <c r="AF29" s="33">
        <v>1.92600236635857E-3</v>
      </c>
      <c r="AG29" s="32">
        <v>0.441</v>
      </c>
      <c r="AH29" s="33">
        <v>1.6685205784204701E-3</v>
      </c>
      <c r="AI29" s="32">
        <v>0.61799999999999999</v>
      </c>
      <c r="AJ29" s="33">
        <v>1.84458340173415E-3</v>
      </c>
      <c r="AK29" s="32" t="s">
        <v>141</v>
      </c>
      <c r="AL29" s="33"/>
      <c r="AM29" s="32" t="s">
        <v>141</v>
      </c>
      <c r="AN29" s="33"/>
      <c r="AO29" s="32">
        <v>311.32799999999997</v>
      </c>
      <c r="AP29" s="33">
        <v>0.414810866987329</v>
      </c>
      <c r="AQ29" s="32" t="s">
        <v>141</v>
      </c>
      <c r="AR29" s="33"/>
      <c r="AS29" s="32" t="s">
        <v>141</v>
      </c>
      <c r="AT29" s="33"/>
      <c r="AU29" s="32" t="s">
        <v>141</v>
      </c>
      <c r="AV29" s="33"/>
      <c r="AW29" s="32" t="s">
        <v>141</v>
      </c>
      <c r="AX29" s="33"/>
      <c r="AY29" s="32" t="s">
        <v>141</v>
      </c>
      <c r="AZ29" s="33"/>
    </row>
    <row r="30" spans="1:52" x14ac:dyDescent="0.25">
      <c r="A30" s="10" t="s">
        <v>1610</v>
      </c>
      <c r="B30" s="10"/>
      <c r="C30" s="32">
        <v>5.63</v>
      </c>
      <c r="D30" s="33">
        <v>0.26767460657062703</v>
      </c>
      <c r="E30" s="32">
        <v>4.117</v>
      </c>
      <c r="F30" s="33">
        <v>0.123655913978495</v>
      </c>
      <c r="G30" s="32">
        <v>4.383</v>
      </c>
      <c r="H30" s="33">
        <v>9.8022990562239995E-2</v>
      </c>
      <c r="I30" s="32">
        <v>1.8819999999999999</v>
      </c>
      <c r="J30" s="33">
        <v>2.68623057050285E-2</v>
      </c>
      <c r="K30" s="32">
        <v>0.59399999999999997</v>
      </c>
      <c r="L30" s="33">
        <v>8.2867147500732402E-3</v>
      </c>
      <c r="M30" s="32" t="s">
        <v>141</v>
      </c>
      <c r="N30" s="33"/>
      <c r="O30" s="32" t="s">
        <v>141</v>
      </c>
      <c r="P30" s="33"/>
      <c r="Q30" s="32" t="s">
        <v>141</v>
      </c>
      <c r="R30" s="33"/>
      <c r="S30" s="32">
        <v>0.20200000000000001</v>
      </c>
      <c r="T30" s="33">
        <v>1.23500568591727E-3</v>
      </c>
      <c r="U30" s="32" t="s">
        <v>141</v>
      </c>
      <c r="V30" s="33"/>
      <c r="W30" s="32" t="s">
        <v>141</v>
      </c>
      <c r="X30" s="33"/>
      <c r="Y30" s="32" t="s">
        <v>141</v>
      </c>
      <c r="Z30" s="33"/>
      <c r="AA30" s="32" t="s">
        <v>141</v>
      </c>
      <c r="AB30" s="33"/>
      <c r="AC30" s="32" t="s">
        <v>141</v>
      </c>
      <c r="AD30" s="33"/>
      <c r="AE30" s="32" t="s">
        <v>141</v>
      </c>
      <c r="AF30" s="33"/>
      <c r="AG30" s="32" t="s">
        <v>141</v>
      </c>
      <c r="AH30" s="33"/>
      <c r="AI30" s="32" t="s">
        <v>141</v>
      </c>
      <c r="AJ30" s="33"/>
      <c r="AK30" s="32" t="s">
        <v>141</v>
      </c>
      <c r="AL30" s="33"/>
      <c r="AM30" s="32" t="s">
        <v>141</v>
      </c>
      <c r="AN30" s="33"/>
      <c r="AO30" s="32" t="s">
        <v>141</v>
      </c>
      <c r="AP30" s="33"/>
      <c r="AQ30" s="32" t="s">
        <v>141</v>
      </c>
      <c r="AR30" s="33"/>
      <c r="AS30" s="32" t="s">
        <v>141</v>
      </c>
      <c r="AT30" s="33"/>
      <c r="AU30" s="32" t="s">
        <v>141</v>
      </c>
      <c r="AV30" s="33"/>
      <c r="AW30" s="32" t="s">
        <v>141</v>
      </c>
      <c r="AX30" s="33"/>
      <c r="AY30" s="32" t="s">
        <v>141</v>
      </c>
      <c r="AZ30" s="33"/>
    </row>
    <row r="31" spans="1:52" x14ac:dyDescent="0.25">
      <c r="A31" s="10" t="s">
        <v>1611</v>
      </c>
      <c r="B31" s="10"/>
      <c r="C31" s="32" t="s">
        <v>141</v>
      </c>
      <c r="D31" s="33"/>
      <c r="E31" s="32" t="s">
        <v>141</v>
      </c>
      <c r="F31" s="33"/>
      <c r="G31" s="32" t="s">
        <v>141</v>
      </c>
      <c r="H31" s="33"/>
      <c r="I31" s="32" t="s">
        <v>141</v>
      </c>
      <c r="J31" s="33"/>
      <c r="K31" s="32" t="s">
        <v>141</v>
      </c>
      <c r="L31" s="33"/>
      <c r="M31" s="32" t="s">
        <v>141</v>
      </c>
      <c r="N31" s="33"/>
      <c r="O31" s="32">
        <v>0</v>
      </c>
      <c r="P31" s="33"/>
      <c r="Q31" s="32">
        <v>0</v>
      </c>
      <c r="R31" s="33"/>
      <c r="S31" s="32" t="s">
        <v>141</v>
      </c>
      <c r="T31" s="33"/>
      <c r="U31" s="32" t="s">
        <v>141</v>
      </c>
      <c r="V31" s="33"/>
      <c r="W31" s="32">
        <v>0.34699999999999998</v>
      </c>
      <c r="X31" s="33">
        <v>1.5733179779916799E-3</v>
      </c>
      <c r="Y31" s="32">
        <v>0.45300000000000001</v>
      </c>
      <c r="Z31" s="33">
        <v>2.4142874654245298E-3</v>
      </c>
      <c r="AA31" s="32">
        <v>0.39600000000000002</v>
      </c>
      <c r="AB31" s="33">
        <v>1.5317075057535701E-3</v>
      </c>
      <c r="AC31" s="32">
        <v>0.442</v>
      </c>
      <c r="AD31" s="33">
        <v>2.0725971705766199E-3</v>
      </c>
      <c r="AE31" s="32">
        <v>2.278</v>
      </c>
      <c r="AF31" s="33">
        <v>1.0132640624861E-2</v>
      </c>
      <c r="AG31" s="32">
        <v>2.742</v>
      </c>
      <c r="AH31" s="33">
        <v>1.03743388345327E-2</v>
      </c>
      <c r="AI31" s="32">
        <v>2.7149999999999999</v>
      </c>
      <c r="AJ31" s="33">
        <v>8.1036309639291402E-3</v>
      </c>
      <c r="AK31" s="32">
        <v>6.5</v>
      </c>
      <c r="AL31" s="33">
        <v>2.03576685771556E-2</v>
      </c>
      <c r="AM31" s="32">
        <v>7.2050000000000001</v>
      </c>
      <c r="AN31" s="33">
        <v>2.2603637915132001E-2</v>
      </c>
      <c r="AO31" s="32">
        <v>9.9049999999999994</v>
      </c>
      <c r="AP31" s="33">
        <v>1.31973405460141E-2</v>
      </c>
      <c r="AQ31" s="32">
        <v>17.023</v>
      </c>
      <c r="AR31" s="33">
        <v>3.87134481645054E-2</v>
      </c>
      <c r="AS31" s="32">
        <v>10.622</v>
      </c>
      <c r="AT31" s="33">
        <v>2.14875397758191E-2</v>
      </c>
      <c r="AU31" s="32">
        <v>22.399000000000001</v>
      </c>
      <c r="AV31" s="33">
        <v>3.3946879854506902E-2</v>
      </c>
      <c r="AW31" s="32">
        <v>23.385999999999999</v>
      </c>
      <c r="AX31" s="33">
        <v>4.6686190781343902E-2</v>
      </c>
      <c r="AY31" s="32">
        <v>35.387</v>
      </c>
      <c r="AZ31" s="33">
        <v>5.96578360863569E-2</v>
      </c>
    </row>
    <row r="32" spans="1:52" x14ac:dyDescent="0.25">
      <c r="A32" s="6" t="s">
        <v>1612</v>
      </c>
      <c r="B32" s="6"/>
      <c r="C32" s="36">
        <v>21.033000000000001</v>
      </c>
      <c r="D32" s="37">
        <v>1</v>
      </c>
      <c r="E32" s="36">
        <v>33.293999999999997</v>
      </c>
      <c r="F32" s="37">
        <v>1</v>
      </c>
      <c r="G32" s="36">
        <v>44.713999999999999</v>
      </c>
      <c r="H32" s="37">
        <v>1</v>
      </c>
      <c r="I32" s="36">
        <v>70.061000000000007</v>
      </c>
      <c r="J32" s="37">
        <v>1</v>
      </c>
      <c r="K32" s="36">
        <v>71.680999999999997</v>
      </c>
      <c r="L32" s="37">
        <v>1</v>
      </c>
      <c r="M32" s="36">
        <v>99.475999999999999</v>
      </c>
      <c r="N32" s="37">
        <v>1</v>
      </c>
      <c r="O32" s="36" t="s">
        <v>141</v>
      </c>
      <c r="P32" s="37"/>
      <c r="Q32" s="36" t="s">
        <v>141</v>
      </c>
      <c r="R32" s="37"/>
      <c r="S32" s="36" t="s">
        <v>141</v>
      </c>
      <c r="T32" s="37"/>
      <c r="U32" s="36" t="s">
        <v>141</v>
      </c>
      <c r="V32" s="37"/>
      <c r="W32" s="36" t="s">
        <v>141</v>
      </c>
      <c r="X32" s="37"/>
      <c r="Y32" s="36" t="s">
        <v>141</v>
      </c>
      <c r="Z32" s="37"/>
      <c r="AA32" s="36" t="s">
        <v>141</v>
      </c>
      <c r="AB32" s="37"/>
      <c r="AC32" s="36" t="s">
        <v>141</v>
      </c>
      <c r="AD32" s="37"/>
      <c r="AE32" s="36" t="s">
        <v>141</v>
      </c>
      <c r="AF32" s="37"/>
      <c r="AG32" s="36" t="s">
        <v>141</v>
      </c>
      <c r="AH32" s="37"/>
      <c r="AI32" s="36" t="s">
        <v>141</v>
      </c>
      <c r="AJ32" s="37"/>
      <c r="AK32" s="36" t="s">
        <v>141</v>
      </c>
      <c r="AL32" s="37"/>
      <c r="AM32" s="36" t="s">
        <v>141</v>
      </c>
      <c r="AN32" s="37"/>
      <c r="AO32" s="36" t="s">
        <v>141</v>
      </c>
      <c r="AP32" s="37"/>
      <c r="AQ32" s="36" t="s">
        <v>141</v>
      </c>
      <c r="AR32" s="37"/>
      <c r="AS32" s="36" t="s">
        <v>141</v>
      </c>
      <c r="AT32" s="37"/>
      <c r="AU32" s="36" t="s">
        <v>141</v>
      </c>
      <c r="AV32" s="37"/>
      <c r="AW32" s="36" t="s">
        <v>141</v>
      </c>
      <c r="AX32" s="37"/>
      <c r="AY32" s="36" t="s">
        <v>141</v>
      </c>
      <c r="AZ32" s="37"/>
    </row>
    <row r="33" spans="1:52" x14ac:dyDescent="0.25">
      <c r="A33" s="10" t="s">
        <v>1595</v>
      </c>
      <c r="B33" s="10"/>
      <c r="C33" s="32">
        <v>12.074999999999999</v>
      </c>
      <c r="D33" s="33">
        <v>0.57409784624161997</v>
      </c>
      <c r="E33" s="32">
        <v>26.291</v>
      </c>
      <c r="F33" s="33">
        <v>0.78966180092509197</v>
      </c>
      <c r="G33" s="32">
        <v>38.231000000000002</v>
      </c>
      <c r="H33" s="33">
        <v>0.85501185311088201</v>
      </c>
      <c r="I33" s="32">
        <v>46.066000000000003</v>
      </c>
      <c r="J33" s="33">
        <v>0.657512738898959</v>
      </c>
      <c r="K33" s="32">
        <v>55.948999999999998</v>
      </c>
      <c r="L33" s="33">
        <v>0.78052761540715099</v>
      </c>
      <c r="M33" s="32">
        <v>71.938000000000002</v>
      </c>
      <c r="N33" s="33">
        <v>0.72316940769632898</v>
      </c>
      <c r="O33" s="32" t="s">
        <v>141</v>
      </c>
      <c r="P33" s="33"/>
      <c r="Q33" s="32" t="s">
        <v>141</v>
      </c>
      <c r="R33" s="33"/>
      <c r="S33" s="32" t="s">
        <v>141</v>
      </c>
      <c r="T33" s="33"/>
      <c r="U33" s="32" t="s">
        <v>141</v>
      </c>
      <c r="V33" s="33"/>
      <c r="W33" s="32" t="s">
        <v>141</v>
      </c>
      <c r="X33" s="33"/>
      <c r="Y33" s="32" t="s">
        <v>141</v>
      </c>
      <c r="Z33" s="33"/>
      <c r="AA33" s="32" t="s">
        <v>141</v>
      </c>
      <c r="AB33" s="33"/>
      <c r="AC33" s="32" t="s">
        <v>141</v>
      </c>
      <c r="AD33" s="33"/>
      <c r="AE33" s="32" t="s">
        <v>141</v>
      </c>
      <c r="AF33" s="33"/>
      <c r="AG33" s="32" t="s">
        <v>141</v>
      </c>
      <c r="AH33" s="33"/>
      <c r="AI33" s="32" t="s">
        <v>141</v>
      </c>
      <c r="AJ33" s="33"/>
      <c r="AK33" s="32" t="s">
        <v>141</v>
      </c>
      <c r="AL33" s="33"/>
      <c r="AM33" s="32" t="s">
        <v>141</v>
      </c>
      <c r="AN33" s="33"/>
      <c r="AO33" s="32" t="s">
        <v>141</v>
      </c>
      <c r="AP33" s="33"/>
      <c r="AQ33" s="32" t="s">
        <v>141</v>
      </c>
      <c r="AR33" s="33"/>
      <c r="AS33" s="32" t="s">
        <v>141</v>
      </c>
      <c r="AT33" s="33"/>
      <c r="AU33" s="32" t="s">
        <v>141</v>
      </c>
      <c r="AV33" s="33"/>
      <c r="AW33" s="32" t="s">
        <v>141</v>
      </c>
      <c r="AX33" s="33"/>
      <c r="AY33" s="32" t="s">
        <v>141</v>
      </c>
      <c r="AZ33" s="33"/>
    </row>
    <row r="34" spans="1:52" x14ac:dyDescent="0.25">
      <c r="A34" s="10" t="s">
        <v>1613</v>
      </c>
      <c r="B34" s="10"/>
      <c r="C34" s="32">
        <v>3.9460000000000002</v>
      </c>
      <c r="D34" s="33">
        <v>0.18760994627490099</v>
      </c>
      <c r="E34" s="32">
        <v>0</v>
      </c>
      <c r="F34" s="33"/>
      <c r="G34" s="32">
        <v>0</v>
      </c>
      <c r="H34" s="33"/>
      <c r="I34" s="32">
        <v>12.475</v>
      </c>
      <c r="J34" s="33">
        <v>0.17805911990979301</v>
      </c>
      <c r="K34" s="32">
        <v>20.04</v>
      </c>
      <c r="L34" s="33">
        <v>0.27957199257822901</v>
      </c>
      <c r="M34" s="32">
        <v>8.3019999999999996</v>
      </c>
      <c r="N34" s="33">
        <v>8.3457316337609097E-2</v>
      </c>
      <c r="O34" s="32" t="s">
        <v>141</v>
      </c>
      <c r="P34" s="33"/>
      <c r="Q34" s="32" t="s">
        <v>141</v>
      </c>
      <c r="R34" s="33"/>
      <c r="S34" s="32" t="s">
        <v>141</v>
      </c>
      <c r="T34" s="33"/>
      <c r="U34" s="32" t="s">
        <v>141</v>
      </c>
      <c r="V34" s="33"/>
      <c r="W34" s="32" t="s">
        <v>141</v>
      </c>
      <c r="X34" s="33"/>
      <c r="Y34" s="32" t="s">
        <v>141</v>
      </c>
      <c r="Z34" s="33"/>
      <c r="AA34" s="32" t="s">
        <v>141</v>
      </c>
      <c r="AB34" s="33"/>
      <c r="AC34" s="32" t="s">
        <v>141</v>
      </c>
      <c r="AD34" s="33"/>
      <c r="AE34" s="32" t="s">
        <v>141</v>
      </c>
      <c r="AF34" s="33"/>
      <c r="AG34" s="32" t="s">
        <v>141</v>
      </c>
      <c r="AH34" s="33"/>
      <c r="AI34" s="32" t="s">
        <v>141</v>
      </c>
      <c r="AJ34" s="33"/>
      <c r="AK34" s="32" t="s">
        <v>141</v>
      </c>
      <c r="AL34" s="33"/>
      <c r="AM34" s="32" t="s">
        <v>141</v>
      </c>
      <c r="AN34" s="33"/>
      <c r="AO34" s="32" t="s">
        <v>141</v>
      </c>
      <c r="AP34" s="33"/>
      <c r="AQ34" s="32" t="s">
        <v>141</v>
      </c>
      <c r="AR34" s="33"/>
      <c r="AS34" s="32" t="s">
        <v>141</v>
      </c>
      <c r="AT34" s="33"/>
      <c r="AU34" s="32" t="s">
        <v>141</v>
      </c>
      <c r="AV34" s="33"/>
      <c r="AW34" s="32" t="s">
        <v>141</v>
      </c>
      <c r="AX34" s="33"/>
      <c r="AY34" s="32" t="s">
        <v>141</v>
      </c>
      <c r="AZ34" s="33"/>
    </row>
    <row r="35" spans="1:52" x14ac:dyDescent="0.25">
      <c r="A35" s="10" t="s">
        <v>1614</v>
      </c>
      <c r="B35" s="10"/>
      <c r="C35" s="32">
        <v>8.1289999999999996</v>
      </c>
      <c r="D35" s="33">
        <v>0.38648789996671901</v>
      </c>
      <c r="E35" s="32">
        <v>18.760000000000002</v>
      </c>
      <c r="F35" s="33">
        <v>0.56346488856851096</v>
      </c>
      <c r="G35" s="32">
        <v>28.192</v>
      </c>
      <c r="H35" s="33">
        <v>0.630496041508252</v>
      </c>
      <c r="I35" s="32">
        <v>33.591000000000001</v>
      </c>
      <c r="J35" s="33">
        <v>0.479453618989167</v>
      </c>
      <c r="K35" s="32">
        <v>35.908999999999999</v>
      </c>
      <c r="L35" s="33">
        <v>0.50095562282892303</v>
      </c>
      <c r="M35" s="32">
        <v>42.47</v>
      </c>
      <c r="N35" s="33">
        <v>0.42693715066950799</v>
      </c>
      <c r="O35" s="32" t="s">
        <v>141</v>
      </c>
      <c r="P35" s="33"/>
      <c r="Q35" s="32" t="s">
        <v>141</v>
      </c>
      <c r="R35" s="33"/>
      <c r="S35" s="32" t="s">
        <v>141</v>
      </c>
      <c r="T35" s="33"/>
      <c r="U35" s="32" t="s">
        <v>141</v>
      </c>
      <c r="V35" s="33"/>
      <c r="W35" s="32" t="s">
        <v>141</v>
      </c>
      <c r="X35" s="33"/>
      <c r="Y35" s="32" t="s">
        <v>141</v>
      </c>
      <c r="Z35" s="33"/>
      <c r="AA35" s="32" t="s">
        <v>141</v>
      </c>
      <c r="AB35" s="33"/>
      <c r="AC35" s="32" t="s">
        <v>141</v>
      </c>
      <c r="AD35" s="33"/>
      <c r="AE35" s="32" t="s">
        <v>141</v>
      </c>
      <c r="AF35" s="33"/>
      <c r="AG35" s="32" t="s">
        <v>141</v>
      </c>
      <c r="AH35" s="33"/>
      <c r="AI35" s="32" t="s">
        <v>141</v>
      </c>
      <c r="AJ35" s="33"/>
      <c r="AK35" s="32" t="s">
        <v>141</v>
      </c>
      <c r="AL35" s="33"/>
      <c r="AM35" s="32" t="s">
        <v>141</v>
      </c>
      <c r="AN35" s="33"/>
      <c r="AO35" s="32" t="s">
        <v>141</v>
      </c>
      <c r="AP35" s="33"/>
      <c r="AQ35" s="32" t="s">
        <v>141</v>
      </c>
      <c r="AR35" s="33"/>
      <c r="AS35" s="32" t="s">
        <v>141</v>
      </c>
      <c r="AT35" s="33"/>
      <c r="AU35" s="32" t="s">
        <v>141</v>
      </c>
      <c r="AV35" s="33"/>
      <c r="AW35" s="32" t="s">
        <v>141</v>
      </c>
      <c r="AX35" s="33"/>
      <c r="AY35" s="32" t="s">
        <v>141</v>
      </c>
      <c r="AZ35" s="33"/>
    </row>
    <row r="36" spans="1:52" x14ac:dyDescent="0.25">
      <c r="A36" s="10" t="s">
        <v>1615</v>
      </c>
      <c r="B36" s="10"/>
      <c r="C36" s="32" t="s">
        <v>141</v>
      </c>
      <c r="D36" s="33"/>
      <c r="E36" s="32">
        <v>7.5309999999999997</v>
      </c>
      <c r="F36" s="33">
        <v>0.22619691235658099</v>
      </c>
      <c r="G36" s="32">
        <v>10.039</v>
      </c>
      <c r="H36" s="33">
        <v>0.22451581160263001</v>
      </c>
      <c r="I36" s="32" t="s">
        <v>141</v>
      </c>
      <c r="J36" s="33"/>
      <c r="K36" s="32" t="s">
        <v>141</v>
      </c>
      <c r="L36" s="33"/>
      <c r="M36" s="32">
        <v>21.166</v>
      </c>
      <c r="N36" s="33">
        <v>0.21277494068921099</v>
      </c>
      <c r="O36" s="32" t="s">
        <v>141</v>
      </c>
      <c r="P36" s="33"/>
      <c r="Q36" s="32" t="s">
        <v>141</v>
      </c>
      <c r="R36" s="33"/>
      <c r="S36" s="32" t="s">
        <v>141</v>
      </c>
      <c r="T36" s="33"/>
      <c r="U36" s="32" t="s">
        <v>141</v>
      </c>
      <c r="V36" s="33"/>
      <c r="W36" s="32" t="s">
        <v>141</v>
      </c>
      <c r="X36" s="33"/>
      <c r="Y36" s="32" t="s">
        <v>141</v>
      </c>
      <c r="Z36" s="33"/>
      <c r="AA36" s="32" t="s">
        <v>141</v>
      </c>
      <c r="AB36" s="33"/>
      <c r="AC36" s="32" t="s">
        <v>141</v>
      </c>
      <c r="AD36" s="33"/>
      <c r="AE36" s="32" t="s">
        <v>141</v>
      </c>
      <c r="AF36" s="33"/>
      <c r="AG36" s="32" t="s">
        <v>141</v>
      </c>
      <c r="AH36" s="33"/>
      <c r="AI36" s="32" t="s">
        <v>141</v>
      </c>
      <c r="AJ36" s="33"/>
      <c r="AK36" s="32" t="s">
        <v>141</v>
      </c>
      <c r="AL36" s="33"/>
      <c r="AM36" s="32" t="s">
        <v>141</v>
      </c>
      <c r="AN36" s="33"/>
      <c r="AO36" s="32" t="s">
        <v>141</v>
      </c>
      <c r="AP36" s="33"/>
      <c r="AQ36" s="32" t="s">
        <v>141</v>
      </c>
      <c r="AR36" s="33"/>
      <c r="AS36" s="32" t="s">
        <v>141</v>
      </c>
      <c r="AT36" s="33"/>
      <c r="AU36" s="32" t="s">
        <v>141</v>
      </c>
      <c r="AV36" s="33"/>
      <c r="AW36" s="32" t="s">
        <v>141</v>
      </c>
      <c r="AX36" s="33"/>
      <c r="AY36" s="32" t="s">
        <v>141</v>
      </c>
      <c r="AZ36" s="33"/>
    </row>
    <row r="37" spans="1:52" x14ac:dyDescent="0.25">
      <c r="A37" s="10" t="s">
        <v>1604</v>
      </c>
      <c r="B37" s="10"/>
      <c r="C37" s="32">
        <v>8.9580000000000002</v>
      </c>
      <c r="D37" s="33">
        <v>0.42590215375837998</v>
      </c>
      <c r="E37" s="32">
        <v>7.0030000000000001</v>
      </c>
      <c r="F37" s="33">
        <v>0.210338199074908</v>
      </c>
      <c r="G37" s="32">
        <v>6.4829999999999997</v>
      </c>
      <c r="H37" s="33">
        <v>0.14498814688911801</v>
      </c>
      <c r="I37" s="32">
        <v>23.995000000000001</v>
      </c>
      <c r="J37" s="33">
        <v>0.34248726110104</v>
      </c>
      <c r="K37" s="32">
        <v>15.731999999999999</v>
      </c>
      <c r="L37" s="33">
        <v>0.21947238459284901</v>
      </c>
      <c r="M37" s="32">
        <v>27.538</v>
      </c>
      <c r="N37" s="33">
        <v>0.27683059230367102</v>
      </c>
      <c r="O37" s="32" t="s">
        <v>141</v>
      </c>
      <c r="P37" s="33"/>
      <c r="Q37" s="32" t="s">
        <v>141</v>
      </c>
      <c r="R37" s="33"/>
      <c r="S37" s="32" t="s">
        <v>141</v>
      </c>
      <c r="T37" s="33"/>
      <c r="U37" s="32" t="s">
        <v>141</v>
      </c>
      <c r="V37" s="33"/>
      <c r="W37" s="32" t="s">
        <v>141</v>
      </c>
      <c r="X37" s="33"/>
      <c r="Y37" s="32" t="s">
        <v>141</v>
      </c>
      <c r="Z37" s="33"/>
      <c r="AA37" s="32" t="s">
        <v>141</v>
      </c>
      <c r="AB37" s="33"/>
      <c r="AC37" s="32" t="s">
        <v>141</v>
      </c>
      <c r="AD37" s="33"/>
      <c r="AE37" s="32" t="s">
        <v>141</v>
      </c>
      <c r="AF37" s="33"/>
      <c r="AG37" s="32" t="s">
        <v>141</v>
      </c>
      <c r="AH37" s="33"/>
      <c r="AI37" s="32" t="s">
        <v>141</v>
      </c>
      <c r="AJ37" s="33"/>
      <c r="AK37" s="32" t="s">
        <v>141</v>
      </c>
      <c r="AL37" s="33"/>
      <c r="AM37" s="32" t="s">
        <v>141</v>
      </c>
      <c r="AN37" s="33"/>
      <c r="AO37" s="32" t="s">
        <v>141</v>
      </c>
      <c r="AP37" s="33"/>
      <c r="AQ37" s="32" t="s">
        <v>141</v>
      </c>
      <c r="AR37" s="33"/>
      <c r="AS37" s="32" t="s">
        <v>141</v>
      </c>
      <c r="AT37" s="33"/>
      <c r="AU37" s="32" t="s">
        <v>141</v>
      </c>
      <c r="AV37" s="33"/>
      <c r="AW37" s="32" t="s">
        <v>141</v>
      </c>
      <c r="AX37" s="33"/>
      <c r="AY37" s="32" t="s">
        <v>141</v>
      </c>
      <c r="AZ37" s="33"/>
    </row>
    <row r="38" spans="1:52" x14ac:dyDescent="0.25">
      <c r="A38" s="6" t="s">
        <v>1616</v>
      </c>
      <c r="B38" s="6"/>
      <c r="C38" s="38" t="s">
        <v>141</v>
      </c>
      <c r="D38" s="39"/>
      <c r="E38" s="38" t="s">
        <v>141</v>
      </c>
      <c r="F38" s="39"/>
      <c r="G38" s="38" t="s">
        <v>141</v>
      </c>
      <c r="H38" s="39"/>
      <c r="I38" s="38" t="s">
        <v>141</v>
      </c>
      <c r="J38" s="39"/>
      <c r="K38" s="38" t="s">
        <v>141</v>
      </c>
      <c r="L38" s="39"/>
      <c r="M38" s="38" t="s">
        <v>141</v>
      </c>
      <c r="N38" s="39"/>
      <c r="O38" s="38" t="s">
        <v>141</v>
      </c>
      <c r="P38" s="39"/>
      <c r="Q38" s="38" t="s">
        <v>141</v>
      </c>
      <c r="R38" s="39"/>
      <c r="S38" s="38" t="s">
        <v>141</v>
      </c>
      <c r="T38" s="39"/>
      <c r="U38" s="38" t="s">
        <v>141</v>
      </c>
      <c r="V38" s="39"/>
      <c r="W38" s="38" t="s">
        <v>141</v>
      </c>
      <c r="X38" s="39"/>
      <c r="Y38" s="38" t="s">
        <v>141</v>
      </c>
      <c r="Z38" s="39"/>
      <c r="AA38" s="38" t="s">
        <v>141</v>
      </c>
      <c r="AB38" s="39"/>
      <c r="AC38" s="38" t="s">
        <v>141</v>
      </c>
      <c r="AD38" s="39"/>
      <c r="AE38" s="38" t="s">
        <v>141</v>
      </c>
      <c r="AF38" s="39"/>
      <c r="AG38" s="38" t="s">
        <v>141</v>
      </c>
      <c r="AH38" s="39"/>
      <c r="AI38" s="38" t="s">
        <v>141</v>
      </c>
      <c r="AJ38" s="39"/>
      <c r="AK38" s="38" t="s">
        <v>141</v>
      </c>
      <c r="AL38" s="39"/>
      <c r="AM38" s="38" t="s">
        <v>141</v>
      </c>
      <c r="AN38" s="39"/>
      <c r="AO38" s="38" t="s">
        <v>141</v>
      </c>
      <c r="AP38" s="39"/>
      <c r="AQ38" s="38" t="s">
        <v>141</v>
      </c>
      <c r="AR38" s="39"/>
      <c r="AS38" s="38" t="s">
        <v>141</v>
      </c>
      <c r="AT38" s="39"/>
      <c r="AU38" s="38" t="s">
        <v>141</v>
      </c>
      <c r="AV38" s="39"/>
      <c r="AW38" s="38" t="s">
        <v>141</v>
      </c>
      <c r="AX38" s="39"/>
      <c r="AY38" s="38" t="s">
        <v>141</v>
      </c>
      <c r="AZ38" s="39"/>
    </row>
    <row r="39" spans="1:52" x14ac:dyDescent="0.25">
      <c r="A39" s="10" t="s">
        <v>1611</v>
      </c>
      <c r="B39" s="10"/>
      <c r="C39" s="34" t="s">
        <v>141</v>
      </c>
      <c r="D39" s="35"/>
      <c r="E39" s="34" t="s">
        <v>141</v>
      </c>
      <c r="F39" s="35"/>
      <c r="G39" s="34" t="s">
        <v>141</v>
      </c>
      <c r="H39" s="35"/>
      <c r="I39" s="34" t="s">
        <v>141</v>
      </c>
      <c r="J39" s="35"/>
      <c r="K39" s="34" t="s">
        <v>141</v>
      </c>
      <c r="L39" s="35"/>
      <c r="M39" s="34" t="s">
        <v>141</v>
      </c>
      <c r="N39" s="35"/>
      <c r="O39" s="34" t="s">
        <v>141</v>
      </c>
      <c r="P39" s="35"/>
      <c r="Q39" s="34" t="s">
        <v>141</v>
      </c>
      <c r="R39" s="35"/>
      <c r="S39" s="34" t="s">
        <v>141</v>
      </c>
      <c r="T39" s="35"/>
      <c r="U39" s="34" t="s">
        <v>141</v>
      </c>
      <c r="V39" s="35"/>
      <c r="W39" s="34" t="s">
        <v>141</v>
      </c>
      <c r="X39" s="35"/>
      <c r="Y39" s="34" t="s">
        <v>141</v>
      </c>
      <c r="Z39" s="35"/>
      <c r="AA39" s="34" t="s">
        <v>141</v>
      </c>
      <c r="AB39" s="35"/>
      <c r="AC39" s="34" t="s">
        <v>141</v>
      </c>
      <c r="AD39" s="35"/>
      <c r="AE39" s="34" t="s">
        <v>141</v>
      </c>
      <c r="AF39" s="35"/>
      <c r="AG39" s="34">
        <v>505</v>
      </c>
      <c r="AH39" s="35"/>
      <c r="AI39" s="34" t="s">
        <v>141</v>
      </c>
      <c r="AJ39" s="35"/>
      <c r="AK39" s="34" t="s">
        <v>141</v>
      </c>
      <c r="AL39" s="35"/>
      <c r="AM39" s="34">
        <v>216</v>
      </c>
      <c r="AN39" s="35"/>
      <c r="AO39" s="34">
        <v>261</v>
      </c>
      <c r="AP39" s="35"/>
      <c r="AQ39" s="34" t="s">
        <v>141</v>
      </c>
      <c r="AR39" s="35"/>
      <c r="AS39" s="34">
        <v>63</v>
      </c>
      <c r="AT39" s="35"/>
      <c r="AU39" s="34">
        <v>211</v>
      </c>
      <c r="AV39" s="35"/>
      <c r="AW39" s="34">
        <v>136</v>
      </c>
      <c r="AX39" s="35"/>
      <c r="AY39" s="34" t="s">
        <v>141</v>
      </c>
      <c r="AZ39" s="35"/>
    </row>
    <row r="40" spans="1:52" x14ac:dyDescent="0.25">
      <c r="A40" s="10" t="s">
        <v>1595</v>
      </c>
      <c r="B40" s="10"/>
      <c r="C40" s="34" t="s">
        <v>141</v>
      </c>
      <c r="D40" s="35"/>
      <c r="E40" s="34">
        <v>1229</v>
      </c>
      <c r="F40" s="35"/>
      <c r="G40" s="34" t="s">
        <v>141</v>
      </c>
      <c r="H40" s="35"/>
      <c r="I40" s="34">
        <v>9914</v>
      </c>
      <c r="J40" s="35"/>
      <c r="K40" s="34" t="s">
        <v>141</v>
      </c>
      <c r="L40" s="35"/>
      <c r="M40" s="34">
        <v>174</v>
      </c>
      <c r="N40" s="35"/>
      <c r="O40" s="34">
        <v>103</v>
      </c>
      <c r="P40" s="35"/>
      <c r="Q40" s="34">
        <v>115</v>
      </c>
      <c r="R40" s="35"/>
      <c r="S40" s="34" t="s">
        <v>141</v>
      </c>
      <c r="T40" s="35"/>
      <c r="U40" s="34">
        <v>89</v>
      </c>
      <c r="V40" s="35"/>
      <c r="W40" s="34">
        <v>107</v>
      </c>
      <c r="X40" s="35"/>
      <c r="Y40" s="34">
        <v>68</v>
      </c>
      <c r="Z40" s="35"/>
      <c r="AA40" s="34" t="s">
        <v>141</v>
      </c>
      <c r="AB40" s="35"/>
      <c r="AC40" s="34">
        <v>38</v>
      </c>
      <c r="AD40" s="35"/>
      <c r="AE40" s="34">
        <v>33</v>
      </c>
      <c r="AF40" s="35"/>
      <c r="AG40" s="34">
        <v>39</v>
      </c>
      <c r="AH40" s="35"/>
      <c r="AI40" s="34" t="s">
        <v>141</v>
      </c>
      <c r="AJ40" s="35"/>
      <c r="AK40" s="34">
        <v>48</v>
      </c>
      <c r="AL40" s="35"/>
      <c r="AM40" s="34">
        <v>43</v>
      </c>
      <c r="AN40" s="35"/>
      <c r="AO40" s="34">
        <v>35</v>
      </c>
      <c r="AP40" s="35"/>
      <c r="AQ40" s="34" t="s">
        <v>141</v>
      </c>
      <c r="AR40" s="35"/>
      <c r="AS40" s="34">
        <v>-32</v>
      </c>
      <c r="AT40" s="35"/>
      <c r="AU40" s="34">
        <v>34</v>
      </c>
      <c r="AV40" s="35"/>
      <c r="AW40" s="34">
        <v>34</v>
      </c>
      <c r="AX40" s="35"/>
      <c r="AY40" s="34" t="s">
        <v>141</v>
      </c>
      <c r="AZ40" s="35"/>
    </row>
    <row r="41" spans="1:52" x14ac:dyDescent="0.25">
      <c r="A41" s="10" t="s">
        <v>1596</v>
      </c>
      <c r="B41" s="10"/>
      <c r="C41" s="34" t="s">
        <v>141</v>
      </c>
      <c r="D41" s="35"/>
      <c r="E41" s="34" t="s">
        <v>141</v>
      </c>
      <c r="F41" s="35"/>
      <c r="G41" s="34" t="s">
        <v>141</v>
      </c>
      <c r="H41" s="35"/>
      <c r="I41" s="34" t="s">
        <v>141</v>
      </c>
      <c r="J41" s="35"/>
      <c r="K41" s="34" t="s">
        <v>141</v>
      </c>
      <c r="L41" s="35"/>
      <c r="M41" s="34" t="s">
        <v>141</v>
      </c>
      <c r="N41" s="35"/>
      <c r="O41" s="34" t="s">
        <v>141</v>
      </c>
      <c r="P41" s="35"/>
      <c r="Q41" s="34" t="s">
        <v>141</v>
      </c>
      <c r="R41" s="35"/>
      <c r="S41" s="34" t="s">
        <v>141</v>
      </c>
      <c r="T41" s="35"/>
      <c r="U41" s="34" t="s">
        <v>141</v>
      </c>
      <c r="V41" s="35"/>
      <c r="W41" s="34" t="s">
        <v>141</v>
      </c>
      <c r="X41" s="35"/>
      <c r="Y41" s="34" t="s">
        <v>141</v>
      </c>
      <c r="Z41" s="35"/>
      <c r="AA41" s="34" t="s">
        <v>141</v>
      </c>
      <c r="AB41" s="35"/>
      <c r="AC41" s="34" t="s">
        <v>141</v>
      </c>
      <c r="AD41" s="35"/>
      <c r="AE41" s="34" t="s">
        <v>141</v>
      </c>
      <c r="AF41" s="35"/>
      <c r="AG41" s="34" t="s">
        <v>141</v>
      </c>
      <c r="AH41" s="35"/>
      <c r="AI41" s="34" t="s">
        <v>141</v>
      </c>
      <c r="AJ41" s="35"/>
      <c r="AK41" s="34" t="s">
        <v>141</v>
      </c>
      <c r="AL41" s="35"/>
      <c r="AM41" s="34" t="s">
        <v>141</v>
      </c>
      <c r="AN41" s="35"/>
      <c r="AO41" s="34">
        <v>489</v>
      </c>
      <c r="AP41" s="35"/>
      <c r="AQ41" s="34" t="s">
        <v>141</v>
      </c>
      <c r="AR41" s="35"/>
      <c r="AS41" s="34">
        <v>92</v>
      </c>
      <c r="AT41" s="35"/>
      <c r="AU41" s="34">
        <v>74</v>
      </c>
      <c r="AV41" s="35"/>
      <c r="AW41" s="34">
        <v>74</v>
      </c>
      <c r="AX41" s="35"/>
      <c r="AY41" s="34" t="s">
        <v>141</v>
      </c>
      <c r="AZ41" s="35"/>
    </row>
    <row r="42" spans="1:52" x14ac:dyDescent="0.25">
      <c r="A42" s="10" t="s">
        <v>1598</v>
      </c>
      <c r="B42" s="10"/>
      <c r="C42" s="34" t="s">
        <v>141</v>
      </c>
      <c r="D42" s="35"/>
      <c r="E42" s="34" t="s">
        <v>141</v>
      </c>
      <c r="F42" s="35"/>
      <c r="G42" s="34" t="s">
        <v>141</v>
      </c>
      <c r="H42" s="35"/>
      <c r="I42" s="34" t="s">
        <v>141</v>
      </c>
      <c r="J42" s="35"/>
      <c r="K42" s="34" t="s">
        <v>141</v>
      </c>
      <c r="L42" s="35"/>
      <c r="M42" s="34" t="s">
        <v>141</v>
      </c>
      <c r="N42" s="35"/>
      <c r="O42" s="34" t="s">
        <v>141</v>
      </c>
      <c r="P42" s="35"/>
      <c r="Q42" s="34" t="s">
        <v>141</v>
      </c>
      <c r="R42" s="35"/>
      <c r="S42" s="34" t="s">
        <v>141</v>
      </c>
      <c r="T42" s="35"/>
      <c r="U42" s="34" t="s">
        <v>141</v>
      </c>
      <c r="V42" s="35"/>
      <c r="W42" s="34" t="s">
        <v>141</v>
      </c>
      <c r="X42" s="35"/>
      <c r="Y42" s="34" t="s">
        <v>141</v>
      </c>
      <c r="Z42" s="35"/>
      <c r="AA42" s="34" t="s">
        <v>141</v>
      </c>
      <c r="AB42" s="35"/>
      <c r="AC42" s="34" t="s">
        <v>141</v>
      </c>
      <c r="AD42" s="35"/>
      <c r="AE42" s="34" t="s">
        <v>141</v>
      </c>
      <c r="AF42" s="35"/>
      <c r="AG42" s="34" t="s">
        <v>141</v>
      </c>
      <c r="AH42" s="35"/>
      <c r="AI42" s="34" t="s">
        <v>141</v>
      </c>
      <c r="AJ42" s="35"/>
      <c r="AK42" s="34" t="s">
        <v>141</v>
      </c>
      <c r="AL42" s="35"/>
      <c r="AM42" s="34" t="s">
        <v>141</v>
      </c>
      <c r="AN42" s="35"/>
      <c r="AO42" s="34">
        <v>0</v>
      </c>
      <c r="AP42" s="35"/>
      <c r="AQ42" s="34" t="s">
        <v>141</v>
      </c>
      <c r="AR42" s="35"/>
      <c r="AS42" s="34" t="s">
        <v>141</v>
      </c>
      <c r="AT42" s="35"/>
      <c r="AU42" s="34">
        <v>294</v>
      </c>
      <c r="AV42" s="35"/>
      <c r="AW42" s="34">
        <v>235</v>
      </c>
      <c r="AX42" s="35"/>
      <c r="AY42" s="34" t="s">
        <v>141</v>
      </c>
      <c r="AZ42" s="35"/>
    </row>
    <row r="43" spans="1:52" x14ac:dyDescent="0.25">
      <c r="A43" s="10" t="s">
        <v>1599</v>
      </c>
      <c r="B43" s="10"/>
      <c r="C43" s="34" t="s">
        <v>141</v>
      </c>
      <c r="D43" s="35"/>
      <c r="E43" s="34" t="s">
        <v>141</v>
      </c>
      <c r="F43" s="35"/>
      <c r="G43" s="34" t="s">
        <v>141</v>
      </c>
      <c r="H43" s="35"/>
      <c r="I43" s="34" t="s">
        <v>141</v>
      </c>
      <c r="J43" s="35"/>
      <c r="K43" s="34" t="s">
        <v>141</v>
      </c>
      <c r="L43" s="35"/>
      <c r="M43" s="34" t="s">
        <v>141</v>
      </c>
      <c r="N43" s="35"/>
      <c r="O43" s="34" t="s">
        <v>141</v>
      </c>
      <c r="P43" s="35"/>
      <c r="Q43" s="34" t="s">
        <v>141</v>
      </c>
      <c r="R43" s="35"/>
      <c r="S43" s="34" t="s">
        <v>141</v>
      </c>
      <c r="T43" s="35"/>
      <c r="U43" s="34" t="s">
        <v>141</v>
      </c>
      <c r="V43" s="35"/>
      <c r="W43" s="34" t="s">
        <v>141</v>
      </c>
      <c r="X43" s="35"/>
      <c r="Y43" s="34" t="s">
        <v>141</v>
      </c>
      <c r="Z43" s="35"/>
      <c r="AA43" s="34" t="s">
        <v>141</v>
      </c>
      <c r="AB43" s="35"/>
      <c r="AC43" s="34" t="s">
        <v>141</v>
      </c>
      <c r="AD43" s="35"/>
      <c r="AE43" s="34" t="s">
        <v>141</v>
      </c>
      <c r="AF43" s="35"/>
      <c r="AG43" s="34" t="s">
        <v>141</v>
      </c>
      <c r="AH43" s="35"/>
      <c r="AI43" s="34" t="s">
        <v>141</v>
      </c>
      <c r="AJ43" s="35"/>
      <c r="AK43" s="34" t="s">
        <v>141</v>
      </c>
      <c r="AL43" s="35"/>
      <c r="AM43" s="34" t="s">
        <v>141</v>
      </c>
      <c r="AN43" s="35"/>
      <c r="AO43" s="34">
        <v>0</v>
      </c>
      <c r="AP43" s="35"/>
      <c r="AQ43" s="34" t="s">
        <v>141</v>
      </c>
      <c r="AR43" s="35"/>
      <c r="AS43" s="34">
        <v>33</v>
      </c>
      <c r="AT43" s="35"/>
      <c r="AU43" s="34">
        <v>17</v>
      </c>
      <c r="AV43" s="35"/>
      <c r="AW43" s="34">
        <v>57</v>
      </c>
      <c r="AX43" s="35"/>
      <c r="AY43" s="34" t="s">
        <v>141</v>
      </c>
      <c r="AZ43" s="35"/>
    </row>
    <row r="44" spans="1:52" x14ac:dyDescent="0.25">
      <c r="A44" s="10" t="s">
        <v>1597</v>
      </c>
      <c r="B44" s="10"/>
      <c r="C44" s="34" t="s">
        <v>141</v>
      </c>
      <c r="D44" s="35"/>
      <c r="E44" s="34" t="s">
        <v>141</v>
      </c>
      <c r="F44" s="35"/>
      <c r="G44" s="34" t="s">
        <v>141</v>
      </c>
      <c r="H44" s="35"/>
      <c r="I44" s="34" t="s">
        <v>141</v>
      </c>
      <c r="J44" s="35"/>
      <c r="K44" s="34" t="s">
        <v>141</v>
      </c>
      <c r="L44" s="35"/>
      <c r="M44" s="34" t="s">
        <v>141</v>
      </c>
      <c r="N44" s="35"/>
      <c r="O44" s="34" t="s">
        <v>141</v>
      </c>
      <c r="P44" s="35"/>
      <c r="Q44" s="34" t="s">
        <v>141</v>
      </c>
      <c r="R44" s="35"/>
      <c r="S44" s="34" t="s">
        <v>141</v>
      </c>
      <c r="T44" s="35"/>
      <c r="U44" s="34" t="s">
        <v>141</v>
      </c>
      <c r="V44" s="35"/>
      <c r="W44" s="34" t="s">
        <v>141</v>
      </c>
      <c r="X44" s="35"/>
      <c r="Y44" s="34" t="s">
        <v>141</v>
      </c>
      <c r="Z44" s="35"/>
      <c r="AA44" s="34" t="s">
        <v>141</v>
      </c>
      <c r="AB44" s="35"/>
      <c r="AC44" s="34" t="s">
        <v>141</v>
      </c>
      <c r="AD44" s="35"/>
      <c r="AE44" s="34" t="s">
        <v>141</v>
      </c>
      <c r="AF44" s="35"/>
      <c r="AG44" s="34" t="s">
        <v>141</v>
      </c>
      <c r="AH44" s="35"/>
      <c r="AI44" s="34" t="s">
        <v>141</v>
      </c>
      <c r="AJ44" s="35"/>
      <c r="AK44" s="34" t="s">
        <v>141</v>
      </c>
      <c r="AL44" s="35"/>
      <c r="AM44" s="34" t="s">
        <v>141</v>
      </c>
      <c r="AN44" s="35"/>
      <c r="AO44" s="34">
        <v>353</v>
      </c>
      <c r="AP44" s="35"/>
      <c r="AQ44" s="34" t="s">
        <v>141</v>
      </c>
      <c r="AR44" s="35"/>
      <c r="AS44" s="34">
        <v>65</v>
      </c>
      <c r="AT44" s="35"/>
      <c r="AU44" s="34">
        <v>54</v>
      </c>
      <c r="AV44" s="35"/>
      <c r="AW44" s="34">
        <v>49</v>
      </c>
      <c r="AX44" s="35"/>
      <c r="AY44" s="34" t="s">
        <v>141</v>
      </c>
      <c r="AZ44" s="35"/>
    </row>
    <row r="45" spans="1:52" x14ac:dyDescent="0.25">
      <c r="A45" s="10" t="s">
        <v>1603</v>
      </c>
      <c r="B45" s="10"/>
      <c r="C45" s="34" t="s">
        <v>141</v>
      </c>
      <c r="D45" s="35"/>
      <c r="E45" s="34" t="s">
        <v>141</v>
      </c>
      <c r="F45" s="35"/>
      <c r="G45" s="34" t="s">
        <v>141</v>
      </c>
      <c r="H45" s="35"/>
      <c r="I45" s="34" t="s">
        <v>141</v>
      </c>
      <c r="J45" s="35"/>
      <c r="K45" s="34" t="s">
        <v>141</v>
      </c>
      <c r="L45" s="35"/>
      <c r="M45" s="34" t="s">
        <v>141</v>
      </c>
      <c r="N45" s="35"/>
      <c r="O45" s="34" t="s">
        <v>141</v>
      </c>
      <c r="P45" s="35"/>
      <c r="Q45" s="34" t="s">
        <v>141</v>
      </c>
      <c r="R45" s="35"/>
      <c r="S45" s="34" t="s">
        <v>141</v>
      </c>
      <c r="T45" s="35"/>
      <c r="U45" s="34" t="s">
        <v>141</v>
      </c>
      <c r="V45" s="35"/>
      <c r="W45" s="34" t="s">
        <v>141</v>
      </c>
      <c r="X45" s="35"/>
      <c r="Y45" s="34" t="s">
        <v>141</v>
      </c>
      <c r="Z45" s="35"/>
      <c r="AA45" s="34" t="s">
        <v>141</v>
      </c>
      <c r="AB45" s="35"/>
      <c r="AC45" s="34">
        <v>59</v>
      </c>
      <c r="AD45" s="35"/>
      <c r="AE45" s="34">
        <v>-9</v>
      </c>
      <c r="AF45" s="35"/>
      <c r="AG45" s="34">
        <v>10</v>
      </c>
      <c r="AH45" s="35"/>
      <c r="AI45" s="34" t="s">
        <v>141</v>
      </c>
      <c r="AJ45" s="35"/>
      <c r="AK45" s="34">
        <v>66</v>
      </c>
      <c r="AL45" s="35"/>
      <c r="AM45" s="34">
        <v>62</v>
      </c>
      <c r="AN45" s="35"/>
      <c r="AO45" s="34">
        <v>75</v>
      </c>
      <c r="AP45" s="35"/>
      <c r="AQ45" s="34" t="s">
        <v>141</v>
      </c>
      <c r="AR45" s="35"/>
      <c r="AS45" s="34">
        <v>77</v>
      </c>
      <c r="AT45" s="35"/>
      <c r="AU45" s="34">
        <v>68</v>
      </c>
      <c r="AV45" s="35"/>
      <c r="AW45" s="34">
        <v>40</v>
      </c>
      <c r="AX45" s="35"/>
      <c r="AY45" s="34" t="s">
        <v>141</v>
      </c>
      <c r="AZ45" s="35"/>
    </row>
    <row r="46" spans="1:52" x14ac:dyDescent="0.25">
      <c r="A46" s="10" t="s">
        <v>1597</v>
      </c>
      <c r="B46" s="10"/>
      <c r="C46" s="34" t="s">
        <v>141</v>
      </c>
      <c r="D46" s="35"/>
      <c r="E46" s="34" t="s">
        <v>141</v>
      </c>
      <c r="F46" s="35"/>
      <c r="G46" s="34" t="s">
        <v>141</v>
      </c>
      <c r="H46" s="35"/>
      <c r="I46" s="34" t="s">
        <v>141</v>
      </c>
      <c r="J46" s="35"/>
      <c r="K46" s="34" t="s">
        <v>141</v>
      </c>
      <c r="L46" s="35"/>
      <c r="M46" s="34" t="s">
        <v>141</v>
      </c>
      <c r="N46" s="35"/>
      <c r="O46" s="34" t="s">
        <v>141</v>
      </c>
      <c r="P46" s="35"/>
      <c r="Q46" s="34" t="s">
        <v>141</v>
      </c>
      <c r="R46" s="35"/>
      <c r="S46" s="34" t="s">
        <v>141</v>
      </c>
      <c r="T46" s="35"/>
      <c r="U46" s="34" t="s">
        <v>141</v>
      </c>
      <c r="V46" s="35"/>
      <c r="W46" s="34" t="s">
        <v>141</v>
      </c>
      <c r="X46" s="35"/>
      <c r="Y46" s="34" t="s">
        <v>141</v>
      </c>
      <c r="Z46" s="35"/>
      <c r="AA46" s="34" t="s">
        <v>141</v>
      </c>
      <c r="AB46" s="35"/>
      <c r="AC46" s="34">
        <v>284</v>
      </c>
      <c r="AD46" s="35"/>
      <c r="AE46" s="34">
        <v>9</v>
      </c>
      <c r="AF46" s="35"/>
      <c r="AG46" s="34">
        <v>22</v>
      </c>
      <c r="AH46" s="35"/>
      <c r="AI46" s="34" t="s">
        <v>141</v>
      </c>
      <c r="AJ46" s="35"/>
      <c r="AK46" s="34">
        <v>67</v>
      </c>
      <c r="AL46" s="35"/>
      <c r="AM46" s="34">
        <v>23</v>
      </c>
      <c r="AN46" s="35"/>
      <c r="AO46" s="34">
        <v>52</v>
      </c>
      <c r="AP46" s="35"/>
      <c r="AQ46" s="34" t="s">
        <v>141</v>
      </c>
      <c r="AR46" s="35"/>
      <c r="AS46" s="34">
        <v>47</v>
      </c>
      <c r="AT46" s="35"/>
      <c r="AU46" s="34">
        <v>79</v>
      </c>
      <c r="AV46" s="35"/>
      <c r="AW46" s="34">
        <v>54</v>
      </c>
      <c r="AX46" s="35"/>
      <c r="AY46" s="34" t="s">
        <v>141</v>
      </c>
      <c r="AZ46" s="35"/>
    </row>
    <row r="47" spans="1:52" x14ac:dyDescent="0.25">
      <c r="A47" s="10" t="s">
        <v>1601</v>
      </c>
      <c r="B47" s="10"/>
      <c r="C47" s="34" t="s">
        <v>141</v>
      </c>
      <c r="D47" s="35"/>
      <c r="E47" s="34" t="s">
        <v>141</v>
      </c>
      <c r="F47" s="35"/>
      <c r="G47" s="34" t="s">
        <v>141</v>
      </c>
      <c r="H47" s="35"/>
      <c r="I47" s="34" t="s">
        <v>141</v>
      </c>
      <c r="J47" s="35"/>
      <c r="K47" s="34" t="s">
        <v>141</v>
      </c>
      <c r="L47" s="35"/>
      <c r="M47" s="34" t="s">
        <v>141</v>
      </c>
      <c r="N47" s="35"/>
      <c r="O47" s="34" t="s">
        <v>141</v>
      </c>
      <c r="P47" s="35"/>
      <c r="Q47" s="34" t="s">
        <v>141</v>
      </c>
      <c r="R47" s="35"/>
      <c r="S47" s="34" t="s">
        <v>141</v>
      </c>
      <c r="T47" s="35"/>
      <c r="U47" s="34" t="s">
        <v>141</v>
      </c>
      <c r="V47" s="35"/>
      <c r="W47" s="34" t="s">
        <v>141</v>
      </c>
      <c r="X47" s="35"/>
      <c r="Y47" s="34" t="s">
        <v>141</v>
      </c>
      <c r="Z47" s="35"/>
      <c r="AA47" s="34" t="s">
        <v>141</v>
      </c>
      <c r="AB47" s="35"/>
      <c r="AC47" s="34" t="s">
        <v>141</v>
      </c>
      <c r="AD47" s="35"/>
      <c r="AE47" s="34" t="s">
        <v>141</v>
      </c>
      <c r="AF47" s="35"/>
      <c r="AG47" s="34" t="s">
        <v>141</v>
      </c>
      <c r="AH47" s="35"/>
      <c r="AI47" s="34" t="s">
        <v>141</v>
      </c>
      <c r="AJ47" s="35"/>
      <c r="AK47" s="34">
        <v>77</v>
      </c>
      <c r="AL47" s="35"/>
      <c r="AM47" s="34">
        <v>1336</v>
      </c>
      <c r="AN47" s="35"/>
      <c r="AO47" s="34">
        <v>464</v>
      </c>
      <c r="AP47" s="35"/>
      <c r="AQ47" s="34" t="s">
        <v>141</v>
      </c>
      <c r="AR47" s="35"/>
      <c r="AS47" s="34">
        <v>340</v>
      </c>
      <c r="AT47" s="35"/>
      <c r="AU47" s="34">
        <v>36</v>
      </c>
      <c r="AV47" s="35"/>
      <c r="AW47" s="34">
        <v>35</v>
      </c>
      <c r="AX47" s="35"/>
      <c r="AY47" s="34" t="s">
        <v>141</v>
      </c>
      <c r="AZ47" s="35"/>
    </row>
    <row r="48" spans="1:52" x14ac:dyDescent="0.25">
      <c r="A48" s="10" t="s">
        <v>1598</v>
      </c>
      <c r="B48" s="10"/>
      <c r="C48" s="34" t="s">
        <v>141</v>
      </c>
      <c r="D48" s="35"/>
      <c r="E48" s="34" t="s">
        <v>141</v>
      </c>
      <c r="F48" s="35"/>
      <c r="G48" s="34" t="s">
        <v>141</v>
      </c>
      <c r="H48" s="35"/>
      <c r="I48" s="34" t="s">
        <v>141</v>
      </c>
      <c r="J48" s="35"/>
      <c r="K48" s="34" t="s">
        <v>141</v>
      </c>
      <c r="L48" s="35"/>
      <c r="M48" s="34" t="s">
        <v>141</v>
      </c>
      <c r="N48" s="35"/>
      <c r="O48" s="34" t="s">
        <v>141</v>
      </c>
      <c r="P48" s="35"/>
      <c r="Q48" s="34" t="s">
        <v>141</v>
      </c>
      <c r="R48" s="35"/>
      <c r="S48" s="34" t="s">
        <v>141</v>
      </c>
      <c r="T48" s="35"/>
      <c r="U48" s="34" t="s">
        <v>141</v>
      </c>
      <c r="V48" s="35"/>
      <c r="W48" s="34" t="s">
        <v>141</v>
      </c>
      <c r="X48" s="35"/>
      <c r="Y48" s="34" t="s">
        <v>141</v>
      </c>
      <c r="Z48" s="35"/>
      <c r="AA48" s="34" t="s">
        <v>141</v>
      </c>
      <c r="AB48" s="35"/>
      <c r="AC48" s="34">
        <v>5</v>
      </c>
      <c r="AD48" s="35"/>
      <c r="AE48" s="34">
        <v>-23</v>
      </c>
      <c r="AF48" s="35"/>
      <c r="AG48" s="34">
        <v>-3</v>
      </c>
      <c r="AH48" s="35"/>
      <c r="AI48" s="34" t="s">
        <v>141</v>
      </c>
      <c r="AJ48" s="35"/>
      <c r="AK48" s="34">
        <v>63</v>
      </c>
      <c r="AL48" s="35"/>
      <c r="AM48" s="34">
        <v>61</v>
      </c>
      <c r="AN48" s="35"/>
      <c r="AO48" s="34">
        <v>61</v>
      </c>
      <c r="AP48" s="35"/>
      <c r="AQ48" s="34" t="s">
        <v>141</v>
      </c>
      <c r="AR48" s="35"/>
      <c r="AS48" s="34">
        <v>61</v>
      </c>
      <c r="AT48" s="35"/>
      <c r="AU48" s="34">
        <v>68</v>
      </c>
      <c r="AV48" s="35"/>
      <c r="AW48" s="34">
        <v>32</v>
      </c>
      <c r="AX48" s="35"/>
      <c r="AY48" s="34" t="s">
        <v>141</v>
      </c>
      <c r="AZ48" s="35"/>
    </row>
    <row r="49" spans="1:52" x14ac:dyDescent="0.25">
      <c r="A49" s="10" t="s">
        <v>1600</v>
      </c>
      <c r="B49" s="10"/>
      <c r="C49" s="34" t="s">
        <v>141</v>
      </c>
      <c r="D49" s="35"/>
      <c r="E49" s="34" t="s">
        <v>141</v>
      </c>
      <c r="F49" s="35"/>
      <c r="G49" s="34" t="s">
        <v>141</v>
      </c>
      <c r="H49" s="35"/>
      <c r="I49" s="34" t="s">
        <v>141</v>
      </c>
      <c r="J49" s="35"/>
      <c r="K49" s="34" t="s">
        <v>141</v>
      </c>
      <c r="L49" s="35"/>
      <c r="M49" s="34" t="s">
        <v>141</v>
      </c>
      <c r="N49" s="35"/>
      <c r="O49" s="34" t="s">
        <v>141</v>
      </c>
      <c r="P49" s="35"/>
      <c r="Q49" s="34" t="s">
        <v>141</v>
      </c>
      <c r="R49" s="35"/>
      <c r="S49" s="34" t="s">
        <v>141</v>
      </c>
      <c r="T49" s="35"/>
      <c r="U49" s="34">
        <v>368</v>
      </c>
      <c r="V49" s="35"/>
      <c r="W49" s="34">
        <v>179</v>
      </c>
      <c r="X49" s="35"/>
      <c r="Y49" s="34">
        <v>91</v>
      </c>
      <c r="Z49" s="35"/>
      <c r="AA49" s="34" t="s">
        <v>141</v>
      </c>
      <c r="AB49" s="35"/>
      <c r="AC49" s="34">
        <v>43</v>
      </c>
      <c r="AD49" s="35"/>
      <c r="AE49" s="34">
        <v>47</v>
      </c>
      <c r="AF49" s="35"/>
      <c r="AG49" s="34">
        <v>43</v>
      </c>
      <c r="AH49" s="35"/>
      <c r="AI49" s="34" t="s">
        <v>141</v>
      </c>
      <c r="AJ49" s="35"/>
      <c r="AK49" s="34">
        <v>36</v>
      </c>
      <c r="AL49" s="35"/>
      <c r="AM49" s="34">
        <v>28</v>
      </c>
      <c r="AN49" s="35"/>
      <c r="AO49" s="34">
        <v>19</v>
      </c>
      <c r="AP49" s="35"/>
      <c r="AQ49" s="34" t="s">
        <v>141</v>
      </c>
      <c r="AR49" s="35"/>
      <c r="AS49" s="34">
        <v>21</v>
      </c>
      <c r="AT49" s="35"/>
      <c r="AU49" s="34">
        <v>7</v>
      </c>
      <c r="AV49" s="35"/>
      <c r="AW49" s="34">
        <v>31</v>
      </c>
      <c r="AX49" s="35"/>
      <c r="AY49" s="34" t="s">
        <v>141</v>
      </c>
      <c r="AZ49" s="35"/>
    </row>
    <row r="50" spans="1:52" x14ac:dyDescent="0.25">
      <c r="A50" s="10" t="s">
        <v>1601</v>
      </c>
      <c r="B50" s="10"/>
      <c r="C50" s="34" t="s">
        <v>141</v>
      </c>
      <c r="D50" s="35"/>
      <c r="E50" s="34" t="s">
        <v>141</v>
      </c>
      <c r="F50" s="35"/>
      <c r="G50" s="34" t="s">
        <v>141</v>
      </c>
      <c r="H50" s="35"/>
      <c r="I50" s="34" t="s">
        <v>141</v>
      </c>
      <c r="J50" s="35"/>
      <c r="K50" s="34" t="s">
        <v>141</v>
      </c>
      <c r="L50" s="35"/>
      <c r="M50" s="34" t="s">
        <v>141</v>
      </c>
      <c r="N50" s="35"/>
      <c r="O50" s="34" t="s">
        <v>141</v>
      </c>
      <c r="P50" s="35"/>
      <c r="Q50" s="34" t="s">
        <v>141</v>
      </c>
      <c r="R50" s="35"/>
      <c r="S50" s="34" t="s">
        <v>141</v>
      </c>
      <c r="T50" s="35"/>
      <c r="U50" s="34" t="s">
        <v>141</v>
      </c>
      <c r="V50" s="35"/>
      <c r="W50" s="34" t="s">
        <v>141</v>
      </c>
      <c r="X50" s="35"/>
      <c r="Y50" s="34" t="s">
        <v>141</v>
      </c>
      <c r="Z50" s="35"/>
      <c r="AA50" s="34" t="s">
        <v>141</v>
      </c>
      <c r="AB50" s="35"/>
      <c r="AC50" s="34">
        <v>493</v>
      </c>
      <c r="AD50" s="35"/>
      <c r="AE50" s="34">
        <v>559</v>
      </c>
      <c r="AF50" s="35"/>
      <c r="AG50" s="34">
        <v>6</v>
      </c>
      <c r="AH50" s="35"/>
      <c r="AI50" s="34" t="s">
        <v>141</v>
      </c>
      <c r="AJ50" s="35"/>
      <c r="AK50" s="34">
        <v>64</v>
      </c>
      <c r="AL50" s="35"/>
      <c r="AM50" s="34">
        <v>442</v>
      </c>
      <c r="AN50" s="35"/>
      <c r="AO50" s="34">
        <v>134</v>
      </c>
      <c r="AP50" s="35"/>
      <c r="AQ50" s="34" t="s">
        <v>141</v>
      </c>
      <c r="AR50" s="35"/>
      <c r="AS50" s="34">
        <v>28</v>
      </c>
      <c r="AT50" s="35"/>
      <c r="AU50" s="34">
        <v>-47</v>
      </c>
      <c r="AV50" s="35"/>
      <c r="AW50" s="34">
        <v>206</v>
      </c>
      <c r="AX50" s="35"/>
      <c r="AY50" s="34" t="s">
        <v>141</v>
      </c>
      <c r="AZ50" s="35"/>
    </row>
    <row r="51" spans="1:52" x14ac:dyDescent="0.25">
      <c r="A51" s="10" t="s">
        <v>1598</v>
      </c>
      <c r="B51" s="10"/>
      <c r="C51" s="34" t="s">
        <v>141</v>
      </c>
      <c r="D51" s="35"/>
      <c r="E51" s="34" t="s">
        <v>141</v>
      </c>
      <c r="F51" s="35"/>
      <c r="G51" s="34" t="s">
        <v>141</v>
      </c>
      <c r="H51" s="35"/>
      <c r="I51" s="34" t="s">
        <v>141</v>
      </c>
      <c r="J51" s="35"/>
      <c r="K51" s="34" t="s">
        <v>141</v>
      </c>
      <c r="L51" s="35"/>
      <c r="M51" s="34" t="s">
        <v>141</v>
      </c>
      <c r="N51" s="35"/>
      <c r="O51" s="34" t="s">
        <v>141</v>
      </c>
      <c r="P51" s="35"/>
      <c r="Q51" s="34" t="s">
        <v>141</v>
      </c>
      <c r="R51" s="35"/>
      <c r="S51" s="34" t="s">
        <v>141</v>
      </c>
      <c r="T51" s="35"/>
      <c r="U51" s="34" t="s">
        <v>141</v>
      </c>
      <c r="V51" s="35"/>
      <c r="W51" s="34">
        <v>243</v>
      </c>
      <c r="X51" s="35"/>
      <c r="Y51" s="34">
        <v>65</v>
      </c>
      <c r="Z51" s="35"/>
      <c r="AA51" s="34" t="s">
        <v>141</v>
      </c>
      <c r="AB51" s="35"/>
      <c r="AC51" s="34">
        <v>41</v>
      </c>
      <c r="AD51" s="35"/>
      <c r="AE51" s="34">
        <v>73</v>
      </c>
      <c r="AF51" s="35"/>
      <c r="AG51" s="34">
        <v>65</v>
      </c>
      <c r="AH51" s="35"/>
      <c r="AI51" s="34" t="s">
        <v>141</v>
      </c>
      <c r="AJ51" s="35"/>
      <c r="AK51" s="34">
        <v>49</v>
      </c>
      <c r="AL51" s="35"/>
      <c r="AM51" s="34">
        <v>1</v>
      </c>
      <c r="AN51" s="35"/>
      <c r="AO51" s="34">
        <v>0</v>
      </c>
      <c r="AP51" s="35"/>
      <c r="AQ51" s="34" t="s">
        <v>141</v>
      </c>
      <c r="AR51" s="35"/>
      <c r="AS51" s="34">
        <v>6</v>
      </c>
      <c r="AT51" s="35"/>
      <c r="AU51" s="34">
        <v>16</v>
      </c>
      <c r="AV51" s="35"/>
      <c r="AW51" s="34">
        <v>31</v>
      </c>
      <c r="AX51" s="35"/>
      <c r="AY51" s="34" t="s">
        <v>141</v>
      </c>
      <c r="AZ51" s="35"/>
    </row>
    <row r="52" spans="1:52" x14ac:dyDescent="0.25">
      <c r="A52" s="10" t="s">
        <v>1597</v>
      </c>
      <c r="B52" s="10"/>
      <c r="C52" s="34" t="s">
        <v>141</v>
      </c>
      <c r="D52" s="35"/>
      <c r="E52" s="34" t="s">
        <v>141</v>
      </c>
      <c r="F52" s="35"/>
      <c r="G52" s="34" t="s">
        <v>141</v>
      </c>
      <c r="H52" s="35"/>
      <c r="I52" s="34" t="s">
        <v>141</v>
      </c>
      <c r="J52" s="35"/>
      <c r="K52" s="34" t="s">
        <v>141</v>
      </c>
      <c r="L52" s="35"/>
      <c r="M52" s="34" t="s">
        <v>141</v>
      </c>
      <c r="N52" s="35"/>
      <c r="O52" s="34" t="s">
        <v>141</v>
      </c>
      <c r="P52" s="35"/>
      <c r="Q52" s="34" t="s">
        <v>141</v>
      </c>
      <c r="R52" s="35"/>
      <c r="S52" s="34" t="s">
        <v>141</v>
      </c>
      <c r="T52" s="35"/>
      <c r="U52" s="34">
        <v>237</v>
      </c>
      <c r="V52" s="35"/>
      <c r="W52" s="34">
        <v>158</v>
      </c>
      <c r="X52" s="35"/>
      <c r="Y52" s="34">
        <v>85</v>
      </c>
      <c r="Z52" s="35"/>
      <c r="AA52" s="34" t="s">
        <v>141</v>
      </c>
      <c r="AB52" s="35"/>
      <c r="AC52" s="34">
        <v>33</v>
      </c>
      <c r="AD52" s="35"/>
      <c r="AE52" s="34">
        <v>33</v>
      </c>
      <c r="AF52" s="35"/>
      <c r="AG52" s="34">
        <v>39</v>
      </c>
      <c r="AH52" s="35"/>
      <c r="AI52" s="34" t="s">
        <v>141</v>
      </c>
      <c r="AJ52" s="35"/>
      <c r="AK52" s="34">
        <v>28</v>
      </c>
      <c r="AL52" s="35"/>
      <c r="AM52" s="34">
        <v>19</v>
      </c>
      <c r="AN52" s="35"/>
      <c r="AO52" s="34">
        <v>19</v>
      </c>
      <c r="AP52" s="35"/>
      <c r="AQ52" s="34" t="s">
        <v>141</v>
      </c>
      <c r="AR52" s="35"/>
      <c r="AS52" s="34">
        <v>28</v>
      </c>
      <c r="AT52" s="35"/>
      <c r="AU52" s="34">
        <v>17</v>
      </c>
      <c r="AV52" s="35"/>
      <c r="AW52" s="34">
        <v>9</v>
      </c>
      <c r="AX52" s="35"/>
      <c r="AY52" s="34" t="s">
        <v>141</v>
      </c>
      <c r="AZ52" s="35"/>
    </row>
    <row r="53" spans="1:52" x14ac:dyDescent="0.25">
      <c r="A53" s="10" t="s">
        <v>1602</v>
      </c>
      <c r="B53" s="10"/>
      <c r="C53" s="34" t="s">
        <v>141</v>
      </c>
      <c r="D53" s="35"/>
      <c r="E53" s="34" t="s">
        <v>141</v>
      </c>
      <c r="F53" s="35"/>
      <c r="G53" s="34" t="s">
        <v>141</v>
      </c>
      <c r="H53" s="35"/>
      <c r="I53" s="34" t="s">
        <v>141</v>
      </c>
      <c r="J53" s="35"/>
      <c r="K53" s="34" t="s">
        <v>141</v>
      </c>
      <c r="L53" s="35"/>
      <c r="M53" s="34">
        <v>154</v>
      </c>
      <c r="N53" s="35"/>
      <c r="O53" s="34">
        <v>74</v>
      </c>
      <c r="P53" s="35"/>
      <c r="Q53" s="34">
        <v>79</v>
      </c>
      <c r="R53" s="35"/>
      <c r="S53" s="34" t="s">
        <v>141</v>
      </c>
      <c r="T53" s="35"/>
      <c r="U53" s="34">
        <v>53</v>
      </c>
      <c r="V53" s="35"/>
      <c r="W53" s="34">
        <v>71</v>
      </c>
      <c r="X53" s="35"/>
      <c r="Y53" s="34">
        <v>46</v>
      </c>
      <c r="Z53" s="35"/>
      <c r="AA53" s="34" t="s">
        <v>141</v>
      </c>
      <c r="AB53" s="35"/>
      <c r="AC53" s="34">
        <v>34</v>
      </c>
      <c r="AD53" s="35"/>
      <c r="AE53" s="34">
        <v>35</v>
      </c>
      <c r="AF53" s="35"/>
      <c r="AG53" s="34">
        <v>20</v>
      </c>
      <c r="AH53" s="35"/>
      <c r="AI53" s="34" t="s">
        <v>141</v>
      </c>
      <c r="AJ53" s="35"/>
      <c r="AK53" s="34">
        <v>-25</v>
      </c>
      <c r="AL53" s="35"/>
      <c r="AM53" s="34">
        <v>-40</v>
      </c>
      <c r="AN53" s="35"/>
      <c r="AO53" s="34">
        <v>-44</v>
      </c>
      <c r="AP53" s="35"/>
      <c r="AQ53" s="34" t="s">
        <v>141</v>
      </c>
      <c r="AR53" s="35"/>
      <c r="AS53" s="34">
        <v>-32</v>
      </c>
      <c r="AT53" s="35"/>
      <c r="AU53" s="34">
        <v>-16</v>
      </c>
      <c r="AV53" s="35"/>
      <c r="AW53" s="34">
        <v>-38</v>
      </c>
      <c r="AX53" s="35"/>
      <c r="AY53" s="34" t="s">
        <v>141</v>
      </c>
      <c r="AZ53" s="35"/>
    </row>
    <row r="54" spans="1:52" x14ac:dyDescent="0.25">
      <c r="A54" s="10" t="s">
        <v>1601</v>
      </c>
      <c r="B54" s="10"/>
      <c r="C54" s="34" t="s">
        <v>141</v>
      </c>
      <c r="D54" s="35"/>
      <c r="E54" s="34" t="s">
        <v>141</v>
      </c>
      <c r="F54" s="35"/>
      <c r="G54" s="34" t="s">
        <v>141</v>
      </c>
      <c r="H54" s="35"/>
      <c r="I54" s="34" t="s">
        <v>141</v>
      </c>
      <c r="J54" s="35"/>
      <c r="K54" s="34" t="s">
        <v>141</v>
      </c>
      <c r="L54" s="35"/>
      <c r="M54" s="34" t="s">
        <v>141</v>
      </c>
      <c r="N54" s="35"/>
      <c r="O54" s="34" t="s">
        <v>141</v>
      </c>
      <c r="P54" s="35"/>
      <c r="Q54" s="34">
        <v>704</v>
      </c>
      <c r="R54" s="35"/>
      <c r="S54" s="34" t="s">
        <v>141</v>
      </c>
      <c r="T54" s="35"/>
      <c r="U54" s="34">
        <v>42</v>
      </c>
      <c r="V54" s="35"/>
      <c r="W54" s="34">
        <v>47</v>
      </c>
      <c r="X54" s="35"/>
      <c r="Y54" s="34">
        <v>39</v>
      </c>
      <c r="Z54" s="35"/>
      <c r="AA54" s="34" t="s">
        <v>141</v>
      </c>
      <c r="AB54" s="35"/>
      <c r="AC54" s="34">
        <v>82</v>
      </c>
      <c r="AD54" s="35"/>
      <c r="AE54" s="34">
        <v>54</v>
      </c>
      <c r="AF54" s="35"/>
      <c r="AG54" s="34">
        <v>14</v>
      </c>
      <c r="AH54" s="35"/>
      <c r="AI54" s="34" t="s">
        <v>141</v>
      </c>
      <c r="AJ54" s="35"/>
      <c r="AK54" s="34">
        <v>-40</v>
      </c>
      <c r="AL54" s="35"/>
      <c r="AM54" s="34">
        <v>-63</v>
      </c>
      <c r="AN54" s="35"/>
      <c r="AO54" s="34">
        <v>-54</v>
      </c>
      <c r="AP54" s="35"/>
      <c r="AQ54" s="34" t="s">
        <v>141</v>
      </c>
      <c r="AR54" s="35"/>
      <c r="AS54" s="34">
        <v>-39</v>
      </c>
      <c r="AT54" s="35"/>
      <c r="AU54" s="34">
        <v>90</v>
      </c>
      <c r="AV54" s="35"/>
      <c r="AW54" s="34">
        <v>4</v>
      </c>
      <c r="AX54" s="35"/>
      <c r="AY54" s="34" t="s">
        <v>141</v>
      </c>
      <c r="AZ54" s="35"/>
    </row>
    <row r="55" spans="1:52" x14ac:dyDescent="0.25">
      <c r="A55" s="10" t="s">
        <v>1597</v>
      </c>
      <c r="B55" s="10"/>
      <c r="C55" s="34" t="s">
        <v>141</v>
      </c>
      <c r="D55" s="35"/>
      <c r="E55" s="34" t="s">
        <v>141</v>
      </c>
      <c r="F55" s="35"/>
      <c r="G55" s="34" t="s">
        <v>141</v>
      </c>
      <c r="H55" s="35"/>
      <c r="I55" s="34" t="s">
        <v>141</v>
      </c>
      <c r="J55" s="35"/>
      <c r="K55" s="34" t="s">
        <v>141</v>
      </c>
      <c r="L55" s="35"/>
      <c r="M55" s="34" t="s">
        <v>141</v>
      </c>
      <c r="N55" s="35"/>
      <c r="O55" s="34" t="s">
        <v>141</v>
      </c>
      <c r="P55" s="35"/>
      <c r="Q55" s="34">
        <v>16</v>
      </c>
      <c r="R55" s="35"/>
      <c r="S55" s="34" t="s">
        <v>141</v>
      </c>
      <c r="T55" s="35"/>
      <c r="U55" s="34">
        <v>33</v>
      </c>
      <c r="V55" s="35"/>
      <c r="W55" s="34">
        <v>62</v>
      </c>
      <c r="X55" s="35"/>
      <c r="Y55" s="34">
        <v>31</v>
      </c>
      <c r="Z55" s="35"/>
      <c r="AA55" s="34" t="s">
        <v>141</v>
      </c>
      <c r="AB55" s="35"/>
      <c r="AC55" s="34">
        <v>26</v>
      </c>
      <c r="AD55" s="35"/>
      <c r="AE55" s="34">
        <v>36</v>
      </c>
      <c r="AF55" s="35"/>
      <c r="AG55" s="34">
        <v>31</v>
      </c>
      <c r="AH55" s="35"/>
      <c r="AI55" s="34" t="s">
        <v>141</v>
      </c>
      <c r="AJ55" s="35"/>
      <c r="AK55" s="34">
        <v>-52</v>
      </c>
      <c r="AL55" s="35"/>
      <c r="AM55" s="34">
        <v>-64</v>
      </c>
      <c r="AN55" s="35"/>
      <c r="AO55" s="34">
        <v>-67</v>
      </c>
      <c r="AP55" s="35"/>
      <c r="AQ55" s="34" t="s">
        <v>141</v>
      </c>
      <c r="AR55" s="35"/>
      <c r="AS55" s="34">
        <v>-45</v>
      </c>
      <c r="AT55" s="35"/>
      <c r="AU55" s="34">
        <v>-13</v>
      </c>
      <c r="AV55" s="35"/>
      <c r="AW55" s="34">
        <v>-26</v>
      </c>
      <c r="AX55" s="35"/>
      <c r="AY55" s="34" t="s">
        <v>141</v>
      </c>
      <c r="AZ55" s="35"/>
    </row>
    <row r="56" spans="1:52" x14ac:dyDescent="0.25">
      <c r="A56" s="10" t="s">
        <v>1598</v>
      </c>
      <c r="B56" s="10"/>
      <c r="C56" s="34" t="s">
        <v>141</v>
      </c>
      <c r="D56" s="35"/>
      <c r="E56" s="34" t="s">
        <v>141</v>
      </c>
      <c r="F56" s="35"/>
      <c r="G56" s="34" t="s">
        <v>141</v>
      </c>
      <c r="H56" s="35"/>
      <c r="I56" s="34" t="s">
        <v>141</v>
      </c>
      <c r="J56" s="35"/>
      <c r="K56" s="34" t="s">
        <v>141</v>
      </c>
      <c r="L56" s="35"/>
      <c r="M56" s="34" t="s">
        <v>141</v>
      </c>
      <c r="N56" s="35"/>
      <c r="O56" s="34" t="s">
        <v>141</v>
      </c>
      <c r="P56" s="35"/>
      <c r="Q56" s="34">
        <v>181</v>
      </c>
      <c r="R56" s="35"/>
      <c r="S56" s="34" t="s">
        <v>141</v>
      </c>
      <c r="T56" s="35"/>
      <c r="U56" s="34">
        <v>92</v>
      </c>
      <c r="V56" s="35"/>
      <c r="W56" s="34">
        <v>95</v>
      </c>
      <c r="X56" s="35"/>
      <c r="Y56" s="34">
        <v>67</v>
      </c>
      <c r="Z56" s="35"/>
      <c r="AA56" s="34" t="s">
        <v>141</v>
      </c>
      <c r="AB56" s="35"/>
      <c r="AC56" s="34">
        <v>31</v>
      </c>
      <c r="AD56" s="35"/>
      <c r="AE56" s="34">
        <v>26</v>
      </c>
      <c r="AF56" s="35"/>
      <c r="AG56" s="34">
        <v>12</v>
      </c>
      <c r="AH56" s="35"/>
      <c r="AI56" s="34" t="s">
        <v>141</v>
      </c>
      <c r="AJ56" s="35"/>
      <c r="AK56" s="34">
        <v>12</v>
      </c>
      <c r="AL56" s="35"/>
      <c r="AM56" s="34">
        <v>-1</v>
      </c>
      <c r="AN56" s="35"/>
      <c r="AO56" s="34">
        <v>-12</v>
      </c>
      <c r="AP56" s="35"/>
      <c r="AQ56" s="34" t="s">
        <v>141</v>
      </c>
      <c r="AR56" s="35"/>
      <c r="AS56" s="34">
        <v>-25</v>
      </c>
      <c r="AT56" s="35"/>
      <c r="AU56" s="34">
        <v>-34</v>
      </c>
      <c r="AV56" s="35"/>
      <c r="AW56" s="34">
        <v>-52</v>
      </c>
      <c r="AX56" s="35"/>
      <c r="AY56" s="34" t="s">
        <v>141</v>
      </c>
      <c r="AZ56" s="35"/>
    </row>
    <row r="57" spans="1:52" x14ac:dyDescent="0.25">
      <c r="A57" s="10" t="s">
        <v>1604</v>
      </c>
      <c r="B57" s="10"/>
      <c r="C57" s="34" t="s">
        <v>141</v>
      </c>
      <c r="D57" s="35"/>
      <c r="E57" s="34">
        <v>-15</v>
      </c>
      <c r="F57" s="35"/>
      <c r="G57" s="34">
        <v>-78</v>
      </c>
      <c r="H57" s="35"/>
      <c r="I57" s="34" t="s">
        <v>141</v>
      </c>
      <c r="J57" s="35"/>
      <c r="K57" s="34" t="s">
        <v>141</v>
      </c>
      <c r="L57" s="35"/>
      <c r="M57" s="34">
        <v>293</v>
      </c>
      <c r="N57" s="35"/>
      <c r="O57" s="34">
        <v>308</v>
      </c>
      <c r="P57" s="35"/>
      <c r="Q57" s="34">
        <v>11</v>
      </c>
      <c r="R57" s="35"/>
      <c r="S57" s="34" t="s">
        <v>141</v>
      </c>
      <c r="T57" s="35"/>
      <c r="U57" s="34">
        <v>52</v>
      </c>
      <c r="V57" s="35"/>
      <c r="W57" s="34">
        <v>125</v>
      </c>
      <c r="X57" s="35"/>
      <c r="Y57" s="34">
        <v>-24</v>
      </c>
      <c r="Z57" s="35"/>
      <c r="AA57" s="34" t="s">
        <v>141</v>
      </c>
      <c r="AB57" s="35"/>
      <c r="AC57" s="34">
        <v>-38</v>
      </c>
      <c r="AD57" s="35"/>
      <c r="AE57" s="34">
        <v>-85</v>
      </c>
      <c r="AF57" s="35"/>
      <c r="AG57" s="34">
        <v>45</v>
      </c>
      <c r="AH57" s="35"/>
      <c r="AI57" s="34" t="s">
        <v>141</v>
      </c>
      <c r="AJ57" s="35"/>
      <c r="AK57" s="34">
        <v>41</v>
      </c>
      <c r="AL57" s="35"/>
      <c r="AM57" s="34">
        <v>-35</v>
      </c>
      <c r="AN57" s="35"/>
      <c r="AO57" s="34">
        <v>0</v>
      </c>
      <c r="AP57" s="35"/>
      <c r="AQ57" s="34" t="s">
        <v>141</v>
      </c>
      <c r="AR57" s="35"/>
      <c r="AS57" s="34">
        <v>225</v>
      </c>
      <c r="AT57" s="35"/>
      <c r="AU57" s="34" t="s">
        <v>141</v>
      </c>
      <c r="AV57" s="35"/>
      <c r="AW57" s="34">
        <v>-87</v>
      </c>
      <c r="AX57" s="35"/>
      <c r="AY57" s="34" t="s">
        <v>141</v>
      </c>
      <c r="AZ57" s="35"/>
    </row>
    <row r="58" spans="1:52" x14ac:dyDescent="0.25">
      <c r="A58" s="10" t="s">
        <v>1606</v>
      </c>
      <c r="B58" s="10"/>
      <c r="C58" s="34" t="s">
        <v>141</v>
      </c>
      <c r="D58" s="35"/>
      <c r="E58" s="34" t="s">
        <v>141</v>
      </c>
      <c r="F58" s="35"/>
      <c r="G58" s="34" t="s">
        <v>141</v>
      </c>
      <c r="H58" s="35"/>
      <c r="I58" s="34" t="s">
        <v>141</v>
      </c>
      <c r="J58" s="35"/>
      <c r="K58" s="34" t="s">
        <v>141</v>
      </c>
      <c r="L58" s="35"/>
      <c r="M58" s="34" t="s">
        <v>141</v>
      </c>
      <c r="N58" s="35"/>
      <c r="O58" s="34">
        <v>2102</v>
      </c>
      <c r="P58" s="35"/>
      <c r="Q58" s="34">
        <v>-3</v>
      </c>
      <c r="R58" s="35"/>
      <c r="S58" s="34" t="s">
        <v>141</v>
      </c>
      <c r="T58" s="35"/>
      <c r="U58" s="34">
        <v>56</v>
      </c>
      <c r="V58" s="35"/>
      <c r="W58" s="34">
        <v>201</v>
      </c>
      <c r="X58" s="35"/>
      <c r="Y58" s="34">
        <v>-5</v>
      </c>
      <c r="Z58" s="35"/>
      <c r="AA58" s="34" t="s">
        <v>141</v>
      </c>
      <c r="AB58" s="35"/>
      <c r="AC58" s="34">
        <v>-59</v>
      </c>
      <c r="AD58" s="35"/>
      <c r="AE58" s="34">
        <v>-100</v>
      </c>
      <c r="AF58" s="35"/>
      <c r="AG58" s="34">
        <v>55</v>
      </c>
      <c r="AH58" s="35"/>
      <c r="AI58" s="34" t="s">
        <v>141</v>
      </c>
      <c r="AJ58" s="35"/>
      <c r="AK58" s="34">
        <v>61</v>
      </c>
      <c r="AL58" s="35"/>
      <c r="AM58" s="34">
        <v>-20364</v>
      </c>
      <c r="AN58" s="35"/>
      <c r="AO58" s="34">
        <v>265</v>
      </c>
      <c r="AP58" s="35"/>
      <c r="AQ58" s="34" t="s">
        <v>141</v>
      </c>
      <c r="AR58" s="35"/>
      <c r="AS58" s="34">
        <v>34</v>
      </c>
      <c r="AT58" s="35"/>
      <c r="AU58" s="34" t="s">
        <v>141</v>
      </c>
      <c r="AV58" s="35"/>
      <c r="AW58" s="34">
        <v>-53</v>
      </c>
      <c r="AX58" s="35"/>
      <c r="AY58" s="34" t="s">
        <v>141</v>
      </c>
      <c r="AZ58" s="35"/>
    </row>
    <row r="59" spans="1:52" x14ac:dyDescent="0.25">
      <c r="A59" s="10" t="s">
        <v>1605</v>
      </c>
      <c r="B59" s="10"/>
      <c r="C59" s="34" t="s">
        <v>141</v>
      </c>
      <c r="D59" s="35"/>
      <c r="E59" s="34">
        <v>-17</v>
      </c>
      <c r="F59" s="35"/>
      <c r="G59" s="34" t="s">
        <v>141</v>
      </c>
      <c r="H59" s="35"/>
      <c r="I59" s="34" t="s">
        <v>141</v>
      </c>
      <c r="J59" s="35"/>
      <c r="K59" s="34" t="s">
        <v>141</v>
      </c>
      <c r="L59" s="35"/>
      <c r="M59" s="34">
        <v>-39</v>
      </c>
      <c r="N59" s="35"/>
      <c r="O59" s="34" t="s">
        <v>141</v>
      </c>
      <c r="P59" s="35"/>
      <c r="Q59" s="34">
        <v>107</v>
      </c>
      <c r="R59" s="35"/>
      <c r="S59" s="34" t="s">
        <v>141</v>
      </c>
      <c r="T59" s="35"/>
      <c r="U59" s="34">
        <v>665</v>
      </c>
      <c r="V59" s="35"/>
      <c r="W59" s="34">
        <v>130</v>
      </c>
      <c r="X59" s="35"/>
      <c r="Y59" s="34">
        <v>281</v>
      </c>
      <c r="Z59" s="35"/>
      <c r="AA59" s="34" t="s">
        <v>141</v>
      </c>
      <c r="AB59" s="35"/>
      <c r="AC59" s="34">
        <v>62</v>
      </c>
      <c r="AD59" s="35"/>
      <c r="AE59" s="34">
        <v>-4</v>
      </c>
      <c r="AF59" s="35"/>
      <c r="AG59" s="34">
        <v>39</v>
      </c>
      <c r="AH59" s="35"/>
      <c r="AI59" s="34" t="s">
        <v>141</v>
      </c>
      <c r="AJ59" s="35"/>
      <c r="AK59" s="34">
        <v>14</v>
      </c>
      <c r="AL59" s="35"/>
      <c r="AM59" s="34">
        <v>1</v>
      </c>
      <c r="AN59" s="35"/>
      <c r="AO59" s="34">
        <v>217</v>
      </c>
      <c r="AP59" s="35"/>
      <c r="AQ59" s="34" t="s">
        <v>141</v>
      </c>
      <c r="AR59" s="35"/>
      <c r="AS59" s="34">
        <v>-3</v>
      </c>
      <c r="AT59" s="35"/>
      <c r="AU59" s="34">
        <v>-73</v>
      </c>
      <c r="AV59" s="35"/>
      <c r="AW59" s="34">
        <v>-84</v>
      </c>
      <c r="AX59" s="35"/>
      <c r="AY59" s="34" t="s">
        <v>141</v>
      </c>
      <c r="AZ59" s="35"/>
    </row>
    <row r="60" spans="1:52" x14ac:dyDescent="0.25">
      <c r="A60" s="10" t="s">
        <v>1607</v>
      </c>
      <c r="B60" s="10"/>
      <c r="C60" s="34" t="s">
        <v>141</v>
      </c>
      <c r="D60" s="35"/>
      <c r="E60" s="34" t="s">
        <v>141</v>
      </c>
      <c r="F60" s="35"/>
      <c r="G60" s="34" t="s">
        <v>141</v>
      </c>
      <c r="H60" s="35"/>
      <c r="I60" s="34" t="s">
        <v>141</v>
      </c>
      <c r="J60" s="35"/>
      <c r="K60" s="34" t="s">
        <v>141</v>
      </c>
      <c r="L60" s="35"/>
      <c r="M60" s="34" t="s">
        <v>141</v>
      </c>
      <c r="N60" s="35"/>
      <c r="O60" s="34" t="s">
        <v>141</v>
      </c>
      <c r="P60" s="35"/>
      <c r="Q60" s="34" t="s">
        <v>141</v>
      </c>
      <c r="R60" s="35"/>
      <c r="S60" s="34" t="s">
        <v>141</v>
      </c>
      <c r="T60" s="35"/>
      <c r="U60" s="34" t="s">
        <v>141</v>
      </c>
      <c r="V60" s="35"/>
      <c r="W60" s="34" t="s">
        <v>141</v>
      </c>
      <c r="X60" s="35"/>
      <c r="Y60" s="34" t="s">
        <v>141</v>
      </c>
      <c r="Z60" s="35"/>
      <c r="AA60" s="34" t="s">
        <v>141</v>
      </c>
      <c r="AB60" s="35"/>
      <c r="AC60" s="34" t="s">
        <v>141</v>
      </c>
      <c r="AD60" s="35"/>
      <c r="AE60" s="34" t="s">
        <v>141</v>
      </c>
      <c r="AF60" s="35"/>
      <c r="AG60" s="34" t="s">
        <v>141</v>
      </c>
      <c r="AH60" s="35"/>
      <c r="AI60" s="34" t="s">
        <v>141</v>
      </c>
      <c r="AJ60" s="35"/>
      <c r="AK60" s="34" t="s">
        <v>141</v>
      </c>
      <c r="AL60" s="35"/>
      <c r="AM60" s="34" t="s">
        <v>141</v>
      </c>
      <c r="AN60" s="35"/>
      <c r="AO60" s="34" t="s">
        <v>141</v>
      </c>
      <c r="AP60" s="35"/>
      <c r="AQ60" s="34" t="s">
        <v>141</v>
      </c>
      <c r="AR60" s="35"/>
      <c r="AS60" s="34" t="s">
        <v>141</v>
      </c>
      <c r="AT60" s="35"/>
      <c r="AU60" s="34" t="s">
        <v>141</v>
      </c>
      <c r="AV60" s="35"/>
      <c r="AW60" s="34">
        <v>-95</v>
      </c>
      <c r="AX60" s="35"/>
      <c r="AY60" s="34" t="s">
        <v>141</v>
      </c>
      <c r="AZ60" s="35"/>
    </row>
    <row r="61" spans="1:52" x14ac:dyDescent="0.25">
      <c r="A61" s="10" t="s">
        <v>1608</v>
      </c>
      <c r="B61" s="10"/>
      <c r="C61" s="34" t="s">
        <v>141</v>
      </c>
      <c r="D61" s="35"/>
      <c r="E61" s="34">
        <v>29</v>
      </c>
      <c r="F61" s="35"/>
      <c r="G61" s="34">
        <v>462</v>
      </c>
      <c r="H61" s="35"/>
      <c r="I61" s="34">
        <v>115</v>
      </c>
      <c r="J61" s="35"/>
      <c r="K61" s="34" t="s">
        <v>141</v>
      </c>
      <c r="L61" s="35"/>
      <c r="M61" s="34">
        <v>115</v>
      </c>
      <c r="N61" s="35"/>
      <c r="O61" s="34">
        <v>3</v>
      </c>
      <c r="P61" s="35"/>
      <c r="Q61" s="34">
        <v>285</v>
      </c>
      <c r="R61" s="35"/>
      <c r="S61" s="34" t="s">
        <v>141</v>
      </c>
      <c r="T61" s="35"/>
      <c r="U61" s="34">
        <v>14</v>
      </c>
      <c r="V61" s="35"/>
      <c r="W61" s="34">
        <v>-85</v>
      </c>
      <c r="X61" s="35"/>
      <c r="Y61" s="34">
        <v>-73</v>
      </c>
      <c r="Z61" s="35"/>
      <c r="AA61" s="34" t="s">
        <v>141</v>
      </c>
      <c r="AB61" s="35"/>
      <c r="AC61" s="34">
        <v>-74</v>
      </c>
      <c r="AD61" s="35"/>
      <c r="AE61" s="34">
        <v>-57</v>
      </c>
      <c r="AF61" s="35"/>
      <c r="AG61" s="34">
        <v>85</v>
      </c>
      <c r="AH61" s="35"/>
      <c r="AI61" s="34" t="s">
        <v>141</v>
      </c>
      <c r="AJ61" s="35"/>
      <c r="AK61" s="34">
        <v>288</v>
      </c>
      <c r="AL61" s="35"/>
      <c r="AM61" s="34">
        <v>-89</v>
      </c>
      <c r="AN61" s="35"/>
      <c r="AO61" s="34">
        <v>0</v>
      </c>
      <c r="AP61" s="35"/>
      <c r="AQ61" s="34" t="s">
        <v>141</v>
      </c>
      <c r="AR61" s="35"/>
      <c r="AS61" s="34">
        <v>68</v>
      </c>
      <c r="AT61" s="35"/>
      <c r="AU61" s="34" t="s">
        <v>141</v>
      </c>
      <c r="AV61" s="35"/>
      <c r="AW61" s="34">
        <v>-99</v>
      </c>
      <c r="AX61" s="35"/>
      <c r="AY61" s="34" t="s">
        <v>141</v>
      </c>
      <c r="AZ61" s="35"/>
    </row>
    <row r="62" spans="1:52" x14ac:dyDescent="0.25">
      <c r="A62" s="10" t="s">
        <v>1609</v>
      </c>
      <c r="B62" s="10"/>
      <c r="C62" s="34" t="s">
        <v>141</v>
      </c>
      <c r="D62" s="35"/>
      <c r="E62" s="34" t="s">
        <v>141</v>
      </c>
      <c r="F62" s="35"/>
      <c r="G62" s="34">
        <v>-82</v>
      </c>
      <c r="H62" s="35"/>
      <c r="I62" s="34">
        <v>98</v>
      </c>
      <c r="J62" s="35"/>
      <c r="K62" s="34" t="s">
        <v>141</v>
      </c>
      <c r="L62" s="35"/>
      <c r="M62" s="34">
        <v>602</v>
      </c>
      <c r="N62" s="35"/>
      <c r="O62" s="34">
        <v>491</v>
      </c>
      <c r="P62" s="35"/>
      <c r="Q62" s="34">
        <v>45</v>
      </c>
      <c r="R62" s="35"/>
      <c r="S62" s="34" t="s">
        <v>141</v>
      </c>
      <c r="T62" s="35"/>
      <c r="U62" s="34">
        <v>-57</v>
      </c>
      <c r="V62" s="35"/>
      <c r="W62" s="34">
        <v>-38</v>
      </c>
      <c r="X62" s="35"/>
      <c r="Y62" s="34">
        <v>-86</v>
      </c>
      <c r="Z62" s="35"/>
      <c r="AA62" s="34" t="s">
        <v>141</v>
      </c>
      <c r="AB62" s="35"/>
      <c r="AC62" s="34">
        <v>-91</v>
      </c>
      <c r="AD62" s="35"/>
      <c r="AE62" s="34">
        <v>-89</v>
      </c>
      <c r="AF62" s="35"/>
      <c r="AG62" s="34">
        <v>-64</v>
      </c>
      <c r="AH62" s="35"/>
      <c r="AI62" s="34" t="s">
        <v>141</v>
      </c>
      <c r="AJ62" s="35"/>
      <c r="AK62" s="34" t="s">
        <v>141</v>
      </c>
      <c r="AL62" s="35"/>
      <c r="AM62" s="34" t="s">
        <v>141</v>
      </c>
      <c r="AN62" s="35"/>
      <c r="AO62" s="34" t="s">
        <v>141</v>
      </c>
      <c r="AP62" s="35"/>
      <c r="AQ62" s="34" t="s">
        <v>141</v>
      </c>
      <c r="AR62" s="35"/>
      <c r="AS62" s="34" t="s">
        <v>141</v>
      </c>
      <c r="AT62" s="35"/>
      <c r="AU62" s="34" t="s">
        <v>141</v>
      </c>
      <c r="AV62" s="35"/>
      <c r="AW62" s="34" t="s">
        <v>141</v>
      </c>
      <c r="AX62" s="35"/>
      <c r="AY62" s="34" t="s">
        <v>141</v>
      </c>
      <c r="AZ62" s="35"/>
    </row>
    <row r="63" spans="1:52" x14ac:dyDescent="0.25">
      <c r="A63" s="10" t="s">
        <v>1610</v>
      </c>
      <c r="B63" s="10"/>
      <c r="C63" s="34" t="s">
        <v>141</v>
      </c>
      <c r="D63" s="35"/>
      <c r="E63" s="34">
        <v>-76</v>
      </c>
      <c r="F63" s="35"/>
      <c r="G63" s="34">
        <v>-81</v>
      </c>
      <c r="H63" s="35"/>
      <c r="I63" s="34">
        <v>-221</v>
      </c>
      <c r="J63" s="35"/>
      <c r="K63" s="34" t="s">
        <v>141</v>
      </c>
      <c r="L63" s="35"/>
      <c r="M63" s="34">
        <v>-100</v>
      </c>
      <c r="N63" s="35"/>
      <c r="O63" s="34">
        <v>-91</v>
      </c>
      <c r="P63" s="35"/>
      <c r="Q63" s="34">
        <v>-78</v>
      </c>
      <c r="R63" s="35"/>
      <c r="S63" s="34" t="s">
        <v>141</v>
      </c>
      <c r="T63" s="35"/>
      <c r="U63" s="34" t="s">
        <v>141</v>
      </c>
      <c r="V63" s="35"/>
      <c r="W63" s="34" t="s">
        <v>141</v>
      </c>
      <c r="X63" s="35"/>
      <c r="Y63" s="34" t="s">
        <v>141</v>
      </c>
      <c r="Z63" s="35"/>
      <c r="AA63" s="34" t="s">
        <v>141</v>
      </c>
      <c r="AB63" s="35"/>
      <c r="AC63" s="34" t="s">
        <v>141</v>
      </c>
      <c r="AD63" s="35"/>
      <c r="AE63" s="34" t="s">
        <v>141</v>
      </c>
      <c r="AF63" s="35"/>
      <c r="AG63" s="34" t="s">
        <v>141</v>
      </c>
      <c r="AH63" s="35"/>
      <c r="AI63" s="34" t="s">
        <v>141</v>
      </c>
      <c r="AJ63" s="35"/>
      <c r="AK63" s="34" t="s">
        <v>141</v>
      </c>
      <c r="AL63" s="35"/>
      <c r="AM63" s="34" t="s">
        <v>141</v>
      </c>
      <c r="AN63" s="35"/>
      <c r="AO63" s="34" t="s">
        <v>141</v>
      </c>
      <c r="AP63" s="35"/>
      <c r="AQ63" s="34" t="s">
        <v>141</v>
      </c>
      <c r="AR63" s="35"/>
      <c r="AS63" s="34" t="s">
        <v>141</v>
      </c>
      <c r="AT63" s="35"/>
      <c r="AU63" s="34" t="s">
        <v>141</v>
      </c>
      <c r="AV63" s="35"/>
      <c r="AW63" s="34" t="s">
        <v>141</v>
      </c>
      <c r="AX63" s="35"/>
      <c r="AY63" s="34" t="s">
        <v>141</v>
      </c>
      <c r="AZ63" s="35"/>
    </row>
    <row r="64" spans="1:52" x14ac:dyDescent="0.25">
      <c r="A64" s="6" t="s">
        <v>1617</v>
      </c>
      <c r="B64" s="6"/>
      <c r="C64" s="38" t="s">
        <v>141</v>
      </c>
      <c r="D64" s="39"/>
      <c r="E64" s="38" t="s">
        <v>141</v>
      </c>
      <c r="F64" s="39"/>
      <c r="G64" s="38" t="s">
        <v>141</v>
      </c>
      <c r="H64" s="39"/>
      <c r="I64" s="38" t="s">
        <v>141</v>
      </c>
      <c r="J64" s="39"/>
      <c r="K64" s="38" t="s">
        <v>141</v>
      </c>
      <c r="L64" s="39"/>
      <c r="M64" s="38" t="s">
        <v>141</v>
      </c>
      <c r="N64" s="39"/>
      <c r="O64" s="38" t="s">
        <v>141</v>
      </c>
      <c r="P64" s="39"/>
      <c r="Q64" s="38" t="s">
        <v>141</v>
      </c>
      <c r="R64" s="39"/>
      <c r="S64" s="38" t="s">
        <v>141</v>
      </c>
      <c r="T64" s="39"/>
      <c r="U64" s="38" t="s">
        <v>141</v>
      </c>
      <c r="V64" s="39"/>
      <c r="W64" s="38" t="s">
        <v>141</v>
      </c>
      <c r="X64" s="39"/>
      <c r="Y64" s="38" t="s">
        <v>141</v>
      </c>
      <c r="Z64" s="39"/>
      <c r="AA64" s="38" t="s">
        <v>141</v>
      </c>
      <c r="AB64" s="39"/>
      <c r="AC64" s="38" t="s">
        <v>141</v>
      </c>
      <c r="AD64" s="39"/>
      <c r="AE64" s="38" t="s">
        <v>141</v>
      </c>
      <c r="AF64" s="39"/>
      <c r="AG64" s="38" t="s">
        <v>141</v>
      </c>
      <c r="AH64" s="39"/>
      <c r="AI64" s="38" t="s">
        <v>141</v>
      </c>
      <c r="AJ64" s="39"/>
      <c r="AK64" s="38" t="s">
        <v>141</v>
      </c>
      <c r="AL64" s="39"/>
      <c r="AM64" s="38" t="s">
        <v>141</v>
      </c>
      <c r="AN64" s="39"/>
      <c r="AO64" s="38" t="s">
        <v>141</v>
      </c>
      <c r="AP64" s="39"/>
      <c r="AQ64" s="38" t="s">
        <v>141</v>
      </c>
      <c r="AR64" s="39"/>
      <c r="AS64" s="38" t="s">
        <v>141</v>
      </c>
      <c r="AT64" s="39"/>
      <c r="AU64" s="38" t="s">
        <v>141</v>
      </c>
      <c r="AV64" s="39"/>
      <c r="AW64" s="38" t="s">
        <v>141</v>
      </c>
      <c r="AX64" s="39"/>
      <c r="AY64" s="38" t="s">
        <v>141</v>
      </c>
      <c r="AZ64" s="39"/>
    </row>
    <row r="65" spans="1:52" x14ac:dyDescent="0.25">
      <c r="A65" s="10" t="s">
        <v>1595</v>
      </c>
      <c r="B65" s="10"/>
      <c r="C65" s="34" t="s">
        <v>141</v>
      </c>
      <c r="D65" s="35"/>
      <c r="E65" s="34">
        <v>1229</v>
      </c>
      <c r="F65" s="35"/>
      <c r="G65" s="34" t="s">
        <v>141</v>
      </c>
      <c r="H65" s="35"/>
      <c r="I65" s="34">
        <v>9914</v>
      </c>
      <c r="J65" s="35"/>
      <c r="K65" s="34" t="s">
        <v>141</v>
      </c>
      <c r="L65" s="35"/>
      <c r="M65" s="34">
        <v>174</v>
      </c>
      <c r="N65" s="35"/>
      <c r="O65" s="34" t="s">
        <v>141</v>
      </c>
      <c r="P65" s="35"/>
      <c r="Q65" s="34" t="s">
        <v>141</v>
      </c>
      <c r="R65" s="35"/>
      <c r="S65" s="34" t="s">
        <v>141</v>
      </c>
      <c r="T65" s="35"/>
      <c r="U65" s="34" t="s">
        <v>141</v>
      </c>
      <c r="V65" s="35"/>
      <c r="W65" s="34" t="s">
        <v>141</v>
      </c>
      <c r="X65" s="35"/>
      <c r="Y65" s="34" t="s">
        <v>141</v>
      </c>
      <c r="Z65" s="35"/>
      <c r="AA65" s="34" t="s">
        <v>141</v>
      </c>
      <c r="AB65" s="35"/>
      <c r="AC65" s="34" t="s">
        <v>141</v>
      </c>
      <c r="AD65" s="35"/>
      <c r="AE65" s="34" t="s">
        <v>141</v>
      </c>
      <c r="AF65" s="35"/>
      <c r="AG65" s="34" t="s">
        <v>141</v>
      </c>
      <c r="AH65" s="35"/>
      <c r="AI65" s="34" t="s">
        <v>141</v>
      </c>
      <c r="AJ65" s="35"/>
      <c r="AK65" s="34" t="s">
        <v>141</v>
      </c>
      <c r="AL65" s="35"/>
      <c r="AM65" s="34" t="s">
        <v>141</v>
      </c>
      <c r="AN65" s="35"/>
      <c r="AO65" s="34" t="s">
        <v>141</v>
      </c>
      <c r="AP65" s="35"/>
      <c r="AQ65" s="34" t="s">
        <v>141</v>
      </c>
      <c r="AR65" s="35"/>
      <c r="AS65" s="34" t="s">
        <v>141</v>
      </c>
      <c r="AT65" s="35"/>
      <c r="AU65" s="34" t="s">
        <v>141</v>
      </c>
      <c r="AV65" s="35"/>
      <c r="AW65" s="34" t="s">
        <v>141</v>
      </c>
      <c r="AX65" s="35"/>
      <c r="AY65" s="34" t="s">
        <v>141</v>
      </c>
      <c r="AZ65" s="35"/>
    </row>
    <row r="66" spans="1:52" x14ac:dyDescent="0.25">
      <c r="A66" s="10" t="s">
        <v>1613</v>
      </c>
      <c r="B66" s="10"/>
      <c r="C66" s="34" t="s">
        <v>141</v>
      </c>
      <c r="D66" s="35"/>
      <c r="E66" s="34">
        <v>1169</v>
      </c>
      <c r="F66" s="35"/>
      <c r="G66" s="34" t="s">
        <v>141</v>
      </c>
      <c r="H66" s="35"/>
      <c r="I66" s="34" t="s">
        <v>141</v>
      </c>
      <c r="J66" s="35"/>
      <c r="K66" s="34" t="s">
        <v>141</v>
      </c>
      <c r="L66" s="35"/>
      <c r="M66" s="34" t="s">
        <v>141</v>
      </c>
      <c r="N66" s="35"/>
      <c r="O66" s="34" t="s">
        <v>141</v>
      </c>
      <c r="P66" s="35"/>
      <c r="Q66" s="34" t="s">
        <v>141</v>
      </c>
      <c r="R66" s="35"/>
      <c r="S66" s="34" t="s">
        <v>141</v>
      </c>
      <c r="T66" s="35"/>
      <c r="U66" s="34" t="s">
        <v>141</v>
      </c>
      <c r="V66" s="35"/>
      <c r="W66" s="34" t="s">
        <v>141</v>
      </c>
      <c r="X66" s="35"/>
      <c r="Y66" s="34" t="s">
        <v>141</v>
      </c>
      <c r="Z66" s="35"/>
      <c r="AA66" s="34" t="s">
        <v>141</v>
      </c>
      <c r="AB66" s="35"/>
      <c r="AC66" s="34" t="s">
        <v>141</v>
      </c>
      <c r="AD66" s="35"/>
      <c r="AE66" s="34" t="s">
        <v>141</v>
      </c>
      <c r="AF66" s="35"/>
      <c r="AG66" s="34" t="s">
        <v>141</v>
      </c>
      <c r="AH66" s="35"/>
      <c r="AI66" s="34" t="s">
        <v>141</v>
      </c>
      <c r="AJ66" s="35"/>
      <c r="AK66" s="34" t="s">
        <v>141</v>
      </c>
      <c r="AL66" s="35"/>
      <c r="AM66" s="34" t="s">
        <v>141</v>
      </c>
      <c r="AN66" s="35"/>
      <c r="AO66" s="34" t="s">
        <v>141</v>
      </c>
      <c r="AP66" s="35"/>
      <c r="AQ66" s="34" t="s">
        <v>141</v>
      </c>
      <c r="AR66" s="35"/>
      <c r="AS66" s="34" t="s">
        <v>141</v>
      </c>
      <c r="AT66" s="35"/>
      <c r="AU66" s="34" t="s">
        <v>141</v>
      </c>
      <c r="AV66" s="35"/>
      <c r="AW66" s="34" t="s">
        <v>141</v>
      </c>
      <c r="AX66" s="35"/>
      <c r="AY66" s="34" t="s">
        <v>141</v>
      </c>
      <c r="AZ66" s="35"/>
    </row>
    <row r="67" spans="1:52" x14ac:dyDescent="0.25">
      <c r="A67" s="10" t="s">
        <v>1614</v>
      </c>
      <c r="B67" s="10"/>
      <c r="C67" s="34" t="s">
        <v>141</v>
      </c>
      <c r="D67" s="35"/>
      <c r="E67" s="34">
        <v>1256</v>
      </c>
      <c r="F67" s="35"/>
      <c r="G67" s="34" t="s">
        <v>141</v>
      </c>
      <c r="H67" s="35"/>
      <c r="I67" s="34">
        <v>7202</v>
      </c>
      <c r="J67" s="35"/>
      <c r="K67" s="34" t="s">
        <v>141</v>
      </c>
      <c r="L67" s="35"/>
      <c r="M67" s="34">
        <v>126</v>
      </c>
      <c r="N67" s="35"/>
      <c r="O67" s="34" t="s">
        <v>141</v>
      </c>
      <c r="P67" s="35"/>
      <c r="Q67" s="34" t="s">
        <v>141</v>
      </c>
      <c r="R67" s="35"/>
      <c r="S67" s="34" t="s">
        <v>141</v>
      </c>
      <c r="T67" s="35"/>
      <c r="U67" s="34" t="s">
        <v>141</v>
      </c>
      <c r="V67" s="35"/>
      <c r="W67" s="34" t="s">
        <v>141</v>
      </c>
      <c r="X67" s="35"/>
      <c r="Y67" s="34" t="s">
        <v>141</v>
      </c>
      <c r="Z67" s="35"/>
      <c r="AA67" s="34" t="s">
        <v>141</v>
      </c>
      <c r="AB67" s="35"/>
      <c r="AC67" s="34" t="s">
        <v>141</v>
      </c>
      <c r="AD67" s="35"/>
      <c r="AE67" s="34" t="s">
        <v>141</v>
      </c>
      <c r="AF67" s="35"/>
      <c r="AG67" s="34" t="s">
        <v>141</v>
      </c>
      <c r="AH67" s="35"/>
      <c r="AI67" s="34" t="s">
        <v>141</v>
      </c>
      <c r="AJ67" s="35"/>
      <c r="AK67" s="34" t="s">
        <v>141</v>
      </c>
      <c r="AL67" s="35"/>
      <c r="AM67" s="34" t="s">
        <v>141</v>
      </c>
      <c r="AN67" s="35"/>
      <c r="AO67" s="34" t="s">
        <v>141</v>
      </c>
      <c r="AP67" s="35"/>
      <c r="AQ67" s="34" t="s">
        <v>141</v>
      </c>
      <c r="AR67" s="35"/>
      <c r="AS67" s="34" t="s">
        <v>141</v>
      </c>
      <c r="AT67" s="35"/>
      <c r="AU67" s="34" t="s">
        <v>141</v>
      </c>
      <c r="AV67" s="35"/>
      <c r="AW67" s="34" t="s">
        <v>141</v>
      </c>
      <c r="AX67" s="35"/>
      <c r="AY67" s="34" t="s">
        <v>141</v>
      </c>
      <c r="AZ67" s="35"/>
    </row>
    <row r="68" spans="1:52" x14ac:dyDescent="0.25">
      <c r="A68" s="10" t="s">
        <v>1615</v>
      </c>
      <c r="B68" s="10"/>
      <c r="C68" s="34" t="s">
        <v>141</v>
      </c>
      <c r="D68" s="35"/>
      <c r="E68" s="34" t="s">
        <v>141</v>
      </c>
      <c r="F68" s="35"/>
      <c r="G68" s="34" t="s">
        <v>141</v>
      </c>
      <c r="H68" s="35"/>
      <c r="I68" s="34" t="s">
        <v>141</v>
      </c>
      <c r="J68" s="35"/>
      <c r="K68" s="34" t="s">
        <v>141</v>
      </c>
      <c r="L68" s="35"/>
      <c r="M68" s="34">
        <v>181</v>
      </c>
      <c r="N68" s="35"/>
      <c r="O68" s="34" t="s">
        <v>141</v>
      </c>
      <c r="P68" s="35"/>
      <c r="Q68" s="34" t="s">
        <v>141</v>
      </c>
      <c r="R68" s="35"/>
      <c r="S68" s="34" t="s">
        <v>141</v>
      </c>
      <c r="T68" s="35"/>
      <c r="U68" s="34" t="s">
        <v>141</v>
      </c>
      <c r="V68" s="35"/>
      <c r="W68" s="34" t="s">
        <v>141</v>
      </c>
      <c r="X68" s="35"/>
      <c r="Y68" s="34" t="s">
        <v>141</v>
      </c>
      <c r="Z68" s="35"/>
      <c r="AA68" s="34" t="s">
        <v>141</v>
      </c>
      <c r="AB68" s="35"/>
      <c r="AC68" s="34" t="s">
        <v>141</v>
      </c>
      <c r="AD68" s="35"/>
      <c r="AE68" s="34" t="s">
        <v>141</v>
      </c>
      <c r="AF68" s="35"/>
      <c r="AG68" s="34" t="s">
        <v>141</v>
      </c>
      <c r="AH68" s="35"/>
      <c r="AI68" s="34" t="s">
        <v>141</v>
      </c>
      <c r="AJ68" s="35"/>
      <c r="AK68" s="34" t="s">
        <v>141</v>
      </c>
      <c r="AL68" s="35"/>
      <c r="AM68" s="34" t="s">
        <v>141</v>
      </c>
      <c r="AN68" s="35"/>
      <c r="AO68" s="34" t="s">
        <v>141</v>
      </c>
      <c r="AP68" s="35"/>
      <c r="AQ68" s="34" t="s">
        <v>141</v>
      </c>
      <c r="AR68" s="35"/>
      <c r="AS68" s="34" t="s">
        <v>141</v>
      </c>
      <c r="AT68" s="35"/>
      <c r="AU68" s="34" t="s">
        <v>141</v>
      </c>
      <c r="AV68" s="35"/>
      <c r="AW68" s="34" t="s">
        <v>141</v>
      </c>
      <c r="AX68" s="35"/>
      <c r="AY68" s="34" t="s">
        <v>141</v>
      </c>
      <c r="AZ68" s="35"/>
    </row>
    <row r="69" spans="1:52" x14ac:dyDescent="0.25">
      <c r="A69" s="10" t="s">
        <v>1604</v>
      </c>
      <c r="B69" s="10"/>
      <c r="C69" s="34" t="s">
        <v>141</v>
      </c>
      <c r="D69" s="35"/>
      <c r="E69" s="34">
        <v>-15</v>
      </c>
      <c r="F69" s="35"/>
      <c r="G69" s="34">
        <v>-78</v>
      </c>
      <c r="H69" s="35"/>
      <c r="I69" s="34">
        <v>1391</v>
      </c>
      <c r="J69" s="35"/>
      <c r="K69" s="34" t="s">
        <v>141</v>
      </c>
      <c r="L69" s="35"/>
      <c r="M69" s="34">
        <v>293</v>
      </c>
      <c r="N69" s="35"/>
      <c r="O69" s="34" t="s">
        <v>141</v>
      </c>
      <c r="P69" s="35"/>
      <c r="Q69" s="34" t="s">
        <v>141</v>
      </c>
      <c r="R69" s="35"/>
      <c r="S69" s="34" t="s">
        <v>141</v>
      </c>
      <c r="T69" s="35"/>
      <c r="U69" s="34" t="s">
        <v>141</v>
      </c>
      <c r="V69" s="35"/>
      <c r="W69" s="34" t="s">
        <v>141</v>
      </c>
      <c r="X69" s="35"/>
      <c r="Y69" s="34" t="s">
        <v>141</v>
      </c>
      <c r="Z69" s="35"/>
      <c r="AA69" s="34" t="s">
        <v>141</v>
      </c>
      <c r="AB69" s="35"/>
      <c r="AC69" s="34" t="s">
        <v>141</v>
      </c>
      <c r="AD69" s="35"/>
      <c r="AE69" s="34" t="s">
        <v>141</v>
      </c>
      <c r="AF69" s="35"/>
      <c r="AG69" s="34" t="s">
        <v>141</v>
      </c>
      <c r="AH69" s="35"/>
      <c r="AI69" s="34" t="s">
        <v>141</v>
      </c>
      <c r="AJ69" s="35"/>
      <c r="AK69" s="34" t="s">
        <v>141</v>
      </c>
      <c r="AL69" s="35"/>
      <c r="AM69" s="34" t="s">
        <v>141</v>
      </c>
      <c r="AN69" s="35"/>
      <c r="AO69" s="34" t="s">
        <v>141</v>
      </c>
      <c r="AP69" s="35"/>
      <c r="AQ69" s="34" t="s">
        <v>141</v>
      </c>
      <c r="AR69" s="35"/>
      <c r="AS69" s="34" t="s">
        <v>141</v>
      </c>
      <c r="AT69" s="35"/>
      <c r="AU69" s="34" t="s">
        <v>141</v>
      </c>
      <c r="AV69" s="35"/>
      <c r="AW69" s="34" t="s">
        <v>141</v>
      </c>
      <c r="AX69" s="35"/>
      <c r="AY69" s="34" t="s">
        <v>141</v>
      </c>
      <c r="AZ69" s="35"/>
    </row>
    <row r="70" spans="1:52" x14ac:dyDescent="0.25">
      <c r="A70" s="7" t="s">
        <v>90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3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</cols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0.25" x14ac:dyDescent="0.25">
      <c r="A2" s="8" t="s">
        <v>1618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3" t="s">
        <v>92</v>
      </c>
      <c r="B4" s="3"/>
      <c r="C4" s="30" t="s">
        <v>93</v>
      </c>
      <c r="D4" s="30"/>
      <c r="E4" s="30" t="s">
        <v>94</v>
      </c>
      <c r="F4" s="30"/>
      <c r="G4" s="30" t="s">
        <v>9</v>
      </c>
      <c r="H4" s="30"/>
      <c r="I4" s="30" t="s">
        <v>10</v>
      </c>
      <c r="J4" s="30"/>
      <c r="K4" s="30" t="s">
        <v>11</v>
      </c>
      <c r="L4" s="30"/>
      <c r="M4" s="30" t="s">
        <v>12</v>
      </c>
      <c r="N4" s="30"/>
      <c r="O4" s="30" t="s">
        <v>13</v>
      </c>
      <c r="P4" s="30"/>
      <c r="Q4" s="30" t="s">
        <v>14</v>
      </c>
      <c r="R4" s="30"/>
      <c r="S4" s="30" t="s">
        <v>15</v>
      </c>
      <c r="T4" s="30"/>
      <c r="U4" s="30" t="s">
        <v>16</v>
      </c>
      <c r="V4" s="30"/>
      <c r="W4" s="30" t="s">
        <v>17</v>
      </c>
      <c r="X4" s="30"/>
      <c r="Y4" s="30" t="s">
        <v>18</v>
      </c>
      <c r="Z4" s="30"/>
      <c r="AA4" s="30" t="s">
        <v>19</v>
      </c>
      <c r="AB4" s="30"/>
      <c r="AC4" s="30" t="s">
        <v>20</v>
      </c>
      <c r="AD4" s="30"/>
      <c r="AE4" s="30" t="s">
        <v>21</v>
      </c>
      <c r="AF4" s="30"/>
      <c r="AG4" s="30" t="s">
        <v>22</v>
      </c>
      <c r="AH4" s="30"/>
      <c r="AI4" s="30" t="s">
        <v>23</v>
      </c>
      <c r="AJ4" s="30"/>
      <c r="AK4" s="30" t="s">
        <v>24</v>
      </c>
      <c r="AL4" s="30"/>
      <c r="AM4" s="30" t="s">
        <v>25</v>
      </c>
      <c r="AN4" s="30"/>
      <c r="AO4" s="30" t="s">
        <v>26</v>
      </c>
      <c r="AP4" s="30"/>
      <c r="AQ4" s="30" t="s">
        <v>27</v>
      </c>
      <c r="AR4" s="30"/>
      <c r="AS4" s="30" t="s">
        <v>28</v>
      </c>
      <c r="AT4" s="30"/>
      <c r="AU4" s="30" t="s">
        <v>29</v>
      </c>
      <c r="AV4" s="30"/>
      <c r="AW4" s="30" t="s">
        <v>30</v>
      </c>
      <c r="AX4" s="30"/>
      <c r="AY4" s="30" t="s">
        <v>31</v>
      </c>
      <c r="AZ4" s="30"/>
    </row>
    <row r="5" spans="1:52" x14ac:dyDescent="0.25">
      <c r="A5" s="9" t="s">
        <v>34</v>
      </c>
      <c r="B5" s="9"/>
      <c r="C5" s="31" t="s">
        <v>95</v>
      </c>
      <c r="D5" s="31"/>
      <c r="E5" s="31" t="s">
        <v>96</v>
      </c>
      <c r="F5" s="31"/>
      <c r="G5" s="31" t="s">
        <v>35</v>
      </c>
      <c r="H5" s="31"/>
      <c r="I5" s="31" t="s">
        <v>36</v>
      </c>
      <c r="J5" s="31"/>
      <c r="K5" s="31" t="s">
        <v>37</v>
      </c>
      <c r="L5" s="31"/>
      <c r="M5" s="31" t="s">
        <v>38</v>
      </c>
      <c r="N5" s="31"/>
      <c r="O5" s="31" t="s">
        <v>39</v>
      </c>
      <c r="P5" s="31"/>
      <c r="Q5" s="31" t="s">
        <v>40</v>
      </c>
      <c r="R5" s="31"/>
      <c r="S5" s="31" t="s">
        <v>41</v>
      </c>
      <c r="T5" s="31"/>
      <c r="U5" s="31" t="s">
        <v>42</v>
      </c>
      <c r="V5" s="31"/>
      <c r="W5" s="31" t="s">
        <v>43</v>
      </c>
      <c r="X5" s="31"/>
      <c r="Y5" s="31" t="s">
        <v>44</v>
      </c>
      <c r="Z5" s="31"/>
      <c r="AA5" s="31" t="s">
        <v>45</v>
      </c>
      <c r="AB5" s="31"/>
      <c r="AC5" s="31" t="s">
        <v>46</v>
      </c>
      <c r="AD5" s="31"/>
      <c r="AE5" s="31" t="s">
        <v>47</v>
      </c>
      <c r="AF5" s="31"/>
      <c r="AG5" s="31" t="s">
        <v>48</v>
      </c>
      <c r="AH5" s="31"/>
      <c r="AI5" s="31" t="s">
        <v>49</v>
      </c>
      <c r="AJ5" s="31"/>
      <c r="AK5" s="31" t="s">
        <v>50</v>
      </c>
      <c r="AL5" s="31"/>
      <c r="AM5" s="31" t="s">
        <v>51</v>
      </c>
      <c r="AN5" s="31"/>
      <c r="AO5" s="31" t="s">
        <v>52</v>
      </c>
      <c r="AP5" s="31"/>
      <c r="AQ5" s="31" t="s">
        <v>53</v>
      </c>
      <c r="AR5" s="31"/>
      <c r="AS5" s="31" t="s">
        <v>54</v>
      </c>
      <c r="AT5" s="31"/>
      <c r="AU5" s="31" t="s">
        <v>55</v>
      </c>
      <c r="AV5" s="31"/>
      <c r="AW5" s="31" t="s">
        <v>56</v>
      </c>
      <c r="AX5" s="31"/>
      <c r="AY5" s="31" t="s">
        <v>57</v>
      </c>
      <c r="AZ5" s="31"/>
    </row>
    <row r="6" spans="1:52" x14ac:dyDescent="0.25">
      <c r="A6" s="6" t="s">
        <v>0</v>
      </c>
      <c r="B6" s="6"/>
      <c r="C6" s="36">
        <v>21.033000000000001</v>
      </c>
      <c r="D6" s="37">
        <v>1</v>
      </c>
      <c r="E6" s="36">
        <v>33.293999999999997</v>
      </c>
      <c r="F6" s="37">
        <v>1</v>
      </c>
      <c r="G6" s="36">
        <v>44.713999999999999</v>
      </c>
      <c r="H6" s="37">
        <v>1</v>
      </c>
      <c r="I6" s="36">
        <v>70.061000000000007</v>
      </c>
      <c r="J6" s="37">
        <v>1</v>
      </c>
      <c r="K6" s="36">
        <v>71.680999999999997</v>
      </c>
      <c r="L6" s="37">
        <v>1</v>
      </c>
      <c r="M6" s="36">
        <v>99.475999999999999</v>
      </c>
      <c r="N6" s="37">
        <v>1</v>
      </c>
      <c r="O6" s="36">
        <v>103.962</v>
      </c>
      <c r="P6" s="37">
        <v>1</v>
      </c>
      <c r="Q6" s="36">
        <v>125.85299999999999</v>
      </c>
      <c r="R6" s="37">
        <v>1</v>
      </c>
      <c r="S6" s="36">
        <v>163.56200000000001</v>
      </c>
      <c r="T6" s="37">
        <v>1</v>
      </c>
      <c r="U6" s="36">
        <v>177.566</v>
      </c>
      <c r="V6" s="37">
        <v>1</v>
      </c>
      <c r="W6" s="36">
        <v>220.553</v>
      </c>
      <c r="X6" s="37">
        <v>1</v>
      </c>
      <c r="Y6" s="36">
        <v>187.63300000000001</v>
      </c>
      <c r="Z6" s="37">
        <v>1</v>
      </c>
      <c r="AA6" s="36">
        <v>258.53500000000003</v>
      </c>
      <c r="AB6" s="37">
        <v>1</v>
      </c>
      <c r="AC6" s="36">
        <v>213.25899999999999</v>
      </c>
      <c r="AD6" s="37">
        <v>1</v>
      </c>
      <c r="AE6" s="36">
        <v>224.81800000000001</v>
      </c>
      <c r="AF6" s="37">
        <v>1</v>
      </c>
      <c r="AG6" s="36" t="s">
        <v>141</v>
      </c>
      <c r="AH6" s="37"/>
      <c r="AI6" s="36">
        <v>335.03500000000003</v>
      </c>
      <c r="AJ6" s="37">
        <v>1</v>
      </c>
      <c r="AK6" s="36">
        <v>319.29000000000002</v>
      </c>
      <c r="AL6" s="37">
        <v>1</v>
      </c>
      <c r="AM6" s="36">
        <v>318.75400000000002</v>
      </c>
      <c r="AN6" s="37">
        <v>1</v>
      </c>
      <c r="AO6" s="36">
        <v>750.53</v>
      </c>
      <c r="AP6" s="37">
        <v>1</v>
      </c>
      <c r="AQ6" s="36">
        <v>439.71800000000002</v>
      </c>
      <c r="AR6" s="37">
        <v>1</v>
      </c>
      <c r="AS6" s="36">
        <v>494.33300000000003</v>
      </c>
      <c r="AT6" s="37">
        <v>1</v>
      </c>
      <c r="AU6" s="36">
        <v>659.82500000000005</v>
      </c>
      <c r="AV6" s="37">
        <v>1</v>
      </c>
      <c r="AW6" s="36">
        <v>500.91899999999998</v>
      </c>
      <c r="AX6" s="37">
        <v>1</v>
      </c>
      <c r="AY6" s="36">
        <v>593.16600000000005</v>
      </c>
      <c r="AZ6" s="37">
        <v>1</v>
      </c>
    </row>
    <row r="7" spans="1:52" x14ac:dyDescent="0.25">
      <c r="A7" s="10" t="s">
        <v>1619</v>
      </c>
      <c r="B7" s="10"/>
      <c r="C7" s="32">
        <v>21.033000000000001</v>
      </c>
      <c r="D7" s="33">
        <v>1</v>
      </c>
      <c r="E7" s="32">
        <v>33.293999999999997</v>
      </c>
      <c r="F7" s="33">
        <v>1</v>
      </c>
      <c r="G7" s="32">
        <v>44.713999999999999</v>
      </c>
      <c r="H7" s="33">
        <v>1</v>
      </c>
      <c r="I7" s="32">
        <v>70.061000000000007</v>
      </c>
      <c r="J7" s="33">
        <v>1</v>
      </c>
      <c r="K7" s="32">
        <v>71.680999999999997</v>
      </c>
      <c r="L7" s="33">
        <v>1</v>
      </c>
      <c r="M7" s="32">
        <v>99.475999999999999</v>
      </c>
      <c r="N7" s="33">
        <v>1</v>
      </c>
      <c r="O7" s="32">
        <v>103.962</v>
      </c>
      <c r="P7" s="33">
        <v>1</v>
      </c>
      <c r="Q7" s="32">
        <v>125.85299999999999</v>
      </c>
      <c r="R7" s="33">
        <v>1</v>
      </c>
      <c r="S7" s="32">
        <v>163.56200000000001</v>
      </c>
      <c r="T7" s="33">
        <v>1</v>
      </c>
      <c r="U7" s="32">
        <v>177.566</v>
      </c>
      <c r="V7" s="33">
        <v>1</v>
      </c>
      <c r="W7" s="32">
        <v>220.553</v>
      </c>
      <c r="X7" s="33">
        <v>1</v>
      </c>
      <c r="Y7" s="32">
        <v>187.63300000000001</v>
      </c>
      <c r="Z7" s="33">
        <v>1</v>
      </c>
      <c r="AA7" s="32">
        <v>258.53500000000003</v>
      </c>
      <c r="AB7" s="33">
        <v>1</v>
      </c>
      <c r="AC7" s="32">
        <v>213.25899999999999</v>
      </c>
      <c r="AD7" s="33">
        <v>1</v>
      </c>
      <c r="AE7" s="32">
        <v>224.81800000000001</v>
      </c>
      <c r="AF7" s="33">
        <v>1</v>
      </c>
      <c r="AG7" s="32" t="s">
        <v>141</v>
      </c>
      <c r="AH7" s="33"/>
      <c r="AI7" s="32">
        <v>335.03500000000003</v>
      </c>
      <c r="AJ7" s="33">
        <v>1</v>
      </c>
      <c r="AK7" s="32">
        <v>319.29000000000002</v>
      </c>
      <c r="AL7" s="33">
        <v>1</v>
      </c>
      <c r="AM7" s="32">
        <v>318.75400000000002</v>
      </c>
      <c r="AN7" s="33">
        <v>1</v>
      </c>
      <c r="AO7" s="32">
        <v>750.53</v>
      </c>
      <c r="AP7" s="33">
        <v>1</v>
      </c>
      <c r="AQ7" s="32">
        <v>439.71800000000002</v>
      </c>
      <c r="AR7" s="33">
        <v>1</v>
      </c>
      <c r="AS7" s="32">
        <v>494.33300000000003</v>
      </c>
      <c r="AT7" s="33">
        <v>1</v>
      </c>
      <c r="AU7" s="32">
        <v>659.82500000000005</v>
      </c>
      <c r="AV7" s="33">
        <v>1</v>
      </c>
      <c r="AW7" s="32">
        <v>500.91899999999998</v>
      </c>
      <c r="AX7" s="33">
        <v>1</v>
      </c>
      <c r="AY7" s="32">
        <v>593.16600000000005</v>
      </c>
      <c r="AZ7" s="33">
        <v>1</v>
      </c>
    </row>
    <row r="8" spans="1:52" x14ac:dyDescent="0.25">
      <c r="A8" s="6" t="s">
        <v>2</v>
      </c>
      <c r="B8" s="6"/>
      <c r="C8" s="36">
        <v>19.367999999999999</v>
      </c>
      <c r="D8" s="37">
        <v>1</v>
      </c>
      <c r="E8" s="36">
        <v>29.946999999999999</v>
      </c>
      <c r="F8" s="37">
        <v>1</v>
      </c>
      <c r="G8" s="36">
        <v>40.387999999999998</v>
      </c>
      <c r="H8" s="37">
        <v>1</v>
      </c>
      <c r="I8" s="36">
        <v>64.847999999999999</v>
      </c>
      <c r="J8" s="37">
        <v>1</v>
      </c>
      <c r="K8" s="36">
        <v>59.505000000000003</v>
      </c>
      <c r="L8" s="37">
        <v>1</v>
      </c>
      <c r="M8" s="36">
        <v>86.174000000000007</v>
      </c>
      <c r="N8" s="37">
        <v>1</v>
      </c>
      <c r="O8" s="36">
        <v>84.033000000000001</v>
      </c>
      <c r="P8" s="37">
        <v>1</v>
      </c>
      <c r="Q8" s="36">
        <v>104.056</v>
      </c>
      <c r="R8" s="37">
        <v>1</v>
      </c>
      <c r="S8" s="36">
        <v>140.53800000000001</v>
      </c>
      <c r="T8" s="37">
        <v>1</v>
      </c>
      <c r="U8" s="36">
        <v>146.50399999999999</v>
      </c>
      <c r="V8" s="37">
        <v>1</v>
      </c>
      <c r="W8" s="36">
        <v>181.798</v>
      </c>
      <c r="X8" s="37">
        <v>1</v>
      </c>
      <c r="Y8" s="36">
        <v>154.97</v>
      </c>
      <c r="Z8" s="37">
        <v>1</v>
      </c>
      <c r="AA8" s="36">
        <v>220.87100000000001</v>
      </c>
      <c r="AB8" s="37">
        <v>1</v>
      </c>
      <c r="AC8" s="36">
        <v>177.63200000000001</v>
      </c>
      <c r="AD8" s="37">
        <v>1</v>
      </c>
      <c r="AE8" s="36">
        <v>184.01</v>
      </c>
      <c r="AF8" s="37">
        <v>1</v>
      </c>
      <c r="AG8" s="36" t="s">
        <v>141</v>
      </c>
      <c r="AH8" s="37"/>
      <c r="AI8" s="36">
        <v>283.76900000000001</v>
      </c>
      <c r="AJ8" s="37">
        <v>1</v>
      </c>
      <c r="AK8" s="36">
        <v>264.42099999999999</v>
      </c>
      <c r="AL8" s="37">
        <v>1</v>
      </c>
      <c r="AM8" s="36">
        <v>233.38399999999999</v>
      </c>
      <c r="AN8" s="37">
        <v>1</v>
      </c>
      <c r="AO8" s="36">
        <v>666.221</v>
      </c>
      <c r="AP8" s="37">
        <v>1</v>
      </c>
      <c r="AQ8" s="36">
        <v>353.86</v>
      </c>
      <c r="AR8" s="37">
        <v>1</v>
      </c>
      <c r="AS8" s="36">
        <v>428.35700000000003</v>
      </c>
      <c r="AT8" s="37">
        <v>1</v>
      </c>
      <c r="AU8" s="36">
        <v>591.15300000000002</v>
      </c>
      <c r="AV8" s="37">
        <v>1</v>
      </c>
      <c r="AW8" s="36">
        <v>415.01400000000001</v>
      </c>
      <c r="AX8" s="37">
        <v>1</v>
      </c>
      <c r="AY8" s="36">
        <v>490.34899999999999</v>
      </c>
      <c r="AZ8" s="37">
        <v>1</v>
      </c>
    </row>
    <row r="9" spans="1:52" x14ac:dyDescent="0.25">
      <c r="A9" s="10" t="s">
        <v>1619</v>
      </c>
      <c r="B9" s="10"/>
      <c r="C9" s="32">
        <v>19.367999999999999</v>
      </c>
      <c r="D9" s="33">
        <v>1</v>
      </c>
      <c r="E9" s="32">
        <v>29.946999999999999</v>
      </c>
      <c r="F9" s="33">
        <v>1</v>
      </c>
      <c r="G9" s="32">
        <v>40.387999999999998</v>
      </c>
      <c r="H9" s="33">
        <v>1</v>
      </c>
      <c r="I9" s="32">
        <v>64.847999999999999</v>
      </c>
      <c r="J9" s="33">
        <v>1</v>
      </c>
      <c r="K9" s="32">
        <v>59.505000000000003</v>
      </c>
      <c r="L9" s="33">
        <v>1</v>
      </c>
      <c r="M9" s="32">
        <v>86.174000000000007</v>
      </c>
      <c r="N9" s="33">
        <v>1</v>
      </c>
      <c r="O9" s="32">
        <v>84.033000000000001</v>
      </c>
      <c r="P9" s="33">
        <v>1</v>
      </c>
      <c r="Q9" s="32">
        <v>104.056</v>
      </c>
      <c r="R9" s="33">
        <v>1</v>
      </c>
      <c r="S9" s="32">
        <v>140.53800000000001</v>
      </c>
      <c r="T9" s="33">
        <v>1</v>
      </c>
      <c r="U9" s="32">
        <v>146.50399999999999</v>
      </c>
      <c r="V9" s="33">
        <v>1</v>
      </c>
      <c r="W9" s="32">
        <v>181.798</v>
      </c>
      <c r="X9" s="33">
        <v>1</v>
      </c>
      <c r="Y9" s="32">
        <v>154.97</v>
      </c>
      <c r="Z9" s="33">
        <v>1</v>
      </c>
      <c r="AA9" s="32">
        <v>220.87100000000001</v>
      </c>
      <c r="AB9" s="33">
        <v>1</v>
      </c>
      <c r="AC9" s="32">
        <v>177.63200000000001</v>
      </c>
      <c r="AD9" s="33">
        <v>1</v>
      </c>
      <c r="AE9" s="32">
        <v>184.01</v>
      </c>
      <c r="AF9" s="33">
        <v>1</v>
      </c>
      <c r="AG9" s="32" t="s">
        <v>141</v>
      </c>
      <c r="AH9" s="33"/>
      <c r="AI9" s="32">
        <v>283.76900000000001</v>
      </c>
      <c r="AJ9" s="33">
        <v>1</v>
      </c>
      <c r="AK9" s="32">
        <v>264.42099999999999</v>
      </c>
      <c r="AL9" s="33">
        <v>1</v>
      </c>
      <c r="AM9" s="32">
        <v>233.38399999999999</v>
      </c>
      <c r="AN9" s="33">
        <v>1</v>
      </c>
      <c r="AO9" s="32">
        <v>666.221</v>
      </c>
      <c r="AP9" s="33">
        <v>1</v>
      </c>
      <c r="AQ9" s="32">
        <v>353.86</v>
      </c>
      <c r="AR9" s="33">
        <v>1</v>
      </c>
      <c r="AS9" s="32">
        <v>428.35700000000003</v>
      </c>
      <c r="AT9" s="33">
        <v>1</v>
      </c>
      <c r="AU9" s="32">
        <v>591.15300000000002</v>
      </c>
      <c r="AV9" s="33">
        <v>1</v>
      </c>
      <c r="AW9" s="32">
        <v>415.01400000000001</v>
      </c>
      <c r="AX9" s="33">
        <v>1</v>
      </c>
      <c r="AY9" s="32">
        <v>490.34899999999999</v>
      </c>
      <c r="AZ9" s="33">
        <v>1</v>
      </c>
    </row>
    <row r="10" spans="1:52" x14ac:dyDescent="0.25">
      <c r="A10" s="6" t="s">
        <v>98</v>
      </c>
      <c r="B10" s="6"/>
      <c r="C10" s="36">
        <v>-220.35599999999999</v>
      </c>
      <c r="D10" s="37"/>
      <c r="E10" s="36">
        <v>-188.78800000000001</v>
      </c>
      <c r="F10" s="37"/>
      <c r="G10" s="36">
        <v>-236.27099999999999</v>
      </c>
      <c r="H10" s="37"/>
      <c r="I10" s="36">
        <v>-216.29900000000001</v>
      </c>
      <c r="J10" s="37"/>
      <c r="K10" s="36">
        <v>-298.07299999999998</v>
      </c>
      <c r="L10" s="37"/>
      <c r="M10" s="36">
        <v>-210.15799999999999</v>
      </c>
      <c r="N10" s="37"/>
      <c r="O10" s="36">
        <v>-198.85900000000001</v>
      </c>
      <c r="P10" s="37"/>
      <c r="Q10" s="36">
        <v>-225.19900000000001</v>
      </c>
      <c r="R10" s="37"/>
      <c r="S10" s="36">
        <v>-194.22200000000001</v>
      </c>
      <c r="T10" s="37"/>
      <c r="U10" s="36">
        <v>-186.25399999999999</v>
      </c>
      <c r="V10" s="37"/>
      <c r="W10" s="36">
        <v>-146.16</v>
      </c>
      <c r="X10" s="37"/>
      <c r="Y10" s="36">
        <v>-181.67699999999999</v>
      </c>
      <c r="Z10" s="37"/>
      <c r="AA10" s="36">
        <v>-194.56100000000001</v>
      </c>
      <c r="AB10" s="37"/>
      <c r="AC10" s="36">
        <v>-146.732</v>
      </c>
      <c r="AD10" s="37"/>
      <c r="AE10" s="36">
        <v>-191.68600000000001</v>
      </c>
      <c r="AF10" s="37"/>
      <c r="AG10" s="36" t="s">
        <v>141</v>
      </c>
      <c r="AH10" s="37"/>
      <c r="AI10" s="36">
        <v>-188.614</v>
      </c>
      <c r="AJ10" s="37"/>
      <c r="AK10" s="36">
        <v>-149.80699999999999</v>
      </c>
      <c r="AL10" s="37"/>
      <c r="AM10" s="36">
        <v>-229.83099999999999</v>
      </c>
      <c r="AN10" s="37"/>
      <c r="AO10" s="36">
        <v>213.86699999999999</v>
      </c>
      <c r="AP10" s="37">
        <v>1</v>
      </c>
      <c r="AQ10" s="36">
        <v>-116.404</v>
      </c>
      <c r="AR10" s="37"/>
      <c r="AS10" s="36">
        <v>-43.435000000000002</v>
      </c>
      <c r="AT10" s="37"/>
      <c r="AU10" s="36">
        <v>48.613999999999997</v>
      </c>
      <c r="AV10" s="37">
        <v>1</v>
      </c>
      <c r="AW10" s="36">
        <v>-76.905000000000001</v>
      </c>
      <c r="AX10" s="37"/>
      <c r="AY10" s="36">
        <v>-105.15900000000001</v>
      </c>
      <c r="AZ10" s="37"/>
    </row>
    <row r="11" spans="1:52" x14ac:dyDescent="0.25">
      <c r="A11" s="10" t="s">
        <v>1619</v>
      </c>
      <c r="B11" s="10"/>
      <c r="C11" s="32">
        <v>-220.35599999999999</v>
      </c>
      <c r="D11" s="33">
        <v>1</v>
      </c>
      <c r="E11" s="32">
        <v>-188.78800000000001</v>
      </c>
      <c r="F11" s="33">
        <v>1</v>
      </c>
      <c r="G11" s="32">
        <v>-236.27099999999999</v>
      </c>
      <c r="H11" s="33">
        <v>1</v>
      </c>
      <c r="I11" s="32">
        <v>-216.29900000000001</v>
      </c>
      <c r="J11" s="33">
        <v>1</v>
      </c>
      <c r="K11" s="32">
        <v>-298.07299999999998</v>
      </c>
      <c r="L11" s="33">
        <v>1</v>
      </c>
      <c r="M11" s="32">
        <v>-210.15799999999999</v>
      </c>
      <c r="N11" s="33">
        <v>1</v>
      </c>
      <c r="O11" s="32">
        <v>-198.85900000000001</v>
      </c>
      <c r="P11" s="33">
        <v>1</v>
      </c>
      <c r="Q11" s="32">
        <v>-225.19900000000001</v>
      </c>
      <c r="R11" s="33">
        <v>1</v>
      </c>
      <c r="S11" s="32">
        <v>-194.22200000000001</v>
      </c>
      <c r="T11" s="33">
        <v>1</v>
      </c>
      <c r="U11" s="32">
        <v>-186.25399999999999</v>
      </c>
      <c r="V11" s="33">
        <v>1</v>
      </c>
      <c r="W11" s="32">
        <v>-146.16</v>
      </c>
      <c r="X11" s="33">
        <v>1</v>
      </c>
      <c r="Y11" s="32">
        <v>-181.67699999999999</v>
      </c>
      <c r="Z11" s="33">
        <v>1</v>
      </c>
      <c r="AA11" s="32">
        <v>-194.56100000000001</v>
      </c>
      <c r="AB11" s="33">
        <v>1</v>
      </c>
      <c r="AC11" s="32">
        <v>-146.732</v>
      </c>
      <c r="AD11" s="33">
        <v>1</v>
      </c>
      <c r="AE11" s="32">
        <v>-191.68600000000001</v>
      </c>
      <c r="AF11" s="33">
        <v>1</v>
      </c>
      <c r="AG11" s="32" t="s">
        <v>141</v>
      </c>
      <c r="AH11" s="33"/>
      <c r="AI11" s="32">
        <v>-188.614</v>
      </c>
      <c r="AJ11" s="33">
        <v>1</v>
      </c>
      <c r="AK11" s="32">
        <v>-149.80699999999999</v>
      </c>
      <c r="AL11" s="33">
        <v>1</v>
      </c>
      <c r="AM11" s="32">
        <v>-229.83099999999999</v>
      </c>
      <c r="AN11" s="33">
        <v>1</v>
      </c>
      <c r="AO11" s="32">
        <v>213.86699999999999</v>
      </c>
      <c r="AP11" s="33">
        <v>1</v>
      </c>
      <c r="AQ11" s="32">
        <v>-116.404</v>
      </c>
      <c r="AR11" s="33">
        <v>1</v>
      </c>
      <c r="AS11" s="32">
        <v>-43.435000000000002</v>
      </c>
      <c r="AT11" s="33">
        <v>1</v>
      </c>
      <c r="AU11" s="32">
        <v>48.613999999999997</v>
      </c>
      <c r="AV11" s="33">
        <v>1</v>
      </c>
      <c r="AW11" s="32">
        <v>-76.905000000000001</v>
      </c>
      <c r="AX11" s="33">
        <v>1</v>
      </c>
      <c r="AY11" s="32">
        <v>-105.15900000000001</v>
      </c>
      <c r="AZ11" s="33">
        <v>1</v>
      </c>
    </row>
    <row r="12" spans="1:52" x14ac:dyDescent="0.25">
      <c r="A12" s="6" t="s">
        <v>431</v>
      </c>
      <c r="B12" s="6"/>
      <c r="C12" s="36" t="s">
        <v>141</v>
      </c>
      <c r="D12" s="37"/>
      <c r="E12" s="36" t="s">
        <v>141</v>
      </c>
      <c r="F12" s="37"/>
      <c r="G12" s="36" t="s">
        <v>141</v>
      </c>
      <c r="H12" s="37"/>
      <c r="I12" s="36" t="s">
        <v>141</v>
      </c>
      <c r="J12" s="37"/>
      <c r="K12" s="36" t="s">
        <v>141</v>
      </c>
      <c r="L12" s="37"/>
      <c r="M12" s="36" t="s">
        <v>141</v>
      </c>
      <c r="N12" s="37"/>
      <c r="O12" s="36">
        <v>27.248000000000001</v>
      </c>
      <c r="P12" s="37">
        <v>1</v>
      </c>
      <c r="Q12" s="36">
        <v>28.731000000000002</v>
      </c>
      <c r="R12" s="37">
        <v>1</v>
      </c>
      <c r="S12" s="36">
        <v>28.516999999999999</v>
      </c>
      <c r="T12" s="37">
        <v>1</v>
      </c>
      <c r="U12" s="36">
        <v>32.515000000000001</v>
      </c>
      <c r="V12" s="37">
        <v>1</v>
      </c>
      <c r="W12" s="36">
        <v>33.415999999999997</v>
      </c>
      <c r="X12" s="37">
        <v>1</v>
      </c>
      <c r="Y12" s="36">
        <v>40.274000000000001</v>
      </c>
      <c r="Z12" s="37">
        <v>1</v>
      </c>
      <c r="AA12" s="36">
        <v>36.816000000000003</v>
      </c>
      <c r="AB12" s="37">
        <v>1</v>
      </c>
      <c r="AC12" s="36">
        <v>42.362000000000002</v>
      </c>
      <c r="AD12" s="37">
        <v>1</v>
      </c>
      <c r="AE12" s="36">
        <v>42.609000000000002</v>
      </c>
      <c r="AF12" s="37">
        <v>1</v>
      </c>
      <c r="AG12" s="36" t="s">
        <v>141</v>
      </c>
      <c r="AH12" s="37"/>
      <c r="AI12" s="36">
        <v>29.913</v>
      </c>
      <c r="AJ12" s="37">
        <v>1</v>
      </c>
      <c r="AK12" s="36">
        <v>28.954999999999998</v>
      </c>
      <c r="AL12" s="37">
        <v>1</v>
      </c>
      <c r="AM12" s="36">
        <v>30.035</v>
      </c>
      <c r="AN12" s="37">
        <v>1</v>
      </c>
      <c r="AO12" s="36">
        <v>30.893000000000001</v>
      </c>
      <c r="AP12" s="37">
        <v>1</v>
      </c>
      <c r="AQ12" s="36">
        <v>31.338000000000001</v>
      </c>
      <c r="AR12" s="37">
        <v>1</v>
      </c>
      <c r="AS12" s="36">
        <v>35.253</v>
      </c>
      <c r="AT12" s="37">
        <v>1</v>
      </c>
      <c r="AU12" s="36">
        <v>33.258000000000003</v>
      </c>
      <c r="AV12" s="37">
        <v>1</v>
      </c>
      <c r="AW12" s="36">
        <v>34.375999999999998</v>
      </c>
      <c r="AX12" s="37">
        <v>1</v>
      </c>
      <c r="AY12" s="36">
        <v>38.970999999999997</v>
      </c>
      <c r="AZ12" s="37">
        <v>1</v>
      </c>
    </row>
    <row r="13" spans="1:52" x14ac:dyDescent="0.25">
      <c r="A13" s="10" t="s">
        <v>1619</v>
      </c>
      <c r="B13" s="10"/>
      <c r="C13" s="32" t="s">
        <v>141</v>
      </c>
      <c r="D13" s="33"/>
      <c r="E13" s="32" t="s">
        <v>141</v>
      </c>
      <c r="F13" s="33"/>
      <c r="G13" s="32" t="s">
        <v>141</v>
      </c>
      <c r="H13" s="33"/>
      <c r="I13" s="32" t="s">
        <v>141</v>
      </c>
      <c r="J13" s="33"/>
      <c r="K13" s="32" t="s">
        <v>141</v>
      </c>
      <c r="L13" s="33"/>
      <c r="M13" s="32" t="s">
        <v>141</v>
      </c>
      <c r="N13" s="33"/>
      <c r="O13" s="32">
        <v>27.248000000000001</v>
      </c>
      <c r="P13" s="33">
        <v>1</v>
      </c>
      <c r="Q13" s="32">
        <v>28.731000000000002</v>
      </c>
      <c r="R13" s="33">
        <v>1</v>
      </c>
      <c r="S13" s="32">
        <v>28.516999999999999</v>
      </c>
      <c r="T13" s="33">
        <v>1</v>
      </c>
      <c r="U13" s="32">
        <v>32.515000000000001</v>
      </c>
      <c r="V13" s="33">
        <v>1</v>
      </c>
      <c r="W13" s="32">
        <v>33.415999999999997</v>
      </c>
      <c r="X13" s="33">
        <v>1</v>
      </c>
      <c r="Y13" s="32">
        <v>40.274000000000001</v>
      </c>
      <c r="Z13" s="33">
        <v>1</v>
      </c>
      <c r="AA13" s="32">
        <v>36.816000000000003</v>
      </c>
      <c r="AB13" s="33">
        <v>1</v>
      </c>
      <c r="AC13" s="32">
        <v>42.362000000000002</v>
      </c>
      <c r="AD13" s="33">
        <v>1</v>
      </c>
      <c r="AE13" s="32">
        <v>42.609000000000002</v>
      </c>
      <c r="AF13" s="33">
        <v>1</v>
      </c>
      <c r="AG13" s="32" t="s">
        <v>141</v>
      </c>
      <c r="AH13" s="33"/>
      <c r="AI13" s="32">
        <v>29.913</v>
      </c>
      <c r="AJ13" s="33">
        <v>1</v>
      </c>
      <c r="AK13" s="32">
        <v>28.954999999999998</v>
      </c>
      <c r="AL13" s="33">
        <v>1</v>
      </c>
      <c r="AM13" s="32">
        <v>30.035</v>
      </c>
      <c r="AN13" s="33">
        <v>1</v>
      </c>
      <c r="AO13" s="32">
        <v>30.893000000000001</v>
      </c>
      <c r="AP13" s="33">
        <v>1</v>
      </c>
      <c r="AQ13" s="32">
        <v>31.338000000000001</v>
      </c>
      <c r="AR13" s="33">
        <v>1</v>
      </c>
      <c r="AS13" s="32">
        <v>35.253</v>
      </c>
      <c r="AT13" s="33">
        <v>1</v>
      </c>
      <c r="AU13" s="32">
        <v>33.258000000000003</v>
      </c>
      <c r="AV13" s="33">
        <v>1</v>
      </c>
      <c r="AW13" s="32">
        <v>34.375999999999998</v>
      </c>
      <c r="AX13" s="33">
        <v>1</v>
      </c>
      <c r="AY13" s="32">
        <v>38.970999999999997</v>
      </c>
      <c r="AZ13" s="33">
        <v>1</v>
      </c>
    </row>
    <row r="14" spans="1:52" x14ac:dyDescent="0.25">
      <c r="A14" s="6" t="s">
        <v>433</v>
      </c>
      <c r="B14" s="6"/>
      <c r="C14" s="36">
        <v>10.571</v>
      </c>
      <c r="D14" s="37">
        <v>1</v>
      </c>
      <c r="E14" s="36">
        <v>7.5250000000000004</v>
      </c>
      <c r="F14" s="37">
        <v>1</v>
      </c>
      <c r="G14" s="36">
        <v>8.7810000000000006</v>
      </c>
      <c r="H14" s="37">
        <v>1</v>
      </c>
      <c r="I14" s="36">
        <v>9.8889999999999993</v>
      </c>
      <c r="J14" s="37">
        <v>1</v>
      </c>
      <c r="K14" s="36">
        <v>7.2530000000000001</v>
      </c>
      <c r="L14" s="37">
        <v>1</v>
      </c>
      <c r="M14" s="36">
        <v>5.48</v>
      </c>
      <c r="N14" s="37">
        <v>1</v>
      </c>
      <c r="O14" s="36">
        <v>3.165</v>
      </c>
      <c r="P14" s="37">
        <v>1</v>
      </c>
      <c r="Q14" s="36">
        <v>2.0720000000000001</v>
      </c>
      <c r="R14" s="37">
        <v>1</v>
      </c>
      <c r="S14" s="36">
        <v>1.0920000000000001</v>
      </c>
      <c r="T14" s="37">
        <v>1</v>
      </c>
      <c r="U14" s="36">
        <v>0.45</v>
      </c>
      <c r="V14" s="37">
        <v>1</v>
      </c>
      <c r="W14" s="36">
        <v>0.40899999999999997</v>
      </c>
      <c r="X14" s="37">
        <v>1</v>
      </c>
      <c r="Y14" s="36">
        <v>0.22500000000000001</v>
      </c>
      <c r="Z14" s="37">
        <v>1</v>
      </c>
      <c r="AA14" s="36">
        <v>0.495</v>
      </c>
      <c r="AB14" s="37">
        <v>1</v>
      </c>
      <c r="AC14" s="36">
        <v>1.012</v>
      </c>
      <c r="AD14" s="37">
        <v>1</v>
      </c>
      <c r="AE14" s="36">
        <v>0</v>
      </c>
      <c r="AF14" s="37"/>
      <c r="AG14" s="36" t="s">
        <v>141</v>
      </c>
      <c r="AH14" s="37"/>
      <c r="AI14" s="36">
        <v>14.077</v>
      </c>
      <c r="AJ14" s="37">
        <v>1</v>
      </c>
      <c r="AK14" s="36">
        <v>18.655000000000001</v>
      </c>
      <c r="AL14" s="37">
        <v>1</v>
      </c>
      <c r="AM14" s="36">
        <v>21.074999999999999</v>
      </c>
      <c r="AN14" s="37">
        <v>1</v>
      </c>
      <c r="AO14" s="36">
        <v>25.425000000000001</v>
      </c>
      <c r="AP14" s="37">
        <v>1</v>
      </c>
      <c r="AQ14" s="36">
        <v>30.405999999999999</v>
      </c>
      <c r="AR14" s="37">
        <v>1</v>
      </c>
      <c r="AS14" s="36">
        <v>29.645</v>
      </c>
      <c r="AT14" s="37">
        <v>1</v>
      </c>
      <c r="AU14" s="36">
        <v>29.181999999999999</v>
      </c>
      <c r="AV14" s="37">
        <v>1</v>
      </c>
      <c r="AW14" s="36">
        <v>32.146000000000001</v>
      </c>
      <c r="AX14" s="37">
        <v>1</v>
      </c>
      <c r="AY14" s="36">
        <v>31.018999999999998</v>
      </c>
      <c r="AZ14" s="37">
        <v>1</v>
      </c>
    </row>
    <row r="15" spans="1:52" x14ac:dyDescent="0.25">
      <c r="A15" s="10" t="s">
        <v>1619</v>
      </c>
      <c r="B15" s="10"/>
      <c r="C15" s="32">
        <v>10.571</v>
      </c>
      <c r="D15" s="33">
        <v>1</v>
      </c>
      <c r="E15" s="32">
        <v>7.5250000000000004</v>
      </c>
      <c r="F15" s="33">
        <v>1</v>
      </c>
      <c r="G15" s="32">
        <v>8.7810000000000006</v>
      </c>
      <c r="H15" s="33">
        <v>1</v>
      </c>
      <c r="I15" s="32">
        <v>9.8889999999999993</v>
      </c>
      <c r="J15" s="33">
        <v>1</v>
      </c>
      <c r="K15" s="32">
        <v>7.2530000000000001</v>
      </c>
      <c r="L15" s="33">
        <v>1</v>
      </c>
      <c r="M15" s="32">
        <v>5.48</v>
      </c>
      <c r="N15" s="33">
        <v>1</v>
      </c>
      <c r="O15" s="32">
        <v>3.165</v>
      </c>
      <c r="P15" s="33">
        <v>1</v>
      </c>
      <c r="Q15" s="32">
        <v>2.0720000000000001</v>
      </c>
      <c r="R15" s="33">
        <v>1</v>
      </c>
      <c r="S15" s="32">
        <v>1.0920000000000001</v>
      </c>
      <c r="T15" s="33">
        <v>1</v>
      </c>
      <c r="U15" s="32">
        <v>0.45</v>
      </c>
      <c r="V15" s="33">
        <v>1</v>
      </c>
      <c r="W15" s="32">
        <v>0.40899999999999997</v>
      </c>
      <c r="X15" s="33">
        <v>1</v>
      </c>
      <c r="Y15" s="32">
        <v>0.22500000000000001</v>
      </c>
      <c r="Z15" s="33">
        <v>1</v>
      </c>
      <c r="AA15" s="32">
        <v>0.495</v>
      </c>
      <c r="AB15" s="33">
        <v>1</v>
      </c>
      <c r="AC15" s="32">
        <v>1.012</v>
      </c>
      <c r="AD15" s="33">
        <v>1</v>
      </c>
      <c r="AE15" s="32">
        <v>0</v>
      </c>
      <c r="AF15" s="33"/>
      <c r="AG15" s="32" t="s">
        <v>141</v>
      </c>
      <c r="AH15" s="33"/>
      <c r="AI15" s="32">
        <v>14.077</v>
      </c>
      <c r="AJ15" s="33">
        <v>1</v>
      </c>
      <c r="AK15" s="32">
        <v>18.655000000000001</v>
      </c>
      <c r="AL15" s="33">
        <v>1</v>
      </c>
      <c r="AM15" s="32">
        <v>21.074999999999999</v>
      </c>
      <c r="AN15" s="33">
        <v>1</v>
      </c>
      <c r="AO15" s="32">
        <v>25.425000000000001</v>
      </c>
      <c r="AP15" s="33">
        <v>1</v>
      </c>
      <c r="AQ15" s="32">
        <v>30.405999999999999</v>
      </c>
      <c r="AR15" s="33">
        <v>1</v>
      </c>
      <c r="AS15" s="32">
        <v>29.645</v>
      </c>
      <c r="AT15" s="33">
        <v>1</v>
      </c>
      <c r="AU15" s="32">
        <v>29.181999999999999</v>
      </c>
      <c r="AV15" s="33">
        <v>1</v>
      </c>
      <c r="AW15" s="32">
        <v>32.146000000000001</v>
      </c>
      <c r="AX15" s="33">
        <v>1</v>
      </c>
      <c r="AY15" s="32">
        <v>31.018999999999998</v>
      </c>
      <c r="AZ15" s="33">
        <v>1</v>
      </c>
    </row>
    <row r="16" spans="1:52" x14ac:dyDescent="0.25">
      <c r="A16" s="6" t="s">
        <v>399</v>
      </c>
      <c r="B16" s="6"/>
      <c r="C16" s="36">
        <v>-211.08</v>
      </c>
      <c r="D16" s="37"/>
      <c r="E16" s="36">
        <v>-181.22</v>
      </c>
      <c r="F16" s="37"/>
      <c r="G16" s="36">
        <v>-218.52099999999999</v>
      </c>
      <c r="H16" s="37"/>
      <c r="I16" s="36">
        <v>-208.929</v>
      </c>
      <c r="J16" s="37"/>
      <c r="K16" s="36">
        <v>-276.58300000000003</v>
      </c>
      <c r="L16" s="37"/>
      <c r="M16" s="36">
        <v>-181.64599999999999</v>
      </c>
      <c r="N16" s="37"/>
      <c r="O16" s="36">
        <v>-177.90299999999999</v>
      </c>
      <c r="P16" s="37"/>
      <c r="Q16" s="36">
        <v>-252.452</v>
      </c>
      <c r="R16" s="37"/>
      <c r="S16" s="36">
        <v>-243.59899999999999</v>
      </c>
      <c r="T16" s="37"/>
      <c r="U16" s="36">
        <v>-199.27500000000001</v>
      </c>
      <c r="V16" s="37"/>
      <c r="W16" s="36">
        <v>-188.33099999999999</v>
      </c>
      <c r="X16" s="37"/>
      <c r="Y16" s="36">
        <v>-204.23599999999999</v>
      </c>
      <c r="Z16" s="37"/>
      <c r="AA16" s="36">
        <v>-260.30200000000002</v>
      </c>
      <c r="AB16" s="37"/>
      <c r="AC16" s="36">
        <v>-239.35599999999999</v>
      </c>
      <c r="AD16" s="37"/>
      <c r="AE16" s="36">
        <v>-274.673</v>
      </c>
      <c r="AF16" s="37"/>
      <c r="AG16" s="36" t="s">
        <v>141</v>
      </c>
      <c r="AH16" s="37"/>
      <c r="AI16" s="36">
        <v>-207.02099999999999</v>
      </c>
      <c r="AJ16" s="37"/>
      <c r="AK16" s="36">
        <v>-172.36199999999999</v>
      </c>
      <c r="AL16" s="37"/>
      <c r="AM16" s="36">
        <v>-274.209</v>
      </c>
      <c r="AN16" s="37"/>
      <c r="AO16" s="36">
        <v>150.74100000000001</v>
      </c>
      <c r="AP16" s="37">
        <v>1</v>
      </c>
      <c r="AQ16" s="36">
        <v>-137.68700000000001</v>
      </c>
      <c r="AR16" s="37"/>
      <c r="AS16" s="36">
        <v>-63.587000000000003</v>
      </c>
      <c r="AT16" s="37"/>
      <c r="AU16" s="36">
        <v>-11.167</v>
      </c>
      <c r="AV16" s="37"/>
      <c r="AW16" s="36">
        <v>-108.663</v>
      </c>
      <c r="AX16" s="37"/>
      <c r="AY16" s="36">
        <v>-193.958</v>
      </c>
      <c r="AZ16" s="37"/>
    </row>
    <row r="17" spans="1:52" x14ac:dyDescent="0.25">
      <c r="A17" s="10" t="s">
        <v>1619</v>
      </c>
      <c r="B17" s="10"/>
      <c r="C17" s="32">
        <v>-211.08</v>
      </c>
      <c r="D17" s="33">
        <v>1</v>
      </c>
      <c r="E17" s="32">
        <v>-181.22</v>
      </c>
      <c r="F17" s="33">
        <v>1</v>
      </c>
      <c r="G17" s="32">
        <v>-218.52099999999999</v>
      </c>
      <c r="H17" s="33">
        <v>1</v>
      </c>
      <c r="I17" s="32">
        <v>-208.929</v>
      </c>
      <c r="J17" s="33">
        <v>1</v>
      </c>
      <c r="K17" s="32">
        <v>-276.58300000000003</v>
      </c>
      <c r="L17" s="33">
        <v>1</v>
      </c>
      <c r="M17" s="32">
        <v>-181.64599999999999</v>
      </c>
      <c r="N17" s="33">
        <v>1</v>
      </c>
      <c r="O17" s="32">
        <v>-177.90299999999999</v>
      </c>
      <c r="P17" s="33">
        <v>1</v>
      </c>
      <c r="Q17" s="32">
        <v>-252.452</v>
      </c>
      <c r="R17" s="33">
        <v>1</v>
      </c>
      <c r="S17" s="32">
        <v>-243.59899999999999</v>
      </c>
      <c r="T17" s="33">
        <v>1</v>
      </c>
      <c r="U17" s="32">
        <v>-199.27500000000001</v>
      </c>
      <c r="V17" s="33">
        <v>1</v>
      </c>
      <c r="W17" s="32">
        <v>-188.33099999999999</v>
      </c>
      <c r="X17" s="33">
        <v>1</v>
      </c>
      <c r="Y17" s="32">
        <v>-204.23599999999999</v>
      </c>
      <c r="Z17" s="33">
        <v>1</v>
      </c>
      <c r="AA17" s="32">
        <v>-260.30200000000002</v>
      </c>
      <c r="AB17" s="33">
        <v>1</v>
      </c>
      <c r="AC17" s="32">
        <v>-239.35599999999999</v>
      </c>
      <c r="AD17" s="33">
        <v>1</v>
      </c>
      <c r="AE17" s="32">
        <v>-274.673</v>
      </c>
      <c r="AF17" s="33">
        <v>1</v>
      </c>
      <c r="AG17" s="32" t="s">
        <v>141</v>
      </c>
      <c r="AH17" s="33"/>
      <c r="AI17" s="32">
        <v>-207.02099999999999</v>
      </c>
      <c r="AJ17" s="33">
        <v>1</v>
      </c>
      <c r="AK17" s="32">
        <v>-172.36199999999999</v>
      </c>
      <c r="AL17" s="33">
        <v>1</v>
      </c>
      <c r="AM17" s="32">
        <v>-274.209</v>
      </c>
      <c r="AN17" s="33">
        <v>1</v>
      </c>
      <c r="AO17" s="32">
        <v>150.74100000000001</v>
      </c>
      <c r="AP17" s="33">
        <v>1</v>
      </c>
      <c r="AQ17" s="32">
        <v>-137.68700000000001</v>
      </c>
      <c r="AR17" s="33">
        <v>1</v>
      </c>
      <c r="AS17" s="32">
        <v>-63.587000000000003</v>
      </c>
      <c r="AT17" s="33">
        <v>1</v>
      </c>
      <c r="AU17" s="32">
        <v>-11.167</v>
      </c>
      <c r="AV17" s="33">
        <v>1</v>
      </c>
      <c r="AW17" s="32">
        <v>-108.663</v>
      </c>
      <c r="AX17" s="33">
        <v>1</v>
      </c>
      <c r="AY17" s="32">
        <v>-193.958</v>
      </c>
      <c r="AZ17" s="33">
        <v>1</v>
      </c>
    </row>
    <row r="18" spans="1:52" x14ac:dyDescent="0.25">
      <c r="A18" s="6" t="s">
        <v>1620</v>
      </c>
      <c r="B18" s="6"/>
      <c r="C18" s="36">
        <v>0.36099999999999999</v>
      </c>
      <c r="D18" s="37">
        <v>1</v>
      </c>
      <c r="E18" s="36">
        <v>0.69499999999999995</v>
      </c>
      <c r="F18" s="37">
        <v>1</v>
      </c>
      <c r="G18" s="36">
        <v>0.96</v>
      </c>
      <c r="H18" s="37">
        <v>1</v>
      </c>
      <c r="I18" s="36">
        <v>-0.39400000000000002</v>
      </c>
      <c r="J18" s="37"/>
      <c r="K18" s="36">
        <v>-0.39800000000000002</v>
      </c>
      <c r="L18" s="37"/>
      <c r="M18" s="36">
        <v>0.57499999999999996</v>
      </c>
      <c r="N18" s="37">
        <v>1</v>
      </c>
      <c r="O18" s="36">
        <v>1.3260000000000001</v>
      </c>
      <c r="P18" s="37">
        <v>1</v>
      </c>
      <c r="Q18" s="36">
        <v>0.83899999999999997</v>
      </c>
      <c r="R18" s="37">
        <v>1</v>
      </c>
      <c r="S18" s="36">
        <v>-5.8999999999999997E-2</v>
      </c>
      <c r="T18" s="37"/>
      <c r="U18" s="36">
        <v>1.016</v>
      </c>
      <c r="V18" s="37">
        <v>1</v>
      </c>
      <c r="W18" s="36">
        <v>1.228</v>
      </c>
      <c r="X18" s="37">
        <v>1</v>
      </c>
      <c r="Y18" s="36">
        <v>0.27800000000000002</v>
      </c>
      <c r="Z18" s="37">
        <v>1</v>
      </c>
      <c r="AA18" s="36">
        <v>-1.8420000000000001</v>
      </c>
      <c r="AB18" s="37"/>
      <c r="AC18" s="36">
        <v>0.98499999999999999</v>
      </c>
      <c r="AD18" s="37">
        <v>1</v>
      </c>
      <c r="AE18" s="36">
        <v>2.7290000000000001</v>
      </c>
      <c r="AF18" s="37">
        <v>1</v>
      </c>
      <c r="AG18" s="36" t="s">
        <v>141</v>
      </c>
      <c r="AH18" s="37"/>
      <c r="AI18" s="36">
        <v>0.47199999999999998</v>
      </c>
      <c r="AJ18" s="37">
        <v>1</v>
      </c>
      <c r="AK18" s="36">
        <v>1.7390000000000001</v>
      </c>
      <c r="AL18" s="37">
        <v>1</v>
      </c>
      <c r="AM18" s="36">
        <v>1.8149999999999999</v>
      </c>
      <c r="AN18" s="37">
        <v>1</v>
      </c>
      <c r="AO18" s="36">
        <v>2.988</v>
      </c>
      <c r="AP18" s="37">
        <v>1</v>
      </c>
      <c r="AQ18" s="36">
        <v>0.183</v>
      </c>
      <c r="AR18" s="37">
        <v>1</v>
      </c>
      <c r="AS18" s="36">
        <v>2.3479999999999999</v>
      </c>
      <c r="AT18" s="37">
        <v>1</v>
      </c>
      <c r="AU18" s="36">
        <v>5.7220000000000004</v>
      </c>
      <c r="AV18" s="37">
        <v>1</v>
      </c>
      <c r="AW18" s="36">
        <v>2.907</v>
      </c>
      <c r="AX18" s="37">
        <v>1</v>
      </c>
      <c r="AY18" s="36">
        <v>-110.19499999999999</v>
      </c>
      <c r="AZ18" s="37"/>
    </row>
    <row r="19" spans="1:52" x14ac:dyDescent="0.25">
      <c r="A19" s="10" t="s">
        <v>1619</v>
      </c>
      <c r="B19" s="10"/>
      <c r="C19" s="32">
        <v>0.36099999999999999</v>
      </c>
      <c r="D19" s="33">
        <v>1</v>
      </c>
      <c r="E19" s="32">
        <v>0.69499999999999995</v>
      </c>
      <c r="F19" s="33">
        <v>1</v>
      </c>
      <c r="G19" s="32">
        <v>0.96</v>
      </c>
      <c r="H19" s="33">
        <v>1</v>
      </c>
      <c r="I19" s="32">
        <v>-0.39400000000000002</v>
      </c>
      <c r="J19" s="33">
        <v>1</v>
      </c>
      <c r="K19" s="32">
        <v>-0.39800000000000002</v>
      </c>
      <c r="L19" s="33">
        <v>1</v>
      </c>
      <c r="M19" s="32">
        <v>0.57499999999999996</v>
      </c>
      <c r="N19" s="33">
        <v>1</v>
      </c>
      <c r="O19" s="32">
        <v>1.3260000000000001</v>
      </c>
      <c r="P19" s="33">
        <v>1</v>
      </c>
      <c r="Q19" s="32">
        <v>0.83899999999999997</v>
      </c>
      <c r="R19" s="33">
        <v>1</v>
      </c>
      <c r="S19" s="32">
        <v>-5.8999999999999997E-2</v>
      </c>
      <c r="T19" s="33">
        <v>1</v>
      </c>
      <c r="U19" s="32">
        <v>1.016</v>
      </c>
      <c r="V19" s="33">
        <v>1</v>
      </c>
      <c r="W19" s="32">
        <v>1.228</v>
      </c>
      <c r="X19" s="33">
        <v>1</v>
      </c>
      <c r="Y19" s="32">
        <v>0.27800000000000002</v>
      </c>
      <c r="Z19" s="33">
        <v>1</v>
      </c>
      <c r="AA19" s="32">
        <v>-1.8420000000000001</v>
      </c>
      <c r="AB19" s="33">
        <v>1</v>
      </c>
      <c r="AC19" s="32">
        <v>0.98499999999999999</v>
      </c>
      <c r="AD19" s="33">
        <v>1</v>
      </c>
      <c r="AE19" s="32">
        <v>2.7290000000000001</v>
      </c>
      <c r="AF19" s="33">
        <v>1</v>
      </c>
      <c r="AG19" s="32" t="s">
        <v>141</v>
      </c>
      <c r="AH19" s="33"/>
      <c r="AI19" s="32">
        <v>0.47199999999999998</v>
      </c>
      <c r="AJ19" s="33">
        <v>1</v>
      </c>
      <c r="AK19" s="32">
        <v>1.7390000000000001</v>
      </c>
      <c r="AL19" s="33">
        <v>1</v>
      </c>
      <c r="AM19" s="32">
        <v>1.8149999999999999</v>
      </c>
      <c r="AN19" s="33">
        <v>1</v>
      </c>
      <c r="AO19" s="32">
        <v>2.988</v>
      </c>
      <c r="AP19" s="33">
        <v>1</v>
      </c>
      <c r="AQ19" s="32">
        <v>0.183</v>
      </c>
      <c r="AR19" s="33">
        <v>1</v>
      </c>
      <c r="AS19" s="32">
        <v>2.3479999999999999</v>
      </c>
      <c r="AT19" s="33">
        <v>1</v>
      </c>
      <c r="AU19" s="32">
        <v>5.7220000000000004</v>
      </c>
      <c r="AV19" s="33">
        <v>1</v>
      </c>
      <c r="AW19" s="32">
        <v>2.907</v>
      </c>
      <c r="AX19" s="33">
        <v>1</v>
      </c>
      <c r="AY19" s="32">
        <v>-110.19499999999999</v>
      </c>
      <c r="AZ19" s="33">
        <v>1</v>
      </c>
    </row>
    <row r="20" spans="1:52" x14ac:dyDescent="0.25">
      <c r="A20" s="6" t="s">
        <v>159</v>
      </c>
      <c r="B20" s="6"/>
      <c r="C20" s="36">
        <v>-211.441</v>
      </c>
      <c r="D20" s="37"/>
      <c r="E20" s="36">
        <v>-181.91499999999999</v>
      </c>
      <c r="F20" s="37"/>
      <c r="G20" s="36">
        <v>-219.48099999999999</v>
      </c>
      <c r="H20" s="37"/>
      <c r="I20" s="36">
        <v>-208.535</v>
      </c>
      <c r="J20" s="37"/>
      <c r="K20" s="36">
        <v>-276.185</v>
      </c>
      <c r="L20" s="37"/>
      <c r="M20" s="36">
        <v>-182.221</v>
      </c>
      <c r="N20" s="37"/>
      <c r="O20" s="36">
        <v>-179.22900000000001</v>
      </c>
      <c r="P20" s="37"/>
      <c r="Q20" s="36">
        <v>-253.291</v>
      </c>
      <c r="R20" s="37"/>
      <c r="S20" s="36">
        <v>-243.54</v>
      </c>
      <c r="T20" s="37"/>
      <c r="U20" s="36">
        <v>-200.291</v>
      </c>
      <c r="V20" s="37"/>
      <c r="W20" s="36">
        <v>-189.559</v>
      </c>
      <c r="X20" s="37"/>
      <c r="Y20" s="36">
        <v>-204.51400000000001</v>
      </c>
      <c r="Z20" s="37"/>
      <c r="AA20" s="36">
        <v>-258.45999999999998</v>
      </c>
      <c r="AB20" s="37"/>
      <c r="AC20" s="36">
        <v>-240.34100000000001</v>
      </c>
      <c r="AD20" s="37"/>
      <c r="AE20" s="36">
        <v>-277.40199999999999</v>
      </c>
      <c r="AF20" s="37"/>
      <c r="AG20" s="36" t="s">
        <v>141</v>
      </c>
      <c r="AH20" s="37"/>
      <c r="AI20" s="36">
        <v>-207.49299999999999</v>
      </c>
      <c r="AJ20" s="37"/>
      <c r="AK20" s="36">
        <v>-174.101</v>
      </c>
      <c r="AL20" s="37"/>
      <c r="AM20" s="36">
        <v>-276.024</v>
      </c>
      <c r="AN20" s="37"/>
      <c r="AO20" s="36">
        <v>147.75299999999999</v>
      </c>
      <c r="AP20" s="37">
        <v>1</v>
      </c>
      <c r="AQ20" s="36">
        <v>-137.87</v>
      </c>
      <c r="AR20" s="37"/>
      <c r="AS20" s="36">
        <v>-65.935000000000002</v>
      </c>
      <c r="AT20" s="37"/>
      <c r="AU20" s="36">
        <v>-16.888999999999999</v>
      </c>
      <c r="AV20" s="37"/>
      <c r="AW20" s="36">
        <v>-111.57</v>
      </c>
      <c r="AX20" s="37"/>
      <c r="AY20" s="36">
        <v>-83.763000000000005</v>
      </c>
      <c r="AZ20" s="37"/>
    </row>
    <row r="21" spans="1:52" x14ac:dyDescent="0.25">
      <c r="A21" s="10" t="s">
        <v>1619</v>
      </c>
      <c r="B21" s="10"/>
      <c r="C21" s="32">
        <v>-211.441</v>
      </c>
      <c r="D21" s="33">
        <v>1</v>
      </c>
      <c r="E21" s="32">
        <v>-181.91499999999999</v>
      </c>
      <c r="F21" s="33">
        <v>1</v>
      </c>
      <c r="G21" s="32">
        <v>-219.48099999999999</v>
      </c>
      <c r="H21" s="33">
        <v>1</v>
      </c>
      <c r="I21" s="32">
        <v>-208.535</v>
      </c>
      <c r="J21" s="33">
        <v>1</v>
      </c>
      <c r="K21" s="32">
        <v>-276.185</v>
      </c>
      <c r="L21" s="33">
        <v>1</v>
      </c>
      <c r="M21" s="32">
        <v>-182.221</v>
      </c>
      <c r="N21" s="33">
        <v>1</v>
      </c>
      <c r="O21" s="32">
        <v>-179.22900000000001</v>
      </c>
      <c r="P21" s="33">
        <v>1</v>
      </c>
      <c r="Q21" s="32">
        <v>-253.291</v>
      </c>
      <c r="R21" s="33">
        <v>1</v>
      </c>
      <c r="S21" s="32">
        <v>-243.54</v>
      </c>
      <c r="T21" s="33">
        <v>1</v>
      </c>
      <c r="U21" s="32">
        <v>-200.291</v>
      </c>
      <c r="V21" s="33">
        <v>1</v>
      </c>
      <c r="W21" s="32">
        <v>-189.559</v>
      </c>
      <c r="X21" s="33">
        <v>1</v>
      </c>
      <c r="Y21" s="32">
        <v>-204.51400000000001</v>
      </c>
      <c r="Z21" s="33">
        <v>1</v>
      </c>
      <c r="AA21" s="32">
        <v>-258.45999999999998</v>
      </c>
      <c r="AB21" s="33">
        <v>1</v>
      </c>
      <c r="AC21" s="32">
        <v>-240.34100000000001</v>
      </c>
      <c r="AD21" s="33">
        <v>1</v>
      </c>
      <c r="AE21" s="32">
        <v>-277.40199999999999</v>
      </c>
      <c r="AF21" s="33">
        <v>1</v>
      </c>
      <c r="AG21" s="32" t="s">
        <v>141</v>
      </c>
      <c r="AH21" s="33"/>
      <c r="AI21" s="32">
        <v>-207.49299999999999</v>
      </c>
      <c r="AJ21" s="33">
        <v>1</v>
      </c>
      <c r="AK21" s="32">
        <v>-174.101</v>
      </c>
      <c r="AL21" s="33">
        <v>1</v>
      </c>
      <c r="AM21" s="32">
        <v>-276.024</v>
      </c>
      <c r="AN21" s="33">
        <v>1</v>
      </c>
      <c r="AO21" s="32">
        <v>147.75299999999999</v>
      </c>
      <c r="AP21" s="33">
        <v>1</v>
      </c>
      <c r="AQ21" s="32">
        <v>-137.87</v>
      </c>
      <c r="AR21" s="33">
        <v>1</v>
      </c>
      <c r="AS21" s="32">
        <v>-65.935000000000002</v>
      </c>
      <c r="AT21" s="33">
        <v>1</v>
      </c>
      <c r="AU21" s="32">
        <v>-16.888999999999999</v>
      </c>
      <c r="AV21" s="33">
        <v>1</v>
      </c>
      <c r="AW21" s="32">
        <v>-111.57</v>
      </c>
      <c r="AX21" s="33">
        <v>1</v>
      </c>
      <c r="AY21" s="32">
        <v>-83.763000000000005</v>
      </c>
      <c r="AZ21" s="33">
        <v>1</v>
      </c>
    </row>
    <row r="22" spans="1:52" x14ac:dyDescent="0.25">
      <c r="A22" s="6" t="s">
        <v>1621</v>
      </c>
      <c r="B22" s="6"/>
      <c r="C22" s="36">
        <v>320.65800000000002</v>
      </c>
      <c r="D22" s="37">
        <v>1</v>
      </c>
      <c r="E22" s="36">
        <v>568.12400000000002</v>
      </c>
      <c r="F22" s="37">
        <v>1</v>
      </c>
      <c r="G22" s="36">
        <v>598.12599999999998</v>
      </c>
      <c r="H22" s="37">
        <v>1</v>
      </c>
      <c r="I22" s="36">
        <v>619.9</v>
      </c>
      <c r="J22" s="37">
        <v>1</v>
      </c>
      <c r="K22" s="36">
        <v>646.37599999999998</v>
      </c>
      <c r="L22" s="37">
        <v>1</v>
      </c>
      <c r="M22" s="36">
        <v>651.09400000000005</v>
      </c>
      <c r="N22" s="37">
        <v>1</v>
      </c>
      <c r="O22" s="36">
        <v>668.8</v>
      </c>
      <c r="P22" s="37">
        <v>1</v>
      </c>
      <c r="Q22" s="36">
        <v>689.92399999999998</v>
      </c>
      <c r="R22" s="37">
        <v>1</v>
      </c>
      <c r="S22" s="36">
        <v>706.51400000000001</v>
      </c>
      <c r="T22" s="37">
        <v>1</v>
      </c>
      <c r="U22" s="36">
        <v>701.78499999999997</v>
      </c>
      <c r="V22" s="37">
        <v>1</v>
      </c>
      <c r="W22" s="36">
        <v>708.78899999999999</v>
      </c>
      <c r="X22" s="37">
        <v>1</v>
      </c>
      <c r="Y22" s="36">
        <v>720.79399999999998</v>
      </c>
      <c r="Z22" s="37">
        <v>1</v>
      </c>
      <c r="AA22" s="36">
        <v>733.63300000000004</v>
      </c>
      <c r="AB22" s="37">
        <v>1</v>
      </c>
      <c r="AC22" s="36">
        <v>733.15800000000002</v>
      </c>
      <c r="AD22" s="37">
        <v>1</v>
      </c>
      <c r="AE22" s="36">
        <v>732.12199999999996</v>
      </c>
      <c r="AF22" s="37">
        <v>1</v>
      </c>
      <c r="AG22" s="36" t="s">
        <v>141</v>
      </c>
      <c r="AH22" s="37"/>
      <c r="AI22" s="36">
        <v>738.63</v>
      </c>
      <c r="AJ22" s="37">
        <v>1</v>
      </c>
      <c r="AK22" s="36">
        <v>738.08100000000002</v>
      </c>
      <c r="AL22" s="37">
        <v>1</v>
      </c>
      <c r="AM22" s="36">
        <v>736.27499999999998</v>
      </c>
      <c r="AN22" s="37">
        <v>1</v>
      </c>
      <c r="AO22" s="36">
        <v>729.07600000000002</v>
      </c>
      <c r="AP22" s="37">
        <v>1</v>
      </c>
      <c r="AQ22" s="36">
        <v>725.78899999999999</v>
      </c>
      <c r="AR22" s="37">
        <v>1</v>
      </c>
      <c r="AS22" s="36">
        <v>718.928</v>
      </c>
      <c r="AT22" s="37">
        <v>1</v>
      </c>
      <c r="AU22" s="36">
        <v>715.46199999999999</v>
      </c>
      <c r="AV22" s="37">
        <v>1</v>
      </c>
      <c r="AW22" s="36">
        <v>703.40499999999997</v>
      </c>
      <c r="AX22" s="37">
        <v>1</v>
      </c>
      <c r="AY22" s="36">
        <v>693.93200000000002</v>
      </c>
      <c r="AZ22" s="37">
        <v>1</v>
      </c>
    </row>
    <row r="23" spans="1:52" x14ac:dyDescent="0.25">
      <c r="A23" s="10" t="s">
        <v>1619</v>
      </c>
      <c r="B23" s="10"/>
      <c r="C23" s="32">
        <v>320.65800000000002</v>
      </c>
      <c r="D23" s="33">
        <v>1</v>
      </c>
      <c r="E23" s="32">
        <v>568.12400000000002</v>
      </c>
      <c r="F23" s="33">
        <v>1</v>
      </c>
      <c r="G23" s="32">
        <v>598.12599999999998</v>
      </c>
      <c r="H23" s="33">
        <v>1</v>
      </c>
      <c r="I23" s="32">
        <v>619.9</v>
      </c>
      <c r="J23" s="33">
        <v>1</v>
      </c>
      <c r="K23" s="32">
        <v>646.37599999999998</v>
      </c>
      <c r="L23" s="33">
        <v>1</v>
      </c>
      <c r="M23" s="32">
        <v>651.09400000000005</v>
      </c>
      <c r="N23" s="33">
        <v>1</v>
      </c>
      <c r="O23" s="32">
        <v>668.8</v>
      </c>
      <c r="P23" s="33">
        <v>1</v>
      </c>
      <c r="Q23" s="32">
        <v>689.92399999999998</v>
      </c>
      <c r="R23" s="33">
        <v>1</v>
      </c>
      <c r="S23" s="32">
        <v>706.51400000000001</v>
      </c>
      <c r="T23" s="33">
        <v>1</v>
      </c>
      <c r="U23" s="32">
        <v>701.78499999999997</v>
      </c>
      <c r="V23" s="33">
        <v>1</v>
      </c>
      <c r="W23" s="32">
        <v>708.78899999999999</v>
      </c>
      <c r="X23" s="33">
        <v>1</v>
      </c>
      <c r="Y23" s="32">
        <v>720.79399999999998</v>
      </c>
      <c r="Z23" s="33">
        <v>1</v>
      </c>
      <c r="AA23" s="32">
        <v>733.63300000000004</v>
      </c>
      <c r="AB23" s="33">
        <v>1</v>
      </c>
      <c r="AC23" s="32">
        <v>733.15800000000002</v>
      </c>
      <c r="AD23" s="33">
        <v>1</v>
      </c>
      <c r="AE23" s="32">
        <v>732.12199999999996</v>
      </c>
      <c r="AF23" s="33">
        <v>1</v>
      </c>
      <c r="AG23" s="32" t="s">
        <v>141</v>
      </c>
      <c r="AH23" s="33"/>
      <c r="AI23" s="32">
        <v>738.63</v>
      </c>
      <c r="AJ23" s="33">
        <v>1</v>
      </c>
      <c r="AK23" s="32">
        <v>738.08100000000002</v>
      </c>
      <c r="AL23" s="33">
        <v>1</v>
      </c>
      <c r="AM23" s="32">
        <v>736.27499999999998</v>
      </c>
      <c r="AN23" s="33">
        <v>1</v>
      </c>
      <c r="AO23" s="32">
        <v>729.07600000000002</v>
      </c>
      <c r="AP23" s="33">
        <v>1</v>
      </c>
      <c r="AQ23" s="32">
        <v>725.78899999999999</v>
      </c>
      <c r="AR23" s="33">
        <v>1</v>
      </c>
      <c r="AS23" s="32">
        <v>718.928</v>
      </c>
      <c r="AT23" s="33">
        <v>1</v>
      </c>
      <c r="AU23" s="32">
        <v>715.46199999999999</v>
      </c>
      <c r="AV23" s="33">
        <v>1</v>
      </c>
      <c r="AW23" s="32">
        <v>703.40499999999997</v>
      </c>
      <c r="AX23" s="33">
        <v>1</v>
      </c>
      <c r="AY23" s="32">
        <v>693.93200000000002</v>
      </c>
      <c r="AZ23" s="33">
        <v>1</v>
      </c>
    </row>
    <row r="24" spans="1:52" x14ac:dyDescent="0.25">
      <c r="A24" s="6" t="s">
        <v>1622</v>
      </c>
      <c r="B24" s="6"/>
      <c r="C24" s="36">
        <v>0</v>
      </c>
      <c r="D24" s="37"/>
      <c r="E24" s="36" t="s">
        <v>141</v>
      </c>
      <c r="F24" s="37"/>
      <c r="G24" s="36" t="s">
        <v>141</v>
      </c>
      <c r="H24" s="37"/>
      <c r="I24" s="36" t="s">
        <v>141</v>
      </c>
      <c r="J24" s="37"/>
      <c r="K24" s="36">
        <v>0</v>
      </c>
      <c r="L24" s="37"/>
      <c r="M24" s="36" t="s">
        <v>141</v>
      </c>
      <c r="N24" s="37"/>
      <c r="O24" s="36" t="s">
        <v>141</v>
      </c>
      <c r="P24" s="37"/>
      <c r="Q24" s="36" t="s">
        <v>141</v>
      </c>
      <c r="R24" s="37"/>
      <c r="S24" s="36">
        <v>0</v>
      </c>
      <c r="T24" s="37"/>
      <c r="U24" s="36" t="s">
        <v>141</v>
      </c>
      <c r="V24" s="37"/>
      <c r="W24" s="36" t="s">
        <v>141</v>
      </c>
      <c r="X24" s="37"/>
      <c r="Y24" s="36" t="s">
        <v>141</v>
      </c>
      <c r="Z24" s="37"/>
      <c r="AA24" s="36">
        <v>0</v>
      </c>
      <c r="AB24" s="37"/>
      <c r="AC24" s="36" t="s">
        <v>141</v>
      </c>
      <c r="AD24" s="37"/>
      <c r="AE24" s="36" t="s">
        <v>141</v>
      </c>
      <c r="AF24" s="37"/>
      <c r="AG24" s="36" t="s">
        <v>141</v>
      </c>
      <c r="AH24" s="37"/>
      <c r="AI24" s="36">
        <v>0</v>
      </c>
      <c r="AJ24" s="37"/>
      <c r="AK24" s="36" t="s">
        <v>141</v>
      </c>
      <c r="AL24" s="37"/>
      <c r="AM24" s="36" t="s">
        <v>141</v>
      </c>
      <c r="AN24" s="37"/>
      <c r="AO24" s="36" t="s">
        <v>141</v>
      </c>
      <c r="AP24" s="37"/>
      <c r="AQ24" s="36">
        <v>0</v>
      </c>
      <c r="AR24" s="37"/>
      <c r="AS24" s="36" t="s">
        <v>141</v>
      </c>
      <c r="AT24" s="37"/>
      <c r="AU24" s="36" t="s">
        <v>141</v>
      </c>
      <c r="AV24" s="37"/>
      <c r="AW24" s="36" t="s">
        <v>141</v>
      </c>
      <c r="AX24" s="37"/>
      <c r="AY24" s="36">
        <v>0</v>
      </c>
      <c r="AZ24" s="37"/>
    </row>
    <row r="25" spans="1:52" x14ac:dyDescent="0.25">
      <c r="A25" s="10" t="s">
        <v>1619</v>
      </c>
      <c r="B25" s="10"/>
      <c r="C25" s="32">
        <v>0</v>
      </c>
      <c r="D25" s="33"/>
      <c r="E25" s="32" t="s">
        <v>141</v>
      </c>
      <c r="F25" s="33"/>
      <c r="G25" s="32" t="s">
        <v>141</v>
      </c>
      <c r="H25" s="33"/>
      <c r="I25" s="32" t="s">
        <v>141</v>
      </c>
      <c r="J25" s="33"/>
      <c r="K25" s="32">
        <v>0</v>
      </c>
      <c r="L25" s="33"/>
      <c r="M25" s="32" t="s">
        <v>141</v>
      </c>
      <c r="N25" s="33"/>
      <c r="O25" s="32" t="s">
        <v>141</v>
      </c>
      <c r="P25" s="33"/>
      <c r="Q25" s="32" t="s">
        <v>141</v>
      </c>
      <c r="R25" s="33"/>
      <c r="S25" s="32">
        <v>0</v>
      </c>
      <c r="T25" s="33"/>
      <c r="U25" s="32" t="s">
        <v>141</v>
      </c>
      <c r="V25" s="33"/>
      <c r="W25" s="32" t="s">
        <v>141</v>
      </c>
      <c r="X25" s="33"/>
      <c r="Y25" s="32" t="s">
        <v>141</v>
      </c>
      <c r="Z25" s="33"/>
      <c r="AA25" s="32">
        <v>0</v>
      </c>
      <c r="AB25" s="33"/>
      <c r="AC25" s="32" t="s">
        <v>141</v>
      </c>
      <c r="AD25" s="33"/>
      <c r="AE25" s="32" t="s">
        <v>141</v>
      </c>
      <c r="AF25" s="33"/>
      <c r="AG25" s="32" t="s">
        <v>141</v>
      </c>
      <c r="AH25" s="33"/>
      <c r="AI25" s="32">
        <v>0</v>
      </c>
      <c r="AJ25" s="33"/>
      <c r="AK25" s="32" t="s">
        <v>141</v>
      </c>
      <c r="AL25" s="33"/>
      <c r="AM25" s="32" t="s">
        <v>141</v>
      </c>
      <c r="AN25" s="33"/>
      <c r="AO25" s="32" t="s">
        <v>141</v>
      </c>
      <c r="AP25" s="33"/>
      <c r="AQ25" s="32">
        <v>0</v>
      </c>
      <c r="AR25" s="33"/>
      <c r="AS25" s="32" t="s">
        <v>141</v>
      </c>
      <c r="AT25" s="33"/>
      <c r="AU25" s="32" t="s">
        <v>141</v>
      </c>
      <c r="AV25" s="33"/>
      <c r="AW25" s="32" t="s">
        <v>141</v>
      </c>
      <c r="AX25" s="33"/>
      <c r="AY25" s="32">
        <v>0</v>
      </c>
      <c r="AZ25" s="33"/>
    </row>
    <row r="26" spans="1:52" x14ac:dyDescent="0.25">
      <c r="A26" s="6" t="s">
        <v>1623</v>
      </c>
      <c r="B26" s="6"/>
      <c r="C26" s="36">
        <v>1574.8019999999999</v>
      </c>
      <c r="D26" s="37">
        <v>1</v>
      </c>
      <c r="E26" s="36">
        <v>2013.999</v>
      </c>
      <c r="F26" s="37">
        <v>1</v>
      </c>
      <c r="G26" s="36">
        <v>2716.4110000000001</v>
      </c>
      <c r="H26" s="37">
        <v>1</v>
      </c>
      <c r="I26" s="36">
        <v>2541.6219999999998</v>
      </c>
      <c r="J26" s="37">
        <v>1</v>
      </c>
      <c r="K26" s="36">
        <v>2395.134</v>
      </c>
      <c r="L26" s="37">
        <v>1</v>
      </c>
      <c r="M26" s="36">
        <v>2279.6239999999998</v>
      </c>
      <c r="N26" s="37">
        <v>1</v>
      </c>
      <c r="O26" s="36">
        <v>3374.3670000000002</v>
      </c>
      <c r="P26" s="37">
        <v>1</v>
      </c>
      <c r="Q26" s="36">
        <v>3307.2829999999999</v>
      </c>
      <c r="R26" s="37">
        <v>1</v>
      </c>
      <c r="S26" s="36">
        <v>3407.0610000000001</v>
      </c>
      <c r="T26" s="37">
        <v>1</v>
      </c>
      <c r="U26" s="36">
        <v>3255.2689999999998</v>
      </c>
      <c r="V26" s="37">
        <v>1</v>
      </c>
      <c r="W26" s="36">
        <v>3509.4290000000001</v>
      </c>
      <c r="X26" s="37">
        <v>1</v>
      </c>
      <c r="Y26" s="36">
        <v>3472.3130000000001</v>
      </c>
      <c r="Z26" s="37">
        <v>1</v>
      </c>
      <c r="AA26" s="36">
        <v>3643.3040000000001</v>
      </c>
      <c r="AB26" s="37">
        <v>1</v>
      </c>
      <c r="AC26" s="36">
        <v>3433.5450000000001</v>
      </c>
      <c r="AD26" s="37">
        <v>1</v>
      </c>
      <c r="AE26" s="36">
        <v>3330.4169999999999</v>
      </c>
      <c r="AF26" s="37">
        <v>1</v>
      </c>
      <c r="AG26" s="36" t="s">
        <v>141</v>
      </c>
      <c r="AH26" s="37"/>
      <c r="AI26" s="36">
        <v>3546.3589999999999</v>
      </c>
      <c r="AJ26" s="37">
        <v>1</v>
      </c>
      <c r="AK26" s="36">
        <v>3391.94</v>
      </c>
      <c r="AL26" s="37">
        <v>1</v>
      </c>
      <c r="AM26" s="36">
        <v>3402.3960000000002</v>
      </c>
      <c r="AN26" s="37">
        <v>1</v>
      </c>
      <c r="AO26" s="36">
        <v>3839.0729999999999</v>
      </c>
      <c r="AP26" s="37">
        <v>1</v>
      </c>
      <c r="AQ26" s="36">
        <v>3829.88</v>
      </c>
      <c r="AR26" s="37">
        <v>1</v>
      </c>
      <c r="AS26" s="36">
        <v>3824.386</v>
      </c>
      <c r="AT26" s="37">
        <v>1</v>
      </c>
      <c r="AU26" s="36">
        <v>4009.634</v>
      </c>
      <c r="AV26" s="37">
        <v>1</v>
      </c>
      <c r="AW26" s="36">
        <v>4205.0389999999998</v>
      </c>
      <c r="AX26" s="37">
        <v>1</v>
      </c>
      <c r="AY26" s="36">
        <v>4239.9830000000002</v>
      </c>
      <c r="AZ26" s="37">
        <v>1</v>
      </c>
    </row>
    <row r="27" spans="1:52" x14ac:dyDescent="0.25">
      <c r="A27" s="10" t="s">
        <v>1619</v>
      </c>
      <c r="B27" s="10"/>
      <c r="C27" s="32">
        <v>1574.8019999999999</v>
      </c>
      <c r="D27" s="33">
        <v>1</v>
      </c>
      <c r="E27" s="32">
        <v>2013.999</v>
      </c>
      <c r="F27" s="33">
        <v>1</v>
      </c>
      <c r="G27" s="32">
        <v>2716.4110000000001</v>
      </c>
      <c r="H27" s="33">
        <v>1</v>
      </c>
      <c r="I27" s="32">
        <v>2541.6219999999998</v>
      </c>
      <c r="J27" s="33">
        <v>1</v>
      </c>
      <c r="K27" s="32">
        <v>2395.134</v>
      </c>
      <c r="L27" s="33">
        <v>1</v>
      </c>
      <c r="M27" s="32">
        <v>2279.6239999999998</v>
      </c>
      <c r="N27" s="33">
        <v>1</v>
      </c>
      <c r="O27" s="32">
        <v>3374.3670000000002</v>
      </c>
      <c r="P27" s="33">
        <v>1</v>
      </c>
      <c r="Q27" s="32">
        <v>3307.2829999999999</v>
      </c>
      <c r="R27" s="33">
        <v>1</v>
      </c>
      <c r="S27" s="32">
        <v>3407.0610000000001</v>
      </c>
      <c r="T27" s="33">
        <v>1</v>
      </c>
      <c r="U27" s="32">
        <v>3255.2689999999998</v>
      </c>
      <c r="V27" s="33">
        <v>1</v>
      </c>
      <c r="W27" s="32">
        <v>3509.4290000000001</v>
      </c>
      <c r="X27" s="33">
        <v>1</v>
      </c>
      <c r="Y27" s="32">
        <v>3472.3130000000001</v>
      </c>
      <c r="Z27" s="33">
        <v>1</v>
      </c>
      <c r="AA27" s="32">
        <v>3643.3040000000001</v>
      </c>
      <c r="AB27" s="33">
        <v>1</v>
      </c>
      <c r="AC27" s="32">
        <v>3433.5450000000001</v>
      </c>
      <c r="AD27" s="33">
        <v>1</v>
      </c>
      <c r="AE27" s="32">
        <v>3330.4169999999999</v>
      </c>
      <c r="AF27" s="33">
        <v>1</v>
      </c>
      <c r="AG27" s="32" t="s">
        <v>141</v>
      </c>
      <c r="AH27" s="33"/>
      <c r="AI27" s="32">
        <v>3546.3589999999999</v>
      </c>
      <c r="AJ27" s="33">
        <v>1</v>
      </c>
      <c r="AK27" s="32">
        <v>3391.94</v>
      </c>
      <c r="AL27" s="33">
        <v>1</v>
      </c>
      <c r="AM27" s="32">
        <v>3402.3960000000002</v>
      </c>
      <c r="AN27" s="33">
        <v>1</v>
      </c>
      <c r="AO27" s="32">
        <v>3839.0729999999999</v>
      </c>
      <c r="AP27" s="33">
        <v>1</v>
      </c>
      <c r="AQ27" s="32">
        <v>3829.88</v>
      </c>
      <c r="AR27" s="33">
        <v>1</v>
      </c>
      <c r="AS27" s="32">
        <v>3824.386</v>
      </c>
      <c r="AT27" s="33">
        <v>1</v>
      </c>
      <c r="AU27" s="32">
        <v>4009.634</v>
      </c>
      <c r="AV27" s="33">
        <v>1</v>
      </c>
      <c r="AW27" s="32">
        <v>4205.0389999999998</v>
      </c>
      <c r="AX27" s="33">
        <v>1</v>
      </c>
      <c r="AY27" s="32">
        <v>4239.9830000000002</v>
      </c>
      <c r="AZ27" s="33">
        <v>1</v>
      </c>
    </row>
    <row r="28" spans="1:52" x14ac:dyDescent="0.25">
      <c r="A28" s="6" t="s">
        <v>1624</v>
      </c>
      <c r="B28" s="6"/>
      <c r="C28" s="36">
        <v>272.83699999999999</v>
      </c>
      <c r="D28" s="37">
        <v>1</v>
      </c>
      <c r="E28" s="36">
        <v>467.01299999999998</v>
      </c>
      <c r="F28" s="37">
        <v>1</v>
      </c>
      <c r="G28" s="36">
        <v>959.21600000000001</v>
      </c>
      <c r="H28" s="37">
        <v>1</v>
      </c>
      <c r="I28" s="36">
        <v>934.53499999999997</v>
      </c>
      <c r="J28" s="37">
        <v>1</v>
      </c>
      <c r="K28" s="36">
        <v>956.44200000000001</v>
      </c>
      <c r="L28" s="37">
        <v>1</v>
      </c>
      <c r="M28" s="36">
        <v>929.89499999999998</v>
      </c>
      <c r="N28" s="37">
        <v>1</v>
      </c>
      <c r="O28" s="36">
        <v>1974.6410000000001</v>
      </c>
      <c r="P28" s="37">
        <v>1</v>
      </c>
      <c r="Q28" s="36">
        <v>2092.2600000000002</v>
      </c>
      <c r="R28" s="37">
        <v>1</v>
      </c>
      <c r="S28" s="36">
        <v>2390.8139999999999</v>
      </c>
      <c r="T28" s="37">
        <v>1</v>
      </c>
      <c r="U28" s="36">
        <v>2329.0790000000002</v>
      </c>
      <c r="V28" s="37">
        <v>1</v>
      </c>
      <c r="W28" s="36">
        <v>2656.067</v>
      </c>
      <c r="X28" s="37">
        <v>1</v>
      </c>
      <c r="Y28" s="36">
        <v>2716.42</v>
      </c>
      <c r="Z28" s="37">
        <v>1</v>
      </c>
      <c r="AA28" s="36">
        <v>3055.1010000000001</v>
      </c>
      <c r="AB28" s="37">
        <v>1</v>
      </c>
      <c r="AC28" s="36">
        <v>3032.3789999999999</v>
      </c>
      <c r="AD28" s="37">
        <v>1</v>
      </c>
      <c r="AE28" s="36">
        <v>3154.377</v>
      </c>
      <c r="AF28" s="37">
        <v>1</v>
      </c>
      <c r="AG28" s="36" t="s">
        <v>141</v>
      </c>
      <c r="AH28" s="37"/>
      <c r="AI28" s="36">
        <v>3704.5819999999999</v>
      </c>
      <c r="AJ28" s="37">
        <v>1</v>
      </c>
      <c r="AK28" s="36">
        <v>3651.18</v>
      </c>
      <c r="AL28" s="37">
        <v>1</v>
      </c>
      <c r="AM28" s="36">
        <v>3810.527</v>
      </c>
      <c r="AN28" s="37">
        <v>1</v>
      </c>
      <c r="AO28" s="36">
        <v>4004.9389999999999</v>
      </c>
      <c r="AP28" s="37">
        <v>1</v>
      </c>
      <c r="AQ28" s="36">
        <v>4050.5239999999999</v>
      </c>
      <c r="AR28" s="37">
        <v>1</v>
      </c>
      <c r="AS28" s="36">
        <v>4043.6579999999999</v>
      </c>
      <c r="AT28" s="37">
        <v>1</v>
      </c>
      <c r="AU28" s="36">
        <v>4012.701</v>
      </c>
      <c r="AV28" s="37">
        <v>1</v>
      </c>
      <c r="AW28" s="36">
        <v>4172.6850000000004</v>
      </c>
      <c r="AX28" s="37">
        <v>1</v>
      </c>
      <c r="AY28" s="36">
        <v>4172.8950000000004</v>
      </c>
      <c r="AZ28" s="37">
        <v>1</v>
      </c>
    </row>
    <row r="29" spans="1:52" x14ac:dyDescent="0.25">
      <c r="A29" s="10" t="s">
        <v>1619</v>
      </c>
      <c r="B29" s="10"/>
      <c r="C29" s="32">
        <v>272.83699999999999</v>
      </c>
      <c r="D29" s="33">
        <v>1</v>
      </c>
      <c r="E29" s="32">
        <v>467.01299999999998</v>
      </c>
      <c r="F29" s="33">
        <v>1</v>
      </c>
      <c r="G29" s="32">
        <v>959.21600000000001</v>
      </c>
      <c r="H29" s="33">
        <v>1</v>
      </c>
      <c r="I29" s="32">
        <v>934.53499999999997</v>
      </c>
      <c r="J29" s="33">
        <v>1</v>
      </c>
      <c r="K29" s="32">
        <v>956.44200000000001</v>
      </c>
      <c r="L29" s="33">
        <v>1</v>
      </c>
      <c r="M29" s="32">
        <v>929.89499999999998</v>
      </c>
      <c r="N29" s="33">
        <v>1</v>
      </c>
      <c r="O29" s="32">
        <v>1974.6410000000001</v>
      </c>
      <c r="P29" s="33">
        <v>1</v>
      </c>
      <c r="Q29" s="32">
        <v>2092.2600000000002</v>
      </c>
      <c r="R29" s="33">
        <v>1</v>
      </c>
      <c r="S29" s="32">
        <v>2390.8139999999999</v>
      </c>
      <c r="T29" s="33">
        <v>1</v>
      </c>
      <c r="U29" s="32">
        <v>2329.0790000000002</v>
      </c>
      <c r="V29" s="33">
        <v>1</v>
      </c>
      <c r="W29" s="32">
        <v>2656.067</v>
      </c>
      <c r="X29" s="33">
        <v>1</v>
      </c>
      <c r="Y29" s="32">
        <v>2716.42</v>
      </c>
      <c r="Z29" s="33">
        <v>1</v>
      </c>
      <c r="AA29" s="32">
        <v>3055.1010000000001</v>
      </c>
      <c r="AB29" s="33">
        <v>1</v>
      </c>
      <c r="AC29" s="32">
        <v>3032.3789999999999</v>
      </c>
      <c r="AD29" s="33">
        <v>1</v>
      </c>
      <c r="AE29" s="32">
        <v>3154.377</v>
      </c>
      <c r="AF29" s="33">
        <v>1</v>
      </c>
      <c r="AG29" s="32" t="s">
        <v>141</v>
      </c>
      <c r="AH29" s="33"/>
      <c r="AI29" s="32">
        <v>3704.5819999999999</v>
      </c>
      <c r="AJ29" s="33">
        <v>1</v>
      </c>
      <c r="AK29" s="32">
        <v>3651.18</v>
      </c>
      <c r="AL29" s="33">
        <v>1</v>
      </c>
      <c r="AM29" s="32">
        <v>3810.527</v>
      </c>
      <c r="AN29" s="33">
        <v>1</v>
      </c>
      <c r="AO29" s="32">
        <v>4004.9389999999999</v>
      </c>
      <c r="AP29" s="33">
        <v>1</v>
      </c>
      <c r="AQ29" s="32">
        <v>4050.5239999999999</v>
      </c>
      <c r="AR29" s="33">
        <v>1</v>
      </c>
      <c r="AS29" s="32">
        <v>4043.6579999999999</v>
      </c>
      <c r="AT29" s="33">
        <v>1</v>
      </c>
      <c r="AU29" s="32">
        <v>4012.701</v>
      </c>
      <c r="AV29" s="33">
        <v>1</v>
      </c>
      <c r="AW29" s="32">
        <v>4172.6850000000004</v>
      </c>
      <c r="AX29" s="33">
        <v>1</v>
      </c>
      <c r="AY29" s="32">
        <v>4172.8950000000004</v>
      </c>
      <c r="AZ29" s="33">
        <v>1</v>
      </c>
    </row>
    <row r="30" spans="1:52" x14ac:dyDescent="0.25">
      <c r="A30" s="6" t="s">
        <v>494</v>
      </c>
      <c r="B30" s="6"/>
      <c r="C30" s="36">
        <v>-2.2280000000000002</v>
      </c>
      <c r="D30" s="37"/>
      <c r="E30" s="36">
        <v>12.21</v>
      </c>
      <c r="F30" s="37">
        <v>1</v>
      </c>
      <c r="G30" s="36">
        <v>9.7449999999999992</v>
      </c>
      <c r="H30" s="37">
        <v>1</v>
      </c>
      <c r="I30" s="36">
        <v>17.651</v>
      </c>
      <c r="J30" s="37">
        <v>1</v>
      </c>
      <c r="K30" s="36">
        <v>14.762</v>
      </c>
      <c r="L30" s="37">
        <v>1</v>
      </c>
      <c r="M30" s="36">
        <v>17.006</v>
      </c>
      <c r="N30" s="37">
        <v>1</v>
      </c>
      <c r="O30" s="36">
        <v>17.777999999999999</v>
      </c>
      <c r="P30" s="37">
        <v>1</v>
      </c>
      <c r="Q30" s="36">
        <v>18.771000000000001</v>
      </c>
      <c r="R30" s="37">
        <v>1</v>
      </c>
      <c r="S30" s="36">
        <v>20.88</v>
      </c>
      <c r="T30" s="37">
        <v>1</v>
      </c>
      <c r="U30" s="36">
        <v>22.861999999999998</v>
      </c>
      <c r="V30" s="37">
        <v>1</v>
      </c>
      <c r="W30" s="36">
        <v>22.161000000000001</v>
      </c>
      <c r="X30" s="37">
        <v>1</v>
      </c>
      <c r="Y30" s="36">
        <v>23.22</v>
      </c>
      <c r="Z30" s="37">
        <v>1</v>
      </c>
      <c r="AA30" s="36">
        <v>21.451000000000001</v>
      </c>
      <c r="AB30" s="37">
        <v>1</v>
      </c>
      <c r="AC30" s="36">
        <v>19.777999999999999</v>
      </c>
      <c r="AD30" s="37">
        <v>1</v>
      </c>
      <c r="AE30" s="36">
        <v>20.236999999999998</v>
      </c>
      <c r="AF30" s="37">
        <v>1</v>
      </c>
      <c r="AG30" s="36">
        <v>20.65</v>
      </c>
      <c r="AH30" s="37">
        <v>1</v>
      </c>
      <c r="AI30" s="36">
        <v>24.885000000000002</v>
      </c>
      <c r="AJ30" s="37">
        <v>1</v>
      </c>
      <c r="AK30" s="36">
        <v>26.079000000000001</v>
      </c>
      <c r="AL30" s="37">
        <v>1</v>
      </c>
      <c r="AM30" s="36">
        <v>23.446999999999999</v>
      </c>
      <c r="AN30" s="37">
        <v>1</v>
      </c>
      <c r="AO30" s="36">
        <v>23.532</v>
      </c>
      <c r="AP30" s="37">
        <v>1</v>
      </c>
      <c r="AQ30" s="36">
        <v>23.972999999999999</v>
      </c>
      <c r="AR30" s="37">
        <v>1</v>
      </c>
      <c r="AS30" s="36">
        <v>25.486000000000001</v>
      </c>
      <c r="AT30" s="37">
        <v>1</v>
      </c>
      <c r="AU30" s="36">
        <v>24.692</v>
      </c>
      <c r="AV30" s="37">
        <v>1</v>
      </c>
      <c r="AW30" s="36">
        <v>27.038</v>
      </c>
      <c r="AX30" s="37">
        <v>1</v>
      </c>
      <c r="AY30" s="36">
        <v>14.167999999999999</v>
      </c>
      <c r="AZ30" s="37">
        <v>1</v>
      </c>
    </row>
    <row r="31" spans="1:52" x14ac:dyDescent="0.25">
      <c r="A31" s="10" t="s">
        <v>1619</v>
      </c>
      <c r="B31" s="10"/>
      <c r="C31" s="32">
        <v>-2.2280000000000002</v>
      </c>
      <c r="D31" s="33">
        <v>1</v>
      </c>
      <c r="E31" s="32">
        <v>12.21</v>
      </c>
      <c r="F31" s="33">
        <v>1</v>
      </c>
      <c r="G31" s="32">
        <v>9.7449999999999992</v>
      </c>
      <c r="H31" s="33">
        <v>1</v>
      </c>
      <c r="I31" s="32">
        <v>17.651</v>
      </c>
      <c r="J31" s="33">
        <v>1</v>
      </c>
      <c r="K31" s="32">
        <v>14.762</v>
      </c>
      <c r="L31" s="33">
        <v>1</v>
      </c>
      <c r="M31" s="32">
        <v>17.006</v>
      </c>
      <c r="N31" s="33">
        <v>1</v>
      </c>
      <c r="O31" s="32">
        <v>17.777999999999999</v>
      </c>
      <c r="P31" s="33">
        <v>1</v>
      </c>
      <c r="Q31" s="32">
        <v>18.771000000000001</v>
      </c>
      <c r="R31" s="33">
        <v>1</v>
      </c>
      <c r="S31" s="32">
        <v>20.88</v>
      </c>
      <c r="T31" s="33">
        <v>1</v>
      </c>
      <c r="U31" s="32">
        <v>22.861999999999998</v>
      </c>
      <c r="V31" s="33">
        <v>1</v>
      </c>
      <c r="W31" s="32">
        <v>22.161000000000001</v>
      </c>
      <c r="X31" s="33">
        <v>1</v>
      </c>
      <c r="Y31" s="32">
        <v>23.22</v>
      </c>
      <c r="Z31" s="33">
        <v>1</v>
      </c>
      <c r="AA31" s="32">
        <v>21.451000000000001</v>
      </c>
      <c r="AB31" s="33">
        <v>1</v>
      </c>
      <c r="AC31" s="32">
        <v>19.777999999999999</v>
      </c>
      <c r="AD31" s="33">
        <v>1</v>
      </c>
      <c r="AE31" s="32">
        <v>20.236999999999998</v>
      </c>
      <c r="AF31" s="33">
        <v>1</v>
      </c>
      <c r="AG31" s="32">
        <v>20.65</v>
      </c>
      <c r="AH31" s="33">
        <v>1</v>
      </c>
      <c r="AI31" s="32">
        <v>24.885000000000002</v>
      </c>
      <c r="AJ31" s="33">
        <v>1</v>
      </c>
      <c r="AK31" s="32">
        <v>26.079000000000001</v>
      </c>
      <c r="AL31" s="33">
        <v>1</v>
      </c>
      <c r="AM31" s="32">
        <v>23.446999999999999</v>
      </c>
      <c r="AN31" s="33">
        <v>1</v>
      </c>
      <c r="AO31" s="32">
        <v>23.532</v>
      </c>
      <c r="AP31" s="33">
        <v>1</v>
      </c>
      <c r="AQ31" s="32">
        <v>23.972999999999999</v>
      </c>
      <c r="AR31" s="33">
        <v>1</v>
      </c>
      <c r="AS31" s="32">
        <v>25.486000000000001</v>
      </c>
      <c r="AT31" s="33">
        <v>1</v>
      </c>
      <c r="AU31" s="32">
        <v>24.692</v>
      </c>
      <c r="AV31" s="33">
        <v>1</v>
      </c>
      <c r="AW31" s="32">
        <v>27.038</v>
      </c>
      <c r="AX31" s="33">
        <v>1</v>
      </c>
      <c r="AY31" s="32">
        <v>14.167999999999999</v>
      </c>
      <c r="AZ31" s="33">
        <v>1</v>
      </c>
    </row>
    <row r="32" spans="1:52" x14ac:dyDescent="0.25">
      <c r="A32" s="6" t="s">
        <v>1625</v>
      </c>
      <c r="B32" s="6"/>
      <c r="C32" s="36" t="s">
        <v>141</v>
      </c>
      <c r="D32" s="37"/>
      <c r="E32" s="36" t="s">
        <v>141</v>
      </c>
      <c r="F32" s="37"/>
      <c r="G32" s="36" t="s">
        <v>141</v>
      </c>
      <c r="H32" s="37"/>
      <c r="I32" s="36" t="s">
        <v>141</v>
      </c>
      <c r="J32" s="37"/>
      <c r="K32" s="36" t="s">
        <v>141</v>
      </c>
      <c r="L32" s="37"/>
      <c r="M32" s="36" t="s">
        <v>141</v>
      </c>
      <c r="N32" s="37"/>
      <c r="O32" s="36" t="s">
        <v>141</v>
      </c>
      <c r="P32" s="37"/>
      <c r="Q32" s="36" t="s">
        <v>141</v>
      </c>
      <c r="R32" s="37"/>
      <c r="S32" s="36" t="s">
        <v>141</v>
      </c>
      <c r="T32" s="37"/>
      <c r="U32" s="36" t="s">
        <v>141</v>
      </c>
      <c r="V32" s="37"/>
      <c r="W32" s="36" t="s">
        <v>141</v>
      </c>
      <c r="X32" s="37"/>
      <c r="Y32" s="36" t="s">
        <v>141</v>
      </c>
      <c r="Z32" s="37"/>
      <c r="AA32" s="36" t="s">
        <v>141</v>
      </c>
      <c r="AB32" s="37"/>
      <c r="AC32" s="36" t="s">
        <v>141</v>
      </c>
      <c r="AD32" s="37"/>
      <c r="AE32" s="36" t="s">
        <v>141</v>
      </c>
      <c r="AF32" s="37"/>
      <c r="AG32" s="36" t="s">
        <v>141</v>
      </c>
      <c r="AH32" s="37"/>
      <c r="AI32" s="36" t="s">
        <v>141</v>
      </c>
      <c r="AJ32" s="37"/>
      <c r="AK32" s="36" t="s">
        <v>141</v>
      </c>
      <c r="AL32" s="37"/>
      <c r="AM32" s="36">
        <v>2.911</v>
      </c>
      <c r="AN32" s="37">
        <v>1</v>
      </c>
      <c r="AO32" s="36">
        <v>13.327999999999999</v>
      </c>
      <c r="AP32" s="37">
        <v>1</v>
      </c>
      <c r="AQ32" s="36" t="s">
        <v>141</v>
      </c>
      <c r="AR32" s="37"/>
      <c r="AS32" s="36" t="s">
        <v>141</v>
      </c>
      <c r="AT32" s="37"/>
      <c r="AU32" s="36" t="s">
        <v>141</v>
      </c>
      <c r="AV32" s="37"/>
      <c r="AW32" s="36">
        <v>13.981999999999999</v>
      </c>
      <c r="AX32" s="37">
        <v>1</v>
      </c>
      <c r="AY32" s="36">
        <v>14.167999999999999</v>
      </c>
      <c r="AZ32" s="37">
        <v>1</v>
      </c>
    </row>
    <row r="33" spans="1:52" x14ac:dyDescent="0.25">
      <c r="A33" s="10" t="s">
        <v>1619</v>
      </c>
      <c r="B33" s="10"/>
      <c r="C33" s="32" t="s">
        <v>141</v>
      </c>
      <c r="D33" s="33"/>
      <c r="E33" s="32" t="s">
        <v>141</v>
      </c>
      <c r="F33" s="33"/>
      <c r="G33" s="32" t="s">
        <v>141</v>
      </c>
      <c r="H33" s="33"/>
      <c r="I33" s="32" t="s">
        <v>141</v>
      </c>
      <c r="J33" s="33"/>
      <c r="K33" s="32" t="s">
        <v>141</v>
      </c>
      <c r="L33" s="33"/>
      <c r="M33" s="32" t="s">
        <v>141</v>
      </c>
      <c r="N33" s="33"/>
      <c r="O33" s="32" t="s">
        <v>141</v>
      </c>
      <c r="P33" s="33"/>
      <c r="Q33" s="32" t="s">
        <v>141</v>
      </c>
      <c r="R33" s="33"/>
      <c r="S33" s="32" t="s">
        <v>141</v>
      </c>
      <c r="T33" s="33"/>
      <c r="U33" s="32" t="s">
        <v>141</v>
      </c>
      <c r="V33" s="33"/>
      <c r="W33" s="32" t="s">
        <v>141</v>
      </c>
      <c r="X33" s="33"/>
      <c r="Y33" s="32" t="s">
        <v>141</v>
      </c>
      <c r="Z33" s="33"/>
      <c r="AA33" s="32" t="s">
        <v>141</v>
      </c>
      <c r="AB33" s="33"/>
      <c r="AC33" s="32" t="s">
        <v>141</v>
      </c>
      <c r="AD33" s="33"/>
      <c r="AE33" s="32" t="s">
        <v>141</v>
      </c>
      <c r="AF33" s="33"/>
      <c r="AG33" s="32" t="s">
        <v>141</v>
      </c>
      <c r="AH33" s="33"/>
      <c r="AI33" s="32" t="s">
        <v>141</v>
      </c>
      <c r="AJ33" s="33"/>
      <c r="AK33" s="32" t="s">
        <v>141</v>
      </c>
      <c r="AL33" s="33"/>
      <c r="AM33" s="32">
        <v>2.911</v>
      </c>
      <c r="AN33" s="33">
        <v>1</v>
      </c>
      <c r="AO33" s="32">
        <v>13.327999999999999</v>
      </c>
      <c r="AP33" s="33">
        <v>1</v>
      </c>
      <c r="AQ33" s="32" t="s">
        <v>141</v>
      </c>
      <c r="AR33" s="33"/>
      <c r="AS33" s="32" t="s">
        <v>141</v>
      </c>
      <c r="AT33" s="33"/>
      <c r="AU33" s="32" t="s">
        <v>141</v>
      </c>
      <c r="AV33" s="33"/>
      <c r="AW33" s="32">
        <v>13.981999999999999</v>
      </c>
      <c r="AX33" s="33">
        <v>1</v>
      </c>
      <c r="AY33" s="32">
        <v>14.167999999999999</v>
      </c>
      <c r="AZ33" s="33">
        <v>1</v>
      </c>
    </row>
    <row r="34" spans="1:52" x14ac:dyDescent="0.25">
      <c r="A34" s="6" t="s">
        <v>1626</v>
      </c>
      <c r="B34" s="6"/>
      <c r="C34" s="36">
        <v>131.036</v>
      </c>
      <c r="D34" s="37">
        <v>1</v>
      </c>
      <c r="E34" s="36">
        <v>129.12700000000001</v>
      </c>
      <c r="F34" s="37">
        <v>1</v>
      </c>
      <c r="G34" s="36">
        <v>163.89</v>
      </c>
      <c r="H34" s="37">
        <v>1</v>
      </c>
      <c r="I34" s="36">
        <v>160.79599999999999</v>
      </c>
      <c r="J34" s="37">
        <v>1</v>
      </c>
      <c r="K34" s="36">
        <v>149.69399999999999</v>
      </c>
      <c r="L34" s="37">
        <v>1</v>
      </c>
      <c r="M34" s="36">
        <v>169.571</v>
      </c>
      <c r="N34" s="37">
        <v>1</v>
      </c>
      <c r="O34" s="36">
        <v>154.99600000000001</v>
      </c>
      <c r="P34" s="37">
        <v>1</v>
      </c>
      <c r="Q34" s="36">
        <v>161.78299999999999</v>
      </c>
      <c r="R34" s="37">
        <v>1</v>
      </c>
      <c r="S34" s="36">
        <v>168.46899999999999</v>
      </c>
      <c r="T34" s="37">
        <v>1</v>
      </c>
      <c r="U34" s="36">
        <v>185.899</v>
      </c>
      <c r="V34" s="37">
        <v>1</v>
      </c>
      <c r="W34" s="36">
        <v>182.63499999999999</v>
      </c>
      <c r="X34" s="37">
        <v>1</v>
      </c>
      <c r="Y34" s="36">
        <v>194.572</v>
      </c>
      <c r="Z34" s="37">
        <v>1</v>
      </c>
      <c r="AA34" s="36">
        <v>229.05</v>
      </c>
      <c r="AB34" s="37">
        <v>1</v>
      </c>
      <c r="AC34" s="36">
        <v>169.893</v>
      </c>
      <c r="AD34" s="37">
        <v>1</v>
      </c>
      <c r="AE34" s="36">
        <v>205.71199999999999</v>
      </c>
      <c r="AF34" s="37">
        <v>1</v>
      </c>
      <c r="AG34" s="36" t="s">
        <v>141</v>
      </c>
      <c r="AH34" s="37"/>
      <c r="AI34" s="36">
        <v>229.05</v>
      </c>
      <c r="AJ34" s="37">
        <v>1</v>
      </c>
      <c r="AK34" s="36">
        <v>230.56899999999999</v>
      </c>
      <c r="AL34" s="37">
        <v>1</v>
      </c>
      <c r="AM34" s="36">
        <v>248.52600000000001</v>
      </c>
      <c r="AN34" s="37">
        <v>1</v>
      </c>
      <c r="AO34" s="36">
        <v>253.179</v>
      </c>
      <c r="AP34" s="37">
        <v>1</v>
      </c>
      <c r="AQ34" s="36">
        <v>272.14100000000002</v>
      </c>
      <c r="AR34" s="37">
        <v>1</v>
      </c>
      <c r="AS34" s="36">
        <v>260.995</v>
      </c>
      <c r="AT34" s="37">
        <v>1</v>
      </c>
      <c r="AU34" s="36">
        <v>294.142</v>
      </c>
      <c r="AV34" s="37">
        <v>1</v>
      </c>
      <c r="AW34" s="36">
        <v>270.92599999999999</v>
      </c>
      <c r="AX34" s="37">
        <v>1</v>
      </c>
      <c r="AY34" s="36">
        <v>300.16899999999998</v>
      </c>
      <c r="AZ34" s="37">
        <v>1</v>
      </c>
    </row>
    <row r="35" spans="1:52" x14ac:dyDescent="0.25">
      <c r="A35" s="10" t="s">
        <v>1619</v>
      </c>
      <c r="B35" s="10"/>
      <c r="C35" s="32">
        <v>131.036</v>
      </c>
      <c r="D35" s="33">
        <v>1</v>
      </c>
      <c r="E35" s="32">
        <v>129.12700000000001</v>
      </c>
      <c r="F35" s="33">
        <v>1</v>
      </c>
      <c r="G35" s="32">
        <v>163.89</v>
      </c>
      <c r="H35" s="33">
        <v>1</v>
      </c>
      <c r="I35" s="32">
        <v>160.79599999999999</v>
      </c>
      <c r="J35" s="33">
        <v>1</v>
      </c>
      <c r="K35" s="32">
        <v>149.69399999999999</v>
      </c>
      <c r="L35" s="33">
        <v>1</v>
      </c>
      <c r="M35" s="32">
        <v>169.571</v>
      </c>
      <c r="N35" s="33">
        <v>1</v>
      </c>
      <c r="O35" s="32">
        <v>154.99600000000001</v>
      </c>
      <c r="P35" s="33">
        <v>1</v>
      </c>
      <c r="Q35" s="32">
        <v>161.78299999999999</v>
      </c>
      <c r="R35" s="33">
        <v>1</v>
      </c>
      <c r="S35" s="32">
        <v>168.46899999999999</v>
      </c>
      <c r="T35" s="33">
        <v>1</v>
      </c>
      <c r="U35" s="32">
        <v>185.899</v>
      </c>
      <c r="V35" s="33">
        <v>1</v>
      </c>
      <c r="W35" s="32">
        <v>182.63499999999999</v>
      </c>
      <c r="X35" s="33">
        <v>1</v>
      </c>
      <c r="Y35" s="32">
        <v>194.572</v>
      </c>
      <c r="Z35" s="33">
        <v>1</v>
      </c>
      <c r="AA35" s="32">
        <v>229.05</v>
      </c>
      <c r="AB35" s="33">
        <v>1</v>
      </c>
      <c r="AC35" s="32">
        <v>169.893</v>
      </c>
      <c r="AD35" s="33">
        <v>1</v>
      </c>
      <c r="AE35" s="32">
        <v>205.71199999999999</v>
      </c>
      <c r="AF35" s="33">
        <v>1</v>
      </c>
      <c r="AG35" s="32" t="s">
        <v>141</v>
      </c>
      <c r="AH35" s="33"/>
      <c r="AI35" s="32">
        <v>229.05</v>
      </c>
      <c r="AJ35" s="33">
        <v>1</v>
      </c>
      <c r="AK35" s="32">
        <v>230.56899999999999</v>
      </c>
      <c r="AL35" s="33">
        <v>1</v>
      </c>
      <c r="AM35" s="32">
        <v>248.52600000000001</v>
      </c>
      <c r="AN35" s="33">
        <v>1</v>
      </c>
      <c r="AO35" s="32">
        <v>253.179</v>
      </c>
      <c r="AP35" s="33">
        <v>1</v>
      </c>
      <c r="AQ35" s="32">
        <v>272.14100000000002</v>
      </c>
      <c r="AR35" s="33">
        <v>1</v>
      </c>
      <c r="AS35" s="32">
        <v>260.995</v>
      </c>
      <c r="AT35" s="33">
        <v>1</v>
      </c>
      <c r="AU35" s="32">
        <v>294.142</v>
      </c>
      <c r="AV35" s="33">
        <v>1</v>
      </c>
      <c r="AW35" s="32">
        <v>270.92599999999999</v>
      </c>
      <c r="AX35" s="33">
        <v>1</v>
      </c>
      <c r="AY35" s="32">
        <v>300.16899999999998</v>
      </c>
      <c r="AZ35" s="33">
        <v>1</v>
      </c>
    </row>
    <row r="36" spans="1:52" x14ac:dyDescent="0.25">
      <c r="A36" s="6" t="s">
        <v>86</v>
      </c>
      <c r="B36" s="6"/>
      <c r="C36" s="36">
        <v>-37.512999999999998</v>
      </c>
      <c r="D36" s="37"/>
      <c r="E36" s="36">
        <v>-44.048999999999999</v>
      </c>
      <c r="F36" s="37"/>
      <c r="G36" s="36">
        <v>-21.244</v>
      </c>
      <c r="H36" s="37"/>
      <c r="I36" s="36">
        <v>-36.058</v>
      </c>
      <c r="J36" s="37"/>
      <c r="K36" s="36">
        <v>-38.805</v>
      </c>
      <c r="L36" s="37"/>
      <c r="M36" s="36">
        <v>-19.617000000000001</v>
      </c>
      <c r="N36" s="37"/>
      <c r="O36" s="36">
        <v>-16.658000000000001</v>
      </c>
      <c r="P36" s="37"/>
      <c r="Q36" s="36">
        <v>-12.417999999999999</v>
      </c>
      <c r="R36" s="37"/>
      <c r="S36" s="36">
        <v>-21.667999999999999</v>
      </c>
      <c r="T36" s="37"/>
      <c r="U36" s="36">
        <v>-17.178000000000001</v>
      </c>
      <c r="V36" s="37"/>
      <c r="W36" s="36">
        <v>-11.246</v>
      </c>
      <c r="X36" s="37"/>
      <c r="Y36" s="36">
        <v>-26.062000000000001</v>
      </c>
      <c r="Z36" s="37"/>
      <c r="AA36" s="36">
        <v>-21.885999999999999</v>
      </c>
      <c r="AB36" s="37"/>
      <c r="AC36" s="36">
        <v>-17.859000000000002</v>
      </c>
      <c r="AD36" s="37"/>
      <c r="AE36" s="36">
        <v>-16.055</v>
      </c>
      <c r="AF36" s="37"/>
      <c r="AG36" s="36">
        <v>-16.510000000000002</v>
      </c>
      <c r="AH36" s="37"/>
      <c r="AI36" s="36">
        <v>-21.635000000000002</v>
      </c>
      <c r="AJ36" s="37"/>
      <c r="AK36" s="36">
        <v>-13.891</v>
      </c>
      <c r="AL36" s="37"/>
      <c r="AM36" s="36">
        <v>-15.919</v>
      </c>
      <c r="AN36" s="37"/>
      <c r="AO36" s="36">
        <v>-17.091999999999999</v>
      </c>
      <c r="AP36" s="37"/>
      <c r="AQ36" s="36">
        <v>-15.308999999999999</v>
      </c>
      <c r="AR36" s="37"/>
      <c r="AS36" s="36">
        <v>-12.973000000000001</v>
      </c>
      <c r="AT36" s="37"/>
      <c r="AU36" s="36">
        <v>-8.0180000000000007</v>
      </c>
      <c r="AV36" s="37"/>
      <c r="AW36" s="36">
        <v>-4.1920000000000002</v>
      </c>
      <c r="AX36" s="37"/>
      <c r="AY36" s="36">
        <v>-9.0939999999999994</v>
      </c>
      <c r="AZ36" s="37"/>
    </row>
    <row r="37" spans="1:52" x14ac:dyDescent="0.25">
      <c r="A37" s="10" t="s">
        <v>1619</v>
      </c>
      <c r="B37" s="10"/>
      <c r="C37" s="32">
        <v>-37.512999999999998</v>
      </c>
      <c r="D37" s="33">
        <v>1</v>
      </c>
      <c r="E37" s="32">
        <v>-44.048999999999999</v>
      </c>
      <c r="F37" s="33">
        <v>1</v>
      </c>
      <c r="G37" s="32">
        <v>-21.244</v>
      </c>
      <c r="H37" s="33">
        <v>1</v>
      </c>
      <c r="I37" s="32">
        <v>-36.058</v>
      </c>
      <c r="J37" s="33">
        <v>1</v>
      </c>
      <c r="K37" s="32">
        <v>-38.805</v>
      </c>
      <c r="L37" s="33">
        <v>1</v>
      </c>
      <c r="M37" s="32">
        <v>-19.617000000000001</v>
      </c>
      <c r="N37" s="33">
        <v>1</v>
      </c>
      <c r="O37" s="32">
        <v>-16.658000000000001</v>
      </c>
      <c r="P37" s="33">
        <v>1</v>
      </c>
      <c r="Q37" s="32">
        <v>-12.417999999999999</v>
      </c>
      <c r="R37" s="33">
        <v>1</v>
      </c>
      <c r="S37" s="32">
        <v>-21.667999999999999</v>
      </c>
      <c r="T37" s="33">
        <v>1</v>
      </c>
      <c r="U37" s="32">
        <v>-17.178000000000001</v>
      </c>
      <c r="V37" s="33">
        <v>1</v>
      </c>
      <c r="W37" s="32">
        <v>-11.246</v>
      </c>
      <c r="X37" s="33">
        <v>1</v>
      </c>
      <c r="Y37" s="32">
        <v>-26.062000000000001</v>
      </c>
      <c r="Z37" s="33">
        <v>1</v>
      </c>
      <c r="AA37" s="32">
        <v>-21.885999999999999</v>
      </c>
      <c r="AB37" s="33">
        <v>1</v>
      </c>
      <c r="AC37" s="32">
        <v>-17.859000000000002</v>
      </c>
      <c r="AD37" s="33">
        <v>1</v>
      </c>
      <c r="AE37" s="32">
        <v>-16.055</v>
      </c>
      <c r="AF37" s="33">
        <v>1</v>
      </c>
      <c r="AG37" s="32">
        <v>-16.510000000000002</v>
      </c>
      <c r="AH37" s="33">
        <v>1</v>
      </c>
      <c r="AI37" s="32">
        <v>-21.635000000000002</v>
      </c>
      <c r="AJ37" s="33">
        <v>1</v>
      </c>
      <c r="AK37" s="32">
        <v>-13.891</v>
      </c>
      <c r="AL37" s="33">
        <v>1</v>
      </c>
      <c r="AM37" s="32">
        <v>-15.919</v>
      </c>
      <c r="AN37" s="33">
        <v>1</v>
      </c>
      <c r="AO37" s="32">
        <v>-17.091999999999999</v>
      </c>
      <c r="AP37" s="33">
        <v>1</v>
      </c>
      <c r="AQ37" s="32">
        <v>-15.308999999999999</v>
      </c>
      <c r="AR37" s="33">
        <v>1</v>
      </c>
      <c r="AS37" s="32">
        <v>-12.973000000000001</v>
      </c>
      <c r="AT37" s="33">
        <v>1</v>
      </c>
      <c r="AU37" s="32">
        <v>-8.0180000000000007</v>
      </c>
      <c r="AV37" s="33">
        <v>1</v>
      </c>
      <c r="AW37" s="32">
        <v>-4.1920000000000002</v>
      </c>
      <c r="AX37" s="33">
        <v>1</v>
      </c>
      <c r="AY37" s="32">
        <v>-9.0939999999999994</v>
      </c>
      <c r="AZ37" s="33">
        <v>1</v>
      </c>
    </row>
    <row r="38" spans="1:52" x14ac:dyDescent="0.25">
      <c r="A38" s="7" t="s">
        <v>90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7" width="11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25">
      <c r="A2" s="8" t="s">
        <v>1627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92</v>
      </c>
      <c r="B4" s="3"/>
      <c r="C4" s="4" t="s">
        <v>93</v>
      </c>
      <c r="D4" s="4" t="s">
        <v>94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</row>
    <row r="5" spans="1:27" x14ac:dyDescent="0.25">
      <c r="A5" s="9" t="s">
        <v>34</v>
      </c>
      <c r="B5" s="9"/>
      <c r="C5" s="5" t="s">
        <v>95</v>
      </c>
      <c r="D5" s="5" t="s">
        <v>96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</row>
    <row r="6" spans="1:27" x14ac:dyDescent="0.25">
      <c r="A6" s="6" t="s">
        <v>1628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0" t="s">
        <v>1629</v>
      </c>
      <c r="B7" s="10"/>
      <c r="C7" s="13">
        <v>8.9580000000000002</v>
      </c>
      <c r="D7" s="13">
        <v>7.0030000000000001</v>
      </c>
      <c r="E7" s="13">
        <v>6.4829999999999997</v>
      </c>
      <c r="F7" s="13">
        <v>23.995000000000001</v>
      </c>
      <c r="G7" s="13">
        <v>15.731999999999999</v>
      </c>
      <c r="H7" s="13">
        <v>27.538</v>
      </c>
      <c r="I7" s="13">
        <v>26.428999999999998</v>
      </c>
      <c r="J7" s="13">
        <v>26.646999999999998</v>
      </c>
      <c r="K7" s="13">
        <v>50.719000000000001</v>
      </c>
      <c r="L7" s="13">
        <v>41.796999999999997</v>
      </c>
      <c r="M7" s="13">
        <v>59.395000000000003</v>
      </c>
      <c r="N7" s="13">
        <v>20.135999999999999</v>
      </c>
      <c r="O7" s="13">
        <v>59.625</v>
      </c>
      <c r="P7" s="13">
        <v>25.945</v>
      </c>
      <c r="Q7" s="13">
        <v>9.0250000000000004</v>
      </c>
      <c r="R7" s="13">
        <v>29.297000000000001</v>
      </c>
      <c r="S7" s="13">
        <v>70.644999999999996</v>
      </c>
      <c r="T7" s="13">
        <v>36.462000000000003</v>
      </c>
      <c r="U7" s="13">
        <v>5.8440000000000003</v>
      </c>
      <c r="V7" s="13">
        <v>427.47199999999998</v>
      </c>
      <c r="W7" s="13">
        <v>76.406999999999996</v>
      </c>
      <c r="X7" s="13">
        <v>118.548</v>
      </c>
      <c r="Y7" s="13">
        <v>227.33799999999999</v>
      </c>
      <c r="Z7" s="13">
        <v>57.387</v>
      </c>
      <c r="AA7" s="13">
        <v>106.94799999999999</v>
      </c>
    </row>
    <row r="8" spans="1:27" x14ac:dyDescent="0.25">
      <c r="A8" s="10" t="s">
        <v>1630</v>
      </c>
      <c r="B8" s="10"/>
      <c r="C8" s="14" t="s">
        <v>141</v>
      </c>
      <c r="D8" s="14">
        <v>-15</v>
      </c>
      <c r="E8" s="14">
        <v>-78</v>
      </c>
      <c r="F8" s="14" t="s">
        <v>141</v>
      </c>
      <c r="G8" s="14" t="s">
        <v>141</v>
      </c>
      <c r="H8" s="14">
        <v>293</v>
      </c>
      <c r="I8" s="14">
        <v>308</v>
      </c>
      <c r="J8" s="14">
        <v>11</v>
      </c>
      <c r="K8" s="14" t="s">
        <v>141</v>
      </c>
      <c r="L8" s="14">
        <v>52</v>
      </c>
      <c r="M8" s="14">
        <v>125</v>
      </c>
      <c r="N8" s="14">
        <v>-24</v>
      </c>
      <c r="O8" s="14" t="s">
        <v>141</v>
      </c>
      <c r="P8" s="14">
        <v>-38</v>
      </c>
      <c r="Q8" s="14">
        <v>-85</v>
      </c>
      <c r="R8" s="14">
        <v>45</v>
      </c>
      <c r="S8" s="14" t="s">
        <v>141</v>
      </c>
      <c r="T8" s="14">
        <v>41</v>
      </c>
      <c r="U8" s="14">
        <v>-35</v>
      </c>
      <c r="V8" s="14">
        <v>0</v>
      </c>
      <c r="W8" s="14" t="s">
        <v>141</v>
      </c>
      <c r="X8" s="14">
        <v>225</v>
      </c>
      <c r="Y8" s="14" t="s">
        <v>141</v>
      </c>
      <c r="Z8" s="14">
        <v>-87</v>
      </c>
      <c r="AA8" s="14" t="s">
        <v>141</v>
      </c>
    </row>
    <row r="9" spans="1:27" x14ac:dyDescent="0.25">
      <c r="A9" s="10" t="s">
        <v>1631</v>
      </c>
      <c r="B9" s="10"/>
      <c r="C9" s="13">
        <v>8.9580000000000002</v>
      </c>
      <c r="D9" s="13">
        <v>7.0030000000000001</v>
      </c>
      <c r="E9" s="13">
        <v>6.4829999999999997</v>
      </c>
      <c r="F9" s="13">
        <v>23.995000000000001</v>
      </c>
      <c r="G9" s="13">
        <v>15.731999999999999</v>
      </c>
      <c r="H9" s="13">
        <v>27.538</v>
      </c>
      <c r="I9" s="13" t="s">
        <v>141</v>
      </c>
      <c r="J9" s="13" t="s">
        <v>141</v>
      </c>
      <c r="K9" s="13" t="s">
        <v>141</v>
      </c>
      <c r="L9" s="13" t="s">
        <v>141</v>
      </c>
      <c r="M9" s="13" t="s">
        <v>141</v>
      </c>
      <c r="N9" s="13" t="s">
        <v>141</v>
      </c>
      <c r="O9" s="13" t="s">
        <v>141</v>
      </c>
      <c r="P9" s="13" t="s">
        <v>141</v>
      </c>
      <c r="Q9" s="13" t="s">
        <v>141</v>
      </c>
      <c r="R9" s="13" t="s">
        <v>141</v>
      </c>
      <c r="S9" s="13" t="s">
        <v>141</v>
      </c>
      <c r="T9" s="13" t="s">
        <v>141</v>
      </c>
      <c r="U9" s="13" t="s">
        <v>141</v>
      </c>
      <c r="V9" s="13" t="s">
        <v>141</v>
      </c>
      <c r="W9" s="13" t="s">
        <v>141</v>
      </c>
      <c r="X9" s="13" t="s">
        <v>141</v>
      </c>
      <c r="Y9" s="13" t="s">
        <v>141</v>
      </c>
      <c r="Z9" s="13" t="s">
        <v>141</v>
      </c>
      <c r="AA9" s="13" t="s">
        <v>141</v>
      </c>
    </row>
    <row r="10" spans="1:27" x14ac:dyDescent="0.25">
      <c r="A10" s="10" t="s">
        <v>1632</v>
      </c>
      <c r="B10" s="10"/>
      <c r="C10" s="14" t="s">
        <v>141</v>
      </c>
      <c r="D10" s="14">
        <v>-15</v>
      </c>
      <c r="E10" s="14">
        <v>-78</v>
      </c>
      <c r="F10" s="14">
        <v>1391</v>
      </c>
      <c r="G10" s="14" t="s">
        <v>141</v>
      </c>
      <c r="H10" s="14">
        <v>293</v>
      </c>
      <c r="I10" s="14" t="s">
        <v>141</v>
      </c>
      <c r="J10" s="14" t="s">
        <v>141</v>
      </c>
      <c r="K10" s="14" t="s">
        <v>141</v>
      </c>
      <c r="L10" s="14" t="s">
        <v>141</v>
      </c>
      <c r="M10" s="14" t="s">
        <v>141</v>
      </c>
      <c r="N10" s="14" t="s">
        <v>141</v>
      </c>
      <c r="O10" s="14" t="s">
        <v>141</v>
      </c>
      <c r="P10" s="14" t="s">
        <v>141</v>
      </c>
      <c r="Q10" s="14" t="s">
        <v>141</v>
      </c>
      <c r="R10" s="14" t="s">
        <v>141</v>
      </c>
      <c r="S10" s="14" t="s">
        <v>141</v>
      </c>
      <c r="T10" s="14" t="s">
        <v>141</v>
      </c>
      <c r="U10" s="14" t="s">
        <v>141</v>
      </c>
      <c r="V10" s="14" t="s">
        <v>141</v>
      </c>
      <c r="W10" s="14" t="s">
        <v>141</v>
      </c>
      <c r="X10" s="14" t="s">
        <v>141</v>
      </c>
      <c r="Y10" s="14" t="s">
        <v>141</v>
      </c>
      <c r="Z10" s="14" t="s">
        <v>141</v>
      </c>
      <c r="AA10" s="14" t="s">
        <v>141</v>
      </c>
    </row>
    <row r="11" spans="1:27" x14ac:dyDescent="0.25">
      <c r="A11" s="6" t="s">
        <v>1633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0" t="s">
        <v>1629</v>
      </c>
      <c r="B12" s="10"/>
      <c r="C12" s="13">
        <v>12.074999999999999</v>
      </c>
      <c r="D12" s="13">
        <v>26.291</v>
      </c>
      <c r="E12" s="13">
        <v>38.231000000000002</v>
      </c>
      <c r="F12" s="13">
        <v>46.066000000000003</v>
      </c>
      <c r="G12" s="13">
        <v>55.948999999999998</v>
      </c>
      <c r="H12" s="13">
        <v>71.938000000000002</v>
      </c>
      <c r="I12" s="13">
        <v>77.533000000000001</v>
      </c>
      <c r="J12" s="13">
        <v>99.206000000000003</v>
      </c>
      <c r="K12" s="13">
        <v>112.843</v>
      </c>
      <c r="L12" s="13">
        <v>135.76900000000001</v>
      </c>
      <c r="M12" s="13">
        <v>160.81100000000001</v>
      </c>
      <c r="N12" s="13">
        <v>167.04400000000001</v>
      </c>
      <c r="O12" s="13">
        <v>198.51400000000001</v>
      </c>
      <c r="P12" s="13">
        <v>186.87200000000001</v>
      </c>
      <c r="Q12" s="13">
        <v>213.51499999999999</v>
      </c>
      <c r="R12" s="13">
        <v>232.267</v>
      </c>
      <c r="S12" s="13">
        <v>261.67500000000001</v>
      </c>
      <c r="T12" s="13">
        <v>276.32799999999997</v>
      </c>
      <c r="U12" s="13">
        <v>305.70499999999998</v>
      </c>
      <c r="V12" s="13">
        <v>313.15300000000002</v>
      </c>
      <c r="W12" s="13">
        <v>346.28800000000001</v>
      </c>
      <c r="X12" s="13">
        <v>365.16300000000001</v>
      </c>
      <c r="Y12" s="13">
        <v>410.08800000000002</v>
      </c>
      <c r="Z12" s="13">
        <v>420.14600000000002</v>
      </c>
      <c r="AA12" s="13">
        <v>450.83100000000002</v>
      </c>
    </row>
    <row r="13" spans="1:27" x14ac:dyDescent="0.25">
      <c r="A13" s="10" t="s">
        <v>1630</v>
      </c>
      <c r="B13" s="10"/>
      <c r="C13" s="14" t="s">
        <v>141</v>
      </c>
      <c r="D13" s="14">
        <v>1229</v>
      </c>
      <c r="E13" s="14" t="s">
        <v>141</v>
      </c>
      <c r="F13" s="14">
        <v>9914</v>
      </c>
      <c r="G13" s="14" t="s">
        <v>141</v>
      </c>
      <c r="H13" s="14">
        <v>174</v>
      </c>
      <c r="I13" s="14">
        <v>103</v>
      </c>
      <c r="J13" s="14">
        <v>115</v>
      </c>
      <c r="K13" s="14" t="s">
        <v>141</v>
      </c>
      <c r="L13" s="14">
        <v>89</v>
      </c>
      <c r="M13" s="14">
        <v>107</v>
      </c>
      <c r="N13" s="14">
        <v>68</v>
      </c>
      <c r="O13" s="14" t="s">
        <v>141</v>
      </c>
      <c r="P13" s="14">
        <v>38</v>
      </c>
      <c r="Q13" s="14">
        <v>33</v>
      </c>
      <c r="R13" s="14">
        <v>39</v>
      </c>
      <c r="S13" s="14" t="s">
        <v>141</v>
      </c>
      <c r="T13" s="14">
        <v>48</v>
      </c>
      <c r="U13" s="14">
        <v>43</v>
      </c>
      <c r="V13" s="14">
        <v>35</v>
      </c>
      <c r="W13" s="14" t="s">
        <v>141</v>
      </c>
      <c r="X13" s="14">
        <v>-32</v>
      </c>
      <c r="Y13" s="14">
        <v>34</v>
      </c>
      <c r="Z13" s="14">
        <v>34</v>
      </c>
      <c r="AA13" s="14" t="s">
        <v>141</v>
      </c>
    </row>
    <row r="14" spans="1:27" x14ac:dyDescent="0.25">
      <c r="A14" s="10" t="s">
        <v>1631</v>
      </c>
      <c r="B14" s="10"/>
      <c r="C14" s="13">
        <v>12.074999999999999</v>
      </c>
      <c r="D14" s="13">
        <v>26.291</v>
      </c>
      <c r="E14" s="13">
        <v>38.231000000000002</v>
      </c>
      <c r="F14" s="13">
        <v>46.066000000000003</v>
      </c>
      <c r="G14" s="13">
        <v>55.948999999999998</v>
      </c>
      <c r="H14" s="13">
        <v>71.938000000000002</v>
      </c>
      <c r="I14" s="13" t="s">
        <v>141</v>
      </c>
      <c r="J14" s="13" t="s">
        <v>141</v>
      </c>
      <c r="K14" s="13" t="s">
        <v>141</v>
      </c>
      <c r="L14" s="13" t="s">
        <v>141</v>
      </c>
      <c r="M14" s="13" t="s">
        <v>141</v>
      </c>
      <c r="N14" s="13" t="s">
        <v>141</v>
      </c>
      <c r="O14" s="13" t="s">
        <v>141</v>
      </c>
      <c r="P14" s="13" t="s">
        <v>141</v>
      </c>
      <c r="Q14" s="13" t="s">
        <v>141</v>
      </c>
      <c r="R14" s="13" t="s">
        <v>141</v>
      </c>
      <c r="S14" s="13" t="s">
        <v>141</v>
      </c>
      <c r="T14" s="13" t="s">
        <v>141</v>
      </c>
      <c r="U14" s="13" t="s">
        <v>141</v>
      </c>
      <c r="V14" s="13" t="s">
        <v>141</v>
      </c>
      <c r="W14" s="13" t="s">
        <v>141</v>
      </c>
      <c r="X14" s="13" t="s">
        <v>141</v>
      </c>
      <c r="Y14" s="13" t="s">
        <v>141</v>
      </c>
      <c r="Z14" s="13" t="s">
        <v>141</v>
      </c>
      <c r="AA14" s="13" t="s">
        <v>141</v>
      </c>
    </row>
    <row r="15" spans="1:27" x14ac:dyDescent="0.25">
      <c r="A15" s="10" t="s">
        <v>1632</v>
      </c>
      <c r="B15" s="10"/>
      <c r="C15" s="14" t="s">
        <v>141</v>
      </c>
      <c r="D15" s="14">
        <v>1229</v>
      </c>
      <c r="E15" s="14" t="s">
        <v>141</v>
      </c>
      <c r="F15" s="14">
        <v>9914</v>
      </c>
      <c r="G15" s="14" t="s">
        <v>141</v>
      </c>
      <c r="H15" s="14">
        <v>174</v>
      </c>
      <c r="I15" s="14" t="s">
        <v>141</v>
      </c>
      <c r="J15" s="14" t="s">
        <v>141</v>
      </c>
      <c r="K15" s="14" t="s">
        <v>141</v>
      </c>
      <c r="L15" s="14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  <c r="Q15" s="14" t="s">
        <v>141</v>
      </c>
      <c r="R15" s="14" t="s">
        <v>141</v>
      </c>
      <c r="S15" s="14" t="s">
        <v>141</v>
      </c>
      <c r="T15" s="14" t="s">
        <v>141</v>
      </c>
      <c r="U15" s="14" t="s">
        <v>141</v>
      </c>
      <c r="V15" s="14" t="s">
        <v>141</v>
      </c>
      <c r="W15" s="14" t="s">
        <v>141</v>
      </c>
      <c r="X15" s="14" t="s">
        <v>141</v>
      </c>
      <c r="Y15" s="14" t="s">
        <v>141</v>
      </c>
      <c r="Z15" s="14" t="s">
        <v>141</v>
      </c>
      <c r="AA15" s="14" t="s">
        <v>141</v>
      </c>
    </row>
    <row r="16" spans="1:27" x14ac:dyDescent="0.25">
      <c r="A16" s="6" t="s">
        <v>1634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0" t="s">
        <v>1629</v>
      </c>
      <c r="B17" s="10"/>
      <c r="C17" s="13" t="s">
        <v>141</v>
      </c>
      <c r="D17" s="13" t="s">
        <v>141</v>
      </c>
      <c r="E17" s="13" t="s">
        <v>141</v>
      </c>
      <c r="F17" s="13" t="s">
        <v>141</v>
      </c>
      <c r="G17" s="13" t="s">
        <v>141</v>
      </c>
      <c r="H17" s="13" t="s">
        <v>141</v>
      </c>
      <c r="I17" s="13">
        <v>0</v>
      </c>
      <c r="J17" s="13">
        <v>0</v>
      </c>
      <c r="K17" s="13" t="s">
        <v>141</v>
      </c>
      <c r="L17" s="13" t="s">
        <v>141</v>
      </c>
      <c r="M17" s="13">
        <v>0.34699999999999998</v>
      </c>
      <c r="N17" s="13">
        <v>0.45300000000000001</v>
      </c>
      <c r="O17" s="13">
        <v>0.39600000000000002</v>
      </c>
      <c r="P17" s="13">
        <v>0.442</v>
      </c>
      <c r="Q17" s="13">
        <v>2.278</v>
      </c>
      <c r="R17" s="13">
        <v>2.742</v>
      </c>
      <c r="S17" s="13">
        <v>2.7149999999999999</v>
      </c>
      <c r="T17" s="13">
        <v>6.5</v>
      </c>
      <c r="U17" s="13">
        <v>7.2050000000000001</v>
      </c>
      <c r="V17" s="13">
        <v>9.9049999999999994</v>
      </c>
      <c r="W17" s="13">
        <v>17.023</v>
      </c>
      <c r="X17" s="13">
        <v>10.622</v>
      </c>
      <c r="Y17" s="13">
        <v>22.399000000000001</v>
      </c>
      <c r="Z17" s="13">
        <v>23.385999999999999</v>
      </c>
      <c r="AA17" s="13">
        <v>35.387</v>
      </c>
    </row>
    <row r="18" spans="1:27" x14ac:dyDescent="0.25">
      <c r="A18" s="10" t="s">
        <v>1630</v>
      </c>
      <c r="B18" s="10"/>
      <c r="C18" s="14" t="s">
        <v>141</v>
      </c>
      <c r="D18" s="14" t="s">
        <v>141</v>
      </c>
      <c r="E18" s="14" t="s">
        <v>141</v>
      </c>
      <c r="F18" s="14" t="s">
        <v>141</v>
      </c>
      <c r="G18" s="14" t="s">
        <v>141</v>
      </c>
      <c r="H18" s="14" t="s">
        <v>141</v>
      </c>
      <c r="I18" s="14" t="s">
        <v>141</v>
      </c>
      <c r="J18" s="14" t="s">
        <v>141</v>
      </c>
      <c r="K18" s="14" t="s">
        <v>141</v>
      </c>
      <c r="L18" s="14" t="s">
        <v>141</v>
      </c>
      <c r="M18" s="14" t="s">
        <v>141</v>
      </c>
      <c r="N18" s="14" t="s">
        <v>141</v>
      </c>
      <c r="O18" s="14" t="s">
        <v>141</v>
      </c>
      <c r="P18" s="14" t="s">
        <v>141</v>
      </c>
      <c r="Q18" s="14" t="s">
        <v>141</v>
      </c>
      <c r="R18" s="14">
        <v>505</v>
      </c>
      <c r="S18" s="14" t="s">
        <v>141</v>
      </c>
      <c r="T18" s="14" t="s">
        <v>141</v>
      </c>
      <c r="U18" s="14">
        <v>216</v>
      </c>
      <c r="V18" s="14">
        <v>261</v>
      </c>
      <c r="W18" s="14" t="s">
        <v>141</v>
      </c>
      <c r="X18" s="14">
        <v>63</v>
      </c>
      <c r="Y18" s="14">
        <v>211</v>
      </c>
      <c r="Z18" s="14">
        <v>136</v>
      </c>
      <c r="AA18" s="14" t="s">
        <v>141</v>
      </c>
    </row>
    <row r="19" spans="1:27" x14ac:dyDescent="0.25">
      <c r="A19" s="6" t="s">
        <v>1635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0" t="s">
        <v>1630</v>
      </c>
      <c r="B20" s="10"/>
      <c r="C20" s="14" t="s">
        <v>141</v>
      </c>
      <c r="D20" s="14" t="s">
        <v>141</v>
      </c>
      <c r="E20" s="14" t="s">
        <v>141</v>
      </c>
      <c r="F20" s="14" t="s">
        <v>141</v>
      </c>
      <c r="G20" s="14" t="s">
        <v>141</v>
      </c>
      <c r="H20" s="14" t="s">
        <v>141</v>
      </c>
      <c r="I20" s="14" t="s">
        <v>141</v>
      </c>
      <c r="J20" s="14" t="s">
        <v>141</v>
      </c>
      <c r="K20" s="14" t="s">
        <v>141</v>
      </c>
      <c r="L20" s="14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  <c r="Q20" s="14" t="s">
        <v>141</v>
      </c>
      <c r="R20" s="14" t="s">
        <v>141</v>
      </c>
      <c r="S20" s="14" t="s">
        <v>141</v>
      </c>
      <c r="T20" s="14" t="s">
        <v>141</v>
      </c>
      <c r="U20" s="14" t="s">
        <v>141</v>
      </c>
      <c r="V20" s="14" t="s">
        <v>141</v>
      </c>
      <c r="W20" s="14" t="s">
        <v>141</v>
      </c>
      <c r="X20" s="14" t="s">
        <v>141</v>
      </c>
      <c r="Y20" s="14">
        <v>-73</v>
      </c>
      <c r="Z20" s="14" t="s">
        <v>141</v>
      </c>
      <c r="AA20" s="14" t="s">
        <v>141</v>
      </c>
    </row>
    <row r="21" spans="1:27" x14ac:dyDescent="0.25">
      <c r="A21" s="6" t="s">
        <v>1636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0" t="s">
        <v>1630</v>
      </c>
      <c r="B22" s="10"/>
      <c r="C22" s="14" t="s">
        <v>141</v>
      </c>
      <c r="D22" s="14" t="s">
        <v>141</v>
      </c>
      <c r="E22" s="14" t="s">
        <v>141</v>
      </c>
      <c r="F22" s="14">
        <v>115</v>
      </c>
      <c r="G22" s="14" t="s">
        <v>141</v>
      </c>
      <c r="H22" s="14" t="s">
        <v>141</v>
      </c>
      <c r="I22" s="14" t="s">
        <v>141</v>
      </c>
      <c r="J22" s="14" t="s">
        <v>141</v>
      </c>
      <c r="K22" s="14" t="s">
        <v>141</v>
      </c>
      <c r="L22" s="14" t="s">
        <v>141</v>
      </c>
      <c r="M22" s="14" t="s">
        <v>141</v>
      </c>
      <c r="N22" s="14" t="s">
        <v>141</v>
      </c>
      <c r="O22" s="14" t="s">
        <v>141</v>
      </c>
      <c r="P22" s="14" t="s">
        <v>141</v>
      </c>
      <c r="Q22" s="14" t="s">
        <v>141</v>
      </c>
      <c r="R22" s="14" t="s">
        <v>141</v>
      </c>
      <c r="S22" s="14" t="s">
        <v>141</v>
      </c>
      <c r="T22" s="14" t="s">
        <v>141</v>
      </c>
      <c r="U22" s="14" t="s">
        <v>141</v>
      </c>
      <c r="V22" s="14" t="s">
        <v>141</v>
      </c>
      <c r="W22" s="14" t="s">
        <v>141</v>
      </c>
      <c r="X22" s="14" t="s">
        <v>141</v>
      </c>
      <c r="Y22" s="14" t="s">
        <v>141</v>
      </c>
      <c r="Z22" s="14" t="s">
        <v>141</v>
      </c>
      <c r="AA22" s="14" t="s">
        <v>141</v>
      </c>
    </row>
    <row r="23" spans="1:27" x14ac:dyDescent="0.25">
      <c r="A23" s="6" t="s">
        <v>1637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0" t="s">
        <v>1630</v>
      </c>
      <c r="B24" s="10"/>
      <c r="C24" s="14" t="s">
        <v>141</v>
      </c>
      <c r="D24" s="14" t="s">
        <v>141</v>
      </c>
      <c r="E24" s="14" t="s">
        <v>141</v>
      </c>
      <c r="F24" s="14">
        <v>-221</v>
      </c>
      <c r="G24" s="14" t="s">
        <v>141</v>
      </c>
      <c r="H24" s="14" t="s">
        <v>141</v>
      </c>
      <c r="I24" s="14" t="s">
        <v>141</v>
      </c>
      <c r="J24" s="14" t="s">
        <v>141</v>
      </c>
      <c r="K24" s="14" t="s">
        <v>141</v>
      </c>
      <c r="L24" s="14" t="s">
        <v>141</v>
      </c>
      <c r="M24" s="14" t="s">
        <v>141</v>
      </c>
      <c r="N24" s="14" t="s">
        <v>141</v>
      </c>
      <c r="O24" s="14" t="s">
        <v>141</v>
      </c>
      <c r="P24" s="14" t="s">
        <v>141</v>
      </c>
      <c r="Q24" s="14" t="s">
        <v>141</v>
      </c>
      <c r="R24" s="14" t="s">
        <v>141</v>
      </c>
      <c r="S24" s="14" t="s">
        <v>141</v>
      </c>
      <c r="T24" s="14" t="s">
        <v>141</v>
      </c>
      <c r="U24" s="14" t="s">
        <v>141</v>
      </c>
      <c r="V24" s="14" t="s">
        <v>141</v>
      </c>
      <c r="W24" s="14" t="s">
        <v>141</v>
      </c>
      <c r="X24" s="14" t="s">
        <v>141</v>
      </c>
      <c r="Y24" s="14" t="s">
        <v>141</v>
      </c>
      <c r="Z24" s="14" t="s">
        <v>141</v>
      </c>
      <c r="AA24" s="14" t="s">
        <v>141</v>
      </c>
    </row>
    <row r="25" spans="1:27" x14ac:dyDescent="0.25">
      <c r="A25" s="6" t="s">
        <v>1638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0" t="s">
        <v>1630</v>
      </c>
      <c r="B26" s="10"/>
      <c r="C26" s="14" t="s">
        <v>141</v>
      </c>
      <c r="D26" s="14" t="s">
        <v>141</v>
      </c>
      <c r="E26" s="14" t="s">
        <v>141</v>
      </c>
      <c r="F26" s="14">
        <v>98</v>
      </c>
      <c r="G26" s="14" t="s">
        <v>141</v>
      </c>
      <c r="H26" s="14" t="s">
        <v>141</v>
      </c>
      <c r="I26" s="14" t="s">
        <v>141</v>
      </c>
      <c r="J26" s="14" t="s">
        <v>141</v>
      </c>
      <c r="K26" s="14" t="s">
        <v>141</v>
      </c>
      <c r="L26" s="14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  <c r="Q26" s="14" t="s">
        <v>141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 t="s">
        <v>141</v>
      </c>
      <c r="AA26" s="14" t="s">
        <v>141</v>
      </c>
    </row>
    <row r="27" spans="1:27" x14ac:dyDescent="0.25">
      <c r="A27" s="7" t="s">
        <v>90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70"/>
  <sheetViews>
    <sheetView tabSelected="1" workbookViewId="0">
      <selection activeCell="R14" sqref="R14"/>
    </sheetView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1639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92</v>
      </c>
      <c r="B4" s="3"/>
      <c r="C4" s="4" t="s">
        <v>1640</v>
      </c>
      <c r="D4" s="4" t="s">
        <v>1641</v>
      </c>
      <c r="E4" s="4" t="s">
        <v>6</v>
      </c>
      <c r="F4" s="4" t="s">
        <v>1642</v>
      </c>
      <c r="G4" s="4" t="s">
        <v>1643</v>
      </c>
      <c r="H4" s="4" t="s">
        <v>1644</v>
      </c>
      <c r="I4" s="4" t="s">
        <v>1645</v>
      </c>
      <c r="J4" s="4" t="s">
        <v>1646</v>
      </c>
      <c r="K4" s="4" t="s">
        <v>1647</v>
      </c>
      <c r="L4" s="4" t="s">
        <v>1648</v>
      </c>
      <c r="M4" s="4" t="s">
        <v>1649</v>
      </c>
      <c r="N4" s="4" t="s">
        <v>1650</v>
      </c>
      <c r="O4" s="4" t="s">
        <v>1651</v>
      </c>
      <c r="P4" s="4" t="s">
        <v>1652</v>
      </c>
      <c r="Q4" s="4" t="s">
        <v>1653</v>
      </c>
      <c r="R4" s="4" t="s">
        <v>1654</v>
      </c>
      <c r="S4" s="4" t="s">
        <v>1655</v>
      </c>
      <c r="T4" s="4" t="s">
        <v>1656</v>
      </c>
      <c r="U4" s="4" t="s">
        <v>1657</v>
      </c>
      <c r="V4" s="4" t="s">
        <v>1658</v>
      </c>
      <c r="W4" s="4" t="s">
        <v>1659</v>
      </c>
      <c r="X4" s="4" t="s">
        <v>1660</v>
      </c>
    </row>
    <row r="5" spans="1:24" x14ac:dyDescent="0.25">
      <c r="A5" s="9" t="s">
        <v>34</v>
      </c>
      <c r="B5" s="9"/>
      <c r="C5" s="5" t="s">
        <v>1661</v>
      </c>
      <c r="D5" s="5" t="s">
        <v>1662</v>
      </c>
      <c r="E5" s="5" t="s">
        <v>1663</v>
      </c>
      <c r="F5" s="5" t="s">
        <v>1664</v>
      </c>
      <c r="G5" s="5" t="s">
        <v>1665</v>
      </c>
      <c r="H5" s="5" t="s">
        <v>1666</v>
      </c>
      <c r="I5" s="5" t="s">
        <v>1667</v>
      </c>
      <c r="J5" s="5" t="s">
        <v>1668</v>
      </c>
      <c r="K5" s="5" t="s">
        <v>1669</v>
      </c>
      <c r="L5" s="5" t="s">
        <v>1670</v>
      </c>
      <c r="M5" s="5" t="s">
        <v>1671</v>
      </c>
      <c r="N5" s="5" t="s">
        <v>1672</v>
      </c>
      <c r="O5" s="5" t="s">
        <v>1673</v>
      </c>
      <c r="P5" s="5" t="s">
        <v>1674</v>
      </c>
      <c r="Q5" s="5" t="s">
        <v>1675</v>
      </c>
      <c r="R5" s="5" t="s">
        <v>95</v>
      </c>
      <c r="S5" s="5" t="s">
        <v>37</v>
      </c>
      <c r="T5" s="5" t="s">
        <v>41</v>
      </c>
      <c r="U5" s="5" t="s">
        <v>45</v>
      </c>
      <c r="V5" s="5" t="s">
        <v>49</v>
      </c>
      <c r="W5" s="5" t="s">
        <v>53</v>
      </c>
      <c r="X5" s="5" t="s">
        <v>57</v>
      </c>
    </row>
    <row r="6" spans="1:24" x14ac:dyDescent="0.25">
      <c r="A6" s="10" t="s">
        <v>1676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5">
      <c r="A7" s="10" t="s">
        <v>1677</v>
      </c>
      <c r="B7" s="10" t="s">
        <v>1678</v>
      </c>
      <c r="C7" s="14" t="str">
        <f>_xll.BDH("ALNY US Equity","ESG_DISCLOSURE_SCORE","FY 2003","FY 2003","Currency=USD","Period=FQ","BEST_FPERIOD_OVERRIDE=FQ","FILING_STATUS=MR","Sort=A","Dates=H","DateFormat=P","Fill=—","Direction=H","UseDPDF=Y")</f>
        <v>—</v>
      </c>
      <c r="D7" s="14" t="str">
        <f>_xll.BDH("ALNY US Equity","ESG_DISCLOSURE_SCORE","FY 2004","FY 2004","Currency=USD","Period=FQ","BEST_FPERIOD_OVERRIDE=FQ","FILING_STATUS=MR","Sort=A","Dates=H","DateFormat=P","Fill=—","Direction=H","UseDPDF=Y")</f>
        <v>—</v>
      </c>
      <c r="E7" s="14" t="str">
        <f>_xll.BDH("ALNY US Equity","ESG_DISCLOSURE_SCORE","FY 2005","FY 2005","Currency=USD","Period=FQ","BEST_FPERIOD_OVERRIDE=FQ","FILING_STATUS=MR","Sort=A","Dates=H","DateFormat=P","Fill=—","Direction=H","UseDPDF=Y")</f>
        <v>—</v>
      </c>
      <c r="F7" s="14" t="str">
        <f>_xll.BDH("ALNY US Equity","ESG_DISCLOSURE_SCORE","FY 2006","FY 2006","Currency=USD","Period=FQ","BEST_FPERIOD_OVERRIDE=FQ","FILING_STATUS=MR","Sort=A","Dates=H","DateFormat=P","Fill=—","Direction=H","UseDPDF=Y")</f>
        <v>—</v>
      </c>
      <c r="G7" s="14" t="str">
        <f>_xll.BDH("ALNY US Equity","ESG_DISCLOSURE_SCORE","FY 2007","FY 2007","Currency=USD","Period=FQ","BEST_FPERIOD_OVERRIDE=FQ","FILING_STATUS=MR","Sort=A","Dates=H","DateFormat=P","Fill=—","Direction=H","UseDPDF=Y")</f>
        <v>—</v>
      </c>
      <c r="H7" s="14" t="str">
        <f>_xll.BDH("ALNY US Equity","ESG_DISCLOSURE_SCORE","FY 2008","FY 2008","Currency=USD","Period=FQ","BEST_FPERIOD_OVERRIDE=FQ","FILING_STATUS=MR","Sort=A","Dates=H","DateFormat=P","Fill=—","Direction=H","UseDPDF=Y")</f>
        <v>—</v>
      </c>
      <c r="I7" s="14" t="str">
        <f>_xll.BDH("ALNY US Equity","ESG_DISCLOSURE_SCORE","FY 2009","FY 2009","Currency=USD","Period=FQ","BEST_FPERIOD_OVERRIDE=FQ","FILING_STATUS=MR","Sort=A","Dates=H","DateFormat=P","Fill=—","Direction=H","UseDPDF=Y")</f>
        <v>—</v>
      </c>
      <c r="J7" s="14" t="str">
        <f>_xll.BDH("ALNY US Equity","ESG_DISCLOSURE_SCORE","FY 2010","FY 2010","Currency=USD","Period=FQ","BEST_FPERIOD_OVERRIDE=FQ","FILING_STATUS=MR","Sort=A","Dates=H","DateFormat=P","Fill=—","Direction=H","UseDPDF=Y")</f>
        <v>—</v>
      </c>
      <c r="K7" s="14" t="str">
        <f>_xll.BDH("ALNY US Equity","ESG_DISCLOSURE_SCORE","FY 2011","FY 2011","Currency=USD","Period=FQ","BEST_FPERIOD_OVERRIDE=FQ","FILING_STATUS=MR","Sort=A","Dates=H","DateFormat=P","Fill=—","Direction=H","UseDPDF=Y")</f>
        <v>—</v>
      </c>
      <c r="L7" s="14" t="str">
        <f>_xll.BDH("ALNY US Equity","ESG_DISCLOSURE_SCORE","FY 2012","FY 2012","Currency=USD","Period=FQ","BEST_FPERIOD_OVERRIDE=FQ","FILING_STATUS=MR","Sort=A","Dates=H","DateFormat=P","Fill=—","Direction=H","UseDPDF=Y")</f>
        <v>—</v>
      </c>
      <c r="M7" s="14" t="str">
        <f>_xll.BDH("ALNY US Equity","ESG_DISCLOSURE_SCORE","FY 2013","FY 2013","Currency=USD","Period=FQ","BEST_FPERIOD_OVERRIDE=FQ","FILING_STATUS=MR","Sort=A","Dates=H","DateFormat=P","Fill=—","Direction=H","UseDPDF=Y")</f>
        <v>—</v>
      </c>
      <c r="N7" s="14" t="str">
        <f>_xll.BDH("ALNY US Equity","ESG_DISCLOSURE_SCORE","FY 2014","FY 2014","Currency=USD","Period=FQ","BEST_FPERIOD_OVERRIDE=FQ","FILING_STATUS=MR","Sort=A","Dates=H","DateFormat=P","Fill=—","Direction=H","UseDPDF=Y")</f>
        <v>—</v>
      </c>
      <c r="O7" s="14" t="str">
        <f>_xll.BDH("ALNY US Equity","ESG_DISCLOSURE_SCORE","FY 2015","FY 2015","Currency=USD","Period=FQ","BEST_FPERIOD_OVERRIDE=FQ","FILING_STATUS=MR","Sort=A","Dates=H","DateFormat=P","Fill=—","Direction=H","UseDPDF=Y")</f>
        <v>—</v>
      </c>
      <c r="P7" s="14" t="str">
        <f>_xll.BDH("ALNY US Equity","ESG_DISCLOSURE_SCORE","FY 2016","FY 2016","Currency=USD","Period=FQ","BEST_FPERIOD_OVERRIDE=FQ","FILING_STATUS=MR","Sort=A","Dates=H","DateFormat=P","Fill=—","Direction=H","UseDPDF=Y")</f>
        <v>—</v>
      </c>
      <c r="Q7" s="14" t="str">
        <f>_xll.BDH("ALNY US Equity","ESG_DISCLOSURE_SCORE","FY 2017","FY 2017","Currency=USD","Period=FQ","BEST_FPERIOD_OVERRIDE=FQ","FILING_STATUS=MR","Sort=A","Dates=H","DateFormat=P","Fill=—","Direction=H","UseDPDF=Y")</f>
        <v>—</v>
      </c>
      <c r="R7" s="14" t="str">
        <f>_xll.BDH("ALNY US Equity","ESG_DISCLOSURE_SCORE","FY 2018","FY 2018","Currency=USD","Period=FQ","BEST_FPERIOD_OVERRIDE=FQ","FILING_STATUS=MR","Sort=A","Dates=H","DateFormat=P","Fill=—","Direction=H","UseDPDF=Y")</f>
        <v>—</v>
      </c>
      <c r="S7" s="14" t="str">
        <f>_xll.BDH("ALNY US Equity","ESG_DISCLOSURE_SCORE","FY 2019","FY 2019","Currency=USD","Period=FQ","BEST_FPERIOD_OVERRIDE=FQ","FILING_STATUS=MR","Sort=A","Dates=H","DateFormat=P","Fill=—","Direction=H","UseDPDF=Y")</f>
        <v>—</v>
      </c>
      <c r="T7" s="14" t="str">
        <f>_xll.BDH("ALNY US Equity","ESG_DISCLOSURE_SCORE","FY 2020","FY 2020","Currency=USD","Period=FQ","BEST_FPERIOD_OVERRIDE=FQ","FILING_STATUS=MR","Sort=A","Dates=H","DateFormat=P","Fill=—","Direction=H","UseDPDF=Y")</f>
        <v>—</v>
      </c>
      <c r="U7" s="14" t="str">
        <f>_xll.BDH("ALNY US Equity","ESG_DISCLOSURE_SCORE","FY 2021","FY 2021","Currency=USD","Period=FQ","BEST_FPERIOD_OVERRIDE=FQ","FILING_STATUS=MR","Sort=A","Dates=H","DateFormat=P","Fill=—","Direction=H","UseDPDF=Y")</f>
        <v>—</v>
      </c>
      <c r="V7" s="14" t="str">
        <f>_xll.BDH("ALNY US Equity","ESG_DISCLOSURE_SCORE","FY 2022","FY 2022","Currency=USD","Period=FQ","BEST_FPERIOD_OVERRIDE=FQ","FILING_STATUS=MR","Sort=A","Dates=H","DateFormat=P","Fill=—","Direction=H","UseDPDF=Y")</f>
        <v>—</v>
      </c>
      <c r="W7" s="14" t="str">
        <f>_xll.BDH("ALNY US Equity","ESG_DISCLOSURE_SCORE","FY 2023","FY 2023","Currency=USD","Period=FQ","BEST_FPERIOD_OVERRIDE=FQ","FILING_STATUS=MR","Sort=A","Dates=H","DateFormat=P","Fill=—","Direction=H","UseDPDF=Y")</f>
        <v>—</v>
      </c>
      <c r="X7" s="14" t="str">
        <f>_xll.BDH("ALNY US Equity","ESG_DISCLOSURE_SCORE","FY 2024","FY 2024","Currency=USD","Period=FQ","BEST_FPERIOD_OVERRIDE=FQ","FILING_STATUS=MR","Sort=A","Dates=H","DateFormat=P","Fill=—","Direction=H","UseDPDF=Y")</f>
        <v>—</v>
      </c>
    </row>
    <row r="8" spans="1:24" x14ac:dyDescent="0.25">
      <c r="A8" s="10" t="s">
        <v>1679</v>
      </c>
      <c r="B8" s="10" t="s">
        <v>1680</v>
      </c>
      <c r="C8" s="14" t="str">
        <f>_xll.BDH("ALNY US Equity","ENVIRON_DISCLOSURE_SCORE","FY 2003","FY 2003","Currency=USD","Period=FQ","BEST_FPERIOD_OVERRIDE=FQ","FILING_STATUS=MR","Sort=A","Dates=H","DateFormat=P","Fill=—","Direction=H","UseDPDF=Y")</f>
        <v>—</v>
      </c>
      <c r="D8" s="14" t="str">
        <f>_xll.BDH("ALNY US Equity","ENVIRON_DISCLOSURE_SCORE","FY 2004","FY 2004","Currency=USD","Period=FQ","BEST_FPERIOD_OVERRIDE=FQ","FILING_STATUS=MR","Sort=A","Dates=H","DateFormat=P","Fill=—","Direction=H","UseDPDF=Y")</f>
        <v>—</v>
      </c>
      <c r="E8" s="14" t="str">
        <f>_xll.BDH("ALNY US Equity","ENVIRON_DISCLOSURE_SCORE","FY 2005","FY 2005","Currency=USD","Period=FQ","BEST_FPERIOD_OVERRIDE=FQ","FILING_STATUS=MR","Sort=A","Dates=H","DateFormat=P","Fill=—","Direction=H","UseDPDF=Y")</f>
        <v>—</v>
      </c>
      <c r="F8" s="14" t="str">
        <f>_xll.BDH("ALNY US Equity","ENVIRON_DISCLOSURE_SCORE","FY 2006","FY 2006","Currency=USD","Period=FQ","BEST_FPERIOD_OVERRIDE=FQ","FILING_STATUS=MR","Sort=A","Dates=H","DateFormat=P","Fill=—","Direction=H","UseDPDF=Y")</f>
        <v>—</v>
      </c>
      <c r="G8" s="14" t="str">
        <f>_xll.BDH("ALNY US Equity","ENVIRON_DISCLOSURE_SCORE","FY 2007","FY 2007","Currency=USD","Period=FQ","BEST_FPERIOD_OVERRIDE=FQ","FILING_STATUS=MR","Sort=A","Dates=H","DateFormat=P","Fill=—","Direction=H","UseDPDF=Y")</f>
        <v>—</v>
      </c>
      <c r="H8" s="14" t="str">
        <f>_xll.BDH("ALNY US Equity","ENVIRON_DISCLOSURE_SCORE","FY 2008","FY 2008","Currency=USD","Period=FQ","BEST_FPERIOD_OVERRIDE=FQ","FILING_STATUS=MR","Sort=A","Dates=H","DateFormat=P","Fill=—","Direction=H","UseDPDF=Y")</f>
        <v>—</v>
      </c>
      <c r="I8" s="14" t="str">
        <f>_xll.BDH("ALNY US Equity","ENVIRON_DISCLOSURE_SCORE","FY 2009","FY 2009","Currency=USD","Period=FQ","BEST_FPERIOD_OVERRIDE=FQ","FILING_STATUS=MR","Sort=A","Dates=H","DateFormat=P","Fill=—","Direction=H","UseDPDF=Y")</f>
        <v>—</v>
      </c>
      <c r="J8" s="14" t="str">
        <f>_xll.BDH("ALNY US Equity","ENVIRON_DISCLOSURE_SCORE","FY 2010","FY 2010","Currency=USD","Period=FQ","BEST_FPERIOD_OVERRIDE=FQ","FILING_STATUS=MR","Sort=A","Dates=H","DateFormat=P","Fill=—","Direction=H","UseDPDF=Y")</f>
        <v>—</v>
      </c>
      <c r="K8" s="14" t="str">
        <f>_xll.BDH("ALNY US Equity","ENVIRON_DISCLOSURE_SCORE","FY 2011","FY 2011","Currency=USD","Period=FQ","BEST_FPERIOD_OVERRIDE=FQ","FILING_STATUS=MR","Sort=A","Dates=H","DateFormat=P","Fill=—","Direction=H","UseDPDF=Y")</f>
        <v>—</v>
      </c>
      <c r="L8" s="14" t="str">
        <f>_xll.BDH("ALNY US Equity","ENVIRON_DISCLOSURE_SCORE","FY 2012","FY 2012","Currency=USD","Period=FQ","BEST_FPERIOD_OVERRIDE=FQ","FILING_STATUS=MR","Sort=A","Dates=H","DateFormat=P","Fill=—","Direction=H","UseDPDF=Y")</f>
        <v>—</v>
      </c>
      <c r="M8" s="14" t="str">
        <f>_xll.BDH("ALNY US Equity","ENVIRON_DISCLOSURE_SCORE","FY 2013","FY 2013","Currency=USD","Period=FQ","BEST_FPERIOD_OVERRIDE=FQ","FILING_STATUS=MR","Sort=A","Dates=H","DateFormat=P","Fill=—","Direction=H","UseDPDF=Y")</f>
        <v>—</v>
      </c>
      <c r="N8" s="14" t="str">
        <f>_xll.BDH("ALNY US Equity","ENVIRON_DISCLOSURE_SCORE","FY 2014","FY 2014","Currency=USD","Period=FQ","BEST_FPERIOD_OVERRIDE=FQ","FILING_STATUS=MR","Sort=A","Dates=H","DateFormat=P","Fill=—","Direction=H","UseDPDF=Y")</f>
        <v>—</v>
      </c>
      <c r="O8" s="14" t="str">
        <f>_xll.BDH("ALNY US Equity","ENVIRON_DISCLOSURE_SCORE","FY 2015","FY 2015","Currency=USD","Period=FQ","BEST_FPERIOD_OVERRIDE=FQ","FILING_STATUS=MR","Sort=A","Dates=H","DateFormat=P","Fill=—","Direction=H","UseDPDF=Y")</f>
        <v>—</v>
      </c>
      <c r="P8" s="14" t="str">
        <f>_xll.BDH("ALNY US Equity","ENVIRON_DISCLOSURE_SCORE","FY 2016","FY 2016","Currency=USD","Period=FQ","BEST_FPERIOD_OVERRIDE=FQ","FILING_STATUS=MR","Sort=A","Dates=H","DateFormat=P","Fill=—","Direction=H","UseDPDF=Y")</f>
        <v>—</v>
      </c>
      <c r="Q8" s="14" t="str">
        <f>_xll.BDH("ALNY US Equity","ENVIRON_DISCLOSURE_SCORE","FY 2017","FY 2017","Currency=USD","Period=FQ","BEST_FPERIOD_OVERRIDE=FQ","FILING_STATUS=MR","Sort=A","Dates=H","DateFormat=P","Fill=—","Direction=H","UseDPDF=Y")</f>
        <v>—</v>
      </c>
      <c r="R8" s="14" t="str">
        <f>_xll.BDH("ALNY US Equity","ENVIRON_DISCLOSURE_SCORE","FY 2018","FY 2018","Currency=USD","Period=FQ","BEST_FPERIOD_OVERRIDE=FQ","FILING_STATUS=MR","Sort=A","Dates=H","DateFormat=P","Fill=—","Direction=H","UseDPDF=Y")</f>
        <v>—</v>
      </c>
      <c r="S8" s="14" t="str">
        <f>_xll.BDH("ALNY US Equity","ENVIRON_DISCLOSURE_SCORE","FY 2019","FY 2019","Currency=USD","Period=FQ","BEST_FPERIOD_OVERRIDE=FQ","FILING_STATUS=MR","Sort=A","Dates=H","DateFormat=P","Fill=—","Direction=H","UseDPDF=Y")</f>
        <v>—</v>
      </c>
      <c r="T8" s="14" t="str">
        <f>_xll.BDH("ALNY US Equity","ENVIRON_DISCLOSURE_SCORE","FY 2020","FY 2020","Currency=USD","Period=FQ","BEST_FPERIOD_OVERRIDE=FQ","FILING_STATUS=MR","Sort=A","Dates=H","DateFormat=P","Fill=—","Direction=H","UseDPDF=Y")</f>
        <v>—</v>
      </c>
      <c r="U8" s="14" t="str">
        <f>_xll.BDH("ALNY US Equity","ENVIRON_DISCLOSURE_SCORE","FY 2021","FY 2021","Currency=USD","Period=FQ","BEST_FPERIOD_OVERRIDE=FQ","FILING_STATUS=MR","Sort=A","Dates=H","DateFormat=P","Fill=—","Direction=H","UseDPDF=Y")</f>
        <v>—</v>
      </c>
      <c r="V8" s="14" t="str">
        <f>_xll.BDH("ALNY US Equity","ENVIRON_DISCLOSURE_SCORE","FY 2022","FY 2022","Currency=USD","Period=FQ","BEST_FPERIOD_OVERRIDE=FQ","FILING_STATUS=MR","Sort=A","Dates=H","DateFormat=P","Fill=—","Direction=H","UseDPDF=Y")</f>
        <v>—</v>
      </c>
      <c r="W8" s="14" t="str">
        <f>_xll.BDH("ALNY US Equity","ENVIRON_DISCLOSURE_SCORE","FY 2023","FY 2023","Currency=USD","Period=FQ","BEST_FPERIOD_OVERRIDE=FQ","FILING_STATUS=MR","Sort=A","Dates=H","DateFormat=P","Fill=—","Direction=H","UseDPDF=Y")</f>
        <v>—</v>
      </c>
      <c r="X8" s="14" t="str">
        <f>_xll.BDH("ALNY US Equity","ENVIRON_DISCLOSURE_SCORE","FY 2024","FY 2024","Currency=USD","Period=FQ","BEST_FPERIOD_OVERRIDE=FQ","FILING_STATUS=MR","Sort=A","Dates=H","DateFormat=P","Fill=—","Direction=H","UseDPDF=Y")</f>
        <v>—</v>
      </c>
    </row>
    <row r="9" spans="1:24" x14ac:dyDescent="0.25">
      <c r="A9" s="10" t="s">
        <v>1681</v>
      </c>
      <c r="B9" s="10" t="s">
        <v>1682</v>
      </c>
      <c r="C9" s="14" t="str">
        <f>_xll.BDH("ALNY US Equity","SOCIAL_DISCLOSURE_SCORE","FY 2003","FY 2003","Currency=USD","Period=FQ","BEST_FPERIOD_OVERRIDE=FQ","FILING_STATUS=MR","Sort=A","Dates=H","DateFormat=P","Fill=—","Direction=H","UseDPDF=Y")</f>
        <v>—</v>
      </c>
      <c r="D9" s="14" t="str">
        <f>_xll.BDH("ALNY US Equity","SOCIAL_DISCLOSURE_SCORE","FY 2004","FY 2004","Currency=USD","Period=FQ","BEST_FPERIOD_OVERRIDE=FQ","FILING_STATUS=MR","Sort=A","Dates=H","DateFormat=P","Fill=—","Direction=H","UseDPDF=Y")</f>
        <v>—</v>
      </c>
      <c r="E9" s="14" t="str">
        <f>_xll.BDH("ALNY US Equity","SOCIAL_DISCLOSURE_SCORE","FY 2005","FY 2005","Currency=USD","Period=FQ","BEST_FPERIOD_OVERRIDE=FQ","FILING_STATUS=MR","Sort=A","Dates=H","DateFormat=P","Fill=—","Direction=H","UseDPDF=Y")</f>
        <v>—</v>
      </c>
      <c r="F9" s="14" t="str">
        <f>_xll.BDH("ALNY US Equity","SOCIAL_DISCLOSURE_SCORE","FY 2006","FY 2006","Currency=USD","Period=FQ","BEST_FPERIOD_OVERRIDE=FQ","FILING_STATUS=MR","Sort=A","Dates=H","DateFormat=P","Fill=—","Direction=H","UseDPDF=Y")</f>
        <v>—</v>
      </c>
      <c r="G9" s="14" t="str">
        <f>_xll.BDH("ALNY US Equity","SOCIAL_DISCLOSURE_SCORE","FY 2007","FY 2007","Currency=USD","Period=FQ","BEST_FPERIOD_OVERRIDE=FQ","FILING_STATUS=MR","Sort=A","Dates=H","DateFormat=P","Fill=—","Direction=H","UseDPDF=Y")</f>
        <v>—</v>
      </c>
      <c r="H9" s="14" t="str">
        <f>_xll.BDH("ALNY US Equity","SOCIAL_DISCLOSURE_SCORE","FY 2008","FY 2008","Currency=USD","Period=FQ","BEST_FPERIOD_OVERRIDE=FQ","FILING_STATUS=MR","Sort=A","Dates=H","DateFormat=P","Fill=—","Direction=H","UseDPDF=Y")</f>
        <v>—</v>
      </c>
      <c r="I9" s="14" t="str">
        <f>_xll.BDH("ALNY US Equity","SOCIAL_DISCLOSURE_SCORE","FY 2009","FY 2009","Currency=USD","Period=FQ","BEST_FPERIOD_OVERRIDE=FQ","FILING_STATUS=MR","Sort=A","Dates=H","DateFormat=P","Fill=—","Direction=H","UseDPDF=Y")</f>
        <v>—</v>
      </c>
      <c r="J9" s="14" t="str">
        <f>_xll.BDH("ALNY US Equity","SOCIAL_DISCLOSURE_SCORE","FY 2010","FY 2010","Currency=USD","Period=FQ","BEST_FPERIOD_OVERRIDE=FQ","FILING_STATUS=MR","Sort=A","Dates=H","DateFormat=P","Fill=—","Direction=H","UseDPDF=Y")</f>
        <v>—</v>
      </c>
      <c r="K9" s="14" t="str">
        <f>_xll.BDH("ALNY US Equity","SOCIAL_DISCLOSURE_SCORE","FY 2011","FY 2011","Currency=USD","Period=FQ","BEST_FPERIOD_OVERRIDE=FQ","FILING_STATUS=MR","Sort=A","Dates=H","DateFormat=P","Fill=—","Direction=H","UseDPDF=Y")</f>
        <v>—</v>
      </c>
      <c r="L9" s="14" t="str">
        <f>_xll.BDH("ALNY US Equity","SOCIAL_DISCLOSURE_SCORE","FY 2012","FY 2012","Currency=USD","Period=FQ","BEST_FPERIOD_OVERRIDE=FQ","FILING_STATUS=MR","Sort=A","Dates=H","DateFormat=P","Fill=—","Direction=H","UseDPDF=Y")</f>
        <v>—</v>
      </c>
      <c r="M9" s="14" t="str">
        <f>_xll.BDH("ALNY US Equity","SOCIAL_DISCLOSURE_SCORE","FY 2013","FY 2013","Currency=USD","Period=FQ","BEST_FPERIOD_OVERRIDE=FQ","FILING_STATUS=MR","Sort=A","Dates=H","DateFormat=P","Fill=—","Direction=H","UseDPDF=Y")</f>
        <v>—</v>
      </c>
      <c r="N9" s="14" t="str">
        <f>_xll.BDH("ALNY US Equity","SOCIAL_DISCLOSURE_SCORE","FY 2014","FY 2014","Currency=USD","Period=FQ","BEST_FPERIOD_OVERRIDE=FQ","FILING_STATUS=MR","Sort=A","Dates=H","DateFormat=P","Fill=—","Direction=H","UseDPDF=Y")</f>
        <v>—</v>
      </c>
      <c r="O9" s="14" t="str">
        <f>_xll.BDH("ALNY US Equity","SOCIAL_DISCLOSURE_SCORE","FY 2015","FY 2015","Currency=USD","Period=FQ","BEST_FPERIOD_OVERRIDE=FQ","FILING_STATUS=MR","Sort=A","Dates=H","DateFormat=P","Fill=—","Direction=H","UseDPDF=Y")</f>
        <v>—</v>
      </c>
      <c r="P9" s="14" t="str">
        <f>_xll.BDH("ALNY US Equity","SOCIAL_DISCLOSURE_SCORE","FY 2016","FY 2016","Currency=USD","Period=FQ","BEST_FPERIOD_OVERRIDE=FQ","FILING_STATUS=MR","Sort=A","Dates=H","DateFormat=P","Fill=—","Direction=H","UseDPDF=Y")</f>
        <v>—</v>
      </c>
      <c r="Q9" s="14" t="str">
        <f>_xll.BDH("ALNY US Equity","SOCIAL_DISCLOSURE_SCORE","FY 2017","FY 2017","Currency=USD","Period=FQ","BEST_FPERIOD_OVERRIDE=FQ","FILING_STATUS=MR","Sort=A","Dates=H","DateFormat=P","Fill=—","Direction=H","UseDPDF=Y")</f>
        <v>—</v>
      </c>
      <c r="R9" s="14" t="str">
        <f>_xll.BDH("ALNY US Equity","SOCIAL_DISCLOSURE_SCORE","FY 2018","FY 2018","Currency=USD","Period=FQ","BEST_FPERIOD_OVERRIDE=FQ","FILING_STATUS=MR","Sort=A","Dates=H","DateFormat=P","Fill=—","Direction=H","UseDPDF=Y")</f>
        <v>—</v>
      </c>
      <c r="S9" s="14" t="str">
        <f>_xll.BDH("ALNY US Equity","SOCIAL_DISCLOSURE_SCORE","FY 2019","FY 2019","Currency=USD","Period=FQ","BEST_FPERIOD_OVERRIDE=FQ","FILING_STATUS=MR","Sort=A","Dates=H","DateFormat=P","Fill=—","Direction=H","UseDPDF=Y")</f>
        <v>—</v>
      </c>
      <c r="T9" s="14" t="str">
        <f>_xll.BDH("ALNY US Equity","SOCIAL_DISCLOSURE_SCORE","FY 2020","FY 2020","Currency=USD","Period=FQ","BEST_FPERIOD_OVERRIDE=FQ","FILING_STATUS=MR","Sort=A","Dates=H","DateFormat=P","Fill=—","Direction=H","UseDPDF=Y")</f>
        <v>—</v>
      </c>
      <c r="U9" s="14" t="str">
        <f>_xll.BDH("ALNY US Equity","SOCIAL_DISCLOSURE_SCORE","FY 2021","FY 2021","Currency=USD","Period=FQ","BEST_FPERIOD_OVERRIDE=FQ","FILING_STATUS=MR","Sort=A","Dates=H","DateFormat=P","Fill=—","Direction=H","UseDPDF=Y")</f>
        <v>—</v>
      </c>
      <c r="V9" s="14" t="str">
        <f>_xll.BDH("ALNY US Equity","SOCIAL_DISCLOSURE_SCORE","FY 2022","FY 2022","Currency=USD","Period=FQ","BEST_FPERIOD_OVERRIDE=FQ","FILING_STATUS=MR","Sort=A","Dates=H","DateFormat=P","Fill=—","Direction=H","UseDPDF=Y")</f>
        <v>—</v>
      </c>
      <c r="W9" s="14" t="str">
        <f>_xll.BDH("ALNY US Equity","SOCIAL_DISCLOSURE_SCORE","FY 2023","FY 2023","Currency=USD","Period=FQ","BEST_FPERIOD_OVERRIDE=FQ","FILING_STATUS=MR","Sort=A","Dates=H","DateFormat=P","Fill=—","Direction=H","UseDPDF=Y")</f>
        <v>—</v>
      </c>
      <c r="X9" s="14" t="str">
        <f>_xll.BDH("ALNY US Equity","SOCIAL_DISCLOSURE_SCORE","FY 2024","FY 2024","Currency=USD","Period=FQ","BEST_FPERIOD_OVERRIDE=FQ","FILING_STATUS=MR","Sort=A","Dates=H","DateFormat=P","Fill=—","Direction=H","UseDPDF=Y")</f>
        <v>—</v>
      </c>
    </row>
    <row r="10" spans="1:24" x14ac:dyDescent="0.25">
      <c r="A10" s="10" t="s">
        <v>1683</v>
      </c>
      <c r="B10" s="10" t="s">
        <v>1684</v>
      </c>
      <c r="C10" s="14" t="str">
        <f>_xll.BDH("ALNY US Equity","GOVNCE_DISCLOSURE_SCORE","FY 2003","FY 2003","Currency=USD","Period=FQ","BEST_FPERIOD_OVERRIDE=FQ","FILING_STATUS=MR","Sort=A","Dates=H","DateFormat=P","Fill=—","Direction=H","UseDPDF=Y")</f>
        <v>—</v>
      </c>
      <c r="D10" s="14" t="str">
        <f>_xll.BDH("ALNY US Equity","GOVNCE_DISCLOSURE_SCORE","FY 2004","FY 2004","Currency=USD","Period=FQ","BEST_FPERIOD_OVERRIDE=FQ","FILING_STATUS=MR","Sort=A","Dates=H","DateFormat=P","Fill=—","Direction=H","UseDPDF=Y")</f>
        <v>—</v>
      </c>
      <c r="E10" s="14" t="str">
        <f>_xll.BDH("ALNY US Equity","GOVNCE_DISCLOSURE_SCORE","FY 2005","FY 2005","Currency=USD","Period=FQ","BEST_FPERIOD_OVERRIDE=FQ","FILING_STATUS=MR","Sort=A","Dates=H","DateFormat=P","Fill=—","Direction=H","UseDPDF=Y")</f>
        <v>—</v>
      </c>
      <c r="F10" s="14" t="str">
        <f>_xll.BDH("ALNY US Equity","GOVNCE_DISCLOSURE_SCORE","FY 2006","FY 2006","Currency=USD","Period=FQ","BEST_FPERIOD_OVERRIDE=FQ","FILING_STATUS=MR","Sort=A","Dates=H","DateFormat=P","Fill=—","Direction=H","UseDPDF=Y")</f>
        <v>—</v>
      </c>
      <c r="G10" s="14" t="str">
        <f>_xll.BDH("ALNY US Equity","GOVNCE_DISCLOSURE_SCORE","FY 2007","FY 2007","Currency=USD","Period=FQ","BEST_FPERIOD_OVERRIDE=FQ","FILING_STATUS=MR","Sort=A","Dates=H","DateFormat=P","Fill=—","Direction=H","UseDPDF=Y")</f>
        <v>—</v>
      </c>
      <c r="H10" s="14" t="str">
        <f>_xll.BDH("ALNY US Equity","GOVNCE_DISCLOSURE_SCORE","FY 2008","FY 2008","Currency=USD","Period=FQ","BEST_FPERIOD_OVERRIDE=FQ","FILING_STATUS=MR","Sort=A","Dates=H","DateFormat=P","Fill=—","Direction=H","UseDPDF=Y")</f>
        <v>—</v>
      </c>
      <c r="I10" s="14" t="str">
        <f>_xll.BDH("ALNY US Equity","GOVNCE_DISCLOSURE_SCORE","FY 2009","FY 2009","Currency=USD","Period=FQ","BEST_FPERIOD_OVERRIDE=FQ","FILING_STATUS=MR","Sort=A","Dates=H","DateFormat=P","Fill=—","Direction=H","UseDPDF=Y")</f>
        <v>—</v>
      </c>
      <c r="J10" s="14" t="str">
        <f>_xll.BDH("ALNY US Equity","GOVNCE_DISCLOSURE_SCORE","FY 2010","FY 2010","Currency=USD","Period=FQ","BEST_FPERIOD_OVERRIDE=FQ","FILING_STATUS=MR","Sort=A","Dates=H","DateFormat=P","Fill=—","Direction=H","UseDPDF=Y")</f>
        <v>—</v>
      </c>
      <c r="K10" s="14" t="str">
        <f>_xll.BDH("ALNY US Equity","GOVNCE_DISCLOSURE_SCORE","FY 2011","FY 2011","Currency=USD","Period=FQ","BEST_FPERIOD_OVERRIDE=FQ","FILING_STATUS=MR","Sort=A","Dates=H","DateFormat=P","Fill=—","Direction=H","UseDPDF=Y")</f>
        <v>—</v>
      </c>
      <c r="L10" s="14" t="str">
        <f>_xll.BDH("ALNY US Equity","GOVNCE_DISCLOSURE_SCORE","FY 2012","FY 2012","Currency=USD","Period=FQ","BEST_FPERIOD_OVERRIDE=FQ","FILING_STATUS=MR","Sort=A","Dates=H","DateFormat=P","Fill=—","Direction=H","UseDPDF=Y")</f>
        <v>—</v>
      </c>
      <c r="M10" s="14" t="str">
        <f>_xll.BDH("ALNY US Equity","GOVNCE_DISCLOSURE_SCORE","FY 2013","FY 2013","Currency=USD","Period=FQ","BEST_FPERIOD_OVERRIDE=FQ","FILING_STATUS=MR","Sort=A","Dates=H","DateFormat=P","Fill=—","Direction=H","UseDPDF=Y")</f>
        <v>—</v>
      </c>
      <c r="N10" s="14" t="str">
        <f>_xll.BDH("ALNY US Equity","GOVNCE_DISCLOSURE_SCORE","FY 2014","FY 2014","Currency=USD","Period=FQ","BEST_FPERIOD_OVERRIDE=FQ","FILING_STATUS=MR","Sort=A","Dates=H","DateFormat=P","Fill=—","Direction=H","UseDPDF=Y")</f>
        <v>—</v>
      </c>
      <c r="O10" s="14" t="str">
        <f>_xll.BDH("ALNY US Equity","GOVNCE_DISCLOSURE_SCORE","FY 2015","FY 2015","Currency=USD","Period=FQ","BEST_FPERIOD_OVERRIDE=FQ","FILING_STATUS=MR","Sort=A","Dates=H","DateFormat=P","Fill=—","Direction=H","UseDPDF=Y")</f>
        <v>—</v>
      </c>
      <c r="P10" s="14" t="str">
        <f>_xll.BDH("ALNY US Equity","GOVNCE_DISCLOSURE_SCORE","FY 2016","FY 2016","Currency=USD","Period=FQ","BEST_FPERIOD_OVERRIDE=FQ","FILING_STATUS=MR","Sort=A","Dates=H","DateFormat=P","Fill=—","Direction=H","UseDPDF=Y")</f>
        <v>—</v>
      </c>
      <c r="Q10" s="14" t="str">
        <f>_xll.BDH("ALNY US Equity","GOVNCE_DISCLOSURE_SCORE","FY 2017","FY 2017","Currency=USD","Period=FQ","BEST_FPERIOD_OVERRIDE=FQ","FILING_STATUS=MR","Sort=A","Dates=H","DateFormat=P","Fill=—","Direction=H","UseDPDF=Y")</f>
        <v>—</v>
      </c>
      <c r="R10" s="14" t="str">
        <f>_xll.BDH("ALNY US Equity","GOVNCE_DISCLOSURE_SCORE","FY 2018","FY 2018","Currency=USD","Period=FQ","BEST_FPERIOD_OVERRIDE=FQ","FILING_STATUS=MR","Sort=A","Dates=H","DateFormat=P","Fill=—","Direction=H","UseDPDF=Y")</f>
        <v>—</v>
      </c>
      <c r="S10" s="14" t="str">
        <f>_xll.BDH("ALNY US Equity","GOVNCE_DISCLOSURE_SCORE","FY 2019","FY 2019","Currency=USD","Period=FQ","BEST_FPERIOD_OVERRIDE=FQ","FILING_STATUS=MR","Sort=A","Dates=H","DateFormat=P","Fill=—","Direction=H","UseDPDF=Y")</f>
        <v>—</v>
      </c>
      <c r="T10" s="14" t="str">
        <f>_xll.BDH("ALNY US Equity","GOVNCE_DISCLOSURE_SCORE","FY 2020","FY 2020","Currency=USD","Period=FQ","BEST_FPERIOD_OVERRIDE=FQ","FILING_STATUS=MR","Sort=A","Dates=H","DateFormat=P","Fill=—","Direction=H","UseDPDF=Y")</f>
        <v>—</v>
      </c>
      <c r="U10" s="14" t="str">
        <f>_xll.BDH("ALNY US Equity","GOVNCE_DISCLOSURE_SCORE","FY 2021","FY 2021","Currency=USD","Period=FQ","BEST_FPERIOD_OVERRIDE=FQ","FILING_STATUS=MR","Sort=A","Dates=H","DateFormat=P","Fill=—","Direction=H","UseDPDF=Y")</f>
        <v>—</v>
      </c>
      <c r="V10" s="14" t="str">
        <f>_xll.BDH("ALNY US Equity","GOVNCE_DISCLOSURE_SCORE","FY 2022","FY 2022","Currency=USD","Period=FQ","BEST_FPERIOD_OVERRIDE=FQ","FILING_STATUS=MR","Sort=A","Dates=H","DateFormat=P","Fill=—","Direction=H","UseDPDF=Y")</f>
        <v>—</v>
      </c>
      <c r="W10" s="14" t="str">
        <f>_xll.BDH("ALNY US Equity","GOVNCE_DISCLOSURE_SCORE","FY 2023","FY 2023","Currency=USD","Period=FQ","BEST_FPERIOD_OVERRIDE=FQ","FILING_STATUS=MR","Sort=A","Dates=H","DateFormat=P","Fill=—","Direction=H","UseDPDF=Y")</f>
        <v>—</v>
      </c>
      <c r="X10" s="14" t="str">
        <f>_xll.BDH("ALNY US Equity","GOVNCE_DISCLOSURE_SCORE","FY 2024","FY 2024","Currency=USD","Period=FQ","BEST_FPERIOD_OVERRIDE=FQ","FILING_STATUS=MR","Sort=A","Dates=H","DateFormat=P","Fill=—","Direction=H","UseDPDF=Y")</f>
        <v>—</v>
      </c>
    </row>
    <row r="11" spans="1:24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6" t="s">
        <v>1685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5">
      <c r="A13" s="10" t="s">
        <v>1686</v>
      </c>
      <c r="B13" s="10" t="s">
        <v>1687</v>
      </c>
      <c r="C13" s="14" t="str">
        <f>_xll.BDH("ALNY US Equity","GHG_INTENSITY_PER_SALES","FY 2003","FY 2003","Currency=USD","Period=FQ","BEST_FPERIOD_OVERRIDE=FQ","FILING_STATUS=MR","FA_ADJUSTED=GAAP","Sort=A","Dates=H","DateFormat=P","Fill=—","Direction=H","UseDPDF=Y")</f>
        <v>—</v>
      </c>
      <c r="D13" s="14" t="str">
        <f>_xll.BDH("ALNY US Equity","GHG_INTENSITY_PER_SALES","FY 2004","FY 2004","Currency=USD","Period=FQ","BEST_FPERIOD_OVERRIDE=FQ","FILING_STATUS=MR","FA_ADJUSTED=GAAP","Sort=A","Dates=H","DateFormat=P","Fill=—","Direction=H","UseDPDF=Y")</f>
        <v>—</v>
      </c>
      <c r="E13" s="14" t="str">
        <f>_xll.BDH("ALNY US Equity","GHG_INTENSITY_PER_SALES","FY 2005","FY 2005","Currency=USD","Period=FQ","BEST_FPERIOD_OVERRIDE=FQ","FILING_STATUS=MR","FA_ADJUSTED=GAAP","Sort=A","Dates=H","DateFormat=P","Fill=—","Direction=H","UseDPDF=Y")</f>
        <v>—</v>
      </c>
      <c r="F13" s="14" t="str">
        <f>_xll.BDH("ALNY US Equity","GHG_INTENSITY_PER_SALES","FY 2006","FY 2006","Currency=USD","Period=FQ","BEST_FPERIOD_OVERRIDE=FQ","FILING_STATUS=MR","FA_ADJUSTED=GAAP","Sort=A","Dates=H","DateFormat=P","Fill=—","Direction=H","UseDPDF=Y")</f>
        <v>—</v>
      </c>
      <c r="G13" s="14" t="str">
        <f>_xll.BDH("ALNY US Equity","GHG_INTENSITY_PER_SALES","FY 2007","FY 2007","Currency=USD","Period=FQ","BEST_FPERIOD_OVERRIDE=FQ","FILING_STATUS=MR","FA_ADJUSTED=GAAP","Sort=A","Dates=H","DateFormat=P","Fill=—","Direction=H","UseDPDF=Y")</f>
        <v>—</v>
      </c>
      <c r="H13" s="14" t="str">
        <f>_xll.BDH("ALNY US Equity","GHG_INTENSITY_PER_SALES","FY 2008","FY 2008","Currency=USD","Period=FQ","BEST_FPERIOD_OVERRIDE=FQ","FILING_STATUS=MR","FA_ADJUSTED=GAAP","Sort=A","Dates=H","DateFormat=P","Fill=—","Direction=H","UseDPDF=Y")</f>
        <v>—</v>
      </c>
      <c r="I13" s="14" t="str">
        <f>_xll.BDH("ALNY US Equity","GHG_INTENSITY_PER_SALES","FY 2009","FY 2009","Currency=USD","Period=FQ","BEST_FPERIOD_OVERRIDE=FQ","FILING_STATUS=MR","FA_ADJUSTED=GAAP","Sort=A","Dates=H","DateFormat=P","Fill=—","Direction=H","UseDPDF=Y")</f>
        <v>—</v>
      </c>
      <c r="J13" s="14" t="str">
        <f>_xll.BDH("ALNY US Equity","GHG_INTENSITY_PER_SALES","FY 2010","FY 2010","Currency=USD","Period=FQ","BEST_FPERIOD_OVERRIDE=FQ","FILING_STATUS=MR","FA_ADJUSTED=GAAP","Sort=A","Dates=H","DateFormat=P","Fill=—","Direction=H","UseDPDF=Y")</f>
        <v>—</v>
      </c>
      <c r="K13" s="14" t="str">
        <f>_xll.BDH("ALNY US Equity","GHG_INTENSITY_PER_SALES","FY 2011","FY 2011","Currency=USD","Period=FQ","BEST_FPERIOD_OVERRIDE=FQ","FILING_STATUS=MR","FA_ADJUSTED=GAAP","Sort=A","Dates=H","DateFormat=P","Fill=—","Direction=H","UseDPDF=Y")</f>
        <v>—</v>
      </c>
      <c r="L13" s="14" t="str">
        <f>_xll.BDH("ALNY US Equity","GHG_INTENSITY_PER_SALES","FY 2012","FY 2012","Currency=USD","Period=FQ","BEST_FPERIOD_OVERRIDE=FQ","FILING_STATUS=MR","FA_ADJUSTED=GAAP","Sort=A","Dates=H","DateFormat=P","Fill=—","Direction=H","UseDPDF=Y")</f>
        <v>—</v>
      </c>
      <c r="M13" s="14" t="str">
        <f>_xll.BDH("ALNY US Equity","GHG_INTENSITY_PER_SALES","FY 2013","FY 2013","Currency=USD","Period=FQ","BEST_FPERIOD_OVERRIDE=FQ","FILING_STATUS=MR","FA_ADJUSTED=GAAP","Sort=A","Dates=H","DateFormat=P","Fill=—","Direction=H","UseDPDF=Y")</f>
        <v>—</v>
      </c>
      <c r="N13" s="14" t="str">
        <f>_xll.BDH("ALNY US Equity","GHG_INTENSITY_PER_SALES","FY 2014","FY 2014","Currency=USD","Period=FQ","BEST_FPERIOD_OVERRIDE=FQ","FILING_STATUS=MR","FA_ADJUSTED=GAAP","Sort=A","Dates=H","DateFormat=P","Fill=—","Direction=H","UseDPDF=Y")</f>
        <v>—</v>
      </c>
      <c r="O13" s="14" t="str">
        <f>_xll.BDH("ALNY US Equity","GHG_INTENSITY_PER_SALES","FY 2015","FY 2015","Currency=USD","Period=FQ","BEST_FPERIOD_OVERRIDE=FQ","FILING_STATUS=MR","FA_ADJUSTED=GAAP","Sort=A","Dates=H","DateFormat=P","Fill=—","Direction=H","UseDPDF=Y")</f>
        <v>—</v>
      </c>
      <c r="P13" s="14" t="str">
        <f>_xll.BDH("ALNY US Equity","GHG_INTENSITY_PER_SALES","FY 2016","FY 2016","Currency=USD","Period=FQ","BEST_FPERIOD_OVERRIDE=FQ","FILING_STATUS=MR","FA_ADJUSTED=GAAP","Sort=A","Dates=H","DateFormat=P","Fill=—","Direction=H","UseDPDF=Y")</f>
        <v>—</v>
      </c>
      <c r="Q13" s="14" t="str">
        <f>_xll.BDH("ALNY US Equity","GHG_INTENSITY_PER_SALES","FY 2017","FY 2017","Currency=USD","Period=FQ","BEST_FPERIOD_OVERRIDE=FQ","FILING_STATUS=MR","FA_ADJUSTED=GAAP","Sort=A","Dates=H","DateFormat=P","Fill=—","Direction=H","UseDPDF=Y")</f>
        <v>—</v>
      </c>
      <c r="R13" s="14" t="str">
        <f>_xll.BDH("ALNY US Equity","GHG_INTENSITY_PER_SALES","FY 2018","FY 2018","Currency=USD","Period=FQ","BEST_FPERIOD_OVERRIDE=FQ","FILING_STATUS=MR","FA_ADJUSTED=GAAP","Sort=A","Dates=H","DateFormat=P","Fill=—","Direction=H","UseDPDF=Y")</f>
        <v>—</v>
      </c>
      <c r="S13" s="14" t="str">
        <f>_xll.BDH("ALNY US Equity","GHG_INTENSITY_PER_SALES","FY 2019","FY 2019","Currency=USD","Period=FQ","BEST_FPERIOD_OVERRIDE=FQ","FILING_STATUS=MR","FA_ADJUSTED=GAAP","Sort=A","Dates=H","DateFormat=P","Fill=—","Direction=H","UseDPDF=Y")</f>
        <v>—</v>
      </c>
      <c r="T13" s="14" t="str">
        <f>_xll.BDH("ALNY US Equity","GHG_INTENSITY_PER_SALES","FY 2020","FY 2020","Currency=USD","Period=FQ","BEST_FPERIOD_OVERRIDE=FQ","FILING_STATUS=MR","FA_ADJUSTED=GAAP","Sort=A","Dates=H","DateFormat=P","Fill=—","Direction=H","UseDPDF=Y")</f>
        <v>—</v>
      </c>
      <c r="U13" s="14" t="str">
        <f>_xll.BDH("ALNY US Equity","GHG_INTENSITY_PER_SALES","FY 2021","FY 2021","Currency=USD","Period=FQ","BEST_FPERIOD_OVERRIDE=FQ","FILING_STATUS=MR","FA_ADJUSTED=GAAP","Sort=A","Dates=H","DateFormat=P","Fill=—","Direction=H","UseDPDF=Y")</f>
        <v>—</v>
      </c>
      <c r="V13" s="14" t="str">
        <f>_xll.BDH("ALNY US Equity","GHG_INTENSITY_PER_SALES","FY 2022","FY 2022","Currency=USD","Period=FQ","BEST_FPERIOD_OVERRIDE=FQ","FILING_STATUS=MR","FA_ADJUSTED=GAAP","Sort=A","Dates=H","DateFormat=P","Fill=—","Direction=H","UseDPDF=Y")</f>
        <v>—</v>
      </c>
      <c r="W13" s="14" t="str">
        <f>_xll.BDH("ALNY US Equity","GHG_INTENSITY_PER_SALES","FY 2023","FY 2023","Currency=USD","Period=FQ","BEST_FPERIOD_OVERRIDE=FQ","FILING_STATUS=MR","FA_ADJUSTED=GAAP","Sort=A","Dates=H","DateFormat=P","Fill=—","Direction=H","UseDPDF=Y")</f>
        <v>—</v>
      </c>
      <c r="X13" s="14" t="str">
        <f>_xll.BDH("ALNY US Equity","GHG_INTENSITY_PER_SALES","FY 2024","FY 2024","Currency=USD","Period=FQ","BEST_FPERIOD_OVERRIDE=FQ","FILING_STATUS=MR","FA_ADJUSTED=GAAP","Sort=A","Dates=H","DateFormat=P","Fill=—","Direction=H","UseDPDF=Y")</f>
        <v>—</v>
      </c>
    </row>
    <row r="14" spans="1:24" x14ac:dyDescent="0.25">
      <c r="A14" s="10" t="s">
        <v>1688</v>
      </c>
      <c r="B14" s="10" t="s">
        <v>1689</v>
      </c>
      <c r="C14" s="14" t="str">
        <f>_xll.BDH("ALNY US Equity","GHG_SCOPE_1_INTENSITY_PER_SALES","FY 2003","FY 2003","Currency=USD","Period=FQ","BEST_FPERIOD_OVERRIDE=FQ","FILING_STATUS=MR","FA_ADJUSTED=GAAP","Sort=A","Dates=H","DateFormat=P","Fill=—","Direction=H","UseDPDF=Y")</f>
        <v>—</v>
      </c>
      <c r="D14" s="14" t="str">
        <f>_xll.BDH("ALNY US Equity","GHG_SCOPE_1_INTENSITY_PER_SALES","FY 2004","FY 2004","Currency=USD","Period=FQ","BEST_FPERIOD_OVERRIDE=FQ","FILING_STATUS=MR","FA_ADJUSTED=GAAP","Sort=A","Dates=H","DateFormat=P","Fill=—","Direction=H","UseDPDF=Y")</f>
        <v>—</v>
      </c>
      <c r="E14" s="14" t="str">
        <f>_xll.BDH("ALNY US Equity","GHG_SCOPE_1_INTENSITY_PER_SALES","FY 2005","FY 2005","Currency=USD","Period=FQ","BEST_FPERIOD_OVERRIDE=FQ","FILING_STATUS=MR","FA_ADJUSTED=GAAP","Sort=A","Dates=H","DateFormat=P","Fill=—","Direction=H","UseDPDF=Y")</f>
        <v>—</v>
      </c>
      <c r="F14" s="14" t="str">
        <f>_xll.BDH("ALNY US Equity","GHG_SCOPE_1_INTENSITY_PER_SALES","FY 2006","FY 2006","Currency=USD","Period=FQ","BEST_FPERIOD_OVERRIDE=FQ","FILING_STATUS=MR","FA_ADJUSTED=GAAP","Sort=A","Dates=H","DateFormat=P","Fill=—","Direction=H","UseDPDF=Y")</f>
        <v>—</v>
      </c>
      <c r="G14" s="14" t="str">
        <f>_xll.BDH("ALNY US Equity","GHG_SCOPE_1_INTENSITY_PER_SALES","FY 2007","FY 2007","Currency=USD","Period=FQ","BEST_FPERIOD_OVERRIDE=FQ","FILING_STATUS=MR","FA_ADJUSTED=GAAP","Sort=A","Dates=H","DateFormat=P","Fill=—","Direction=H","UseDPDF=Y")</f>
        <v>—</v>
      </c>
      <c r="H14" s="14" t="str">
        <f>_xll.BDH("ALNY US Equity","GHG_SCOPE_1_INTENSITY_PER_SALES","FY 2008","FY 2008","Currency=USD","Period=FQ","BEST_FPERIOD_OVERRIDE=FQ","FILING_STATUS=MR","FA_ADJUSTED=GAAP","Sort=A","Dates=H","DateFormat=P","Fill=—","Direction=H","UseDPDF=Y")</f>
        <v>—</v>
      </c>
      <c r="I14" s="14" t="str">
        <f>_xll.BDH("ALNY US Equity","GHG_SCOPE_1_INTENSITY_PER_SALES","FY 2009","FY 2009","Currency=USD","Period=FQ","BEST_FPERIOD_OVERRIDE=FQ","FILING_STATUS=MR","FA_ADJUSTED=GAAP","Sort=A","Dates=H","DateFormat=P","Fill=—","Direction=H","UseDPDF=Y")</f>
        <v>—</v>
      </c>
      <c r="J14" s="14" t="str">
        <f>_xll.BDH("ALNY US Equity","GHG_SCOPE_1_INTENSITY_PER_SALES","FY 2010","FY 2010","Currency=USD","Period=FQ","BEST_FPERIOD_OVERRIDE=FQ","FILING_STATUS=MR","FA_ADJUSTED=GAAP","Sort=A","Dates=H","DateFormat=P","Fill=—","Direction=H","UseDPDF=Y")</f>
        <v>—</v>
      </c>
      <c r="K14" s="14" t="str">
        <f>_xll.BDH("ALNY US Equity","GHG_SCOPE_1_INTENSITY_PER_SALES","FY 2011","FY 2011","Currency=USD","Period=FQ","BEST_FPERIOD_OVERRIDE=FQ","FILING_STATUS=MR","FA_ADJUSTED=GAAP","Sort=A","Dates=H","DateFormat=P","Fill=—","Direction=H","UseDPDF=Y")</f>
        <v>—</v>
      </c>
      <c r="L14" s="14" t="str">
        <f>_xll.BDH("ALNY US Equity","GHG_SCOPE_1_INTENSITY_PER_SALES","FY 2012","FY 2012","Currency=USD","Period=FQ","BEST_FPERIOD_OVERRIDE=FQ","FILING_STATUS=MR","FA_ADJUSTED=GAAP","Sort=A","Dates=H","DateFormat=P","Fill=—","Direction=H","UseDPDF=Y")</f>
        <v>—</v>
      </c>
      <c r="M14" s="14" t="str">
        <f>_xll.BDH("ALNY US Equity","GHG_SCOPE_1_INTENSITY_PER_SALES","FY 2013","FY 2013","Currency=USD","Period=FQ","BEST_FPERIOD_OVERRIDE=FQ","FILING_STATUS=MR","FA_ADJUSTED=GAAP","Sort=A","Dates=H","DateFormat=P","Fill=—","Direction=H","UseDPDF=Y")</f>
        <v>—</v>
      </c>
      <c r="N14" s="14" t="str">
        <f>_xll.BDH("ALNY US Equity","GHG_SCOPE_1_INTENSITY_PER_SALES","FY 2014","FY 2014","Currency=USD","Period=FQ","BEST_FPERIOD_OVERRIDE=FQ","FILING_STATUS=MR","FA_ADJUSTED=GAAP","Sort=A","Dates=H","DateFormat=P","Fill=—","Direction=H","UseDPDF=Y")</f>
        <v>—</v>
      </c>
      <c r="O14" s="14" t="str">
        <f>_xll.BDH("ALNY US Equity","GHG_SCOPE_1_INTENSITY_PER_SALES","FY 2015","FY 2015","Currency=USD","Period=FQ","BEST_FPERIOD_OVERRIDE=FQ","FILING_STATUS=MR","FA_ADJUSTED=GAAP","Sort=A","Dates=H","DateFormat=P","Fill=—","Direction=H","UseDPDF=Y")</f>
        <v>—</v>
      </c>
      <c r="P14" s="14" t="str">
        <f>_xll.BDH("ALNY US Equity","GHG_SCOPE_1_INTENSITY_PER_SALES","FY 2016","FY 2016","Currency=USD","Period=FQ","BEST_FPERIOD_OVERRIDE=FQ","FILING_STATUS=MR","FA_ADJUSTED=GAAP","Sort=A","Dates=H","DateFormat=P","Fill=—","Direction=H","UseDPDF=Y")</f>
        <v>—</v>
      </c>
      <c r="Q14" s="14" t="str">
        <f>_xll.BDH("ALNY US Equity","GHG_SCOPE_1_INTENSITY_PER_SALES","FY 2017","FY 2017","Currency=USD","Period=FQ","BEST_FPERIOD_OVERRIDE=FQ","FILING_STATUS=MR","FA_ADJUSTED=GAAP","Sort=A","Dates=H","DateFormat=P","Fill=—","Direction=H","UseDPDF=Y")</f>
        <v>—</v>
      </c>
      <c r="R14" s="14" t="str">
        <f>_xll.BDH("ALNY US Equity","GHG_SCOPE_1_INTENSITY_PER_SALES","FY 2018","FY 2018","Currency=USD","Period=FQ","BEST_FPERIOD_OVERRIDE=FQ","FILING_STATUS=MR","FA_ADJUSTED=GAAP","Sort=A","Dates=H","DateFormat=P","Fill=—","Direction=H","UseDPDF=Y")</f>
        <v>—</v>
      </c>
      <c r="S14" s="14" t="str">
        <f>_xll.BDH("ALNY US Equity","GHG_SCOPE_1_INTENSITY_PER_SALES","FY 2019","FY 2019","Currency=USD","Period=FQ","BEST_FPERIOD_OVERRIDE=FQ","FILING_STATUS=MR","FA_ADJUSTED=GAAP","Sort=A","Dates=H","DateFormat=P","Fill=—","Direction=H","UseDPDF=Y")</f>
        <v>—</v>
      </c>
      <c r="T14" s="14" t="str">
        <f>_xll.BDH("ALNY US Equity","GHG_SCOPE_1_INTENSITY_PER_SALES","FY 2020","FY 2020","Currency=USD","Period=FQ","BEST_FPERIOD_OVERRIDE=FQ","FILING_STATUS=MR","FA_ADJUSTED=GAAP","Sort=A","Dates=H","DateFormat=P","Fill=—","Direction=H","UseDPDF=Y")</f>
        <v>—</v>
      </c>
      <c r="U14" s="14" t="str">
        <f>_xll.BDH("ALNY US Equity","GHG_SCOPE_1_INTENSITY_PER_SALES","FY 2021","FY 2021","Currency=USD","Period=FQ","BEST_FPERIOD_OVERRIDE=FQ","FILING_STATUS=MR","FA_ADJUSTED=GAAP","Sort=A","Dates=H","DateFormat=P","Fill=—","Direction=H","UseDPDF=Y")</f>
        <v>—</v>
      </c>
      <c r="V14" s="14" t="str">
        <f>_xll.BDH("ALNY US Equity","GHG_SCOPE_1_INTENSITY_PER_SALES","FY 2022","FY 2022","Currency=USD","Period=FQ","BEST_FPERIOD_OVERRIDE=FQ","FILING_STATUS=MR","FA_ADJUSTED=GAAP","Sort=A","Dates=H","DateFormat=P","Fill=—","Direction=H","UseDPDF=Y")</f>
        <v>—</v>
      </c>
      <c r="W14" s="14" t="str">
        <f>_xll.BDH("ALNY US Equity","GHG_SCOPE_1_INTENSITY_PER_SALES","FY 2023","FY 2023","Currency=USD","Period=FQ","BEST_FPERIOD_OVERRIDE=FQ","FILING_STATUS=MR","FA_ADJUSTED=GAAP","Sort=A","Dates=H","DateFormat=P","Fill=—","Direction=H","UseDPDF=Y")</f>
        <v>—</v>
      </c>
      <c r="X14" s="14" t="str">
        <f>_xll.BDH("ALNY US Equity","GHG_SCOPE_1_INTENSITY_PER_SALES","FY 2024","FY 2024","Currency=USD","Period=FQ","BEST_FPERIOD_OVERRIDE=FQ","FILING_STATUS=MR","FA_ADJUSTED=GAAP","Sort=A","Dates=H","DateFormat=P","Fill=—","Direction=H","UseDPDF=Y")</f>
        <v>—</v>
      </c>
    </row>
    <row r="15" spans="1:24" x14ac:dyDescent="0.25">
      <c r="A15" s="10" t="s">
        <v>1690</v>
      </c>
      <c r="B15" s="10" t="s">
        <v>1691</v>
      </c>
      <c r="C15" s="14" t="str">
        <f>_xll.BDH("ALNY US Equity","GHG_SCOPE_2_INTENSITY_PER_SALES","FY 2003","FY 2003","Currency=USD","Period=FQ","BEST_FPERIOD_OVERRIDE=FQ","FILING_STATUS=MR","FA_ADJUSTED=GAAP","Sort=A","Dates=H","DateFormat=P","Fill=—","Direction=H","UseDPDF=Y")</f>
        <v>—</v>
      </c>
      <c r="D15" s="14" t="str">
        <f>_xll.BDH("ALNY US Equity","GHG_SCOPE_2_INTENSITY_PER_SALES","FY 2004","FY 2004","Currency=USD","Period=FQ","BEST_FPERIOD_OVERRIDE=FQ","FILING_STATUS=MR","FA_ADJUSTED=GAAP","Sort=A","Dates=H","DateFormat=P","Fill=—","Direction=H","UseDPDF=Y")</f>
        <v>—</v>
      </c>
      <c r="E15" s="14" t="str">
        <f>_xll.BDH("ALNY US Equity","GHG_SCOPE_2_INTENSITY_PER_SALES","FY 2005","FY 2005","Currency=USD","Period=FQ","BEST_FPERIOD_OVERRIDE=FQ","FILING_STATUS=MR","FA_ADJUSTED=GAAP","Sort=A","Dates=H","DateFormat=P","Fill=—","Direction=H","UseDPDF=Y")</f>
        <v>—</v>
      </c>
      <c r="F15" s="14" t="str">
        <f>_xll.BDH("ALNY US Equity","GHG_SCOPE_2_INTENSITY_PER_SALES","FY 2006","FY 2006","Currency=USD","Period=FQ","BEST_FPERIOD_OVERRIDE=FQ","FILING_STATUS=MR","FA_ADJUSTED=GAAP","Sort=A","Dates=H","DateFormat=P","Fill=—","Direction=H","UseDPDF=Y")</f>
        <v>—</v>
      </c>
      <c r="G15" s="14" t="str">
        <f>_xll.BDH("ALNY US Equity","GHG_SCOPE_2_INTENSITY_PER_SALES","FY 2007","FY 2007","Currency=USD","Period=FQ","BEST_FPERIOD_OVERRIDE=FQ","FILING_STATUS=MR","FA_ADJUSTED=GAAP","Sort=A","Dates=H","DateFormat=P","Fill=—","Direction=H","UseDPDF=Y")</f>
        <v>—</v>
      </c>
      <c r="H15" s="14" t="str">
        <f>_xll.BDH("ALNY US Equity","GHG_SCOPE_2_INTENSITY_PER_SALES","FY 2008","FY 2008","Currency=USD","Period=FQ","BEST_FPERIOD_OVERRIDE=FQ","FILING_STATUS=MR","FA_ADJUSTED=GAAP","Sort=A","Dates=H","DateFormat=P","Fill=—","Direction=H","UseDPDF=Y")</f>
        <v>—</v>
      </c>
      <c r="I15" s="14" t="str">
        <f>_xll.BDH("ALNY US Equity","GHG_SCOPE_2_INTENSITY_PER_SALES","FY 2009","FY 2009","Currency=USD","Period=FQ","BEST_FPERIOD_OVERRIDE=FQ","FILING_STATUS=MR","FA_ADJUSTED=GAAP","Sort=A","Dates=H","DateFormat=P","Fill=—","Direction=H","UseDPDF=Y")</f>
        <v>—</v>
      </c>
      <c r="J15" s="14" t="str">
        <f>_xll.BDH("ALNY US Equity","GHG_SCOPE_2_INTENSITY_PER_SALES","FY 2010","FY 2010","Currency=USD","Period=FQ","BEST_FPERIOD_OVERRIDE=FQ","FILING_STATUS=MR","FA_ADJUSTED=GAAP","Sort=A","Dates=H","DateFormat=P","Fill=—","Direction=H","UseDPDF=Y")</f>
        <v>—</v>
      </c>
      <c r="K15" s="14" t="str">
        <f>_xll.BDH("ALNY US Equity","GHG_SCOPE_2_INTENSITY_PER_SALES","FY 2011","FY 2011","Currency=USD","Period=FQ","BEST_FPERIOD_OVERRIDE=FQ","FILING_STATUS=MR","FA_ADJUSTED=GAAP","Sort=A","Dates=H","DateFormat=P","Fill=—","Direction=H","UseDPDF=Y")</f>
        <v>—</v>
      </c>
      <c r="L15" s="14" t="str">
        <f>_xll.BDH("ALNY US Equity","GHG_SCOPE_2_INTENSITY_PER_SALES","FY 2012","FY 2012","Currency=USD","Period=FQ","BEST_FPERIOD_OVERRIDE=FQ","FILING_STATUS=MR","FA_ADJUSTED=GAAP","Sort=A","Dates=H","DateFormat=P","Fill=—","Direction=H","UseDPDF=Y")</f>
        <v>—</v>
      </c>
      <c r="M15" s="14" t="str">
        <f>_xll.BDH("ALNY US Equity","GHG_SCOPE_2_INTENSITY_PER_SALES","FY 2013","FY 2013","Currency=USD","Period=FQ","BEST_FPERIOD_OVERRIDE=FQ","FILING_STATUS=MR","FA_ADJUSTED=GAAP","Sort=A","Dates=H","DateFormat=P","Fill=—","Direction=H","UseDPDF=Y")</f>
        <v>—</v>
      </c>
      <c r="N15" s="14" t="str">
        <f>_xll.BDH("ALNY US Equity","GHG_SCOPE_2_INTENSITY_PER_SALES","FY 2014","FY 2014","Currency=USD","Period=FQ","BEST_FPERIOD_OVERRIDE=FQ","FILING_STATUS=MR","FA_ADJUSTED=GAAP","Sort=A","Dates=H","DateFormat=P","Fill=—","Direction=H","UseDPDF=Y")</f>
        <v>—</v>
      </c>
      <c r="O15" s="14" t="str">
        <f>_xll.BDH("ALNY US Equity","GHG_SCOPE_2_INTENSITY_PER_SALES","FY 2015","FY 2015","Currency=USD","Period=FQ","BEST_FPERIOD_OVERRIDE=FQ","FILING_STATUS=MR","FA_ADJUSTED=GAAP","Sort=A","Dates=H","DateFormat=P","Fill=—","Direction=H","UseDPDF=Y")</f>
        <v>—</v>
      </c>
      <c r="P15" s="14" t="str">
        <f>_xll.BDH("ALNY US Equity","GHG_SCOPE_2_INTENSITY_PER_SALES","FY 2016","FY 2016","Currency=USD","Period=FQ","BEST_FPERIOD_OVERRIDE=FQ","FILING_STATUS=MR","FA_ADJUSTED=GAAP","Sort=A","Dates=H","DateFormat=P","Fill=—","Direction=H","UseDPDF=Y")</f>
        <v>—</v>
      </c>
      <c r="Q15" s="14" t="str">
        <f>_xll.BDH("ALNY US Equity","GHG_SCOPE_2_INTENSITY_PER_SALES","FY 2017","FY 2017","Currency=USD","Period=FQ","BEST_FPERIOD_OVERRIDE=FQ","FILING_STATUS=MR","FA_ADJUSTED=GAAP","Sort=A","Dates=H","DateFormat=P","Fill=—","Direction=H","UseDPDF=Y")</f>
        <v>—</v>
      </c>
      <c r="R15" s="14" t="str">
        <f>_xll.BDH("ALNY US Equity","GHG_SCOPE_2_INTENSITY_PER_SALES","FY 2018","FY 2018","Currency=USD","Period=FQ","BEST_FPERIOD_OVERRIDE=FQ","FILING_STATUS=MR","FA_ADJUSTED=GAAP","Sort=A","Dates=H","DateFormat=P","Fill=—","Direction=H","UseDPDF=Y")</f>
        <v>—</v>
      </c>
      <c r="S15" s="14" t="str">
        <f>_xll.BDH("ALNY US Equity","GHG_SCOPE_2_INTENSITY_PER_SALES","FY 2019","FY 2019","Currency=USD","Period=FQ","BEST_FPERIOD_OVERRIDE=FQ","FILING_STATUS=MR","FA_ADJUSTED=GAAP","Sort=A","Dates=H","DateFormat=P","Fill=—","Direction=H","UseDPDF=Y")</f>
        <v>—</v>
      </c>
      <c r="T15" s="14" t="str">
        <f>_xll.BDH("ALNY US Equity","GHG_SCOPE_2_INTENSITY_PER_SALES","FY 2020","FY 2020","Currency=USD","Period=FQ","BEST_FPERIOD_OVERRIDE=FQ","FILING_STATUS=MR","FA_ADJUSTED=GAAP","Sort=A","Dates=H","DateFormat=P","Fill=—","Direction=H","UseDPDF=Y")</f>
        <v>—</v>
      </c>
      <c r="U15" s="14" t="str">
        <f>_xll.BDH("ALNY US Equity","GHG_SCOPE_2_INTENSITY_PER_SALES","FY 2021","FY 2021","Currency=USD","Period=FQ","BEST_FPERIOD_OVERRIDE=FQ","FILING_STATUS=MR","FA_ADJUSTED=GAAP","Sort=A","Dates=H","DateFormat=P","Fill=—","Direction=H","UseDPDF=Y")</f>
        <v>—</v>
      </c>
      <c r="V15" s="14" t="str">
        <f>_xll.BDH("ALNY US Equity","GHG_SCOPE_2_INTENSITY_PER_SALES","FY 2022","FY 2022","Currency=USD","Period=FQ","BEST_FPERIOD_OVERRIDE=FQ","FILING_STATUS=MR","FA_ADJUSTED=GAAP","Sort=A","Dates=H","DateFormat=P","Fill=—","Direction=H","UseDPDF=Y")</f>
        <v>—</v>
      </c>
      <c r="W15" s="14" t="str">
        <f>_xll.BDH("ALNY US Equity","GHG_SCOPE_2_INTENSITY_PER_SALES","FY 2023","FY 2023","Currency=USD","Period=FQ","BEST_FPERIOD_OVERRIDE=FQ","FILING_STATUS=MR","FA_ADJUSTED=GAAP","Sort=A","Dates=H","DateFormat=P","Fill=—","Direction=H","UseDPDF=Y")</f>
        <v>—</v>
      </c>
      <c r="X15" s="14" t="str">
        <f>_xll.BDH("ALNY US Equity","GHG_SCOPE_2_INTENSITY_PER_SALES","FY 2024","FY 2024","Currency=USD","Period=FQ","BEST_FPERIOD_OVERRIDE=FQ","FILING_STATUS=MR","FA_ADJUSTED=GAAP","Sort=A","Dates=H","DateFormat=P","Fill=—","Direction=H","UseDPDF=Y")</f>
        <v>—</v>
      </c>
    </row>
    <row r="16" spans="1:24" x14ac:dyDescent="0.25">
      <c r="A16" s="10" t="s">
        <v>1692</v>
      </c>
      <c r="B16" s="10" t="s">
        <v>1693</v>
      </c>
      <c r="C16" s="14" t="str">
        <f>_xll.BDH("ALNY US Equity","TOT_GHG_CO2_EM_INT_P_GR_FXD_AST","FY 2003","FY 2003","Currency=USD","Period=FQ","BEST_FPERIOD_OVERRIDE=FQ","FILING_STATUS=MR","Sort=A","Dates=H","DateFormat=P","Fill=—","Direction=H","UseDPDF=Y")</f>
        <v>—</v>
      </c>
      <c r="D16" s="14" t="str">
        <f>_xll.BDH("ALNY US Equity","TOT_GHG_CO2_EM_INT_P_GR_FXD_AST","FY 2004","FY 2004","Currency=USD","Period=FQ","BEST_FPERIOD_OVERRIDE=FQ","FILING_STATUS=MR","Sort=A","Dates=H","DateFormat=P","Fill=—","Direction=H","UseDPDF=Y")</f>
        <v>—</v>
      </c>
      <c r="E16" s="14" t="str">
        <f>_xll.BDH("ALNY US Equity","TOT_GHG_CO2_EM_INT_P_GR_FXD_AST","FY 2005","FY 2005","Currency=USD","Period=FQ","BEST_FPERIOD_OVERRIDE=FQ","FILING_STATUS=MR","Sort=A","Dates=H","DateFormat=P","Fill=—","Direction=H","UseDPDF=Y")</f>
        <v>—</v>
      </c>
      <c r="F16" s="14" t="str">
        <f>_xll.BDH("ALNY US Equity","TOT_GHG_CO2_EM_INT_P_GR_FXD_AST","FY 2006","FY 2006","Currency=USD","Period=FQ","BEST_FPERIOD_OVERRIDE=FQ","FILING_STATUS=MR","Sort=A","Dates=H","DateFormat=P","Fill=—","Direction=H","UseDPDF=Y")</f>
        <v>—</v>
      </c>
      <c r="G16" s="14" t="str">
        <f>_xll.BDH("ALNY US Equity","TOT_GHG_CO2_EM_INT_P_GR_FXD_AST","FY 2007","FY 2007","Currency=USD","Period=FQ","BEST_FPERIOD_OVERRIDE=FQ","FILING_STATUS=MR","Sort=A","Dates=H","DateFormat=P","Fill=—","Direction=H","UseDPDF=Y")</f>
        <v>—</v>
      </c>
      <c r="H16" s="14" t="str">
        <f>_xll.BDH("ALNY US Equity","TOT_GHG_CO2_EM_INT_P_GR_FXD_AST","FY 2008","FY 2008","Currency=USD","Period=FQ","BEST_FPERIOD_OVERRIDE=FQ","FILING_STATUS=MR","Sort=A","Dates=H","DateFormat=P","Fill=—","Direction=H","UseDPDF=Y")</f>
        <v>—</v>
      </c>
      <c r="I16" s="14" t="str">
        <f>_xll.BDH("ALNY US Equity","TOT_GHG_CO2_EM_INT_P_GR_FXD_AST","FY 2009","FY 2009","Currency=USD","Period=FQ","BEST_FPERIOD_OVERRIDE=FQ","FILING_STATUS=MR","Sort=A","Dates=H","DateFormat=P","Fill=—","Direction=H","UseDPDF=Y")</f>
        <v>—</v>
      </c>
      <c r="J16" s="14" t="str">
        <f>_xll.BDH("ALNY US Equity","TOT_GHG_CO2_EM_INT_P_GR_FXD_AST","FY 2010","FY 2010","Currency=USD","Period=FQ","BEST_FPERIOD_OVERRIDE=FQ","FILING_STATUS=MR","Sort=A","Dates=H","DateFormat=P","Fill=—","Direction=H","UseDPDF=Y")</f>
        <v>—</v>
      </c>
      <c r="K16" s="14" t="str">
        <f>_xll.BDH("ALNY US Equity","TOT_GHG_CO2_EM_INT_P_GR_FXD_AST","FY 2011","FY 2011","Currency=USD","Period=FQ","BEST_FPERIOD_OVERRIDE=FQ","FILING_STATUS=MR","Sort=A","Dates=H","DateFormat=P","Fill=—","Direction=H","UseDPDF=Y")</f>
        <v>—</v>
      </c>
      <c r="L16" s="14" t="str">
        <f>_xll.BDH("ALNY US Equity","TOT_GHG_CO2_EM_INT_P_GR_FXD_AST","FY 2012","FY 2012","Currency=USD","Period=FQ","BEST_FPERIOD_OVERRIDE=FQ","FILING_STATUS=MR","Sort=A","Dates=H","DateFormat=P","Fill=—","Direction=H","UseDPDF=Y")</f>
        <v>—</v>
      </c>
      <c r="M16" s="14" t="str">
        <f>_xll.BDH("ALNY US Equity","TOT_GHG_CO2_EM_INT_P_GR_FXD_AST","FY 2013","FY 2013","Currency=USD","Period=FQ","BEST_FPERIOD_OVERRIDE=FQ","FILING_STATUS=MR","Sort=A","Dates=H","DateFormat=P","Fill=—","Direction=H","UseDPDF=Y")</f>
        <v>—</v>
      </c>
      <c r="N16" s="14" t="str">
        <f>_xll.BDH("ALNY US Equity","TOT_GHG_CO2_EM_INT_P_GR_FXD_AST","FY 2014","FY 2014","Currency=USD","Period=FQ","BEST_FPERIOD_OVERRIDE=FQ","FILING_STATUS=MR","Sort=A","Dates=H","DateFormat=P","Fill=—","Direction=H","UseDPDF=Y")</f>
        <v>—</v>
      </c>
      <c r="O16" s="14" t="str">
        <f>_xll.BDH("ALNY US Equity","TOT_GHG_CO2_EM_INT_P_GR_FXD_AST","FY 2015","FY 2015","Currency=USD","Period=FQ","BEST_FPERIOD_OVERRIDE=FQ","FILING_STATUS=MR","Sort=A","Dates=H","DateFormat=P","Fill=—","Direction=H","UseDPDF=Y")</f>
        <v>—</v>
      </c>
      <c r="P16" s="14" t="str">
        <f>_xll.BDH("ALNY US Equity","TOT_GHG_CO2_EM_INT_P_GR_FXD_AST","FY 2016","FY 2016","Currency=USD","Period=FQ","BEST_FPERIOD_OVERRIDE=FQ","FILING_STATUS=MR","Sort=A","Dates=H","DateFormat=P","Fill=—","Direction=H","UseDPDF=Y")</f>
        <v>—</v>
      </c>
      <c r="Q16" s="14" t="str">
        <f>_xll.BDH("ALNY US Equity","TOT_GHG_CO2_EM_INT_P_GR_FXD_AST","FY 2017","FY 2017","Currency=USD","Period=FQ","BEST_FPERIOD_OVERRIDE=FQ","FILING_STATUS=MR","Sort=A","Dates=H","DateFormat=P","Fill=—","Direction=H","UseDPDF=Y")</f>
        <v>—</v>
      </c>
      <c r="R16" s="14" t="str">
        <f>_xll.BDH("ALNY US Equity","TOT_GHG_CO2_EM_INT_P_GR_FXD_AST","FY 2018","FY 2018","Currency=USD","Period=FQ","BEST_FPERIOD_OVERRIDE=FQ","FILING_STATUS=MR","Sort=A","Dates=H","DateFormat=P","Fill=—","Direction=H","UseDPDF=Y")</f>
        <v>—</v>
      </c>
      <c r="S16" s="14" t="str">
        <f>_xll.BDH("ALNY US Equity","TOT_GHG_CO2_EM_INT_P_GR_FXD_AST","FY 2019","FY 2019","Currency=USD","Period=FQ","BEST_FPERIOD_OVERRIDE=FQ","FILING_STATUS=MR","Sort=A","Dates=H","DateFormat=P","Fill=—","Direction=H","UseDPDF=Y")</f>
        <v>—</v>
      </c>
      <c r="T16" s="14" t="str">
        <f>_xll.BDH("ALNY US Equity","TOT_GHG_CO2_EM_INT_P_GR_FXD_AST","FY 2020","FY 2020","Currency=USD","Period=FQ","BEST_FPERIOD_OVERRIDE=FQ","FILING_STATUS=MR","Sort=A","Dates=H","DateFormat=P","Fill=—","Direction=H","UseDPDF=Y")</f>
        <v>—</v>
      </c>
      <c r="U16" s="14" t="str">
        <f>_xll.BDH("ALNY US Equity","TOT_GHG_CO2_EM_INT_P_GR_FXD_AST","FY 2021","FY 2021","Currency=USD","Period=FQ","BEST_FPERIOD_OVERRIDE=FQ","FILING_STATUS=MR","Sort=A","Dates=H","DateFormat=P","Fill=—","Direction=H","UseDPDF=Y")</f>
        <v>—</v>
      </c>
      <c r="V16" s="14" t="str">
        <f>_xll.BDH("ALNY US Equity","TOT_GHG_CO2_EM_INT_P_GR_FXD_AST","FY 2022","FY 2022","Currency=USD","Period=FQ","BEST_FPERIOD_OVERRIDE=FQ","FILING_STATUS=MR","Sort=A","Dates=H","DateFormat=P","Fill=—","Direction=H","UseDPDF=Y")</f>
        <v>—</v>
      </c>
      <c r="W16" s="14" t="str">
        <f>_xll.BDH("ALNY US Equity","TOT_GHG_CO2_EM_INT_P_GR_FXD_AST","FY 2023","FY 2023","Currency=USD","Period=FQ","BEST_FPERIOD_OVERRIDE=FQ","FILING_STATUS=MR","Sort=A","Dates=H","DateFormat=P","Fill=—","Direction=H","UseDPDF=Y")</f>
        <v>—</v>
      </c>
      <c r="X16" s="14" t="str">
        <f>_xll.BDH("ALNY US Equity","TOT_GHG_CO2_EM_INT_P_GR_FXD_AST","FY 2024","FY 2024","Currency=USD","Period=FQ","BEST_FPERIOD_OVERRIDE=FQ","FILING_STATUS=MR","Sort=A","Dates=H","DateFormat=P","Fill=—","Direction=H","UseDPDF=Y")</f>
        <v>—</v>
      </c>
    </row>
    <row r="17" spans="1:24" x14ac:dyDescent="0.25">
      <c r="A17" s="10" t="s">
        <v>1694</v>
      </c>
      <c r="B17" s="10" t="s">
        <v>1695</v>
      </c>
      <c r="C17" s="14" t="str">
        <f>_xll.BDH("ALNY US Equity","TOT_GHG_CO2_EM_INT_P_NT_FXD_AST","FY 2003","FY 2003","Currency=USD","Period=FQ","BEST_FPERIOD_OVERRIDE=FQ","FILING_STATUS=MR","Sort=A","Dates=H","DateFormat=P","Fill=—","Direction=H","UseDPDF=Y")</f>
        <v>—</v>
      </c>
      <c r="D17" s="14" t="str">
        <f>_xll.BDH("ALNY US Equity","TOT_GHG_CO2_EM_INT_P_NT_FXD_AST","FY 2004","FY 2004","Currency=USD","Period=FQ","BEST_FPERIOD_OVERRIDE=FQ","FILING_STATUS=MR","Sort=A","Dates=H","DateFormat=P","Fill=—","Direction=H","UseDPDF=Y")</f>
        <v>—</v>
      </c>
      <c r="E17" s="14" t="str">
        <f>_xll.BDH("ALNY US Equity","TOT_GHG_CO2_EM_INT_P_NT_FXD_AST","FY 2005","FY 2005","Currency=USD","Period=FQ","BEST_FPERIOD_OVERRIDE=FQ","FILING_STATUS=MR","Sort=A","Dates=H","DateFormat=P","Fill=—","Direction=H","UseDPDF=Y")</f>
        <v>—</v>
      </c>
      <c r="F17" s="14" t="str">
        <f>_xll.BDH("ALNY US Equity","TOT_GHG_CO2_EM_INT_P_NT_FXD_AST","FY 2006","FY 2006","Currency=USD","Period=FQ","BEST_FPERIOD_OVERRIDE=FQ","FILING_STATUS=MR","Sort=A","Dates=H","DateFormat=P","Fill=—","Direction=H","UseDPDF=Y")</f>
        <v>—</v>
      </c>
      <c r="G17" s="14" t="str">
        <f>_xll.BDH("ALNY US Equity","TOT_GHG_CO2_EM_INT_P_NT_FXD_AST","FY 2007","FY 2007","Currency=USD","Period=FQ","BEST_FPERIOD_OVERRIDE=FQ","FILING_STATUS=MR","Sort=A","Dates=H","DateFormat=P","Fill=—","Direction=H","UseDPDF=Y")</f>
        <v>—</v>
      </c>
      <c r="H17" s="14" t="str">
        <f>_xll.BDH("ALNY US Equity","TOT_GHG_CO2_EM_INT_P_NT_FXD_AST","FY 2008","FY 2008","Currency=USD","Period=FQ","BEST_FPERIOD_OVERRIDE=FQ","FILING_STATUS=MR","Sort=A","Dates=H","DateFormat=P","Fill=—","Direction=H","UseDPDF=Y")</f>
        <v>—</v>
      </c>
      <c r="I17" s="14" t="str">
        <f>_xll.BDH("ALNY US Equity","TOT_GHG_CO2_EM_INT_P_NT_FXD_AST","FY 2009","FY 2009","Currency=USD","Period=FQ","BEST_FPERIOD_OVERRIDE=FQ","FILING_STATUS=MR","Sort=A","Dates=H","DateFormat=P","Fill=—","Direction=H","UseDPDF=Y")</f>
        <v>—</v>
      </c>
      <c r="J17" s="14" t="str">
        <f>_xll.BDH("ALNY US Equity","TOT_GHG_CO2_EM_INT_P_NT_FXD_AST","FY 2010","FY 2010","Currency=USD","Period=FQ","BEST_FPERIOD_OVERRIDE=FQ","FILING_STATUS=MR","Sort=A","Dates=H","DateFormat=P","Fill=—","Direction=H","UseDPDF=Y")</f>
        <v>—</v>
      </c>
      <c r="K17" s="14" t="str">
        <f>_xll.BDH("ALNY US Equity","TOT_GHG_CO2_EM_INT_P_NT_FXD_AST","FY 2011","FY 2011","Currency=USD","Period=FQ","BEST_FPERIOD_OVERRIDE=FQ","FILING_STATUS=MR","Sort=A","Dates=H","DateFormat=P","Fill=—","Direction=H","UseDPDF=Y")</f>
        <v>—</v>
      </c>
      <c r="L17" s="14" t="str">
        <f>_xll.BDH("ALNY US Equity","TOT_GHG_CO2_EM_INT_P_NT_FXD_AST","FY 2012","FY 2012","Currency=USD","Period=FQ","BEST_FPERIOD_OVERRIDE=FQ","FILING_STATUS=MR","Sort=A","Dates=H","DateFormat=P","Fill=—","Direction=H","UseDPDF=Y")</f>
        <v>—</v>
      </c>
      <c r="M17" s="14" t="str">
        <f>_xll.BDH("ALNY US Equity","TOT_GHG_CO2_EM_INT_P_NT_FXD_AST","FY 2013","FY 2013","Currency=USD","Period=FQ","BEST_FPERIOD_OVERRIDE=FQ","FILING_STATUS=MR","Sort=A","Dates=H","DateFormat=P","Fill=—","Direction=H","UseDPDF=Y")</f>
        <v>—</v>
      </c>
      <c r="N17" s="14" t="str">
        <f>_xll.BDH("ALNY US Equity","TOT_GHG_CO2_EM_INT_P_NT_FXD_AST","FY 2014","FY 2014","Currency=USD","Period=FQ","BEST_FPERIOD_OVERRIDE=FQ","FILING_STATUS=MR","Sort=A","Dates=H","DateFormat=P","Fill=—","Direction=H","UseDPDF=Y")</f>
        <v>—</v>
      </c>
      <c r="O17" s="14" t="str">
        <f>_xll.BDH("ALNY US Equity","TOT_GHG_CO2_EM_INT_P_NT_FXD_AST","FY 2015","FY 2015","Currency=USD","Period=FQ","BEST_FPERIOD_OVERRIDE=FQ","FILING_STATUS=MR","Sort=A","Dates=H","DateFormat=P","Fill=—","Direction=H","UseDPDF=Y")</f>
        <v>—</v>
      </c>
      <c r="P17" s="14" t="str">
        <f>_xll.BDH("ALNY US Equity","TOT_GHG_CO2_EM_INT_P_NT_FXD_AST","FY 2016","FY 2016","Currency=USD","Period=FQ","BEST_FPERIOD_OVERRIDE=FQ","FILING_STATUS=MR","Sort=A","Dates=H","DateFormat=P","Fill=—","Direction=H","UseDPDF=Y")</f>
        <v>—</v>
      </c>
      <c r="Q17" s="14" t="str">
        <f>_xll.BDH("ALNY US Equity","TOT_GHG_CO2_EM_INT_P_NT_FXD_AST","FY 2017","FY 2017","Currency=USD","Period=FQ","BEST_FPERIOD_OVERRIDE=FQ","FILING_STATUS=MR","Sort=A","Dates=H","DateFormat=P","Fill=—","Direction=H","UseDPDF=Y")</f>
        <v>—</v>
      </c>
      <c r="R17" s="14" t="str">
        <f>_xll.BDH("ALNY US Equity","TOT_GHG_CO2_EM_INT_P_NT_FXD_AST","FY 2018","FY 2018","Currency=USD","Period=FQ","BEST_FPERIOD_OVERRIDE=FQ","FILING_STATUS=MR","Sort=A","Dates=H","DateFormat=P","Fill=—","Direction=H","UseDPDF=Y")</f>
        <v>—</v>
      </c>
      <c r="S17" s="14" t="str">
        <f>_xll.BDH("ALNY US Equity","TOT_GHG_CO2_EM_INT_P_NT_FXD_AST","FY 2019","FY 2019","Currency=USD","Period=FQ","BEST_FPERIOD_OVERRIDE=FQ","FILING_STATUS=MR","Sort=A","Dates=H","DateFormat=P","Fill=—","Direction=H","UseDPDF=Y")</f>
        <v>—</v>
      </c>
      <c r="T17" s="14" t="str">
        <f>_xll.BDH("ALNY US Equity","TOT_GHG_CO2_EM_INT_P_NT_FXD_AST","FY 2020","FY 2020","Currency=USD","Period=FQ","BEST_FPERIOD_OVERRIDE=FQ","FILING_STATUS=MR","Sort=A","Dates=H","DateFormat=P","Fill=—","Direction=H","UseDPDF=Y")</f>
        <v>—</v>
      </c>
      <c r="U17" s="14" t="str">
        <f>_xll.BDH("ALNY US Equity","TOT_GHG_CO2_EM_INT_P_NT_FXD_AST","FY 2021","FY 2021","Currency=USD","Period=FQ","BEST_FPERIOD_OVERRIDE=FQ","FILING_STATUS=MR","Sort=A","Dates=H","DateFormat=P","Fill=—","Direction=H","UseDPDF=Y")</f>
        <v>—</v>
      </c>
      <c r="V17" s="14" t="str">
        <f>_xll.BDH("ALNY US Equity","TOT_GHG_CO2_EM_INT_P_NT_FXD_AST","FY 2022","FY 2022","Currency=USD","Period=FQ","BEST_FPERIOD_OVERRIDE=FQ","FILING_STATUS=MR","Sort=A","Dates=H","DateFormat=P","Fill=—","Direction=H","UseDPDF=Y")</f>
        <v>—</v>
      </c>
      <c r="W17" s="14" t="str">
        <f>_xll.BDH("ALNY US Equity","TOT_GHG_CO2_EM_INT_P_NT_FXD_AST","FY 2023","FY 2023","Currency=USD","Period=FQ","BEST_FPERIOD_OVERRIDE=FQ","FILING_STATUS=MR","Sort=A","Dates=H","DateFormat=P","Fill=—","Direction=H","UseDPDF=Y")</f>
        <v>—</v>
      </c>
      <c r="X17" s="14" t="str">
        <f>_xll.BDH("ALNY US Equity","TOT_GHG_CO2_EM_INT_P_NT_FXD_AST","FY 2024","FY 2024","Currency=USD","Period=FQ","BEST_FPERIOD_OVERRIDE=FQ","FILING_STATUS=MR","Sort=A","Dates=H","DateFormat=P","Fill=—","Direction=H","UseDPDF=Y")</f>
        <v>—</v>
      </c>
    </row>
    <row r="18" spans="1:24" x14ac:dyDescent="0.25">
      <c r="A18" s="10" t="s">
        <v>1696</v>
      </c>
      <c r="B18" s="10" t="s">
        <v>1697</v>
      </c>
      <c r="C18" s="14" t="str">
        <f>_xll.BDH("ALNY US Equity","GHG_INTENSITY_PER_ENERGY","FY 2003","FY 2003","Currency=USD","Period=FQ","BEST_FPERIOD_OVERRIDE=FQ","FILING_STATUS=MR","Sort=A","Dates=H","DateFormat=P","Fill=—","Direction=H","UseDPDF=Y")</f>
        <v>—</v>
      </c>
      <c r="D18" s="14" t="str">
        <f>_xll.BDH("ALNY US Equity","GHG_INTENSITY_PER_ENERGY","FY 2004","FY 2004","Currency=USD","Period=FQ","BEST_FPERIOD_OVERRIDE=FQ","FILING_STATUS=MR","Sort=A","Dates=H","DateFormat=P","Fill=—","Direction=H","UseDPDF=Y")</f>
        <v>—</v>
      </c>
      <c r="E18" s="14" t="str">
        <f>_xll.BDH("ALNY US Equity","GHG_INTENSITY_PER_ENERGY","FY 2005","FY 2005","Currency=USD","Period=FQ","BEST_FPERIOD_OVERRIDE=FQ","FILING_STATUS=MR","Sort=A","Dates=H","DateFormat=P","Fill=—","Direction=H","UseDPDF=Y")</f>
        <v>—</v>
      </c>
      <c r="F18" s="14" t="str">
        <f>_xll.BDH("ALNY US Equity","GHG_INTENSITY_PER_ENERGY","FY 2006","FY 2006","Currency=USD","Period=FQ","BEST_FPERIOD_OVERRIDE=FQ","FILING_STATUS=MR","Sort=A","Dates=H","DateFormat=P","Fill=—","Direction=H","UseDPDF=Y")</f>
        <v>—</v>
      </c>
      <c r="G18" s="14" t="str">
        <f>_xll.BDH("ALNY US Equity","GHG_INTENSITY_PER_ENERGY","FY 2007","FY 2007","Currency=USD","Period=FQ","BEST_FPERIOD_OVERRIDE=FQ","FILING_STATUS=MR","Sort=A","Dates=H","DateFormat=P","Fill=—","Direction=H","UseDPDF=Y")</f>
        <v>—</v>
      </c>
      <c r="H18" s="14" t="str">
        <f>_xll.BDH("ALNY US Equity","GHG_INTENSITY_PER_ENERGY","FY 2008","FY 2008","Currency=USD","Period=FQ","BEST_FPERIOD_OVERRIDE=FQ","FILING_STATUS=MR","Sort=A","Dates=H","DateFormat=P","Fill=—","Direction=H","UseDPDF=Y")</f>
        <v>—</v>
      </c>
      <c r="I18" s="14" t="str">
        <f>_xll.BDH("ALNY US Equity","GHG_INTENSITY_PER_ENERGY","FY 2009","FY 2009","Currency=USD","Period=FQ","BEST_FPERIOD_OVERRIDE=FQ","FILING_STATUS=MR","Sort=A","Dates=H","DateFormat=P","Fill=—","Direction=H","UseDPDF=Y")</f>
        <v>—</v>
      </c>
      <c r="J18" s="14" t="str">
        <f>_xll.BDH("ALNY US Equity","GHG_INTENSITY_PER_ENERGY","FY 2010","FY 2010","Currency=USD","Period=FQ","BEST_FPERIOD_OVERRIDE=FQ","FILING_STATUS=MR","Sort=A","Dates=H","DateFormat=P","Fill=—","Direction=H","UseDPDF=Y")</f>
        <v>—</v>
      </c>
      <c r="K18" s="14" t="str">
        <f>_xll.BDH("ALNY US Equity","GHG_INTENSITY_PER_ENERGY","FY 2011","FY 2011","Currency=USD","Period=FQ","BEST_FPERIOD_OVERRIDE=FQ","FILING_STATUS=MR","Sort=A","Dates=H","DateFormat=P","Fill=—","Direction=H","UseDPDF=Y")</f>
        <v>—</v>
      </c>
      <c r="L18" s="14" t="str">
        <f>_xll.BDH("ALNY US Equity","GHG_INTENSITY_PER_ENERGY","FY 2012","FY 2012","Currency=USD","Period=FQ","BEST_FPERIOD_OVERRIDE=FQ","FILING_STATUS=MR","Sort=A","Dates=H","DateFormat=P","Fill=—","Direction=H","UseDPDF=Y")</f>
        <v>—</v>
      </c>
      <c r="M18" s="14" t="str">
        <f>_xll.BDH("ALNY US Equity","GHG_INTENSITY_PER_ENERGY","FY 2013","FY 2013","Currency=USD","Period=FQ","BEST_FPERIOD_OVERRIDE=FQ","FILING_STATUS=MR","Sort=A","Dates=H","DateFormat=P","Fill=—","Direction=H","UseDPDF=Y")</f>
        <v>—</v>
      </c>
      <c r="N18" s="14" t="str">
        <f>_xll.BDH("ALNY US Equity","GHG_INTENSITY_PER_ENERGY","FY 2014","FY 2014","Currency=USD","Period=FQ","BEST_FPERIOD_OVERRIDE=FQ","FILING_STATUS=MR","Sort=A","Dates=H","DateFormat=P","Fill=—","Direction=H","UseDPDF=Y")</f>
        <v>—</v>
      </c>
      <c r="O18" s="14" t="str">
        <f>_xll.BDH("ALNY US Equity","GHG_INTENSITY_PER_ENERGY","FY 2015","FY 2015","Currency=USD","Period=FQ","BEST_FPERIOD_OVERRIDE=FQ","FILING_STATUS=MR","Sort=A","Dates=H","DateFormat=P","Fill=—","Direction=H","UseDPDF=Y")</f>
        <v>—</v>
      </c>
      <c r="P18" s="14" t="str">
        <f>_xll.BDH("ALNY US Equity","GHG_INTENSITY_PER_ENERGY","FY 2016","FY 2016","Currency=USD","Period=FQ","BEST_FPERIOD_OVERRIDE=FQ","FILING_STATUS=MR","Sort=A","Dates=H","DateFormat=P","Fill=—","Direction=H","UseDPDF=Y")</f>
        <v>—</v>
      </c>
      <c r="Q18" s="14" t="str">
        <f>_xll.BDH("ALNY US Equity","GHG_INTENSITY_PER_ENERGY","FY 2017","FY 2017","Currency=USD","Period=FQ","BEST_FPERIOD_OVERRIDE=FQ","FILING_STATUS=MR","Sort=A","Dates=H","DateFormat=P","Fill=—","Direction=H","UseDPDF=Y")</f>
        <v>—</v>
      </c>
      <c r="R18" s="14" t="str">
        <f>_xll.BDH("ALNY US Equity","GHG_INTENSITY_PER_ENERGY","FY 2018","FY 2018","Currency=USD","Period=FQ","BEST_FPERIOD_OVERRIDE=FQ","FILING_STATUS=MR","Sort=A","Dates=H","DateFormat=P","Fill=—","Direction=H","UseDPDF=Y")</f>
        <v>—</v>
      </c>
      <c r="S18" s="14" t="str">
        <f>_xll.BDH("ALNY US Equity","GHG_INTENSITY_PER_ENERGY","FY 2019","FY 2019","Currency=USD","Period=FQ","BEST_FPERIOD_OVERRIDE=FQ","FILING_STATUS=MR","Sort=A","Dates=H","DateFormat=P","Fill=—","Direction=H","UseDPDF=Y")</f>
        <v>—</v>
      </c>
      <c r="T18" s="14" t="str">
        <f>_xll.BDH("ALNY US Equity","GHG_INTENSITY_PER_ENERGY","FY 2020","FY 2020","Currency=USD","Period=FQ","BEST_FPERIOD_OVERRIDE=FQ","FILING_STATUS=MR","Sort=A","Dates=H","DateFormat=P","Fill=—","Direction=H","UseDPDF=Y")</f>
        <v>—</v>
      </c>
      <c r="U18" s="14" t="str">
        <f>_xll.BDH("ALNY US Equity","GHG_INTENSITY_PER_ENERGY","FY 2021","FY 2021","Currency=USD","Period=FQ","BEST_FPERIOD_OVERRIDE=FQ","FILING_STATUS=MR","Sort=A","Dates=H","DateFormat=P","Fill=—","Direction=H","UseDPDF=Y")</f>
        <v>—</v>
      </c>
      <c r="V18" s="14" t="str">
        <f>_xll.BDH("ALNY US Equity","GHG_INTENSITY_PER_ENERGY","FY 2022","FY 2022","Currency=USD","Period=FQ","BEST_FPERIOD_OVERRIDE=FQ","FILING_STATUS=MR","Sort=A","Dates=H","DateFormat=P","Fill=—","Direction=H","UseDPDF=Y")</f>
        <v>—</v>
      </c>
      <c r="W18" s="14" t="str">
        <f>_xll.BDH("ALNY US Equity","GHG_INTENSITY_PER_ENERGY","FY 2023","FY 2023","Currency=USD","Period=FQ","BEST_FPERIOD_OVERRIDE=FQ","FILING_STATUS=MR","Sort=A","Dates=H","DateFormat=P","Fill=—","Direction=H","UseDPDF=Y")</f>
        <v>—</v>
      </c>
      <c r="X18" s="14" t="str">
        <f>_xll.BDH("ALNY US Equity","GHG_INTENSITY_PER_ENERGY","FY 2024","FY 2024","Currency=USD","Period=FQ","BEST_FPERIOD_OVERRIDE=FQ","FILING_STATUS=MR","Sort=A","Dates=H","DateFormat=P","Fill=—","Direction=H","UseDPDF=Y")</f>
        <v>—</v>
      </c>
    </row>
    <row r="19" spans="1:24" x14ac:dyDescent="0.25">
      <c r="A19" s="10" t="s">
        <v>1698</v>
      </c>
      <c r="B19" s="10" t="s">
        <v>1699</v>
      </c>
      <c r="C19" s="14" t="str">
        <f>_xll.BDH("ALNY US Equity","GHG_INTENSITY_PER_EMPLOYEE","FY 2003","FY 2003","Currency=USD","Period=FQ","BEST_FPERIOD_OVERRIDE=FQ","FILING_STATUS=MR","Sort=A","Dates=H","DateFormat=P","Fill=—","Direction=H","UseDPDF=Y")</f>
        <v>—</v>
      </c>
      <c r="D19" s="14" t="str">
        <f>_xll.BDH("ALNY US Equity","GHG_INTENSITY_PER_EMPLOYEE","FY 2004","FY 2004","Currency=USD","Period=FQ","BEST_FPERIOD_OVERRIDE=FQ","FILING_STATUS=MR","Sort=A","Dates=H","DateFormat=P","Fill=—","Direction=H","UseDPDF=Y")</f>
        <v>—</v>
      </c>
      <c r="E19" s="14" t="str">
        <f>_xll.BDH("ALNY US Equity","GHG_INTENSITY_PER_EMPLOYEE","FY 2005","FY 2005","Currency=USD","Period=FQ","BEST_FPERIOD_OVERRIDE=FQ","FILING_STATUS=MR","Sort=A","Dates=H","DateFormat=P","Fill=—","Direction=H","UseDPDF=Y")</f>
        <v>—</v>
      </c>
      <c r="F19" s="14" t="str">
        <f>_xll.BDH("ALNY US Equity","GHG_INTENSITY_PER_EMPLOYEE","FY 2006","FY 2006","Currency=USD","Period=FQ","BEST_FPERIOD_OVERRIDE=FQ","FILING_STATUS=MR","Sort=A","Dates=H","DateFormat=P","Fill=—","Direction=H","UseDPDF=Y")</f>
        <v>—</v>
      </c>
      <c r="G19" s="14" t="str">
        <f>_xll.BDH("ALNY US Equity","GHG_INTENSITY_PER_EMPLOYEE","FY 2007","FY 2007","Currency=USD","Period=FQ","BEST_FPERIOD_OVERRIDE=FQ","FILING_STATUS=MR","Sort=A","Dates=H","DateFormat=P","Fill=—","Direction=H","UseDPDF=Y")</f>
        <v>—</v>
      </c>
      <c r="H19" s="14" t="str">
        <f>_xll.BDH("ALNY US Equity","GHG_INTENSITY_PER_EMPLOYEE","FY 2008","FY 2008","Currency=USD","Period=FQ","BEST_FPERIOD_OVERRIDE=FQ","FILING_STATUS=MR","Sort=A","Dates=H","DateFormat=P","Fill=—","Direction=H","UseDPDF=Y")</f>
        <v>—</v>
      </c>
      <c r="I19" s="14" t="str">
        <f>_xll.BDH("ALNY US Equity","GHG_INTENSITY_PER_EMPLOYEE","FY 2009","FY 2009","Currency=USD","Period=FQ","BEST_FPERIOD_OVERRIDE=FQ","FILING_STATUS=MR","Sort=A","Dates=H","DateFormat=P","Fill=—","Direction=H","UseDPDF=Y")</f>
        <v>—</v>
      </c>
      <c r="J19" s="14" t="str">
        <f>_xll.BDH("ALNY US Equity","GHG_INTENSITY_PER_EMPLOYEE","FY 2010","FY 2010","Currency=USD","Period=FQ","BEST_FPERIOD_OVERRIDE=FQ","FILING_STATUS=MR","Sort=A","Dates=H","DateFormat=P","Fill=—","Direction=H","UseDPDF=Y")</f>
        <v>—</v>
      </c>
      <c r="K19" s="14" t="str">
        <f>_xll.BDH("ALNY US Equity","GHG_INTENSITY_PER_EMPLOYEE","FY 2011","FY 2011","Currency=USD","Period=FQ","BEST_FPERIOD_OVERRIDE=FQ","FILING_STATUS=MR","Sort=A","Dates=H","DateFormat=P","Fill=—","Direction=H","UseDPDF=Y")</f>
        <v>—</v>
      </c>
      <c r="L19" s="14" t="str">
        <f>_xll.BDH("ALNY US Equity","GHG_INTENSITY_PER_EMPLOYEE","FY 2012","FY 2012","Currency=USD","Period=FQ","BEST_FPERIOD_OVERRIDE=FQ","FILING_STATUS=MR","Sort=A","Dates=H","DateFormat=P","Fill=—","Direction=H","UseDPDF=Y")</f>
        <v>—</v>
      </c>
      <c r="M19" s="14" t="str">
        <f>_xll.BDH("ALNY US Equity","GHG_INTENSITY_PER_EMPLOYEE","FY 2013","FY 2013","Currency=USD","Period=FQ","BEST_FPERIOD_OVERRIDE=FQ","FILING_STATUS=MR","Sort=A","Dates=H","DateFormat=P","Fill=—","Direction=H","UseDPDF=Y")</f>
        <v>—</v>
      </c>
      <c r="N19" s="14" t="str">
        <f>_xll.BDH("ALNY US Equity","GHG_INTENSITY_PER_EMPLOYEE","FY 2014","FY 2014","Currency=USD","Period=FQ","BEST_FPERIOD_OVERRIDE=FQ","FILING_STATUS=MR","Sort=A","Dates=H","DateFormat=P","Fill=—","Direction=H","UseDPDF=Y")</f>
        <v>—</v>
      </c>
      <c r="O19" s="14" t="str">
        <f>_xll.BDH("ALNY US Equity","GHG_INTENSITY_PER_EMPLOYEE","FY 2015","FY 2015","Currency=USD","Period=FQ","BEST_FPERIOD_OVERRIDE=FQ","FILING_STATUS=MR","Sort=A","Dates=H","DateFormat=P","Fill=—","Direction=H","UseDPDF=Y")</f>
        <v>—</v>
      </c>
      <c r="P19" s="14" t="str">
        <f>_xll.BDH("ALNY US Equity","GHG_INTENSITY_PER_EMPLOYEE","FY 2016","FY 2016","Currency=USD","Period=FQ","BEST_FPERIOD_OVERRIDE=FQ","FILING_STATUS=MR","Sort=A","Dates=H","DateFormat=P","Fill=—","Direction=H","UseDPDF=Y")</f>
        <v>—</v>
      </c>
      <c r="Q19" s="14" t="str">
        <f>_xll.BDH("ALNY US Equity","GHG_INTENSITY_PER_EMPLOYEE","FY 2017","FY 2017","Currency=USD","Period=FQ","BEST_FPERIOD_OVERRIDE=FQ","FILING_STATUS=MR","Sort=A","Dates=H","DateFormat=P","Fill=—","Direction=H","UseDPDF=Y")</f>
        <v>—</v>
      </c>
      <c r="R19" s="14" t="str">
        <f>_xll.BDH("ALNY US Equity","GHG_INTENSITY_PER_EMPLOYEE","FY 2018","FY 2018","Currency=USD","Period=FQ","BEST_FPERIOD_OVERRIDE=FQ","FILING_STATUS=MR","Sort=A","Dates=H","DateFormat=P","Fill=—","Direction=H","UseDPDF=Y")</f>
        <v>—</v>
      </c>
      <c r="S19" s="14" t="str">
        <f>_xll.BDH("ALNY US Equity","GHG_INTENSITY_PER_EMPLOYEE","FY 2019","FY 2019","Currency=USD","Period=FQ","BEST_FPERIOD_OVERRIDE=FQ","FILING_STATUS=MR","Sort=A","Dates=H","DateFormat=P","Fill=—","Direction=H","UseDPDF=Y")</f>
        <v>—</v>
      </c>
      <c r="T19" s="14" t="str">
        <f>_xll.BDH("ALNY US Equity","GHG_INTENSITY_PER_EMPLOYEE","FY 2020","FY 2020","Currency=USD","Period=FQ","BEST_FPERIOD_OVERRIDE=FQ","FILING_STATUS=MR","Sort=A","Dates=H","DateFormat=P","Fill=—","Direction=H","UseDPDF=Y")</f>
        <v>—</v>
      </c>
      <c r="U19" s="14" t="str">
        <f>_xll.BDH("ALNY US Equity","GHG_INTENSITY_PER_EMPLOYEE","FY 2021","FY 2021","Currency=USD","Period=FQ","BEST_FPERIOD_OVERRIDE=FQ","FILING_STATUS=MR","Sort=A","Dates=H","DateFormat=P","Fill=—","Direction=H","UseDPDF=Y")</f>
        <v>—</v>
      </c>
      <c r="V19" s="14" t="str">
        <f>_xll.BDH("ALNY US Equity","GHG_INTENSITY_PER_EMPLOYEE","FY 2022","FY 2022","Currency=USD","Period=FQ","BEST_FPERIOD_OVERRIDE=FQ","FILING_STATUS=MR","Sort=A","Dates=H","DateFormat=P","Fill=—","Direction=H","UseDPDF=Y")</f>
        <v>—</v>
      </c>
      <c r="W19" s="14" t="str">
        <f>_xll.BDH("ALNY US Equity","GHG_INTENSITY_PER_EMPLOYEE","FY 2023","FY 2023","Currency=USD","Period=FQ","BEST_FPERIOD_OVERRIDE=FQ","FILING_STATUS=MR","Sort=A","Dates=H","DateFormat=P","Fill=—","Direction=H","UseDPDF=Y")</f>
        <v>—</v>
      </c>
      <c r="X19" s="14" t="str">
        <f>_xll.BDH("ALNY US Equity","GHG_INTENSITY_PER_EMPLOYEE","FY 2024","FY 2024","Currency=USD","Period=FQ","BEST_FPERIOD_OVERRIDE=FQ","FILING_STATUS=MR","Sort=A","Dates=H","DateFormat=P","Fill=—","Direction=H","UseDPDF=Y")</f>
        <v>—</v>
      </c>
    </row>
    <row r="20" spans="1:24" x14ac:dyDescent="0.25">
      <c r="A20" s="10" t="s">
        <v>1700</v>
      </c>
      <c r="B20" s="10" t="s">
        <v>1701</v>
      </c>
      <c r="C20" s="14" t="str">
        <f>_xll.BDH("ALNY US Equity","GHG_INTENSITY_PER_ASSETS","FY 2003","FY 2003","Currency=USD","Period=FQ","BEST_FPERIOD_OVERRIDE=FQ","FILING_STATUS=MR","Sort=A","Dates=H","DateFormat=P","Fill=—","Direction=H","UseDPDF=Y")</f>
        <v>—</v>
      </c>
      <c r="D20" s="14" t="str">
        <f>_xll.BDH("ALNY US Equity","GHG_INTENSITY_PER_ASSETS","FY 2004","FY 2004","Currency=USD","Period=FQ","BEST_FPERIOD_OVERRIDE=FQ","FILING_STATUS=MR","Sort=A","Dates=H","DateFormat=P","Fill=—","Direction=H","UseDPDF=Y")</f>
        <v>—</v>
      </c>
      <c r="E20" s="14" t="str">
        <f>_xll.BDH("ALNY US Equity","GHG_INTENSITY_PER_ASSETS","FY 2005","FY 2005","Currency=USD","Period=FQ","BEST_FPERIOD_OVERRIDE=FQ","FILING_STATUS=MR","Sort=A","Dates=H","DateFormat=P","Fill=—","Direction=H","UseDPDF=Y")</f>
        <v>—</v>
      </c>
      <c r="F20" s="14" t="str">
        <f>_xll.BDH("ALNY US Equity","GHG_INTENSITY_PER_ASSETS","FY 2006","FY 2006","Currency=USD","Period=FQ","BEST_FPERIOD_OVERRIDE=FQ","FILING_STATUS=MR","Sort=A","Dates=H","DateFormat=P","Fill=—","Direction=H","UseDPDF=Y")</f>
        <v>—</v>
      </c>
      <c r="G20" s="14" t="str">
        <f>_xll.BDH("ALNY US Equity","GHG_INTENSITY_PER_ASSETS","FY 2007","FY 2007","Currency=USD","Period=FQ","BEST_FPERIOD_OVERRIDE=FQ","FILING_STATUS=MR","Sort=A","Dates=H","DateFormat=P","Fill=—","Direction=H","UseDPDF=Y")</f>
        <v>—</v>
      </c>
      <c r="H20" s="14" t="str">
        <f>_xll.BDH("ALNY US Equity","GHG_INTENSITY_PER_ASSETS","FY 2008","FY 2008","Currency=USD","Period=FQ","BEST_FPERIOD_OVERRIDE=FQ","FILING_STATUS=MR","Sort=A","Dates=H","DateFormat=P","Fill=—","Direction=H","UseDPDF=Y")</f>
        <v>—</v>
      </c>
      <c r="I20" s="14" t="str">
        <f>_xll.BDH("ALNY US Equity","GHG_INTENSITY_PER_ASSETS","FY 2009","FY 2009","Currency=USD","Period=FQ","BEST_FPERIOD_OVERRIDE=FQ","FILING_STATUS=MR","Sort=A","Dates=H","DateFormat=P","Fill=—","Direction=H","UseDPDF=Y")</f>
        <v>—</v>
      </c>
      <c r="J20" s="14" t="str">
        <f>_xll.BDH("ALNY US Equity","GHG_INTENSITY_PER_ASSETS","FY 2010","FY 2010","Currency=USD","Period=FQ","BEST_FPERIOD_OVERRIDE=FQ","FILING_STATUS=MR","Sort=A","Dates=H","DateFormat=P","Fill=—","Direction=H","UseDPDF=Y")</f>
        <v>—</v>
      </c>
      <c r="K20" s="14" t="str">
        <f>_xll.BDH("ALNY US Equity","GHG_INTENSITY_PER_ASSETS","FY 2011","FY 2011","Currency=USD","Period=FQ","BEST_FPERIOD_OVERRIDE=FQ","FILING_STATUS=MR","Sort=A","Dates=H","DateFormat=P","Fill=—","Direction=H","UseDPDF=Y")</f>
        <v>—</v>
      </c>
      <c r="L20" s="14" t="str">
        <f>_xll.BDH("ALNY US Equity","GHG_INTENSITY_PER_ASSETS","FY 2012","FY 2012","Currency=USD","Period=FQ","BEST_FPERIOD_OVERRIDE=FQ","FILING_STATUS=MR","Sort=A","Dates=H","DateFormat=P","Fill=—","Direction=H","UseDPDF=Y")</f>
        <v>—</v>
      </c>
      <c r="M20" s="14" t="str">
        <f>_xll.BDH("ALNY US Equity","GHG_INTENSITY_PER_ASSETS","FY 2013","FY 2013","Currency=USD","Period=FQ","BEST_FPERIOD_OVERRIDE=FQ","FILING_STATUS=MR","Sort=A","Dates=H","DateFormat=P","Fill=—","Direction=H","UseDPDF=Y")</f>
        <v>—</v>
      </c>
      <c r="N20" s="14" t="str">
        <f>_xll.BDH("ALNY US Equity","GHG_INTENSITY_PER_ASSETS","FY 2014","FY 2014","Currency=USD","Period=FQ","BEST_FPERIOD_OVERRIDE=FQ","FILING_STATUS=MR","Sort=A","Dates=H","DateFormat=P","Fill=—","Direction=H","UseDPDF=Y")</f>
        <v>—</v>
      </c>
      <c r="O20" s="14" t="str">
        <f>_xll.BDH("ALNY US Equity","GHG_INTENSITY_PER_ASSETS","FY 2015","FY 2015","Currency=USD","Period=FQ","BEST_FPERIOD_OVERRIDE=FQ","FILING_STATUS=MR","Sort=A","Dates=H","DateFormat=P","Fill=—","Direction=H","UseDPDF=Y")</f>
        <v>—</v>
      </c>
      <c r="P20" s="14" t="str">
        <f>_xll.BDH("ALNY US Equity","GHG_INTENSITY_PER_ASSETS","FY 2016","FY 2016","Currency=USD","Period=FQ","BEST_FPERIOD_OVERRIDE=FQ","FILING_STATUS=MR","Sort=A","Dates=H","DateFormat=P","Fill=—","Direction=H","UseDPDF=Y")</f>
        <v>—</v>
      </c>
      <c r="Q20" s="14" t="str">
        <f>_xll.BDH("ALNY US Equity","GHG_INTENSITY_PER_ASSETS","FY 2017","FY 2017","Currency=USD","Period=FQ","BEST_FPERIOD_OVERRIDE=FQ","FILING_STATUS=MR","Sort=A","Dates=H","DateFormat=P","Fill=—","Direction=H","UseDPDF=Y")</f>
        <v>—</v>
      </c>
      <c r="R20" s="14" t="str">
        <f>_xll.BDH("ALNY US Equity","GHG_INTENSITY_PER_ASSETS","FY 2018","FY 2018","Currency=USD","Period=FQ","BEST_FPERIOD_OVERRIDE=FQ","FILING_STATUS=MR","Sort=A","Dates=H","DateFormat=P","Fill=—","Direction=H","UseDPDF=Y")</f>
        <v>—</v>
      </c>
      <c r="S20" s="14" t="str">
        <f>_xll.BDH("ALNY US Equity","GHG_INTENSITY_PER_ASSETS","FY 2019","FY 2019","Currency=USD","Period=FQ","BEST_FPERIOD_OVERRIDE=FQ","FILING_STATUS=MR","Sort=A","Dates=H","DateFormat=P","Fill=—","Direction=H","UseDPDF=Y")</f>
        <v>—</v>
      </c>
      <c r="T20" s="14" t="str">
        <f>_xll.BDH("ALNY US Equity","GHG_INTENSITY_PER_ASSETS","FY 2020","FY 2020","Currency=USD","Period=FQ","BEST_FPERIOD_OVERRIDE=FQ","FILING_STATUS=MR","Sort=A","Dates=H","DateFormat=P","Fill=—","Direction=H","UseDPDF=Y")</f>
        <v>—</v>
      </c>
      <c r="U20" s="14" t="str">
        <f>_xll.BDH("ALNY US Equity","GHG_INTENSITY_PER_ASSETS","FY 2021","FY 2021","Currency=USD","Period=FQ","BEST_FPERIOD_OVERRIDE=FQ","FILING_STATUS=MR","Sort=A","Dates=H","DateFormat=P","Fill=—","Direction=H","UseDPDF=Y")</f>
        <v>—</v>
      </c>
      <c r="V20" s="14" t="str">
        <f>_xll.BDH("ALNY US Equity","GHG_INTENSITY_PER_ASSETS","FY 2022","FY 2022","Currency=USD","Period=FQ","BEST_FPERIOD_OVERRIDE=FQ","FILING_STATUS=MR","Sort=A","Dates=H","DateFormat=P","Fill=—","Direction=H","UseDPDF=Y")</f>
        <v>—</v>
      </c>
      <c r="W20" s="14" t="str">
        <f>_xll.BDH("ALNY US Equity","GHG_INTENSITY_PER_ASSETS","FY 2023","FY 2023","Currency=USD","Period=FQ","BEST_FPERIOD_OVERRIDE=FQ","FILING_STATUS=MR","Sort=A","Dates=H","DateFormat=P","Fill=—","Direction=H","UseDPDF=Y")</f>
        <v>—</v>
      </c>
      <c r="X20" s="14" t="str">
        <f>_xll.BDH("ALNY US Equity","GHG_INTENSITY_PER_ASSETS","FY 2024","FY 2024","Currency=USD","Period=FQ","BEST_FPERIOD_OVERRIDE=FQ","FILING_STATUS=MR","Sort=A","Dates=H","DateFormat=P","Fill=—","Direction=H","UseDPDF=Y")</f>
        <v>—</v>
      </c>
    </row>
    <row r="21" spans="1:24" x14ac:dyDescent="0.25">
      <c r="A21" s="10" t="s">
        <v>1702</v>
      </c>
      <c r="B21" s="10" t="s">
        <v>1703</v>
      </c>
      <c r="C21" s="14" t="str">
        <f>_xll.BDH("ALNY US Equity","TRAVEL_GHG_PER_EMPLOYEE","FY 2003","FY 2003","Currency=USD","Period=FQ","BEST_FPERIOD_OVERRIDE=FQ","FILING_STATUS=MR","Sort=A","Dates=H","DateFormat=P","Fill=—","Direction=H","UseDPDF=Y")</f>
        <v>—</v>
      </c>
      <c r="D21" s="14" t="str">
        <f>_xll.BDH("ALNY US Equity","TRAVEL_GHG_PER_EMPLOYEE","FY 2004","FY 2004","Currency=USD","Period=FQ","BEST_FPERIOD_OVERRIDE=FQ","FILING_STATUS=MR","Sort=A","Dates=H","DateFormat=P","Fill=—","Direction=H","UseDPDF=Y")</f>
        <v>—</v>
      </c>
      <c r="E21" s="14" t="str">
        <f>_xll.BDH("ALNY US Equity","TRAVEL_GHG_PER_EMPLOYEE","FY 2005","FY 2005","Currency=USD","Period=FQ","BEST_FPERIOD_OVERRIDE=FQ","FILING_STATUS=MR","Sort=A","Dates=H","DateFormat=P","Fill=—","Direction=H","UseDPDF=Y")</f>
        <v>—</v>
      </c>
      <c r="F21" s="14" t="str">
        <f>_xll.BDH("ALNY US Equity","TRAVEL_GHG_PER_EMPLOYEE","FY 2006","FY 2006","Currency=USD","Period=FQ","BEST_FPERIOD_OVERRIDE=FQ","FILING_STATUS=MR","Sort=A","Dates=H","DateFormat=P","Fill=—","Direction=H","UseDPDF=Y")</f>
        <v>—</v>
      </c>
      <c r="G21" s="14" t="str">
        <f>_xll.BDH("ALNY US Equity","TRAVEL_GHG_PER_EMPLOYEE","FY 2007","FY 2007","Currency=USD","Period=FQ","BEST_FPERIOD_OVERRIDE=FQ","FILING_STATUS=MR","Sort=A","Dates=H","DateFormat=P","Fill=—","Direction=H","UseDPDF=Y")</f>
        <v>—</v>
      </c>
      <c r="H21" s="14" t="str">
        <f>_xll.BDH("ALNY US Equity","TRAVEL_GHG_PER_EMPLOYEE","FY 2008","FY 2008","Currency=USD","Period=FQ","BEST_FPERIOD_OVERRIDE=FQ","FILING_STATUS=MR","Sort=A","Dates=H","DateFormat=P","Fill=—","Direction=H","UseDPDF=Y")</f>
        <v>—</v>
      </c>
      <c r="I21" s="14" t="str">
        <f>_xll.BDH("ALNY US Equity","TRAVEL_GHG_PER_EMPLOYEE","FY 2009","FY 2009","Currency=USD","Period=FQ","BEST_FPERIOD_OVERRIDE=FQ","FILING_STATUS=MR","Sort=A","Dates=H","DateFormat=P","Fill=—","Direction=H","UseDPDF=Y")</f>
        <v>—</v>
      </c>
      <c r="J21" s="14" t="str">
        <f>_xll.BDH("ALNY US Equity","TRAVEL_GHG_PER_EMPLOYEE","FY 2010","FY 2010","Currency=USD","Period=FQ","BEST_FPERIOD_OVERRIDE=FQ","FILING_STATUS=MR","Sort=A","Dates=H","DateFormat=P","Fill=—","Direction=H","UseDPDF=Y")</f>
        <v>—</v>
      </c>
      <c r="K21" s="14" t="str">
        <f>_xll.BDH("ALNY US Equity","TRAVEL_GHG_PER_EMPLOYEE","FY 2011","FY 2011","Currency=USD","Period=FQ","BEST_FPERIOD_OVERRIDE=FQ","FILING_STATUS=MR","Sort=A","Dates=H","DateFormat=P","Fill=—","Direction=H","UseDPDF=Y")</f>
        <v>—</v>
      </c>
      <c r="L21" s="14" t="str">
        <f>_xll.BDH("ALNY US Equity","TRAVEL_GHG_PER_EMPLOYEE","FY 2012","FY 2012","Currency=USD","Period=FQ","BEST_FPERIOD_OVERRIDE=FQ","FILING_STATUS=MR","Sort=A","Dates=H","DateFormat=P","Fill=—","Direction=H","UseDPDF=Y")</f>
        <v>—</v>
      </c>
      <c r="M21" s="14" t="str">
        <f>_xll.BDH("ALNY US Equity","TRAVEL_GHG_PER_EMPLOYEE","FY 2013","FY 2013","Currency=USD","Period=FQ","BEST_FPERIOD_OVERRIDE=FQ","FILING_STATUS=MR","Sort=A","Dates=H","DateFormat=P","Fill=—","Direction=H","UseDPDF=Y")</f>
        <v>—</v>
      </c>
      <c r="N21" s="14" t="str">
        <f>_xll.BDH("ALNY US Equity","TRAVEL_GHG_PER_EMPLOYEE","FY 2014","FY 2014","Currency=USD","Period=FQ","BEST_FPERIOD_OVERRIDE=FQ","FILING_STATUS=MR","Sort=A","Dates=H","DateFormat=P","Fill=—","Direction=H","UseDPDF=Y")</f>
        <v>—</v>
      </c>
      <c r="O21" s="14" t="str">
        <f>_xll.BDH("ALNY US Equity","TRAVEL_GHG_PER_EMPLOYEE","FY 2015","FY 2015","Currency=USD","Period=FQ","BEST_FPERIOD_OVERRIDE=FQ","FILING_STATUS=MR","Sort=A","Dates=H","DateFormat=P","Fill=—","Direction=H","UseDPDF=Y")</f>
        <v>—</v>
      </c>
      <c r="P21" s="14" t="str">
        <f>_xll.BDH("ALNY US Equity","TRAVEL_GHG_PER_EMPLOYEE","FY 2016","FY 2016","Currency=USD","Period=FQ","BEST_FPERIOD_OVERRIDE=FQ","FILING_STATUS=MR","Sort=A","Dates=H","DateFormat=P","Fill=—","Direction=H","UseDPDF=Y")</f>
        <v>—</v>
      </c>
      <c r="Q21" s="14" t="str">
        <f>_xll.BDH("ALNY US Equity","TRAVEL_GHG_PER_EMPLOYEE","FY 2017","FY 2017","Currency=USD","Period=FQ","BEST_FPERIOD_OVERRIDE=FQ","FILING_STATUS=MR","Sort=A","Dates=H","DateFormat=P","Fill=—","Direction=H","UseDPDF=Y")</f>
        <v>—</v>
      </c>
      <c r="R21" s="14" t="str">
        <f>_xll.BDH("ALNY US Equity","TRAVEL_GHG_PER_EMPLOYEE","FY 2018","FY 2018","Currency=USD","Period=FQ","BEST_FPERIOD_OVERRIDE=FQ","FILING_STATUS=MR","Sort=A","Dates=H","DateFormat=P","Fill=—","Direction=H","UseDPDF=Y")</f>
        <v>—</v>
      </c>
      <c r="S21" s="14" t="str">
        <f>_xll.BDH("ALNY US Equity","TRAVEL_GHG_PER_EMPLOYEE","FY 2019","FY 2019","Currency=USD","Period=FQ","BEST_FPERIOD_OVERRIDE=FQ","FILING_STATUS=MR","Sort=A","Dates=H","DateFormat=P","Fill=—","Direction=H","UseDPDF=Y")</f>
        <v>—</v>
      </c>
      <c r="T21" s="14" t="str">
        <f>_xll.BDH("ALNY US Equity","TRAVEL_GHG_PER_EMPLOYEE","FY 2020","FY 2020","Currency=USD","Period=FQ","BEST_FPERIOD_OVERRIDE=FQ","FILING_STATUS=MR","Sort=A","Dates=H","DateFormat=P","Fill=—","Direction=H","UseDPDF=Y")</f>
        <v>—</v>
      </c>
      <c r="U21" s="14" t="str">
        <f>_xll.BDH("ALNY US Equity","TRAVEL_GHG_PER_EMPLOYEE","FY 2021","FY 2021","Currency=USD","Period=FQ","BEST_FPERIOD_OVERRIDE=FQ","FILING_STATUS=MR","Sort=A","Dates=H","DateFormat=P","Fill=—","Direction=H","UseDPDF=Y")</f>
        <v>—</v>
      </c>
      <c r="V21" s="14" t="str">
        <f>_xll.BDH("ALNY US Equity","TRAVEL_GHG_PER_EMPLOYEE","FY 2022","FY 2022","Currency=USD","Period=FQ","BEST_FPERIOD_OVERRIDE=FQ","FILING_STATUS=MR","Sort=A","Dates=H","DateFormat=P","Fill=—","Direction=H","UseDPDF=Y")</f>
        <v>—</v>
      </c>
      <c r="W21" s="14" t="str">
        <f>_xll.BDH("ALNY US Equity","TRAVEL_GHG_PER_EMPLOYEE","FY 2023","FY 2023","Currency=USD","Period=FQ","BEST_FPERIOD_OVERRIDE=FQ","FILING_STATUS=MR","Sort=A","Dates=H","DateFormat=P","Fill=—","Direction=H","UseDPDF=Y")</f>
        <v>—</v>
      </c>
      <c r="X21" s="14" t="str">
        <f>_xll.BDH("ALNY US Equity","TRAVEL_GHG_PER_EMPLOYEE","FY 2024","FY 2024","Currency=USD","Period=FQ","BEST_FPERIOD_OVERRIDE=FQ","FILING_STATUS=MR","Sort=A","Dates=H","DateFormat=P","Fill=—","Direction=H","UseDPDF=Y")</f>
        <v>—</v>
      </c>
    </row>
    <row r="22" spans="1:24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x14ac:dyDescent="0.25">
      <c r="A23" s="6" t="s">
        <v>1704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10" t="s">
        <v>1705</v>
      </c>
      <c r="B24" s="10" t="s">
        <v>1706</v>
      </c>
      <c r="C24" s="14" t="str">
        <f>_xll.BDH("ALNY US Equity","TRAVEL_EMISSIONS_PER_SALES","FY 2003","FY 2003","Currency=USD","Period=FQ","BEST_FPERIOD_OVERRIDE=FQ","FILING_STATUS=MR","FA_ADJUSTED=GAAP","Sort=A","Dates=H","DateFormat=P","Fill=—","Direction=H","UseDPDF=Y")</f>
        <v>—</v>
      </c>
      <c r="D24" s="14" t="str">
        <f>_xll.BDH("ALNY US Equity","TRAVEL_EMISSIONS_PER_SALES","FY 2004","FY 2004","Currency=USD","Period=FQ","BEST_FPERIOD_OVERRIDE=FQ","FILING_STATUS=MR","FA_ADJUSTED=GAAP","Sort=A","Dates=H","DateFormat=P","Fill=—","Direction=H","UseDPDF=Y")</f>
        <v>—</v>
      </c>
      <c r="E24" s="14" t="str">
        <f>_xll.BDH("ALNY US Equity","TRAVEL_EMISSIONS_PER_SALES","FY 2005","FY 2005","Currency=USD","Period=FQ","BEST_FPERIOD_OVERRIDE=FQ","FILING_STATUS=MR","FA_ADJUSTED=GAAP","Sort=A","Dates=H","DateFormat=P","Fill=—","Direction=H","UseDPDF=Y")</f>
        <v>—</v>
      </c>
      <c r="F24" s="14" t="str">
        <f>_xll.BDH("ALNY US Equity","TRAVEL_EMISSIONS_PER_SALES","FY 2006","FY 2006","Currency=USD","Period=FQ","BEST_FPERIOD_OVERRIDE=FQ","FILING_STATUS=MR","FA_ADJUSTED=GAAP","Sort=A","Dates=H","DateFormat=P","Fill=—","Direction=H","UseDPDF=Y")</f>
        <v>—</v>
      </c>
      <c r="G24" s="14" t="str">
        <f>_xll.BDH("ALNY US Equity","TRAVEL_EMISSIONS_PER_SALES","FY 2007","FY 2007","Currency=USD","Period=FQ","BEST_FPERIOD_OVERRIDE=FQ","FILING_STATUS=MR","FA_ADJUSTED=GAAP","Sort=A","Dates=H","DateFormat=P","Fill=—","Direction=H","UseDPDF=Y")</f>
        <v>—</v>
      </c>
      <c r="H24" s="14" t="str">
        <f>_xll.BDH("ALNY US Equity","TRAVEL_EMISSIONS_PER_SALES","FY 2008","FY 2008","Currency=USD","Period=FQ","BEST_FPERIOD_OVERRIDE=FQ","FILING_STATUS=MR","FA_ADJUSTED=GAAP","Sort=A","Dates=H","DateFormat=P","Fill=—","Direction=H","UseDPDF=Y")</f>
        <v>—</v>
      </c>
      <c r="I24" s="14" t="str">
        <f>_xll.BDH("ALNY US Equity","TRAVEL_EMISSIONS_PER_SALES","FY 2009","FY 2009","Currency=USD","Period=FQ","BEST_FPERIOD_OVERRIDE=FQ","FILING_STATUS=MR","FA_ADJUSTED=GAAP","Sort=A","Dates=H","DateFormat=P","Fill=—","Direction=H","UseDPDF=Y")</f>
        <v>—</v>
      </c>
      <c r="J24" s="14" t="str">
        <f>_xll.BDH("ALNY US Equity","TRAVEL_EMISSIONS_PER_SALES","FY 2010","FY 2010","Currency=USD","Period=FQ","BEST_FPERIOD_OVERRIDE=FQ","FILING_STATUS=MR","FA_ADJUSTED=GAAP","Sort=A","Dates=H","DateFormat=P","Fill=—","Direction=H","UseDPDF=Y")</f>
        <v>—</v>
      </c>
      <c r="K24" s="14" t="str">
        <f>_xll.BDH("ALNY US Equity","TRAVEL_EMISSIONS_PER_SALES","FY 2011","FY 2011","Currency=USD","Period=FQ","BEST_FPERIOD_OVERRIDE=FQ","FILING_STATUS=MR","FA_ADJUSTED=GAAP","Sort=A","Dates=H","DateFormat=P","Fill=—","Direction=H","UseDPDF=Y")</f>
        <v>—</v>
      </c>
      <c r="L24" s="14" t="str">
        <f>_xll.BDH("ALNY US Equity","TRAVEL_EMISSIONS_PER_SALES","FY 2012","FY 2012","Currency=USD","Period=FQ","BEST_FPERIOD_OVERRIDE=FQ","FILING_STATUS=MR","FA_ADJUSTED=GAAP","Sort=A","Dates=H","DateFormat=P","Fill=—","Direction=H","UseDPDF=Y")</f>
        <v>—</v>
      </c>
      <c r="M24" s="14" t="str">
        <f>_xll.BDH("ALNY US Equity","TRAVEL_EMISSIONS_PER_SALES","FY 2013","FY 2013","Currency=USD","Period=FQ","BEST_FPERIOD_OVERRIDE=FQ","FILING_STATUS=MR","FA_ADJUSTED=GAAP","Sort=A","Dates=H","DateFormat=P","Fill=—","Direction=H","UseDPDF=Y")</f>
        <v>—</v>
      </c>
      <c r="N24" s="14" t="str">
        <f>_xll.BDH("ALNY US Equity","TRAVEL_EMISSIONS_PER_SALES","FY 2014","FY 2014","Currency=USD","Period=FQ","BEST_FPERIOD_OVERRIDE=FQ","FILING_STATUS=MR","FA_ADJUSTED=GAAP","Sort=A","Dates=H","DateFormat=P","Fill=—","Direction=H","UseDPDF=Y")</f>
        <v>—</v>
      </c>
      <c r="O24" s="14" t="str">
        <f>_xll.BDH("ALNY US Equity","TRAVEL_EMISSIONS_PER_SALES","FY 2015","FY 2015","Currency=USD","Period=FQ","BEST_FPERIOD_OVERRIDE=FQ","FILING_STATUS=MR","FA_ADJUSTED=GAAP","Sort=A","Dates=H","DateFormat=P","Fill=—","Direction=H","UseDPDF=Y")</f>
        <v>—</v>
      </c>
      <c r="P24" s="14" t="str">
        <f>_xll.BDH("ALNY US Equity","TRAVEL_EMISSIONS_PER_SALES","FY 2016","FY 2016","Currency=USD","Period=FQ","BEST_FPERIOD_OVERRIDE=FQ","FILING_STATUS=MR","FA_ADJUSTED=GAAP","Sort=A","Dates=H","DateFormat=P","Fill=—","Direction=H","UseDPDF=Y")</f>
        <v>—</v>
      </c>
      <c r="Q24" s="14" t="str">
        <f>_xll.BDH("ALNY US Equity","TRAVEL_EMISSIONS_PER_SALES","FY 2017","FY 2017","Currency=USD","Period=FQ","BEST_FPERIOD_OVERRIDE=FQ","FILING_STATUS=MR","FA_ADJUSTED=GAAP","Sort=A","Dates=H","DateFormat=P","Fill=—","Direction=H","UseDPDF=Y")</f>
        <v>—</v>
      </c>
      <c r="R24" s="14" t="str">
        <f>_xll.BDH("ALNY US Equity","TRAVEL_EMISSIONS_PER_SALES","FY 2018","FY 2018","Currency=USD","Period=FQ","BEST_FPERIOD_OVERRIDE=FQ","FILING_STATUS=MR","FA_ADJUSTED=GAAP","Sort=A","Dates=H","DateFormat=P","Fill=—","Direction=H","UseDPDF=Y")</f>
        <v>—</v>
      </c>
      <c r="S24" s="14" t="str">
        <f>_xll.BDH("ALNY US Equity","TRAVEL_EMISSIONS_PER_SALES","FY 2019","FY 2019","Currency=USD","Period=FQ","BEST_FPERIOD_OVERRIDE=FQ","FILING_STATUS=MR","FA_ADJUSTED=GAAP","Sort=A","Dates=H","DateFormat=P","Fill=—","Direction=H","UseDPDF=Y")</f>
        <v>—</v>
      </c>
      <c r="T24" s="14" t="str">
        <f>_xll.BDH("ALNY US Equity","TRAVEL_EMISSIONS_PER_SALES","FY 2020","FY 2020","Currency=USD","Period=FQ","BEST_FPERIOD_OVERRIDE=FQ","FILING_STATUS=MR","FA_ADJUSTED=GAAP","Sort=A","Dates=H","DateFormat=P","Fill=—","Direction=H","UseDPDF=Y")</f>
        <v>—</v>
      </c>
      <c r="U24" s="14" t="str">
        <f>_xll.BDH("ALNY US Equity","TRAVEL_EMISSIONS_PER_SALES","FY 2021","FY 2021","Currency=USD","Period=FQ","BEST_FPERIOD_OVERRIDE=FQ","FILING_STATUS=MR","FA_ADJUSTED=GAAP","Sort=A","Dates=H","DateFormat=P","Fill=—","Direction=H","UseDPDF=Y")</f>
        <v>—</v>
      </c>
      <c r="V24" s="14" t="str">
        <f>_xll.BDH("ALNY US Equity","TRAVEL_EMISSIONS_PER_SALES","FY 2022","FY 2022","Currency=USD","Period=FQ","BEST_FPERIOD_OVERRIDE=FQ","FILING_STATUS=MR","FA_ADJUSTED=GAAP","Sort=A","Dates=H","DateFormat=P","Fill=—","Direction=H","UseDPDF=Y")</f>
        <v>—</v>
      </c>
      <c r="W24" s="14" t="str">
        <f>_xll.BDH("ALNY US Equity","TRAVEL_EMISSIONS_PER_SALES","FY 2023","FY 2023","Currency=USD","Period=FQ","BEST_FPERIOD_OVERRIDE=FQ","FILING_STATUS=MR","FA_ADJUSTED=GAAP","Sort=A","Dates=H","DateFormat=P","Fill=—","Direction=H","UseDPDF=Y")</f>
        <v>—</v>
      </c>
      <c r="X24" s="14" t="str">
        <f>_xll.BDH("ALNY US Equity","TRAVEL_EMISSIONS_PER_SALES","FY 2024","FY 2024","Currency=USD","Period=FQ","BEST_FPERIOD_OVERRIDE=FQ","FILING_STATUS=MR","FA_ADJUSTED=GAAP","Sort=A","Dates=H","DateFormat=P","Fill=—","Direction=H","UseDPDF=Y")</f>
        <v>—</v>
      </c>
    </row>
    <row r="25" spans="1:24" x14ac:dyDescent="0.25">
      <c r="A25" s="10" t="s">
        <v>1707</v>
      </c>
      <c r="B25" s="10" t="s">
        <v>1708</v>
      </c>
      <c r="C25" s="14" t="str">
        <f>_xll.BDH("ALNY US Equity","TRAVEL_CO2_PER_EMPLOYEE","FY 2003","FY 2003","Currency=USD","Period=FQ","BEST_FPERIOD_OVERRIDE=FQ","FILING_STATUS=MR","Sort=A","Dates=H","DateFormat=P","Fill=—","Direction=H","UseDPDF=Y")</f>
        <v>—</v>
      </c>
      <c r="D25" s="14" t="str">
        <f>_xll.BDH("ALNY US Equity","TRAVEL_CO2_PER_EMPLOYEE","FY 2004","FY 2004","Currency=USD","Period=FQ","BEST_FPERIOD_OVERRIDE=FQ","FILING_STATUS=MR","Sort=A","Dates=H","DateFormat=P","Fill=—","Direction=H","UseDPDF=Y")</f>
        <v>—</v>
      </c>
      <c r="E25" s="14" t="str">
        <f>_xll.BDH("ALNY US Equity","TRAVEL_CO2_PER_EMPLOYEE","FY 2005","FY 2005","Currency=USD","Period=FQ","BEST_FPERIOD_OVERRIDE=FQ","FILING_STATUS=MR","Sort=A","Dates=H","DateFormat=P","Fill=—","Direction=H","UseDPDF=Y")</f>
        <v>—</v>
      </c>
      <c r="F25" s="14" t="str">
        <f>_xll.BDH("ALNY US Equity","TRAVEL_CO2_PER_EMPLOYEE","FY 2006","FY 2006","Currency=USD","Period=FQ","BEST_FPERIOD_OVERRIDE=FQ","FILING_STATUS=MR","Sort=A","Dates=H","DateFormat=P","Fill=—","Direction=H","UseDPDF=Y")</f>
        <v>—</v>
      </c>
      <c r="G25" s="14" t="str">
        <f>_xll.BDH("ALNY US Equity","TRAVEL_CO2_PER_EMPLOYEE","FY 2007","FY 2007","Currency=USD","Period=FQ","BEST_FPERIOD_OVERRIDE=FQ","FILING_STATUS=MR","Sort=A","Dates=H","DateFormat=P","Fill=—","Direction=H","UseDPDF=Y")</f>
        <v>—</v>
      </c>
      <c r="H25" s="14" t="str">
        <f>_xll.BDH("ALNY US Equity","TRAVEL_CO2_PER_EMPLOYEE","FY 2008","FY 2008","Currency=USD","Period=FQ","BEST_FPERIOD_OVERRIDE=FQ","FILING_STATUS=MR","Sort=A","Dates=H","DateFormat=P","Fill=—","Direction=H","UseDPDF=Y")</f>
        <v>—</v>
      </c>
      <c r="I25" s="14" t="str">
        <f>_xll.BDH("ALNY US Equity","TRAVEL_CO2_PER_EMPLOYEE","FY 2009","FY 2009","Currency=USD","Period=FQ","BEST_FPERIOD_OVERRIDE=FQ","FILING_STATUS=MR","Sort=A","Dates=H","DateFormat=P","Fill=—","Direction=H","UseDPDF=Y")</f>
        <v>—</v>
      </c>
      <c r="J25" s="14" t="str">
        <f>_xll.BDH("ALNY US Equity","TRAVEL_CO2_PER_EMPLOYEE","FY 2010","FY 2010","Currency=USD","Period=FQ","BEST_FPERIOD_OVERRIDE=FQ","FILING_STATUS=MR","Sort=A","Dates=H","DateFormat=P","Fill=—","Direction=H","UseDPDF=Y")</f>
        <v>—</v>
      </c>
      <c r="K25" s="14" t="str">
        <f>_xll.BDH("ALNY US Equity","TRAVEL_CO2_PER_EMPLOYEE","FY 2011","FY 2011","Currency=USD","Period=FQ","BEST_FPERIOD_OVERRIDE=FQ","FILING_STATUS=MR","Sort=A","Dates=H","DateFormat=P","Fill=—","Direction=H","UseDPDF=Y")</f>
        <v>—</v>
      </c>
      <c r="L25" s="14" t="str">
        <f>_xll.BDH("ALNY US Equity","TRAVEL_CO2_PER_EMPLOYEE","FY 2012","FY 2012","Currency=USD","Period=FQ","BEST_FPERIOD_OVERRIDE=FQ","FILING_STATUS=MR","Sort=A","Dates=H","DateFormat=P","Fill=—","Direction=H","UseDPDF=Y")</f>
        <v>—</v>
      </c>
      <c r="M25" s="14" t="str">
        <f>_xll.BDH("ALNY US Equity","TRAVEL_CO2_PER_EMPLOYEE","FY 2013","FY 2013","Currency=USD","Period=FQ","BEST_FPERIOD_OVERRIDE=FQ","FILING_STATUS=MR","Sort=A","Dates=H","DateFormat=P","Fill=—","Direction=H","UseDPDF=Y")</f>
        <v>—</v>
      </c>
      <c r="N25" s="14" t="str">
        <f>_xll.BDH("ALNY US Equity","TRAVEL_CO2_PER_EMPLOYEE","FY 2014","FY 2014","Currency=USD","Period=FQ","BEST_FPERIOD_OVERRIDE=FQ","FILING_STATUS=MR","Sort=A","Dates=H","DateFormat=P","Fill=—","Direction=H","UseDPDF=Y")</f>
        <v>—</v>
      </c>
      <c r="O25" s="14" t="str">
        <f>_xll.BDH("ALNY US Equity","TRAVEL_CO2_PER_EMPLOYEE","FY 2015","FY 2015","Currency=USD","Period=FQ","BEST_FPERIOD_OVERRIDE=FQ","FILING_STATUS=MR","Sort=A","Dates=H","DateFormat=P","Fill=—","Direction=H","UseDPDF=Y")</f>
        <v>—</v>
      </c>
      <c r="P25" s="14" t="str">
        <f>_xll.BDH("ALNY US Equity","TRAVEL_CO2_PER_EMPLOYEE","FY 2016","FY 2016","Currency=USD","Period=FQ","BEST_FPERIOD_OVERRIDE=FQ","FILING_STATUS=MR","Sort=A","Dates=H","DateFormat=P","Fill=—","Direction=H","UseDPDF=Y")</f>
        <v>—</v>
      </c>
      <c r="Q25" s="14" t="str">
        <f>_xll.BDH("ALNY US Equity","TRAVEL_CO2_PER_EMPLOYEE","FY 2017","FY 2017","Currency=USD","Period=FQ","BEST_FPERIOD_OVERRIDE=FQ","FILING_STATUS=MR","Sort=A","Dates=H","DateFormat=P","Fill=—","Direction=H","UseDPDF=Y")</f>
        <v>—</v>
      </c>
      <c r="R25" s="14" t="str">
        <f>_xll.BDH("ALNY US Equity","TRAVEL_CO2_PER_EMPLOYEE","FY 2018","FY 2018","Currency=USD","Period=FQ","BEST_FPERIOD_OVERRIDE=FQ","FILING_STATUS=MR","Sort=A","Dates=H","DateFormat=P","Fill=—","Direction=H","UseDPDF=Y")</f>
        <v>—</v>
      </c>
      <c r="S25" s="14" t="str">
        <f>_xll.BDH("ALNY US Equity","TRAVEL_CO2_PER_EMPLOYEE","FY 2019","FY 2019","Currency=USD","Period=FQ","BEST_FPERIOD_OVERRIDE=FQ","FILING_STATUS=MR","Sort=A","Dates=H","DateFormat=P","Fill=—","Direction=H","UseDPDF=Y")</f>
        <v>—</v>
      </c>
      <c r="T25" s="14" t="str">
        <f>_xll.BDH("ALNY US Equity","TRAVEL_CO2_PER_EMPLOYEE","FY 2020","FY 2020","Currency=USD","Period=FQ","BEST_FPERIOD_OVERRIDE=FQ","FILING_STATUS=MR","Sort=A","Dates=H","DateFormat=P","Fill=—","Direction=H","UseDPDF=Y")</f>
        <v>—</v>
      </c>
      <c r="U25" s="14" t="str">
        <f>_xll.BDH("ALNY US Equity","TRAVEL_CO2_PER_EMPLOYEE","FY 2021","FY 2021","Currency=USD","Period=FQ","BEST_FPERIOD_OVERRIDE=FQ","FILING_STATUS=MR","Sort=A","Dates=H","DateFormat=P","Fill=—","Direction=H","UseDPDF=Y")</f>
        <v>—</v>
      </c>
      <c r="V25" s="14" t="str">
        <f>_xll.BDH("ALNY US Equity","TRAVEL_CO2_PER_EMPLOYEE","FY 2022","FY 2022","Currency=USD","Period=FQ","BEST_FPERIOD_OVERRIDE=FQ","FILING_STATUS=MR","Sort=A","Dates=H","DateFormat=P","Fill=—","Direction=H","UseDPDF=Y")</f>
        <v>—</v>
      </c>
      <c r="W25" s="14" t="str">
        <f>_xll.BDH("ALNY US Equity","TRAVEL_CO2_PER_EMPLOYEE","FY 2023","FY 2023","Currency=USD","Period=FQ","BEST_FPERIOD_OVERRIDE=FQ","FILING_STATUS=MR","Sort=A","Dates=H","DateFormat=P","Fill=—","Direction=H","UseDPDF=Y")</f>
        <v>—</v>
      </c>
      <c r="X25" s="14" t="str">
        <f>_xll.BDH("ALNY US Equity","TRAVEL_CO2_PER_EMPLOYEE","FY 2024","FY 2024","Currency=USD","Period=FQ","BEST_FPERIOD_OVERRIDE=FQ","FILING_STATUS=MR","Sort=A","Dates=H","DateFormat=P","Fill=—","Direction=H","UseDPDF=Y")</f>
        <v>—</v>
      </c>
    </row>
    <row r="26" spans="1:24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6" t="s">
        <v>1709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25">
      <c r="A28" s="10" t="s">
        <v>1710</v>
      </c>
      <c r="B28" s="10" t="s">
        <v>1711</v>
      </c>
      <c r="C28" s="14" t="str">
        <f>_xll.BDH("ALNY US Equity","ENERGY_INTENSITY_PER_SALES","FY 2003","FY 2003","Currency=USD","Period=FQ","BEST_FPERIOD_OVERRIDE=FQ","FILING_STATUS=MR","FA_ADJUSTED=GAAP","Sort=A","Dates=H","DateFormat=P","Fill=—","Direction=H","UseDPDF=Y")</f>
        <v>—</v>
      </c>
      <c r="D28" s="14" t="str">
        <f>_xll.BDH("ALNY US Equity","ENERGY_INTENSITY_PER_SALES","FY 2004","FY 2004","Currency=USD","Period=FQ","BEST_FPERIOD_OVERRIDE=FQ","FILING_STATUS=MR","FA_ADJUSTED=GAAP","Sort=A","Dates=H","DateFormat=P","Fill=—","Direction=H","UseDPDF=Y")</f>
        <v>—</v>
      </c>
      <c r="E28" s="14" t="str">
        <f>_xll.BDH("ALNY US Equity","ENERGY_INTENSITY_PER_SALES","FY 2005","FY 2005","Currency=USD","Period=FQ","BEST_FPERIOD_OVERRIDE=FQ","FILING_STATUS=MR","FA_ADJUSTED=GAAP","Sort=A","Dates=H","DateFormat=P","Fill=—","Direction=H","UseDPDF=Y")</f>
        <v>—</v>
      </c>
      <c r="F28" s="14" t="str">
        <f>_xll.BDH("ALNY US Equity","ENERGY_INTENSITY_PER_SALES","FY 2006","FY 2006","Currency=USD","Period=FQ","BEST_FPERIOD_OVERRIDE=FQ","FILING_STATUS=MR","FA_ADJUSTED=GAAP","Sort=A","Dates=H","DateFormat=P","Fill=—","Direction=H","UseDPDF=Y")</f>
        <v>—</v>
      </c>
      <c r="G28" s="14" t="str">
        <f>_xll.BDH("ALNY US Equity","ENERGY_INTENSITY_PER_SALES","FY 2007","FY 2007","Currency=USD","Period=FQ","BEST_FPERIOD_OVERRIDE=FQ","FILING_STATUS=MR","FA_ADJUSTED=GAAP","Sort=A","Dates=H","DateFormat=P","Fill=—","Direction=H","UseDPDF=Y")</f>
        <v>—</v>
      </c>
      <c r="H28" s="14" t="str">
        <f>_xll.BDH("ALNY US Equity","ENERGY_INTENSITY_PER_SALES","FY 2008","FY 2008","Currency=USD","Period=FQ","BEST_FPERIOD_OVERRIDE=FQ","FILING_STATUS=MR","FA_ADJUSTED=GAAP","Sort=A","Dates=H","DateFormat=P","Fill=—","Direction=H","UseDPDF=Y")</f>
        <v>—</v>
      </c>
      <c r="I28" s="14" t="str">
        <f>_xll.BDH("ALNY US Equity","ENERGY_INTENSITY_PER_SALES","FY 2009","FY 2009","Currency=USD","Period=FQ","BEST_FPERIOD_OVERRIDE=FQ","FILING_STATUS=MR","FA_ADJUSTED=GAAP","Sort=A","Dates=H","DateFormat=P","Fill=—","Direction=H","UseDPDF=Y")</f>
        <v>—</v>
      </c>
      <c r="J28" s="14" t="str">
        <f>_xll.BDH("ALNY US Equity","ENERGY_INTENSITY_PER_SALES","FY 2010","FY 2010","Currency=USD","Period=FQ","BEST_FPERIOD_OVERRIDE=FQ","FILING_STATUS=MR","FA_ADJUSTED=GAAP","Sort=A","Dates=H","DateFormat=P","Fill=—","Direction=H","UseDPDF=Y")</f>
        <v>—</v>
      </c>
      <c r="K28" s="14" t="str">
        <f>_xll.BDH("ALNY US Equity","ENERGY_INTENSITY_PER_SALES","FY 2011","FY 2011","Currency=USD","Period=FQ","BEST_FPERIOD_OVERRIDE=FQ","FILING_STATUS=MR","FA_ADJUSTED=GAAP","Sort=A","Dates=H","DateFormat=P","Fill=—","Direction=H","UseDPDF=Y")</f>
        <v>—</v>
      </c>
      <c r="L28" s="14" t="str">
        <f>_xll.BDH("ALNY US Equity","ENERGY_INTENSITY_PER_SALES","FY 2012","FY 2012","Currency=USD","Period=FQ","BEST_FPERIOD_OVERRIDE=FQ","FILING_STATUS=MR","FA_ADJUSTED=GAAP","Sort=A","Dates=H","DateFormat=P","Fill=—","Direction=H","UseDPDF=Y")</f>
        <v>—</v>
      </c>
      <c r="M28" s="14" t="str">
        <f>_xll.BDH("ALNY US Equity","ENERGY_INTENSITY_PER_SALES","FY 2013","FY 2013","Currency=USD","Period=FQ","BEST_FPERIOD_OVERRIDE=FQ","FILING_STATUS=MR","FA_ADJUSTED=GAAP","Sort=A","Dates=H","DateFormat=P","Fill=—","Direction=H","UseDPDF=Y")</f>
        <v>—</v>
      </c>
      <c r="N28" s="14" t="str">
        <f>_xll.BDH("ALNY US Equity","ENERGY_INTENSITY_PER_SALES","FY 2014","FY 2014","Currency=USD","Period=FQ","BEST_FPERIOD_OVERRIDE=FQ","FILING_STATUS=MR","FA_ADJUSTED=GAAP","Sort=A","Dates=H","DateFormat=P","Fill=—","Direction=H","UseDPDF=Y")</f>
        <v>—</v>
      </c>
      <c r="O28" s="14" t="str">
        <f>_xll.BDH("ALNY US Equity","ENERGY_INTENSITY_PER_SALES","FY 2015","FY 2015","Currency=USD","Period=FQ","BEST_FPERIOD_OVERRIDE=FQ","FILING_STATUS=MR","FA_ADJUSTED=GAAP","Sort=A","Dates=H","DateFormat=P","Fill=—","Direction=H","UseDPDF=Y")</f>
        <v>—</v>
      </c>
      <c r="P28" s="14" t="str">
        <f>_xll.BDH("ALNY US Equity","ENERGY_INTENSITY_PER_SALES","FY 2016","FY 2016","Currency=USD","Period=FQ","BEST_FPERIOD_OVERRIDE=FQ","FILING_STATUS=MR","FA_ADJUSTED=GAAP","Sort=A","Dates=H","DateFormat=P","Fill=—","Direction=H","UseDPDF=Y")</f>
        <v>—</v>
      </c>
      <c r="Q28" s="14" t="str">
        <f>_xll.BDH("ALNY US Equity","ENERGY_INTENSITY_PER_SALES","FY 2017","FY 2017","Currency=USD","Period=FQ","BEST_FPERIOD_OVERRIDE=FQ","FILING_STATUS=MR","FA_ADJUSTED=GAAP","Sort=A","Dates=H","DateFormat=P","Fill=—","Direction=H","UseDPDF=Y")</f>
        <v>—</v>
      </c>
      <c r="R28" s="14" t="str">
        <f>_xll.BDH("ALNY US Equity","ENERGY_INTENSITY_PER_SALES","FY 2018","FY 2018","Currency=USD","Period=FQ","BEST_FPERIOD_OVERRIDE=FQ","FILING_STATUS=MR","FA_ADJUSTED=GAAP","Sort=A","Dates=H","DateFormat=P","Fill=—","Direction=H","UseDPDF=Y")</f>
        <v>—</v>
      </c>
      <c r="S28" s="14" t="str">
        <f>_xll.BDH("ALNY US Equity","ENERGY_INTENSITY_PER_SALES","FY 2019","FY 2019","Currency=USD","Period=FQ","BEST_FPERIOD_OVERRIDE=FQ","FILING_STATUS=MR","FA_ADJUSTED=GAAP","Sort=A","Dates=H","DateFormat=P","Fill=—","Direction=H","UseDPDF=Y")</f>
        <v>—</v>
      </c>
      <c r="T28" s="14" t="str">
        <f>_xll.BDH("ALNY US Equity","ENERGY_INTENSITY_PER_SALES","FY 2020","FY 2020","Currency=USD","Period=FQ","BEST_FPERIOD_OVERRIDE=FQ","FILING_STATUS=MR","FA_ADJUSTED=GAAP","Sort=A","Dates=H","DateFormat=P","Fill=—","Direction=H","UseDPDF=Y")</f>
        <v>—</v>
      </c>
      <c r="U28" s="14" t="str">
        <f>_xll.BDH("ALNY US Equity","ENERGY_INTENSITY_PER_SALES","FY 2021","FY 2021","Currency=USD","Period=FQ","BEST_FPERIOD_OVERRIDE=FQ","FILING_STATUS=MR","FA_ADJUSTED=GAAP","Sort=A","Dates=H","DateFormat=P","Fill=—","Direction=H","UseDPDF=Y")</f>
        <v>—</v>
      </c>
      <c r="V28" s="14" t="str">
        <f>_xll.BDH("ALNY US Equity","ENERGY_INTENSITY_PER_SALES","FY 2022","FY 2022","Currency=USD","Period=FQ","BEST_FPERIOD_OVERRIDE=FQ","FILING_STATUS=MR","FA_ADJUSTED=GAAP","Sort=A","Dates=H","DateFormat=P","Fill=—","Direction=H","UseDPDF=Y")</f>
        <v>—</v>
      </c>
      <c r="W28" s="14" t="str">
        <f>_xll.BDH("ALNY US Equity","ENERGY_INTENSITY_PER_SALES","FY 2023","FY 2023","Currency=USD","Period=FQ","BEST_FPERIOD_OVERRIDE=FQ","FILING_STATUS=MR","FA_ADJUSTED=GAAP","Sort=A","Dates=H","DateFormat=P","Fill=—","Direction=H","UseDPDF=Y")</f>
        <v>—</v>
      </c>
      <c r="X28" s="14" t="str">
        <f>_xll.BDH("ALNY US Equity","ENERGY_INTENSITY_PER_SALES","FY 2024","FY 2024","Currency=USD","Period=FQ","BEST_FPERIOD_OVERRIDE=FQ","FILING_STATUS=MR","FA_ADJUSTED=GAAP","Sort=A","Dates=H","DateFormat=P","Fill=—","Direction=H","UseDPDF=Y")</f>
        <v>—</v>
      </c>
    </row>
    <row r="29" spans="1:24" x14ac:dyDescent="0.25">
      <c r="A29" s="10" t="s">
        <v>1712</v>
      </c>
      <c r="B29" s="10" t="s">
        <v>1713</v>
      </c>
      <c r="C29" s="14" t="str">
        <f>_xll.BDH("ALNY US Equity","ENERGY_INTENSITY_PER_EMPLOYEE","FY 2003","FY 2003","Currency=USD","Period=FQ","BEST_FPERIOD_OVERRIDE=FQ","FILING_STATUS=MR","Sort=A","Dates=H","DateFormat=P","Fill=—","Direction=H","UseDPDF=Y")</f>
        <v>—</v>
      </c>
      <c r="D29" s="14" t="str">
        <f>_xll.BDH("ALNY US Equity","ENERGY_INTENSITY_PER_EMPLOYEE","FY 2004","FY 2004","Currency=USD","Period=FQ","BEST_FPERIOD_OVERRIDE=FQ","FILING_STATUS=MR","Sort=A","Dates=H","DateFormat=P","Fill=—","Direction=H","UseDPDF=Y")</f>
        <v>—</v>
      </c>
      <c r="E29" s="14" t="str">
        <f>_xll.BDH("ALNY US Equity","ENERGY_INTENSITY_PER_EMPLOYEE","FY 2005","FY 2005","Currency=USD","Period=FQ","BEST_FPERIOD_OVERRIDE=FQ","FILING_STATUS=MR","Sort=A","Dates=H","DateFormat=P","Fill=—","Direction=H","UseDPDF=Y")</f>
        <v>—</v>
      </c>
      <c r="F29" s="14" t="str">
        <f>_xll.BDH("ALNY US Equity","ENERGY_INTENSITY_PER_EMPLOYEE","FY 2006","FY 2006","Currency=USD","Period=FQ","BEST_FPERIOD_OVERRIDE=FQ","FILING_STATUS=MR","Sort=A","Dates=H","DateFormat=P","Fill=—","Direction=H","UseDPDF=Y")</f>
        <v>—</v>
      </c>
      <c r="G29" s="14" t="str">
        <f>_xll.BDH("ALNY US Equity","ENERGY_INTENSITY_PER_EMPLOYEE","FY 2007","FY 2007","Currency=USD","Period=FQ","BEST_FPERIOD_OVERRIDE=FQ","FILING_STATUS=MR","Sort=A","Dates=H","DateFormat=P","Fill=—","Direction=H","UseDPDF=Y")</f>
        <v>—</v>
      </c>
      <c r="H29" s="14" t="str">
        <f>_xll.BDH("ALNY US Equity","ENERGY_INTENSITY_PER_EMPLOYEE","FY 2008","FY 2008","Currency=USD","Period=FQ","BEST_FPERIOD_OVERRIDE=FQ","FILING_STATUS=MR","Sort=A","Dates=H","DateFormat=P","Fill=—","Direction=H","UseDPDF=Y")</f>
        <v>—</v>
      </c>
      <c r="I29" s="14" t="str">
        <f>_xll.BDH("ALNY US Equity","ENERGY_INTENSITY_PER_EMPLOYEE","FY 2009","FY 2009","Currency=USD","Period=FQ","BEST_FPERIOD_OVERRIDE=FQ","FILING_STATUS=MR","Sort=A","Dates=H","DateFormat=P","Fill=—","Direction=H","UseDPDF=Y")</f>
        <v>—</v>
      </c>
      <c r="J29" s="14" t="str">
        <f>_xll.BDH("ALNY US Equity","ENERGY_INTENSITY_PER_EMPLOYEE","FY 2010","FY 2010","Currency=USD","Period=FQ","BEST_FPERIOD_OVERRIDE=FQ","FILING_STATUS=MR","Sort=A","Dates=H","DateFormat=P","Fill=—","Direction=H","UseDPDF=Y")</f>
        <v>—</v>
      </c>
      <c r="K29" s="14" t="str">
        <f>_xll.BDH("ALNY US Equity","ENERGY_INTENSITY_PER_EMPLOYEE","FY 2011","FY 2011","Currency=USD","Period=FQ","BEST_FPERIOD_OVERRIDE=FQ","FILING_STATUS=MR","Sort=A","Dates=H","DateFormat=P","Fill=—","Direction=H","UseDPDF=Y")</f>
        <v>—</v>
      </c>
      <c r="L29" s="14" t="str">
        <f>_xll.BDH("ALNY US Equity","ENERGY_INTENSITY_PER_EMPLOYEE","FY 2012","FY 2012","Currency=USD","Period=FQ","BEST_FPERIOD_OVERRIDE=FQ","FILING_STATUS=MR","Sort=A","Dates=H","DateFormat=P","Fill=—","Direction=H","UseDPDF=Y")</f>
        <v>—</v>
      </c>
      <c r="M29" s="14" t="str">
        <f>_xll.BDH("ALNY US Equity","ENERGY_INTENSITY_PER_EMPLOYEE","FY 2013","FY 2013","Currency=USD","Period=FQ","BEST_FPERIOD_OVERRIDE=FQ","FILING_STATUS=MR","Sort=A","Dates=H","DateFormat=P","Fill=—","Direction=H","UseDPDF=Y")</f>
        <v>—</v>
      </c>
      <c r="N29" s="14" t="str">
        <f>_xll.BDH("ALNY US Equity","ENERGY_INTENSITY_PER_EMPLOYEE","FY 2014","FY 2014","Currency=USD","Period=FQ","BEST_FPERIOD_OVERRIDE=FQ","FILING_STATUS=MR","Sort=A","Dates=H","DateFormat=P","Fill=—","Direction=H","UseDPDF=Y")</f>
        <v>—</v>
      </c>
      <c r="O29" s="14" t="str">
        <f>_xll.BDH("ALNY US Equity","ENERGY_INTENSITY_PER_EMPLOYEE","FY 2015","FY 2015","Currency=USD","Period=FQ","BEST_FPERIOD_OVERRIDE=FQ","FILING_STATUS=MR","Sort=A","Dates=H","DateFormat=P","Fill=—","Direction=H","UseDPDF=Y")</f>
        <v>—</v>
      </c>
      <c r="P29" s="14" t="str">
        <f>_xll.BDH("ALNY US Equity","ENERGY_INTENSITY_PER_EMPLOYEE","FY 2016","FY 2016","Currency=USD","Period=FQ","BEST_FPERIOD_OVERRIDE=FQ","FILING_STATUS=MR","Sort=A","Dates=H","DateFormat=P","Fill=—","Direction=H","UseDPDF=Y")</f>
        <v>—</v>
      </c>
      <c r="Q29" s="14" t="str">
        <f>_xll.BDH("ALNY US Equity","ENERGY_INTENSITY_PER_EMPLOYEE","FY 2017","FY 2017","Currency=USD","Period=FQ","BEST_FPERIOD_OVERRIDE=FQ","FILING_STATUS=MR","Sort=A","Dates=H","DateFormat=P","Fill=—","Direction=H","UseDPDF=Y")</f>
        <v>—</v>
      </c>
      <c r="R29" s="14" t="str">
        <f>_xll.BDH("ALNY US Equity","ENERGY_INTENSITY_PER_EMPLOYEE","FY 2018","FY 2018","Currency=USD","Period=FQ","BEST_FPERIOD_OVERRIDE=FQ","FILING_STATUS=MR","Sort=A","Dates=H","DateFormat=P","Fill=—","Direction=H","UseDPDF=Y")</f>
        <v>—</v>
      </c>
      <c r="S29" s="14" t="str">
        <f>_xll.BDH("ALNY US Equity","ENERGY_INTENSITY_PER_EMPLOYEE","FY 2019","FY 2019","Currency=USD","Period=FQ","BEST_FPERIOD_OVERRIDE=FQ","FILING_STATUS=MR","Sort=A","Dates=H","DateFormat=P","Fill=—","Direction=H","UseDPDF=Y")</f>
        <v>—</v>
      </c>
      <c r="T29" s="14" t="str">
        <f>_xll.BDH("ALNY US Equity","ENERGY_INTENSITY_PER_EMPLOYEE","FY 2020","FY 2020","Currency=USD","Period=FQ","BEST_FPERIOD_OVERRIDE=FQ","FILING_STATUS=MR","Sort=A","Dates=H","DateFormat=P","Fill=—","Direction=H","UseDPDF=Y")</f>
        <v>—</v>
      </c>
      <c r="U29" s="14" t="str">
        <f>_xll.BDH("ALNY US Equity","ENERGY_INTENSITY_PER_EMPLOYEE","FY 2021","FY 2021","Currency=USD","Period=FQ","BEST_FPERIOD_OVERRIDE=FQ","FILING_STATUS=MR","Sort=A","Dates=H","DateFormat=P","Fill=—","Direction=H","UseDPDF=Y")</f>
        <v>—</v>
      </c>
      <c r="V29" s="14" t="str">
        <f>_xll.BDH("ALNY US Equity","ENERGY_INTENSITY_PER_EMPLOYEE","FY 2022","FY 2022","Currency=USD","Period=FQ","BEST_FPERIOD_OVERRIDE=FQ","FILING_STATUS=MR","Sort=A","Dates=H","DateFormat=P","Fill=—","Direction=H","UseDPDF=Y")</f>
        <v>—</v>
      </c>
      <c r="W29" s="14" t="str">
        <f>_xll.BDH("ALNY US Equity","ENERGY_INTENSITY_PER_EMPLOYEE","FY 2023","FY 2023","Currency=USD","Period=FQ","BEST_FPERIOD_OVERRIDE=FQ","FILING_STATUS=MR","Sort=A","Dates=H","DateFormat=P","Fill=—","Direction=H","UseDPDF=Y")</f>
        <v>—</v>
      </c>
      <c r="X29" s="14" t="str">
        <f>_xll.BDH("ALNY US Equity","ENERGY_INTENSITY_PER_EMPLOYEE","FY 2024","FY 2024","Currency=USD","Period=FQ","BEST_FPERIOD_OVERRIDE=FQ","FILING_STATUS=MR","Sort=A","Dates=H","DateFormat=P","Fill=—","Direction=H","UseDPDF=Y")</f>
        <v>—</v>
      </c>
    </row>
    <row r="30" spans="1:24" x14ac:dyDescent="0.25">
      <c r="A30" s="10" t="s">
        <v>1714</v>
      </c>
      <c r="B30" s="10" t="s">
        <v>1715</v>
      </c>
      <c r="C30" s="14" t="str">
        <f>_xll.BDH("ALNY US Equity","ENERGY_INTENSITY_PER_ASSETS","FY 2003","FY 2003","Currency=USD","Period=FQ","BEST_FPERIOD_OVERRIDE=FQ","FILING_STATUS=MR","Sort=A","Dates=H","DateFormat=P","Fill=—","Direction=H","UseDPDF=Y")</f>
        <v>—</v>
      </c>
      <c r="D30" s="14" t="str">
        <f>_xll.BDH("ALNY US Equity","ENERGY_INTENSITY_PER_ASSETS","FY 2004","FY 2004","Currency=USD","Period=FQ","BEST_FPERIOD_OVERRIDE=FQ","FILING_STATUS=MR","Sort=A","Dates=H","DateFormat=P","Fill=—","Direction=H","UseDPDF=Y")</f>
        <v>—</v>
      </c>
      <c r="E30" s="14" t="str">
        <f>_xll.BDH("ALNY US Equity","ENERGY_INTENSITY_PER_ASSETS","FY 2005","FY 2005","Currency=USD","Period=FQ","BEST_FPERIOD_OVERRIDE=FQ","FILING_STATUS=MR","Sort=A","Dates=H","DateFormat=P","Fill=—","Direction=H","UseDPDF=Y")</f>
        <v>—</v>
      </c>
      <c r="F30" s="14" t="str">
        <f>_xll.BDH("ALNY US Equity","ENERGY_INTENSITY_PER_ASSETS","FY 2006","FY 2006","Currency=USD","Period=FQ","BEST_FPERIOD_OVERRIDE=FQ","FILING_STATUS=MR","Sort=A","Dates=H","DateFormat=P","Fill=—","Direction=H","UseDPDF=Y")</f>
        <v>—</v>
      </c>
      <c r="G30" s="14" t="str">
        <f>_xll.BDH("ALNY US Equity","ENERGY_INTENSITY_PER_ASSETS","FY 2007","FY 2007","Currency=USD","Period=FQ","BEST_FPERIOD_OVERRIDE=FQ","FILING_STATUS=MR","Sort=A","Dates=H","DateFormat=P","Fill=—","Direction=H","UseDPDF=Y")</f>
        <v>—</v>
      </c>
      <c r="H30" s="14" t="str">
        <f>_xll.BDH("ALNY US Equity","ENERGY_INTENSITY_PER_ASSETS","FY 2008","FY 2008","Currency=USD","Period=FQ","BEST_FPERIOD_OVERRIDE=FQ","FILING_STATUS=MR","Sort=A","Dates=H","DateFormat=P","Fill=—","Direction=H","UseDPDF=Y")</f>
        <v>—</v>
      </c>
      <c r="I30" s="14" t="str">
        <f>_xll.BDH("ALNY US Equity","ENERGY_INTENSITY_PER_ASSETS","FY 2009","FY 2009","Currency=USD","Period=FQ","BEST_FPERIOD_OVERRIDE=FQ","FILING_STATUS=MR","Sort=A","Dates=H","DateFormat=P","Fill=—","Direction=H","UseDPDF=Y")</f>
        <v>—</v>
      </c>
      <c r="J30" s="14" t="str">
        <f>_xll.BDH("ALNY US Equity","ENERGY_INTENSITY_PER_ASSETS","FY 2010","FY 2010","Currency=USD","Period=FQ","BEST_FPERIOD_OVERRIDE=FQ","FILING_STATUS=MR","Sort=A","Dates=H","DateFormat=P","Fill=—","Direction=H","UseDPDF=Y")</f>
        <v>—</v>
      </c>
      <c r="K30" s="14" t="str">
        <f>_xll.BDH("ALNY US Equity","ENERGY_INTENSITY_PER_ASSETS","FY 2011","FY 2011","Currency=USD","Period=FQ","BEST_FPERIOD_OVERRIDE=FQ","FILING_STATUS=MR","Sort=A","Dates=H","DateFormat=P","Fill=—","Direction=H","UseDPDF=Y")</f>
        <v>—</v>
      </c>
      <c r="L30" s="14" t="str">
        <f>_xll.BDH("ALNY US Equity","ENERGY_INTENSITY_PER_ASSETS","FY 2012","FY 2012","Currency=USD","Period=FQ","BEST_FPERIOD_OVERRIDE=FQ","FILING_STATUS=MR","Sort=A","Dates=H","DateFormat=P","Fill=—","Direction=H","UseDPDF=Y")</f>
        <v>—</v>
      </c>
      <c r="M30" s="14" t="str">
        <f>_xll.BDH("ALNY US Equity","ENERGY_INTENSITY_PER_ASSETS","FY 2013","FY 2013","Currency=USD","Period=FQ","BEST_FPERIOD_OVERRIDE=FQ","FILING_STATUS=MR","Sort=A","Dates=H","DateFormat=P","Fill=—","Direction=H","UseDPDF=Y")</f>
        <v>—</v>
      </c>
      <c r="N30" s="14" t="str">
        <f>_xll.BDH("ALNY US Equity","ENERGY_INTENSITY_PER_ASSETS","FY 2014","FY 2014","Currency=USD","Period=FQ","BEST_FPERIOD_OVERRIDE=FQ","FILING_STATUS=MR","Sort=A","Dates=H","DateFormat=P","Fill=—","Direction=H","UseDPDF=Y")</f>
        <v>—</v>
      </c>
      <c r="O30" s="14" t="str">
        <f>_xll.BDH("ALNY US Equity","ENERGY_INTENSITY_PER_ASSETS","FY 2015","FY 2015","Currency=USD","Period=FQ","BEST_FPERIOD_OVERRIDE=FQ","FILING_STATUS=MR","Sort=A","Dates=H","DateFormat=P","Fill=—","Direction=H","UseDPDF=Y")</f>
        <v>—</v>
      </c>
      <c r="P30" s="14" t="str">
        <f>_xll.BDH("ALNY US Equity","ENERGY_INTENSITY_PER_ASSETS","FY 2016","FY 2016","Currency=USD","Period=FQ","BEST_FPERIOD_OVERRIDE=FQ","FILING_STATUS=MR","Sort=A","Dates=H","DateFormat=P","Fill=—","Direction=H","UseDPDF=Y")</f>
        <v>—</v>
      </c>
      <c r="Q30" s="14" t="str">
        <f>_xll.BDH("ALNY US Equity","ENERGY_INTENSITY_PER_ASSETS","FY 2017","FY 2017","Currency=USD","Period=FQ","BEST_FPERIOD_OVERRIDE=FQ","FILING_STATUS=MR","Sort=A","Dates=H","DateFormat=P","Fill=—","Direction=H","UseDPDF=Y")</f>
        <v>—</v>
      </c>
      <c r="R30" s="14" t="str">
        <f>_xll.BDH("ALNY US Equity","ENERGY_INTENSITY_PER_ASSETS","FY 2018","FY 2018","Currency=USD","Period=FQ","BEST_FPERIOD_OVERRIDE=FQ","FILING_STATUS=MR","Sort=A","Dates=H","DateFormat=P","Fill=—","Direction=H","UseDPDF=Y")</f>
        <v>—</v>
      </c>
      <c r="S30" s="14" t="str">
        <f>_xll.BDH("ALNY US Equity","ENERGY_INTENSITY_PER_ASSETS","FY 2019","FY 2019","Currency=USD","Period=FQ","BEST_FPERIOD_OVERRIDE=FQ","FILING_STATUS=MR","Sort=A","Dates=H","DateFormat=P","Fill=—","Direction=H","UseDPDF=Y")</f>
        <v>—</v>
      </c>
      <c r="T30" s="14" t="str">
        <f>_xll.BDH("ALNY US Equity","ENERGY_INTENSITY_PER_ASSETS","FY 2020","FY 2020","Currency=USD","Period=FQ","BEST_FPERIOD_OVERRIDE=FQ","FILING_STATUS=MR","Sort=A","Dates=H","DateFormat=P","Fill=—","Direction=H","UseDPDF=Y")</f>
        <v>—</v>
      </c>
      <c r="U30" s="14" t="str">
        <f>_xll.BDH("ALNY US Equity","ENERGY_INTENSITY_PER_ASSETS","FY 2021","FY 2021","Currency=USD","Period=FQ","BEST_FPERIOD_OVERRIDE=FQ","FILING_STATUS=MR","Sort=A","Dates=H","DateFormat=P","Fill=—","Direction=H","UseDPDF=Y")</f>
        <v>—</v>
      </c>
      <c r="V30" s="14" t="str">
        <f>_xll.BDH("ALNY US Equity","ENERGY_INTENSITY_PER_ASSETS","FY 2022","FY 2022","Currency=USD","Period=FQ","BEST_FPERIOD_OVERRIDE=FQ","FILING_STATUS=MR","Sort=A","Dates=H","DateFormat=P","Fill=—","Direction=H","UseDPDF=Y")</f>
        <v>—</v>
      </c>
      <c r="W30" s="14" t="str">
        <f>_xll.BDH("ALNY US Equity","ENERGY_INTENSITY_PER_ASSETS","FY 2023","FY 2023","Currency=USD","Period=FQ","BEST_FPERIOD_OVERRIDE=FQ","FILING_STATUS=MR","Sort=A","Dates=H","DateFormat=P","Fill=—","Direction=H","UseDPDF=Y")</f>
        <v>—</v>
      </c>
      <c r="X30" s="14" t="str">
        <f>_xll.BDH("ALNY US Equity","ENERGY_INTENSITY_PER_ASSETS","FY 2024","FY 2024","Currency=USD","Period=FQ","BEST_FPERIOD_OVERRIDE=FQ","FILING_STATUS=MR","Sort=A","Dates=H","DateFormat=P","Fill=—","Direction=H","UseDPDF=Y")</f>
        <v>—</v>
      </c>
    </row>
    <row r="31" spans="1:24" x14ac:dyDescent="0.25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6" t="s">
        <v>1716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5">
      <c r="A33" s="10" t="s">
        <v>1717</v>
      </c>
      <c r="B33" s="10" t="s">
        <v>1718</v>
      </c>
      <c r="C33" s="14" t="str">
        <f>_xll.BDH("ALNY US Equity","WATER_INTENSITY_PER_SALES","FY 2003","FY 2003","Currency=USD","Period=FQ","BEST_FPERIOD_OVERRIDE=FQ","FILING_STATUS=MR","FA_ADJUSTED=GAAP","Sort=A","Dates=H","DateFormat=P","Fill=—","Direction=H","UseDPDF=Y")</f>
        <v>—</v>
      </c>
      <c r="D33" s="14" t="str">
        <f>_xll.BDH("ALNY US Equity","WATER_INTENSITY_PER_SALES","FY 2004","FY 2004","Currency=USD","Period=FQ","BEST_FPERIOD_OVERRIDE=FQ","FILING_STATUS=MR","FA_ADJUSTED=GAAP","Sort=A","Dates=H","DateFormat=P","Fill=—","Direction=H","UseDPDF=Y")</f>
        <v>—</v>
      </c>
      <c r="E33" s="14" t="str">
        <f>_xll.BDH("ALNY US Equity","WATER_INTENSITY_PER_SALES","FY 2005","FY 2005","Currency=USD","Period=FQ","BEST_FPERIOD_OVERRIDE=FQ","FILING_STATUS=MR","FA_ADJUSTED=GAAP","Sort=A","Dates=H","DateFormat=P","Fill=—","Direction=H","UseDPDF=Y")</f>
        <v>—</v>
      </c>
      <c r="F33" s="14" t="str">
        <f>_xll.BDH("ALNY US Equity","WATER_INTENSITY_PER_SALES","FY 2006","FY 2006","Currency=USD","Period=FQ","BEST_FPERIOD_OVERRIDE=FQ","FILING_STATUS=MR","FA_ADJUSTED=GAAP","Sort=A","Dates=H","DateFormat=P","Fill=—","Direction=H","UseDPDF=Y")</f>
        <v>—</v>
      </c>
      <c r="G33" s="14" t="str">
        <f>_xll.BDH("ALNY US Equity","WATER_INTENSITY_PER_SALES","FY 2007","FY 2007","Currency=USD","Period=FQ","BEST_FPERIOD_OVERRIDE=FQ","FILING_STATUS=MR","FA_ADJUSTED=GAAP","Sort=A","Dates=H","DateFormat=P","Fill=—","Direction=H","UseDPDF=Y")</f>
        <v>—</v>
      </c>
      <c r="H33" s="14" t="str">
        <f>_xll.BDH("ALNY US Equity","WATER_INTENSITY_PER_SALES","FY 2008","FY 2008","Currency=USD","Period=FQ","BEST_FPERIOD_OVERRIDE=FQ","FILING_STATUS=MR","FA_ADJUSTED=GAAP","Sort=A","Dates=H","DateFormat=P","Fill=—","Direction=H","UseDPDF=Y")</f>
        <v>—</v>
      </c>
      <c r="I33" s="14" t="str">
        <f>_xll.BDH("ALNY US Equity","WATER_INTENSITY_PER_SALES","FY 2009","FY 2009","Currency=USD","Period=FQ","BEST_FPERIOD_OVERRIDE=FQ","FILING_STATUS=MR","FA_ADJUSTED=GAAP","Sort=A","Dates=H","DateFormat=P","Fill=—","Direction=H","UseDPDF=Y")</f>
        <v>—</v>
      </c>
      <c r="J33" s="14" t="str">
        <f>_xll.BDH("ALNY US Equity","WATER_INTENSITY_PER_SALES","FY 2010","FY 2010","Currency=USD","Period=FQ","BEST_FPERIOD_OVERRIDE=FQ","FILING_STATUS=MR","FA_ADJUSTED=GAAP","Sort=A","Dates=H","DateFormat=P","Fill=—","Direction=H","UseDPDF=Y")</f>
        <v>—</v>
      </c>
      <c r="K33" s="14" t="str">
        <f>_xll.BDH("ALNY US Equity","WATER_INTENSITY_PER_SALES","FY 2011","FY 2011","Currency=USD","Period=FQ","BEST_FPERIOD_OVERRIDE=FQ","FILING_STATUS=MR","FA_ADJUSTED=GAAP","Sort=A","Dates=H","DateFormat=P","Fill=—","Direction=H","UseDPDF=Y")</f>
        <v>—</v>
      </c>
      <c r="L33" s="14" t="str">
        <f>_xll.BDH("ALNY US Equity","WATER_INTENSITY_PER_SALES","FY 2012","FY 2012","Currency=USD","Period=FQ","BEST_FPERIOD_OVERRIDE=FQ","FILING_STATUS=MR","FA_ADJUSTED=GAAP","Sort=A","Dates=H","DateFormat=P","Fill=—","Direction=H","UseDPDF=Y")</f>
        <v>—</v>
      </c>
      <c r="M33" s="14" t="str">
        <f>_xll.BDH("ALNY US Equity","WATER_INTENSITY_PER_SALES","FY 2013","FY 2013","Currency=USD","Period=FQ","BEST_FPERIOD_OVERRIDE=FQ","FILING_STATUS=MR","FA_ADJUSTED=GAAP","Sort=A","Dates=H","DateFormat=P","Fill=—","Direction=H","UseDPDF=Y")</f>
        <v>—</v>
      </c>
      <c r="N33" s="14" t="str">
        <f>_xll.BDH("ALNY US Equity","WATER_INTENSITY_PER_SALES","FY 2014","FY 2014","Currency=USD","Period=FQ","BEST_FPERIOD_OVERRIDE=FQ","FILING_STATUS=MR","FA_ADJUSTED=GAAP","Sort=A","Dates=H","DateFormat=P","Fill=—","Direction=H","UseDPDF=Y")</f>
        <v>—</v>
      </c>
      <c r="O33" s="14" t="str">
        <f>_xll.BDH("ALNY US Equity","WATER_INTENSITY_PER_SALES","FY 2015","FY 2015","Currency=USD","Period=FQ","BEST_FPERIOD_OVERRIDE=FQ","FILING_STATUS=MR","FA_ADJUSTED=GAAP","Sort=A","Dates=H","DateFormat=P","Fill=—","Direction=H","UseDPDF=Y")</f>
        <v>—</v>
      </c>
      <c r="P33" s="14" t="str">
        <f>_xll.BDH("ALNY US Equity","WATER_INTENSITY_PER_SALES","FY 2016","FY 2016","Currency=USD","Period=FQ","BEST_FPERIOD_OVERRIDE=FQ","FILING_STATUS=MR","FA_ADJUSTED=GAAP","Sort=A","Dates=H","DateFormat=P","Fill=—","Direction=H","UseDPDF=Y")</f>
        <v>—</v>
      </c>
      <c r="Q33" s="14" t="str">
        <f>_xll.BDH("ALNY US Equity","WATER_INTENSITY_PER_SALES","FY 2017","FY 2017","Currency=USD","Period=FQ","BEST_FPERIOD_OVERRIDE=FQ","FILING_STATUS=MR","FA_ADJUSTED=GAAP","Sort=A","Dates=H","DateFormat=P","Fill=—","Direction=H","UseDPDF=Y")</f>
        <v>—</v>
      </c>
      <c r="R33" s="14" t="str">
        <f>_xll.BDH("ALNY US Equity","WATER_INTENSITY_PER_SALES","FY 2018","FY 2018","Currency=USD","Period=FQ","BEST_FPERIOD_OVERRIDE=FQ","FILING_STATUS=MR","FA_ADJUSTED=GAAP","Sort=A","Dates=H","DateFormat=P","Fill=—","Direction=H","UseDPDF=Y")</f>
        <v>—</v>
      </c>
      <c r="S33" s="14" t="str">
        <f>_xll.BDH("ALNY US Equity","WATER_INTENSITY_PER_SALES","FY 2019","FY 2019","Currency=USD","Period=FQ","BEST_FPERIOD_OVERRIDE=FQ","FILING_STATUS=MR","FA_ADJUSTED=GAAP","Sort=A","Dates=H","DateFormat=P","Fill=—","Direction=H","UseDPDF=Y")</f>
        <v>—</v>
      </c>
      <c r="T33" s="14" t="str">
        <f>_xll.BDH("ALNY US Equity","WATER_INTENSITY_PER_SALES","FY 2020","FY 2020","Currency=USD","Period=FQ","BEST_FPERIOD_OVERRIDE=FQ","FILING_STATUS=MR","FA_ADJUSTED=GAAP","Sort=A","Dates=H","DateFormat=P","Fill=—","Direction=H","UseDPDF=Y")</f>
        <v>—</v>
      </c>
      <c r="U33" s="14" t="str">
        <f>_xll.BDH("ALNY US Equity","WATER_INTENSITY_PER_SALES","FY 2021","FY 2021","Currency=USD","Period=FQ","BEST_FPERIOD_OVERRIDE=FQ","FILING_STATUS=MR","FA_ADJUSTED=GAAP","Sort=A","Dates=H","DateFormat=P","Fill=—","Direction=H","UseDPDF=Y")</f>
        <v>—</v>
      </c>
      <c r="V33" s="14" t="str">
        <f>_xll.BDH("ALNY US Equity","WATER_INTENSITY_PER_SALES","FY 2022","FY 2022","Currency=USD","Period=FQ","BEST_FPERIOD_OVERRIDE=FQ","FILING_STATUS=MR","FA_ADJUSTED=GAAP","Sort=A","Dates=H","DateFormat=P","Fill=—","Direction=H","UseDPDF=Y")</f>
        <v>—</v>
      </c>
      <c r="W33" s="14" t="str">
        <f>_xll.BDH("ALNY US Equity","WATER_INTENSITY_PER_SALES","FY 2023","FY 2023","Currency=USD","Period=FQ","BEST_FPERIOD_OVERRIDE=FQ","FILING_STATUS=MR","FA_ADJUSTED=GAAP","Sort=A","Dates=H","DateFormat=P","Fill=—","Direction=H","UseDPDF=Y")</f>
        <v>—</v>
      </c>
      <c r="X33" s="14" t="str">
        <f>_xll.BDH("ALNY US Equity","WATER_INTENSITY_PER_SALES","FY 2024","FY 2024","Currency=USD","Period=FQ","BEST_FPERIOD_OVERRIDE=FQ","FILING_STATUS=MR","FA_ADJUSTED=GAAP","Sort=A","Dates=H","DateFormat=P","Fill=—","Direction=H","UseDPDF=Y")</f>
        <v>—</v>
      </c>
    </row>
    <row r="34" spans="1:24" x14ac:dyDescent="0.25">
      <c r="A34" s="10" t="s">
        <v>1719</v>
      </c>
      <c r="B34" s="10" t="s">
        <v>1720</v>
      </c>
      <c r="C34" s="14" t="str">
        <f>_xll.BDH("ALNY US Equity","WATER_INTENSITY_PER_ENERGY","FY 2003","FY 2003","Currency=USD","Period=FQ","BEST_FPERIOD_OVERRIDE=FQ","FILING_STATUS=MR","Sort=A","Dates=H","DateFormat=P","Fill=—","Direction=H","UseDPDF=Y")</f>
        <v>—</v>
      </c>
      <c r="D34" s="14" t="str">
        <f>_xll.BDH("ALNY US Equity","WATER_INTENSITY_PER_ENERGY","FY 2004","FY 2004","Currency=USD","Period=FQ","BEST_FPERIOD_OVERRIDE=FQ","FILING_STATUS=MR","Sort=A","Dates=H","DateFormat=P","Fill=—","Direction=H","UseDPDF=Y")</f>
        <v>—</v>
      </c>
      <c r="E34" s="14" t="str">
        <f>_xll.BDH("ALNY US Equity","WATER_INTENSITY_PER_ENERGY","FY 2005","FY 2005","Currency=USD","Period=FQ","BEST_FPERIOD_OVERRIDE=FQ","FILING_STATUS=MR","Sort=A","Dates=H","DateFormat=P","Fill=—","Direction=H","UseDPDF=Y")</f>
        <v>—</v>
      </c>
      <c r="F34" s="14" t="str">
        <f>_xll.BDH("ALNY US Equity","WATER_INTENSITY_PER_ENERGY","FY 2006","FY 2006","Currency=USD","Period=FQ","BEST_FPERIOD_OVERRIDE=FQ","FILING_STATUS=MR","Sort=A","Dates=H","DateFormat=P","Fill=—","Direction=H","UseDPDF=Y")</f>
        <v>—</v>
      </c>
      <c r="G34" s="14" t="str">
        <f>_xll.BDH("ALNY US Equity","WATER_INTENSITY_PER_ENERGY","FY 2007","FY 2007","Currency=USD","Period=FQ","BEST_FPERIOD_OVERRIDE=FQ","FILING_STATUS=MR","Sort=A","Dates=H","DateFormat=P","Fill=—","Direction=H","UseDPDF=Y")</f>
        <v>—</v>
      </c>
      <c r="H34" s="14" t="str">
        <f>_xll.BDH("ALNY US Equity","WATER_INTENSITY_PER_ENERGY","FY 2008","FY 2008","Currency=USD","Period=FQ","BEST_FPERIOD_OVERRIDE=FQ","FILING_STATUS=MR","Sort=A","Dates=H","DateFormat=P","Fill=—","Direction=H","UseDPDF=Y")</f>
        <v>—</v>
      </c>
      <c r="I34" s="14" t="str">
        <f>_xll.BDH("ALNY US Equity","WATER_INTENSITY_PER_ENERGY","FY 2009","FY 2009","Currency=USD","Period=FQ","BEST_FPERIOD_OVERRIDE=FQ","FILING_STATUS=MR","Sort=A","Dates=H","DateFormat=P","Fill=—","Direction=H","UseDPDF=Y")</f>
        <v>—</v>
      </c>
      <c r="J34" s="14" t="str">
        <f>_xll.BDH("ALNY US Equity","WATER_INTENSITY_PER_ENERGY","FY 2010","FY 2010","Currency=USD","Period=FQ","BEST_FPERIOD_OVERRIDE=FQ","FILING_STATUS=MR","Sort=A","Dates=H","DateFormat=P","Fill=—","Direction=H","UseDPDF=Y")</f>
        <v>—</v>
      </c>
      <c r="K34" s="14" t="str">
        <f>_xll.BDH("ALNY US Equity","WATER_INTENSITY_PER_ENERGY","FY 2011","FY 2011","Currency=USD","Period=FQ","BEST_FPERIOD_OVERRIDE=FQ","FILING_STATUS=MR","Sort=A","Dates=H","DateFormat=P","Fill=—","Direction=H","UseDPDF=Y")</f>
        <v>—</v>
      </c>
      <c r="L34" s="14" t="str">
        <f>_xll.BDH("ALNY US Equity","WATER_INTENSITY_PER_ENERGY","FY 2012","FY 2012","Currency=USD","Period=FQ","BEST_FPERIOD_OVERRIDE=FQ","FILING_STATUS=MR","Sort=A","Dates=H","DateFormat=P","Fill=—","Direction=H","UseDPDF=Y")</f>
        <v>—</v>
      </c>
      <c r="M34" s="14" t="str">
        <f>_xll.BDH("ALNY US Equity","WATER_INTENSITY_PER_ENERGY","FY 2013","FY 2013","Currency=USD","Period=FQ","BEST_FPERIOD_OVERRIDE=FQ","FILING_STATUS=MR","Sort=A","Dates=H","DateFormat=P","Fill=—","Direction=H","UseDPDF=Y")</f>
        <v>—</v>
      </c>
      <c r="N34" s="14" t="str">
        <f>_xll.BDH("ALNY US Equity","WATER_INTENSITY_PER_ENERGY","FY 2014","FY 2014","Currency=USD","Period=FQ","BEST_FPERIOD_OVERRIDE=FQ","FILING_STATUS=MR","Sort=A","Dates=H","DateFormat=P","Fill=—","Direction=H","UseDPDF=Y")</f>
        <v>—</v>
      </c>
      <c r="O34" s="14" t="str">
        <f>_xll.BDH("ALNY US Equity","WATER_INTENSITY_PER_ENERGY","FY 2015","FY 2015","Currency=USD","Period=FQ","BEST_FPERIOD_OVERRIDE=FQ","FILING_STATUS=MR","Sort=A","Dates=H","DateFormat=P","Fill=—","Direction=H","UseDPDF=Y")</f>
        <v>—</v>
      </c>
      <c r="P34" s="14" t="str">
        <f>_xll.BDH("ALNY US Equity","WATER_INTENSITY_PER_ENERGY","FY 2016","FY 2016","Currency=USD","Period=FQ","BEST_FPERIOD_OVERRIDE=FQ","FILING_STATUS=MR","Sort=A","Dates=H","DateFormat=P","Fill=—","Direction=H","UseDPDF=Y")</f>
        <v>—</v>
      </c>
      <c r="Q34" s="14" t="str">
        <f>_xll.BDH("ALNY US Equity","WATER_INTENSITY_PER_ENERGY","FY 2017","FY 2017","Currency=USD","Period=FQ","BEST_FPERIOD_OVERRIDE=FQ","FILING_STATUS=MR","Sort=A","Dates=H","DateFormat=P","Fill=—","Direction=H","UseDPDF=Y")</f>
        <v>—</v>
      </c>
      <c r="R34" s="14" t="str">
        <f>_xll.BDH("ALNY US Equity","WATER_INTENSITY_PER_ENERGY","FY 2018","FY 2018","Currency=USD","Period=FQ","BEST_FPERIOD_OVERRIDE=FQ","FILING_STATUS=MR","Sort=A","Dates=H","DateFormat=P","Fill=—","Direction=H","UseDPDF=Y")</f>
        <v>—</v>
      </c>
      <c r="S34" s="14" t="str">
        <f>_xll.BDH("ALNY US Equity","WATER_INTENSITY_PER_ENERGY","FY 2019","FY 2019","Currency=USD","Period=FQ","BEST_FPERIOD_OVERRIDE=FQ","FILING_STATUS=MR","Sort=A","Dates=H","DateFormat=P","Fill=—","Direction=H","UseDPDF=Y")</f>
        <v>—</v>
      </c>
      <c r="T34" s="14" t="str">
        <f>_xll.BDH("ALNY US Equity","WATER_INTENSITY_PER_ENERGY","FY 2020","FY 2020","Currency=USD","Period=FQ","BEST_FPERIOD_OVERRIDE=FQ","FILING_STATUS=MR","Sort=A","Dates=H","DateFormat=P","Fill=—","Direction=H","UseDPDF=Y")</f>
        <v>—</v>
      </c>
      <c r="U34" s="14" t="str">
        <f>_xll.BDH("ALNY US Equity","WATER_INTENSITY_PER_ENERGY","FY 2021","FY 2021","Currency=USD","Period=FQ","BEST_FPERIOD_OVERRIDE=FQ","FILING_STATUS=MR","Sort=A","Dates=H","DateFormat=P","Fill=—","Direction=H","UseDPDF=Y")</f>
        <v>—</v>
      </c>
      <c r="V34" s="14" t="str">
        <f>_xll.BDH("ALNY US Equity","WATER_INTENSITY_PER_ENERGY","FY 2022","FY 2022","Currency=USD","Period=FQ","BEST_FPERIOD_OVERRIDE=FQ","FILING_STATUS=MR","Sort=A","Dates=H","DateFormat=P","Fill=—","Direction=H","UseDPDF=Y")</f>
        <v>—</v>
      </c>
      <c r="W34" s="14" t="str">
        <f>_xll.BDH("ALNY US Equity","WATER_INTENSITY_PER_ENERGY","FY 2023","FY 2023","Currency=USD","Period=FQ","BEST_FPERIOD_OVERRIDE=FQ","FILING_STATUS=MR","Sort=A","Dates=H","DateFormat=P","Fill=—","Direction=H","UseDPDF=Y")</f>
        <v>—</v>
      </c>
      <c r="X34" s="14" t="str">
        <f>_xll.BDH("ALNY US Equity","WATER_INTENSITY_PER_ENERGY","FY 2024","FY 2024","Currency=USD","Period=FQ","BEST_FPERIOD_OVERRIDE=FQ","FILING_STATUS=MR","Sort=A","Dates=H","DateFormat=P","Fill=—","Direction=H","UseDPDF=Y")</f>
        <v>—</v>
      </c>
    </row>
    <row r="35" spans="1:24" x14ac:dyDescent="0.25">
      <c r="A35" s="10" t="s">
        <v>1721</v>
      </c>
      <c r="B35" s="10" t="s">
        <v>1722</v>
      </c>
      <c r="C35" s="14" t="str">
        <f>_xll.BDH("ALNY US Equity","WATER_INTENSITY_PER_EMPLOYEE","FY 2003","FY 2003","Currency=USD","Period=FQ","BEST_FPERIOD_OVERRIDE=FQ","FILING_STATUS=MR","Sort=A","Dates=H","DateFormat=P","Fill=—","Direction=H","UseDPDF=Y")</f>
        <v>—</v>
      </c>
      <c r="D35" s="14" t="str">
        <f>_xll.BDH("ALNY US Equity","WATER_INTENSITY_PER_EMPLOYEE","FY 2004","FY 2004","Currency=USD","Period=FQ","BEST_FPERIOD_OVERRIDE=FQ","FILING_STATUS=MR","Sort=A","Dates=H","DateFormat=P","Fill=—","Direction=H","UseDPDF=Y")</f>
        <v>—</v>
      </c>
      <c r="E35" s="14" t="str">
        <f>_xll.BDH("ALNY US Equity","WATER_INTENSITY_PER_EMPLOYEE","FY 2005","FY 2005","Currency=USD","Period=FQ","BEST_FPERIOD_OVERRIDE=FQ","FILING_STATUS=MR","Sort=A","Dates=H","DateFormat=P","Fill=—","Direction=H","UseDPDF=Y")</f>
        <v>—</v>
      </c>
      <c r="F35" s="14" t="str">
        <f>_xll.BDH("ALNY US Equity","WATER_INTENSITY_PER_EMPLOYEE","FY 2006","FY 2006","Currency=USD","Period=FQ","BEST_FPERIOD_OVERRIDE=FQ","FILING_STATUS=MR","Sort=A","Dates=H","DateFormat=P","Fill=—","Direction=H","UseDPDF=Y")</f>
        <v>—</v>
      </c>
      <c r="G35" s="14" t="str">
        <f>_xll.BDH("ALNY US Equity","WATER_INTENSITY_PER_EMPLOYEE","FY 2007","FY 2007","Currency=USD","Period=FQ","BEST_FPERIOD_OVERRIDE=FQ","FILING_STATUS=MR","Sort=A","Dates=H","DateFormat=P","Fill=—","Direction=H","UseDPDF=Y")</f>
        <v>—</v>
      </c>
      <c r="H35" s="14" t="str">
        <f>_xll.BDH("ALNY US Equity","WATER_INTENSITY_PER_EMPLOYEE","FY 2008","FY 2008","Currency=USD","Period=FQ","BEST_FPERIOD_OVERRIDE=FQ","FILING_STATUS=MR","Sort=A","Dates=H","DateFormat=P","Fill=—","Direction=H","UseDPDF=Y")</f>
        <v>—</v>
      </c>
      <c r="I35" s="14" t="str">
        <f>_xll.BDH("ALNY US Equity","WATER_INTENSITY_PER_EMPLOYEE","FY 2009","FY 2009","Currency=USD","Period=FQ","BEST_FPERIOD_OVERRIDE=FQ","FILING_STATUS=MR","Sort=A","Dates=H","DateFormat=P","Fill=—","Direction=H","UseDPDF=Y")</f>
        <v>—</v>
      </c>
      <c r="J35" s="14" t="str">
        <f>_xll.BDH("ALNY US Equity","WATER_INTENSITY_PER_EMPLOYEE","FY 2010","FY 2010","Currency=USD","Period=FQ","BEST_FPERIOD_OVERRIDE=FQ","FILING_STATUS=MR","Sort=A","Dates=H","DateFormat=P","Fill=—","Direction=H","UseDPDF=Y")</f>
        <v>—</v>
      </c>
      <c r="K35" s="14" t="str">
        <f>_xll.BDH("ALNY US Equity","WATER_INTENSITY_PER_EMPLOYEE","FY 2011","FY 2011","Currency=USD","Period=FQ","BEST_FPERIOD_OVERRIDE=FQ","FILING_STATUS=MR","Sort=A","Dates=H","DateFormat=P","Fill=—","Direction=H","UseDPDF=Y")</f>
        <v>—</v>
      </c>
      <c r="L35" s="14" t="str">
        <f>_xll.BDH("ALNY US Equity","WATER_INTENSITY_PER_EMPLOYEE","FY 2012","FY 2012","Currency=USD","Period=FQ","BEST_FPERIOD_OVERRIDE=FQ","FILING_STATUS=MR","Sort=A","Dates=H","DateFormat=P","Fill=—","Direction=H","UseDPDF=Y")</f>
        <v>—</v>
      </c>
      <c r="M35" s="14" t="str">
        <f>_xll.BDH("ALNY US Equity","WATER_INTENSITY_PER_EMPLOYEE","FY 2013","FY 2013","Currency=USD","Period=FQ","BEST_FPERIOD_OVERRIDE=FQ","FILING_STATUS=MR","Sort=A","Dates=H","DateFormat=P","Fill=—","Direction=H","UseDPDF=Y")</f>
        <v>—</v>
      </c>
      <c r="N35" s="14" t="str">
        <f>_xll.BDH("ALNY US Equity","WATER_INTENSITY_PER_EMPLOYEE","FY 2014","FY 2014","Currency=USD","Period=FQ","BEST_FPERIOD_OVERRIDE=FQ","FILING_STATUS=MR","Sort=A","Dates=H","DateFormat=P","Fill=—","Direction=H","UseDPDF=Y")</f>
        <v>—</v>
      </c>
      <c r="O35" s="14" t="str">
        <f>_xll.BDH("ALNY US Equity","WATER_INTENSITY_PER_EMPLOYEE","FY 2015","FY 2015","Currency=USD","Period=FQ","BEST_FPERIOD_OVERRIDE=FQ","FILING_STATUS=MR","Sort=A","Dates=H","DateFormat=P","Fill=—","Direction=H","UseDPDF=Y")</f>
        <v>—</v>
      </c>
      <c r="P35" s="14" t="str">
        <f>_xll.BDH("ALNY US Equity","WATER_INTENSITY_PER_EMPLOYEE","FY 2016","FY 2016","Currency=USD","Period=FQ","BEST_FPERIOD_OVERRIDE=FQ","FILING_STATUS=MR","Sort=A","Dates=H","DateFormat=P","Fill=—","Direction=H","UseDPDF=Y")</f>
        <v>—</v>
      </c>
      <c r="Q35" s="14" t="str">
        <f>_xll.BDH("ALNY US Equity","WATER_INTENSITY_PER_EMPLOYEE","FY 2017","FY 2017","Currency=USD","Period=FQ","BEST_FPERIOD_OVERRIDE=FQ","FILING_STATUS=MR","Sort=A","Dates=H","DateFormat=P","Fill=—","Direction=H","UseDPDF=Y")</f>
        <v>—</v>
      </c>
      <c r="R35" s="14" t="str">
        <f>_xll.BDH("ALNY US Equity","WATER_INTENSITY_PER_EMPLOYEE","FY 2018","FY 2018","Currency=USD","Period=FQ","BEST_FPERIOD_OVERRIDE=FQ","FILING_STATUS=MR","Sort=A","Dates=H","DateFormat=P","Fill=—","Direction=H","UseDPDF=Y")</f>
        <v>—</v>
      </c>
      <c r="S35" s="14" t="str">
        <f>_xll.BDH("ALNY US Equity","WATER_INTENSITY_PER_EMPLOYEE","FY 2019","FY 2019","Currency=USD","Period=FQ","BEST_FPERIOD_OVERRIDE=FQ","FILING_STATUS=MR","Sort=A","Dates=H","DateFormat=P","Fill=—","Direction=H","UseDPDF=Y")</f>
        <v>—</v>
      </c>
      <c r="T35" s="14" t="str">
        <f>_xll.BDH("ALNY US Equity","WATER_INTENSITY_PER_EMPLOYEE","FY 2020","FY 2020","Currency=USD","Period=FQ","BEST_FPERIOD_OVERRIDE=FQ","FILING_STATUS=MR","Sort=A","Dates=H","DateFormat=P","Fill=—","Direction=H","UseDPDF=Y")</f>
        <v>—</v>
      </c>
      <c r="U35" s="14" t="str">
        <f>_xll.BDH("ALNY US Equity","WATER_INTENSITY_PER_EMPLOYEE","FY 2021","FY 2021","Currency=USD","Period=FQ","BEST_FPERIOD_OVERRIDE=FQ","FILING_STATUS=MR","Sort=A","Dates=H","DateFormat=P","Fill=—","Direction=H","UseDPDF=Y")</f>
        <v>—</v>
      </c>
      <c r="V35" s="14" t="str">
        <f>_xll.BDH("ALNY US Equity","WATER_INTENSITY_PER_EMPLOYEE","FY 2022","FY 2022","Currency=USD","Period=FQ","BEST_FPERIOD_OVERRIDE=FQ","FILING_STATUS=MR","Sort=A","Dates=H","DateFormat=P","Fill=—","Direction=H","UseDPDF=Y")</f>
        <v>—</v>
      </c>
      <c r="W35" s="14" t="str">
        <f>_xll.BDH("ALNY US Equity","WATER_INTENSITY_PER_EMPLOYEE","FY 2023","FY 2023","Currency=USD","Period=FQ","BEST_FPERIOD_OVERRIDE=FQ","FILING_STATUS=MR","Sort=A","Dates=H","DateFormat=P","Fill=—","Direction=H","UseDPDF=Y")</f>
        <v>—</v>
      </c>
      <c r="X35" s="14" t="str">
        <f>_xll.BDH("ALNY US Equity","WATER_INTENSITY_PER_EMPLOYEE","FY 2024","FY 2024","Currency=USD","Period=FQ","BEST_FPERIOD_OVERRIDE=FQ","FILING_STATUS=MR","Sort=A","Dates=H","DateFormat=P","Fill=—","Direction=H","UseDPDF=Y")</f>
        <v>—</v>
      </c>
    </row>
    <row r="36" spans="1:24" x14ac:dyDescent="0.25">
      <c r="A36" s="10" t="s">
        <v>1723</v>
      </c>
      <c r="B36" s="10" t="s">
        <v>1724</v>
      </c>
      <c r="C36" s="14" t="str">
        <f>_xll.BDH("ALNY US Equity","WATER_INTENSITY_PER_ASSETS","FY 2003","FY 2003","Currency=USD","Period=FQ","BEST_FPERIOD_OVERRIDE=FQ","FILING_STATUS=MR","Sort=A","Dates=H","DateFormat=P","Fill=—","Direction=H","UseDPDF=Y")</f>
        <v>—</v>
      </c>
      <c r="D36" s="14" t="str">
        <f>_xll.BDH("ALNY US Equity","WATER_INTENSITY_PER_ASSETS","FY 2004","FY 2004","Currency=USD","Period=FQ","BEST_FPERIOD_OVERRIDE=FQ","FILING_STATUS=MR","Sort=A","Dates=H","DateFormat=P","Fill=—","Direction=H","UseDPDF=Y")</f>
        <v>—</v>
      </c>
      <c r="E36" s="14" t="str">
        <f>_xll.BDH("ALNY US Equity","WATER_INTENSITY_PER_ASSETS","FY 2005","FY 2005","Currency=USD","Period=FQ","BEST_FPERIOD_OVERRIDE=FQ","FILING_STATUS=MR","Sort=A","Dates=H","DateFormat=P","Fill=—","Direction=H","UseDPDF=Y")</f>
        <v>—</v>
      </c>
      <c r="F36" s="14" t="str">
        <f>_xll.BDH("ALNY US Equity","WATER_INTENSITY_PER_ASSETS","FY 2006","FY 2006","Currency=USD","Period=FQ","BEST_FPERIOD_OVERRIDE=FQ","FILING_STATUS=MR","Sort=A","Dates=H","DateFormat=P","Fill=—","Direction=H","UseDPDF=Y")</f>
        <v>—</v>
      </c>
      <c r="G36" s="14" t="str">
        <f>_xll.BDH("ALNY US Equity","WATER_INTENSITY_PER_ASSETS","FY 2007","FY 2007","Currency=USD","Period=FQ","BEST_FPERIOD_OVERRIDE=FQ","FILING_STATUS=MR","Sort=A","Dates=H","DateFormat=P","Fill=—","Direction=H","UseDPDF=Y")</f>
        <v>—</v>
      </c>
      <c r="H36" s="14" t="str">
        <f>_xll.BDH("ALNY US Equity","WATER_INTENSITY_PER_ASSETS","FY 2008","FY 2008","Currency=USD","Period=FQ","BEST_FPERIOD_OVERRIDE=FQ","FILING_STATUS=MR","Sort=A","Dates=H","DateFormat=P","Fill=—","Direction=H","UseDPDF=Y")</f>
        <v>—</v>
      </c>
      <c r="I36" s="14" t="str">
        <f>_xll.BDH("ALNY US Equity","WATER_INTENSITY_PER_ASSETS","FY 2009","FY 2009","Currency=USD","Period=FQ","BEST_FPERIOD_OVERRIDE=FQ","FILING_STATUS=MR","Sort=A","Dates=H","DateFormat=P","Fill=—","Direction=H","UseDPDF=Y")</f>
        <v>—</v>
      </c>
      <c r="J36" s="14" t="str">
        <f>_xll.BDH("ALNY US Equity","WATER_INTENSITY_PER_ASSETS","FY 2010","FY 2010","Currency=USD","Period=FQ","BEST_FPERIOD_OVERRIDE=FQ","FILING_STATUS=MR","Sort=A","Dates=H","DateFormat=P","Fill=—","Direction=H","UseDPDF=Y")</f>
        <v>—</v>
      </c>
      <c r="K36" s="14" t="str">
        <f>_xll.BDH("ALNY US Equity","WATER_INTENSITY_PER_ASSETS","FY 2011","FY 2011","Currency=USD","Period=FQ","BEST_FPERIOD_OVERRIDE=FQ","FILING_STATUS=MR","Sort=A","Dates=H","DateFormat=P","Fill=—","Direction=H","UseDPDF=Y")</f>
        <v>—</v>
      </c>
      <c r="L36" s="14" t="str">
        <f>_xll.BDH("ALNY US Equity","WATER_INTENSITY_PER_ASSETS","FY 2012","FY 2012","Currency=USD","Period=FQ","BEST_FPERIOD_OVERRIDE=FQ","FILING_STATUS=MR","Sort=A","Dates=H","DateFormat=P","Fill=—","Direction=H","UseDPDF=Y")</f>
        <v>—</v>
      </c>
      <c r="M36" s="14" t="str">
        <f>_xll.BDH("ALNY US Equity","WATER_INTENSITY_PER_ASSETS","FY 2013","FY 2013","Currency=USD","Period=FQ","BEST_FPERIOD_OVERRIDE=FQ","FILING_STATUS=MR","Sort=A","Dates=H","DateFormat=P","Fill=—","Direction=H","UseDPDF=Y")</f>
        <v>—</v>
      </c>
      <c r="N36" s="14" t="str">
        <f>_xll.BDH("ALNY US Equity","WATER_INTENSITY_PER_ASSETS","FY 2014","FY 2014","Currency=USD","Period=FQ","BEST_FPERIOD_OVERRIDE=FQ","FILING_STATUS=MR","Sort=A","Dates=H","DateFormat=P","Fill=—","Direction=H","UseDPDF=Y")</f>
        <v>—</v>
      </c>
      <c r="O36" s="14" t="str">
        <f>_xll.BDH("ALNY US Equity","WATER_INTENSITY_PER_ASSETS","FY 2015","FY 2015","Currency=USD","Period=FQ","BEST_FPERIOD_OVERRIDE=FQ","FILING_STATUS=MR","Sort=A","Dates=H","DateFormat=P","Fill=—","Direction=H","UseDPDF=Y")</f>
        <v>—</v>
      </c>
      <c r="P36" s="14" t="str">
        <f>_xll.BDH("ALNY US Equity","WATER_INTENSITY_PER_ASSETS","FY 2016","FY 2016","Currency=USD","Period=FQ","BEST_FPERIOD_OVERRIDE=FQ","FILING_STATUS=MR","Sort=A","Dates=H","DateFormat=P","Fill=—","Direction=H","UseDPDF=Y")</f>
        <v>—</v>
      </c>
      <c r="Q36" s="14" t="str">
        <f>_xll.BDH("ALNY US Equity","WATER_INTENSITY_PER_ASSETS","FY 2017","FY 2017","Currency=USD","Period=FQ","BEST_FPERIOD_OVERRIDE=FQ","FILING_STATUS=MR","Sort=A","Dates=H","DateFormat=P","Fill=—","Direction=H","UseDPDF=Y")</f>
        <v>—</v>
      </c>
      <c r="R36" s="14" t="str">
        <f>_xll.BDH("ALNY US Equity","WATER_INTENSITY_PER_ASSETS","FY 2018","FY 2018","Currency=USD","Period=FQ","BEST_FPERIOD_OVERRIDE=FQ","FILING_STATUS=MR","Sort=A","Dates=H","DateFormat=P","Fill=—","Direction=H","UseDPDF=Y")</f>
        <v>—</v>
      </c>
      <c r="S36" s="14" t="str">
        <f>_xll.BDH("ALNY US Equity","WATER_INTENSITY_PER_ASSETS","FY 2019","FY 2019","Currency=USD","Period=FQ","BEST_FPERIOD_OVERRIDE=FQ","FILING_STATUS=MR","Sort=A","Dates=H","DateFormat=P","Fill=—","Direction=H","UseDPDF=Y")</f>
        <v>—</v>
      </c>
      <c r="T36" s="14" t="str">
        <f>_xll.BDH("ALNY US Equity","WATER_INTENSITY_PER_ASSETS","FY 2020","FY 2020","Currency=USD","Period=FQ","BEST_FPERIOD_OVERRIDE=FQ","FILING_STATUS=MR","Sort=A","Dates=H","DateFormat=P","Fill=—","Direction=H","UseDPDF=Y")</f>
        <v>—</v>
      </c>
      <c r="U36" s="14" t="str">
        <f>_xll.BDH("ALNY US Equity","WATER_INTENSITY_PER_ASSETS","FY 2021","FY 2021","Currency=USD","Period=FQ","BEST_FPERIOD_OVERRIDE=FQ","FILING_STATUS=MR","Sort=A","Dates=H","DateFormat=P","Fill=—","Direction=H","UseDPDF=Y")</f>
        <v>—</v>
      </c>
      <c r="V36" s="14" t="str">
        <f>_xll.BDH("ALNY US Equity","WATER_INTENSITY_PER_ASSETS","FY 2022","FY 2022","Currency=USD","Period=FQ","BEST_FPERIOD_OVERRIDE=FQ","FILING_STATUS=MR","Sort=A","Dates=H","DateFormat=P","Fill=—","Direction=H","UseDPDF=Y")</f>
        <v>—</v>
      </c>
      <c r="W36" s="14" t="str">
        <f>_xll.BDH("ALNY US Equity","WATER_INTENSITY_PER_ASSETS","FY 2023","FY 2023","Currency=USD","Period=FQ","BEST_FPERIOD_OVERRIDE=FQ","FILING_STATUS=MR","Sort=A","Dates=H","DateFormat=P","Fill=—","Direction=H","UseDPDF=Y")</f>
        <v>—</v>
      </c>
      <c r="X36" s="14" t="str">
        <f>_xll.BDH("ALNY US Equity","WATER_INTENSITY_PER_ASSETS","FY 2024","FY 2024","Currency=USD","Period=FQ","BEST_FPERIOD_OVERRIDE=FQ","FILING_STATUS=MR","Sort=A","Dates=H","DateFormat=P","Fill=—","Direction=H","UseDPDF=Y")</f>
        <v>—</v>
      </c>
    </row>
    <row r="37" spans="1:24" x14ac:dyDescent="0.25">
      <c r="A37" s="10" t="s">
        <v>1725</v>
      </c>
      <c r="B37" s="10" t="s">
        <v>1726</v>
      </c>
      <c r="C37" s="14" t="str">
        <f>_xll.BDH("ALNY US Equity","WATER_USAGE_EFFICIENCY_RT","FY 2003","FY 2003","Currency=USD","Period=FQ","BEST_FPERIOD_OVERRIDE=FQ","FILING_STATUS=MR","Sort=A","Dates=H","DateFormat=P","Fill=—","Direction=H","UseDPDF=Y")</f>
        <v>—</v>
      </c>
      <c r="D37" s="14" t="str">
        <f>_xll.BDH("ALNY US Equity","WATER_USAGE_EFFICIENCY_RT","FY 2004","FY 2004","Currency=USD","Period=FQ","BEST_FPERIOD_OVERRIDE=FQ","FILING_STATUS=MR","Sort=A","Dates=H","DateFormat=P","Fill=—","Direction=H","UseDPDF=Y")</f>
        <v>—</v>
      </c>
      <c r="E37" s="14" t="str">
        <f>_xll.BDH("ALNY US Equity","WATER_USAGE_EFFICIENCY_RT","FY 2005","FY 2005","Currency=USD","Period=FQ","BEST_FPERIOD_OVERRIDE=FQ","FILING_STATUS=MR","Sort=A","Dates=H","DateFormat=P","Fill=—","Direction=H","UseDPDF=Y")</f>
        <v>—</v>
      </c>
      <c r="F37" s="14" t="str">
        <f>_xll.BDH("ALNY US Equity","WATER_USAGE_EFFICIENCY_RT","FY 2006","FY 2006","Currency=USD","Period=FQ","BEST_FPERIOD_OVERRIDE=FQ","FILING_STATUS=MR","Sort=A","Dates=H","DateFormat=P","Fill=—","Direction=H","UseDPDF=Y")</f>
        <v>—</v>
      </c>
      <c r="G37" s="14" t="str">
        <f>_xll.BDH("ALNY US Equity","WATER_USAGE_EFFICIENCY_RT","FY 2007","FY 2007","Currency=USD","Period=FQ","BEST_FPERIOD_OVERRIDE=FQ","FILING_STATUS=MR","Sort=A","Dates=H","DateFormat=P","Fill=—","Direction=H","UseDPDF=Y")</f>
        <v>—</v>
      </c>
      <c r="H37" s="14" t="str">
        <f>_xll.BDH("ALNY US Equity","WATER_USAGE_EFFICIENCY_RT","FY 2008","FY 2008","Currency=USD","Period=FQ","BEST_FPERIOD_OVERRIDE=FQ","FILING_STATUS=MR","Sort=A","Dates=H","DateFormat=P","Fill=—","Direction=H","UseDPDF=Y")</f>
        <v>—</v>
      </c>
      <c r="I37" s="14" t="str">
        <f>_xll.BDH("ALNY US Equity","WATER_USAGE_EFFICIENCY_RT","FY 2009","FY 2009","Currency=USD","Period=FQ","BEST_FPERIOD_OVERRIDE=FQ","FILING_STATUS=MR","Sort=A","Dates=H","DateFormat=P","Fill=—","Direction=H","UseDPDF=Y")</f>
        <v>—</v>
      </c>
      <c r="J37" s="14" t="str">
        <f>_xll.BDH("ALNY US Equity","WATER_USAGE_EFFICIENCY_RT","FY 2010","FY 2010","Currency=USD","Period=FQ","BEST_FPERIOD_OVERRIDE=FQ","FILING_STATUS=MR","Sort=A","Dates=H","DateFormat=P","Fill=—","Direction=H","UseDPDF=Y")</f>
        <v>—</v>
      </c>
      <c r="K37" s="14" t="str">
        <f>_xll.BDH("ALNY US Equity","WATER_USAGE_EFFICIENCY_RT","FY 2011","FY 2011","Currency=USD","Period=FQ","BEST_FPERIOD_OVERRIDE=FQ","FILING_STATUS=MR","Sort=A","Dates=H","DateFormat=P","Fill=—","Direction=H","UseDPDF=Y")</f>
        <v>—</v>
      </c>
      <c r="L37" s="14" t="str">
        <f>_xll.BDH("ALNY US Equity","WATER_USAGE_EFFICIENCY_RT","FY 2012","FY 2012","Currency=USD","Period=FQ","BEST_FPERIOD_OVERRIDE=FQ","FILING_STATUS=MR","Sort=A","Dates=H","DateFormat=P","Fill=—","Direction=H","UseDPDF=Y")</f>
        <v>—</v>
      </c>
      <c r="M37" s="14" t="str">
        <f>_xll.BDH("ALNY US Equity","WATER_USAGE_EFFICIENCY_RT","FY 2013","FY 2013","Currency=USD","Period=FQ","BEST_FPERIOD_OVERRIDE=FQ","FILING_STATUS=MR","Sort=A","Dates=H","DateFormat=P","Fill=—","Direction=H","UseDPDF=Y")</f>
        <v>—</v>
      </c>
      <c r="N37" s="14" t="str">
        <f>_xll.BDH("ALNY US Equity","WATER_USAGE_EFFICIENCY_RT","FY 2014","FY 2014","Currency=USD","Period=FQ","BEST_FPERIOD_OVERRIDE=FQ","FILING_STATUS=MR","Sort=A","Dates=H","DateFormat=P","Fill=—","Direction=H","UseDPDF=Y")</f>
        <v>—</v>
      </c>
      <c r="O37" s="14" t="str">
        <f>_xll.BDH("ALNY US Equity","WATER_USAGE_EFFICIENCY_RT","FY 2015","FY 2015","Currency=USD","Period=FQ","BEST_FPERIOD_OVERRIDE=FQ","FILING_STATUS=MR","Sort=A","Dates=H","DateFormat=P","Fill=—","Direction=H","UseDPDF=Y")</f>
        <v>—</v>
      </c>
      <c r="P37" s="14" t="str">
        <f>_xll.BDH("ALNY US Equity","WATER_USAGE_EFFICIENCY_RT","FY 2016","FY 2016","Currency=USD","Period=FQ","BEST_FPERIOD_OVERRIDE=FQ","FILING_STATUS=MR","Sort=A","Dates=H","DateFormat=P","Fill=—","Direction=H","UseDPDF=Y")</f>
        <v>—</v>
      </c>
      <c r="Q37" s="14" t="str">
        <f>_xll.BDH("ALNY US Equity","WATER_USAGE_EFFICIENCY_RT","FY 2017","FY 2017","Currency=USD","Period=FQ","BEST_FPERIOD_OVERRIDE=FQ","FILING_STATUS=MR","Sort=A","Dates=H","DateFormat=P","Fill=—","Direction=H","UseDPDF=Y")</f>
        <v>—</v>
      </c>
      <c r="R37" s="14" t="str">
        <f>_xll.BDH("ALNY US Equity","WATER_USAGE_EFFICIENCY_RT","FY 2018","FY 2018","Currency=USD","Period=FQ","BEST_FPERIOD_OVERRIDE=FQ","FILING_STATUS=MR","Sort=A","Dates=H","DateFormat=P","Fill=—","Direction=H","UseDPDF=Y")</f>
        <v>—</v>
      </c>
      <c r="S37" s="14" t="str">
        <f>_xll.BDH("ALNY US Equity","WATER_USAGE_EFFICIENCY_RT","FY 2019","FY 2019","Currency=USD","Period=FQ","BEST_FPERIOD_OVERRIDE=FQ","FILING_STATUS=MR","Sort=A","Dates=H","DateFormat=P","Fill=—","Direction=H","UseDPDF=Y")</f>
        <v>—</v>
      </c>
      <c r="T37" s="14" t="str">
        <f>_xll.BDH("ALNY US Equity","WATER_USAGE_EFFICIENCY_RT","FY 2020","FY 2020","Currency=USD","Period=FQ","BEST_FPERIOD_OVERRIDE=FQ","FILING_STATUS=MR","Sort=A","Dates=H","DateFormat=P","Fill=—","Direction=H","UseDPDF=Y")</f>
        <v>—</v>
      </c>
      <c r="U37" s="14" t="str">
        <f>_xll.BDH("ALNY US Equity","WATER_USAGE_EFFICIENCY_RT","FY 2021","FY 2021","Currency=USD","Period=FQ","BEST_FPERIOD_OVERRIDE=FQ","FILING_STATUS=MR","Sort=A","Dates=H","DateFormat=P","Fill=—","Direction=H","UseDPDF=Y")</f>
        <v>—</v>
      </c>
      <c r="V37" s="14" t="str">
        <f>_xll.BDH("ALNY US Equity","WATER_USAGE_EFFICIENCY_RT","FY 2022","FY 2022","Currency=USD","Period=FQ","BEST_FPERIOD_OVERRIDE=FQ","FILING_STATUS=MR","Sort=A","Dates=H","DateFormat=P","Fill=—","Direction=H","UseDPDF=Y")</f>
        <v>—</v>
      </c>
      <c r="W37" s="14" t="str">
        <f>_xll.BDH("ALNY US Equity","WATER_USAGE_EFFICIENCY_RT","FY 2023","FY 2023","Currency=USD","Period=FQ","BEST_FPERIOD_OVERRIDE=FQ","FILING_STATUS=MR","Sort=A","Dates=H","DateFormat=P","Fill=—","Direction=H","UseDPDF=Y")</f>
        <v>—</v>
      </c>
      <c r="X37" s="14" t="str">
        <f>_xll.BDH("ALNY US Equity","WATER_USAGE_EFFICIENCY_RT","FY 2024","FY 2024","Currency=USD","Period=FQ","BEST_FPERIOD_OVERRIDE=FQ","FILING_STATUS=MR","Sort=A","Dates=H","DateFormat=P","Fill=—","Direction=H","UseDPDF=Y")</f>
        <v>—</v>
      </c>
    </row>
    <row r="38" spans="1:24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6" t="s">
        <v>1727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5">
      <c r="A40" s="10" t="s">
        <v>1728</v>
      </c>
      <c r="B40" s="10" t="s">
        <v>1729</v>
      </c>
      <c r="C40" s="14" t="str">
        <f>_xll.BDH("ALNY US Equity","WASTE_INTENSITY_PER_EMPLOYEE","FY 2003","FY 2003","Currency=USD","Period=FQ","BEST_FPERIOD_OVERRIDE=FQ","FILING_STATUS=MR","Sort=A","Dates=H","DateFormat=P","Fill=—","Direction=H","UseDPDF=Y")</f>
        <v>—</v>
      </c>
      <c r="D40" s="14" t="str">
        <f>_xll.BDH("ALNY US Equity","WASTE_INTENSITY_PER_EMPLOYEE","FY 2004","FY 2004","Currency=USD","Period=FQ","BEST_FPERIOD_OVERRIDE=FQ","FILING_STATUS=MR","Sort=A","Dates=H","DateFormat=P","Fill=—","Direction=H","UseDPDF=Y")</f>
        <v>—</v>
      </c>
      <c r="E40" s="14" t="str">
        <f>_xll.BDH("ALNY US Equity","WASTE_INTENSITY_PER_EMPLOYEE","FY 2005","FY 2005","Currency=USD","Period=FQ","BEST_FPERIOD_OVERRIDE=FQ","FILING_STATUS=MR","Sort=A","Dates=H","DateFormat=P","Fill=—","Direction=H","UseDPDF=Y")</f>
        <v>—</v>
      </c>
      <c r="F40" s="14" t="str">
        <f>_xll.BDH("ALNY US Equity","WASTE_INTENSITY_PER_EMPLOYEE","FY 2006","FY 2006","Currency=USD","Period=FQ","BEST_FPERIOD_OVERRIDE=FQ","FILING_STATUS=MR","Sort=A","Dates=H","DateFormat=P","Fill=—","Direction=H","UseDPDF=Y")</f>
        <v>—</v>
      </c>
      <c r="G40" s="14" t="str">
        <f>_xll.BDH("ALNY US Equity","WASTE_INTENSITY_PER_EMPLOYEE","FY 2007","FY 2007","Currency=USD","Period=FQ","BEST_FPERIOD_OVERRIDE=FQ","FILING_STATUS=MR","Sort=A","Dates=H","DateFormat=P","Fill=—","Direction=H","UseDPDF=Y")</f>
        <v>—</v>
      </c>
      <c r="H40" s="14" t="str">
        <f>_xll.BDH("ALNY US Equity","WASTE_INTENSITY_PER_EMPLOYEE","FY 2008","FY 2008","Currency=USD","Period=FQ","BEST_FPERIOD_OVERRIDE=FQ","FILING_STATUS=MR","Sort=A","Dates=H","DateFormat=P","Fill=—","Direction=H","UseDPDF=Y")</f>
        <v>—</v>
      </c>
      <c r="I40" s="14" t="str">
        <f>_xll.BDH("ALNY US Equity","WASTE_INTENSITY_PER_EMPLOYEE","FY 2009","FY 2009","Currency=USD","Period=FQ","BEST_FPERIOD_OVERRIDE=FQ","FILING_STATUS=MR","Sort=A","Dates=H","DateFormat=P","Fill=—","Direction=H","UseDPDF=Y")</f>
        <v>—</v>
      </c>
      <c r="J40" s="14" t="str">
        <f>_xll.BDH("ALNY US Equity","WASTE_INTENSITY_PER_EMPLOYEE","FY 2010","FY 2010","Currency=USD","Period=FQ","BEST_FPERIOD_OVERRIDE=FQ","FILING_STATUS=MR","Sort=A","Dates=H","DateFormat=P","Fill=—","Direction=H","UseDPDF=Y")</f>
        <v>—</v>
      </c>
      <c r="K40" s="14" t="str">
        <f>_xll.BDH("ALNY US Equity","WASTE_INTENSITY_PER_EMPLOYEE","FY 2011","FY 2011","Currency=USD","Period=FQ","BEST_FPERIOD_OVERRIDE=FQ","FILING_STATUS=MR","Sort=A","Dates=H","DateFormat=P","Fill=—","Direction=H","UseDPDF=Y")</f>
        <v>—</v>
      </c>
      <c r="L40" s="14" t="str">
        <f>_xll.BDH("ALNY US Equity","WASTE_INTENSITY_PER_EMPLOYEE","FY 2012","FY 2012","Currency=USD","Period=FQ","BEST_FPERIOD_OVERRIDE=FQ","FILING_STATUS=MR","Sort=A","Dates=H","DateFormat=P","Fill=—","Direction=H","UseDPDF=Y")</f>
        <v>—</v>
      </c>
      <c r="M40" s="14" t="str">
        <f>_xll.BDH("ALNY US Equity","WASTE_INTENSITY_PER_EMPLOYEE","FY 2013","FY 2013","Currency=USD","Period=FQ","BEST_FPERIOD_OVERRIDE=FQ","FILING_STATUS=MR","Sort=A","Dates=H","DateFormat=P","Fill=—","Direction=H","UseDPDF=Y")</f>
        <v>—</v>
      </c>
      <c r="N40" s="14" t="str">
        <f>_xll.BDH("ALNY US Equity","WASTE_INTENSITY_PER_EMPLOYEE","FY 2014","FY 2014","Currency=USD","Period=FQ","BEST_FPERIOD_OVERRIDE=FQ","FILING_STATUS=MR","Sort=A","Dates=H","DateFormat=P","Fill=—","Direction=H","UseDPDF=Y")</f>
        <v>—</v>
      </c>
      <c r="O40" s="14" t="str">
        <f>_xll.BDH("ALNY US Equity","WASTE_INTENSITY_PER_EMPLOYEE","FY 2015","FY 2015","Currency=USD","Period=FQ","BEST_FPERIOD_OVERRIDE=FQ","FILING_STATUS=MR","Sort=A","Dates=H","DateFormat=P","Fill=—","Direction=H","UseDPDF=Y")</f>
        <v>—</v>
      </c>
      <c r="P40" s="14" t="str">
        <f>_xll.BDH("ALNY US Equity","WASTE_INTENSITY_PER_EMPLOYEE","FY 2016","FY 2016","Currency=USD","Period=FQ","BEST_FPERIOD_OVERRIDE=FQ","FILING_STATUS=MR","Sort=A","Dates=H","DateFormat=P","Fill=—","Direction=H","UseDPDF=Y")</f>
        <v>—</v>
      </c>
      <c r="Q40" s="14" t="str">
        <f>_xll.BDH("ALNY US Equity","WASTE_INTENSITY_PER_EMPLOYEE","FY 2017","FY 2017","Currency=USD","Period=FQ","BEST_FPERIOD_OVERRIDE=FQ","FILING_STATUS=MR","Sort=A","Dates=H","DateFormat=P","Fill=—","Direction=H","UseDPDF=Y")</f>
        <v>—</v>
      </c>
      <c r="R40" s="14" t="str">
        <f>_xll.BDH("ALNY US Equity","WASTE_INTENSITY_PER_EMPLOYEE","FY 2018","FY 2018","Currency=USD","Period=FQ","BEST_FPERIOD_OVERRIDE=FQ","FILING_STATUS=MR","Sort=A","Dates=H","DateFormat=P","Fill=—","Direction=H","UseDPDF=Y")</f>
        <v>—</v>
      </c>
      <c r="S40" s="14" t="str">
        <f>_xll.BDH("ALNY US Equity","WASTE_INTENSITY_PER_EMPLOYEE","FY 2019","FY 2019","Currency=USD","Period=FQ","BEST_FPERIOD_OVERRIDE=FQ","FILING_STATUS=MR","Sort=A","Dates=H","DateFormat=P","Fill=—","Direction=H","UseDPDF=Y")</f>
        <v>—</v>
      </c>
      <c r="T40" s="14" t="str">
        <f>_xll.BDH("ALNY US Equity","WASTE_INTENSITY_PER_EMPLOYEE","FY 2020","FY 2020","Currency=USD","Period=FQ","BEST_FPERIOD_OVERRIDE=FQ","FILING_STATUS=MR","Sort=A","Dates=H","DateFormat=P","Fill=—","Direction=H","UseDPDF=Y")</f>
        <v>—</v>
      </c>
      <c r="U40" s="14" t="str">
        <f>_xll.BDH("ALNY US Equity","WASTE_INTENSITY_PER_EMPLOYEE","FY 2021","FY 2021","Currency=USD","Period=FQ","BEST_FPERIOD_OVERRIDE=FQ","FILING_STATUS=MR","Sort=A","Dates=H","DateFormat=P","Fill=—","Direction=H","UseDPDF=Y")</f>
        <v>—</v>
      </c>
      <c r="V40" s="14" t="str">
        <f>_xll.BDH("ALNY US Equity","WASTE_INTENSITY_PER_EMPLOYEE","FY 2022","FY 2022","Currency=USD","Period=FQ","BEST_FPERIOD_OVERRIDE=FQ","FILING_STATUS=MR","Sort=A","Dates=H","DateFormat=P","Fill=—","Direction=H","UseDPDF=Y")</f>
        <v>—</v>
      </c>
      <c r="W40" s="14" t="str">
        <f>_xll.BDH("ALNY US Equity","WASTE_INTENSITY_PER_EMPLOYEE","FY 2023","FY 2023","Currency=USD","Period=FQ","BEST_FPERIOD_OVERRIDE=FQ","FILING_STATUS=MR","Sort=A","Dates=H","DateFormat=P","Fill=—","Direction=H","UseDPDF=Y")</f>
        <v>—</v>
      </c>
      <c r="X40" s="14" t="str">
        <f>_xll.BDH("ALNY US Equity","WASTE_INTENSITY_PER_EMPLOYEE","FY 2024","FY 2024","Currency=USD","Period=FQ","BEST_FPERIOD_OVERRIDE=FQ","FILING_STATUS=MR","Sort=A","Dates=H","DateFormat=P","Fill=—","Direction=H","UseDPDF=Y")</f>
        <v>—</v>
      </c>
    </row>
    <row r="41" spans="1:24" x14ac:dyDescent="0.25">
      <c r="A41" s="10" t="s">
        <v>1730</v>
      </c>
      <c r="B41" s="10" t="s">
        <v>1731</v>
      </c>
      <c r="C41" s="14" t="str">
        <f>_xll.BDH("ALNY US Equity","WASTE_GENERATED_PER_ASSETS","FY 2003","FY 2003","Currency=USD","Period=FQ","BEST_FPERIOD_OVERRIDE=FQ","FILING_STATUS=MR","Sort=A","Dates=H","DateFormat=P","Fill=—","Direction=H","UseDPDF=Y")</f>
        <v>—</v>
      </c>
      <c r="D41" s="14" t="str">
        <f>_xll.BDH("ALNY US Equity","WASTE_GENERATED_PER_ASSETS","FY 2004","FY 2004","Currency=USD","Period=FQ","BEST_FPERIOD_OVERRIDE=FQ","FILING_STATUS=MR","Sort=A","Dates=H","DateFormat=P","Fill=—","Direction=H","UseDPDF=Y")</f>
        <v>—</v>
      </c>
      <c r="E41" s="14" t="str">
        <f>_xll.BDH("ALNY US Equity","WASTE_GENERATED_PER_ASSETS","FY 2005","FY 2005","Currency=USD","Period=FQ","BEST_FPERIOD_OVERRIDE=FQ","FILING_STATUS=MR","Sort=A","Dates=H","DateFormat=P","Fill=—","Direction=H","UseDPDF=Y")</f>
        <v>—</v>
      </c>
      <c r="F41" s="14" t="str">
        <f>_xll.BDH("ALNY US Equity","WASTE_GENERATED_PER_ASSETS","FY 2006","FY 2006","Currency=USD","Period=FQ","BEST_FPERIOD_OVERRIDE=FQ","FILING_STATUS=MR","Sort=A","Dates=H","DateFormat=P","Fill=—","Direction=H","UseDPDF=Y")</f>
        <v>—</v>
      </c>
      <c r="G41" s="14" t="str">
        <f>_xll.BDH("ALNY US Equity","WASTE_GENERATED_PER_ASSETS","FY 2007","FY 2007","Currency=USD","Period=FQ","BEST_FPERIOD_OVERRIDE=FQ","FILING_STATUS=MR","Sort=A","Dates=H","DateFormat=P","Fill=—","Direction=H","UseDPDF=Y")</f>
        <v>—</v>
      </c>
      <c r="H41" s="14" t="str">
        <f>_xll.BDH("ALNY US Equity","WASTE_GENERATED_PER_ASSETS","FY 2008","FY 2008","Currency=USD","Period=FQ","BEST_FPERIOD_OVERRIDE=FQ","FILING_STATUS=MR","Sort=A","Dates=H","DateFormat=P","Fill=—","Direction=H","UseDPDF=Y")</f>
        <v>—</v>
      </c>
      <c r="I41" s="14" t="str">
        <f>_xll.BDH("ALNY US Equity","WASTE_GENERATED_PER_ASSETS","FY 2009","FY 2009","Currency=USD","Period=FQ","BEST_FPERIOD_OVERRIDE=FQ","FILING_STATUS=MR","Sort=A","Dates=H","DateFormat=P","Fill=—","Direction=H","UseDPDF=Y")</f>
        <v>—</v>
      </c>
      <c r="J41" s="14" t="str">
        <f>_xll.BDH("ALNY US Equity","WASTE_GENERATED_PER_ASSETS","FY 2010","FY 2010","Currency=USD","Period=FQ","BEST_FPERIOD_OVERRIDE=FQ","FILING_STATUS=MR","Sort=A","Dates=H","DateFormat=P","Fill=—","Direction=H","UseDPDF=Y")</f>
        <v>—</v>
      </c>
      <c r="K41" s="14" t="str">
        <f>_xll.BDH("ALNY US Equity","WASTE_GENERATED_PER_ASSETS","FY 2011","FY 2011","Currency=USD","Period=FQ","BEST_FPERIOD_OVERRIDE=FQ","FILING_STATUS=MR","Sort=A","Dates=H","DateFormat=P","Fill=—","Direction=H","UseDPDF=Y")</f>
        <v>—</v>
      </c>
      <c r="L41" s="14" t="str">
        <f>_xll.BDH("ALNY US Equity","WASTE_GENERATED_PER_ASSETS","FY 2012","FY 2012","Currency=USD","Period=FQ","BEST_FPERIOD_OVERRIDE=FQ","FILING_STATUS=MR","Sort=A","Dates=H","DateFormat=P","Fill=—","Direction=H","UseDPDF=Y")</f>
        <v>—</v>
      </c>
      <c r="M41" s="14" t="str">
        <f>_xll.BDH("ALNY US Equity","WASTE_GENERATED_PER_ASSETS","FY 2013","FY 2013","Currency=USD","Period=FQ","BEST_FPERIOD_OVERRIDE=FQ","FILING_STATUS=MR","Sort=A","Dates=H","DateFormat=P","Fill=—","Direction=H","UseDPDF=Y")</f>
        <v>—</v>
      </c>
      <c r="N41" s="14" t="str">
        <f>_xll.BDH("ALNY US Equity","WASTE_GENERATED_PER_ASSETS","FY 2014","FY 2014","Currency=USD","Period=FQ","BEST_FPERIOD_OVERRIDE=FQ","FILING_STATUS=MR","Sort=A","Dates=H","DateFormat=P","Fill=—","Direction=H","UseDPDF=Y")</f>
        <v>—</v>
      </c>
      <c r="O41" s="14" t="str">
        <f>_xll.BDH("ALNY US Equity","WASTE_GENERATED_PER_ASSETS","FY 2015","FY 2015","Currency=USD","Period=FQ","BEST_FPERIOD_OVERRIDE=FQ","FILING_STATUS=MR","Sort=A","Dates=H","DateFormat=P","Fill=—","Direction=H","UseDPDF=Y")</f>
        <v>—</v>
      </c>
      <c r="P41" s="14" t="str">
        <f>_xll.BDH("ALNY US Equity","WASTE_GENERATED_PER_ASSETS","FY 2016","FY 2016","Currency=USD","Period=FQ","BEST_FPERIOD_OVERRIDE=FQ","FILING_STATUS=MR","Sort=A","Dates=H","DateFormat=P","Fill=—","Direction=H","UseDPDF=Y")</f>
        <v>—</v>
      </c>
      <c r="Q41" s="14" t="str">
        <f>_xll.BDH("ALNY US Equity","WASTE_GENERATED_PER_ASSETS","FY 2017","FY 2017","Currency=USD","Period=FQ","BEST_FPERIOD_OVERRIDE=FQ","FILING_STATUS=MR","Sort=A","Dates=H","DateFormat=P","Fill=—","Direction=H","UseDPDF=Y")</f>
        <v>—</v>
      </c>
      <c r="R41" s="14" t="str">
        <f>_xll.BDH("ALNY US Equity","WASTE_GENERATED_PER_ASSETS","FY 2018","FY 2018","Currency=USD","Period=FQ","BEST_FPERIOD_OVERRIDE=FQ","FILING_STATUS=MR","Sort=A","Dates=H","DateFormat=P","Fill=—","Direction=H","UseDPDF=Y")</f>
        <v>—</v>
      </c>
      <c r="S41" s="14" t="str">
        <f>_xll.BDH("ALNY US Equity","WASTE_GENERATED_PER_ASSETS","FY 2019","FY 2019","Currency=USD","Period=FQ","BEST_FPERIOD_OVERRIDE=FQ","FILING_STATUS=MR","Sort=A","Dates=H","DateFormat=P","Fill=—","Direction=H","UseDPDF=Y")</f>
        <v>—</v>
      </c>
      <c r="T41" s="14" t="str">
        <f>_xll.BDH("ALNY US Equity","WASTE_GENERATED_PER_ASSETS","FY 2020","FY 2020","Currency=USD","Period=FQ","BEST_FPERIOD_OVERRIDE=FQ","FILING_STATUS=MR","Sort=A","Dates=H","DateFormat=P","Fill=—","Direction=H","UseDPDF=Y")</f>
        <v>—</v>
      </c>
      <c r="U41" s="14" t="str">
        <f>_xll.BDH("ALNY US Equity","WASTE_GENERATED_PER_ASSETS","FY 2021","FY 2021","Currency=USD","Period=FQ","BEST_FPERIOD_OVERRIDE=FQ","FILING_STATUS=MR","Sort=A","Dates=H","DateFormat=P","Fill=—","Direction=H","UseDPDF=Y")</f>
        <v>—</v>
      </c>
      <c r="V41" s="14" t="str">
        <f>_xll.BDH("ALNY US Equity","WASTE_GENERATED_PER_ASSETS","FY 2022","FY 2022","Currency=USD","Period=FQ","BEST_FPERIOD_OVERRIDE=FQ","FILING_STATUS=MR","Sort=A","Dates=H","DateFormat=P","Fill=—","Direction=H","UseDPDF=Y")</f>
        <v>—</v>
      </c>
      <c r="W41" s="14" t="str">
        <f>_xll.BDH("ALNY US Equity","WASTE_GENERATED_PER_ASSETS","FY 2023","FY 2023","Currency=USD","Period=FQ","BEST_FPERIOD_OVERRIDE=FQ","FILING_STATUS=MR","Sort=A","Dates=H","DateFormat=P","Fill=—","Direction=H","UseDPDF=Y")</f>
        <v>—</v>
      </c>
      <c r="X41" s="14" t="str">
        <f>_xll.BDH("ALNY US Equity","WASTE_GENERATED_PER_ASSETS","FY 2024","FY 2024","Currency=USD","Period=FQ","BEST_FPERIOD_OVERRIDE=FQ","FILING_STATUS=MR","Sort=A","Dates=H","DateFormat=P","Fill=—","Direction=H","UseDPDF=Y")</f>
        <v>—</v>
      </c>
    </row>
    <row r="42" spans="1:24" x14ac:dyDescent="0.25">
      <c r="A42" s="10" t="s">
        <v>1732</v>
      </c>
      <c r="B42" s="10" t="s">
        <v>1733</v>
      </c>
      <c r="C42" s="14" t="str">
        <f>_xll.BDH("ALNY US Equity","WASTE_GENERATED_PER_SALES","FY 2003","FY 2003","Currency=USD","Period=FQ","BEST_FPERIOD_OVERRIDE=FQ","FILING_STATUS=MR","FA_ADJUSTED=GAAP","Sort=A","Dates=H","DateFormat=P","Fill=—","Direction=H","UseDPDF=Y")</f>
        <v>—</v>
      </c>
      <c r="D42" s="14" t="str">
        <f>_xll.BDH("ALNY US Equity","WASTE_GENERATED_PER_SALES","FY 2004","FY 2004","Currency=USD","Period=FQ","BEST_FPERIOD_OVERRIDE=FQ","FILING_STATUS=MR","FA_ADJUSTED=GAAP","Sort=A","Dates=H","DateFormat=P","Fill=—","Direction=H","UseDPDF=Y")</f>
        <v>—</v>
      </c>
      <c r="E42" s="14" t="str">
        <f>_xll.BDH("ALNY US Equity","WASTE_GENERATED_PER_SALES","FY 2005","FY 2005","Currency=USD","Period=FQ","BEST_FPERIOD_OVERRIDE=FQ","FILING_STATUS=MR","FA_ADJUSTED=GAAP","Sort=A","Dates=H","DateFormat=P","Fill=—","Direction=H","UseDPDF=Y")</f>
        <v>—</v>
      </c>
      <c r="F42" s="14" t="str">
        <f>_xll.BDH("ALNY US Equity","WASTE_GENERATED_PER_SALES","FY 2006","FY 2006","Currency=USD","Period=FQ","BEST_FPERIOD_OVERRIDE=FQ","FILING_STATUS=MR","FA_ADJUSTED=GAAP","Sort=A","Dates=H","DateFormat=P","Fill=—","Direction=H","UseDPDF=Y")</f>
        <v>—</v>
      </c>
      <c r="G42" s="14" t="str">
        <f>_xll.BDH("ALNY US Equity","WASTE_GENERATED_PER_SALES","FY 2007","FY 2007","Currency=USD","Period=FQ","BEST_FPERIOD_OVERRIDE=FQ","FILING_STATUS=MR","FA_ADJUSTED=GAAP","Sort=A","Dates=H","DateFormat=P","Fill=—","Direction=H","UseDPDF=Y")</f>
        <v>—</v>
      </c>
      <c r="H42" s="14" t="str">
        <f>_xll.BDH("ALNY US Equity","WASTE_GENERATED_PER_SALES","FY 2008","FY 2008","Currency=USD","Period=FQ","BEST_FPERIOD_OVERRIDE=FQ","FILING_STATUS=MR","FA_ADJUSTED=GAAP","Sort=A","Dates=H","DateFormat=P","Fill=—","Direction=H","UseDPDF=Y")</f>
        <v>—</v>
      </c>
      <c r="I42" s="14" t="str">
        <f>_xll.BDH("ALNY US Equity","WASTE_GENERATED_PER_SALES","FY 2009","FY 2009","Currency=USD","Period=FQ","BEST_FPERIOD_OVERRIDE=FQ","FILING_STATUS=MR","FA_ADJUSTED=GAAP","Sort=A","Dates=H","DateFormat=P","Fill=—","Direction=H","UseDPDF=Y")</f>
        <v>—</v>
      </c>
      <c r="J42" s="14" t="str">
        <f>_xll.BDH("ALNY US Equity","WASTE_GENERATED_PER_SALES","FY 2010","FY 2010","Currency=USD","Period=FQ","BEST_FPERIOD_OVERRIDE=FQ","FILING_STATUS=MR","FA_ADJUSTED=GAAP","Sort=A","Dates=H","DateFormat=P","Fill=—","Direction=H","UseDPDF=Y")</f>
        <v>—</v>
      </c>
      <c r="K42" s="14" t="str">
        <f>_xll.BDH("ALNY US Equity","WASTE_GENERATED_PER_SALES","FY 2011","FY 2011","Currency=USD","Period=FQ","BEST_FPERIOD_OVERRIDE=FQ","FILING_STATUS=MR","FA_ADJUSTED=GAAP","Sort=A","Dates=H","DateFormat=P","Fill=—","Direction=H","UseDPDF=Y")</f>
        <v>—</v>
      </c>
      <c r="L42" s="14" t="str">
        <f>_xll.BDH("ALNY US Equity","WASTE_GENERATED_PER_SALES","FY 2012","FY 2012","Currency=USD","Period=FQ","BEST_FPERIOD_OVERRIDE=FQ","FILING_STATUS=MR","FA_ADJUSTED=GAAP","Sort=A","Dates=H","DateFormat=P","Fill=—","Direction=H","UseDPDF=Y")</f>
        <v>—</v>
      </c>
      <c r="M42" s="14" t="str">
        <f>_xll.BDH("ALNY US Equity","WASTE_GENERATED_PER_SALES","FY 2013","FY 2013","Currency=USD","Period=FQ","BEST_FPERIOD_OVERRIDE=FQ","FILING_STATUS=MR","FA_ADJUSTED=GAAP","Sort=A","Dates=H","DateFormat=P","Fill=—","Direction=H","UseDPDF=Y")</f>
        <v>—</v>
      </c>
      <c r="N42" s="14" t="str">
        <f>_xll.BDH("ALNY US Equity","WASTE_GENERATED_PER_SALES","FY 2014","FY 2014","Currency=USD","Period=FQ","BEST_FPERIOD_OVERRIDE=FQ","FILING_STATUS=MR","FA_ADJUSTED=GAAP","Sort=A","Dates=H","DateFormat=P","Fill=—","Direction=H","UseDPDF=Y")</f>
        <v>—</v>
      </c>
      <c r="O42" s="14" t="str">
        <f>_xll.BDH("ALNY US Equity","WASTE_GENERATED_PER_SALES","FY 2015","FY 2015","Currency=USD","Period=FQ","BEST_FPERIOD_OVERRIDE=FQ","FILING_STATUS=MR","FA_ADJUSTED=GAAP","Sort=A","Dates=H","DateFormat=P","Fill=—","Direction=H","UseDPDF=Y")</f>
        <v>—</v>
      </c>
      <c r="P42" s="14" t="str">
        <f>_xll.BDH("ALNY US Equity","WASTE_GENERATED_PER_SALES","FY 2016","FY 2016","Currency=USD","Period=FQ","BEST_FPERIOD_OVERRIDE=FQ","FILING_STATUS=MR","FA_ADJUSTED=GAAP","Sort=A","Dates=H","DateFormat=P","Fill=—","Direction=H","UseDPDF=Y")</f>
        <v>—</v>
      </c>
      <c r="Q42" s="14" t="str">
        <f>_xll.BDH("ALNY US Equity","WASTE_GENERATED_PER_SALES","FY 2017","FY 2017","Currency=USD","Period=FQ","BEST_FPERIOD_OVERRIDE=FQ","FILING_STATUS=MR","FA_ADJUSTED=GAAP","Sort=A","Dates=H","DateFormat=P","Fill=—","Direction=H","UseDPDF=Y")</f>
        <v>—</v>
      </c>
      <c r="R42" s="14" t="str">
        <f>_xll.BDH("ALNY US Equity","WASTE_GENERATED_PER_SALES","FY 2018","FY 2018","Currency=USD","Period=FQ","BEST_FPERIOD_OVERRIDE=FQ","FILING_STATUS=MR","FA_ADJUSTED=GAAP","Sort=A","Dates=H","DateFormat=P","Fill=—","Direction=H","UseDPDF=Y")</f>
        <v>—</v>
      </c>
      <c r="S42" s="14" t="str">
        <f>_xll.BDH("ALNY US Equity","WASTE_GENERATED_PER_SALES","FY 2019","FY 2019","Currency=USD","Period=FQ","BEST_FPERIOD_OVERRIDE=FQ","FILING_STATUS=MR","FA_ADJUSTED=GAAP","Sort=A","Dates=H","DateFormat=P","Fill=—","Direction=H","UseDPDF=Y")</f>
        <v>—</v>
      </c>
      <c r="T42" s="14" t="str">
        <f>_xll.BDH("ALNY US Equity","WASTE_GENERATED_PER_SALES","FY 2020","FY 2020","Currency=USD","Period=FQ","BEST_FPERIOD_OVERRIDE=FQ","FILING_STATUS=MR","FA_ADJUSTED=GAAP","Sort=A","Dates=H","DateFormat=P","Fill=—","Direction=H","UseDPDF=Y")</f>
        <v>—</v>
      </c>
      <c r="U42" s="14" t="str">
        <f>_xll.BDH("ALNY US Equity","WASTE_GENERATED_PER_SALES","FY 2021","FY 2021","Currency=USD","Period=FQ","BEST_FPERIOD_OVERRIDE=FQ","FILING_STATUS=MR","FA_ADJUSTED=GAAP","Sort=A","Dates=H","DateFormat=P","Fill=—","Direction=H","UseDPDF=Y")</f>
        <v>—</v>
      </c>
      <c r="V42" s="14" t="str">
        <f>_xll.BDH("ALNY US Equity","WASTE_GENERATED_PER_SALES","FY 2022","FY 2022","Currency=USD","Period=FQ","BEST_FPERIOD_OVERRIDE=FQ","FILING_STATUS=MR","FA_ADJUSTED=GAAP","Sort=A","Dates=H","DateFormat=P","Fill=—","Direction=H","UseDPDF=Y")</f>
        <v>—</v>
      </c>
      <c r="W42" s="14" t="str">
        <f>_xll.BDH("ALNY US Equity","WASTE_GENERATED_PER_SALES","FY 2023","FY 2023","Currency=USD","Period=FQ","BEST_FPERIOD_OVERRIDE=FQ","FILING_STATUS=MR","FA_ADJUSTED=GAAP","Sort=A","Dates=H","DateFormat=P","Fill=—","Direction=H","UseDPDF=Y")</f>
        <v>—</v>
      </c>
      <c r="X42" s="14" t="str">
        <f>_xll.BDH("ALNY US Equity","WASTE_GENERATED_PER_SALES","FY 2024","FY 2024","Currency=USD","Period=FQ","BEST_FPERIOD_OVERRIDE=FQ","FILING_STATUS=MR","FA_ADJUSTED=GAAP","Sort=A","Dates=H","DateFormat=P","Fill=—","Direction=H","UseDPDF=Y")</f>
        <v>—</v>
      </c>
    </row>
    <row r="43" spans="1:24" x14ac:dyDescent="0.25">
      <c r="A43" s="1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x14ac:dyDescent="0.25">
      <c r="A44" s="6" t="s">
        <v>1734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5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5">
      <c r="A46" s="6" t="s">
        <v>1735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5">
      <c r="A47" s="10" t="s">
        <v>1736</v>
      </c>
      <c r="B47" s="10" t="s">
        <v>1737</v>
      </c>
      <c r="C47" s="14" t="str">
        <f>_xll.BDH("ALNY US Equity","WOMEN_MANAGEMENT_TO_EMPL_RATIO","FY 2003","FY 2003","Currency=USD","Period=FQ","BEST_FPERIOD_OVERRIDE=FQ","FILING_STATUS=MR","Sort=A","Dates=H","DateFormat=P","Fill=—","Direction=H","UseDPDF=Y")</f>
        <v>—</v>
      </c>
      <c r="D47" s="14" t="str">
        <f>_xll.BDH("ALNY US Equity","WOMEN_MANAGEMENT_TO_EMPL_RATIO","FY 2004","FY 2004","Currency=USD","Period=FQ","BEST_FPERIOD_OVERRIDE=FQ","FILING_STATUS=MR","Sort=A","Dates=H","DateFormat=P","Fill=—","Direction=H","UseDPDF=Y")</f>
        <v>—</v>
      </c>
      <c r="E47" s="14" t="str">
        <f>_xll.BDH("ALNY US Equity","WOMEN_MANAGEMENT_TO_EMPL_RATIO","FY 2005","FY 2005","Currency=USD","Period=FQ","BEST_FPERIOD_OVERRIDE=FQ","FILING_STATUS=MR","Sort=A","Dates=H","DateFormat=P","Fill=—","Direction=H","UseDPDF=Y")</f>
        <v>—</v>
      </c>
      <c r="F47" s="14" t="str">
        <f>_xll.BDH("ALNY US Equity","WOMEN_MANAGEMENT_TO_EMPL_RATIO","FY 2006","FY 2006","Currency=USD","Period=FQ","BEST_FPERIOD_OVERRIDE=FQ","FILING_STATUS=MR","Sort=A","Dates=H","DateFormat=P","Fill=—","Direction=H","UseDPDF=Y")</f>
        <v>—</v>
      </c>
      <c r="G47" s="14" t="str">
        <f>_xll.BDH("ALNY US Equity","WOMEN_MANAGEMENT_TO_EMPL_RATIO","FY 2007","FY 2007","Currency=USD","Period=FQ","BEST_FPERIOD_OVERRIDE=FQ","FILING_STATUS=MR","Sort=A","Dates=H","DateFormat=P","Fill=—","Direction=H","UseDPDF=Y")</f>
        <v>—</v>
      </c>
      <c r="H47" s="14" t="str">
        <f>_xll.BDH("ALNY US Equity","WOMEN_MANAGEMENT_TO_EMPL_RATIO","FY 2008","FY 2008","Currency=USD","Period=FQ","BEST_FPERIOD_OVERRIDE=FQ","FILING_STATUS=MR","Sort=A","Dates=H","DateFormat=P","Fill=—","Direction=H","UseDPDF=Y")</f>
        <v>—</v>
      </c>
      <c r="I47" s="14" t="str">
        <f>_xll.BDH("ALNY US Equity","WOMEN_MANAGEMENT_TO_EMPL_RATIO","FY 2009","FY 2009","Currency=USD","Period=FQ","BEST_FPERIOD_OVERRIDE=FQ","FILING_STATUS=MR","Sort=A","Dates=H","DateFormat=P","Fill=—","Direction=H","UseDPDF=Y")</f>
        <v>—</v>
      </c>
      <c r="J47" s="14" t="str">
        <f>_xll.BDH("ALNY US Equity","WOMEN_MANAGEMENT_TO_EMPL_RATIO","FY 2010","FY 2010","Currency=USD","Period=FQ","BEST_FPERIOD_OVERRIDE=FQ","FILING_STATUS=MR","Sort=A","Dates=H","DateFormat=P","Fill=—","Direction=H","UseDPDF=Y")</f>
        <v>—</v>
      </c>
      <c r="K47" s="14" t="str">
        <f>_xll.BDH("ALNY US Equity","WOMEN_MANAGEMENT_TO_EMPL_RATIO","FY 2011","FY 2011","Currency=USD","Period=FQ","BEST_FPERIOD_OVERRIDE=FQ","FILING_STATUS=MR","Sort=A","Dates=H","DateFormat=P","Fill=—","Direction=H","UseDPDF=Y")</f>
        <v>—</v>
      </c>
      <c r="L47" s="14" t="str">
        <f>_xll.BDH("ALNY US Equity","WOMEN_MANAGEMENT_TO_EMPL_RATIO","FY 2012","FY 2012","Currency=USD","Period=FQ","BEST_FPERIOD_OVERRIDE=FQ","FILING_STATUS=MR","Sort=A","Dates=H","DateFormat=P","Fill=—","Direction=H","UseDPDF=Y")</f>
        <v>—</v>
      </c>
      <c r="M47" s="14" t="str">
        <f>_xll.BDH("ALNY US Equity","WOMEN_MANAGEMENT_TO_EMPL_RATIO","FY 2013","FY 2013","Currency=USD","Period=FQ","BEST_FPERIOD_OVERRIDE=FQ","FILING_STATUS=MR","Sort=A","Dates=H","DateFormat=P","Fill=—","Direction=H","UseDPDF=Y")</f>
        <v>—</v>
      </c>
      <c r="N47" s="14" t="str">
        <f>_xll.BDH("ALNY US Equity","WOMEN_MANAGEMENT_TO_EMPL_RATIO","FY 2014","FY 2014","Currency=USD","Period=FQ","BEST_FPERIOD_OVERRIDE=FQ","FILING_STATUS=MR","Sort=A","Dates=H","DateFormat=P","Fill=—","Direction=H","UseDPDF=Y")</f>
        <v>—</v>
      </c>
      <c r="O47" s="14" t="str">
        <f>_xll.BDH("ALNY US Equity","WOMEN_MANAGEMENT_TO_EMPL_RATIO","FY 2015","FY 2015","Currency=USD","Period=FQ","BEST_FPERIOD_OVERRIDE=FQ","FILING_STATUS=MR","Sort=A","Dates=H","DateFormat=P","Fill=—","Direction=H","UseDPDF=Y")</f>
        <v>—</v>
      </c>
      <c r="P47" s="14" t="str">
        <f>_xll.BDH("ALNY US Equity","WOMEN_MANAGEMENT_TO_EMPL_RATIO","FY 2016","FY 2016","Currency=USD","Period=FQ","BEST_FPERIOD_OVERRIDE=FQ","FILING_STATUS=MR","Sort=A","Dates=H","DateFormat=P","Fill=—","Direction=H","UseDPDF=Y")</f>
        <v>—</v>
      </c>
      <c r="Q47" s="14" t="str">
        <f>_xll.BDH("ALNY US Equity","WOMEN_MANAGEMENT_TO_EMPL_RATIO","FY 2017","FY 2017","Currency=USD","Period=FQ","BEST_FPERIOD_OVERRIDE=FQ","FILING_STATUS=MR","Sort=A","Dates=H","DateFormat=P","Fill=—","Direction=H","UseDPDF=Y")</f>
        <v>—</v>
      </c>
      <c r="R47" s="14" t="str">
        <f>_xll.BDH("ALNY US Equity","WOMEN_MANAGEMENT_TO_EMPL_RATIO","FY 2018","FY 2018","Currency=USD","Period=FQ","BEST_FPERIOD_OVERRIDE=FQ","FILING_STATUS=MR","Sort=A","Dates=H","DateFormat=P","Fill=—","Direction=H","UseDPDF=Y")</f>
        <v>—</v>
      </c>
      <c r="S47" s="14" t="str">
        <f>_xll.BDH("ALNY US Equity","WOMEN_MANAGEMENT_TO_EMPL_RATIO","FY 2019","FY 2019","Currency=USD","Period=FQ","BEST_FPERIOD_OVERRIDE=FQ","FILING_STATUS=MR","Sort=A","Dates=H","DateFormat=P","Fill=—","Direction=H","UseDPDF=Y")</f>
        <v>—</v>
      </c>
      <c r="T47" s="14" t="str">
        <f>_xll.BDH("ALNY US Equity","WOMEN_MANAGEMENT_TO_EMPL_RATIO","FY 2020","FY 2020","Currency=USD","Period=FQ","BEST_FPERIOD_OVERRIDE=FQ","FILING_STATUS=MR","Sort=A","Dates=H","DateFormat=P","Fill=—","Direction=H","UseDPDF=Y")</f>
        <v>—</v>
      </c>
      <c r="U47" s="14" t="str">
        <f>_xll.BDH("ALNY US Equity","WOMEN_MANAGEMENT_TO_EMPL_RATIO","FY 2021","FY 2021","Currency=USD","Period=FQ","BEST_FPERIOD_OVERRIDE=FQ","FILING_STATUS=MR","Sort=A","Dates=H","DateFormat=P","Fill=—","Direction=H","UseDPDF=Y")</f>
        <v>—</v>
      </c>
      <c r="V47" s="14" t="str">
        <f>_xll.BDH("ALNY US Equity","WOMEN_MANAGEMENT_TO_EMPL_RATIO","FY 2022","FY 2022","Currency=USD","Period=FQ","BEST_FPERIOD_OVERRIDE=FQ","FILING_STATUS=MR","Sort=A","Dates=H","DateFormat=P","Fill=—","Direction=H","UseDPDF=Y")</f>
        <v>—</v>
      </c>
      <c r="W47" s="14" t="str">
        <f>_xll.BDH("ALNY US Equity","WOMEN_MANAGEMENT_TO_EMPL_RATIO","FY 2023","FY 2023","Currency=USD","Period=FQ","BEST_FPERIOD_OVERRIDE=FQ","FILING_STATUS=MR","Sort=A","Dates=H","DateFormat=P","Fill=—","Direction=H","UseDPDF=Y")</f>
        <v>—</v>
      </c>
      <c r="X47" s="14" t="str">
        <f>_xll.BDH("ALNY US Equity","WOMEN_MANAGEMENT_TO_EMPL_RATIO","FY 2024","FY 2024","Currency=USD","Period=FQ","BEST_FPERIOD_OVERRIDE=FQ","FILING_STATUS=MR","Sort=A","Dates=H","DateFormat=P","Fill=—","Direction=H","UseDPDF=Y")</f>
        <v>—</v>
      </c>
    </row>
    <row r="48" spans="1:24" x14ac:dyDescent="0.25">
      <c r="A48" s="10" t="s">
        <v>1738</v>
      </c>
      <c r="B48" s="10" t="s">
        <v>1739</v>
      </c>
      <c r="C48" s="14" t="str">
        <f>_xll.BDH("ALNY US Equity","COMMUNITY_SPEND_PCT_EQUITY","FY 2003","FY 2003","Currency=USD","Period=FQ","BEST_FPERIOD_OVERRIDE=FQ","FILING_STATUS=MR","Sort=A","Dates=H","DateFormat=P","Fill=—","Direction=H","UseDPDF=Y")</f>
        <v>—</v>
      </c>
      <c r="D48" s="14" t="str">
        <f>_xll.BDH("ALNY US Equity","COMMUNITY_SPEND_PCT_EQUITY","FY 2004","FY 2004","Currency=USD","Period=FQ","BEST_FPERIOD_OVERRIDE=FQ","FILING_STATUS=MR","Sort=A","Dates=H","DateFormat=P","Fill=—","Direction=H","UseDPDF=Y")</f>
        <v>—</v>
      </c>
      <c r="E48" s="14" t="str">
        <f>_xll.BDH("ALNY US Equity","COMMUNITY_SPEND_PCT_EQUITY","FY 2005","FY 2005","Currency=USD","Period=FQ","BEST_FPERIOD_OVERRIDE=FQ","FILING_STATUS=MR","Sort=A","Dates=H","DateFormat=P","Fill=—","Direction=H","UseDPDF=Y")</f>
        <v>—</v>
      </c>
      <c r="F48" s="14" t="str">
        <f>_xll.BDH("ALNY US Equity","COMMUNITY_SPEND_PCT_EQUITY","FY 2006","FY 2006","Currency=USD","Period=FQ","BEST_FPERIOD_OVERRIDE=FQ","FILING_STATUS=MR","Sort=A","Dates=H","DateFormat=P","Fill=—","Direction=H","UseDPDF=Y")</f>
        <v>—</v>
      </c>
      <c r="G48" s="14" t="str">
        <f>_xll.BDH("ALNY US Equity","COMMUNITY_SPEND_PCT_EQUITY","FY 2007","FY 2007","Currency=USD","Period=FQ","BEST_FPERIOD_OVERRIDE=FQ","FILING_STATUS=MR","Sort=A","Dates=H","DateFormat=P","Fill=—","Direction=H","UseDPDF=Y")</f>
        <v>—</v>
      </c>
      <c r="H48" s="14" t="str">
        <f>_xll.BDH("ALNY US Equity","COMMUNITY_SPEND_PCT_EQUITY","FY 2008","FY 2008","Currency=USD","Period=FQ","BEST_FPERIOD_OVERRIDE=FQ","FILING_STATUS=MR","Sort=A","Dates=H","DateFormat=P","Fill=—","Direction=H","UseDPDF=Y")</f>
        <v>—</v>
      </c>
      <c r="I48" s="14" t="str">
        <f>_xll.BDH("ALNY US Equity","COMMUNITY_SPEND_PCT_EQUITY","FY 2009","FY 2009","Currency=USD","Period=FQ","BEST_FPERIOD_OVERRIDE=FQ","FILING_STATUS=MR","Sort=A","Dates=H","DateFormat=P","Fill=—","Direction=H","UseDPDF=Y")</f>
        <v>—</v>
      </c>
      <c r="J48" s="14" t="str">
        <f>_xll.BDH("ALNY US Equity","COMMUNITY_SPEND_PCT_EQUITY","FY 2010","FY 2010","Currency=USD","Period=FQ","BEST_FPERIOD_OVERRIDE=FQ","FILING_STATUS=MR","Sort=A","Dates=H","DateFormat=P","Fill=—","Direction=H","UseDPDF=Y")</f>
        <v>—</v>
      </c>
      <c r="K48" s="14" t="str">
        <f>_xll.BDH("ALNY US Equity","COMMUNITY_SPEND_PCT_EQUITY","FY 2011","FY 2011","Currency=USD","Period=FQ","BEST_FPERIOD_OVERRIDE=FQ","FILING_STATUS=MR","Sort=A","Dates=H","DateFormat=P","Fill=—","Direction=H","UseDPDF=Y")</f>
        <v>—</v>
      </c>
      <c r="L48" s="14" t="str">
        <f>_xll.BDH("ALNY US Equity","COMMUNITY_SPEND_PCT_EQUITY","FY 2012","FY 2012","Currency=USD","Period=FQ","BEST_FPERIOD_OVERRIDE=FQ","FILING_STATUS=MR","Sort=A","Dates=H","DateFormat=P","Fill=—","Direction=H","UseDPDF=Y")</f>
        <v>—</v>
      </c>
      <c r="M48" s="14" t="str">
        <f>_xll.BDH("ALNY US Equity","COMMUNITY_SPEND_PCT_EQUITY","FY 2013","FY 2013","Currency=USD","Period=FQ","BEST_FPERIOD_OVERRIDE=FQ","FILING_STATUS=MR","Sort=A","Dates=H","DateFormat=P","Fill=—","Direction=H","UseDPDF=Y")</f>
        <v>—</v>
      </c>
      <c r="N48" s="14" t="str">
        <f>_xll.BDH("ALNY US Equity","COMMUNITY_SPEND_PCT_EQUITY","FY 2014","FY 2014","Currency=USD","Period=FQ","BEST_FPERIOD_OVERRIDE=FQ","FILING_STATUS=MR","Sort=A","Dates=H","DateFormat=P","Fill=—","Direction=H","UseDPDF=Y")</f>
        <v>—</v>
      </c>
      <c r="O48" s="14" t="str">
        <f>_xll.BDH("ALNY US Equity","COMMUNITY_SPEND_PCT_EQUITY","FY 2015","FY 2015","Currency=USD","Period=FQ","BEST_FPERIOD_OVERRIDE=FQ","FILING_STATUS=MR","Sort=A","Dates=H","DateFormat=P","Fill=—","Direction=H","UseDPDF=Y")</f>
        <v>—</v>
      </c>
      <c r="P48" s="14" t="str">
        <f>_xll.BDH("ALNY US Equity","COMMUNITY_SPEND_PCT_EQUITY","FY 2016","FY 2016","Currency=USD","Period=FQ","BEST_FPERIOD_OVERRIDE=FQ","FILING_STATUS=MR","Sort=A","Dates=H","DateFormat=P","Fill=—","Direction=H","UseDPDF=Y")</f>
        <v>—</v>
      </c>
      <c r="Q48" s="14" t="str">
        <f>_xll.BDH("ALNY US Equity","COMMUNITY_SPEND_PCT_EQUITY","FY 2017","FY 2017","Currency=USD","Period=FQ","BEST_FPERIOD_OVERRIDE=FQ","FILING_STATUS=MR","Sort=A","Dates=H","DateFormat=P","Fill=—","Direction=H","UseDPDF=Y")</f>
        <v>—</v>
      </c>
      <c r="R48" s="14" t="str">
        <f>_xll.BDH("ALNY US Equity","COMMUNITY_SPEND_PCT_EQUITY","FY 2018","FY 2018","Currency=USD","Period=FQ","BEST_FPERIOD_OVERRIDE=FQ","FILING_STATUS=MR","Sort=A","Dates=H","DateFormat=P","Fill=—","Direction=H","UseDPDF=Y")</f>
        <v>—</v>
      </c>
      <c r="S48" s="14" t="str">
        <f>_xll.BDH("ALNY US Equity","COMMUNITY_SPEND_PCT_EQUITY","FY 2019","FY 2019","Currency=USD","Period=FQ","BEST_FPERIOD_OVERRIDE=FQ","FILING_STATUS=MR","Sort=A","Dates=H","DateFormat=P","Fill=—","Direction=H","UseDPDF=Y")</f>
        <v>—</v>
      </c>
      <c r="T48" s="14" t="str">
        <f>_xll.BDH("ALNY US Equity","COMMUNITY_SPEND_PCT_EQUITY","FY 2020","FY 2020","Currency=USD","Period=FQ","BEST_FPERIOD_OVERRIDE=FQ","FILING_STATUS=MR","Sort=A","Dates=H","DateFormat=P","Fill=—","Direction=H","UseDPDF=Y")</f>
        <v>—</v>
      </c>
      <c r="U48" s="14" t="str">
        <f>_xll.BDH("ALNY US Equity","COMMUNITY_SPEND_PCT_EQUITY","FY 2021","FY 2021","Currency=USD","Period=FQ","BEST_FPERIOD_OVERRIDE=FQ","FILING_STATUS=MR","Sort=A","Dates=H","DateFormat=P","Fill=—","Direction=H","UseDPDF=Y")</f>
        <v>—</v>
      </c>
      <c r="V48" s="14" t="str">
        <f>_xll.BDH("ALNY US Equity","COMMUNITY_SPEND_PCT_EQUITY","FY 2022","FY 2022","Currency=USD","Period=FQ","BEST_FPERIOD_OVERRIDE=FQ","FILING_STATUS=MR","Sort=A","Dates=H","DateFormat=P","Fill=—","Direction=H","UseDPDF=Y")</f>
        <v>—</v>
      </c>
      <c r="W48" s="14" t="str">
        <f>_xll.BDH("ALNY US Equity","COMMUNITY_SPEND_PCT_EQUITY","FY 2023","FY 2023","Currency=USD","Period=FQ","BEST_FPERIOD_OVERRIDE=FQ","FILING_STATUS=MR","Sort=A","Dates=H","DateFormat=P","Fill=—","Direction=H","UseDPDF=Y")</f>
        <v>—</v>
      </c>
      <c r="X48" s="14" t="str">
        <f>_xll.BDH("ALNY US Equity","COMMUNITY_SPEND_PCT_EQUITY","FY 2024","FY 2024","Currency=USD","Period=FQ","BEST_FPERIOD_OVERRIDE=FQ","FILING_STATUS=MR","Sort=A","Dates=H","DateFormat=P","Fill=—","Direction=H","UseDPDF=Y")</f>
        <v>—</v>
      </c>
    </row>
    <row r="49" spans="1:24" x14ac:dyDescent="0.25">
      <c r="A49" s="10" t="s">
        <v>1740</v>
      </c>
      <c r="B49" s="10" t="s">
        <v>1741</v>
      </c>
      <c r="C49" s="14" t="str">
        <f>_xll.BDH("ALNY US Equity","RD_EXPENDITURES_PER_CASH_FLOW","FY 2003","FY 2003","Currency=USD","Period=FQ","BEST_FPERIOD_OVERRIDE=FQ","FILING_STATUS=MR","Sort=A","Dates=H","DateFormat=P","Fill=—","Direction=H","UseDPDF=Y")</f>
        <v>—</v>
      </c>
      <c r="D49" s="14">
        <f>_xll.BDH("ALNY US Equity","RD_EXPENDITURES_PER_CASH_FLOW","FY 2004","FY 2004","Currency=USD","Period=FQ","BEST_FPERIOD_OVERRIDE=FQ","FILING_STATUS=MR","Sort=A","Dates=H","DateFormat=P","Fill=—","Direction=H","UseDPDF=Y")</f>
        <v>-5.0964999999999998</v>
      </c>
      <c r="E49" s="14">
        <f>_xll.BDH("ALNY US Equity","RD_EXPENDITURES_PER_CASH_FLOW","FY 2005","FY 2005","Currency=USD","Period=FQ","BEST_FPERIOD_OVERRIDE=FQ","FILING_STATUS=MR","Sort=A","Dates=H","DateFormat=P","Fill=—","Direction=H","UseDPDF=Y")</f>
        <v>3.5293000000000001</v>
      </c>
      <c r="F49" s="14" t="str">
        <f>_xll.BDH("ALNY US Equity","RD_EXPENDITURES_PER_CASH_FLOW","FY 2006","FY 2006","Currency=USD","Period=FQ","BEST_FPERIOD_OVERRIDE=FQ","FILING_STATUS=MR","Sort=A","Dates=H","DateFormat=P","Fill=—","Direction=H","UseDPDF=Y")</f>
        <v>—</v>
      </c>
      <c r="G49" s="14">
        <f>_xll.BDH("ALNY US Equity","RD_EXPENDITURES_PER_CASH_FLOW","FY 2007","FY 2007","Currency=USD","Period=FQ","BEST_FPERIOD_OVERRIDE=FQ","FILING_STATUS=MR","Sort=A","Dates=H","DateFormat=P","Fill=—","Direction=H","UseDPDF=Y")</f>
        <v>-1.8469</v>
      </c>
      <c r="H49" s="14">
        <f>_xll.BDH("ALNY US Equity","RD_EXPENDITURES_PER_CASH_FLOW","FY 2008","FY 2008","Currency=USD","Period=FQ","BEST_FPERIOD_OVERRIDE=FQ","FILING_STATUS=MR","Sort=A","Dates=H","DateFormat=P","Fill=—","Direction=H","UseDPDF=Y")</f>
        <v>-5.1439000000000004</v>
      </c>
      <c r="I49" s="14">
        <f>_xll.BDH("ALNY US Equity","RD_EXPENDITURES_PER_CASH_FLOW","FY 2009","FY 2009","Currency=USD","Period=FQ","BEST_FPERIOD_OVERRIDE=FQ","FILING_STATUS=MR","Sort=A","Dates=H","DateFormat=P","Fill=—","Direction=H","UseDPDF=Y")</f>
        <v>-1.2789999999999999</v>
      </c>
      <c r="J49" s="14">
        <f>_xll.BDH("ALNY US Equity","RD_EXPENDITURES_PER_CASH_FLOW","FY 2010","FY 2010","Currency=USD","Period=FQ","BEST_FPERIOD_OVERRIDE=FQ","FILING_STATUS=MR","Sort=A","Dates=H","DateFormat=P","Fill=—","Direction=H","UseDPDF=Y")</f>
        <v>-1.2791999999999999</v>
      </c>
      <c r="K49" s="14">
        <f>_xll.BDH("ALNY US Equity","RD_EXPENDITURES_PER_CASH_FLOW","FY 2011","FY 2011","Currency=USD","Period=FQ","BEST_FPERIOD_OVERRIDE=FQ","FILING_STATUS=MR","Sort=A","Dates=H","DateFormat=P","Fill=—","Direction=H","UseDPDF=Y")</f>
        <v>-0.92889999999999995</v>
      </c>
      <c r="L49" s="14">
        <f>_xll.BDH("ALNY US Equity","RD_EXPENDITURES_PER_CASH_FLOW","FY 2012","FY 2012","Currency=USD","Period=FQ","BEST_FPERIOD_OVERRIDE=FQ","FILING_STATUS=MR","Sort=A","Dates=H","DateFormat=P","Fill=—","Direction=H","UseDPDF=Y")</f>
        <v>-0.31459999999999999</v>
      </c>
      <c r="M49" s="14">
        <f>_xll.BDH("ALNY US Equity","RD_EXPENDITURES_PER_CASH_FLOW","FY 2013","FY 2013","Currency=USD","Period=FQ","BEST_FPERIOD_OVERRIDE=FQ","FILING_STATUS=MR","Sort=A","Dates=H","DateFormat=P","Fill=—","Direction=H","UseDPDF=Y")</f>
        <v>-1.4353</v>
      </c>
      <c r="N49" s="14">
        <f>_xll.BDH("ALNY US Equity","RD_EXPENDITURES_PER_CASH_FLOW","FY 2014","FY 2014","Currency=USD","Period=FQ","BEST_FPERIOD_OVERRIDE=FQ","FILING_STATUS=MR","Sort=A","Dates=H","DateFormat=P","Fill=—","Direction=H","UseDPDF=Y")</f>
        <v>-1.5162</v>
      </c>
      <c r="O49" s="14">
        <f>_xll.BDH("ALNY US Equity","RD_EXPENDITURES_PER_CASH_FLOW","FY 2015","FY 2015","Currency=USD","Period=FQ","BEST_FPERIOD_OVERRIDE=FQ","FILING_STATUS=MR","Sort=A","Dates=H","DateFormat=P","Fill=—","Direction=H","UseDPDF=Y")</f>
        <v>-1.5609999999999999</v>
      </c>
      <c r="P49" s="14">
        <f>_xll.BDH("ALNY US Equity","RD_EXPENDITURES_PER_CASH_FLOW","FY 2016","FY 2016","Currency=USD","Period=FQ","BEST_FPERIOD_OVERRIDE=FQ","FILING_STATUS=MR","Sort=A","Dates=H","DateFormat=P","Fill=—","Direction=H","UseDPDF=Y")</f>
        <v>-1.3405</v>
      </c>
      <c r="Q49" s="14">
        <f>_xll.BDH("ALNY US Equity","RD_EXPENDITURES_PER_CASH_FLOW","FY 2017","FY 2017","Currency=USD","Period=FQ","BEST_FPERIOD_OVERRIDE=FQ","FILING_STATUS=MR","Sort=A","Dates=H","DateFormat=P","Fill=—","Direction=H","UseDPDF=Y")</f>
        <v>-1.1429</v>
      </c>
      <c r="R49" s="14">
        <f>_xll.BDH("ALNY US Equity","RD_EXPENDITURES_PER_CASH_FLOW","FY 2018","FY 2018","Currency=USD","Period=FQ","BEST_FPERIOD_OVERRIDE=FQ","FILING_STATUS=MR","Sort=A","Dates=H","DateFormat=P","Fill=—","Direction=H","UseDPDF=Y")</f>
        <v>-0.87090000000000001</v>
      </c>
      <c r="S49" s="14">
        <f>_xll.BDH("ALNY US Equity","RD_EXPENDITURES_PER_CASH_FLOW","FY 2019","FY 2019","Currency=USD","Period=FQ","BEST_FPERIOD_OVERRIDE=FQ","FILING_STATUS=MR","Sort=A","Dates=H","DateFormat=P","Fill=—","Direction=H","UseDPDF=Y")</f>
        <v>-0.76380000000000003</v>
      </c>
      <c r="T49" s="14">
        <f>_xll.BDH("ALNY US Equity","RD_EXPENDITURES_PER_CASH_FLOW","FY 2020","FY 2020","Currency=USD","Period=FQ","BEST_FPERIOD_OVERRIDE=FQ","FILING_STATUS=MR","Sort=A","Dates=H","DateFormat=P","Fill=—","Direction=H","UseDPDF=Y")</f>
        <v>-1.3681000000000001</v>
      </c>
      <c r="U49" s="14">
        <f>_xll.BDH("ALNY US Equity","RD_EXPENDITURES_PER_CASH_FLOW","FY 2021","FY 2021","Currency=USD","Period=FQ","BEST_FPERIOD_OVERRIDE=FQ","FILING_STATUS=MR","Sort=A","Dates=H","DateFormat=P","Fill=—","Direction=H","UseDPDF=Y")</f>
        <v>-1.5256000000000001</v>
      </c>
      <c r="V49" s="14">
        <f>_xll.BDH("ALNY US Equity","RD_EXPENDITURES_PER_CASH_FLOW","FY 2022","FY 2022","Currency=USD","Period=FQ","BEST_FPERIOD_OVERRIDE=FQ","FILING_STATUS=MR","Sort=A","Dates=H","DateFormat=P","Fill=—","Direction=H","UseDPDF=Y")</f>
        <v>-1.7355</v>
      </c>
      <c r="W49" s="14">
        <f>_xll.BDH("ALNY US Equity","RD_EXPENDITURES_PER_CASH_FLOW","FY 2023","FY 2023","Currency=USD","Period=FQ","BEST_FPERIOD_OVERRIDE=FQ","FILING_STATUS=MR","Sort=A","Dates=H","DateFormat=P","Fill=—","Direction=H","UseDPDF=Y")</f>
        <v>-9.1338000000000008</v>
      </c>
      <c r="X49" s="14">
        <f>_xll.BDH("ALNY US Equity","RD_EXPENDITURES_PER_CASH_FLOW","FY 2024","FY 2024","Currency=USD","Period=FQ","BEST_FPERIOD_OVERRIDE=FQ","FILING_STATUS=MR","Sort=A","Dates=H","DateFormat=P","Fill=—","Direction=H","UseDPDF=Y")</f>
        <v>-3.1709999999999998</v>
      </c>
    </row>
    <row r="50" spans="1:24" x14ac:dyDescent="0.25">
      <c r="A50" s="10" t="s">
        <v>1742</v>
      </c>
      <c r="B50" s="10" t="s">
        <v>1743</v>
      </c>
      <c r="C50" s="14" t="str">
        <f>_xll.BDH("ALNY US Equity","ACTUAL_NET_INCOME_PER_EMPLOYEE","FY 2003","FY 2003","Currency=USD","Period=FQ","BEST_FPERIOD_OVERRIDE=FQ","FILING_STATUS=MR","FA_ADJUSTED=GAAP","Sort=A","Dates=H","DateFormat=P","Fill=—","Direction=H","UseDPDF=Y")</f>
        <v>—</v>
      </c>
      <c r="D50" s="14">
        <f>_xll.BDH("ALNY US Equity","ACTUAL_NET_INCOME_PER_EMPLOYEE","FY 2004","FY 2004","Currency=USD","Period=FQ","BEST_FPERIOD_OVERRIDE=FQ","FILING_STATUS=MR","FA_ADJUSTED=GAAP","Sort=A","Dates=H","DateFormat=P","Fill=—","Direction=H","UseDPDF=Y")</f>
        <v>-80281.690100000007</v>
      </c>
      <c r="E50" s="14">
        <f>_xll.BDH("ALNY US Equity","ACTUAL_NET_INCOME_PER_EMPLOYEE","FY 2005","FY 2005","Currency=USD","Period=FQ","BEST_FPERIOD_OVERRIDE=FQ","FILING_STATUS=MR","FA_ADJUSTED=GAAP","Sort=A","Dates=H","DateFormat=P","Fill=—","Direction=H","UseDPDF=Y")</f>
        <v>-154159.57629999999</v>
      </c>
      <c r="F50" s="14" t="str">
        <f>_xll.BDH("ALNY US Equity","ACTUAL_NET_INCOME_PER_EMPLOYEE","FY 2006","FY 2006","Currency=USD","Period=FQ","BEST_FPERIOD_OVERRIDE=FQ","FILING_STATUS=MR","FA_ADJUSTED=GAAP","Sort=A","Dates=H","DateFormat=P","Fill=—","Direction=H","UseDPDF=Y")</f>
        <v>—</v>
      </c>
      <c r="G50" s="14">
        <f>_xll.BDH("ALNY US Equity","ACTUAL_NET_INCOME_PER_EMPLOYEE","FY 2007","FY 2007","Currency=USD","Period=FQ","BEST_FPERIOD_OVERRIDE=FQ","FILING_STATUS=MR","FA_ADJUSTED=GAAP","Sort=A","Dates=H","DateFormat=P","Fill=—","Direction=H","UseDPDF=Y")</f>
        <v>12883.7209</v>
      </c>
      <c r="H50" s="14" t="str">
        <f>_xll.BDH("ALNY US Equity","ACTUAL_NET_INCOME_PER_EMPLOYEE","FY 2008","FY 2008","Currency=USD","Period=FQ","BEST_FPERIOD_OVERRIDE=FQ","FILING_STATUS=MR","FA_ADJUSTED=GAAP","Sort=A","Dates=H","DateFormat=P","Fill=—","Direction=H","UseDPDF=Y")</f>
        <v>—</v>
      </c>
      <c r="I50" s="14">
        <f>_xll.BDH("ALNY US Equity","ACTUAL_NET_INCOME_PER_EMPLOYEE","FY 2009","FY 2009","Currency=USD","Period=FQ","BEST_FPERIOD_OVERRIDE=FQ","FILING_STATUS=MR","FA_ADJUSTED=GAAP","Sort=A","Dates=H","DateFormat=P","Fill=—","Direction=H","UseDPDF=Y")</f>
        <v>-43769.662900000003</v>
      </c>
      <c r="J50" s="14" t="str">
        <f>_xll.BDH("ALNY US Equity","ACTUAL_NET_INCOME_PER_EMPLOYEE","FY 2010","FY 2010","Currency=USD","Period=FQ","BEST_FPERIOD_OVERRIDE=FQ","FILING_STATUS=MR","FA_ADJUSTED=GAAP","Sort=A","Dates=H","DateFormat=P","Fill=—","Direction=H","UseDPDF=Y")</f>
        <v>—</v>
      </c>
      <c r="K50" s="14" t="str">
        <f>_xll.BDH("ALNY US Equity","ACTUAL_NET_INCOME_PER_EMPLOYEE","FY 2011","FY 2011","Currency=USD","Period=FQ","BEST_FPERIOD_OVERRIDE=FQ","FILING_STATUS=MR","FA_ADJUSTED=GAAP","Sort=A","Dates=H","DateFormat=P","Fill=—","Direction=H","UseDPDF=Y")</f>
        <v>—</v>
      </c>
      <c r="L50" s="14">
        <f>_xll.BDH("ALNY US Equity","ACTUAL_NET_INCOME_PER_EMPLOYEE","FY 2012","FY 2012","Currency=USD","Period=FQ","BEST_FPERIOD_OVERRIDE=FQ","FILING_STATUS=MR","FA_ADJUSTED=GAAP","Sort=A","Dates=H","DateFormat=P","Fill=—","Direction=H","UseDPDF=Y")</f>
        <v>-482077.51939999999</v>
      </c>
      <c r="M50" s="14">
        <f>_xll.BDH("ALNY US Equity","ACTUAL_NET_INCOME_PER_EMPLOYEE","FY 2013","FY 2013","Currency=USD","Period=FQ","BEST_FPERIOD_OVERRIDE=FQ","FILING_STATUS=MR","FA_ADJUSTED=GAAP","Sort=A","Dates=H","DateFormat=P","Fill=—","Direction=H","UseDPDF=Y")</f>
        <v>-196103.03030000001</v>
      </c>
      <c r="N50" s="14">
        <f>_xll.BDH("ALNY US Equity","ACTUAL_NET_INCOME_PER_EMPLOYEE","FY 2014","FY 2014","Currency=USD","Period=FQ","BEST_FPERIOD_OVERRIDE=FQ","FILING_STATUS=MR","FA_ADJUSTED=GAAP","Sort=A","Dates=H","DateFormat=P","Fill=—","Direction=H","UseDPDF=Y")</f>
        <v>-83550.781300000002</v>
      </c>
      <c r="O50" s="14">
        <f>_xll.BDH("ALNY US Equity","ACTUAL_NET_INCOME_PER_EMPLOYEE","FY 2015","FY 2015","Currency=USD","Period=FQ","BEST_FPERIOD_OVERRIDE=FQ","FILING_STATUS=MR","FA_ADJUSTED=GAAP","Sort=A","Dates=H","DateFormat=P","Fill=—","Direction=H","UseDPDF=Y")</f>
        <v>-245856.36859999999</v>
      </c>
      <c r="P50" s="14">
        <f>_xll.BDH("ALNY US Equity","ACTUAL_NET_INCOME_PER_EMPLOYEE","FY 2016","FY 2016","Currency=USD","Period=FQ","BEST_FPERIOD_OVERRIDE=FQ","FILING_STATUS=MR","FA_ADJUSTED=GAAP","Sort=A","Dates=H","DateFormat=P","Fill=—","Direction=H","UseDPDF=Y")</f>
        <v>-219715.95329999999</v>
      </c>
      <c r="Q50" s="14">
        <f>_xll.BDH("ALNY US Equity","ACTUAL_NET_INCOME_PER_EMPLOYEE","FY 2017","FY 2017","Currency=USD","Period=FQ","BEST_FPERIOD_OVERRIDE=FQ","FILING_STATUS=MR","FA_ADJUSTED=GAAP","Sort=A","Dates=H","DateFormat=P","Fill=—","Direction=H","UseDPDF=Y")</f>
        <v>-189889.1856</v>
      </c>
      <c r="R50" s="14">
        <f>_xll.BDH("ALNY US Equity","ACTUAL_NET_INCOME_PER_EMPLOYEE","FY 2018","FY 2018","Currency=USD","Period=FQ","BEST_FPERIOD_OVERRIDE=FQ","FILING_STATUS=MR","FA_ADJUSTED=GAAP","Sort=A","Dates=H","DateFormat=P","Fill=—","Direction=H","UseDPDF=Y")</f>
        <v>-198536.1502</v>
      </c>
      <c r="S50" s="14">
        <f>_xll.BDH("ALNY US Equity","ACTUAL_NET_INCOME_PER_EMPLOYEE","FY 2019","FY 2019","Currency=USD","Period=FQ","BEST_FPERIOD_OVERRIDE=FQ","FILING_STATUS=MR","FA_ADJUSTED=GAAP","Sort=A","Dates=H","DateFormat=P","Fill=—","Direction=H","UseDPDF=Y")</f>
        <v>-208756.61379999999</v>
      </c>
      <c r="T50" s="14">
        <f>_xll.BDH("ALNY US Equity","ACTUAL_NET_INCOME_PER_EMPLOYEE","FY 2020","FY 2020","Currency=USD","Period=FQ","BEST_FPERIOD_OVERRIDE=FQ","FILING_STATUS=MR","FA_ADJUSTED=GAAP","Sort=A","Dates=H","DateFormat=P","Fill=—","Direction=H","UseDPDF=Y")</f>
        <v>-167611.8376</v>
      </c>
      <c r="U50" s="14">
        <f>_xll.BDH("ALNY US Equity","ACTUAL_NET_INCOME_PER_EMPLOYEE","FY 2021","FY 2021","Currency=USD","Period=FQ","BEST_FPERIOD_OVERRIDE=FQ","FILING_STATUS=MR","FA_ADJUSTED=GAAP","Sort=A","Dates=H","DateFormat=P","Fill=—","Direction=H","UseDPDF=Y")</f>
        <v>-155231.23120000001</v>
      </c>
      <c r="V50" s="14">
        <f>_xll.BDH("ALNY US Equity","ACTUAL_NET_INCOME_PER_EMPLOYEE","FY 2022","FY 2022","Currency=USD","Period=FQ","BEST_FPERIOD_OVERRIDE=FQ","FILING_STATUS=MR","FA_ADJUSTED=GAAP","Sort=A","Dates=H","DateFormat=P","Fill=—","Direction=H","UseDPDF=Y")</f>
        <v>-103642.85709999999</v>
      </c>
      <c r="W50" s="14">
        <f>_xll.BDH("ALNY US Equity","ACTUAL_NET_INCOME_PER_EMPLOYEE","FY 2023","FY 2023","Currency=USD","Period=FQ","BEST_FPERIOD_OVERRIDE=FQ","FILING_STATUS=MR","FA_ADJUSTED=GAAP","Sort=A","Dates=H","DateFormat=P","Fill=—","Direction=H","UseDPDF=Y")</f>
        <v>-65652.380999999994</v>
      </c>
      <c r="X50" s="14">
        <f>_xll.BDH("ALNY US Equity","ACTUAL_NET_INCOME_PER_EMPLOYEE","FY 2024","FY 2024","Currency=USD","Period=FQ","BEST_FPERIOD_OVERRIDE=FQ","FILING_STATUS=MR","FA_ADJUSTED=GAAP","Sort=A","Dates=H","DateFormat=P","Fill=—","Direction=H","UseDPDF=Y")</f>
        <v>-37561.883399999999</v>
      </c>
    </row>
    <row r="51" spans="1:24" x14ac:dyDescent="0.25">
      <c r="A51" s="10" t="s">
        <v>1744</v>
      </c>
      <c r="B51" s="10" t="s">
        <v>1745</v>
      </c>
      <c r="C51" s="14" t="str">
        <f>_xll.BDH("ALNY US Equity","CASH_FLOW_PER_EMPLOYEE","FY 2003","FY 2003","Currency=USD","Period=FQ","BEST_FPERIOD_OVERRIDE=FQ","FILING_STATUS=MR","Sort=A","Dates=H","DateFormat=P","Fill=—","Direction=H","UseDPDF=Y")</f>
        <v>—</v>
      </c>
      <c r="D51" s="14">
        <f>_xll.BDH("ALNY US Equity","CASH_FLOW_PER_EMPLOYEE","FY 2004","FY 2004","Currency=USD","Period=FQ","BEST_FPERIOD_OVERRIDE=FQ","FILING_STATUS=MR","Sort=A","Dates=H","DateFormat=P","Fill=—","Direction=H","UseDPDF=Y")</f>
        <v>-14309.859200000001</v>
      </c>
      <c r="E51" s="14">
        <f>_xll.BDH("ALNY US Equity","CASH_FLOW_PER_EMPLOYEE","FY 2005","FY 2005","Currency=USD","Period=FQ","BEST_FPERIOD_OVERRIDE=FQ","FILING_STATUS=MR","Sort=A","Dates=H","DateFormat=P","Fill=—","Direction=H","UseDPDF=Y")</f>
        <v>38468.0844</v>
      </c>
      <c r="F51" s="14" t="str">
        <f>_xll.BDH("ALNY US Equity","CASH_FLOW_PER_EMPLOYEE","FY 2006","FY 2006","Currency=USD","Period=FQ","BEST_FPERIOD_OVERRIDE=FQ","FILING_STATUS=MR","Sort=A","Dates=H","DateFormat=P","Fill=—","Direction=H","UseDPDF=Y")</f>
        <v>—</v>
      </c>
      <c r="G51" s="14">
        <f>_xll.BDH("ALNY US Equity","CASH_FLOW_PER_EMPLOYEE","FY 2007","FY 2007","Currency=USD","Period=FQ","BEST_FPERIOD_OVERRIDE=FQ","FILING_STATUS=MR","Sort=A","Dates=H","DateFormat=P","Fill=—","Direction=H","UseDPDF=Y")</f>
        <v>-65410.852700000003</v>
      </c>
      <c r="H51" s="14" t="str">
        <f>_xll.BDH("ALNY US Equity","CASH_FLOW_PER_EMPLOYEE","FY 2008","FY 2008","Currency=USD","Period=FQ","BEST_FPERIOD_OVERRIDE=FQ","FILING_STATUS=MR","Sort=A","Dates=H","DateFormat=P","Fill=—","Direction=H","UseDPDF=Y")</f>
        <v>—</v>
      </c>
      <c r="I51" s="14">
        <f>_xll.BDH("ALNY US Equity","CASH_FLOW_PER_EMPLOYEE","FY 2009","FY 2009","Currency=USD","Period=FQ","BEST_FPERIOD_OVERRIDE=FQ","FILING_STATUS=MR","Sort=A","Dates=H","DateFormat=P","Fill=—","Direction=H","UseDPDF=Y")</f>
        <v>-94769.662899999996</v>
      </c>
      <c r="J51" s="14" t="str">
        <f>_xll.BDH("ALNY US Equity","CASH_FLOW_PER_EMPLOYEE","FY 2010","FY 2010","Currency=USD","Period=FQ","BEST_FPERIOD_OVERRIDE=FQ","FILING_STATUS=MR","Sort=A","Dates=H","DateFormat=P","Fill=—","Direction=H","UseDPDF=Y")</f>
        <v>—</v>
      </c>
      <c r="K51" s="14" t="str">
        <f>_xll.BDH("ALNY US Equity","CASH_FLOW_PER_EMPLOYEE","FY 2011","FY 2011","Currency=USD","Period=FQ","BEST_FPERIOD_OVERRIDE=FQ","FILING_STATUS=MR","Sort=A","Dates=H","DateFormat=P","Fill=—","Direction=H","UseDPDF=Y")</f>
        <v>—</v>
      </c>
      <c r="L51" s="14">
        <f>_xll.BDH("ALNY US Equity","CASH_FLOW_PER_EMPLOYEE","FY 2012","FY 2012","Currency=USD","Period=FQ","BEST_FPERIOD_OVERRIDE=FQ","FILING_STATUS=MR","Sort=A","Dates=H","DateFormat=P","Fill=—","Direction=H","UseDPDF=Y")</f>
        <v>-534201.55039999995</v>
      </c>
      <c r="M51" s="14">
        <f>_xll.BDH("ALNY US Equity","CASH_FLOW_PER_EMPLOYEE","FY 2013","FY 2013","Currency=USD","Period=FQ","BEST_FPERIOD_OVERRIDE=FQ","FILING_STATUS=MR","Sort=A","Dates=H","DateFormat=P","Fill=—","Direction=H","UseDPDF=Y")</f>
        <v>-135569.69699999999</v>
      </c>
      <c r="N51" s="14">
        <f>_xll.BDH("ALNY US Equity","CASH_FLOW_PER_EMPLOYEE","FY 2014","FY 2014","Currency=USD","Period=FQ","BEST_FPERIOD_OVERRIDE=FQ","FILING_STATUS=MR","Sort=A","Dates=H","DateFormat=P","Fill=—","Direction=H","UseDPDF=Y")</f>
        <v>-143105.4688</v>
      </c>
      <c r="O51" s="14">
        <f>_xll.BDH("ALNY US Equity","CASH_FLOW_PER_EMPLOYEE","FY 2015","FY 2015","Currency=USD","Period=FQ","BEST_FPERIOD_OVERRIDE=FQ","FILING_STATUS=MR","Sort=A","Dates=H","DateFormat=P","Fill=—","Direction=H","UseDPDF=Y")</f>
        <v>-143804.878</v>
      </c>
      <c r="P51" s="14">
        <f>_xll.BDH("ALNY US Equity","CASH_FLOW_PER_EMPLOYEE","FY 2016","FY 2016","Currency=USD","Period=FQ","BEST_FPERIOD_OVERRIDE=FQ","FILING_STATUS=MR","Sort=A","Dates=H","DateFormat=P","Fill=—","Direction=H","UseDPDF=Y")</f>
        <v>-152406.61480000001</v>
      </c>
      <c r="Q51" s="14">
        <f>_xll.BDH("ALNY US Equity","CASH_FLOW_PER_EMPLOYEE","FY 2017","FY 2017","Currency=USD","Period=FQ","BEST_FPERIOD_OVERRIDE=FQ","FILING_STATUS=MR","Sort=A","Dates=H","DateFormat=P","Fill=—","Direction=H","UseDPDF=Y")</f>
        <v>-137575.4339</v>
      </c>
      <c r="R51" s="14">
        <f>_xll.BDH("ALNY US Equity","CASH_FLOW_PER_EMPLOYEE","FY 2018","FY 2018","Currency=USD","Period=FQ","BEST_FPERIOD_OVERRIDE=FQ","FILING_STATUS=MR","Sort=A","Dates=H","DateFormat=P","Fill=—","Direction=H","UseDPDF=Y")</f>
        <v>-141274.1784</v>
      </c>
      <c r="S51" s="14">
        <f>_xll.BDH("ALNY US Equity","CASH_FLOW_PER_EMPLOYEE","FY 2019","FY 2019","Currency=USD","Period=FQ","BEST_FPERIOD_OVERRIDE=FQ","FILING_STATUS=MR","Sort=A","Dates=H","DateFormat=P","Fill=—","Direction=H","UseDPDF=Y")</f>
        <v>-148133.03099999999</v>
      </c>
      <c r="T51" s="14">
        <f>_xll.BDH("ALNY US Equity","CASH_FLOW_PER_EMPLOYEE","FY 2020","FY 2020","Currency=USD","Period=FQ","BEST_FPERIOD_OVERRIDE=FQ","FILING_STATUS=MR","Sort=A","Dates=H","DateFormat=P","Fill=—","Direction=H","UseDPDF=Y")</f>
        <v>-84751.548500000004</v>
      </c>
      <c r="U51" s="14">
        <f>_xll.BDH("ALNY US Equity","CASH_FLOW_PER_EMPLOYEE","FY 2021","FY 2021","Currency=USD","Period=FQ","BEST_FPERIOD_OVERRIDE=FQ","FILING_STATUS=MR","Sort=A","Dates=H","DateFormat=P","Fill=—","Direction=H","UseDPDF=Y")</f>
        <v>-90174.774799999999</v>
      </c>
      <c r="V51" s="14">
        <f>_xll.BDH("ALNY US Equity","CASH_FLOW_PER_EMPLOYEE","FY 2022","FY 2022","Currency=USD","Period=FQ","BEST_FPERIOD_OVERRIDE=FQ","FILING_STATUS=MR","Sort=A","Dates=H","DateFormat=P","Fill=—","Direction=H","UseDPDF=Y")</f>
        <v>-65923.0769</v>
      </c>
      <c r="W51" s="14">
        <f>_xll.BDH("ALNY US Equity","CASH_FLOW_PER_EMPLOYEE","FY 2023","FY 2023","Currency=USD","Period=FQ","BEST_FPERIOD_OVERRIDE=FQ","FILING_STATUS=MR","Sort=A","Dates=H","DateFormat=P","Fill=—","Direction=H","UseDPDF=Y")</f>
        <v>-14188.0952</v>
      </c>
      <c r="X51" s="14">
        <f>_xll.BDH("ALNY US Equity","CASH_FLOW_PER_EMPLOYEE","FY 2024","FY 2024","Currency=USD","Period=FQ","BEST_FPERIOD_OVERRIDE=FQ","FILING_STATUS=MR","Sort=A","Dates=H","DateFormat=P","Fill=—","Direction=H","UseDPDF=Y")</f>
        <v>-42449.327400000002</v>
      </c>
    </row>
    <row r="52" spans="1:24" x14ac:dyDescent="0.25">
      <c r="A52" s="1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x14ac:dyDescent="0.25">
      <c r="A53" s="6" t="s">
        <v>1746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5">
      <c r="A54" s="10" t="s">
        <v>1747</v>
      </c>
      <c r="B54" s="10" t="s">
        <v>1748</v>
      </c>
      <c r="C54" s="14" t="str">
        <f>_xll.BDH("ALNY US Equity","PCT_OF_NON_EXEC_DIR_ON_BRD","FY 2003","FY 2003","Currency=USD","Period=FQ","BEST_FPERIOD_OVERRIDE=FQ","FILING_STATUS=MR","Sort=A","Dates=H","DateFormat=P","Fill=—","Direction=H","UseDPDF=Y")</f>
        <v>—</v>
      </c>
      <c r="D54" s="14" t="str">
        <f>_xll.BDH("ALNY US Equity","PCT_OF_NON_EXEC_DIR_ON_BRD","FY 2004","FY 2004","Currency=USD","Period=FQ","BEST_FPERIOD_OVERRIDE=FQ","FILING_STATUS=MR","Sort=A","Dates=H","DateFormat=P","Fill=—","Direction=H","UseDPDF=Y")</f>
        <v>—</v>
      </c>
      <c r="E54" s="14" t="str">
        <f>_xll.BDH("ALNY US Equity","PCT_OF_NON_EXEC_DIR_ON_BRD","FY 2005","FY 2005","Currency=USD","Period=FQ","BEST_FPERIOD_OVERRIDE=FQ","FILING_STATUS=MR","Sort=A","Dates=H","DateFormat=P","Fill=—","Direction=H","UseDPDF=Y")</f>
        <v>—</v>
      </c>
      <c r="F54" s="14" t="str">
        <f>_xll.BDH("ALNY US Equity","PCT_OF_NON_EXEC_DIR_ON_BRD","FY 2006","FY 2006","Currency=USD","Period=FQ","BEST_FPERIOD_OVERRIDE=FQ","FILING_STATUS=MR","Sort=A","Dates=H","DateFormat=P","Fill=—","Direction=H","UseDPDF=Y")</f>
        <v>—</v>
      </c>
      <c r="G54" s="14" t="str">
        <f>_xll.BDH("ALNY US Equity","PCT_OF_NON_EXEC_DIR_ON_BRD","FY 2007","FY 2007","Currency=USD","Period=FQ","BEST_FPERIOD_OVERRIDE=FQ","FILING_STATUS=MR","Sort=A","Dates=H","DateFormat=P","Fill=—","Direction=H","UseDPDF=Y")</f>
        <v>—</v>
      </c>
      <c r="H54" s="14" t="str">
        <f>_xll.BDH("ALNY US Equity","PCT_OF_NON_EXEC_DIR_ON_BRD","FY 2008","FY 2008","Currency=USD","Period=FQ","BEST_FPERIOD_OVERRIDE=FQ","FILING_STATUS=MR","Sort=A","Dates=H","DateFormat=P","Fill=—","Direction=H","UseDPDF=Y")</f>
        <v>—</v>
      </c>
      <c r="I54" s="14" t="str">
        <f>_xll.BDH("ALNY US Equity","PCT_OF_NON_EXEC_DIR_ON_BRD","FY 2009","FY 2009","Currency=USD","Period=FQ","BEST_FPERIOD_OVERRIDE=FQ","FILING_STATUS=MR","Sort=A","Dates=H","DateFormat=P","Fill=—","Direction=H","UseDPDF=Y")</f>
        <v>—</v>
      </c>
      <c r="J54" s="14" t="str">
        <f>_xll.BDH("ALNY US Equity","PCT_OF_NON_EXEC_DIR_ON_BRD","FY 2010","FY 2010","Currency=USD","Period=FQ","BEST_FPERIOD_OVERRIDE=FQ","FILING_STATUS=MR","Sort=A","Dates=H","DateFormat=P","Fill=—","Direction=H","UseDPDF=Y")</f>
        <v>—</v>
      </c>
      <c r="K54" s="14" t="str">
        <f>_xll.BDH("ALNY US Equity","PCT_OF_NON_EXEC_DIR_ON_BRD","FY 2011","FY 2011","Currency=USD","Period=FQ","BEST_FPERIOD_OVERRIDE=FQ","FILING_STATUS=MR","Sort=A","Dates=H","DateFormat=P","Fill=—","Direction=H","UseDPDF=Y")</f>
        <v>—</v>
      </c>
      <c r="L54" s="14" t="str">
        <f>_xll.BDH("ALNY US Equity","PCT_OF_NON_EXEC_DIR_ON_BRD","FY 2012","FY 2012","Currency=USD","Period=FQ","BEST_FPERIOD_OVERRIDE=FQ","FILING_STATUS=MR","Sort=A","Dates=H","DateFormat=P","Fill=—","Direction=H","UseDPDF=Y")</f>
        <v>—</v>
      </c>
      <c r="M54" s="14" t="str">
        <f>_xll.BDH("ALNY US Equity","PCT_OF_NON_EXEC_DIR_ON_BRD","FY 2013","FY 2013","Currency=USD","Period=FQ","BEST_FPERIOD_OVERRIDE=FQ","FILING_STATUS=MR","Sort=A","Dates=H","DateFormat=P","Fill=—","Direction=H","UseDPDF=Y")</f>
        <v>—</v>
      </c>
      <c r="N54" s="14" t="str">
        <f>_xll.BDH("ALNY US Equity","PCT_OF_NON_EXEC_DIR_ON_BRD","FY 2014","FY 2014","Currency=USD","Period=FQ","BEST_FPERIOD_OVERRIDE=FQ","FILING_STATUS=MR","Sort=A","Dates=H","DateFormat=P","Fill=—","Direction=H","UseDPDF=Y")</f>
        <v>—</v>
      </c>
      <c r="O54" s="14" t="str">
        <f>_xll.BDH("ALNY US Equity","PCT_OF_NON_EXEC_DIR_ON_BRD","FY 2015","FY 2015","Currency=USD","Period=FQ","BEST_FPERIOD_OVERRIDE=FQ","FILING_STATUS=MR","Sort=A","Dates=H","DateFormat=P","Fill=—","Direction=H","UseDPDF=Y")</f>
        <v>—</v>
      </c>
      <c r="P54" s="14" t="str">
        <f>_xll.BDH("ALNY US Equity","PCT_OF_NON_EXEC_DIR_ON_BRD","FY 2016","FY 2016","Currency=USD","Period=FQ","BEST_FPERIOD_OVERRIDE=FQ","FILING_STATUS=MR","Sort=A","Dates=H","DateFormat=P","Fill=—","Direction=H","UseDPDF=Y")</f>
        <v>—</v>
      </c>
      <c r="Q54" s="14" t="str">
        <f>_xll.BDH("ALNY US Equity","PCT_OF_NON_EXEC_DIR_ON_BRD","FY 2017","FY 2017","Currency=USD","Period=FQ","BEST_FPERIOD_OVERRIDE=FQ","FILING_STATUS=MR","Sort=A","Dates=H","DateFormat=P","Fill=—","Direction=H","UseDPDF=Y")</f>
        <v>—</v>
      </c>
      <c r="R54" s="14" t="str">
        <f>_xll.BDH("ALNY US Equity","PCT_OF_NON_EXEC_DIR_ON_BRD","FY 2018","FY 2018","Currency=USD","Period=FQ","BEST_FPERIOD_OVERRIDE=FQ","FILING_STATUS=MR","Sort=A","Dates=H","DateFormat=P","Fill=—","Direction=H","UseDPDF=Y")</f>
        <v>—</v>
      </c>
      <c r="S54" s="14" t="str">
        <f>_xll.BDH("ALNY US Equity","PCT_OF_NON_EXEC_DIR_ON_BRD","FY 2019","FY 2019","Currency=USD","Period=FQ","BEST_FPERIOD_OVERRIDE=FQ","FILING_STATUS=MR","Sort=A","Dates=H","DateFormat=P","Fill=—","Direction=H","UseDPDF=Y")</f>
        <v>—</v>
      </c>
      <c r="T54" s="14" t="str">
        <f>_xll.BDH("ALNY US Equity","PCT_OF_NON_EXEC_DIR_ON_BRD","FY 2020","FY 2020","Currency=USD","Period=FQ","BEST_FPERIOD_OVERRIDE=FQ","FILING_STATUS=MR","Sort=A","Dates=H","DateFormat=P","Fill=—","Direction=H","UseDPDF=Y")</f>
        <v>—</v>
      </c>
      <c r="U54" s="14" t="str">
        <f>_xll.BDH("ALNY US Equity","PCT_OF_NON_EXEC_DIR_ON_BRD","FY 2021","FY 2021","Currency=USD","Period=FQ","BEST_FPERIOD_OVERRIDE=FQ","FILING_STATUS=MR","Sort=A","Dates=H","DateFormat=P","Fill=—","Direction=H","UseDPDF=Y")</f>
        <v>—</v>
      </c>
      <c r="V54" s="14" t="str">
        <f>_xll.BDH("ALNY US Equity","PCT_OF_NON_EXEC_DIR_ON_BRD","FY 2022","FY 2022","Currency=USD","Period=FQ","BEST_FPERIOD_OVERRIDE=FQ","FILING_STATUS=MR","Sort=A","Dates=H","DateFormat=P","Fill=—","Direction=H","UseDPDF=Y")</f>
        <v>—</v>
      </c>
      <c r="W54" s="14" t="str">
        <f>_xll.BDH("ALNY US Equity","PCT_OF_NON_EXEC_DIR_ON_BRD","FY 2023","FY 2023","Currency=USD","Period=FQ","BEST_FPERIOD_OVERRIDE=FQ","FILING_STATUS=MR","Sort=A","Dates=H","DateFormat=P","Fill=—","Direction=H","UseDPDF=Y")</f>
        <v>—</v>
      </c>
      <c r="X54" s="14" t="str">
        <f>_xll.BDH("ALNY US Equity","PCT_OF_NON_EXEC_DIR_ON_BRD","FY 2024","FY 2024","Currency=USD","Period=FQ","BEST_FPERIOD_OVERRIDE=FQ","FILING_STATUS=MR","Sort=A","Dates=H","DateFormat=P","Fill=—","Direction=H","UseDPDF=Y")</f>
        <v>—</v>
      </c>
    </row>
    <row r="55" spans="1:24" x14ac:dyDescent="0.25">
      <c r="A55" s="10" t="s">
        <v>1749</v>
      </c>
      <c r="B55" s="10" t="s">
        <v>1750</v>
      </c>
      <c r="C55" s="14" t="str">
        <f>_xll.BDH("ALNY US Equity","PCT_INDEPENDENT_DIRECTORS","FY 2003","FY 2003","Currency=USD","Period=FQ","BEST_FPERIOD_OVERRIDE=FQ","FILING_STATUS=MR","Sort=A","Dates=H","DateFormat=P","Fill=—","Direction=H","UseDPDF=Y")</f>
        <v>—</v>
      </c>
      <c r="D55" s="14" t="str">
        <f>_xll.BDH("ALNY US Equity","PCT_INDEPENDENT_DIRECTORS","FY 2004","FY 2004","Currency=USD","Period=FQ","BEST_FPERIOD_OVERRIDE=FQ","FILING_STATUS=MR","Sort=A","Dates=H","DateFormat=P","Fill=—","Direction=H","UseDPDF=Y")</f>
        <v>—</v>
      </c>
      <c r="E55" s="14" t="str">
        <f>_xll.BDH("ALNY US Equity","PCT_INDEPENDENT_DIRECTORS","FY 2005","FY 2005","Currency=USD","Period=FQ","BEST_FPERIOD_OVERRIDE=FQ","FILING_STATUS=MR","Sort=A","Dates=H","DateFormat=P","Fill=—","Direction=H","UseDPDF=Y")</f>
        <v>—</v>
      </c>
      <c r="F55" s="14" t="str">
        <f>_xll.BDH("ALNY US Equity","PCT_INDEPENDENT_DIRECTORS","FY 2006","FY 2006","Currency=USD","Period=FQ","BEST_FPERIOD_OVERRIDE=FQ","FILING_STATUS=MR","Sort=A","Dates=H","DateFormat=P","Fill=—","Direction=H","UseDPDF=Y")</f>
        <v>—</v>
      </c>
      <c r="G55" s="14" t="str">
        <f>_xll.BDH("ALNY US Equity","PCT_INDEPENDENT_DIRECTORS","FY 2007","FY 2007","Currency=USD","Period=FQ","BEST_FPERIOD_OVERRIDE=FQ","FILING_STATUS=MR","Sort=A","Dates=H","DateFormat=P","Fill=—","Direction=H","UseDPDF=Y")</f>
        <v>—</v>
      </c>
      <c r="H55" s="14" t="str">
        <f>_xll.BDH("ALNY US Equity","PCT_INDEPENDENT_DIRECTORS","FY 2008","FY 2008","Currency=USD","Period=FQ","BEST_FPERIOD_OVERRIDE=FQ","FILING_STATUS=MR","Sort=A","Dates=H","DateFormat=P","Fill=—","Direction=H","UseDPDF=Y")</f>
        <v>—</v>
      </c>
      <c r="I55" s="14" t="str">
        <f>_xll.BDH("ALNY US Equity","PCT_INDEPENDENT_DIRECTORS","FY 2009","FY 2009","Currency=USD","Period=FQ","BEST_FPERIOD_OVERRIDE=FQ","FILING_STATUS=MR","Sort=A","Dates=H","DateFormat=P","Fill=—","Direction=H","UseDPDF=Y")</f>
        <v>—</v>
      </c>
      <c r="J55" s="14" t="str">
        <f>_xll.BDH("ALNY US Equity","PCT_INDEPENDENT_DIRECTORS","FY 2010","FY 2010","Currency=USD","Period=FQ","BEST_FPERIOD_OVERRIDE=FQ","FILING_STATUS=MR","Sort=A","Dates=H","DateFormat=P","Fill=—","Direction=H","UseDPDF=Y")</f>
        <v>—</v>
      </c>
      <c r="K55" s="14" t="str">
        <f>_xll.BDH("ALNY US Equity","PCT_INDEPENDENT_DIRECTORS","FY 2011","FY 2011","Currency=USD","Period=FQ","BEST_FPERIOD_OVERRIDE=FQ","FILING_STATUS=MR","Sort=A","Dates=H","DateFormat=P","Fill=—","Direction=H","UseDPDF=Y")</f>
        <v>—</v>
      </c>
      <c r="L55" s="14" t="str">
        <f>_xll.BDH("ALNY US Equity","PCT_INDEPENDENT_DIRECTORS","FY 2012","FY 2012","Currency=USD","Period=FQ","BEST_FPERIOD_OVERRIDE=FQ","FILING_STATUS=MR","Sort=A","Dates=H","DateFormat=P","Fill=—","Direction=H","UseDPDF=Y")</f>
        <v>—</v>
      </c>
      <c r="M55" s="14" t="str">
        <f>_xll.BDH("ALNY US Equity","PCT_INDEPENDENT_DIRECTORS","FY 2013","FY 2013","Currency=USD","Period=FQ","BEST_FPERIOD_OVERRIDE=FQ","FILING_STATUS=MR","Sort=A","Dates=H","DateFormat=P","Fill=—","Direction=H","UseDPDF=Y")</f>
        <v>—</v>
      </c>
      <c r="N55" s="14" t="str">
        <f>_xll.BDH("ALNY US Equity","PCT_INDEPENDENT_DIRECTORS","FY 2014","FY 2014","Currency=USD","Period=FQ","BEST_FPERIOD_OVERRIDE=FQ","FILING_STATUS=MR","Sort=A","Dates=H","DateFormat=P","Fill=—","Direction=H","UseDPDF=Y")</f>
        <v>—</v>
      </c>
      <c r="O55" s="14" t="str">
        <f>_xll.BDH("ALNY US Equity","PCT_INDEPENDENT_DIRECTORS","FY 2015","FY 2015","Currency=USD","Period=FQ","BEST_FPERIOD_OVERRIDE=FQ","FILING_STATUS=MR","Sort=A","Dates=H","DateFormat=P","Fill=—","Direction=H","UseDPDF=Y")</f>
        <v>—</v>
      </c>
      <c r="P55" s="14" t="str">
        <f>_xll.BDH("ALNY US Equity","PCT_INDEPENDENT_DIRECTORS","FY 2016","FY 2016","Currency=USD","Period=FQ","BEST_FPERIOD_OVERRIDE=FQ","FILING_STATUS=MR","Sort=A","Dates=H","DateFormat=P","Fill=—","Direction=H","UseDPDF=Y")</f>
        <v>—</v>
      </c>
      <c r="Q55" s="14" t="str">
        <f>_xll.BDH("ALNY US Equity","PCT_INDEPENDENT_DIRECTORS","FY 2017","FY 2017","Currency=USD","Period=FQ","BEST_FPERIOD_OVERRIDE=FQ","FILING_STATUS=MR","Sort=A","Dates=H","DateFormat=P","Fill=—","Direction=H","UseDPDF=Y")</f>
        <v>—</v>
      </c>
      <c r="R55" s="14" t="str">
        <f>_xll.BDH("ALNY US Equity","PCT_INDEPENDENT_DIRECTORS","FY 2018","FY 2018","Currency=USD","Period=FQ","BEST_FPERIOD_OVERRIDE=FQ","FILING_STATUS=MR","Sort=A","Dates=H","DateFormat=P","Fill=—","Direction=H","UseDPDF=Y")</f>
        <v>—</v>
      </c>
      <c r="S55" s="14" t="str">
        <f>_xll.BDH("ALNY US Equity","PCT_INDEPENDENT_DIRECTORS","FY 2019","FY 2019","Currency=USD","Period=FQ","BEST_FPERIOD_OVERRIDE=FQ","FILING_STATUS=MR","Sort=A","Dates=H","DateFormat=P","Fill=—","Direction=H","UseDPDF=Y")</f>
        <v>—</v>
      </c>
      <c r="T55" s="14" t="str">
        <f>_xll.BDH("ALNY US Equity","PCT_INDEPENDENT_DIRECTORS","FY 2020","FY 2020","Currency=USD","Period=FQ","BEST_FPERIOD_OVERRIDE=FQ","FILING_STATUS=MR","Sort=A","Dates=H","DateFormat=P","Fill=—","Direction=H","UseDPDF=Y")</f>
        <v>—</v>
      </c>
      <c r="U55" s="14" t="str">
        <f>_xll.BDH("ALNY US Equity","PCT_INDEPENDENT_DIRECTORS","FY 2021","FY 2021","Currency=USD","Period=FQ","BEST_FPERIOD_OVERRIDE=FQ","FILING_STATUS=MR","Sort=A","Dates=H","DateFormat=P","Fill=—","Direction=H","UseDPDF=Y")</f>
        <v>—</v>
      </c>
      <c r="V55" s="14" t="str">
        <f>_xll.BDH("ALNY US Equity","PCT_INDEPENDENT_DIRECTORS","FY 2022","FY 2022","Currency=USD","Period=FQ","BEST_FPERIOD_OVERRIDE=FQ","FILING_STATUS=MR","Sort=A","Dates=H","DateFormat=P","Fill=—","Direction=H","UseDPDF=Y")</f>
        <v>—</v>
      </c>
      <c r="W55" s="14" t="str">
        <f>_xll.BDH("ALNY US Equity","PCT_INDEPENDENT_DIRECTORS","FY 2023","FY 2023","Currency=USD","Period=FQ","BEST_FPERIOD_OVERRIDE=FQ","FILING_STATUS=MR","Sort=A","Dates=H","DateFormat=P","Fill=—","Direction=H","UseDPDF=Y")</f>
        <v>—</v>
      </c>
      <c r="X55" s="14" t="str">
        <f>_xll.BDH("ALNY US Equity","PCT_INDEPENDENT_DIRECTORS","FY 2024","FY 2024","Currency=USD","Period=FQ","BEST_FPERIOD_OVERRIDE=FQ","FILING_STATUS=MR","Sort=A","Dates=H","DateFormat=P","Fill=—","Direction=H","UseDPDF=Y")</f>
        <v>—</v>
      </c>
    </row>
    <row r="56" spans="1:24" x14ac:dyDescent="0.25">
      <c r="A56" s="10" t="s">
        <v>1751</v>
      </c>
      <c r="B56" s="10" t="s">
        <v>1752</v>
      </c>
      <c r="C56" s="14" t="str">
        <f>_xll.BDH("ALNY US Equity","PCT_WOMEN_ON_BOARD","FY 2003","FY 2003","Currency=USD","Period=FQ","BEST_FPERIOD_OVERRIDE=FQ","FILING_STATUS=MR","Sort=A","Dates=H","DateFormat=P","Fill=—","Direction=H","UseDPDF=Y")</f>
        <v>—</v>
      </c>
      <c r="D56" s="14" t="str">
        <f>_xll.BDH("ALNY US Equity","PCT_WOMEN_ON_BOARD","FY 2004","FY 2004","Currency=USD","Period=FQ","BEST_FPERIOD_OVERRIDE=FQ","FILING_STATUS=MR","Sort=A","Dates=H","DateFormat=P","Fill=—","Direction=H","UseDPDF=Y")</f>
        <v>—</v>
      </c>
      <c r="E56" s="14" t="str">
        <f>_xll.BDH("ALNY US Equity","PCT_WOMEN_ON_BOARD","FY 2005","FY 2005","Currency=USD","Period=FQ","BEST_FPERIOD_OVERRIDE=FQ","FILING_STATUS=MR","Sort=A","Dates=H","DateFormat=P","Fill=—","Direction=H","UseDPDF=Y")</f>
        <v>—</v>
      </c>
      <c r="F56" s="14" t="str">
        <f>_xll.BDH("ALNY US Equity","PCT_WOMEN_ON_BOARD","FY 2006","FY 2006","Currency=USD","Period=FQ","BEST_FPERIOD_OVERRIDE=FQ","FILING_STATUS=MR","Sort=A","Dates=H","DateFormat=P","Fill=—","Direction=H","UseDPDF=Y")</f>
        <v>—</v>
      </c>
      <c r="G56" s="14" t="str">
        <f>_xll.BDH("ALNY US Equity","PCT_WOMEN_ON_BOARD","FY 2007","FY 2007","Currency=USD","Period=FQ","BEST_FPERIOD_OVERRIDE=FQ","FILING_STATUS=MR","Sort=A","Dates=H","DateFormat=P","Fill=—","Direction=H","UseDPDF=Y")</f>
        <v>—</v>
      </c>
      <c r="H56" s="14" t="str">
        <f>_xll.BDH("ALNY US Equity","PCT_WOMEN_ON_BOARD","FY 2008","FY 2008","Currency=USD","Period=FQ","BEST_FPERIOD_OVERRIDE=FQ","FILING_STATUS=MR","Sort=A","Dates=H","DateFormat=P","Fill=—","Direction=H","UseDPDF=Y")</f>
        <v>—</v>
      </c>
      <c r="I56" s="14" t="str">
        <f>_xll.BDH("ALNY US Equity","PCT_WOMEN_ON_BOARD","FY 2009","FY 2009","Currency=USD","Period=FQ","BEST_FPERIOD_OVERRIDE=FQ","FILING_STATUS=MR","Sort=A","Dates=H","DateFormat=P","Fill=—","Direction=H","UseDPDF=Y")</f>
        <v>—</v>
      </c>
      <c r="J56" s="14" t="str">
        <f>_xll.BDH("ALNY US Equity","PCT_WOMEN_ON_BOARD","FY 2010","FY 2010","Currency=USD","Period=FQ","BEST_FPERIOD_OVERRIDE=FQ","FILING_STATUS=MR","Sort=A","Dates=H","DateFormat=P","Fill=—","Direction=H","UseDPDF=Y")</f>
        <v>—</v>
      </c>
      <c r="K56" s="14" t="str">
        <f>_xll.BDH("ALNY US Equity","PCT_WOMEN_ON_BOARD","FY 2011","FY 2011","Currency=USD","Period=FQ","BEST_FPERIOD_OVERRIDE=FQ","FILING_STATUS=MR","Sort=A","Dates=H","DateFormat=P","Fill=—","Direction=H","UseDPDF=Y")</f>
        <v>—</v>
      </c>
      <c r="L56" s="14" t="str">
        <f>_xll.BDH("ALNY US Equity","PCT_WOMEN_ON_BOARD","FY 2012","FY 2012","Currency=USD","Period=FQ","BEST_FPERIOD_OVERRIDE=FQ","FILING_STATUS=MR","Sort=A","Dates=H","DateFormat=P","Fill=—","Direction=H","UseDPDF=Y")</f>
        <v>—</v>
      </c>
      <c r="M56" s="14" t="str">
        <f>_xll.BDH("ALNY US Equity","PCT_WOMEN_ON_BOARD","FY 2013","FY 2013","Currency=USD","Period=FQ","BEST_FPERIOD_OVERRIDE=FQ","FILING_STATUS=MR","Sort=A","Dates=H","DateFormat=P","Fill=—","Direction=H","UseDPDF=Y")</f>
        <v>—</v>
      </c>
      <c r="N56" s="14" t="str">
        <f>_xll.BDH("ALNY US Equity","PCT_WOMEN_ON_BOARD","FY 2014","FY 2014","Currency=USD","Period=FQ","BEST_FPERIOD_OVERRIDE=FQ","FILING_STATUS=MR","Sort=A","Dates=H","DateFormat=P","Fill=—","Direction=H","UseDPDF=Y")</f>
        <v>—</v>
      </c>
      <c r="O56" s="14" t="str">
        <f>_xll.BDH("ALNY US Equity","PCT_WOMEN_ON_BOARD","FY 2015","FY 2015","Currency=USD","Period=FQ","BEST_FPERIOD_OVERRIDE=FQ","FILING_STATUS=MR","Sort=A","Dates=H","DateFormat=P","Fill=—","Direction=H","UseDPDF=Y")</f>
        <v>—</v>
      </c>
      <c r="P56" s="14" t="str">
        <f>_xll.BDH("ALNY US Equity","PCT_WOMEN_ON_BOARD","FY 2016","FY 2016","Currency=USD","Period=FQ","BEST_FPERIOD_OVERRIDE=FQ","FILING_STATUS=MR","Sort=A","Dates=H","DateFormat=P","Fill=—","Direction=H","UseDPDF=Y")</f>
        <v>—</v>
      </c>
      <c r="Q56" s="14" t="str">
        <f>_xll.BDH("ALNY US Equity","PCT_WOMEN_ON_BOARD","FY 2017","FY 2017","Currency=USD","Period=FQ","BEST_FPERIOD_OVERRIDE=FQ","FILING_STATUS=MR","Sort=A","Dates=H","DateFormat=P","Fill=—","Direction=H","UseDPDF=Y")</f>
        <v>—</v>
      </c>
      <c r="R56" s="14" t="str">
        <f>_xll.BDH("ALNY US Equity","PCT_WOMEN_ON_BOARD","FY 2018","FY 2018","Currency=USD","Period=FQ","BEST_FPERIOD_OVERRIDE=FQ","FILING_STATUS=MR","Sort=A","Dates=H","DateFormat=P","Fill=—","Direction=H","UseDPDF=Y")</f>
        <v>—</v>
      </c>
      <c r="S56" s="14" t="str">
        <f>_xll.BDH("ALNY US Equity","PCT_WOMEN_ON_BOARD","FY 2019","FY 2019","Currency=USD","Period=FQ","BEST_FPERIOD_OVERRIDE=FQ","FILING_STATUS=MR","Sort=A","Dates=H","DateFormat=P","Fill=—","Direction=H","UseDPDF=Y")</f>
        <v>—</v>
      </c>
      <c r="T56" s="14" t="str">
        <f>_xll.BDH("ALNY US Equity","PCT_WOMEN_ON_BOARD","FY 2020","FY 2020","Currency=USD","Period=FQ","BEST_FPERIOD_OVERRIDE=FQ","FILING_STATUS=MR","Sort=A","Dates=H","DateFormat=P","Fill=—","Direction=H","UseDPDF=Y")</f>
        <v>—</v>
      </c>
      <c r="U56" s="14" t="str">
        <f>_xll.BDH("ALNY US Equity","PCT_WOMEN_ON_BOARD","FY 2021","FY 2021","Currency=USD","Period=FQ","BEST_FPERIOD_OVERRIDE=FQ","FILING_STATUS=MR","Sort=A","Dates=H","DateFormat=P","Fill=—","Direction=H","UseDPDF=Y")</f>
        <v>—</v>
      </c>
      <c r="V56" s="14" t="str">
        <f>_xll.BDH("ALNY US Equity","PCT_WOMEN_ON_BOARD","FY 2022","FY 2022","Currency=USD","Period=FQ","BEST_FPERIOD_OVERRIDE=FQ","FILING_STATUS=MR","Sort=A","Dates=H","DateFormat=P","Fill=—","Direction=H","UseDPDF=Y")</f>
        <v>—</v>
      </c>
      <c r="W56" s="14" t="str">
        <f>_xll.BDH("ALNY US Equity","PCT_WOMEN_ON_BOARD","FY 2023","FY 2023","Currency=USD","Period=FQ","BEST_FPERIOD_OVERRIDE=FQ","FILING_STATUS=MR","Sort=A","Dates=H","DateFormat=P","Fill=—","Direction=H","UseDPDF=Y")</f>
        <v>—</v>
      </c>
      <c r="X56" s="14" t="str">
        <f>_xll.BDH("ALNY US Equity","PCT_WOMEN_ON_BOARD","FY 2024","FY 2024","Currency=USD","Period=FQ","BEST_FPERIOD_OVERRIDE=FQ","FILING_STATUS=MR","Sort=A","Dates=H","DateFormat=P","Fill=—","Direction=H","UseDPDF=Y")</f>
        <v>—</v>
      </c>
    </row>
    <row r="57" spans="1:24" x14ac:dyDescent="0.25">
      <c r="A57" s="10" t="s">
        <v>1753</v>
      </c>
      <c r="B57" s="10" t="s">
        <v>1754</v>
      </c>
      <c r="C57" s="14" t="str">
        <f>_xll.BDH("ALNY US Equity","PERCENTAGE_OF_FEMALE_EXECUTIVES","FY 2003","FY 2003","Currency=USD","Period=FQ","BEST_FPERIOD_OVERRIDE=FQ","FILING_STATUS=MR","Sort=A","Dates=H","DateFormat=P","Fill=—","Direction=H","UseDPDF=Y")</f>
        <v>—</v>
      </c>
      <c r="D57" s="14" t="str">
        <f>_xll.BDH("ALNY US Equity","PERCENTAGE_OF_FEMALE_EXECUTIVES","FY 2004","FY 2004","Currency=USD","Period=FQ","BEST_FPERIOD_OVERRIDE=FQ","FILING_STATUS=MR","Sort=A","Dates=H","DateFormat=P","Fill=—","Direction=H","UseDPDF=Y")</f>
        <v>—</v>
      </c>
      <c r="E57" s="14" t="str">
        <f>_xll.BDH("ALNY US Equity","PERCENTAGE_OF_FEMALE_EXECUTIVES","FY 2005","FY 2005","Currency=USD","Period=FQ","BEST_FPERIOD_OVERRIDE=FQ","FILING_STATUS=MR","Sort=A","Dates=H","DateFormat=P","Fill=—","Direction=H","UseDPDF=Y")</f>
        <v>—</v>
      </c>
      <c r="F57" s="14" t="str">
        <f>_xll.BDH("ALNY US Equity","PERCENTAGE_OF_FEMALE_EXECUTIVES","FY 2006","FY 2006","Currency=USD","Period=FQ","BEST_FPERIOD_OVERRIDE=FQ","FILING_STATUS=MR","Sort=A","Dates=H","DateFormat=P","Fill=—","Direction=H","UseDPDF=Y")</f>
        <v>—</v>
      </c>
      <c r="G57" s="14" t="str">
        <f>_xll.BDH("ALNY US Equity","PERCENTAGE_OF_FEMALE_EXECUTIVES","FY 2007","FY 2007","Currency=USD","Period=FQ","BEST_FPERIOD_OVERRIDE=FQ","FILING_STATUS=MR","Sort=A","Dates=H","DateFormat=P","Fill=—","Direction=H","UseDPDF=Y")</f>
        <v>—</v>
      </c>
      <c r="H57" s="14" t="str">
        <f>_xll.BDH("ALNY US Equity","PERCENTAGE_OF_FEMALE_EXECUTIVES","FY 2008","FY 2008","Currency=USD","Period=FQ","BEST_FPERIOD_OVERRIDE=FQ","FILING_STATUS=MR","Sort=A","Dates=H","DateFormat=P","Fill=—","Direction=H","UseDPDF=Y")</f>
        <v>—</v>
      </c>
      <c r="I57" s="14" t="str">
        <f>_xll.BDH("ALNY US Equity","PERCENTAGE_OF_FEMALE_EXECUTIVES","FY 2009","FY 2009","Currency=USD","Period=FQ","BEST_FPERIOD_OVERRIDE=FQ","FILING_STATUS=MR","Sort=A","Dates=H","DateFormat=P","Fill=—","Direction=H","UseDPDF=Y")</f>
        <v>—</v>
      </c>
      <c r="J57" s="14" t="str">
        <f>_xll.BDH("ALNY US Equity","PERCENTAGE_OF_FEMALE_EXECUTIVES","FY 2010","FY 2010","Currency=USD","Period=FQ","BEST_FPERIOD_OVERRIDE=FQ","FILING_STATUS=MR","Sort=A","Dates=H","DateFormat=P","Fill=—","Direction=H","UseDPDF=Y")</f>
        <v>—</v>
      </c>
      <c r="K57" s="14" t="str">
        <f>_xll.BDH("ALNY US Equity","PERCENTAGE_OF_FEMALE_EXECUTIVES","FY 2011","FY 2011","Currency=USD","Period=FQ","BEST_FPERIOD_OVERRIDE=FQ","FILING_STATUS=MR","Sort=A","Dates=H","DateFormat=P","Fill=—","Direction=H","UseDPDF=Y")</f>
        <v>—</v>
      </c>
      <c r="L57" s="14" t="str">
        <f>_xll.BDH("ALNY US Equity","PERCENTAGE_OF_FEMALE_EXECUTIVES","FY 2012","FY 2012","Currency=USD","Period=FQ","BEST_FPERIOD_OVERRIDE=FQ","FILING_STATUS=MR","Sort=A","Dates=H","DateFormat=P","Fill=—","Direction=H","UseDPDF=Y")</f>
        <v>—</v>
      </c>
      <c r="M57" s="14" t="str">
        <f>_xll.BDH("ALNY US Equity","PERCENTAGE_OF_FEMALE_EXECUTIVES","FY 2013","FY 2013","Currency=USD","Period=FQ","BEST_FPERIOD_OVERRIDE=FQ","FILING_STATUS=MR","Sort=A","Dates=H","DateFormat=P","Fill=—","Direction=H","UseDPDF=Y")</f>
        <v>—</v>
      </c>
      <c r="N57" s="14" t="str">
        <f>_xll.BDH("ALNY US Equity","PERCENTAGE_OF_FEMALE_EXECUTIVES","FY 2014","FY 2014","Currency=USD","Period=FQ","BEST_FPERIOD_OVERRIDE=FQ","FILING_STATUS=MR","Sort=A","Dates=H","DateFormat=P","Fill=—","Direction=H","UseDPDF=Y")</f>
        <v>—</v>
      </c>
      <c r="O57" s="14" t="str">
        <f>_xll.BDH("ALNY US Equity","PERCENTAGE_OF_FEMALE_EXECUTIVES","FY 2015","FY 2015","Currency=USD","Period=FQ","BEST_FPERIOD_OVERRIDE=FQ","FILING_STATUS=MR","Sort=A","Dates=H","DateFormat=P","Fill=—","Direction=H","UseDPDF=Y")</f>
        <v>—</v>
      </c>
      <c r="P57" s="14" t="str">
        <f>_xll.BDH("ALNY US Equity","PERCENTAGE_OF_FEMALE_EXECUTIVES","FY 2016","FY 2016","Currency=USD","Period=FQ","BEST_FPERIOD_OVERRIDE=FQ","FILING_STATUS=MR","Sort=A","Dates=H","DateFormat=P","Fill=—","Direction=H","UseDPDF=Y")</f>
        <v>—</v>
      </c>
      <c r="Q57" s="14" t="str">
        <f>_xll.BDH("ALNY US Equity","PERCENTAGE_OF_FEMALE_EXECUTIVES","FY 2017","FY 2017","Currency=USD","Period=FQ","BEST_FPERIOD_OVERRIDE=FQ","FILING_STATUS=MR","Sort=A","Dates=H","DateFormat=P","Fill=—","Direction=H","UseDPDF=Y")</f>
        <v>—</v>
      </c>
      <c r="R57" s="14" t="str">
        <f>_xll.BDH("ALNY US Equity","PERCENTAGE_OF_FEMALE_EXECUTIVES","FY 2018","FY 2018","Currency=USD","Period=FQ","BEST_FPERIOD_OVERRIDE=FQ","FILING_STATUS=MR","Sort=A","Dates=H","DateFormat=P","Fill=—","Direction=H","UseDPDF=Y")</f>
        <v>—</v>
      </c>
      <c r="S57" s="14" t="str">
        <f>_xll.BDH("ALNY US Equity","PERCENTAGE_OF_FEMALE_EXECUTIVES","FY 2019","FY 2019","Currency=USD","Period=FQ","BEST_FPERIOD_OVERRIDE=FQ","FILING_STATUS=MR","Sort=A","Dates=H","DateFormat=P","Fill=—","Direction=H","UseDPDF=Y")</f>
        <v>—</v>
      </c>
      <c r="T57" s="14" t="str">
        <f>_xll.BDH("ALNY US Equity","PERCENTAGE_OF_FEMALE_EXECUTIVES","FY 2020","FY 2020","Currency=USD","Period=FQ","BEST_FPERIOD_OVERRIDE=FQ","FILING_STATUS=MR","Sort=A","Dates=H","DateFormat=P","Fill=—","Direction=H","UseDPDF=Y")</f>
        <v>—</v>
      </c>
      <c r="U57" s="14" t="str">
        <f>_xll.BDH("ALNY US Equity","PERCENTAGE_OF_FEMALE_EXECUTIVES","FY 2021","FY 2021","Currency=USD","Period=FQ","BEST_FPERIOD_OVERRIDE=FQ","FILING_STATUS=MR","Sort=A","Dates=H","DateFormat=P","Fill=—","Direction=H","UseDPDF=Y")</f>
        <v>—</v>
      </c>
      <c r="V57" s="14" t="str">
        <f>_xll.BDH("ALNY US Equity","PERCENTAGE_OF_FEMALE_EXECUTIVES","FY 2022","FY 2022","Currency=USD","Period=FQ","BEST_FPERIOD_OVERRIDE=FQ","FILING_STATUS=MR","Sort=A","Dates=H","DateFormat=P","Fill=—","Direction=H","UseDPDF=Y")</f>
        <v>—</v>
      </c>
      <c r="W57" s="14" t="str">
        <f>_xll.BDH("ALNY US Equity","PERCENTAGE_OF_FEMALE_EXECUTIVES","FY 2023","FY 2023","Currency=USD","Period=FQ","BEST_FPERIOD_OVERRIDE=FQ","FILING_STATUS=MR","Sort=A","Dates=H","DateFormat=P","Fill=—","Direction=H","UseDPDF=Y")</f>
        <v>—</v>
      </c>
      <c r="X57" s="14" t="str">
        <f>_xll.BDH("ALNY US Equity","PERCENTAGE_OF_FEMALE_EXECUTIVES","FY 2024","FY 2024","Currency=USD","Period=FQ","BEST_FPERIOD_OVERRIDE=FQ","FILING_STATUS=MR","Sort=A","Dates=H","DateFormat=P","Fill=—","Direction=H","UseDPDF=Y")</f>
        <v>—</v>
      </c>
    </row>
    <row r="58" spans="1:24" x14ac:dyDescent="0.25">
      <c r="A58" s="10" t="s">
        <v>1755</v>
      </c>
      <c r="B58" s="10" t="s">
        <v>1756</v>
      </c>
      <c r="C58" s="14" t="str">
        <f>_xll.BDH("ALNY US Equity","BOARD_OF_DIRECTORS_AGE_RANGE","FY 2003","FY 2003","Currency=USD","Period=FQ","BEST_FPERIOD_OVERRIDE=FQ","FILING_STATUS=MR","Sort=A","Dates=H","DateFormat=P","Fill=—","Direction=H","UseDPDF=Y")</f>
        <v>—</v>
      </c>
      <c r="D58" s="14" t="str">
        <f>_xll.BDH("ALNY US Equity","BOARD_OF_DIRECTORS_AGE_RANGE","FY 2004","FY 2004","Currency=USD","Period=FQ","BEST_FPERIOD_OVERRIDE=FQ","FILING_STATUS=MR","Sort=A","Dates=H","DateFormat=P","Fill=—","Direction=H","UseDPDF=Y")</f>
        <v>—</v>
      </c>
      <c r="E58" s="14" t="str">
        <f>_xll.BDH("ALNY US Equity","BOARD_OF_DIRECTORS_AGE_RANGE","FY 2005","FY 2005","Currency=USD","Period=FQ","BEST_FPERIOD_OVERRIDE=FQ","FILING_STATUS=MR","Sort=A","Dates=H","DateFormat=P","Fill=—","Direction=H","UseDPDF=Y")</f>
        <v>—</v>
      </c>
      <c r="F58" s="14" t="str">
        <f>_xll.BDH("ALNY US Equity","BOARD_OF_DIRECTORS_AGE_RANGE","FY 2006","FY 2006","Currency=USD","Period=FQ","BEST_FPERIOD_OVERRIDE=FQ","FILING_STATUS=MR","Sort=A","Dates=H","DateFormat=P","Fill=—","Direction=H","UseDPDF=Y")</f>
        <v>—</v>
      </c>
      <c r="G58" s="14" t="str">
        <f>_xll.BDH("ALNY US Equity","BOARD_OF_DIRECTORS_AGE_RANGE","FY 2007","FY 2007","Currency=USD","Period=FQ","BEST_FPERIOD_OVERRIDE=FQ","FILING_STATUS=MR","Sort=A","Dates=H","DateFormat=P","Fill=—","Direction=H","UseDPDF=Y")</f>
        <v>—</v>
      </c>
      <c r="H58" s="14" t="str">
        <f>_xll.BDH("ALNY US Equity","BOARD_OF_DIRECTORS_AGE_RANGE","FY 2008","FY 2008","Currency=USD","Period=FQ","BEST_FPERIOD_OVERRIDE=FQ","FILING_STATUS=MR","Sort=A","Dates=H","DateFormat=P","Fill=—","Direction=H","UseDPDF=Y")</f>
        <v>—</v>
      </c>
      <c r="I58" s="14" t="str">
        <f>_xll.BDH("ALNY US Equity","BOARD_OF_DIRECTORS_AGE_RANGE","FY 2009","FY 2009","Currency=USD","Period=FQ","BEST_FPERIOD_OVERRIDE=FQ","FILING_STATUS=MR","Sort=A","Dates=H","DateFormat=P","Fill=—","Direction=H","UseDPDF=Y")</f>
        <v>—</v>
      </c>
      <c r="J58" s="14" t="str">
        <f>_xll.BDH("ALNY US Equity","BOARD_OF_DIRECTORS_AGE_RANGE","FY 2010","FY 2010","Currency=USD","Period=FQ","BEST_FPERIOD_OVERRIDE=FQ","FILING_STATUS=MR","Sort=A","Dates=H","DateFormat=P","Fill=—","Direction=H","UseDPDF=Y")</f>
        <v>—</v>
      </c>
      <c r="K58" s="14" t="str">
        <f>_xll.BDH("ALNY US Equity","BOARD_OF_DIRECTORS_AGE_RANGE","FY 2011","FY 2011","Currency=USD","Period=FQ","BEST_FPERIOD_OVERRIDE=FQ","FILING_STATUS=MR","Sort=A","Dates=H","DateFormat=P","Fill=—","Direction=H","UseDPDF=Y")</f>
        <v>—</v>
      </c>
      <c r="L58" s="14" t="str">
        <f>_xll.BDH("ALNY US Equity","BOARD_OF_DIRECTORS_AGE_RANGE","FY 2012","FY 2012","Currency=USD","Period=FQ","BEST_FPERIOD_OVERRIDE=FQ","FILING_STATUS=MR","Sort=A","Dates=H","DateFormat=P","Fill=—","Direction=H","UseDPDF=Y")</f>
        <v>—</v>
      </c>
      <c r="M58" s="14" t="str">
        <f>_xll.BDH("ALNY US Equity","BOARD_OF_DIRECTORS_AGE_RANGE","FY 2013","FY 2013","Currency=USD","Period=FQ","BEST_FPERIOD_OVERRIDE=FQ","FILING_STATUS=MR","Sort=A","Dates=H","DateFormat=P","Fill=—","Direction=H","UseDPDF=Y")</f>
        <v>—</v>
      </c>
      <c r="N58" s="14" t="str">
        <f>_xll.BDH("ALNY US Equity","BOARD_OF_DIRECTORS_AGE_RANGE","FY 2014","FY 2014","Currency=USD","Period=FQ","BEST_FPERIOD_OVERRIDE=FQ","FILING_STATUS=MR","Sort=A","Dates=H","DateFormat=P","Fill=—","Direction=H","UseDPDF=Y")</f>
        <v>—</v>
      </c>
      <c r="O58" s="14" t="str">
        <f>_xll.BDH("ALNY US Equity","BOARD_OF_DIRECTORS_AGE_RANGE","FY 2015","FY 2015","Currency=USD","Period=FQ","BEST_FPERIOD_OVERRIDE=FQ","FILING_STATUS=MR","Sort=A","Dates=H","DateFormat=P","Fill=—","Direction=H","UseDPDF=Y")</f>
        <v>—</v>
      </c>
      <c r="P58" s="14" t="str">
        <f>_xll.BDH("ALNY US Equity","BOARD_OF_DIRECTORS_AGE_RANGE","FY 2016","FY 2016","Currency=USD","Period=FQ","BEST_FPERIOD_OVERRIDE=FQ","FILING_STATUS=MR","Sort=A","Dates=H","DateFormat=P","Fill=—","Direction=H","UseDPDF=Y")</f>
        <v>—</v>
      </c>
      <c r="Q58" s="14" t="str">
        <f>_xll.BDH("ALNY US Equity","BOARD_OF_DIRECTORS_AGE_RANGE","FY 2017","FY 2017","Currency=USD","Period=FQ","BEST_FPERIOD_OVERRIDE=FQ","FILING_STATUS=MR","Sort=A","Dates=H","DateFormat=P","Fill=—","Direction=H","UseDPDF=Y")</f>
        <v>—</v>
      </c>
      <c r="R58" s="14" t="str">
        <f>_xll.BDH("ALNY US Equity","BOARD_OF_DIRECTORS_AGE_RANGE","FY 2018","FY 2018","Currency=USD","Period=FQ","BEST_FPERIOD_OVERRIDE=FQ","FILING_STATUS=MR","Sort=A","Dates=H","DateFormat=P","Fill=—","Direction=H","UseDPDF=Y")</f>
        <v>—</v>
      </c>
      <c r="S58" s="14" t="str">
        <f>_xll.BDH("ALNY US Equity","BOARD_OF_DIRECTORS_AGE_RANGE","FY 2019","FY 2019","Currency=USD","Period=FQ","BEST_FPERIOD_OVERRIDE=FQ","FILING_STATUS=MR","Sort=A","Dates=H","DateFormat=P","Fill=—","Direction=H","UseDPDF=Y")</f>
        <v>—</v>
      </c>
      <c r="T58" s="14" t="str">
        <f>_xll.BDH("ALNY US Equity","BOARD_OF_DIRECTORS_AGE_RANGE","FY 2020","FY 2020","Currency=USD","Period=FQ","BEST_FPERIOD_OVERRIDE=FQ","FILING_STATUS=MR","Sort=A","Dates=H","DateFormat=P","Fill=—","Direction=H","UseDPDF=Y")</f>
        <v>—</v>
      </c>
      <c r="U58" s="14" t="str">
        <f>_xll.BDH("ALNY US Equity","BOARD_OF_DIRECTORS_AGE_RANGE","FY 2021","FY 2021","Currency=USD","Period=FQ","BEST_FPERIOD_OVERRIDE=FQ","FILING_STATUS=MR","Sort=A","Dates=H","DateFormat=P","Fill=—","Direction=H","UseDPDF=Y")</f>
        <v>—</v>
      </c>
      <c r="V58" s="14" t="str">
        <f>_xll.BDH("ALNY US Equity","BOARD_OF_DIRECTORS_AGE_RANGE","FY 2022","FY 2022","Currency=USD","Period=FQ","BEST_FPERIOD_OVERRIDE=FQ","FILING_STATUS=MR","Sort=A","Dates=H","DateFormat=P","Fill=—","Direction=H","UseDPDF=Y")</f>
        <v>—</v>
      </c>
      <c r="W58" s="14" t="str">
        <f>_xll.BDH("ALNY US Equity","BOARD_OF_DIRECTORS_AGE_RANGE","FY 2023","FY 2023","Currency=USD","Period=FQ","BEST_FPERIOD_OVERRIDE=FQ","FILING_STATUS=MR","Sort=A","Dates=H","DateFormat=P","Fill=—","Direction=H","UseDPDF=Y")</f>
        <v>—</v>
      </c>
      <c r="X58" s="14" t="str">
        <f>_xll.BDH("ALNY US Equity","BOARD_OF_DIRECTORS_AGE_RANGE","FY 2024","FY 2024","Currency=USD","Period=FQ","BEST_FPERIOD_OVERRIDE=FQ","FILING_STATUS=MR","Sort=A","Dates=H","DateFormat=P","Fill=—","Direction=H","UseDPDF=Y")</f>
        <v>—</v>
      </c>
    </row>
    <row r="59" spans="1:24" x14ac:dyDescent="0.25">
      <c r="A59" s="10" t="s">
        <v>1757</v>
      </c>
      <c r="B59" s="10" t="s">
        <v>1758</v>
      </c>
      <c r="C59" s="14" t="str">
        <f>_xll.BDH("ALNY US Equity","BOARD_AVERAGE_AGE","FY 2003","FY 2003","Currency=USD","Period=FQ","BEST_FPERIOD_OVERRIDE=FQ","FILING_STATUS=MR","Sort=A","Dates=H","DateFormat=P","Fill=—","Direction=H","UseDPDF=Y")</f>
        <v>—</v>
      </c>
      <c r="D59" s="14" t="str">
        <f>_xll.BDH("ALNY US Equity","BOARD_AVERAGE_AGE","FY 2004","FY 2004","Currency=USD","Period=FQ","BEST_FPERIOD_OVERRIDE=FQ","FILING_STATUS=MR","Sort=A","Dates=H","DateFormat=P","Fill=—","Direction=H","UseDPDF=Y")</f>
        <v>—</v>
      </c>
      <c r="E59" s="14" t="str">
        <f>_xll.BDH("ALNY US Equity","BOARD_AVERAGE_AGE","FY 2005","FY 2005","Currency=USD","Period=FQ","BEST_FPERIOD_OVERRIDE=FQ","FILING_STATUS=MR","Sort=A","Dates=H","DateFormat=P","Fill=—","Direction=H","UseDPDF=Y")</f>
        <v>—</v>
      </c>
      <c r="F59" s="14" t="str">
        <f>_xll.BDH("ALNY US Equity","BOARD_AVERAGE_AGE","FY 2006","FY 2006","Currency=USD","Period=FQ","BEST_FPERIOD_OVERRIDE=FQ","FILING_STATUS=MR","Sort=A","Dates=H","DateFormat=P","Fill=—","Direction=H","UseDPDF=Y")</f>
        <v>—</v>
      </c>
      <c r="G59" s="14" t="str">
        <f>_xll.BDH("ALNY US Equity","BOARD_AVERAGE_AGE","FY 2007","FY 2007","Currency=USD","Period=FQ","BEST_FPERIOD_OVERRIDE=FQ","FILING_STATUS=MR","Sort=A","Dates=H","DateFormat=P","Fill=—","Direction=H","UseDPDF=Y")</f>
        <v>—</v>
      </c>
      <c r="H59" s="14" t="str">
        <f>_xll.BDH("ALNY US Equity","BOARD_AVERAGE_AGE","FY 2008","FY 2008","Currency=USD","Period=FQ","BEST_FPERIOD_OVERRIDE=FQ","FILING_STATUS=MR","Sort=A","Dates=H","DateFormat=P","Fill=—","Direction=H","UseDPDF=Y")</f>
        <v>—</v>
      </c>
      <c r="I59" s="14" t="str">
        <f>_xll.BDH("ALNY US Equity","BOARD_AVERAGE_AGE","FY 2009","FY 2009","Currency=USD","Period=FQ","BEST_FPERIOD_OVERRIDE=FQ","FILING_STATUS=MR","Sort=A","Dates=H","DateFormat=P","Fill=—","Direction=H","UseDPDF=Y")</f>
        <v>—</v>
      </c>
      <c r="J59" s="14" t="str">
        <f>_xll.BDH("ALNY US Equity","BOARD_AVERAGE_AGE","FY 2010","FY 2010","Currency=USD","Period=FQ","BEST_FPERIOD_OVERRIDE=FQ","FILING_STATUS=MR","Sort=A","Dates=H","DateFormat=P","Fill=—","Direction=H","UseDPDF=Y")</f>
        <v>—</v>
      </c>
      <c r="K59" s="14" t="str">
        <f>_xll.BDH("ALNY US Equity","BOARD_AVERAGE_AGE","FY 2011","FY 2011","Currency=USD","Period=FQ","BEST_FPERIOD_OVERRIDE=FQ","FILING_STATUS=MR","Sort=A","Dates=H","DateFormat=P","Fill=—","Direction=H","UseDPDF=Y")</f>
        <v>—</v>
      </c>
      <c r="L59" s="14" t="str">
        <f>_xll.BDH("ALNY US Equity","BOARD_AVERAGE_AGE","FY 2012","FY 2012","Currency=USD","Period=FQ","BEST_FPERIOD_OVERRIDE=FQ","FILING_STATUS=MR","Sort=A","Dates=H","DateFormat=P","Fill=—","Direction=H","UseDPDF=Y")</f>
        <v>—</v>
      </c>
      <c r="M59" s="14" t="str">
        <f>_xll.BDH("ALNY US Equity","BOARD_AVERAGE_AGE","FY 2013","FY 2013","Currency=USD","Period=FQ","BEST_FPERIOD_OVERRIDE=FQ","FILING_STATUS=MR","Sort=A","Dates=H","DateFormat=P","Fill=—","Direction=H","UseDPDF=Y")</f>
        <v>—</v>
      </c>
      <c r="N59" s="14" t="str">
        <f>_xll.BDH("ALNY US Equity","BOARD_AVERAGE_AGE","FY 2014","FY 2014","Currency=USD","Period=FQ","BEST_FPERIOD_OVERRIDE=FQ","FILING_STATUS=MR","Sort=A","Dates=H","DateFormat=P","Fill=—","Direction=H","UseDPDF=Y")</f>
        <v>—</v>
      </c>
      <c r="O59" s="14" t="str">
        <f>_xll.BDH("ALNY US Equity","BOARD_AVERAGE_AGE","FY 2015","FY 2015","Currency=USD","Period=FQ","BEST_FPERIOD_OVERRIDE=FQ","FILING_STATUS=MR","Sort=A","Dates=H","DateFormat=P","Fill=—","Direction=H","UseDPDF=Y")</f>
        <v>—</v>
      </c>
      <c r="P59" s="14" t="str">
        <f>_xll.BDH("ALNY US Equity","BOARD_AVERAGE_AGE","FY 2016","FY 2016","Currency=USD","Period=FQ","BEST_FPERIOD_OVERRIDE=FQ","FILING_STATUS=MR","Sort=A","Dates=H","DateFormat=P","Fill=—","Direction=H","UseDPDF=Y")</f>
        <v>—</v>
      </c>
      <c r="Q59" s="14" t="str">
        <f>_xll.BDH("ALNY US Equity","BOARD_AVERAGE_AGE","FY 2017","FY 2017","Currency=USD","Period=FQ","BEST_FPERIOD_OVERRIDE=FQ","FILING_STATUS=MR","Sort=A","Dates=H","DateFormat=P","Fill=—","Direction=H","UseDPDF=Y")</f>
        <v>—</v>
      </c>
      <c r="R59" s="14" t="str">
        <f>_xll.BDH("ALNY US Equity","BOARD_AVERAGE_AGE","FY 2018","FY 2018","Currency=USD","Period=FQ","BEST_FPERIOD_OVERRIDE=FQ","FILING_STATUS=MR","Sort=A","Dates=H","DateFormat=P","Fill=—","Direction=H","UseDPDF=Y")</f>
        <v>—</v>
      </c>
      <c r="S59" s="14" t="str">
        <f>_xll.BDH("ALNY US Equity","BOARD_AVERAGE_AGE","FY 2019","FY 2019","Currency=USD","Period=FQ","BEST_FPERIOD_OVERRIDE=FQ","FILING_STATUS=MR","Sort=A","Dates=H","DateFormat=P","Fill=—","Direction=H","UseDPDF=Y")</f>
        <v>—</v>
      </c>
      <c r="T59" s="14" t="str">
        <f>_xll.BDH("ALNY US Equity","BOARD_AVERAGE_AGE","FY 2020","FY 2020","Currency=USD","Period=FQ","BEST_FPERIOD_OVERRIDE=FQ","FILING_STATUS=MR","Sort=A","Dates=H","DateFormat=P","Fill=—","Direction=H","UseDPDF=Y")</f>
        <v>—</v>
      </c>
      <c r="U59" s="14" t="str">
        <f>_xll.BDH("ALNY US Equity","BOARD_AVERAGE_AGE","FY 2021","FY 2021","Currency=USD","Period=FQ","BEST_FPERIOD_OVERRIDE=FQ","FILING_STATUS=MR","Sort=A","Dates=H","DateFormat=P","Fill=—","Direction=H","UseDPDF=Y")</f>
        <v>—</v>
      </c>
      <c r="V59" s="14" t="str">
        <f>_xll.BDH("ALNY US Equity","BOARD_AVERAGE_AGE","FY 2022","FY 2022","Currency=USD","Period=FQ","BEST_FPERIOD_OVERRIDE=FQ","FILING_STATUS=MR","Sort=A","Dates=H","DateFormat=P","Fill=—","Direction=H","UseDPDF=Y")</f>
        <v>—</v>
      </c>
      <c r="W59" s="14" t="str">
        <f>_xll.BDH("ALNY US Equity","BOARD_AVERAGE_AGE","FY 2023","FY 2023","Currency=USD","Period=FQ","BEST_FPERIOD_OVERRIDE=FQ","FILING_STATUS=MR","Sort=A","Dates=H","DateFormat=P","Fill=—","Direction=H","UseDPDF=Y")</f>
        <v>—</v>
      </c>
      <c r="X59" s="14" t="str">
        <f>_xll.BDH("ALNY US Equity","BOARD_AVERAGE_AGE","FY 2024","FY 2024","Currency=USD","Period=FQ","BEST_FPERIOD_OVERRIDE=FQ","FILING_STATUS=MR","Sort=A","Dates=H","DateFormat=P","Fill=—","Direction=H","UseDPDF=Y")</f>
        <v>—</v>
      </c>
    </row>
    <row r="60" spans="1:24" x14ac:dyDescent="0.25">
      <c r="A60" s="10" t="s">
        <v>1759</v>
      </c>
      <c r="B60" s="10" t="s">
        <v>1760</v>
      </c>
      <c r="C60" s="14" t="str">
        <f>_xll.BDH("ALNY US Equity","BOARD_MEETING_ATTENDANCE_PCT","FY 2003","FY 2003","Currency=USD","Period=FQ","BEST_FPERIOD_OVERRIDE=FQ","FILING_STATUS=MR","Sort=A","Dates=H","DateFormat=P","Fill=—","Direction=H","UseDPDF=Y")</f>
        <v>—</v>
      </c>
      <c r="D60" s="14" t="str">
        <f>_xll.BDH("ALNY US Equity","BOARD_MEETING_ATTENDANCE_PCT","FY 2004","FY 2004","Currency=USD","Period=FQ","BEST_FPERIOD_OVERRIDE=FQ","FILING_STATUS=MR","Sort=A","Dates=H","DateFormat=P","Fill=—","Direction=H","UseDPDF=Y")</f>
        <v>—</v>
      </c>
      <c r="E60" s="14" t="str">
        <f>_xll.BDH("ALNY US Equity","BOARD_MEETING_ATTENDANCE_PCT","FY 2005","FY 2005","Currency=USD","Period=FQ","BEST_FPERIOD_OVERRIDE=FQ","FILING_STATUS=MR","Sort=A","Dates=H","DateFormat=P","Fill=—","Direction=H","UseDPDF=Y")</f>
        <v>—</v>
      </c>
      <c r="F60" s="14" t="str">
        <f>_xll.BDH("ALNY US Equity","BOARD_MEETING_ATTENDANCE_PCT","FY 2006","FY 2006","Currency=USD","Period=FQ","BEST_FPERIOD_OVERRIDE=FQ","FILING_STATUS=MR","Sort=A","Dates=H","DateFormat=P","Fill=—","Direction=H","UseDPDF=Y")</f>
        <v>—</v>
      </c>
      <c r="G60" s="14" t="str">
        <f>_xll.BDH("ALNY US Equity","BOARD_MEETING_ATTENDANCE_PCT","FY 2007","FY 2007","Currency=USD","Period=FQ","BEST_FPERIOD_OVERRIDE=FQ","FILING_STATUS=MR","Sort=A","Dates=H","DateFormat=P","Fill=—","Direction=H","UseDPDF=Y")</f>
        <v>—</v>
      </c>
      <c r="H60" s="14" t="str">
        <f>_xll.BDH("ALNY US Equity","BOARD_MEETING_ATTENDANCE_PCT","FY 2008","FY 2008","Currency=USD","Period=FQ","BEST_FPERIOD_OVERRIDE=FQ","FILING_STATUS=MR","Sort=A","Dates=H","DateFormat=P","Fill=—","Direction=H","UseDPDF=Y")</f>
        <v>—</v>
      </c>
      <c r="I60" s="14" t="str">
        <f>_xll.BDH("ALNY US Equity","BOARD_MEETING_ATTENDANCE_PCT","FY 2009","FY 2009","Currency=USD","Period=FQ","BEST_FPERIOD_OVERRIDE=FQ","FILING_STATUS=MR","Sort=A","Dates=H","DateFormat=P","Fill=—","Direction=H","UseDPDF=Y")</f>
        <v>—</v>
      </c>
      <c r="J60" s="14" t="str">
        <f>_xll.BDH("ALNY US Equity","BOARD_MEETING_ATTENDANCE_PCT","FY 2010","FY 2010","Currency=USD","Period=FQ","BEST_FPERIOD_OVERRIDE=FQ","FILING_STATUS=MR","Sort=A","Dates=H","DateFormat=P","Fill=—","Direction=H","UseDPDF=Y")</f>
        <v>—</v>
      </c>
      <c r="K60" s="14" t="str">
        <f>_xll.BDH("ALNY US Equity","BOARD_MEETING_ATTENDANCE_PCT","FY 2011","FY 2011","Currency=USD","Period=FQ","BEST_FPERIOD_OVERRIDE=FQ","FILING_STATUS=MR","Sort=A","Dates=H","DateFormat=P","Fill=—","Direction=H","UseDPDF=Y")</f>
        <v>—</v>
      </c>
      <c r="L60" s="14" t="str">
        <f>_xll.BDH("ALNY US Equity","BOARD_MEETING_ATTENDANCE_PCT","FY 2012","FY 2012","Currency=USD","Period=FQ","BEST_FPERIOD_OVERRIDE=FQ","FILING_STATUS=MR","Sort=A","Dates=H","DateFormat=P","Fill=—","Direction=H","UseDPDF=Y")</f>
        <v>—</v>
      </c>
      <c r="M60" s="14" t="str">
        <f>_xll.BDH("ALNY US Equity","BOARD_MEETING_ATTENDANCE_PCT","FY 2013","FY 2013","Currency=USD","Period=FQ","BEST_FPERIOD_OVERRIDE=FQ","FILING_STATUS=MR","Sort=A","Dates=H","DateFormat=P","Fill=—","Direction=H","UseDPDF=Y")</f>
        <v>—</v>
      </c>
      <c r="N60" s="14" t="str">
        <f>_xll.BDH("ALNY US Equity","BOARD_MEETING_ATTENDANCE_PCT","FY 2014","FY 2014","Currency=USD","Period=FQ","BEST_FPERIOD_OVERRIDE=FQ","FILING_STATUS=MR","Sort=A","Dates=H","DateFormat=P","Fill=—","Direction=H","UseDPDF=Y")</f>
        <v>—</v>
      </c>
      <c r="O60" s="14" t="str">
        <f>_xll.BDH("ALNY US Equity","BOARD_MEETING_ATTENDANCE_PCT","FY 2015","FY 2015","Currency=USD","Period=FQ","BEST_FPERIOD_OVERRIDE=FQ","FILING_STATUS=MR","Sort=A","Dates=H","DateFormat=P","Fill=—","Direction=H","UseDPDF=Y")</f>
        <v>—</v>
      </c>
      <c r="P60" s="14" t="str">
        <f>_xll.BDH("ALNY US Equity","BOARD_MEETING_ATTENDANCE_PCT","FY 2016","FY 2016","Currency=USD","Period=FQ","BEST_FPERIOD_OVERRIDE=FQ","FILING_STATUS=MR","Sort=A","Dates=H","DateFormat=P","Fill=—","Direction=H","UseDPDF=Y")</f>
        <v>—</v>
      </c>
      <c r="Q60" s="14" t="str">
        <f>_xll.BDH("ALNY US Equity","BOARD_MEETING_ATTENDANCE_PCT","FY 2017","FY 2017","Currency=USD","Period=FQ","BEST_FPERIOD_OVERRIDE=FQ","FILING_STATUS=MR","Sort=A","Dates=H","DateFormat=P","Fill=—","Direction=H","UseDPDF=Y")</f>
        <v>—</v>
      </c>
      <c r="R60" s="14" t="str">
        <f>_xll.BDH("ALNY US Equity","BOARD_MEETING_ATTENDANCE_PCT","FY 2018","FY 2018","Currency=USD","Period=FQ","BEST_FPERIOD_OVERRIDE=FQ","FILING_STATUS=MR","Sort=A","Dates=H","DateFormat=P","Fill=—","Direction=H","UseDPDF=Y")</f>
        <v>—</v>
      </c>
      <c r="S60" s="14" t="str">
        <f>_xll.BDH("ALNY US Equity","BOARD_MEETING_ATTENDANCE_PCT","FY 2019","FY 2019","Currency=USD","Period=FQ","BEST_FPERIOD_OVERRIDE=FQ","FILING_STATUS=MR","Sort=A","Dates=H","DateFormat=P","Fill=—","Direction=H","UseDPDF=Y")</f>
        <v>—</v>
      </c>
      <c r="T60" s="14" t="str">
        <f>_xll.BDH("ALNY US Equity","BOARD_MEETING_ATTENDANCE_PCT","FY 2020","FY 2020","Currency=USD","Period=FQ","BEST_FPERIOD_OVERRIDE=FQ","FILING_STATUS=MR","Sort=A","Dates=H","DateFormat=P","Fill=—","Direction=H","UseDPDF=Y")</f>
        <v>—</v>
      </c>
      <c r="U60" s="14" t="str">
        <f>_xll.BDH("ALNY US Equity","BOARD_MEETING_ATTENDANCE_PCT","FY 2021","FY 2021","Currency=USD","Period=FQ","BEST_FPERIOD_OVERRIDE=FQ","FILING_STATUS=MR","Sort=A","Dates=H","DateFormat=P","Fill=—","Direction=H","UseDPDF=Y")</f>
        <v>—</v>
      </c>
      <c r="V60" s="14" t="str">
        <f>_xll.BDH("ALNY US Equity","BOARD_MEETING_ATTENDANCE_PCT","FY 2022","FY 2022","Currency=USD","Period=FQ","BEST_FPERIOD_OVERRIDE=FQ","FILING_STATUS=MR","Sort=A","Dates=H","DateFormat=P","Fill=—","Direction=H","UseDPDF=Y")</f>
        <v>—</v>
      </c>
      <c r="W60" s="14" t="str">
        <f>_xll.BDH("ALNY US Equity","BOARD_MEETING_ATTENDANCE_PCT","FY 2023","FY 2023","Currency=USD","Period=FQ","BEST_FPERIOD_OVERRIDE=FQ","FILING_STATUS=MR","Sort=A","Dates=H","DateFormat=P","Fill=—","Direction=H","UseDPDF=Y")</f>
        <v>—</v>
      </c>
      <c r="X60" s="14" t="str">
        <f>_xll.BDH("ALNY US Equity","BOARD_MEETING_ATTENDANCE_PCT","FY 2024","FY 2024","Currency=USD","Period=FQ","BEST_FPERIOD_OVERRIDE=FQ","FILING_STATUS=MR","Sort=A","Dates=H","DateFormat=P","Fill=—","Direction=H","UseDPDF=Y")</f>
        <v>—</v>
      </c>
    </row>
    <row r="61" spans="1:24" x14ac:dyDescent="0.25">
      <c r="A61" s="10" t="s">
        <v>1761</v>
      </c>
      <c r="B61" s="10" t="s">
        <v>1762</v>
      </c>
      <c r="C61" s="14" t="str">
        <f>_xll.BDH("ALNY US Equity","IND_DIRECTORS_BRD_MTG_ATTEND_PCT","FY 2003","FY 2003","Currency=USD","Period=FQ","BEST_FPERIOD_OVERRIDE=FQ","FILING_STATUS=MR","Sort=A","Dates=H","DateFormat=P","Fill=—","Direction=H","UseDPDF=Y")</f>
        <v>—</v>
      </c>
      <c r="D61" s="14" t="str">
        <f>_xll.BDH("ALNY US Equity","IND_DIRECTORS_BRD_MTG_ATTEND_PCT","FY 2004","FY 2004","Currency=USD","Period=FQ","BEST_FPERIOD_OVERRIDE=FQ","FILING_STATUS=MR","Sort=A","Dates=H","DateFormat=P","Fill=—","Direction=H","UseDPDF=Y")</f>
        <v>—</v>
      </c>
      <c r="E61" s="14" t="str">
        <f>_xll.BDH("ALNY US Equity","IND_DIRECTORS_BRD_MTG_ATTEND_PCT","FY 2005","FY 2005","Currency=USD","Period=FQ","BEST_FPERIOD_OVERRIDE=FQ","FILING_STATUS=MR","Sort=A","Dates=H","DateFormat=P","Fill=—","Direction=H","UseDPDF=Y")</f>
        <v>—</v>
      </c>
      <c r="F61" s="14" t="str">
        <f>_xll.BDH("ALNY US Equity","IND_DIRECTORS_BRD_MTG_ATTEND_PCT","FY 2006","FY 2006","Currency=USD","Period=FQ","BEST_FPERIOD_OVERRIDE=FQ","FILING_STATUS=MR","Sort=A","Dates=H","DateFormat=P","Fill=—","Direction=H","UseDPDF=Y")</f>
        <v>—</v>
      </c>
      <c r="G61" s="14" t="str">
        <f>_xll.BDH("ALNY US Equity","IND_DIRECTORS_BRD_MTG_ATTEND_PCT","FY 2007","FY 2007","Currency=USD","Period=FQ","BEST_FPERIOD_OVERRIDE=FQ","FILING_STATUS=MR","Sort=A","Dates=H","DateFormat=P","Fill=—","Direction=H","UseDPDF=Y")</f>
        <v>—</v>
      </c>
      <c r="H61" s="14" t="str">
        <f>_xll.BDH("ALNY US Equity","IND_DIRECTORS_BRD_MTG_ATTEND_PCT","FY 2008","FY 2008","Currency=USD","Period=FQ","BEST_FPERIOD_OVERRIDE=FQ","FILING_STATUS=MR","Sort=A","Dates=H","DateFormat=P","Fill=—","Direction=H","UseDPDF=Y")</f>
        <v>—</v>
      </c>
      <c r="I61" s="14" t="str">
        <f>_xll.BDH("ALNY US Equity","IND_DIRECTORS_BRD_MTG_ATTEND_PCT","FY 2009","FY 2009","Currency=USD","Period=FQ","BEST_FPERIOD_OVERRIDE=FQ","FILING_STATUS=MR","Sort=A","Dates=H","DateFormat=P","Fill=—","Direction=H","UseDPDF=Y")</f>
        <v>—</v>
      </c>
      <c r="J61" s="14" t="str">
        <f>_xll.BDH("ALNY US Equity","IND_DIRECTORS_BRD_MTG_ATTEND_PCT","FY 2010","FY 2010","Currency=USD","Period=FQ","BEST_FPERIOD_OVERRIDE=FQ","FILING_STATUS=MR","Sort=A","Dates=H","DateFormat=P","Fill=—","Direction=H","UseDPDF=Y")</f>
        <v>—</v>
      </c>
      <c r="K61" s="14" t="str">
        <f>_xll.BDH("ALNY US Equity","IND_DIRECTORS_BRD_MTG_ATTEND_PCT","FY 2011","FY 2011","Currency=USD","Period=FQ","BEST_FPERIOD_OVERRIDE=FQ","FILING_STATUS=MR","Sort=A","Dates=H","DateFormat=P","Fill=—","Direction=H","UseDPDF=Y")</f>
        <v>—</v>
      </c>
      <c r="L61" s="14" t="str">
        <f>_xll.BDH("ALNY US Equity","IND_DIRECTORS_BRD_MTG_ATTEND_PCT","FY 2012","FY 2012","Currency=USD","Period=FQ","BEST_FPERIOD_OVERRIDE=FQ","FILING_STATUS=MR","Sort=A","Dates=H","DateFormat=P","Fill=—","Direction=H","UseDPDF=Y")</f>
        <v>—</v>
      </c>
      <c r="M61" s="14" t="str">
        <f>_xll.BDH("ALNY US Equity","IND_DIRECTORS_BRD_MTG_ATTEND_PCT","FY 2013","FY 2013","Currency=USD","Period=FQ","BEST_FPERIOD_OVERRIDE=FQ","FILING_STATUS=MR","Sort=A","Dates=H","DateFormat=P","Fill=—","Direction=H","UseDPDF=Y")</f>
        <v>—</v>
      </c>
      <c r="N61" s="14" t="str">
        <f>_xll.BDH("ALNY US Equity","IND_DIRECTORS_BRD_MTG_ATTEND_PCT","FY 2014","FY 2014","Currency=USD","Period=FQ","BEST_FPERIOD_OVERRIDE=FQ","FILING_STATUS=MR","Sort=A","Dates=H","DateFormat=P","Fill=—","Direction=H","UseDPDF=Y")</f>
        <v>—</v>
      </c>
      <c r="O61" s="14" t="str">
        <f>_xll.BDH("ALNY US Equity","IND_DIRECTORS_BRD_MTG_ATTEND_PCT","FY 2015","FY 2015","Currency=USD","Period=FQ","BEST_FPERIOD_OVERRIDE=FQ","FILING_STATUS=MR","Sort=A","Dates=H","DateFormat=P","Fill=—","Direction=H","UseDPDF=Y")</f>
        <v>—</v>
      </c>
      <c r="P61" s="14" t="str">
        <f>_xll.BDH("ALNY US Equity","IND_DIRECTORS_BRD_MTG_ATTEND_PCT","FY 2016","FY 2016","Currency=USD","Period=FQ","BEST_FPERIOD_OVERRIDE=FQ","FILING_STATUS=MR","Sort=A","Dates=H","DateFormat=P","Fill=—","Direction=H","UseDPDF=Y")</f>
        <v>—</v>
      </c>
      <c r="Q61" s="14" t="str">
        <f>_xll.BDH("ALNY US Equity","IND_DIRECTORS_BRD_MTG_ATTEND_PCT","FY 2017","FY 2017","Currency=USD","Period=FQ","BEST_FPERIOD_OVERRIDE=FQ","FILING_STATUS=MR","Sort=A","Dates=H","DateFormat=P","Fill=—","Direction=H","UseDPDF=Y")</f>
        <v>—</v>
      </c>
      <c r="R61" s="14" t="str">
        <f>_xll.BDH("ALNY US Equity","IND_DIRECTORS_BRD_MTG_ATTEND_PCT","FY 2018","FY 2018","Currency=USD","Period=FQ","BEST_FPERIOD_OVERRIDE=FQ","FILING_STATUS=MR","Sort=A","Dates=H","DateFormat=P","Fill=—","Direction=H","UseDPDF=Y")</f>
        <v>—</v>
      </c>
      <c r="S61" s="14" t="str">
        <f>_xll.BDH("ALNY US Equity","IND_DIRECTORS_BRD_MTG_ATTEND_PCT","FY 2019","FY 2019","Currency=USD","Period=FQ","BEST_FPERIOD_OVERRIDE=FQ","FILING_STATUS=MR","Sort=A","Dates=H","DateFormat=P","Fill=—","Direction=H","UseDPDF=Y")</f>
        <v>—</v>
      </c>
      <c r="T61" s="14" t="str">
        <f>_xll.BDH("ALNY US Equity","IND_DIRECTORS_BRD_MTG_ATTEND_PCT","FY 2020","FY 2020","Currency=USD","Period=FQ","BEST_FPERIOD_OVERRIDE=FQ","FILING_STATUS=MR","Sort=A","Dates=H","DateFormat=P","Fill=—","Direction=H","UseDPDF=Y")</f>
        <v>—</v>
      </c>
      <c r="U61" s="14" t="str">
        <f>_xll.BDH("ALNY US Equity","IND_DIRECTORS_BRD_MTG_ATTEND_PCT","FY 2021","FY 2021","Currency=USD","Period=FQ","BEST_FPERIOD_OVERRIDE=FQ","FILING_STATUS=MR","Sort=A","Dates=H","DateFormat=P","Fill=—","Direction=H","UseDPDF=Y")</f>
        <v>—</v>
      </c>
      <c r="V61" s="14" t="str">
        <f>_xll.BDH("ALNY US Equity","IND_DIRECTORS_BRD_MTG_ATTEND_PCT","FY 2022","FY 2022","Currency=USD","Period=FQ","BEST_FPERIOD_OVERRIDE=FQ","FILING_STATUS=MR","Sort=A","Dates=H","DateFormat=P","Fill=—","Direction=H","UseDPDF=Y")</f>
        <v>—</v>
      </c>
      <c r="W61" s="14" t="str">
        <f>_xll.BDH("ALNY US Equity","IND_DIRECTORS_BRD_MTG_ATTEND_PCT","FY 2023","FY 2023","Currency=USD","Period=FQ","BEST_FPERIOD_OVERRIDE=FQ","FILING_STATUS=MR","Sort=A","Dates=H","DateFormat=P","Fill=—","Direction=H","UseDPDF=Y")</f>
        <v>—</v>
      </c>
      <c r="X61" s="14" t="str">
        <f>_xll.BDH("ALNY US Equity","IND_DIRECTORS_BRD_MTG_ATTEND_PCT","FY 2024","FY 2024","Currency=USD","Period=FQ","BEST_FPERIOD_OVERRIDE=FQ","FILING_STATUS=MR","Sort=A","Dates=H","DateFormat=P","Fill=—","Direction=H","UseDPDF=Y")</f>
        <v>—</v>
      </c>
    </row>
    <row r="62" spans="1:24" x14ac:dyDescent="0.25">
      <c r="A62" s="10" t="s">
        <v>1763</v>
      </c>
      <c r="B62" s="10" t="s">
        <v>1764</v>
      </c>
      <c r="C62" s="14" t="str">
        <f>_xll.BDH("ALNY US Equity","PCT_IND_DIRECTORS_ON_AUDIT_CMTE","FY 2003","FY 2003","Currency=USD","Period=FQ","BEST_FPERIOD_OVERRIDE=FQ","FILING_STATUS=MR","Sort=A","Dates=H","DateFormat=P","Fill=—","Direction=H","UseDPDF=Y")</f>
        <v>—</v>
      </c>
      <c r="D62" s="14" t="str">
        <f>_xll.BDH("ALNY US Equity","PCT_IND_DIRECTORS_ON_AUDIT_CMTE","FY 2004","FY 2004","Currency=USD","Period=FQ","BEST_FPERIOD_OVERRIDE=FQ","FILING_STATUS=MR","Sort=A","Dates=H","DateFormat=P","Fill=—","Direction=H","UseDPDF=Y")</f>
        <v>—</v>
      </c>
      <c r="E62" s="14" t="str">
        <f>_xll.BDH("ALNY US Equity","PCT_IND_DIRECTORS_ON_AUDIT_CMTE","FY 2005","FY 2005","Currency=USD","Period=FQ","BEST_FPERIOD_OVERRIDE=FQ","FILING_STATUS=MR","Sort=A","Dates=H","DateFormat=P","Fill=—","Direction=H","UseDPDF=Y")</f>
        <v>—</v>
      </c>
      <c r="F62" s="14" t="str">
        <f>_xll.BDH("ALNY US Equity","PCT_IND_DIRECTORS_ON_AUDIT_CMTE","FY 2006","FY 2006","Currency=USD","Period=FQ","BEST_FPERIOD_OVERRIDE=FQ","FILING_STATUS=MR","Sort=A","Dates=H","DateFormat=P","Fill=—","Direction=H","UseDPDF=Y")</f>
        <v>—</v>
      </c>
      <c r="G62" s="14" t="str">
        <f>_xll.BDH("ALNY US Equity","PCT_IND_DIRECTORS_ON_AUDIT_CMTE","FY 2007","FY 2007","Currency=USD","Period=FQ","BEST_FPERIOD_OVERRIDE=FQ","FILING_STATUS=MR","Sort=A","Dates=H","DateFormat=P","Fill=—","Direction=H","UseDPDF=Y")</f>
        <v>—</v>
      </c>
      <c r="H62" s="14" t="str">
        <f>_xll.BDH("ALNY US Equity","PCT_IND_DIRECTORS_ON_AUDIT_CMTE","FY 2008","FY 2008","Currency=USD","Period=FQ","BEST_FPERIOD_OVERRIDE=FQ","FILING_STATUS=MR","Sort=A","Dates=H","DateFormat=P","Fill=—","Direction=H","UseDPDF=Y")</f>
        <v>—</v>
      </c>
      <c r="I62" s="14" t="str">
        <f>_xll.BDH("ALNY US Equity","PCT_IND_DIRECTORS_ON_AUDIT_CMTE","FY 2009","FY 2009","Currency=USD","Period=FQ","BEST_FPERIOD_OVERRIDE=FQ","FILING_STATUS=MR","Sort=A","Dates=H","DateFormat=P","Fill=—","Direction=H","UseDPDF=Y")</f>
        <v>—</v>
      </c>
      <c r="J62" s="14" t="str">
        <f>_xll.BDH("ALNY US Equity","PCT_IND_DIRECTORS_ON_AUDIT_CMTE","FY 2010","FY 2010","Currency=USD","Period=FQ","BEST_FPERIOD_OVERRIDE=FQ","FILING_STATUS=MR","Sort=A","Dates=H","DateFormat=P","Fill=—","Direction=H","UseDPDF=Y")</f>
        <v>—</v>
      </c>
      <c r="K62" s="14" t="str">
        <f>_xll.BDH("ALNY US Equity","PCT_IND_DIRECTORS_ON_AUDIT_CMTE","FY 2011","FY 2011","Currency=USD","Period=FQ","BEST_FPERIOD_OVERRIDE=FQ","FILING_STATUS=MR","Sort=A","Dates=H","DateFormat=P","Fill=—","Direction=H","UseDPDF=Y")</f>
        <v>—</v>
      </c>
      <c r="L62" s="14" t="str">
        <f>_xll.BDH("ALNY US Equity","PCT_IND_DIRECTORS_ON_AUDIT_CMTE","FY 2012","FY 2012","Currency=USD","Period=FQ","BEST_FPERIOD_OVERRIDE=FQ","FILING_STATUS=MR","Sort=A","Dates=H","DateFormat=P","Fill=—","Direction=H","UseDPDF=Y")</f>
        <v>—</v>
      </c>
      <c r="M62" s="14" t="str">
        <f>_xll.BDH("ALNY US Equity","PCT_IND_DIRECTORS_ON_AUDIT_CMTE","FY 2013","FY 2013","Currency=USD","Period=FQ","BEST_FPERIOD_OVERRIDE=FQ","FILING_STATUS=MR","Sort=A","Dates=H","DateFormat=P","Fill=—","Direction=H","UseDPDF=Y")</f>
        <v>—</v>
      </c>
      <c r="N62" s="14" t="str">
        <f>_xll.BDH("ALNY US Equity","PCT_IND_DIRECTORS_ON_AUDIT_CMTE","FY 2014","FY 2014","Currency=USD","Period=FQ","BEST_FPERIOD_OVERRIDE=FQ","FILING_STATUS=MR","Sort=A","Dates=H","DateFormat=P","Fill=—","Direction=H","UseDPDF=Y")</f>
        <v>—</v>
      </c>
      <c r="O62" s="14" t="str">
        <f>_xll.BDH("ALNY US Equity","PCT_IND_DIRECTORS_ON_AUDIT_CMTE","FY 2015","FY 2015","Currency=USD","Period=FQ","BEST_FPERIOD_OVERRIDE=FQ","FILING_STATUS=MR","Sort=A","Dates=H","DateFormat=P","Fill=—","Direction=H","UseDPDF=Y")</f>
        <v>—</v>
      </c>
      <c r="P62" s="14" t="str">
        <f>_xll.BDH("ALNY US Equity","PCT_IND_DIRECTORS_ON_AUDIT_CMTE","FY 2016","FY 2016","Currency=USD","Period=FQ","BEST_FPERIOD_OVERRIDE=FQ","FILING_STATUS=MR","Sort=A","Dates=H","DateFormat=P","Fill=—","Direction=H","UseDPDF=Y")</f>
        <v>—</v>
      </c>
      <c r="Q62" s="14" t="str">
        <f>_xll.BDH("ALNY US Equity","PCT_IND_DIRECTORS_ON_AUDIT_CMTE","FY 2017","FY 2017","Currency=USD","Period=FQ","BEST_FPERIOD_OVERRIDE=FQ","FILING_STATUS=MR","Sort=A","Dates=H","DateFormat=P","Fill=—","Direction=H","UseDPDF=Y")</f>
        <v>—</v>
      </c>
      <c r="R62" s="14" t="str">
        <f>_xll.BDH("ALNY US Equity","PCT_IND_DIRECTORS_ON_AUDIT_CMTE","FY 2018","FY 2018","Currency=USD","Period=FQ","BEST_FPERIOD_OVERRIDE=FQ","FILING_STATUS=MR","Sort=A","Dates=H","DateFormat=P","Fill=—","Direction=H","UseDPDF=Y")</f>
        <v>—</v>
      </c>
      <c r="S62" s="14" t="str">
        <f>_xll.BDH("ALNY US Equity","PCT_IND_DIRECTORS_ON_AUDIT_CMTE","FY 2019","FY 2019","Currency=USD","Period=FQ","BEST_FPERIOD_OVERRIDE=FQ","FILING_STATUS=MR","Sort=A","Dates=H","DateFormat=P","Fill=—","Direction=H","UseDPDF=Y")</f>
        <v>—</v>
      </c>
      <c r="T62" s="14" t="str">
        <f>_xll.BDH("ALNY US Equity","PCT_IND_DIRECTORS_ON_AUDIT_CMTE","FY 2020","FY 2020","Currency=USD","Period=FQ","BEST_FPERIOD_OVERRIDE=FQ","FILING_STATUS=MR","Sort=A","Dates=H","DateFormat=P","Fill=—","Direction=H","UseDPDF=Y")</f>
        <v>—</v>
      </c>
      <c r="U62" s="14" t="str">
        <f>_xll.BDH("ALNY US Equity","PCT_IND_DIRECTORS_ON_AUDIT_CMTE","FY 2021","FY 2021","Currency=USD","Period=FQ","BEST_FPERIOD_OVERRIDE=FQ","FILING_STATUS=MR","Sort=A","Dates=H","DateFormat=P","Fill=—","Direction=H","UseDPDF=Y")</f>
        <v>—</v>
      </c>
      <c r="V62" s="14" t="str">
        <f>_xll.BDH("ALNY US Equity","PCT_IND_DIRECTORS_ON_AUDIT_CMTE","FY 2022","FY 2022","Currency=USD","Period=FQ","BEST_FPERIOD_OVERRIDE=FQ","FILING_STATUS=MR","Sort=A","Dates=H","DateFormat=P","Fill=—","Direction=H","UseDPDF=Y")</f>
        <v>—</v>
      </c>
      <c r="W62" s="14" t="str">
        <f>_xll.BDH("ALNY US Equity","PCT_IND_DIRECTORS_ON_AUDIT_CMTE","FY 2023","FY 2023","Currency=USD","Period=FQ","BEST_FPERIOD_OVERRIDE=FQ","FILING_STATUS=MR","Sort=A","Dates=H","DateFormat=P","Fill=—","Direction=H","UseDPDF=Y")</f>
        <v>—</v>
      </c>
      <c r="X62" s="14" t="str">
        <f>_xll.BDH("ALNY US Equity","PCT_IND_DIRECTORS_ON_AUDIT_CMTE","FY 2024","FY 2024","Currency=USD","Period=FQ","BEST_FPERIOD_OVERRIDE=FQ","FILING_STATUS=MR","Sort=A","Dates=H","DateFormat=P","Fill=—","Direction=H","UseDPDF=Y")</f>
        <v>—</v>
      </c>
    </row>
    <row r="63" spans="1:24" x14ac:dyDescent="0.25">
      <c r="A63" s="10" t="s">
        <v>1765</v>
      </c>
      <c r="B63" s="10" t="s">
        <v>1766</v>
      </c>
      <c r="C63" s="14" t="str">
        <f>_xll.BDH("ALNY US Equity","AUDIT_COMMITTEE_MTG_ATTEND_PCT","FY 2003","FY 2003","Currency=USD","Period=FQ","BEST_FPERIOD_OVERRIDE=FQ","FILING_STATUS=MR","Sort=A","Dates=H","DateFormat=P","Fill=—","Direction=H","UseDPDF=Y")</f>
        <v>—</v>
      </c>
      <c r="D63" s="14" t="str">
        <f>_xll.BDH("ALNY US Equity","AUDIT_COMMITTEE_MTG_ATTEND_PCT","FY 2004","FY 2004","Currency=USD","Period=FQ","BEST_FPERIOD_OVERRIDE=FQ","FILING_STATUS=MR","Sort=A","Dates=H","DateFormat=P","Fill=—","Direction=H","UseDPDF=Y")</f>
        <v>—</v>
      </c>
      <c r="E63" s="14" t="str">
        <f>_xll.BDH("ALNY US Equity","AUDIT_COMMITTEE_MTG_ATTEND_PCT","FY 2005","FY 2005","Currency=USD","Period=FQ","BEST_FPERIOD_OVERRIDE=FQ","FILING_STATUS=MR","Sort=A","Dates=H","DateFormat=P","Fill=—","Direction=H","UseDPDF=Y")</f>
        <v>—</v>
      </c>
      <c r="F63" s="14" t="str">
        <f>_xll.BDH("ALNY US Equity","AUDIT_COMMITTEE_MTG_ATTEND_PCT","FY 2006","FY 2006","Currency=USD","Period=FQ","BEST_FPERIOD_OVERRIDE=FQ","FILING_STATUS=MR","Sort=A","Dates=H","DateFormat=P","Fill=—","Direction=H","UseDPDF=Y")</f>
        <v>—</v>
      </c>
      <c r="G63" s="14" t="str">
        <f>_xll.BDH("ALNY US Equity","AUDIT_COMMITTEE_MTG_ATTEND_PCT","FY 2007","FY 2007","Currency=USD","Period=FQ","BEST_FPERIOD_OVERRIDE=FQ","FILING_STATUS=MR","Sort=A","Dates=H","DateFormat=P","Fill=—","Direction=H","UseDPDF=Y")</f>
        <v>—</v>
      </c>
      <c r="H63" s="14" t="str">
        <f>_xll.BDH("ALNY US Equity","AUDIT_COMMITTEE_MTG_ATTEND_PCT","FY 2008","FY 2008","Currency=USD","Period=FQ","BEST_FPERIOD_OVERRIDE=FQ","FILING_STATUS=MR","Sort=A","Dates=H","DateFormat=P","Fill=—","Direction=H","UseDPDF=Y")</f>
        <v>—</v>
      </c>
      <c r="I63" s="14" t="str">
        <f>_xll.BDH("ALNY US Equity","AUDIT_COMMITTEE_MTG_ATTEND_PCT","FY 2009","FY 2009","Currency=USD","Period=FQ","BEST_FPERIOD_OVERRIDE=FQ","FILING_STATUS=MR","Sort=A","Dates=H","DateFormat=P","Fill=—","Direction=H","UseDPDF=Y")</f>
        <v>—</v>
      </c>
      <c r="J63" s="14" t="str">
        <f>_xll.BDH("ALNY US Equity","AUDIT_COMMITTEE_MTG_ATTEND_PCT","FY 2010","FY 2010","Currency=USD","Period=FQ","BEST_FPERIOD_OVERRIDE=FQ","FILING_STATUS=MR","Sort=A","Dates=H","DateFormat=P","Fill=—","Direction=H","UseDPDF=Y")</f>
        <v>—</v>
      </c>
      <c r="K63" s="14" t="str">
        <f>_xll.BDH("ALNY US Equity","AUDIT_COMMITTEE_MTG_ATTEND_PCT","FY 2011","FY 2011","Currency=USD","Period=FQ","BEST_FPERIOD_OVERRIDE=FQ","FILING_STATUS=MR","Sort=A","Dates=H","DateFormat=P","Fill=—","Direction=H","UseDPDF=Y")</f>
        <v>—</v>
      </c>
      <c r="L63" s="14" t="str">
        <f>_xll.BDH("ALNY US Equity","AUDIT_COMMITTEE_MTG_ATTEND_PCT","FY 2012","FY 2012","Currency=USD","Period=FQ","BEST_FPERIOD_OVERRIDE=FQ","FILING_STATUS=MR","Sort=A","Dates=H","DateFormat=P","Fill=—","Direction=H","UseDPDF=Y")</f>
        <v>—</v>
      </c>
      <c r="M63" s="14" t="str">
        <f>_xll.BDH("ALNY US Equity","AUDIT_COMMITTEE_MTG_ATTEND_PCT","FY 2013","FY 2013","Currency=USD","Period=FQ","BEST_FPERIOD_OVERRIDE=FQ","FILING_STATUS=MR","Sort=A","Dates=H","DateFormat=P","Fill=—","Direction=H","UseDPDF=Y")</f>
        <v>—</v>
      </c>
      <c r="N63" s="14" t="str">
        <f>_xll.BDH("ALNY US Equity","AUDIT_COMMITTEE_MTG_ATTEND_PCT","FY 2014","FY 2014","Currency=USD","Period=FQ","BEST_FPERIOD_OVERRIDE=FQ","FILING_STATUS=MR","Sort=A","Dates=H","DateFormat=P","Fill=—","Direction=H","UseDPDF=Y")</f>
        <v>—</v>
      </c>
      <c r="O63" s="14" t="str">
        <f>_xll.BDH("ALNY US Equity","AUDIT_COMMITTEE_MTG_ATTEND_PCT","FY 2015","FY 2015","Currency=USD","Period=FQ","BEST_FPERIOD_OVERRIDE=FQ","FILING_STATUS=MR","Sort=A","Dates=H","DateFormat=P","Fill=—","Direction=H","UseDPDF=Y")</f>
        <v>—</v>
      </c>
      <c r="P63" s="14" t="str">
        <f>_xll.BDH("ALNY US Equity","AUDIT_COMMITTEE_MTG_ATTEND_PCT","FY 2016","FY 2016","Currency=USD","Period=FQ","BEST_FPERIOD_OVERRIDE=FQ","FILING_STATUS=MR","Sort=A","Dates=H","DateFormat=P","Fill=—","Direction=H","UseDPDF=Y")</f>
        <v>—</v>
      </c>
      <c r="Q63" s="14" t="str">
        <f>_xll.BDH("ALNY US Equity","AUDIT_COMMITTEE_MTG_ATTEND_PCT","FY 2017","FY 2017","Currency=USD","Period=FQ","BEST_FPERIOD_OVERRIDE=FQ","FILING_STATUS=MR","Sort=A","Dates=H","DateFormat=P","Fill=—","Direction=H","UseDPDF=Y")</f>
        <v>—</v>
      </c>
      <c r="R63" s="14" t="str">
        <f>_xll.BDH("ALNY US Equity","AUDIT_COMMITTEE_MTG_ATTEND_PCT","FY 2018","FY 2018","Currency=USD","Period=FQ","BEST_FPERIOD_OVERRIDE=FQ","FILING_STATUS=MR","Sort=A","Dates=H","DateFormat=P","Fill=—","Direction=H","UseDPDF=Y")</f>
        <v>—</v>
      </c>
      <c r="S63" s="14" t="str">
        <f>_xll.BDH("ALNY US Equity","AUDIT_COMMITTEE_MTG_ATTEND_PCT","FY 2019","FY 2019","Currency=USD","Period=FQ","BEST_FPERIOD_OVERRIDE=FQ","FILING_STATUS=MR","Sort=A","Dates=H","DateFormat=P","Fill=—","Direction=H","UseDPDF=Y")</f>
        <v>—</v>
      </c>
      <c r="T63" s="14" t="str">
        <f>_xll.BDH("ALNY US Equity","AUDIT_COMMITTEE_MTG_ATTEND_PCT","FY 2020","FY 2020","Currency=USD","Period=FQ","BEST_FPERIOD_OVERRIDE=FQ","FILING_STATUS=MR","Sort=A","Dates=H","DateFormat=P","Fill=—","Direction=H","UseDPDF=Y")</f>
        <v>—</v>
      </c>
      <c r="U63" s="14" t="str">
        <f>_xll.BDH("ALNY US Equity","AUDIT_COMMITTEE_MTG_ATTEND_PCT","FY 2021","FY 2021","Currency=USD","Period=FQ","BEST_FPERIOD_OVERRIDE=FQ","FILING_STATUS=MR","Sort=A","Dates=H","DateFormat=P","Fill=—","Direction=H","UseDPDF=Y")</f>
        <v>—</v>
      </c>
      <c r="V63" s="14" t="str">
        <f>_xll.BDH("ALNY US Equity","AUDIT_COMMITTEE_MTG_ATTEND_PCT","FY 2022","FY 2022","Currency=USD","Period=FQ","BEST_FPERIOD_OVERRIDE=FQ","FILING_STATUS=MR","Sort=A","Dates=H","DateFormat=P","Fill=—","Direction=H","UseDPDF=Y")</f>
        <v>—</v>
      </c>
      <c r="W63" s="14" t="str">
        <f>_xll.BDH("ALNY US Equity","AUDIT_COMMITTEE_MTG_ATTEND_PCT","FY 2023","FY 2023","Currency=USD","Period=FQ","BEST_FPERIOD_OVERRIDE=FQ","FILING_STATUS=MR","Sort=A","Dates=H","DateFormat=P","Fill=—","Direction=H","UseDPDF=Y")</f>
        <v>—</v>
      </c>
      <c r="X63" s="14" t="str">
        <f>_xll.BDH("ALNY US Equity","AUDIT_COMMITTEE_MTG_ATTEND_PCT","FY 2024","FY 2024","Currency=USD","Period=FQ","BEST_FPERIOD_OVERRIDE=FQ","FILING_STATUS=MR","Sort=A","Dates=H","DateFormat=P","Fill=—","Direction=H","UseDPDF=Y")</f>
        <v>—</v>
      </c>
    </row>
    <row r="64" spans="1:24" x14ac:dyDescent="0.25">
      <c r="A64" s="10" t="s">
        <v>1767</v>
      </c>
      <c r="B64" s="10" t="s">
        <v>1768</v>
      </c>
      <c r="C64" s="14" t="str">
        <f>_xll.BDH("ALNY US Equity","PCT_IND_DIRECTORS_ON_COMP_CMTE","FY 2003","FY 2003","Currency=USD","Period=FQ","BEST_FPERIOD_OVERRIDE=FQ","FILING_STATUS=MR","Sort=A","Dates=H","DateFormat=P","Fill=—","Direction=H","UseDPDF=Y")</f>
        <v>—</v>
      </c>
      <c r="D64" s="14" t="str">
        <f>_xll.BDH("ALNY US Equity","PCT_IND_DIRECTORS_ON_COMP_CMTE","FY 2004","FY 2004","Currency=USD","Period=FQ","BEST_FPERIOD_OVERRIDE=FQ","FILING_STATUS=MR","Sort=A","Dates=H","DateFormat=P","Fill=—","Direction=H","UseDPDF=Y")</f>
        <v>—</v>
      </c>
      <c r="E64" s="14" t="str">
        <f>_xll.BDH("ALNY US Equity","PCT_IND_DIRECTORS_ON_COMP_CMTE","FY 2005","FY 2005","Currency=USD","Period=FQ","BEST_FPERIOD_OVERRIDE=FQ","FILING_STATUS=MR","Sort=A","Dates=H","DateFormat=P","Fill=—","Direction=H","UseDPDF=Y")</f>
        <v>—</v>
      </c>
      <c r="F64" s="14" t="str">
        <f>_xll.BDH("ALNY US Equity","PCT_IND_DIRECTORS_ON_COMP_CMTE","FY 2006","FY 2006","Currency=USD","Period=FQ","BEST_FPERIOD_OVERRIDE=FQ","FILING_STATUS=MR","Sort=A","Dates=H","DateFormat=P","Fill=—","Direction=H","UseDPDF=Y")</f>
        <v>—</v>
      </c>
      <c r="G64" s="14" t="str">
        <f>_xll.BDH("ALNY US Equity","PCT_IND_DIRECTORS_ON_COMP_CMTE","FY 2007","FY 2007","Currency=USD","Period=FQ","BEST_FPERIOD_OVERRIDE=FQ","FILING_STATUS=MR","Sort=A","Dates=H","DateFormat=P","Fill=—","Direction=H","UseDPDF=Y")</f>
        <v>—</v>
      </c>
      <c r="H64" s="14" t="str">
        <f>_xll.BDH("ALNY US Equity","PCT_IND_DIRECTORS_ON_COMP_CMTE","FY 2008","FY 2008","Currency=USD","Period=FQ","BEST_FPERIOD_OVERRIDE=FQ","FILING_STATUS=MR","Sort=A","Dates=H","DateFormat=P","Fill=—","Direction=H","UseDPDF=Y")</f>
        <v>—</v>
      </c>
      <c r="I64" s="14" t="str">
        <f>_xll.BDH("ALNY US Equity","PCT_IND_DIRECTORS_ON_COMP_CMTE","FY 2009","FY 2009","Currency=USD","Period=FQ","BEST_FPERIOD_OVERRIDE=FQ","FILING_STATUS=MR","Sort=A","Dates=H","DateFormat=P","Fill=—","Direction=H","UseDPDF=Y")</f>
        <v>—</v>
      </c>
      <c r="J64" s="14" t="str">
        <f>_xll.BDH("ALNY US Equity","PCT_IND_DIRECTORS_ON_COMP_CMTE","FY 2010","FY 2010","Currency=USD","Period=FQ","BEST_FPERIOD_OVERRIDE=FQ","FILING_STATUS=MR","Sort=A","Dates=H","DateFormat=P","Fill=—","Direction=H","UseDPDF=Y")</f>
        <v>—</v>
      </c>
      <c r="K64" s="14" t="str">
        <f>_xll.BDH("ALNY US Equity","PCT_IND_DIRECTORS_ON_COMP_CMTE","FY 2011","FY 2011","Currency=USD","Period=FQ","BEST_FPERIOD_OVERRIDE=FQ","FILING_STATUS=MR","Sort=A","Dates=H","DateFormat=P","Fill=—","Direction=H","UseDPDF=Y")</f>
        <v>—</v>
      </c>
      <c r="L64" s="14" t="str">
        <f>_xll.BDH("ALNY US Equity","PCT_IND_DIRECTORS_ON_COMP_CMTE","FY 2012","FY 2012","Currency=USD","Period=FQ","BEST_FPERIOD_OVERRIDE=FQ","FILING_STATUS=MR","Sort=A","Dates=H","DateFormat=P","Fill=—","Direction=H","UseDPDF=Y")</f>
        <v>—</v>
      </c>
      <c r="M64" s="14" t="str">
        <f>_xll.BDH("ALNY US Equity","PCT_IND_DIRECTORS_ON_COMP_CMTE","FY 2013","FY 2013","Currency=USD","Period=FQ","BEST_FPERIOD_OVERRIDE=FQ","FILING_STATUS=MR","Sort=A","Dates=H","DateFormat=P","Fill=—","Direction=H","UseDPDF=Y")</f>
        <v>—</v>
      </c>
      <c r="N64" s="14" t="str">
        <f>_xll.BDH("ALNY US Equity","PCT_IND_DIRECTORS_ON_COMP_CMTE","FY 2014","FY 2014","Currency=USD","Period=FQ","BEST_FPERIOD_OVERRIDE=FQ","FILING_STATUS=MR","Sort=A","Dates=H","DateFormat=P","Fill=—","Direction=H","UseDPDF=Y")</f>
        <v>—</v>
      </c>
      <c r="O64" s="14" t="str">
        <f>_xll.BDH("ALNY US Equity","PCT_IND_DIRECTORS_ON_COMP_CMTE","FY 2015","FY 2015","Currency=USD","Period=FQ","BEST_FPERIOD_OVERRIDE=FQ","FILING_STATUS=MR","Sort=A","Dates=H","DateFormat=P","Fill=—","Direction=H","UseDPDF=Y")</f>
        <v>—</v>
      </c>
      <c r="P64" s="14" t="str">
        <f>_xll.BDH("ALNY US Equity","PCT_IND_DIRECTORS_ON_COMP_CMTE","FY 2016","FY 2016","Currency=USD","Period=FQ","BEST_FPERIOD_OVERRIDE=FQ","FILING_STATUS=MR","Sort=A","Dates=H","DateFormat=P","Fill=—","Direction=H","UseDPDF=Y")</f>
        <v>—</v>
      </c>
      <c r="Q64" s="14" t="str">
        <f>_xll.BDH("ALNY US Equity","PCT_IND_DIRECTORS_ON_COMP_CMTE","FY 2017","FY 2017","Currency=USD","Period=FQ","BEST_FPERIOD_OVERRIDE=FQ","FILING_STATUS=MR","Sort=A","Dates=H","DateFormat=P","Fill=—","Direction=H","UseDPDF=Y")</f>
        <v>—</v>
      </c>
      <c r="R64" s="14" t="str">
        <f>_xll.BDH("ALNY US Equity","PCT_IND_DIRECTORS_ON_COMP_CMTE","FY 2018","FY 2018","Currency=USD","Period=FQ","BEST_FPERIOD_OVERRIDE=FQ","FILING_STATUS=MR","Sort=A","Dates=H","DateFormat=P","Fill=—","Direction=H","UseDPDF=Y")</f>
        <v>—</v>
      </c>
      <c r="S64" s="14" t="str">
        <f>_xll.BDH("ALNY US Equity","PCT_IND_DIRECTORS_ON_COMP_CMTE","FY 2019","FY 2019","Currency=USD","Period=FQ","BEST_FPERIOD_OVERRIDE=FQ","FILING_STATUS=MR","Sort=A","Dates=H","DateFormat=P","Fill=—","Direction=H","UseDPDF=Y")</f>
        <v>—</v>
      </c>
      <c r="T64" s="14" t="str">
        <f>_xll.BDH("ALNY US Equity","PCT_IND_DIRECTORS_ON_COMP_CMTE","FY 2020","FY 2020","Currency=USD","Period=FQ","BEST_FPERIOD_OVERRIDE=FQ","FILING_STATUS=MR","Sort=A","Dates=H","DateFormat=P","Fill=—","Direction=H","UseDPDF=Y")</f>
        <v>—</v>
      </c>
      <c r="U64" s="14" t="str">
        <f>_xll.BDH("ALNY US Equity","PCT_IND_DIRECTORS_ON_COMP_CMTE","FY 2021","FY 2021","Currency=USD","Period=FQ","BEST_FPERIOD_OVERRIDE=FQ","FILING_STATUS=MR","Sort=A","Dates=H","DateFormat=P","Fill=—","Direction=H","UseDPDF=Y")</f>
        <v>—</v>
      </c>
      <c r="V64" s="14" t="str">
        <f>_xll.BDH("ALNY US Equity","PCT_IND_DIRECTORS_ON_COMP_CMTE","FY 2022","FY 2022","Currency=USD","Period=FQ","BEST_FPERIOD_OVERRIDE=FQ","FILING_STATUS=MR","Sort=A","Dates=H","DateFormat=P","Fill=—","Direction=H","UseDPDF=Y")</f>
        <v>—</v>
      </c>
      <c r="W64" s="14" t="str">
        <f>_xll.BDH("ALNY US Equity","PCT_IND_DIRECTORS_ON_COMP_CMTE","FY 2023","FY 2023","Currency=USD","Period=FQ","BEST_FPERIOD_OVERRIDE=FQ","FILING_STATUS=MR","Sort=A","Dates=H","DateFormat=P","Fill=—","Direction=H","UseDPDF=Y")</f>
        <v>—</v>
      </c>
      <c r="X64" s="14" t="str">
        <f>_xll.BDH("ALNY US Equity","PCT_IND_DIRECTORS_ON_COMP_CMTE","FY 2024","FY 2024","Currency=USD","Period=FQ","BEST_FPERIOD_OVERRIDE=FQ","FILING_STATUS=MR","Sort=A","Dates=H","DateFormat=P","Fill=—","Direction=H","UseDPDF=Y")</f>
        <v>—</v>
      </c>
    </row>
    <row r="65" spans="1:24" x14ac:dyDescent="0.25">
      <c r="A65" s="10" t="s">
        <v>1769</v>
      </c>
      <c r="B65" s="10" t="s">
        <v>1770</v>
      </c>
      <c r="C65" s="14" t="str">
        <f>_xll.BDH("ALNY US Equity","COMPENSATION_CMTE_MTG_ATTEND_PCT","FY 2003","FY 2003","Currency=USD","Period=FQ","BEST_FPERIOD_OVERRIDE=FQ","FILING_STATUS=MR","Sort=A","Dates=H","DateFormat=P","Fill=—","Direction=H","UseDPDF=Y")</f>
        <v>—</v>
      </c>
      <c r="D65" s="14" t="str">
        <f>_xll.BDH("ALNY US Equity","COMPENSATION_CMTE_MTG_ATTEND_PCT","FY 2004","FY 2004","Currency=USD","Period=FQ","BEST_FPERIOD_OVERRIDE=FQ","FILING_STATUS=MR","Sort=A","Dates=H","DateFormat=P","Fill=—","Direction=H","UseDPDF=Y")</f>
        <v>—</v>
      </c>
      <c r="E65" s="14" t="str">
        <f>_xll.BDH("ALNY US Equity","COMPENSATION_CMTE_MTG_ATTEND_PCT","FY 2005","FY 2005","Currency=USD","Period=FQ","BEST_FPERIOD_OVERRIDE=FQ","FILING_STATUS=MR","Sort=A","Dates=H","DateFormat=P","Fill=—","Direction=H","UseDPDF=Y")</f>
        <v>—</v>
      </c>
      <c r="F65" s="14" t="str">
        <f>_xll.BDH("ALNY US Equity","COMPENSATION_CMTE_MTG_ATTEND_PCT","FY 2006","FY 2006","Currency=USD","Period=FQ","BEST_FPERIOD_OVERRIDE=FQ","FILING_STATUS=MR","Sort=A","Dates=H","DateFormat=P","Fill=—","Direction=H","UseDPDF=Y")</f>
        <v>—</v>
      </c>
      <c r="G65" s="14" t="str">
        <f>_xll.BDH("ALNY US Equity","COMPENSATION_CMTE_MTG_ATTEND_PCT","FY 2007","FY 2007","Currency=USD","Period=FQ","BEST_FPERIOD_OVERRIDE=FQ","FILING_STATUS=MR","Sort=A","Dates=H","DateFormat=P","Fill=—","Direction=H","UseDPDF=Y")</f>
        <v>—</v>
      </c>
      <c r="H65" s="14" t="str">
        <f>_xll.BDH("ALNY US Equity","COMPENSATION_CMTE_MTG_ATTEND_PCT","FY 2008","FY 2008","Currency=USD","Period=FQ","BEST_FPERIOD_OVERRIDE=FQ","FILING_STATUS=MR","Sort=A","Dates=H","DateFormat=P","Fill=—","Direction=H","UseDPDF=Y")</f>
        <v>—</v>
      </c>
      <c r="I65" s="14" t="str">
        <f>_xll.BDH("ALNY US Equity","COMPENSATION_CMTE_MTG_ATTEND_PCT","FY 2009","FY 2009","Currency=USD","Period=FQ","BEST_FPERIOD_OVERRIDE=FQ","FILING_STATUS=MR","Sort=A","Dates=H","DateFormat=P","Fill=—","Direction=H","UseDPDF=Y")</f>
        <v>—</v>
      </c>
      <c r="J65" s="14" t="str">
        <f>_xll.BDH("ALNY US Equity","COMPENSATION_CMTE_MTG_ATTEND_PCT","FY 2010","FY 2010","Currency=USD","Period=FQ","BEST_FPERIOD_OVERRIDE=FQ","FILING_STATUS=MR","Sort=A","Dates=H","DateFormat=P","Fill=—","Direction=H","UseDPDF=Y")</f>
        <v>—</v>
      </c>
      <c r="K65" s="14" t="str">
        <f>_xll.BDH("ALNY US Equity","COMPENSATION_CMTE_MTG_ATTEND_PCT","FY 2011","FY 2011","Currency=USD","Period=FQ","BEST_FPERIOD_OVERRIDE=FQ","FILING_STATUS=MR","Sort=A","Dates=H","DateFormat=P","Fill=—","Direction=H","UseDPDF=Y")</f>
        <v>—</v>
      </c>
      <c r="L65" s="14" t="str">
        <f>_xll.BDH("ALNY US Equity","COMPENSATION_CMTE_MTG_ATTEND_PCT","FY 2012","FY 2012","Currency=USD","Period=FQ","BEST_FPERIOD_OVERRIDE=FQ","FILING_STATUS=MR","Sort=A","Dates=H","DateFormat=P","Fill=—","Direction=H","UseDPDF=Y")</f>
        <v>—</v>
      </c>
      <c r="M65" s="14" t="str">
        <f>_xll.BDH("ALNY US Equity","COMPENSATION_CMTE_MTG_ATTEND_PCT","FY 2013","FY 2013","Currency=USD","Period=FQ","BEST_FPERIOD_OVERRIDE=FQ","FILING_STATUS=MR","Sort=A","Dates=H","DateFormat=P","Fill=—","Direction=H","UseDPDF=Y")</f>
        <v>—</v>
      </c>
      <c r="N65" s="14" t="str">
        <f>_xll.BDH("ALNY US Equity","COMPENSATION_CMTE_MTG_ATTEND_PCT","FY 2014","FY 2014","Currency=USD","Period=FQ","BEST_FPERIOD_OVERRIDE=FQ","FILING_STATUS=MR","Sort=A","Dates=H","DateFormat=P","Fill=—","Direction=H","UseDPDF=Y")</f>
        <v>—</v>
      </c>
      <c r="O65" s="14" t="str">
        <f>_xll.BDH("ALNY US Equity","COMPENSATION_CMTE_MTG_ATTEND_PCT","FY 2015","FY 2015","Currency=USD","Period=FQ","BEST_FPERIOD_OVERRIDE=FQ","FILING_STATUS=MR","Sort=A","Dates=H","DateFormat=P","Fill=—","Direction=H","UseDPDF=Y")</f>
        <v>—</v>
      </c>
      <c r="P65" s="14" t="str">
        <f>_xll.BDH("ALNY US Equity","COMPENSATION_CMTE_MTG_ATTEND_PCT","FY 2016","FY 2016","Currency=USD","Period=FQ","BEST_FPERIOD_OVERRIDE=FQ","FILING_STATUS=MR","Sort=A","Dates=H","DateFormat=P","Fill=—","Direction=H","UseDPDF=Y")</f>
        <v>—</v>
      </c>
      <c r="Q65" s="14" t="str">
        <f>_xll.BDH("ALNY US Equity","COMPENSATION_CMTE_MTG_ATTEND_PCT","FY 2017","FY 2017","Currency=USD","Period=FQ","BEST_FPERIOD_OVERRIDE=FQ","FILING_STATUS=MR","Sort=A","Dates=H","DateFormat=P","Fill=—","Direction=H","UseDPDF=Y")</f>
        <v>—</v>
      </c>
      <c r="R65" s="14" t="str">
        <f>_xll.BDH("ALNY US Equity","COMPENSATION_CMTE_MTG_ATTEND_PCT","FY 2018","FY 2018","Currency=USD","Period=FQ","BEST_FPERIOD_OVERRIDE=FQ","FILING_STATUS=MR","Sort=A","Dates=H","DateFormat=P","Fill=—","Direction=H","UseDPDF=Y")</f>
        <v>—</v>
      </c>
      <c r="S65" s="14" t="str">
        <f>_xll.BDH("ALNY US Equity","COMPENSATION_CMTE_MTG_ATTEND_PCT","FY 2019","FY 2019","Currency=USD","Period=FQ","BEST_FPERIOD_OVERRIDE=FQ","FILING_STATUS=MR","Sort=A","Dates=H","DateFormat=P","Fill=—","Direction=H","UseDPDF=Y")</f>
        <v>—</v>
      </c>
      <c r="T65" s="14" t="str">
        <f>_xll.BDH("ALNY US Equity","COMPENSATION_CMTE_MTG_ATTEND_PCT","FY 2020","FY 2020","Currency=USD","Period=FQ","BEST_FPERIOD_OVERRIDE=FQ","FILING_STATUS=MR","Sort=A","Dates=H","DateFormat=P","Fill=—","Direction=H","UseDPDF=Y")</f>
        <v>—</v>
      </c>
      <c r="U65" s="14" t="str">
        <f>_xll.BDH("ALNY US Equity","COMPENSATION_CMTE_MTG_ATTEND_PCT","FY 2021","FY 2021","Currency=USD","Period=FQ","BEST_FPERIOD_OVERRIDE=FQ","FILING_STATUS=MR","Sort=A","Dates=H","DateFormat=P","Fill=—","Direction=H","UseDPDF=Y")</f>
        <v>—</v>
      </c>
      <c r="V65" s="14" t="str">
        <f>_xll.BDH("ALNY US Equity","COMPENSATION_CMTE_MTG_ATTEND_PCT","FY 2022","FY 2022","Currency=USD","Period=FQ","BEST_FPERIOD_OVERRIDE=FQ","FILING_STATUS=MR","Sort=A","Dates=H","DateFormat=P","Fill=—","Direction=H","UseDPDF=Y")</f>
        <v>—</v>
      </c>
      <c r="W65" s="14" t="str">
        <f>_xll.BDH("ALNY US Equity","COMPENSATION_CMTE_MTG_ATTEND_PCT","FY 2023","FY 2023","Currency=USD","Period=FQ","BEST_FPERIOD_OVERRIDE=FQ","FILING_STATUS=MR","Sort=A","Dates=H","DateFormat=P","Fill=—","Direction=H","UseDPDF=Y")</f>
        <v>—</v>
      </c>
      <c r="X65" s="14" t="str">
        <f>_xll.BDH("ALNY US Equity","COMPENSATION_CMTE_MTG_ATTEND_PCT","FY 2024","FY 2024","Currency=USD","Period=FQ","BEST_FPERIOD_OVERRIDE=FQ","FILING_STATUS=MR","Sort=A","Dates=H","DateFormat=P","Fill=—","Direction=H","UseDPDF=Y")</f>
        <v>—</v>
      </c>
    </row>
    <row r="66" spans="1:24" x14ac:dyDescent="0.25">
      <c r="A66" s="10" t="s">
        <v>1771</v>
      </c>
      <c r="B66" s="10" t="s">
        <v>1772</v>
      </c>
      <c r="C66" s="14" t="str">
        <f>_xll.BDH("ALNY US Equity","PCT_COMP_ADV_FEES_PD_TO_COM_ADV","FY 2003","FY 2003","Currency=USD","Period=FQ","BEST_FPERIOD_OVERRIDE=FQ","FILING_STATUS=MR","Sort=A","Dates=H","DateFormat=P","Fill=—","Direction=H","UseDPDF=Y")</f>
        <v>—</v>
      </c>
      <c r="D66" s="14" t="str">
        <f>_xll.BDH("ALNY US Equity","PCT_COMP_ADV_FEES_PD_TO_COM_ADV","FY 2004","FY 2004","Currency=USD","Period=FQ","BEST_FPERIOD_OVERRIDE=FQ","FILING_STATUS=MR","Sort=A","Dates=H","DateFormat=P","Fill=—","Direction=H","UseDPDF=Y")</f>
        <v>—</v>
      </c>
      <c r="E66" s="14" t="str">
        <f>_xll.BDH("ALNY US Equity","PCT_COMP_ADV_FEES_PD_TO_COM_ADV","FY 2005","FY 2005","Currency=USD","Period=FQ","BEST_FPERIOD_OVERRIDE=FQ","FILING_STATUS=MR","Sort=A","Dates=H","DateFormat=P","Fill=—","Direction=H","UseDPDF=Y")</f>
        <v>—</v>
      </c>
      <c r="F66" s="14" t="str">
        <f>_xll.BDH("ALNY US Equity","PCT_COMP_ADV_FEES_PD_TO_COM_ADV","FY 2006","FY 2006","Currency=USD","Period=FQ","BEST_FPERIOD_OVERRIDE=FQ","FILING_STATUS=MR","Sort=A","Dates=H","DateFormat=P","Fill=—","Direction=H","UseDPDF=Y")</f>
        <v>—</v>
      </c>
      <c r="G66" s="14" t="str">
        <f>_xll.BDH("ALNY US Equity","PCT_COMP_ADV_FEES_PD_TO_COM_ADV","FY 2007","FY 2007","Currency=USD","Period=FQ","BEST_FPERIOD_OVERRIDE=FQ","FILING_STATUS=MR","Sort=A","Dates=H","DateFormat=P","Fill=—","Direction=H","UseDPDF=Y")</f>
        <v>—</v>
      </c>
      <c r="H66" s="14" t="str">
        <f>_xll.BDH("ALNY US Equity","PCT_COMP_ADV_FEES_PD_TO_COM_ADV","FY 2008","FY 2008","Currency=USD","Period=FQ","BEST_FPERIOD_OVERRIDE=FQ","FILING_STATUS=MR","Sort=A","Dates=H","DateFormat=P","Fill=—","Direction=H","UseDPDF=Y")</f>
        <v>—</v>
      </c>
      <c r="I66" s="14" t="str">
        <f>_xll.BDH("ALNY US Equity","PCT_COMP_ADV_FEES_PD_TO_COM_ADV","FY 2009","FY 2009","Currency=USD","Period=FQ","BEST_FPERIOD_OVERRIDE=FQ","FILING_STATUS=MR","Sort=A","Dates=H","DateFormat=P","Fill=—","Direction=H","UseDPDF=Y")</f>
        <v>—</v>
      </c>
      <c r="J66" s="14" t="str">
        <f>_xll.BDH("ALNY US Equity","PCT_COMP_ADV_FEES_PD_TO_COM_ADV","FY 2010","FY 2010","Currency=USD","Period=FQ","BEST_FPERIOD_OVERRIDE=FQ","FILING_STATUS=MR","Sort=A","Dates=H","DateFormat=P","Fill=—","Direction=H","UseDPDF=Y")</f>
        <v>—</v>
      </c>
      <c r="K66" s="14" t="str">
        <f>_xll.BDH("ALNY US Equity","PCT_COMP_ADV_FEES_PD_TO_COM_ADV","FY 2011","FY 2011","Currency=USD","Period=FQ","BEST_FPERIOD_OVERRIDE=FQ","FILING_STATUS=MR","Sort=A","Dates=H","DateFormat=P","Fill=—","Direction=H","UseDPDF=Y")</f>
        <v>—</v>
      </c>
      <c r="L66" s="14" t="str">
        <f>_xll.BDH("ALNY US Equity","PCT_COMP_ADV_FEES_PD_TO_COM_ADV","FY 2012","FY 2012","Currency=USD","Period=FQ","BEST_FPERIOD_OVERRIDE=FQ","FILING_STATUS=MR","Sort=A","Dates=H","DateFormat=P","Fill=—","Direction=H","UseDPDF=Y")</f>
        <v>—</v>
      </c>
      <c r="M66" s="14" t="str">
        <f>_xll.BDH("ALNY US Equity","PCT_COMP_ADV_FEES_PD_TO_COM_ADV","FY 2013","FY 2013","Currency=USD","Period=FQ","BEST_FPERIOD_OVERRIDE=FQ","FILING_STATUS=MR","Sort=A","Dates=H","DateFormat=P","Fill=—","Direction=H","UseDPDF=Y")</f>
        <v>—</v>
      </c>
      <c r="N66" s="14" t="str">
        <f>_xll.BDH("ALNY US Equity","PCT_COMP_ADV_FEES_PD_TO_COM_ADV","FY 2014","FY 2014","Currency=USD","Period=FQ","BEST_FPERIOD_OVERRIDE=FQ","FILING_STATUS=MR","Sort=A","Dates=H","DateFormat=P","Fill=—","Direction=H","UseDPDF=Y")</f>
        <v>—</v>
      </c>
      <c r="O66" s="14" t="str">
        <f>_xll.BDH("ALNY US Equity","PCT_COMP_ADV_FEES_PD_TO_COM_ADV","FY 2015","FY 2015","Currency=USD","Period=FQ","BEST_FPERIOD_OVERRIDE=FQ","FILING_STATUS=MR","Sort=A","Dates=H","DateFormat=P","Fill=—","Direction=H","UseDPDF=Y")</f>
        <v>—</v>
      </c>
      <c r="P66" s="14" t="str">
        <f>_xll.BDH("ALNY US Equity","PCT_COMP_ADV_FEES_PD_TO_COM_ADV","FY 2016","FY 2016","Currency=USD","Period=FQ","BEST_FPERIOD_OVERRIDE=FQ","FILING_STATUS=MR","Sort=A","Dates=H","DateFormat=P","Fill=—","Direction=H","UseDPDF=Y")</f>
        <v>—</v>
      </c>
      <c r="Q66" s="14" t="str">
        <f>_xll.BDH("ALNY US Equity","PCT_COMP_ADV_FEES_PD_TO_COM_ADV","FY 2017","FY 2017","Currency=USD","Period=FQ","BEST_FPERIOD_OVERRIDE=FQ","FILING_STATUS=MR","Sort=A","Dates=H","DateFormat=P","Fill=—","Direction=H","UseDPDF=Y")</f>
        <v>—</v>
      </c>
      <c r="R66" s="14" t="str">
        <f>_xll.BDH("ALNY US Equity","PCT_COMP_ADV_FEES_PD_TO_COM_ADV","FY 2018","FY 2018","Currency=USD","Period=FQ","BEST_FPERIOD_OVERRIDE=FQ","FILING_STATUS=MR","Sort=A","Dates=H","DateFormat=P","Fill=—","Direction=H","UseDPDF=Y")</f>
        <v>—</v>
      </c>
      <c r="S66" s="14" t="str">
        <f>_xll.BDH("ALNY US Equity","PCT_COMP_ADV_FEES_PD_TO_COM_ADV","FY 2019","FY 2019","Currency=USD","Period=FQ","BEST_FPERIOD_OVERRIDE=FQ","FILING_STATUS=MR","Sort=A","Dates=H","DateFormat=P","Fill=—","Direction=H","UseDPDF=Y")</f>
        <v>—</v>
      </c>
      <c r="T66" s="14" t="str">
        <f>_xll.BDH("ALNY US Equity","PCT_COMP_ADV_FEES_PD_TO_COM_ADV","FY 2020","FY 2020","Currency=USD","Period=FQ","BEST_FPERIOD_OVERRIDE=FQ","FILING_STATUS=MR","Sort=A","Dates=H","DateFormat=P","Fill=—","Direction=H","UseDPDF=Y")</f>
        <v>—</v>
      </c>
      <c r="U66" s="14" t="str">
        <f>_xll.BDH("ALNY US Equity","PCT_COMP_ADV_FEES_PD_TO_COM_ADV","FY 2021","FY 2021","Currency=USD","Period=FQ","BEST_FPERIOD_OVERRIDE=FQ","FILING_STATUS=MR","Sort=A","Dates=H","DateFormat=P","Fill=—","Direction=H","UseDPDF=Y")</f>
        <v>—</v>
      </c>
      <c r="V66" s="14" t="str">
        <f>_xll.BDH("ALNY US Equity","PCT_COMP_ADV_FEES_PD_TO_COM_ADV","FY 2022","FY 2022","Currency=USD","Period=FQ","BEST_FPERIOD_OVERRIDE=FQ","FILING_STATUS=MR","Sort=A","Dates=H","DateFormat=P","Fill=—","Direction=H","UseDPDF=Y")</f>
        <v>—</v>
      </c>
      <c r="W66" s="14" t="str">
        <f>_xll.BDH("ALNY US Equity","PCT_COMP_ADV_FEES_PD_TO_COM_ADV","FY 2023","FY 2023","Currency=USD","Period=FQ","BEST_FPERIOD_OVERRIDE=FQ","FILING_STATUS=MR","Sort=A","Dates=H","DateFormat=P","Fill=—","Direction=H","UseDPDF=Y")</f>
        <v>—</v>
      </c>
      <c r="X66" s="14" t="str">
        <f>_xll.BDH("ALNY US Equity","PCT_COMP_ADV_FEES_PD_TO_COM_ADV","FY 2024","FY 2024","Currency=USD","Period=FQ","BEST_FPERIOD_OVERRIDE=FQ","FILING_STATUS=MR","Sort=A","Dates=H","DateFormat=P","Fill=—","Direction=H","UseDPDF=Y")</f>
        <v>—</v>
      </c>
    </row>
    <row r="67" spans="1:24" x14ac:dyDescent="0.25">
      <c r="A67" s="10" t="s">
        <v>1773</v>
      </c>
      <c r="B67" s="10" t="s">
        <v>1774</v>
      </c>
      <c r="C67" s="14" t="str">
        <f>_xll.BDH("ALNY US Equity","PCT_OF_IND_DIRECTORS_ON_NOM_CMTE","FY 2003","FY 2003","Currency=USD","Period=FQ","BEST_FPERIOD_OVERRIDE=FQ","FILING_STATUS=MR","Sort=A","Dates=H","DateFormat=P","Fill=—","Direction=H","UseDPDF=Y")</f>
        <v>—</v>
      </c>
      <c r="D67" s="14" t="str">
        <f>_xll.BDH("ALNY US Equity","PCT_OF_IND_DIRECTORS_ON_NOM_CMTE","FY 2004","FY 2004","Currency=USD","Period=FQ","BEST_FPERIOD_OVERRIDE=FQ","FILING_STATUS=MR","Sort=A","Dates=H","DateFormat=P","Fill=—","Direction=H","UseDPDF=Y")</f>
        <v>—</v>
      </c>
      <c r="E67" s="14" t="str">
        <f>_xll.BDH("ALNY US Equity","PCT_OF_IND_DIRECTORS_ON_NOM_CMTE","FY 2005","FY 2005","Currency=USD","Period=FQ","BEST_FPERIOD_OVERRIDE=FQ","FILING_STATUS=MR","Sort=A","Dates=H","DateFormat=P","Fill=—","Direction=H","UseDPDF=Y")</f>
        <v>—</v>
      </c>
      <c r="F67" s="14" t="str">
        <f>_xll.BDH("ALNY US Equity","PCT_OF_IND_DIRECTORS_ON_NOM_CMTE","FY 2006","FY 2006","Currency=USD","Period=FQ","BEST_FPERIOD_OVERRIDE=FQ","FILING_STATUS=MR","Sort=A","Dates=H","DateFormat=P","Fill=—","Direction=H","UseDPDF=Y")</f>
        <v>—</v>
      </c>
      <c r="G67" s="14" t="str">
        <f>_xll.BDH("ALNY US Equity","PCT_OF_IND_DIRECTORS_ON_NOM_CMTE","FY 2007","FY 2007","Currency=USD","Period=FQ","BEST_FPERIOD_OVERRIDE=FQ","FILING_STATUS=MR","Sort=A","Dates=H","DateFormat=P","Fill=—","Direction=H","UseDPDF=Y")</f>
        <v>—</v>
      </c>
      <c r="H67" s="14" t="str">
        <f>_xll.BDH("ALNY US Equity","PCT_OF_IND_DIRECTORS_ON_NOM_CMTE","FY 2008","FY 2008","Currency=USD","Period=FQ","BEST_FPERIOD_OVERRIDE=FQ","FILING_STATUS=MR","Sort=A","Dates=H","DateFormat=P","Fill=—","Direction=H","UseDPDF=Y")</f>
        <v>—</v>
      </c>
      <c r="I67" s="14" t="str">
        <f>_xll.BDH("ALNY US Equity","PCT_OF_IND_DIRECTORS_ON_NOM_CMTE","FY 2009","FY 2009","Currency=USD","Period=FQ","BEST_FPERIOD_OVERRIDE=FQ","FILING_STATUS=MR","Sort=A","Dates=H","DateFormat=P","Fill=—","Direction=H","UseDPDF=Y")</f>
        <v>—</v>
      </c>
      <c r="J67" s="14" t="str">
        <f>_xll.BDH("ALNY US Equity","PCT_OF_IND_DIRECTORS_ON_NOM_CMTE","FY 2010","FY 2010","Currency=USD","Period=FQ","BEST_FPERIOD_OVERRIDE=FQ","FILING_STATUS=MR","Sort=A","Dates=H","DateFormat=P","Fill=—","Direction=H","UseDPDF=Y")</f>
        <v>—</v>
      </c>
      <c r="K67" s="14" t="str">
        <f>_xll.BDH("ALNY US Equity","PCT_OF_IND_DIRECTORS_ON_NOM_CMTE","FY 2011","FY 2011","Currency=USD","Period=FQ","BEST_FPERIOD_OVERRIDE=FQ","FILING_STATUS=MR","Sort=A","Dates=H","DateFormat=P","Fill=—","Direction=H","UseDPDF=Y")</f>
        <v>—</v>
      </c>
      <c r="L67" s="14" t="str">
        <f>_xll.BDH("ALNY US Equity","PCT_OF_IND_DIRECTORS_ON_NOM_CMTE","FY 2012","FY 2012","Currency=USD","Period=FQ","BEST_FPERIOD_OVERRIDE=FQ","FILING_STATUS=MR","Sort=A","Dates=H","DateFormat=P","Fill=—","Direction=H","UseDPDF=Y")</f>
        <v>—</v>
      </c>
      <c r="M67" s="14" t="str">
        <f>_xll.BDH("ALNY US Equity","PCT_OF_IND_DIRECTORS_ON_NOM_CMTE","FY 2013","FY 2013","Currency=USD","Period=FQ","BEST_FPERIOD_OVERRIDE=FQ","FILING_STATUS=MR","Sort=A","Dates=H","DateFormat=P","Fill=—","Direction=H","UseDPDF=Y")</f>
        <v>—</v>
      </c>
      <c r="N67" s="14" t="str">
        <f>_xll.BDH("ALNY US Equity","PCT_OF_IND_DIRECTORS_ON_NOM_CMTE","FY 2014","FY 2014","Currency=USD","Period=FQ","BEST_FPERIOD_OVERRIDE=FQ","FILING_STATUS=MR","Sort=A","Dates=H","DateFormat=P","Fill=—","Direction=H","UseDPDF=Y")</f>
        <v>—</v>
      </c>
      <c r="O67" s="14" t="str">
        <f>_xll.BDH("ALNY US Equity","PCT_OF_IND_DIRECTORS_ON_NOM_CMTE","FY 2015","FY 2015","Currency=USD","Period=FQ","BEST_FPERIOD_OVERRIDE=FQ","FILING_STATUS=MR","Sort=A","Dates=H","DateFormat=P","Fill=—","Direction=H","UseDPDF=Y")</f>
        <v>—</v>
      </c>
      <c r="P67" s="14" t="str">
        <f>_xll.BDH("ALNY US Equity","PCT_OF_IND_DIRECTORS_ON_NOM_CMTE","FY 2016","FY 2016","Currency=USD","Period=FQ","BEST_FPERIOD_OVERRIDE=FQ","FILING_STATUS=MR","Sort=A","Dates=H","DateFormat=P","Fill=—","Direction=H","UseDPDF=Y")</f>
        <v>—</v>
      </c>
      <c r="Q67" s="14" t="str">
        <f>_xll.BDH("ALNY US Equity","PCT_OF_IND_DIRECTORS_ON_NOM_CMTE","FY 2017","FY 2017","Currency=USD","Period=FQ","BEST_FPERIOD_OVERRIDE=FQ","FILING_STATUS=MR","Sort=A","Dates=H","DateFormat=P","Fill=—","Direction=H","UseDPDF=Y")</f>
        <v>—</v>
      </c>
      <c r="R67" s="14" t="str">
        <f>_xll.BDH("ALNY US Equity","PCT_OF_IND_DIRECTORS_ON_NOM_CMTE","FY 2018","FY 2018","Currency=USD","Period=FQ","BEST_FPERIOD_OVERRIDE=FQ","FILING_STATUS=MR","Sort=A","Dates=H","DateFormat=P","Fill=—","Direction=H","UseDPDF=Y")</f>
        <v>—</v>
      </c>
      <c r="S67" s="14" t="str">
        <f>_xll.BDH("ALNY US Equity","PCT_OF_IND_DIRECTORS_ON_NOM_CMTE","FY 2019","FY 2019","Currency=USD","Period=FQ","BEST_FPERIOD_OVERRIDE=FQ","FILING_STATUS=MR","Sort=A","Dates=H","DateFormat=P","Fill=—","Direction=H","UseDPDF=Y")</f>
        <v>—</v>
      </c>
      <c r="T67" s="14" t="str">
        <f>_xll.BDH("ALNY US Equity","PCT_OF_IND_DIRECTORS_ON_NOM_CMTE","FY 2020","FY 2020","Currency=USD","Period=FQ","BEST_FPERIOD_OVERRIDE=FQ","FILING_STATUS=MR","Sort=A","Dates=H","DateFormat=P","Fill=—","Direction=H","UseDPDF=Y")</f>
        <v>—</v>
      </c>
      <c r="U67" s="14" t="str">
        <f>_xll.BDH("ALNY US Equity","PCT_OF_IND_DIRECTORS_ON_NOM_CMTE","FY 2021","FY 2021","Currency=USD","Period=FQ","BEST_FPERIOD_OVERRIDE=FQ","FILING_STATUS=MR","Sort=A","Dates=H","DateFormat=P","Fill=—","Direction=H","UseDPDF=Y")</f>
        <v>—</v>
      </c>
      <c r="V67" s="14" t="str">
        <f>_xll.BDH("ALNY US Equity","PCT_OF_IND_DIRECTORS_ON_NOM_CMTE","FY 2022","FY 2022","Currency=USD","Period=FQ","BEST_FPERIOD_OVERRIDE=FQ","FILING_STATUS=MR","Sort=A","Dates=H","DateFormat=P","Fill=—","Direction=H","UseDPDF=Y")</f>
        <v>—</v>
      </c>
      <c r="W67" s="14" t="str">
        <f>_xll.BDH("ALNY US Equity","PCT_OF_IND_DIRECTORS_ON_NOM_CMTE","FY 2023","FY 2023","Currency=USD","Period=FQ","BEST_FPERIOD_OVERRIDE=FQ","FILING_STATUS=MR","Sort=A","Dates=H","DateFormat=P","Fill=—","Direction=H","UseDPDF=Y")</f>
        <v>—</v>
      </c>
      <c r="X67" s="14" t="str">
        <f>_xll.BDH("ALNY US Equity","PCT_OF_IND_DIRECTORS_ON_NOM_CMTE","FY 2024","FY 2024","Currency=USD","Period=FQ","BEST_FPERIOD_OVERRIDE=FQ","FILING_STATUS=MR","Sort=A","Dates=H","DateFormat=P","Fill=—","Direction=H","UseDPDF=Y")</f>
        <v>—</v>
      </c>
    </row>
    <row r="68" spans="1:24" x14ac:dyDescent="0.25">
      <c r="A68" s="10" t="s">
        <v>1775</v>
      </c>
      <c r="B68" s="10" t="s">
        <v>1776</v>
      </c>
      <c r="C68" s="14" t="str">
        <f>_xll.BDH("ALNY US Equity","PCT_OWNERSHIP_REQ_SPECIAL_MTG","FY 2003","FY 2003","Currency=USD","Period=FQ","BEST_FPERIOD_OVERRIDE=FQ","FILING_STATUS=MR","Sort=A","Dates=H","DateFormat=P","Fill=—","Direction=H","UseDPDF=Y")</f>
        <v>—</v>
      </c>
      <c r="D68" s="14" t="str">
        <f>_xll.BDH("ALNY US Equity","PCT_OWNERSHIP_REQ_SPECIAL_MTG","FY 2004","FY 2004","Currency=USD","Period=FQ","BEST_FPERIOD_OVERRIDE=FQ","FILING_STATUS=MR","Sort=A","Dates=H","DateFormat=P","Fill=—","Direction=H","UseDPDF=Y")</f>
        <v>—</v>
      </c>
      <c r="E68" s="14" t="str">
        <f>_xll.BDH("ALNY US Equity","PCT_OWNERSHIP_REQ_SPECIAL_MTG","FY 2005","FY 2005","Currency=USD","Period=FQ","BEST_FPERIOD_OVERRIDE=FQ","FILING_STATUS=MR","Sort=A","Dates=H","DateFormat=P","Fill=—","Direction=H","UseDPDF=Y")</f>
        <v>—</v>
      </c>
      <c r="F68" s="14" t="str">
        <f>_xll.BDH("ALNY US Equity","PCT_OWNERSHIP_REQ_SPECIAL_MTG","FY 2006","FY 2006","Currency=USD","Period=FQ","BEST_FPERIOD_OVERRIDE=FQ","FILING_STATUS=MR","Sort=A","Dates=H","DateFormat=P","Fill=—","Direction=H","UseDPDF=Y")</f>
        <v>—</v>
      </c>
      <c r="G68" s="14" t="str">
        <f>_xll.BDH("ALNY US Equity","PCT_OWNERSHIP_REQ_SPECIAL_MTG","FY 2007","FY 2007","Currency=USD","Period=FQ","BEST_FPERIOD_OVERRIDE=FQ","FILING_STATUS=MR","Sort=A","Dates=H","DateFormat=P","Fill=—","Direction=H","UseDPDF=Y")</f>
        <v>—</v>
      </c>
      <c r="H68" s="14" t="str">
        <f>_xll.BDH("ALNY US Equity","PCT_OWNERSHIP_REQ_SPECIAL_MTG","FY 2008","FY 2008","Currency=USD","Period=FQ","BEST_FPERIOD_OVERRIDE=FQ","FILING_STATUS=MR","Sort=A","Dates=H","DateFormat=P","Fill=—","Direction=H","UseDPDF=Y")</f>
        <v>—</v>
      </c>
      <c r="I68" s="14" t="str">
        <f>_xll.BDH("ALNY US Equity","PCT_OWNERSHIP_REQ_SPECIAL_MTG","FY 2009","FY 2009","Currency=USD","Period=FQ","BEST_FPERIOD_OVERRIDE=FQ","FILING_STATUS=MR","Sort=A","Dates=H","DateFormat=P","Fill=—","Direction=H","UseDPDF=Y")</f>
        <v>—</v>
      </c>
      <c r="J68" s="14" t="str">
        <f>_xll.BDH("ALNY US Equity","PCT_OWNERSHIP_REQ_SPECIAL_MTG","FY 2010","FY 2010","Currency=USD","Period=FQ","BEST_FPERIOD_OVERRIDE=FQ","FILING_STATUS=MR","Sort=A","Dates=H","DateFormat=P","Fill=—","Direction=H","UseDPDF=Y")</f>
        <v>—</v>
      </c>
      <c r="K68" s="14" t="str">
        <f>_xll.BDH("ALNY US Equity","PCT_OWNERSHIP_REQ_SPECIAL_MTG","FY 2011","FY 2011","Currency=USD","Period=FQ","BEST_FPERIOD_OVERRIDE=FQ","FILING_STATUS=MR","Sort=A","Dates=H","DateFormat=P","Fill=—","Direction=H","UseDPDF=Y")</f>
        <v>—</v>
      </c>
      <c r="L68" s="14" t="str">
        <f>_xll.BDH("ALNY US Equity","PCT_OWNERSHIP_REQ_SPECIAL_MTG","FY 2012","FY 2012","Currency=USD","Period=FQ","BEST_FPERIOD_OVERRIDE=FQ","FILING_STATUS=MR","Sort=A","Dates=H","DateFormat=P","Fill=—","Direction=H","UseDPDF=Y")</f>
        <v>—</v>
      </c>
      <c r="M68" s="14" t="str">
        <f>_xll.BDH("ALNY US Equity","PCT_OWNERSHIP_REQ_SPECIAL_MTG","FY 2013","FY 2013","Currency=USD","Period=FQ","BEST_FPERIOD_OVERRIDE=FQ","FILING_STATUS=MR","Sort=A","Dates=H","DateFormat=P","Fill=—","Direction=H","UseDPDF=Y")</f>
        <v>—</v>
      </c>
      <c r="N68" s="14" t="str">
        <f>_xll.BDH("ALNY US Equity","PCT_OWNERSHIP_REQ_SPECIAL_MTG","FY 2014","FY 2014","Currency=USD","Period=FQ","BEST_FPERIOD_OVERRIDE=FQ","FILING_STATUS=MR","Sort=A","Dates=H","DateFormat=P","Fill=—","Direction=H","UseDPDF=Y")</f>
        <v>—</v>
      </c>
      <c r="O68" s="14" t="str">
        <f>_xll.BDH("ALNY US Equity","PCT_OWNERSHIP_REQ_SPECIAL_MTG","FY 2015","FY 2015","Currency=USD","Period=FQ","BEST_FPERIOD_OVERRIDE=FQ","FILING_STATUS=MR","Sort=A","Dates=H","DateFormat=P","Fill=—","Direction=H","UseDPDF=Y")</f>
        <v>—</v>
      </c>
      <c r="P68" s="14" t="str">
        <f>_xll.BDH("ALNY US Equity","PCT_OWNERSHIP_REQ_SPECIAL_MTG","FY 2016","FY 2016","Currency=USD","Period=FQ","BEST_FPERIOD_OVERRIDE=FQ","FILING_STATUS=MR","Sort=A","Dates=H","DateFormat=P","Fill=—","Direction=H","UseDPDF=Y")</f>
        <v>—</v>
      </c>
      <c r="Q68" s="14" t="str">
        <f>_xll.BDH("ALNY US Equity","PCT_OWNERSHIP_REQ_SPECIAL_MTG","FY 2017","FY 2017","Currency=USD","Period=FQ","BEST_FPERIOD_OVERRIDE=FQ","FILING_STATUS=MR","Sort=A","Dates=H","DateFormat=P","Fill=—","Direction=H","UseDPDF=Y")</f>
        <v>—</v>
      </c>
      <c r="R68" s="14" t="str">
        <f>_xll.BDH("ALNY US Equity","PCT_OWNERSHIP_REQ_SPECIAL_MTG","FY 2018","FY 2018","Currency=USD","Period=FQ","BEST_FPERIOD_OVERRIDE=FQ","FILING_STATUS=MR","Sort=A","Dates=H","DateFormat=P","Fill=—","Direction=H","UseDPDF=Y")</f>
        <v>—</v>
      </c>
      <c r="S68" s="14" t="str">
        <f>_xll.BDH("ALNY US Equity","PCT_OWNERSHIP_REQ_SPECIAL_MTG","FY 2019","FY 2019","Currency=USD","Period=FQ","BEST_FPERIOD_OVERRIDE=FQ","FILING_STATUS=MR","Sort=A","Dates=H","DateFormat=P","Fill=—","Direction=H","UseDPDF=Y")</f>
        <v>—</v>
      </c>
      <c r="T68" s="14" t="str">
        <f>_xll.BDH("ALNY US Equity","PCT_OWNERSHIP_REQ_SPECIAL_MTG","FY 2020","FY 2020","Currency=USD","Period=FQ","BEST_FPERIOD_OVERRIDE=FQ","FILING_STATUS=MR","Sort=A","Dates=H","DateFormat=P","Fill=—","Direction=H","UseDPDF=Y")</f>
        <v>—</v>
      </c>
      <c r="U68" s="14" t="str">
        <f>_xll.BDH("ALNY US Equity","PCT_OWNERSHIP_REQ_SPECIAL_MTG","FY 2021","FY 2021","Currency=USD","Period=FQ","BEST_FPERIOD_OVERRIDE=FQ","FILING_STATUS=MR","Sort=A","Dates=H","DateFormat=P","Fill=—","Direction=H","UseDPDF=Y")</f>
        <v>—</v>
      </c>
      <c r="V68" s="14" t="str">
        <f>_xll.BDH("ALNY US Equity","PCT_OWNERSHIP_REQ_SPECIAL_MTG","FY 2022","FY 2022","Currency=USD","Period=FQ","BEST_FPERIOD_OVERRIDE=FQ","FILING_STATUS=MR","Sort=A","Dates=H","DateFormat=P","Fill=—","Direction=H","UseDPDF=Y")</f>
        <v>—</v>
      </c>
      <c r="W68" s="14" t="str">
        <f>_xll.BDH("ALNY US Equity","PCT_OWNERSHIP_REQ_SPECIAL_MTG","FY 2023","FY 2023","Currency=USD","Period=FQ","BEST_FPERIOD_OVERRIDE=FQ","FILING_STATUS=MR","Sort=A","Dates=H","DateFormat=P","Fill=—","Direction=H","UseDPDF=Y")</f>
        <v>—</v>
      </c>
      <c r="X68" s="14" t="str">
        <f>_xll.BDH("ALNY US Equity","PCT_OWNERSHIP_REQ_SPECIAL_MTG","FY 2024","FY 2024","Currency=USD","Period=FQ","BEST_FPERIOD_OVERRIDE=FQ","FILING_STATUS=MR","Sort=A","Dates=H","DateFormat=P","Fill=—","Direction=H","UseDPDF=Y")</f>
        <v>—</v>
      </c>
    </row>
    <row r="69" spans="1:24" x14ac:dyDescent="0.25">
      <c r="A69" s="10" t="s">
        <v>1777</v>
      </c>
      <c r="B69" s="10" t="s">
        <v>1778</v>
      </c>
      <c r="C69" s="14" t="str">
        <f>_xll.BDH("ALNY US Equity","PCT_POISON_PILL_TRIG_THRESHOLD","FY 2003","FY 2003","Currency=USD","Period=FQ","BEST_FPERIOD_OVERRIDE=FQ","FILING_STATUS=MR","Sort=A","Dates=H","DateFormat=P","Fill=—","Direction=H","UseDPDF=Y")</f>
        <v>—</v>
      </c>
      <c r="D69" s="14" t="str">
        <f>_xll.BDH("ALNY US Equity","PCT_POISON_PILL_TRIG_THRESHOLD","FY 2004","FY 2004","Currency=USD","Period=FQ","BEST_FPERIOD_OVERRIDE=FQ","FILING_STATUS=MR","Sort=A","Dates=H","DateFormat=P","Fill=—","Direction=H","UseDPDF=Y")</f>
        <v>—</v>
      </c>
      <c r="E69" s="14" t="str">
        <f>_xll.BDH("ALNY US Equity","PCT_POISON_PILL_TRIG_THRESHOLD","FY 2005","FY 2005","Currency=USD","Period=FQ","BEST_FPERIOD_OVERRIDE=FQ","FILING_STATUS=MR","Sort=A","Dates=H","DateFormat=P","Fill=—","Direction=H","UseDPDF=Y")</f>
        <v>—</v>
      </c>
      <c r="F69" s="14" t="str">
        <f>_xll.BDH("ALNY US Equity","PCT_POISON_PILL_TRIG_THRESHOLD","FY 2006","FY 2006","Currency=USD","Period=FQ","BEST_FPERIOD_OVERRIDE=FQ","FILING_STATUS=MR","Sort=A","Dates=H","DateFormat=P","Fill=—","Direction=H","UseDPDF=Y")</f>
        <v>—</v>
      </c>
      <c r="G69" s="14" t="str">
        <f>_xll.BDH("ALNY US Equity","PCT_POISON_PILL_TRIG_THRESHOLD","FY 2007","FY 2007","Currency=USD","Period=FQ","BEST_FPERIOD_OVERRIDE=FQ","FILING_STATUS=MR","Sort=A","Dates=H","DateFormat=P","Fill=—","Direction=H","UseDPDF=Y")</f>
        <v>—</v>
      </c>
      <c r="H69" s="14" t="str">
        <f>_xll.BDH("ALNY US Equity","PCT_POISON_PILL_TRIG_THRESHOLD","FY 2008","FY 2008","Currency=USD","Period=FQ","BEST_FPERIOD_OVERRIDE=FQ","FILING_STATUS=MR","Sort=A","Dates=H","DateFormat=P","Fill=—","Direction=H","UseDPDF=Y")</f>
        <v>—</v>
      </c>
      <c r="I69" s="14" t="str">
        <f>_xll.BDH("ALNY US Equity","PCT_POISON_PILL_TRIG_THRESHOLD","FY 2009","FY 2009","Currency=USD","Period=FQ","BEST_FPERIOD_OVERRIDE=FQ","FILING_STATUS=MR","Sort=A","Dates=H","DateFormat=P","Fill=—","Direction=H","UseDPDF=Y")</f>
        <v>—</v>
      </c>
      <c r="J69" s="14" t="str">
        <f>_xll.BDH("ALNY US Equity","PCT_POISON_PILL_TRIG_THRESHOLD","FY 2010","FY 2010","Currency=USD","Period=FQ","BEST_FPERIOD_OVERRIDE=FQ","FILING_STATUS=MR","Sort=A","Dates=H","DateFormat=P","Fill=—","Direction=H","UseDPDF=Y")</f>
        <v>—</v>
      </c>
      <c r="K69" s="14" t="str">
        <f>_xll.BDH("ALNY US Equity","PCT_POISON_PILL_TRIG_THRESHOLD","FY 2011","FY 2011","Currency=USD","Period=FQ","BEST_FPERIOD_OVERRIDE=FQ","FILING_STATUS=MR","Sort=A","Dates=H","DateFormat=P","Fill=—","Direction=H","UseDPDF=Y")</f>
        <v>—</v>
      </c>
      <c r="L69" s="14" t="str">
        <f>_xll.BDH("ALNY US Equity","PCT_POISON_PILL_TRIG_THRESHOLD","FY 2012","FY 2012","Currency=USD","Period=FQ","BEST_FPERIOD_OVERRIDE=FQ","FILING_STATUS=MR","Sort=A","Dates=H","DateFormat=P","Fill=—","Direction=H","UseDPDF=Y")</f>
        <v>—</v>
      </c>
      <c r="M69" s="14" t="str">
        <f>_xll.BDH("ALNY US Equity","PCT_POISON_PILL_TRIG_THRESHOLD","FY 2013","FY 2013","Currency=USD","Period=FQ","BEST_FPERIOD_OVERRIDE=FQ","FILING_STATUS=MR","Sort=A","Dates=H","DateFormat=P","Fill=—","Direction=H","UseDPDF=Y")</f>
        <v>—</v>
      </c>
      <c r="N69" s="14" t="str">
        <f>_xll.BDH("ALNY US Equity","PCT_POISON_PILL_TRIG_THRESHOLD","FY 2014","FY 2014","Currency=USD","Period=FQ","BEST_FPERIOD_OVERRIDE=FQ","FILING_STATUS=MR","Sort=A","Dates=H","DateFormat=P","Fill=—","Direction=H","UseDPDF=Y")</f>
        <v>—</v>
      </c>
      <c r="O69" s="14" t="str">
        <f>_xll.BDH("ALNY US Equity","PCT_POISON_PILL_TRIG_THRESHOLD","FY 2015","FY 2015","Currency=USD","Period=FQ","BEST_FPERIOD_OVERRIDE=FQ","FILING_STATUS=MR","Sort=A","Dates=H","DateFormat=P","Fill=—","Direction=H","UseDPDF=Y")</f>
        <v>—</v>
      </c>
      <c r="P69" s="14" t="str">
        <f>_xll.BDH("ALNY US Equity","PCT_POISON_PILL_TRIG_THRESHOLD","FY 2016","FY 2016","Currency=USD","Period=FQ","BEST_FPERIOD_OVERRIDE=FQ","FILING_STATUS=MR","Sort=A","Dates=H","DateFormat=P","Fill=—","Direction=H","UseDPDF=Y")</f>
        <v>—</v>
      </c>
      <c r="Q69" s="14" t="str">
        <f>_xll.BDH("ALNY US Equity","PCT_POISON_PILL_TRIG_THRESHOLD","FY 2017","FY 2017","Currency=USD","Period=FQ","BEST_FPERIOD_OVERRIDE=FQ","FILING_STATUS=MR","Sort=A","Dates=H","DateFormat=P","Fill=—","Direction=H","UseDPDF=Y")</f>
        <v>—</v>
      </c>
      <c r="R69" s="14" t="str">
        <f>_xll.BDH("ALNY US Equity","PCT_POISON_PILL_TRIG_THRESHOLD","FY 2018","FY 2018","Currency=USD","Period=FQ","BEST_FPERIOD_OVERRIDE=FQ","FILING_STATUS=MR","Sort=A","Dates=H","DateFormat=P","Fill=—","Direction=H","UseDPDF=Y")</f>
        <v>—</v>
      </c>
      <c r="S69" s="14" t="str">
        <f>_xll.BDH("ALNY US Equity","PCT_POISON_PILL_TRIG_THRESHOLD","FY 2019","FY 2019","Currency=USD","Period=FQ","BEST_FPERIOD_OVERRIDE=FQ","FILING_STATUS=MR","Sort=A","Dates=H","DateFormat=P","Fill=—","Direction=H","UseDPDF=Y")</f>
        <v>—</v>
      </c>
      <c r="T69" s="14" t="str">
        <f>_xll.BDH("ALNY US Equity","PCT_POISON_PILL_TRIG_THRESHOLD","FY 2020","FY 2020","Currency=USD","Period=FQ","BEST_FPERIOD_OVERRIDE=FQ","FILING_STATUS=MR","Sort=A","Dates=H","DateFormat=P","Fill=—","Direction=H","UseDPDF=Y")</f>
        <v>—</v>
      </c>
      <c r="U69" s="14" t="str">
        <f>_xll.BDH("ALNY US Equity","PCT_POISON_PILL_TRIG_THRESHOLD","FY 2021","FY 2021","Currency=USD","Period=FQ","BEST_FPERIOD_OVERRIDE=FQ","FILING_STATUS=MR","Sort=A","Dates=H","DateFormat=P","Fill=—","Direction=H","UseDPDF=Y")</f>
        <v>—</v>
      </c>
      <c r="V69" s="14" t="str">
        <f>_xll.BDH("ALNY US Equity","PCT_POISON_PILL_TRIG_THRESHOLD","FY 2022","FY 2022","Currency=USD","Period=FQ","BEST_FPERIOD_OVERRIDE=FQ","FILING_STATUS=MR","Sort=A","Dates=H","DateFormat=P","Fill=—","Direction=H","UseDPDF=Y")</f>
        <v>—</v>
      </c>
      <c r="W69" s="14" t="str">
        <f>_xll.BDH("ALNY US Equity","PCT_POISON_PILL_TRIG_THRESHOLD","FY 2023","FY 2023","Currency=USD","Period=FQ","BEST_FPERIOD_OVERRIDE=FQ","FILING_STATUS=MR","Sort=A","Dates=H","DateFormat=P","Fill=—","Direction=H","UseDPDF=Y")</f>
        <v>—</v>
      </c>
      <c r="X69" s="14" t="str">
        <f>_xll.BDH("ALNY US Equity","PCT_POISON_PILL_TRIG_THRESHOLD","FY 2024","FY 2024","Currency=USD","Period=FQ","BEST_FPERIOD_OVERRIDE=FQ","FILING_STATUS=MR","Sort=A","Dates=H","DateFormat=P","Fill=—","Direction=H","UseDPDF=Y")</f>
        <v>—</v>
      </c>
    </row>
    <row r="70" spans="1:24" x14ac:dyDescent="0.25">
      <c r="A70" s="7" t="s">
        <v>90</v>
      </c>
      <c r="B70" s="7"/>
      <c r="C70" s="7" t="s">
        <v>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Adj Highlights</vt:lpstr>
      <vt:lpstr>GAAP Highlights</vt:lpstr>
      <vt:lpstr>Earnings</vt:lpstr>
      <vt:lpstr>Enterprise Value</vt:lpstr>
      <vt:lpstr>Multiples</vt:lpstr>
      <vt:lpstr>Per Share</vt:lpstr>
      <vt:lpstr>Stock Value</vt:lpstr>
      <vt:lpstr>EV Ex Operating Leases</vt:lpstr>
      <vt:lpstr>Income - Adjusted</vt:lpstr>
      <vt:lpstr>Income - GAAP</vt:lpstr>
      <vt:lpstr>Income - As Reported</vt:lpstr>
      <vt:lpstr>Reconciliation</vt:lpstr>
      <vt:lpstr>SBC &amp; Amort</vt:lpstr>
      <vt:lpstr>Adj %</vt:lpstr>
      <vt:lpstr>GAAP %</vt:lpstr>
      <vt:lpstr>Bal Sheet - Standardized</vt:lpstr>
      <vt:lpstr>Bal Sheet - As Reported</vt:lpstr>
      <vt:lpstr>Bal Sheet - Common Size</vt:lpstr>
      <vt:lpstr>Fair Value Analysis</vt:lpstr>
      <vt:lpstr>Cash Flow - Standardized</vt:lpstr>
      <vt:lpstr>Cash Flow - As Reported</vt:lpstr>
      <vt:lpstr>Profitability</vt:lpstr>
      <vt:lpstr>Growth</vt:lpstr>
      <vt:lpstr>Credit</vt:lpstr>
      <vt:lpstr>Credit Ex Operating Leases</vt:lpstr>
      <vt:lpstr>Liquidity</vt:lpstr>
      <vt:lpstr>Working Capital</vt:lpstr>
      <vt:lpstr>Yield Analysis</vt:lpstr>
      <vt:lpstr>DuPont Analysis</vt:lpstr>
      <vt:lpstr>By Measure</vt:lpstr>
      <vt:lpstr>By Geography</vt:lpstr>
      <vt:lpstr>By Segment</vt:lpstr>
      <vt:lpstr>ESG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Student1</cp:lastModifiedBy>
  <dcterms:created xsi:type="dcterms:W3CDTF">2013-04-03T15:49:21Z</dcterms:created>
  <dcterms:modified xsi:type="dcterms:W3CDTF">2025-03-28T18:15:27Z</dcterms:modified>
</cp:coreProperties>
</file>